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comments4.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comments5.xml" ContentType="application/vnd.openxmlformats-officedocument.spreadsheetml.comments+xml"/>
  <Override PartName="/xl/tables/table10.xml" ContentType="application/vnd.openxmlformats-officedocument.spreadsheetml.table+xml"/>
  <Override PartName="/xl/comments6.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comments7.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8.xml" ContentType="application/vnd.openxmlformats-officedocument.spreadsheetml.comments+xml"/>
  <Override PartName="/xl/tables/table15.xml" ContentType="application/vnd.openxmlformats-officedocument.spreadsheetml.table+xml"/>
  <Override PartName="/xl/tables/table16.xml" ContentType="application/vnd.openxmlformats-officedocument.spreadsheetml.table+xml"/>
  <Override PartName="/xl/comments9.xml" ContentType="application/vnd.openxmlformats-officedocument.spreadsheetml.comments+xml"/>
  <Override PartName="/xl/tables/table17.xml" ContentType="application/vnd.openxmlformats-officedocument.spreadsheetml.table+xml"/>
  <Override PartName="/xl/tables/table18.xml" ContentType="application/vnd.openxmlformats-officedocument.spreadsheetml.table+xml"/>
  <Override PartName="/xl/comments10.xml" ContentType="application/vnd.openxmlformats-officedocument.spreadsheetml.comments+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omments11.xml" ContentType="application/vnd.openxmlformats-officedocument.spreadsheetml.comments+xml"/>
  <Override PartName="/xl/tables/table22.xml" ContentType="application/vnd.openxmlformats-officedocument.spreadsheetml.table+xml"/>
  <Override PartName="/xl/comments12.xml" ContentType="application/vnd.openxmlformats-officedocument.spreadsheetml.comments+xml"/>
  <Override PartName="/xl/tables/table23.xml" ContentType="application/vnd.openxmlformats-officedocument.spreadsheetml.table+xml"/>
  <Override PartName="/xl/tables/table24.xml" ContentType="application/vnd.openxmlformats-officedocument.spreadsheetml.table+xml"/>
  <Override PartName="/xl/comments13.xml" ContentType="application/vnd.openxmlformats-officedocument.spreadsheetml.comments+xml"/>
  <Override PartName="/xl/tables/table25.xml" ContentType="application/vnd.openxmlformats-officedocument.spreadsheetml.table+xml"/>
  <Override PartName="/xl/tables/table26.xml" ContentType="application/vnd.openxmlformats-officedocument.spreadsheetml.table+xml"/>
  <Override PartName="/xl/comments14.xml" ContentType="application/vnd.openxmlformats-officedocument.spreadsheetml.comments+xml"/>
  <Override PartName="/xl/tables/table27.xml" ContentType="application/vnd.openxmlformats-officedocument.spreadsheetml.table+xml"/>
  <Override PartName="/xl/comments15.xml" ContentType="application/vnd.openxmlformats-officedocument.spreadsheetml.comments+xml"/>
  <Override PartName="/xl/tables/table28.xml" ContentType="application/vnd.openxmlformats-officedocument.spreadsheetml.table+xml"/>
  <Override PartName="/xl/tables/table29.xml" ContentType="application/vnd.openxmlformats-officedocument.spreadsheetml.table+xml"/>
  <Override PartName="/xl/comments16.xml" ContentType="application/vnd.openxmlformats-officedocument.spreadsheetml.comments+xml"/>
  <Override PartName="/xl/tables/table30.xml" ContentType="application/vnd.openxmlformats-officedocument.spreadsheetml.table+xml"/>
  <Override PartName="/xl/tables/table31.xml" ContentType="application/vnd.openxmlformats-officedocument.spreadsheetml.table+xml"/>
  <Override PartName="/xl/comments17.xml" ContentType="application/vnd.openxmlformats-officedocument.spreadsheetml.comments+xml"/>
  <Override PartName="/xl/tables/table32.xml" ContentType="application/vnd.openxmlformats-officedocument.spreadsheetml.table+xml"/>
  <Override PartName="/xl/comments18.xml" ContentType="application/vnd.openxmlformats-officedocument.spreadsheetml.comments+xml"/>
  <Override PartName="/xl/tables/table33.xml" ContentType="application/vnd.openxmlformats-officedocument.spreadsheetml.table+xml"/>
  <Override PartName="/xl/tables/table34.xml" ContentType="application/vnd.openxmlformats-officedocument.spreadsheetml.table+xml"/>
  <Override PartName="/xl/comments19.xml" ContentType="application/vnd.openxmlformats-officedocument.spreadsheetml.comments+xml"/>
  <Override PartName="/xl/tables/table35.xml" ContentType="application/vnd.openxmlformats-officedocument.spreadsheetml.table+xml"/>
  <Override PartName="/xl/tables/table36.xml" ContentType="application/vnd.openxmlformats-officedocument.spreadsheetml.table+xml"/>
  <Override PartName="/xl/comments20.xml" ContentType="application/vnd.openxmlformats-officedocument.spreadsheetml.comments+xml"/>
  <Override PartName="/xl/tables/table37.xml" ContentType="application/vnd.openxmlformats-officedocument.spreadsheetml.table+xml"/>
  <Override PartName="/xl/comments21.xml" ContentType="application/vnd.openxmlformats-officedocument.spreadsheetml.comments+xml"/>
  <Override PartName="/xl/tables/table38.xml" ContentType="application/vnd.openxmlformats-officedocument.spreadsheetml.table+xml"/>
  <Override PartName="/xl/tables/table39.xml" ContentType="application/vnd.openxmlformats-officedocument.spreadsheetml.table+xml"/>
  <Override PartName="/xl/comments22.xml" ContentType="application/vnd.openxmlformats-officedocument.spreadsheetml.comments+xml"/>
  <Override PartName="/xl/tables/table40.xml" ContentType="application/vnd.openxmlformats-officedocument.spreadsheetml.table+xml"/>
  <Override PartName="/xl/tables/table41.xml" ContentType="application/vnd.openxmlformats-officedocument.spreadsheetml.table+xml"/>
  <Override PartName="/xl/comments23.xml" ContentType="application/vnd.openxmlformats-officedocument.spreadsheetml.comments+xml"/>
  <Override PartName="/xl/tables/table42.xml" ContentType="application/vnd.openxmlformats-officedocument.spreadsheetml.table+xml"/>
  <Override PartName="/xl/comments24.xml" ContentType="application/vnd.openxmlformats-officedocument.spreadsheetml.comments+xml"/>
  <Override PartName="/xl/tables/table43.xml" ContentType="application/vnd.openxmlformats-officedocument.spreadsheetml.table+xml"/>
  <Override PartName="/xl/tables/table44.xml" ContentType="application/vnd.openxmlformats-officedocument.spreadsheetml.table+xml"/>
  <Override PartName="/xl/comments25.xml" ContentType="application/vnd.openxmlformats-officedocument.spreadsheetml.comments+xml"/>
  <Override PartName="/xl/tables/table45.xml" ContentType="application/vnd.openxmlformats-officedocument.spreadsheetml.table+xml"/>
  <Override PartName="/xl/comments26.xml" ContentType="application/vnd.openxmlformats-officedocument.spreadsheetml.comments+xml"/>
  <Override PartName="/xl/tables/table46.xml" ContentType="application/vnd.openxmlformats-officedocument.spreadsheetml.table+xml"/>
  <Override PartName="/xl/tables/table47.xml" ContentType="application/vnd.openxmlformats-officedocument.spreadsheetml.table+xml"/>
  <Override PartName="/xl/comments27.xml" ContentType="application/vnd.openxmlformats-officedocument.spreadsheetml.comments+xml"/>
  <Override PartName="/xl/tables/table48.xml" ContentType="application/vnd.openxmlformats-officedocument.spreadsheetml.table+xml"/>
  <Override PartName="/xl/tables/table49.xml" ContentType="application/vnd.openxmlformats-officedocument.spreadsheetml.table+xml"/>
  <Override PartName="/xl/comments28.xml" ContentType="application/vnd.openxmlformats-officedocument.spreadsheetml.comments+xml"/>
  <Override PartName="/xl/tables/table50.xml" ContentType="application/vnd.openxmlformats-officedocument.spreadsheetml.table+xml"/>
  <Override PartName="/xl/comments29.xml" ContentType="application/vnd.openxmlformats-officedocument.spreadsheetml.comments+xml"/>
  <Override PartName="/xl/tables/table51.xml" ContentType="application/vnd.openxmlformats-officedocument.spreadsheetml.table+xml"/>
  <Override PartName="/xl/tables/table52.xml" ContentType="application/vnd.openxmlformats-officedocument.spreadsheetml.table+xml"/>
  <Override PartName="/xl/comments30.xml" ContentType="application/vnd.openxmlformats-officedocument.spreadsheetml.comments+xml"/>
  <Override PartName="/xl/tables/table53.xml" ContentType="application/vnd.openxmlformats-officedocument.spreadsheetml.table+xml"/>
  <Override PartName="/xl/tables/table54.xml" ContentType="application/vnd.openxmlformats-officedocument.spreadsheetml.table+xml"/>
  <Override PartName="/xl/comments31.xml" ContentType="application/vnd.openxmlformats-officedocument.spreadsheetml.comments+xml"/>
  <Override PartName="/xl/tables/table55.xml" ContentType="application/vnd.openxmlformats-officedocument.spreadsheetml.table+xml"/>
  <Override PartName="/xl/comments32.xml" ContentType="application/vnd.openxmlformats-officedocument.spreadsheetml.comments+xml"/>
  <Override PartName="/xl/tables/table56.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99C6C643-21A7-4EB6-9010-D36DC66D993C}" xr6:coauthVersionLast="47" xr6:coauthVersionMax="47" xr10:uidLastSave="{00000000-0000-0000-0000-000000000000}"/>
  <bookViews>
    <workbookView xWindow="-108" yWindow="-108" windowWidth="23256" windowHeight="12456" xr2:uid="{00000000-000D-0000-FFFF-FFFF00000000}"/>
  </bookViews>
  <sheets>
    <sheet name="CAI-MED" sheetId="1" r:id="rId1"/>
    <sheet name="CAI-MED LF LEGACY" sheetId="2" r:id="rId2"/>
    <sheet name="CAI-MED - FOCUS MODE" sheetId="3" r:id="rId3"/>
    <sheet name="CAI-MED - OAL Threats Alert" sheetId="4" r:id="rId4"/>
    <sheet name="HBE-MED" sheetId="5" r:id="rId5"/>
    <sheet name="HBE-MED LF LEGACY" sheetId="6" r:id="rId6"/>
    <sheet name="HBE-MED - FOCUS MODE" sheetId="7" r:id="rId7"/>
    <sheet name="ATZ-MED" sheetId="8" r:id="rId8"/>
    <sheet name="ATZ-MED LF LEGACY" sheetId="9" r:id="rId9"/>
    <sheet name="ATZ-MED - FOCUS MODE" sheetId="10" r:id="rId10"/>
    <sheet name="CAI-JED" sheetId="11" r:id="rId11"/>
    <sheet name="CAI-JED LF LEGACY" sheetId="12" r:id="rId12"/>
    <sheet name="CAI-JED - FOCUS MODE" sheetId="13" r:id="rId13"/>
    <sheet name="CAI-JED - OAL Threats Alert" sheetId="14" r:id="rId14"/>
    <sheet name="HBE-JED" sheetId="15" r:id="rId15"/>
    <sheet name="HBE-JED LF LEGACY" sheetId="16" r:id="rId16"/>
    <sheet name="HBE-JED - FOCUS MODE" sheetId="17" r:id="rId17"/>
    <sheet name="ATZ-JED" sheetId="18" r:id="rId18"/>
    <sheet name="ATZ-JED LF LEGACY" sheetId="19" r:id="rId19"/>
    <sheet name="ATZ-JED - FOCUS MODE" sheetId="20" r:id="rId20"/>
    <sheet name="LXR-JED" sheetId="21" r:id="rId21"/>
    <sheet name="LXR-JED LF LEGACY" sheetId="22" r:id="rId22"/>
    <sheet name="LXR-JED - FOCUS MODE" sheetId="23" r:id="rId23"/>
    <sheet name="ASW-JED" sheetId="24" r:id="rId24"/>
    <sheet name="ASW-JED LF LEGACY" sheetId="25" r:id="rId25"/>
    <sheet name="ASW-JED - FOCUS MODE" sheetId="26" r:id="rId26"/>
    <sheet name="SSH-JED" sheetId="27" r:id="rId27"/>
    <sheet name="SSH-JED LF LEGACY" sheetId="28" r:id="rId28"/>
    <sheet name="SSH-JED - FOCUS MODE" sheetId="29" r:id="rId29"/>
    <sheet name="HRG-JED" sheetId="30" r:id="rId30"/>
    <sheet name="HRG-JED LF LEGACY" sheetId="31" r:id="rId31"/>
    <sheet name="HRG-JED - FOCUS MODE" sheetId="32" r:id="rId32"/>
    <sheet name="CAI-RUH" sheetId="33" r:id="rId33"/>
    <sheet name="CAI-RUH LF LEGACY" sheetId="34" r:id="rId34"/>
    <sheet name="CAI-RUH - FOCUS MODE" sheetId="35" r:id="rId35"/>
    <sheet name="CAI-RUH - OAL Threats Alert" sheetId="36" r:id="rId36"/>
    <sheet name="ATZ-RUH" sheetId="37" r:id="rId37"/>
    <sheet name="ATZ-RUH LF LEGACY" sheetId="38" r:id="rId38"/>
    <sheet name="ATZ-RUH - FOCUS MODE" sheetId="39" r:id="rId39"/>
    <sheet name="CAI-DMM" sheetId="40" r:id="rId40"/>
    <sheet name="CAI-DMM LF LEGACY" sheetId="41" r:id="rId41"/>
    <sheet name="CAI-DMM - FOCUS MODE" sheetId="42" r:id="rId42"/>
    <sheet name="CAI-DMM - OAL Threats Alert" sheetId="43" r:id="rId43"/>
    <sheet name="ATZ-DMM" sheetId="44" r:id="rId44"/>
    <sheet name="ATZ-DMM LF LEGACY" sheetId="45" r:id="rId45"/>
    <sheet name="ATZ-DMM - FOCUS MODE" sheetId="46" r:id="rId46"/>
    <sheet name="CAI-TUU" sheetId="47" r:id="rId47"/>
    <sheet name="CAI-TUU LF LEGACY" sheetId="48" r:id="rId48"/>
    <sheet name="CAI-TUU - FOCUS MODE" sheetId="49" r:id="rId49"/>
    <sheet name="CAI-TUU - OAL Threats Alert" sheetId="50" r:id="rId50"/>
    <sheet name="ATZ-TUU" sheetId="51" r:id="rId51"/>
    <sheet name="ATZ-TUU LF LEGACY" sheetId="52" r:id="rId52"/>
    <sheet name="ATZ-TUU - FOCUS MODE" sheetId="53" r:id="rId53"/>
    <sheet name="CAI-AJF" sheetId="54" r:id="rId54"/>
    <sheet name="CAI-AJF LF LEGACY" sheetId="55" r:id="rId55"/>
    <sheet name="CAI-AJF - FOCUS MODE" sheetId="56" r:id="rId56"/>
    <sheet name="CAI-AJF - OAL Threats Alert" sheetId="57" r:id="rId57"/>
    <sheet name="ATZ-AJF" sheetId="58" r:id="rId58"/>
    <sheet name="ATZ-AJF LF LEGACY" sheetId="59" r:id="rId59"/>
    <sheet name="ATZ-AJF - FOCUS MODE" sheetId="60" r:id="rId60"/>
    <sheet name="CAI-YNB" sheetId="61" r:id="rId61"/>
    <sheet name="CAI-YNB LF LEGACY" sheetId="62" r:id="rId62"/>
    <sheet name="CAI-YNB - FOCUS MODE" sheetId="63" r:id="rId63"/>
    <sheet name="CAI-YNB - OAL Threats Alert" sheetId="64" r:id="rId64"/>
    <sheet name="CAI-AHB" sheetId="65" r:id="rId65"/>
    <sheet name="CAI-AHB LF LEGACY" sheetId="66" r:id="rId66"/>
    <sheet name="CAI-AHB - FOCUS MODE" sheetId="67" r:id="rId67"/>
    <sheet name="CAI-AHB - OAL Threats Alert" sheetId="68" r:id="rId68"/>
    <sheet name="ATZ-AHB" sheetId="69" r:id="rId69"/>
    <sheet name="ATZ-AHB LF LEGACY" sheetId="70" r:id="rId70"/>
    <sheet name="ATZ-AHB - FOCUS MODE" sheetId="71" r:id="rId71"/>
    <sheet name="CAI-ELQ" sheetId="72" r:id="rId72"/>
    <sheet name="CAI-ELQ LF LEGACY" sheetId="73" r:id="rId73"/>
    <sheet name="CAI-ELQ - FOCUS MODE" sheetId="74" r:id="rId74"/>
    <sheet name="CAI-ELQ - OAL Threats Alert" sheetId="75" r:id="rId75"/>
    <sheet name="ATZ-ELQ" sheetId="76" r:id="rId76"/>
    <sheet name="ATZ-ELQ LF LEGACY" sheetId="77" r:id="rId77"/>
    <sheet name="ATZ-ELQ - FOCUS MODE" sheetId="78" r:id="rId78"/>
    <sheet name="CAI-GIZ" sheetId="79" r:id="rId79"/>
    <sheet name="CAI-GIZ LF LEGACY" sheetId="80" r:id="rId80"/>
    <sheet name="CAI-GIZ - FOCUS MODE" sheetId="81" r:id="rId81"/>
    <sheet name="CAI-GIZ - OAL Threats Alert" sheetId="82" r:id="rId82"/>
    <sheet name="EGY_TO_KSA_ALL_ROUTES" sheetId="83" r:id="rId83"/>
  </sheet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80" l="1"/>
  <c r="E12" i="80"/>
  <c r="G12" i="80"/>
  <c r="H12" i="80"/>
  <c r="I12" i="80"/>
  <c r="J12" i="80"/>
  <c r="M12" i="80"/>
  <c r="N12" i="80"/>
  <c r="O12" i="80"/>
  <c r="Q12" i="80"/>
  <c r="R12" i="80"/>
  <c r="S12" i="80"/>
  <c r="T12" i="80"/>
  <c r="U12" i="80"/>
  <c r="V12" i="80"/>
  <c r="W12" i="80"/>
  <c r="X12" i="80"/>
  <c r="Y12" i="80"/>
  <c r="Z12" i="80"/>
  <c r="AA12" i="80"/>
  <c r="AB12" i="80"/>
  <c r="AC12" i="80"/>
  <c r="AD12" i="80"/>
  <c r="AE12" i="80"/>
  <c r="AF12" i="80"/>
  <c r="AG12" i="80"/>
  <c r="AH12" i="80"/>
  <c r="AI12" i="80"/>
  <c r="AJ12" i="80"/>
  <c r="C11" i="77"/>
  <c r="E11" i="77"/>
  <c r="G11" i="77"/>
  <c r="H11" i="77"/>
  <c r="I11" i="77"/>
  <c r="J11" i="77"/>
  <c r="M11" i="77"/>
  <c r="N11" i="77"/>
  <c r="O11" i="77"/>
  <c r="Q11" i="77"/>
  <c r="R11" i="77"/>
  <c r="S11" i="77"/>
  <c r="T11" i="77"/>
  <c r="U11" i="77"/>
  <c r="V11" i="77"/>
  <c r="W11" i="77"/>
  <c r="X11" i="77"/>
  <c r="Y11" i="77"/>
  <c r="Z11" i="77"/>
  <c r="AA11" i="77"/>
  <c r="AB11" i="77"/>
  <c r="AC11" i="77"/>
  <c r="AD11" i="77"/>
  <c r="AE11" i="77"/>
  <c r="AF11" i="77"/>
  <c r="AG11" i="77"/>
  <c r="AH11" i="77"/>
  <c r="AI11" i="77"/>
  <c r="AJ11" i="77"/>
  <c r="C15" i="73"/>
  <c r="E15" i="73"/>
  <c r="G15" i="73"/>
  <c r="H15" i="73"/>
  <c r="I15" i="73"/>
  <c r="J15" i="73"/>
  <c r="M15" i="73"/>
  <c r="N15" i="73"/>
  <c r="O15" i="73"/>
  <c r="Q15" i="73"/>
  <c r="R15" i="73"/>
  <c r="S15" i="73"/>
  <c r="T15" i="73"/>
  <c r="U15" i="73"/>
  <c r="V15" i="73"/>
  <c r="W15" i="73"/>
  <c r="X15" i="73"/>
  <c r="Y15" i="73"/>
  <c r="Z15" i="73"/>
  <c r="AA15" i="73"/>
  <c r="AB15" i="73"/>
  <c r="AC15" i="73"/>
  <c r="AD15" i="73"/>
  <c r="AE15" i="73"/>
  <c r="AF15" i="73"/>
  <c r="AG15" i="73"/>
  <c r="AH15" i="73"/>
  <c r="AI15" i="73"/>
  <c r="AJ15" i="73"/>
  <c r="C7" i="70"/>
  <c r="E7" i="70"/>
  <c r="G7" i="70"/>
  <c r="H7" i="70"/>
  <c r="I7" i="70"/>
  <c r="J7" i="70"/>
  <c r="M7" i="70"/>
  <c r="N7" i="70"/>
  <c r="O7" i="70"/>
  <c r="Q7" i="70"/>
  <c r="R7" i="70"/>
  <c r="S7" i="70"/>
  <c r="T7" i="70"/>
  <c r="U7" i="70"/>
  <c r="V7" i="70"/>
  <c r="W7" i="70"/>
  <c r="X7" i="70"/>
  <c r="Y7" i="70"/>
  <c r="Z7" i="70"/>
  <c r="AA7" i="70"/>
  <c r="AB7" i="70"/>
  <c r="AC7" i="70"/>
  <c r="AD7" i="70"/>
  <c r="AE7" i="70"/>
  <c r="AF7" i="70"/>
  <c r="AG7" i="70"/>
  <c r="AH7" i="70"/>
  <c r="AI7" i="70"/>
  <c r="AJ7" i="70"/>
  <c r="C16" i="66"/>
  <c r="E16" i="66"/>
  <c r="G16" i="66"/>
  <c r="H16" i="66"/>
  <c r="I16" i="66"/>
  <c r="J16" i="66"/>
  <c r="M16" i="66"/>
  <c r="N16" i="66"/>
  <c r="O16" i="66"/>
  <c r="Q16" i="66"/>
  <c r="R16" i="66"/>
  <c r="S16" i="66"/>
  <c r="T16" i="66"/>
  <c r="U16" i="66"/>
  <c r="V16" i="66"/>
  <c r="W16" i="66"/>
  <c r="X16" i="66"/>
  <c r="Y16" i="66"/>
  <c r="Z16" i="66"/>
  <c r="AA16" i="66"/>
  <c r="AB16" i="66"/>
  <c r="AC16" i="66"/>
  <c r="AD16" i="66"/>
  <c r="AE16" i="66"/>
  <c r="AF16" i="66"/>
  <c r="AG16" i="66"/>
  <c r="AH16" i="66"/>
  <c r="AI16" i="66"/>
  <c r="AJ16" i="66"/>
  <c r="C33" i="62"/>
  <c r="E33" i="62"/>
  <c r="G33" i="62"/>
  <c r="H33" i="62"/>
  <c r="I33" i="62"/>
  <c r="J33" i="62"/>
  <c r="M33" i="62"/>
  <c r="N33" i="62"/>
  <c r="O33" i="62"/>
  <c r="Q33" i="62"/>
  <c r="R33" i="62"/>
  <c r="S33" i="62"/>
  <c r="T33" i="62"/>
  <c r="U33" i="62"/>
  <c r="V33" i="62"/>
  <c r="W33" i="62"/>
  <c r="X33" i="62"/>
  <c r="Y33" i="62"/>
  <c r="Z33" i="62"/>
  <c r="AA33" i="62"/>
  <c r="AB33" i="62"/>
  <c r="AC33" i="62"/>
  <c r="AD33" i="62"/>
  <c r="AE33" i="62"/>
  <c r="AF33" i="62"/>
  <c r="AG33" i="62"/>
  <c r="AH33" i="62"/>
  <c r="AI33" i="62"/>
  <c r="AJ33" i="62"/>
  <c r="C7" i="59"/>
  <c r="E7" i="59"/>
  <c r="G7" i="59"/>
  <c r="H7" i="59"/>
  <c r="I7" i="59"/>
  <c r="J7" i="59"/>
  <c r="M7" i="59"/>
  <c r="N7" i="59"/>
  <c r="O7" i="59"/>
  <c r="Q7" i="59"/>
  <c r="R7" i="59"/>
  <c r="S7" i="59"/>
  <c r="T7" i="59"/>
  <c r="U7" i="59"/>
  <c r="V7" i="59"/>
  <c r="W7" i="59"/>
  <c r="X7" i="59"/>
  <c r="Y7" i="59"/>
  <c r="Z7" i="59"/>
  <c r="AA7" i="59"/>
  <c r="AB7" i="59"/>
  <c r="AC7" i="59"/>
  <c r="AD7" i="59"/>
  <c r="AE7" i="59"/>
  <c r="AF7" i="59"/>
  <c r="AG7" i="59"/>
  <c r="AH7" i="59"/>
  <c r="AI7" i="59"/>
  <c r="AJ7" i="59"/>
  <c r="C16" i="55"/>
  <c r="E16" i="55"/>
  <c r="G16" i="55"/>
  <c r="H16" i="55"/>
  <c r="I16" i="55"/>
  <c r="J16" i="55"/>
  <c r="M16" i="55"/>
  <c r="N16" i="55"/>
  <c r="O16" i="55"/>
  <c r="Q16" i="55"/>
  <c r="R16" i="55"/>
  <c r="S16" i="55"/>
  <c r="T16" i="55"/>
  <c r="U16" i="55"/>
  <c r="V16" i="55"/>
  <c r="W16" i="55"/>
  <c r="X16" i="55"/>
  <c r="Y16" i="55"/>
  <c r="Z16" i="55"/>
  <c r="AA16" i="55"/>
  <c r="AB16" i="55"/>
  <c r="AC16" i="55"/>
  <c r="AD16" i="55"/>
  <c r="AE16" i="55"/>
  <c r="AF16" i="55"/>
  <c r="AG16" i="55"/>
  <c r="AH16" i="55"/>
  <c r="AI16" i="55"/>
  <c r="AJ16" i="55"/>
  <c r="C7" i="52"/>
  <c r="E7" i="52"/>
  <c r="G7" i="52"/>
  <c r="H7" i="52"/>
  <c r="I7" i="52"/>
  <c r="J7" i="52"/>
  <c r="M7" i="52"/>
  <c r="N7" i="52"/>
  <c r="O7" i="52"/>
  <c r="Q7" i="52"/>
  <c r="R7" i="52"/>
  <c r="S7" i="52"/>
  <c r="T7" i="52"/>
  <c r="U7" i="52"/>
  <c r="V7" i="52"/>
  <c r="W7" i="52"/>
  <c r="X7" i="52"/>
  <c r="Y7" i="52"/>
  <c r="Z7" i="52"/>
  <c r="AA7" i="52"/>
  <c r="AB7" i="52"/>
  <c r="AC7" i="52"/>
  <c r="AD7" i="52"/>
  <c r="AE7" i="52"/>
  <c r="AF7" i="52"/>
  <c r="AG7" i="52"/>
  <c r="AH7" i="52"/>
  <c r="AI7" i="52"/>
  <c r="AJ7" i="52"/>
  <c r="C16" i="48"/>
  <c r="E16" i="48"/>
  <c r="G16" i="48"/>
  <c r="H16" i="48"/>
  <c r="I16" i="48"/>
  <c r="J16" i="48"/>
  <c r="M16" i="48"/>
  <c r="N16" i="48"/>
  <c r="O16" i="48"/>
  <c r="Q16" i="48"/>
  <c r="R16" i="48"/>
  <c r="S16" i="48"/>
  <c r="T16" i="48"/>
  <c r="U16" i="48"/>
  <c r="V16" i="48"/>
  <c r="W16" i="48"/>
  <c r="X16" i="48"/>
  <c r="Y16" i="48"/>
  <c r="Z16" i="48"/>
  <c r="AA16" i="48"/>
  <c r="AB16" i="48"/>
  <c r="AC16" i="48"/>
  <c r="AD16" i="48"/>
  <c r="AE16" i="48"/>
  <c r="AF16" i="48"/>
  <c r="AG16" i="48"/>
  <c r="AH16" i="48"/>
  <c r="AI16" i="48"/>
  <c r="AJ16" i="48"/>
  <c r="C11" i="45"/>
  <c r="E11" i="45"/>
  <c r="G11" i="45"/>
  <c r="H11" i="45"/>
  <c r="I11" i="45"/>
  <c r="J11" i="45"/>
  <c r="M11" i="45"/>
  <c r="N11" i="45"/>
  <c r="O11" i="45"/>
  <c r="Q11" i="45"/>
  <c r="R11" i="45"/>
  <c r="S11" i="45"/>
  <c r="T11" i="45"/>
  <c r="U11" i="45"/>
  <c r="V11" i="45"/>
  <c r="W11" i="45"/>
  <c r="X11" i="45"/>
  <c r="Y11" i="45"/>
  <c r="Z11" i="45"/>
  <c r="AA11" i="45"/>
  <c r="AB11" i="45"/>
  <c r="AC11" i="45"/>
  <c r="AD11" i="45"/>
  <c r="AE11" i="45"/>
  <c r="AF11" i="45"/>
  <c r="AG11" i="45"/>
  <c r="AH11" i="45"/>
  <c r="AI11" i="45"/>
  <c r="AJ11" i="45"/>
  <c r="C21" i="41"/>
  <c r="E21" i="41"/>
  <c r="G21" i="41"/>
  <c r="H21" i="41"/>
  <c r="I21" i="41"/>
  <c r="J21" i="41"/>
  <c r="M21" i="41"/>
  <c r="N21" i="41"/>
  <c r="O21" i="41"/>
  <c r="Q21" i="41"/>
  <c r="R21" i="41"/>
  <c r="S21" i="41"/>
  <c r="T21" i="41"/>
  <c r="U21" i="41"/>
  <c r="V21" i="41"/>
  <c r="W21" i="41"/>
  <c r="X21" i="41"/>
  <c r="Y21" i="41"/>
  <c r="Z21" i="41"/>
  <c r="AA21" i="41"/>
  <c r="AB21" i="41"/>
  <c r="AC21" i="41"/>
  <c r="AD21" i="41"/>
  <c r="AE21" i="41"/>
  <c r="AF21" i="41"/>
  <c r="AG21" i="41"/>
  <c r="AH21" i="41"/>
  <c r="AI21" i="41"/>
  <c r="AJ21" i="41"/>
  <c r="C14" i="38"/>
  <c r="E14" i="38"/>
  <c r="G14" i="38"/>
  <c r="H14" i="38"/>
  <c r="I14" i="38"/>
  <c r="J14" i="38"/>
  <c r="M14" i="38"/>
  <c r="N14" i="38"/>
  <c r="O14" i="38"/>
  <c r="Q14" i="38"/>
  <c r="R14" i="38"/>
  <c r="S14" i="38"/>
  <c r="T14" i="38"/>
  <c r="U14" i="38"/>
  <c r="V14" i="38"/>
  <c r="W14" i="38"/>
  <c r="X14" i="38"/>
  <c r="Y14" i="38"/>
  <c r="Z14" i="38"/>
  <c r="AA14" i="38"/>
  <c r="AB14" i="38"/>
  <c r="AC14" i="38"/>
  <c r="AD14" i="38"/>
  <c r="AE14" i="38"/>
  <c r="AF14" i="38"/>
  <c r="AG14" i="38"/>
  <c r="AH14" i="38"/>
  <c r="AI14" i="38"/>
  <c r="AJ14" i="38"/>
  <c r="C42" i="34"/>
  <c r="E42" i="34"/>
  <c r="G42" i="34"/>
  <c r="H42" i="34"/>
  <c r="I42" i="34"/>
  <c r="J42" i="34"/>
  <c r="M42" i="34"/>
  <c r="N42" i="34"/>
  <c r="O42" i="34"/>
  <c r="Q42" i="34"/>
  <c r="R42" i="34"/>
  <c r="S42" i="34"/>
  <c r="T42" i="34"/>
  <c r="U42" i="34"/>
  <c r="V42" i="34"/>
  <c r="W42" i="34"/>
  <c r="X42" i="34"/>
  <c r="Y42" i="34"/>
  <c r="Z42" i="34"/>
  <c r="AA42" i="34"/>
  <c r="AB42" i="34"/>
  <c r="AC42" i="34"/>
  <c r="AD42" i="34"/>
  <c r="AE42" i="34"/>
  <c r="AF42" i="34"/>
  <c r="AG42" i="34"/>
  <c r="AH42" i="34"/>
  <c r="AI42" i="34"/>
  <c r="AJ42" i="34"/>
  <c r="C8" i="25"/>
  <c r="E8" i="25"/>
  <c r="G8" i="25"/>
  <c r="H8" i="25"/>
  <c r="I8" i="25"/>
  <c r="J8" i="25"/>
  <c r="M8" i="25"/>
  <c r="N8" i="25"/>
  <c r="O8" i="25"/>
  <c r="Q8" i="25"/>
  <c r="R8" i="25"/>
  <c r="S8" i="25"/>
  <c r="T8" i="25"/>
  <c r="U8" i="25"/>
  <c r="V8" i="25"/>
  <c r="W8" i="25"/>
  <c r="X8" i="25"/>
  <c r="Y8" i="25"/>
  <c r="Z8" i="25"/>
  <c r="AA8" i="25"/>
  <c r="AB8" i="25"/>
  <c r="AC8" i="25"/>
  <c r="AD8" i="25"/>
  <c r="AE8" i="25"/>
  <c r="AF8" i="25"/>
  <c r="AG8" i="25"/>
  <c r="AH8" i="25"/>
  <c r="AI8" i="25"/>
  <c r="AJ8" i="25"/>
  <c r="C18" i="22"/>
  <c r="E18" i="22"/>
  <c r="G18" i="22"/>
  <c r="H18" i="22"/>
  <c r="I18" i="22"/>
  <c r="J18" i="22"/>
  <c r="M18" i="22"/>
  <c r="N18" i="22"/>
  <c r="O18" i="22"/>
  <c r="Q18" i="22"/>
  <c r="R18" i="22"/>
  <c r="S18" i="22"/>
  <c r="T18" i="22"/>
  <c r="U18" i="22"/>
  <c r="V18" i="22"/>
  <c r="W18" i="22"/>
  <c r="X18" i="22"/>
  <c r="Y18" i="22"/>
  <c r="Z18" i="22"/>
  <c r="AA18" i="22"/>
  <c r="AB18" i="22"/>
  <c r="AC18" i="22"/>
  <c r="AD18" i="22"/>
  <c r="AE18" i="22"/>
  <c r="AF18" i="22"/>
  <c r="AG18" i="22"/>
  <c r="AH18" i="22"/>
  <c r="AI18" i="22"/>
  <c r="AJ18" i="22"/>
  <c r="C74" i="19"/>
  <c r="E74" i="19"/>
  <c r="G74" i="19"/>
  <c r="H74" i="19"/>
  <c r="I74" i="19"/>
  <c r="J74" i="19"/>
  <c r="M74" i="19"/>
  <c r="N74" i="19"/>
  <c r="O74" i="19"/>
  <c r="Q74" i="19"/>
  <c r="R74" i="19"/>
  <c r="S74" i="19"/>
  <c r="T74" i="19"/>
  <c r="U74" i="19"/>
  <c r="V74" i="19"/>
  <c r="W74" i="19"/>
  <c r="X74" i="19"/>
  <c r="Y74" i="19"/>
  <c r="Z74" i="19"/>
  <c r="AA74" i="19"/>
  <c r="AB74" i="19"/>
  <c r="AC74" i="19"/>
  <c r="AD74" i="19"/>
  <c r="AE74" i="19"/>
  <c r="AF74" i="19"/>
  <c r="AG74" i="19"/>
  <c r="AH74" i="19"/>
  <c r="AI74" i="19"/>
  <c r="AJ74" i="19"/>
  <c r="C54" i="16"/>
  <c r="E54" i="16"/>
  <c r="G54" i="16"/>
  <c r="H54" i="16"/>
  <c r="I54" i="16"/>
  <c r="J54" i="16"/>
  <c r="M54" i="16"/>
  <c r="N54" i="16"/>
  <c r="O54" i="16"/>
  <c r="Q54" i="16"/>
  <c r="R54" i="16"/>
  <c r="S54" i="16"/>
  <c r="T54" i="16"/>
  <c r="U54" i="16"/>
  <c r="V54" i="16"/>
  <c r="W54" i="16"/>
  <c r="X54" i="16"/>
  <c r="Y54" i="16"/>
  <c r="Z54" i="16"/>
  <c r="AA54" i="16"/>
  <c r="AB54" i="16"/>
  <c r="AC54" i="16"/>
  <c r="AD54" i="16"/>
  <c r="AE54" i="16"/>
  <c r="AF54" i="16"/>
  <c r="AG54" i="16"/>
  <c r="AH54" i="16"/>
  <c r="AI54" i="16"/>
  <c r="AJ54" i="16"/>
  <c r="C153" i="12"/>
  <c r="E153" i="12"/>
  <c r="G153" i="12"/>
  <c r="H153" i="12"/>
  <c r="I153" i="12"/>
  <c r="J153" i="12"/>
  <c r="M153" i="12"/>
  <c r="N153" i="12"/>
  <c r="O153" i="12"/>
  <c r="Q153" i="12"/>
  <c r="R153" i="12"/>
  <c r="S153" i="12"/>
  <c r="T153" i="12"/>
  <c r="U153" i="12"/>
  <c r="V153" i="12"/>
  <c r="W153" i="12"/>
  <c r="X153" i="12"/>
  <c r="Y153" i="12"/>
  <c r="Z153" i="12"/>
  <c r="AA153" i="12"/>
  <c r="AB153" i="12"/>
  <c r="AC153" i="12"/>
  <c r="AD153" i="12"/>
  <c r="AE153" i="12"/>
  <c r="AF153" i="12"/>
  <c r="AG153" i="12"/>
  <c r="AH153" i="12"/>
  <c r="AI153" i="12"/>
  <c r="AJ153" i="12"/>
  <c r="C19" i="9"/>
  <c r="E19" i="9"/>
  <c r="G19" i="9"/>
  <c r="H19" i="9"/>
  <c r="I19" i="9"/>
  <c r="J19" i="9"/>
  <c r="M19" i="9"/>
  <c r="N19" i="9"/>
  <c r="O19" i="9"/>
  <c r="Q19" i="9"/>
  <c r="R19" i="9"/>
  <c r="S19" i="9"/>
  <c r="T19" i="9"/>
  <c r="U19" i="9"/>
  <c r="V19" i="9"/>
  <c r="W19" i="9"/>
  <c r="X19" i="9"/>
  <c r="Y19" i="9"/>
  <c r="Z19" i="9"/>
  <c r="AA19" i="9"/>
  <c r="AB19" i="9"/>
  <c r="AC19" i="9"/>
  <c r="AD19" i="9"/>
  <c r="AE19" i="9"/>
  <c r="AF19" i="9"/>
  <c r="AG19" i="9"/>
  <c r="AH19" i="9"/>
  <c r="AI19" i="9"/>
  <c r="AJ19" i="9"/>
  <c r="C19" i="6"/>
  <c r="E19" i="6"/>
  <c r="G19" i="6"/>
  <c r="H19" i="6"/>
  <c r="I19" i="6"/>
  <c r="J19" i="6"/>
  <c r="M19" i="6"/>
  <c r="N19" i="6"/>
  <c r="O19" i="6"/>
  <c r="Q19" i="6"/>
  <c r="R19" i="6"/>
  <c r="S19" i="6"/>
  <c r="T19" i="6"/>
  <c r="U19" i="6"/>
  <c r="V19" i="6"/>
  <c r="W19" i="6"/>
  <c r="X19" i="6"/>
  <c r="Y19" i="6"/>
  <c r="Z19" i="6"/>
  <c r="AA19" i="6"/>
  <c r="AB19" i="6"/>
  <c r="AC19" i="6"/>
  <c r="AD19" i="6"/>
  <c r="AE19" i="6"/>
  <c r="AF19" i="6"/>
  <c r="AG19" i="6"/>
  <c r="AH19" i="6"/>
  <c r="AI19" i="6"/>
  <c r="AJ19" i="6"/>
  <c r="C24" i="2"/>
  <c r="E24" i="2"/>
  <c r="G24" i="2"/>
  <c r="H24" i="2"/>
  <c r="I24" i="2"/>
  <c r="J24" i="2"/>
  <c r="M24" i="2"/>
  <c r="N24" i="2"/>
  <c r="O24" i="2"/>
  <c r="Q24" i="2"/>
  <c r="R24" i="2"/>
  <c r="S24" i="2"/>
  <c r="T24" i="2"/>
  <c r="U24" i="2"/>
  <c r="V24" i="2"/>
  <c r="W24" i="2"/>
  <c r="X24" i="2"/>
  <c r="Y24" i="2"/>
  <c r="Z24" i="2"/>
  <c r="AA24" i="2"/>
  <c r="AB24" i="2"/>
  <c r="AC24" i="2"/>
  <c r="AD24" i="2"/>
  <c r="AE24" i="2"/>
  <c r="AF24" i="2"/>
  <c r="AG24" i="2"/>
  <c r="AH24" i="2"/>
  <c r="AI24" i="2"/>
  <c r="AJ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3" authorId="0" shapeId="0" xr:uid="{B342E8ED-04C8-4784-8A90-760FE8CD743F}">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9" authorId="0" shapeId="0" xr:uid="{F2506FAF-18E3-4233-ABA6-75493016ECD6}">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0" authorId="0" shapeId="0" xr:uid="{8059DF71-B033-4AC6-AF0D-9EDC31C5A146}">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40.0%] - [</t>
        </r>
        <r>
          <rPr>
            <b/>
            <sz val="10"/>
            <color indexed="48"/>
            <rFont val="Calibri"/>
            <family val="2"/>
          </rPr>
          <t xml:space="preserve">SOLD </t>
        </r>
        <r>
          <rPr>
            <b/>
            <sz val="10"/>
            <color indexed="8"/>
            <rFont val="Calibri"/>
            <family val="2"/>
          </rPr>
          <t>» 72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T2 &amp; E25 &amp; P45</t>
        </r>
      </text>
    </comment>
    <comment ref="F90" authorId="0" shapeId="0" xr:uid="{2021A988-7A7A-4AC8-937B-EB66F3E23158}">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1" authorId="0" shapeId="0" xr:uid="{67F9EEF0-A76A-46A6-B10A-796C9CA5F719}">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52" authorId="0" shapeId="0" xr:uid="{7379158D-BEEB-40BC-A9B4-B85F21103B0E}">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T1</t>
        </r>
      </text>
    </comment>
    <comment ref="F195" authorId="0" shapeId="0" xr:uid="{2E03CF43-44AB-4ECC-B612-DA970979151C}">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T1</t>
        </r>
      </text>
    </comment>
    <comment ref="F214" authorId="0" shapeId="0" xr:uid="{DAAF862F-B818-49A7-B200-BD67A3D558D5}">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27.8%] - [</t>
        </r>
        <r>
          <rPr>
            <b/>
            <sz val="10"/>
            <color indexed="48"/>
            <rFont val="Calibri"/>
            <family val="2"/>
          </rPr>
          <t xml:space="preserve">SOLD </t>
        </r>
        <r>
          <rPr>
            <b/>
            <sz val="10"/>
            <color indexed="8"/>
            <rFont val="Calibri"/>
            <family val="2"/>
          </rPr>
          <t>» 50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E50</t>
        </r>
      </text>
    </comment>
    <comment ref="F237" authorId="0" shapeId="0" xr:uid="{37A7A101-95FB-41D3-A771-0521E7AB11BD}">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61" authorId="0" shapeId="0" xr:uid="{FF4AC7AF-4BC6-45F0-A2EA-3ABC5CA29F82}">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28.9%] - [</t>
        </r>
        <r>
          <rPr>
            <b/>
            <sz val="10"/>
            <color indexed="48"/>
            <rFont val="Calibri"/>
            <family val="2"/>
          </rPr>
          <t xml:space="preserve">SOLD </t>
        </r>
        <r>
          <rPr>
            <b/>
            <sz val="10"/>
            <color indexed="8"/>
            <rFont val="Calibri"/>
            <family val="2"/>
          </rPr>
          <t>» 52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T1 &amp; I1 &amp; P50</t>
        </r>
      </text>
    </comment>
    <comment ref="F301" authorId="0" shapeId="0" xr:uid="{43761DD3-065D-4A89-B109-35D79FA0DD51}">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S5</t>
        </r>
      </text>
    </comment>
    <comment ref="F341" authorId="0" shapeId="0" xr:uid="{05212A6F-1E8F-40C0-AA5E-2DD0E60D7AE0}">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T2</t>
        </r>
      </text>
    </comment>
    <comment ref="F358" authorId="0" shapeId="0" xr:uid="{908D3EB3-BBB9-4619-9891-B87D6AEF7300}">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36.1%] - [</t>
        </r>
        <r>
          <rPr>
            <b/>
            <sz val="10"/>
            <color indexed="48"/>
            <rFont val="Calibri"/>
            <family val="2"/>
          </rPr>
          <t xml:space="preserve">SOLD </t>
        </r>
        <r>
          <rPr>
            <b/>
            <sz val="10"/>
            <color indexed="8"/>
            <rFont val="Calibri"/>
            <family val="2"/>
          </rPr>
          <t>» 65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01-JUL]_x000D_
{</t>
        </r>
        <r>
          <rPr>
            <b/>
            <sz val="8.5"/>
            <color indexed="10"/>
            <rFont val="Calibri"/>
            <family val="2"/>
          </rPr>
          <t>CLASSES</t>
        </r>
        <r>
          <rPr>
            <b/>
            <sz val="8.5"/>
            <color indexed="8"/>
            <rFont val="Calibri"/>
            <family val="2"/>
          </rPr>
          <t>}_x000D_
E65</t>
        </r>
      </text>
    </comment>
    <comment ref="F381" authorId="0" shapeId="0" xr:uid="{F15DEEF2-61B1-4B5F-81CE-00DE9E1A975F}">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25.6%]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T1 &amp; E45</t>
        </r>
      </text>
    </comment>
    <comment ref="F405" authorId="0" shapeId="0" xr:uid="{E749148D-F47B-4E5A-A20D-AE9353F132EF}">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15.0%] - [</t>
        </r>
        <r>
          <rPr>
            <b/>
            <sz val="10"/>
            <color indexed="48"/>
            <rFont val="Calibri"/>
            <family val="2"/>
          </rPr>
          <t xml:space="preserve">SOLD </t>
        </r>
        <r>
          <rPr>
            <b/>
            <sz val="10"/>
            <color indexed="8"/>
            <rFont val="Calibri"/>
            <family val="2"/>
          </rPr>
          <t>» 27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11-AUG]_x000D_
{</t>
        </r>
        <r>
          <rPr>
            <b/>
            <sz val="8.5"/>
            <color indexed="10"/>
            <rFont val="Calibri"/>
            <family val="2"/>
          </rPr>
          <t>CLASSES</t>
        </r>
        <r>
          <rPr>
            <b/>
            <sz val="8.5"/>
            <color indexed="8"/>
            <rFont val="Calibri"/>
            <family val="2"/>
          </rPr>
          <t>}_x000D_
T2 &amp; E25</t>
        </r>
      </text>
    </comment>
    <comment ref="F437" authorId="0" shapeId="0" xr:uid="{CB2399FA-2315-4D1B-BD75-2F624E9B78F1}">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24.4%] - [</t>
        </r>
        <r>
          <rPr>
            <b/>
            <sz val="10"/>
            <color indexed="48"/>
            <rFont val="Calibri"/>
            <family val="2"/>
          </rPr>
          <t xml:space="preserve">SOLD </t>
        </r>
        <r>
          <rPr>
            <b/>
            <sz val="10"/>
            <color indexed="8"/>
            <rFont val="Calibri"/>
            <family val="2"/>
          </rPr>
          <t>» 44 PAX]</t>
        </r>
        <r>
          <rPr>
            <b/>
            <sz val="8.5"/>
            <color indexed="8"/>
            <rFont val="Calibri"/>
            <family val="2"/>
          </rPr>
          <t>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G5 &amp; S14 &amp; W15 &amp; T10</t>
        </r>
      </text>
    </comment>
    <comment ref="F468" authorId="0" shapeId="0" xr:uid="{69FC48BF-B843-4B05-A377-33EFCCD89288}">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T3</t>
        </r>
      </text>
    </comment>
    <comment ref="F486" authorId="0" shapeId="0" xr:uid="{DC77BC3E-9FC0-4B2D-A7D4-8C1729ABFA38}">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T1</t>
        </r>
      </text>
    </comment>
    <comment ref="F507" authorId="0" shapeId="0" xr:uid="{FD25392D-132E-49FA-A09A-11F021C38211}">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26" authorId="0" shapeId="0" xr:uid="{882D9412-E4B1-44E4-A0B4-87E2C07E4677}">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63" authorId="0" shapeId="0" xr:uid="{37F72956-B584-4EE2-9E70-B3490421C611}">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6" authorId="0" shapeId="0" xr:uid="{415CDC67-AF3B-4123-9676-6F2BC4FE1561}">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CCD3DF13-4EB5-4C1E-B940-EC742B3BF758}">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 authorId="0" shapeId="0" xr:uid="{3830F709-E452-419C-84A5-7774B61ACE45}">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 authorId="0" shapeId="0" xr:uid="{0E168956-1ED0-406A-A35F-1AF9B931D1FB}">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40.0%] - [</t>
        </r>
        <r>
          <rPr>
            <b/>
            <sz val="10"/>
            <color indexed="48"/>
            <rFont val="Calibri"/>
            <family val="2"/>
          </rPr>
          <t xml:space="preserve">SOLD </t>
        </r>
        <r>
          <rPr>
            <b/>
            <sz val="10"/>
            <color indexed="8"/>
            <rFont val="Calibri"/>
            <family val="2"/>
          </rPr>
          <t>» 72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T2 &amp; E25 &amp; P45</t>
        </r>
      </text>
    </comment>
    <comment ref="F20" authorId="0" shapeId="0" xr:uid="{C9989404-2F30-4437-9DA9-A16FDFBC2661}">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1" authorId="0" shapeId="0" xr:uid="{4D2027B3-E725-49C3-94F2-ACC10EDFE309}">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0" authorId="0" shapeId="0" xr:uid="{9CE70B48-7D20-4F4A-807A-E0B89D8A8E68}">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T1</t>
        </r>
      </text>
    </comment>
    <comment ref="F59" authorId="0" shapeId="0" xr:uid="{A198D753-EEB1-4FAE-9B86-DEFBF69FC90F}">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T1</t>
        </r>
      </text>
    </comment>
    <comment ref="F60" authorId="0" shapeId="0" xr:uid="{AB9D7C39-B289-4AC6-ACED-007A617B0CF8}">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27.8%] - [</t>
        </r>
        <r>
          <rPr>
            <b/>
            <sz val="10"/>
            <color indexed="48"/>
            <rFont val="Calibri"/>
            <family val="2"/>
          </rPr>
          <t xml:space="preserve">SOLD </t>
        </r>
        <r>
          <rPr>
            <b/>
            <sz val="10"/>
            <color indexed="8"/>
            <rFont val="Calibri"/>
            <family val="2"/>
          </rPr>
          <t>» 50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E50</t>
        </r>
      </text>
    </comment>
    <comment ref="F61" authorId="0" shapeId="0" xr:uid="{4D2F3CC4-D2AF-4423-88ED-4CF77FCF6757}">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2" authorId="0" shapeId="0" xr:uid="{A3F78D2D-5F83-4FD7-8AB8-BECE25E9F2F4}">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28.9%] - [</t>
        </r>
        <r>
          <rPr>
            <b/>
            <sz val="10"/>
            <color indexed="48"/>
            <rFont val="Calibri"/>
            <family val="2"/>
          </rPr>
          <t xml:space="preserve">SOLD </t>
        </r>
        <r>
          <rPr>
            <b/>
            <sz val="10"/>
            <color indexed="8"/>
            <rFont val="Calibri"/>
            <family val="2"/>
          </rPr>
          <t>» 52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T1 &amp; I1 &amp; P50</t>
        </r>
      </text>
    </comment>
    <comment ref="F80" authorId="0" shapeId="0" xr:uid="{6505C85D-5EC3-4212-8D57-2C9A68CA0F67}">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S5</t>
        </r>
      </text>
    </comment>
    <comment ref="F97" authorId="0" shapeId="0" xr:uid="{DE1A0E67-0E6B-4601-87A3-82A3770FFA5D}">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T2</t>
        </r>
      </text>
    </comment>
    <comment ref="F98" authorId="0" shapeId="0" xr:uid="{90B9AD68-1CE8-4B29-AFD5-39DD3FCF9D05}">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36.1%] - [</t>
        </r>
        <r>
          <rPr>
            <b/>
            <sz val="10"/>
            <color indexed="48"/>
            <rFont val="Calibri"/>
            <family val="2"/>
          </rPr>
          <t xml:space="preserve">SOLD </t>
        </r>
        <r>
          <rPr>
            <b/>
            <sz val="10"/>
            <color indexed="8"/>
            <rFont val="Calibri"/>
            <family val="2"/>
          </rPr>
          <t>» 65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01-JUL]_x000D_
{</t>
        </r>
        <r>
          <rPr>
            <b/>
            <sz val="8.5"/>
            <color indexed="10"/>
            <rFont val="Calibri"/>
            <family val="2"/>
          </rPr>
          <t>CLASSES</t>
        </r>
        <r>
          <rPr>
            <b/>
            <sz val="8.5"/>
            <color indexed="8"/>
            <rFont val="Calibri"/>
            <family val="2"/>
          </rPr>
          <t>}_x000D_
E65</t>
        </r>
      </text>
    </comment>
    <comment ref="F101" authorId="0" shapeId="0" xr:uid="{AE13E911-DF49-48EF-9246-009F1571464F}">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25.6%]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T1 &amp; E45</t>
        </r>
      </text>
    </comment>
    <comment ref="F102" authorId="0" shapeId="0" xr:uid="{B77F41C0-BCE5-4362-BB6E-50510DC94956}">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15.0%] - [</t>
        </r>
        <r>
          <rPr>
            <b/>
            <sz val="10"/>
            <color indexed="48"/>
            <rFont val="Calibri"/>
            <family val="2"/>
          </rPr>
          <t xml:space="preserve">SOLD </t>
        </r>
        <r>
          <rPr>
            <b/>
            <sz val="10"/>
            <color indexed="8"/>
            <rFont val="Calibri"/>
            <family val="2"/>
          </rPr>
          <t>» 27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11-AUG]_x000D_
{</t>
        </r>
        <r>
          <rPr>
            <b/>
            <sz val="8.5"/>
            <color indexed="10"/>
            <rFont val="Calibri"/>
            <family val="2"/>
          </rPr>
          <t>CLASSES</t>
        </r>
        <r>
          <rPr>
            <b/>
            <sz val="8.5"/>
            <color indexed="8"/>
            <rFont val="Calibri"/>
            <family val="2"/>
          </rPr>
          <t>}_x000D_
T2 &amp; E25</t>
        </r>
      </text>
    </comment>
    <comment ref="F117" authorId="0" shapeId="0" xr:uid="{264C03AB-A692-454F-A5B7-73CB5DC930BB}">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24.4%] - [</t>
        </r>
        <r>
          <rPr>
            <b/>
            <sz val="10"/>
            <color indexed="48"/>
            <rFont val="Calibri"/>
            <family val="2"/>
          </rPr>
          <t xml:space="preserve">SOLD </t>
        </r>
        <r>
          <rPr>
            <b/>
            <sz val="10"/>
            <color indexed="8"/>
            <rFont val="Calibri"/>
            <family val="2"/>
          </rPr>
          <t>» 44 PAX]</t>
        </r>
        <r>
          <rPr>
            <b/>
            <sz val="8.5"/>
            <color indexed="8"/>
            <rFont val="Calibri"/>
            <family val="2"/>
          </rPr>
          <t>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G5 &amp; S14 &amp; W15 &amp; T10</t>
        </r>
      </text>
    </comment>
    <comment ref="F133" authorId="0" shapeId="0" xr:uid="{3B85A402-3A5F-47CB-8201-B99A8809917D}">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T3</t>
        </r>
      </text>
    </comment>
    <comment ref="F134" authorId="0" shapeId="0" xr:uid="{29D9C14D-7EA4-43FA-B1A3-686A137838CE}">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T1</t>
        </r>
      </text>
    </comment>
    <comment ref="F135" authorId="0" shapeId="0" xr:uid="{637142BC-B08B-4EC2-A544-E12F27989B21}">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36" authorId="0" shapeId="0" xr:uid="{B9316F18-0E4D-4DF5-9EF5-B01664E550ED}">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53" authorId="0" shapeId="0" xr:uid="{626A8E6A-1A62-4135-B473-D4EA99FDE8EE}">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9" authorId="0" shapeId="0" xr:uid="{A032836A-746E-4A19-9616-A356953A06F7}">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3B21B82B-C14D-4EEC-B725-650927FB2438}">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T3</t>
        </r>
      </text>
    </comment>
    <comment ref="F38" authorId="0" shapeId="0" xr:uid="{F742E288-2824-4A81-AAD7-3E43B07D654F}">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2" authorId="0" shapeId="0" xr:uid="{85DC5DCB-E789-451B-9DE7-7C677152C408}">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T2 &amp; X9</t>
        </r>
      </text>
    </comment>
    <comment ref="F74" authorId="0" shapeId="0" xr:uid="{C3460D93-F8EC-4743-B318-5E839E401C74}">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26.7%] - [</t>
        </r>
        <r>
          <rPr>
            <b/>
            <sz val="10"/>
            <color indexed="48"/>
            <rFont val="Calibri"/>
            <family val="2"/>
          </rPr>
          <t xml:space="preserve">SOLD </t>
        </r>
        <r>
          <rPr>
            <b/>
            <sz val="10"/>
            <color indexed="8"/>
            <rFont val="Calibri"/>
            <family val="2"/>
          </rPr>
          <t>» 48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T3 &amp; P45</t>
        </r>
      </text>
    </comment>
    <comment ref="F86" authorId="0" shapeId="0" xr:uid="{271B56DD-CDA4-4559-A629-2E0E2DAB1BF9}">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26.1%] - [</t>
        </r>
        <r>
          <rPr>
            <b/>
            <sz val="10"/>
            <color indexed="48"/>
            <rFont val="Calibri"/>
            <family val="2"/>
          </rPr>
          <t xml:space="preserve">SOLD </t>
        </r>
        <r>
          <rPr>
            <b/>
            <sz val="10"/>
            <color indexed="8"/>
            <rFont val="Calibri"/>
            <family val="2"/>
          </rPr>
          <t>» 47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T2 &amp; P45</t>
        </r>
      </text>
    </comment>
    <comment ref="F121" authorId="0" shapeId="0" xr:uid="{22511001-6A36-4DFD-8BBC-0D55DCDD1169}">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13-OCT]_x000D_
{</t>
        </r>
        <r>
          <rPr>
            <b/>
            <sz val="8.5"/>
            <color indexed="10"/>
            <rFont val="Calibri"/>
            <family val="2"/>
          </rPr>
          <t>CLASSES</t>
        </r>
        <r>
          <rPr>
            <b/>
            <sz val="8.5"/>
            <color indexed="8"/>
            <rFont val="Calibri"/>
            <family val="2"/>
          </rPr>
          <t>}_x000D_
T1</t>
        </r>
      </text>
    </comment>
    <comment ref="F145" authorId="0" shapeId="0" xr:uid="{7B8C7935-1E92-44F0-A148-355BAE6DF3F3}">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57" authorId="0" shapeId="0" xr:uid="{02240E54-FC07-46CC-9660-977E28BA5AAF}">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9" authorId="0" shapeId="0" xr:uid="{4DCAEE82-37B2-4B65-897E-A074C23F4F84}">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T1</t>
        </r>
      </text>
    </comment>
    <comment ref="F204" authorId="0" shapeId="0" xr:uid="{8E1AC6E3-7755-4982-B5A3-677FB665C76E}">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T3</t>
        </r>
      </text>
    </comment>
    <comment ref="F228" authorId="0" shapeId="0" xr:uid="{2FADD704-3FCA-4278-AC8C-743CF3B43BAD}">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T2 &amp; X9</t>
        </r>
      </text>
    </comment>
    <comment ref="F240" authorId="0" shapeId="0" xr:uid="{7B2628BC-2B2B-4B68-9E7F-CE37545D394B}">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X7</t>
        </r>
      </text>
    </comment>
    <comment ref="F252" authorId="0" shapeId="0" xr:uid="{62783A69-96A5-4303-803E-195237529568}">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X9</t>
        </r>
      </text>
    </comment>
    <comment ref="F286" authorId="0" shapeId="0" xr:uid="{DBAF79F5-3B48-4185-ACC7-C300FB04534F}">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t>
        </r>
      </text>
    </comment>
    <comment ref="F309" authorId="0" shapeId="0" xr:uid="{4E181DB7-744A-495C-BF5D-5065E8555E88}">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X6</t>
        </r>
      </text>
    </comment>
    <comment ref="F321" authorId="0" shapeId="0" xr:uid="{84D01EF5-F4B9-42C0-8474-C43E15D3E10D}">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X4</t>
        </r>
      </text>
    </comment>
    <comment ref="F333" authorId="0" shapeId="0" xr:uid="{E960721E-0437-4756-86CA-602F4251B9A0}">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12.8%] - [</t>
        </r>
        <r>
          <rPr>
            <b/>
            <sz val="10"/>
            <color indexed="48"/>
            <rFont val="Calibri"/>
            <family val="2"/>
          </rPr>
          <t xml:space="preserve">SOLD </t>
        </r>
        <r>
          <rPr>
            <b/>
            <sz val="10"/>
            <color indexed="8"/>
            <rFont val="Calibri"/>
            <family val="2"/>
          </rPr>
          <t>» 23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S8 &amp; W2 &amp; T4 &amp; X9</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4" authorId="0" shapeId="0" xr:uid="{7F3A3584-EEE7-46E4-B91F-7DBC859292A2}">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I1</t>
        </r>
      </text>
    </comment>
    <comment ref="F47" authorId="0" shapeId="0" xr:uid="{8F517257-1CF3-4451-BCC5-367C768F5EF4}">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X6</t>
        </r>
      </text>
    </comment>
    <comment ref="F59" authorId="0" shapeId="0" xr:uid="{DF6AB769-0C11-48E0-8F08-6DCB316966FE}">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1" authorId="0" shapeId="0" xr:uid="{75FC4257-2409-4BD7-850A-6A42B288761C}">
      <text>
        <r>
          <rPr>
            <b/>
            <sz val="10"/>
            <color indexed="8"/>
            <rFont val="Calibri"/>
            <family val="2"/>
          </rPr>
          <t>-{ SM489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Y1 &amp; X3</t>
        </r>
      </text>
    </comment>
    <comment ref="F105" authorId="0" shapeId="0" xr:uid="{D1B8C12B-8846-4044-9AF3-2C17BFA3127D}">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X1</t>
        </r>
      </text>
    </comment>
    <comment ref="F128" authorId="0" shapeId="0" xr:uid="{8C83154E-9852-4C3A-ACBD-1B7EC258A2CA}">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X2</t>
        </r>
      </text>
    </comment>
    <comment ref="F140" authorId="0" shapeId="0" xr:uid="{A4F670D7-BC8D-42C4-B82E-2CE20F276203}">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16-OCT]_x000D_
{</t>
        </r>
        <r>
          <rPr>
            <b/>
            <sz val="8.5"/>
            <color indexed="10"/>
            <rFont val="Calibri"/>
            <family val="2"/>
          </rPr>
          <t>CLASSES</t>
        </r>
        <r>
          <rPr>
            <b/>
            <sz val="8.5"/>
            <color indexed="8"/>
            <rFont val="Calibri"/>
            <family val="2"/>
          </rPr>
          <t>}_x000D_
X2</t>
        </r>
      </text>
    </comment>
    <comment ref="F152" authorId="0" shapeId="0" xr:uid="{7F716F1E-450B-4994-B330-31D5E1024365}">
      <text>
        <r>
          <rPr>
            <b/>
            <sz val="10"/>
            <color indexed="8"/>
            <rFont val="Calibri"/>
            <family val="2"/>
          </rPr>
          <t>-{ SM489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21-OCT]_x000D_
{</t>
        </r>
        <r>
          <rPr>
            <b/>
            <sz val="8.5"/>
            <color indexed="10"/>
            <rFont val="Calibri"/>
            <family val="2"/>
          </rPr>
          <t>CLASSES</t>
        </r>
        <r>
          <rPr>
            <b/>
            <sz val="8.5"/>
            <color indexed="8"/>
            <rFont val="Calibri"/>
            <family val="2"/>
          </rPr>
          <t>}_x000D_
X3</t>
        </r>
      </text>
    </comment>
    <comment ref="F186" authorId="0" shapeId="0" xr:uid="{6F232ED3-4834-4F37-9845-A523B19F7939}">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X4</t>
        </r>
      </text>
    </comment>
    <comment ref="F209" authorId="0" shapeId="0" xr:uid="{5D226793-6F64-44E1-A7DE-CE2B15CAB440}">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21" authorId="0" shapeId="0" xr:uid="{07BAD9F3-50AA-4D08-9EA5-D3F323F9F077}">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33" authorId="0" shapeId="0" xr:uid="{AC529D6D-9D6A-44EC-9C6E-144C2C1E8FFE}">
      <text>
        <r>
          <rPr>
            <b/>
            <sz val="10"/>
            <color indexed="8"/>
            <rFont val="Calibri"/>
            <family val="2"/>
          </rPr>
          <t>-{ SM489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I1</t>
        </r>
      </text>
    </comment>
    <comment ref="F267" authorId="0" shapeId="0" xr:uid="{6E32328E-7EC1-42C9-A256-2E3B66ECC349}">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X2</t>
        </r>
      </text>
    </comment>
    <comment ref="F290" authorId="0" shapeId="0" xr:uid="{08810E6B-4340-4DB1-8460-DA04EFE5FED2}">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X1</t>
        </r>
      </text>
    </comment>
    <comment ref="F302" authorId="0" shapeId="0" xr:uid="{B060EC25-0297-4AEB-A070-1E771EEDF545}">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X1</t>
        </r>
      </text>
    </comment>
    <comment ref="F314" authorId="0" shapeId="0" xr:uid="{AA4E82A2-E716-4B32-ACBC-777EE31C4BC0}">
      <text>
        <r>
          <rPr>
            <b/>
            <sz val="10"/>
            <color indexed="8"/>
            <rFont val="Calibri"/>
            <family val="2"/>
          </rPr>
          <t>-{ SM489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X1</t>
        </r>
      </text>
    </comment>
    <comment ref="F348" authorId="0" shapeId="0" xr:uid="{71E84C72-4F25-40CF-B535-0DD51563FE97}">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 &amp; I1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2" authorId="0" shapeId="0" xr:uid="{623957CE-DBFD-41A8-BD11-EE08E43EC6D7}">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2.1%]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U4</t>
        </r>
      </text>
    </comment>
    <comment ref="F26" authorId="0" shapeId="0" xr:uid="{BEAA67C3-A41B-4C92-96B7-AAAE0A126DCA}">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 authorId="0" shapeId="0" xr:uid="{5074984F-13B8-417F-804D-8BB0BABA498E}">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I7</t>
        </r>
      </text>
    </comment>
    <comment ref="F28" authorId="0" shapeId="0" xr:uid="{3A2322E4-6DBD-4681-8CE4-4609994AA206}">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I9</t>
        </r>
      </text>
    </comment>
    <comment ref="F29" authorId="0" shapeId="0" xr:uid="{B4080072-00D5-4BFE-BE53-8E0A6B3F9BE8}">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I9</t>
        </r>
      </text>
    </comment>
    <comment ref="F30" authorId="0" shapeId="0" xr:uid="{6F7ECEE5-01E0-4B18-A055-B6004C61D1DB}">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28-SEP]_x000D_
{</t>
        </r>
        <r>
          <rPr>
            <b/>
            <sz val="8.5"/>
            <color indexed="10"/>
            <rFont val="Calibri"/>
            <family val="2"/>
          </rPr>
          <t>CLASSES</t>
        </r>
        <r>
          <rPr>
            <b/>
            <sz val="8.5"/>
            <color indexed="8"/>
            <rFont val="Calibri"/>
            <family val="2"/>
          </rPr>
          <t>}_x000D_
V4 &amp; I10</t>
        </r>
      </text>
    </comment>
    <comment ref="F84" authorId="0" shapeId="0" xr:uid="{83D25FEA-94CC-4979-B345-529449F130A0}">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U5</t>
        </r>
      </text>
    </comment>
    <comment ref="F85" authorId="0" shapeId="0" xr:uid="{6736AC78-4FD1-4A07-BF90-27B84803C8D1}">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U1</t>
        </r>
      </text>
    </comment>
    <comment ref="F86" authorId="0" shapeId="0" xr:uid="{38DA5B51-4756-463F-9011-FD46964742E3}">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U5</t>
        </r>
      </text>
    </comment>
    <comment ref="F93" authorId="0" shapeId="0" xr:uid="{1FD555AB-C951-423E-9FF0-CFBC53FE523D}">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X4 &amp; U6</t>
        </r>
      </text>
    </comment>
    <comment ref="F94" authorId="0" shapeId="0" xr:uid="{A27A50F8-0CBE-4722-8127-236FA551EB5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U6</t>
        </r>
      </text>
    </comment>
    <comment ref="F149" authorId="0" shapeId="0" xr:uid="{3C6FE8DA-0FD9-4CFE-9123-332AA9FEE624}">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 &amp; U3</t>
        </r>
      </text>
    </comment>
    <comment ref="F154" authorId="0" shapeId="0" xr:uid="{B7EC46CA-4A13-4097-99AE-01BB17DA5793}">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X2 &amp; U8</t>
        </r>
      </text>
    </comment>
    <comment ref="F155" authorId="0" shapeId="0" xr:uid="{C02FBD97-D4C9-42DD-9576-BAB363816EF2}">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U6</t>
        </r>
      </text>
    </comment>
    <comment ref="F174" authorId="0" shapeId="0" xr:uid="{D6802596-1DF4-4842-8D48-D8E7A0242887}">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S1 &amp; X7 &amp; U6</t>
        </r>
      </text>
    </comment>
    <comment ref="F234" authorId="0" shapeId="0" xr:uid="{A5076A6D-5FEE-428E-9AC3-859BB0D1661B}">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35" authorId="0" shapeId="0" xr:uid="{743C00B8-77BE-4DCD-88FF-D960A3F531B6}">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U2</t>
        </r>
      </text>
    </comment>
    <comment ref="F236" authorId="0" shapeId="0" xr:uid="{1392AA35-9146-4E2E-82A6-B60F6B2495F9}">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t>
        </r>
      </text>
    </comment>
    <comment ref="F237" authorId="0" shapeId="0" xr:uid="{2C367C80-27E2-473F-A675-4AA39DA49129}">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U4</t>
        </r>
      </text>
    </comment>
    <comment ref="F247" authorId="0" shapeId="0" xr:uid="{EF71E180-F029-4153-A2E8-FF2A69BE1FD7}">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S2 &amp; X1 &amp; O1 &amp; I2</t>
        </r>
      </text>
    </comment>
    <comment ref="F313" authorId="0" shapeId="0" xr:uid="{7E4D03A1-A4E2-4D1E-A72F-D596C0EE724B}">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U5</t>
        </r>
      </text>
    </comment>
    <comment ref="F314" authorId="0" shapeId="0" xr:uid="{0C9DFDFA-7ED5-43B8-AD86-513FE90946F4}">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U5</t>
        </r>
      </text>
    </comment>
    <comment ref="F332" authorId="0" shapeId="0" xr:uid="{D340FE50-140C-46D8-BCE8-D89C92FAFDA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12.2%]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T9 &amp; X9 &amp; U4</t>
        </r>
      </text>
    </comment>
    <comment ref="F380" authorId="0" shapeId="0" xr:uid="{5623E9B8-84A2-4527-8884-751526D4B2D2}">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19-OCT]_x000D_
{</t>
        </r>
        <r>
          <rPr>
            <b/>
            <sz val="8.5"/>
            <color indexed="10"/>
            <rFont val="Calibri"/>
            <family val="2"/>
          </rPr>
          <t>CLASSES</t>
        </r>
        <r>
          <rPr>
            <b/>
            <sz val="8.5"/>
            <color indexed="8"/>
            <rFont val="Calibri"/>
            <family val="2"/>
          </rPr>
          <t>}_x000D_
U2</t>
        </r>
      </text>
    </comment>
    <comment ref="F381" authorId="0" shapeId="0" xr:uid="{6CC19E0C-1981-4254-B2EC-9E92D3CAD9D0}">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82" authorId="0" shapeId="0" xr:uid="{D2EB0DEE-A971-4A93-B5E8-1174D5B38E66}">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U1</t>
        </r>
      </text>
    </comment>
    <comment ref="F383" authorId="0" shapeId="0" xr:uid="{ED161CB0-D1B4-4B92-9D5F-726A677B4C0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84" authorId="0" shapeId="0" xr:uid="{ACE65565-B189-4EFC-9B60-70985E6FBE45}">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10-OCT]_x000D_
{</t>
        </r>
        <r>
          <rPr>
            <b/>
            <sz val="8.5"/>
            <color indexed="10"/>
            <rFont val="Calibri"/>
            <family val="2"/>
          </rPr>
          <t>CLASSES</t>
        </r>
        <r>
          <rPr>
            <b/>
            <sz val="8.5"/>
            <color indexed="8"/>
            <rFont val="Calibri"/>
            <family val="2"/>
          </rPr>
          <t>}_x000D_
U1</t>
        </r>
      </text>
    </comment>
    <comment ref="F397" authorId="0" shapeId="0" xr:uid="{E6ADD0C4-892C-4574-A30B-69BDACA50072}">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U6</t>
        </r>
      </text>
    </comment>
    <comment ref="F455" authorId="0" shapeId="0" xr:uid="{1778232A-A621-4A39-96E6-FAA1E1BEEE6B}">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T4 &amp; U5</t>
        </r>
      </text>
    </comment>
    <comment ref="F456" authorId="0" shapeId="0" xr:uid="{8D6C8AB5-CF89-4A57-8604-95B40E9399AE}">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05-OCT]_x000D_
{</t>
        </r>
        <r>
          <rPr>
            <b/>
            <sz val="8.5"/>
            <color indexed="10"/>
            <rFont val="Calibri"/>
            <family val="2"/>
          </rPr>
          <t>CLASSES</t>
        </r>
        <r>
          <rPr>
            <b/>
            <sz val="8.5"/>
            <color indexed="8"/>
            <rFont val="Calibri"/>
            <family val="2"/>
          </rPr>
          <t>}_x000D_
U1</t>
        </r>
      </text>
    </comment>
    <comment ref="F457" authorId="0" shapeId="0" xr:uid="{FA4CBFFF-6BA0-4C47-B6D4-CC04CBCCF884}">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U2</t>
        </r>
      </text>
    </comment>
    <comment ref="F458" authorId="0" shapeId="0" xr:uid="{95861F0B-DBF6-4044-A9ED-F5ED29F0FB01}">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U2</t>
        </r>
      </text>
    </comment>
    <comment ref="F459" authorId="0" shapeId="0" xr:uid="{7781D409-EF7D-4A7E-977F-028547BDB65A}">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U3</t>
        </r>
      </text>
    </comment>
    <comment ref="F524" authorId="0" shapeId="0" xr:uid="{CCA420AE-1E19-47B4-805A-F2E28F4E18A7}">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25" authorId="0" shapeId="0" xr:uid="{096C2ACE-CF22-444C-AC2D-FC798FAF0897}">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26" authorId="0" shapeId="0" xr:uid="{9B022088-7E52-4DFD-8061-23BC4308CE9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27" authorId="0" shapeId="0" xr:uid="{4CD5FED7-D004-4570-B04B-2E0179670CB6}">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U3</t>
        </r>
      </text>
    </comment>
    <comment ref="F528" authorId="0" shapeId="0" xr:uid="{585E7E8E-42D3-4DDC-9DFF-A6F63559D9CA}">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U5</t>
        </r>
      </text>
    </comment>
    <comment ref="F539" authorId="0" shapeId="0" xr:uid="{31F2C2CA-5BB2-44AD-AF3B-0267E3DAD7C1}">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X3</t>
        </r>
      </text>
    </comment>
    <comment ref="F596" authorId="0" shapeId="0" xr:uid="{A49A3F97-C279-4DE5-9AA8-306EC80B389C}">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U5</t>
        </r>
      </text>
    </comment>
    <comment ref="F597" authorId="0" shapeId="0" xr:uid="{17228FB2-1782-4532-AFEF-B52A13B6640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U3</t>
        </r>
      </text>
    </comment>
    <comment ref="F598" authorId="0" shapeId="0" xr:uid="{9583A51B-FEC7-4E5F-BBD6-7FE7EAA560EE}">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9" authorId="0" shapeId="0" xr:uid="{FC3C2CC3-A58E-48A5-9949-8DA2228E1CF3}">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U3</t>
        </r>
      </text>
    </comment>
    <comment ref="F607" authorId="0" shapeId="0" xr:uid="{85B7B660-0DDD-40E2-9E1C-AE50451C904D}">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t>
        </r>
      </text>
    </comment>
    <comment ref="F670" authorId="0" shapeId="0" xr:uid="{F666EF22-0E2B-4D4F-BA79-E4D300F3A27F}">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X2 &amp; U3</t>
        </r>
      </text>
    </comment>
    <comment ref="F671" authorId="0" shapeId="0" xr:uid="{C182067B-FF96-42BB-98E6-3EBF70A4B57A}">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U2</t>
        </r>
      </text>
    </comment>
    <comment ref="F672" authorId="0" shapeId="0" xr:uid="{5F9DFC63-D364-46A5-A589-3A63403A343E}">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U5</t>
        </r>
      </text>
    </comment>
    <comment ref="F678" authorId="0" shapeId="0" xr:uid="{3598041E-D7C2-43C5-B11C-5C6F36A90665}">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U6</t>
        </r>
      </text>
    </comment>
    <comment ref="F743" authorId="0" shapeId="0" xr:uid="{A5199DBF-B4D5-4CA2-93F7-51BF714F08D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06-OCT]_x000D_
{</t>
        </r>
        <r>
          <rPr>
            <b/>
            <sz val="8.5"/>
            <color indexed="10"/>
            <rFont val="Calibri"/>
            <family val="2"/>
          </rPr>
          <t>CLASSES</t>
        </r>
        <r>
          <rPr>
            <b/>
            <sz val="8.5"/>
            <color indexed="8"/>
            <rFont val="Calibri"/>
            <family val="2"/>
          </rPr>
          <t>}_x000D_
U1</t>
        </r>
      </text>
    </comment>
    <comment ref="F744" authorId="0" shapeId="0" xr:uid="{F3E8A906-40F4-49C9-BD56-E290D2C4E701}">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26.7%] - [</t>
        </r>
        <r>
          <rPr>
            <b/>
            <sz val="10"/>
            <color indexed="48"/>
            <rFont val="Calibri"/>
            <family val="2"/>
          </rPr>
          <t xml:space="preserve">SOLD </t>
        </r>
        <r>
          <rPr>
            <b/>
            <sz val="10"/>
            <color indexed="8"/>
            <rFont val="Calibri"/>
            <family val="2"/>
          </rPr>
          <t>» 48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P45</t>
        </r>
      </text>
    </comment>
    <comment ref="F745" authorId="0" shapeId="0" xr:uid="{D844491E-A2D1-4225-B53E-FB456D89C390}">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U1</t>
        </r>
      </text>
    </comment>
    <comment ref="F746" authorId="0" shapeId="0" xr:uid="{9C7764D5-5253-47A9-BC58-8A16E5C6F830}">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U3</t>
        </r>
      </text>
    </comment>
    <comment ref="F755" authorId="0" shapeId="0" xr:uid="{0DD34F56-4922-4529-A1CA-B9D71F105645}">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816" authorId="0" shapeId="0" xr:uid="{82FE715B-8143-4243-9CEE-23B55EF0326B}">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U1</t>
        </r>
      </text>
    </comment>
    <comment ref="F817" authorId="0" shapeId="0" xr:uid="{8C41945F-AF12-44B3-9585-B064A481FDB4}">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U2</t>
        </r>
      </text>
    </comment>
    <comment ref="F818" authorId="0" shapeId="0" xr:uid="{BD9409BC-B491-4D80-BD44-24A44040B6B5}">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U2</t>
        </r>
      </text>
    </comment>
    <comment ref="F887" authorId="0" shapeId="0" xr:uid="{658756AD-4C88-4F85-816C-B92C88B70A3F}">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S1</t>
        </r>
      </text>
    </comment>
    <comment ref="F888" authorId="0" shapeId="0" xr:uid="{0AC1C53D-66A4-48C6-8B46-2E56FD0D4D87}">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S1</t>
        </r>
      </text>
    </comment>
    <comment ref="F889" authorId="0" shapeId="0" xr:uid="{DF341E01-D30A-44A0-9F1F-E17A027D7430}">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U3</t>
        </r>
      </text>
    </comment>
    <comment ref="F890" authorId="0" shapeId="0" xr:uid="{0A0012D5-6535-42BD-9D84-DBC2B0B1194B}">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U4</t>
        </r>
      </text>
    </comment>
    <comment ref="F891" authorId="0" shapeId="0" xr:uid="{6C7C4902-658C-4F19-A8C3-A99F69FF7E0E}">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02" authorId="0" shapeId="0" xr:uid="{0542B3D7-42D5-45C1-8C7B-E4936E3486A6}">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U6</t>
        </r>
      </text>
    </comment>
    <comment ref="F959" authorId="0" shapeId="0" xr:uid="{ABB45306-7E01-4878-90D2-B1FA86C3C32D}">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60" authorId="0" shapeId="0" xr:uid="{AE3F1B49-6659-44D5-98D9-354E3C61EA2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61" authorId="0" shapeId="0" xr:uid="{F8EC9989-46BE-487D-9958-DF04D6E57B21}">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U3</t>
        </r>
      </text>
    </comment>
    <comment ref="F962" authorId="0" shapeId="0" xr:uid="{B9DDEF20-F9F7-4E8E-ABFF-4D57CDD27AAD}">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73" authorId="0" shapeId="0" xr:uid="{8828F25D-4BE3-4228-B8B4-E6F72B9AA24F}">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X1 &amp; U7</t>
        </r>
      </text>
    </comment>
    <comment ref="F1029" authorId="0" shapeId="0" xr:uid="{BCB28115-206E-4374-BF2D-B53FB75B5AA2}">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S1 &amp; U5</t>
        </r>
      </text>
    </comment>
    <comment ref="F1036" authorId="0" shapeId="0" xr:uid="{F7BC53BC-20D5-49B4-B823-D0F4A64F39CA}">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37" authorId="0" shapeId="0" xr:uid="{DB486AA8-530F-4777-B7E9-3E2C8B0B4B95}">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U6</t>
        </r>
      </text>
    </comment>
    <comment ref="F1038" authorId="0" shapeId="0" xr:uid="{4710FFD6-8B8E-4B8B-91C2-CAEF11BFB9A2}">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t>
        </r>
      </text>
    </comment>
    <comment ref="F1039" authorId="0" shapeId="0" xr:uid="{9051F0F6-E56A-48B1-9801-CC0D4549DC5F}">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U8</t>
        </r>
      </text>
    </comment>
    <comment ref="F1049" authorId="0" shapeId="0" xr:uid="{DE2E645B-DE33-4AAD-B15F-1BC201FA7614}">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9.4%]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T4 &amp; X7 &amp; U6</t>
        </r>
      </text>
    </comment>
    <comment ref="F1106" authorId="0" shapeId="0" xr:uid="{166F193B-53CF-4064-8353-EE103CCCC861}">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X1 &amp; U10</t>
        </r>
      </text>
    </comment>
    <comment ref="F1107" authorId="0" shapeId="0" xr:uid="{465460D7-92AE-411B-9B14-0B210F53850D}">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X6 &amp; U6</t>
        </r>
      </text>
    </comment>
    <comment ref="F1108" authorId="0" shapeId="0" xr:uid="{AAB810D9-6A44-4FB4-86F3-5CD0B022EDB1}">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U8</t>
        </r>
      </text>
    </comment>
    <comment ref="F1109" authorId="0" shapeId="0" xr:uid="{ED0FF313-D962-4D96-9B80-5A2332E05B57}">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X2 &amp; U9</t>
        </r>
      </text>
    </comment>
    <comment ref="F1114" authorId="0" shapeId="0" xr:uid="{15ABE104-B082-49DF-BE08-36F648EE6961}">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 - [</t>
        </r>
        <r>
          <rPr>
            <b/>
            <sz val="10"/>
            <color indexed="48"/>
            <rFont val="Calibri"/>
            <family val="2"/>
          </rPr>
          <t xml:space="preserve">SOLD </t>
        </r>
        <r>
          <rPr>
            <b/>
            <sz val="10"/>
            <color indexed="8"/>
            <rFont val="Calibri"/>
            <family val="2"/>
          </rPr>
          <t>» 18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T5 &amp; X3 &amp; U10</t>
        </r>
      </text>
    </comment>
    <comment ref="F1174" authorId="0" shapeId="0" xr:uid="{B4F86B58-4E2D-477F-AA50-123EDCBA62E5}">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33.9%]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T9 &amp; X4 &amp; U10 &amp; E40</t>
        </r>
      </text>
    </comment>
    <comment ref="F1175" authorId="0" shapeId="0" xr:uid="{2BB33C87-0D69-412E-B3A1-12F1DD160849}">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 - [</t>
        </r>
        <r>
          <rPr>
            <b/>
            <sz val="10"/>
            <color indexed="48"/>
            <rFont val="Calibri"/>
            <family val="2"/>
          </rPr>
          <t xml:space="preserve">SOLD </t>
        </r>
        <r>
          <rPr>
            <b/>
            <sz val="10"/>
            <color indexed="8"/>
            <rFont val="Calibri"/>
            <family val="2"/>
          </rPr>
          <t>» 18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T5 &amp; X3 &amp; U10</t>
        </r>
      </text>
    </comment>
    <comment ref="F1182" authorId="0" shapeId="0" xr:uid="{3A5337EA-4E5D-4199-9156-E7DCA933173D}">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17.8%] - [</t>
        </r>
        <r>
          <rPr>
            <b/>
            <sz val="10"/>
            <color indexed="48"/>
            <rFont val="Calibri"/>
            <family val="2"/>
          </rPr>
          <t xml:space="preserve">SOLD </t>
        </r>
        <r>
          <rPr>
            <b/>
            <sz val="10"/>
            <color indexed="8"/>
            <rFont val="Calibri"/>
            <family val="2"/>
          </rPr>
          <t>» 32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W4 &amp; T14 &amp; X2 &amp; U11</t>
        </r>
      </text>
    </comment>
    <comment ref="F1183" authorId="0" shapeId="0" xr:uid="{C064ACF7-33F4-4751-B87F-47FF09397F5A}">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20.0%] - [</t>
        </r>
        <r>
          <rPr>
            <b/>
            <sz val="10"/>
            <color indexed="48"/>
            <rFont val="Calibri"/>
            <family val="2"/>
          </rPr>
          <t xml:space="preserve">SOLD </t>
        </r>
        <r>
          <rPr>
            <b/>
            <sz val="10"/>
            <color indexed="8"/>
            <rFont val="Calibri"/>
            <family val="2"/>
          </rPr>
          <t>» 36 PAX]</t>
        </r>
        <r>
          <rPr>
            <b/>
            <sz val="8.5"/>
            <color indexed="8"/>
            <rFont val="Calibri"/>
            <family val="2"/>
          </rPr>
          <t>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W9 &amp; T14 &amp; X3 &amp; U10</t>
        </r>
      </text>
    </comment>
    <comment ref="F1240" authorId="0" shapeId="0" xr:uid="{098E9180-53BF-44CE-ACEC-C3F07FF15FCC}">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t>
        </r>
      </text>
    </comment>
    <comment ref="F1241" authorId="0" shapeId="0" xr:uid="{1F23E243-37AE-4AA4-871B-8B69C33D543A}">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18-OCT]_x000D_
{</t>
        </r>
        <r>
          <rPr>
            <b/>
            <sz val="8.5"/>
            <color indexed="10"/>
            <rFont val="Calibri"/>
            <family val="2"/>
          </rPr>
          <t>CLASSES</t>
        </r>
        <r>
          <rPr>
            <b/>
            <sz val="8.5"/>
            <color indexed="8"/>
            <rFont val="Calibri"/>
            <family val="2"/>
          </rPr>
          <t>}_x000D_
U6</t>
        </r>
      </text>
    </comment>
    <comment ref="F1242" authorId="0" shapeId="0" xr:uid="{7015669F-7ADB-4604-8712-FB3DFB5C0363}">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X4 &amp; U8</t>
        </r>
      </text>
    </comment>
    <comment ref="F1243" authorId="0" shapeId="0" xr:uid="{4A27486A-2A09-4B9F-8BD0-B2AD1E2A06C0}">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T6 &amp; X4 &amp; U6</t>
        </r>
      </text>
    </comment>
    <comment ref="F1252" authorId="0" shapeId="0" xr:uid="{770771F5-C5FC-4A5C-AAB6-BA0525A85022}">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X3 &amp; U10</t>
        </r>
      </text>
    </comment>
    <comment ref="F1303" authorId="0" shapeId="0" xr:uid="{B0F57DFD-7B75-41D6-8AD9-851989F0DE5B}">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U3</t>
        </r>
      </text>
    </comment>
    <comment ref="F1304" authorId="0" shapeId="0" xr:uid="{ECCCCF2E-4749-4C0B-B7F4-EBD962E5AB25}">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U4</t>
        </r>
      </text>
    </comment>
    <comment ref="F1311" authorId="0" shapeId="0" xr:uid="{7EF1D5E5-1BCB-4665-AB1F-D11ED2486F78}">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 &amp; U8</t>
        </r>
      </text>
    </comment>
    <comment ref="F1378" authorId="0" shapeId="0" xr:uid="{AB9DB6A0-598E-4A1C-A38C-B03273ABE6E0}">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U1</t>
        </r>
      </text>
    </comment>
    <comment ref="F1379" authorId="0" shapeId="0" xr:uid="{20B946A8-28F0-49D7-A3EE-E687F6C73819}">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S1 &amp; U4</t>
        </r>
      </text>
    </comment>
    <comment ref="F1380" authorId="0" shapeId="0" xr:uid="{EB41B4A9-75F9-4D41-9C42-6329A595D548}">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S1 &amp; U1</t>
        </r>
      </text>
    </comment>
    <comment ref="F1381" authorId="0" shapeId="0" xr:uid="{8C7D99FE-31A3-47F5-8F74-81F75FA565B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08-SEP]_x000D_
{</t>
        </r>
        <r>
          <rPr>
            <b/>
            <sz val="8.5"/>
            <color indexed="10"/>
            <rFont val="Calibri"/>
            <family val="2"/>
          </rPr>
          <t>CLASSES</t>
        </r>
        <r>
          <rPr>
            <b/>
            <sz val="8.5"/>
            <color indexed="8"/>
            <rFont val="Calibri"/>
            <family val="2"/>
          </rPr>
          <t>}_x000D_
U1</t>
        </r>
      </text>
    </comment>
    <comment ref="F1382" authorId="0" shapeId="0" xr:uid="{5A715BAE-4321-4690-9292-AD1A3B4F2906}">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U1</t>
        </r>
      </text>
    </comment>
    <comment ref="F1383" authorId="0" shapeId="0" xr:uid="{86465984-7EB8-4F43-B645-DC90B4BBC1F2}">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U2</t>
        </r>
      </text>
    </comment>
    <comment ref="F1453" authorId="0" shapeId="0" xr:uid="{F49B5721-6A8A-4405-8037-B547C3917836}">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54" authorId="0" shapeId="0" xr:uid="{7909C783-72DC-428B-9FF8-8BE953904B7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55" authorId="0" shapeId="0" xr:uid="{2408CA2C-9474-4C4B-98C3-7A88F09558D2}">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U5</t>
        </r>
      </text>
    </comment>
    <comment ref="F1456" authorId="0" shapeId="0" xr:uid="{CAF4AF13-135D-4002-A036-F6B6ECF74481}">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62" authorId="0" shapeId="0" xr:uid="{530905A5-9B77-4A4C-B084-63A998432723}">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X4 &amp; U6</t>
        </r>
      </text>
    </comment>
    <comment ref="F1528" authorId="0" shapeId="0" xr:uid="{2B5B317A-F35C-47FF-BA42-1537E6FCE7B7}">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S1 &amp; X6</t>
        </r>
      </text>
    </comment>
    <comment ref="F1529" authorId="0" shapeId="0" xr:uid="{1724A5A8-6826-4EFE-AC29-D7CD18E2E99E}">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X4 &amp; U6</t>
        </r>
      </text>
    </comment>
    <comment ref="F1530" authorId="0" shapeId="0" xr:uid="{12549595-AD3D-4117-91F0-6C65EE51D885}">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X2 &amp; U8</t>
        </r>
      </text>
    </comment>
    <comment ref="F1531" authorId="0" shapeId="0" xr:uid="{F8525AC5-8D04-476F-897B-C8F55E302415}">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X4 &amp; U7</t>
        </r>
      </text>
    </comment>
    <comment ref="F1539" authorId="0" shapeId="0" xr:uid="{799F4668-1795-446F-940E-A43833794C55}">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21.7%] - [</t>
        </r>
        <r>
          <rPr>
            <b/>
            <sz val="10"/>
            <color indexed="48"/>
            <rFont val="Calibri"/>
            <family val="2"/>
          </rPr>
          <t xml:space="preserve">SOLD </t>
        </r>
        <r>
          <rPr>
            <b/>
            <sz val="10"/>
            <color indexed="8"/>
            <rFont val="Calibri"/>
            <family val="2"/>
          </rPr>
          <t>» 39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T1 &amp; X1 &amp; O1 &amp; I11 &amp; E25</t>
        </r>
      </text>
    </comment>
    <comment ref="F1540" authorId="0" shapeId="0" xr:uid="{02C6F464-DA59-407C-A08D-D6ADE91AD657}">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X3 &amp; I10</t>
        </r>
      </text>
    </comment>
    <comment ref="F1597" authorId="0" shapeId="0" xr:uid="{CFFA3151-400D-4A92-A0CF-B27B5E2364CE}">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T6 &amp; X2 &amp; U1 &amp; I5</t>
        </r>
      </text>
    </comment>
    <comment ref="F1598" authorId="0" shapeId="0" xr:uid="{1E17E8F0-03AB-4716-8A67-13D3A520C4EA}">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X2 &amp; I10</t>
        </r>
      </text>
    </comment>
    <comment ref="F1604" authorId="0" shapeId="0" xr:uid="{43A9EB62-26A3-4778-90EC-4C89D27787D1}">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T2 &amp; X3 &amp; I10</t>
        </r>
      </text>
    </comment>
    <comment ref="F1605" authorId="0" shapeId="0" xr:uid="{1A144137-E861-4472-9F22-90191B43827A}">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X3 &amp; I10</t>
        </r>
      </text>
    </comment>
    <comment ref="F1606" authorId="0" shapeId="0" xr:uid="{7E6510D8-5602-4A07-B1C9-1A44ED36A1D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T1 &amp; X4 &amp; I9</t>
        </r>
      </text>
    </comment>
    <comment ref="F1665" authorId="0" shapeId="0" xr:uid="{FBB2AE5C-824D-4139-8612-7FDAD6584CD2}">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S1 &amp; X1 &amp; U8</t>
        </r>
      </text>
    </comment>
    <comment ref="F1666" authorId="0" shapeId="0" xr:uid="{143198F2-3131-41A3-9146-DEB52CE30CA7}">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I9</t>
        </r>
      </text>
    </comment>
    <comment ref="F1672" authorId="0" shapeId="0" xr:uid="{37050C59-1D9F-4127-81ED-B09E698D254C}">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T2 &amp; X3 &amp; I10</t>
        </r>
      </text>
    </comment>
    <comment ref="F1673" authorId="0" shapeId="0" xr:uid="{8FF324C2-646F-4040-B3F9-CE7DBA9D2129}">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9.4%]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T4 &amp; X7 &amp; U6</t>
        </r>
      </text>
    </comment>
    <comment ref="F1726" authorId="0" shapeId="0" xr:uid="{88C64D1D-C00C-4A91-9641-E674EC81610C}">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U5</t>
        </r>
      </text>
    </comment>
    <comment ref="F1733" authorId="0" shapeId="0" xr:uid="{2FE8EC19-FD96-4DC2-920F-F2819035AB30}">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34" authorId="0" shapeId="0" xr:uid="{F38D2520-4746-459A-9FC1-78AC6B3BDD82}">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X6 &amp; U6</t>
        </r>
      </text>
    </comment>
    <comment ref="F1735" authorId="0" shapeId="0" xr:uid="{957C1596-12F1-47BF-81DD-F40E721757B6}">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X2 &amp; U6</t>
        </r>
      </text>
    </comment>
    <comment ref="F1736" authorId="0" shapeId="0" xr:uid="{549AD49C-C332-4DEE-963B-9A6E41C42952}">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U6</t>
        </r>
      </text>
    </comment>
    <comment ref="F1798" authorId="0" shapeId="0" xr:uid="{C4273E55-56B3-4BC0-961F-8A831C50C3E9}">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X1 &amp; U6</t>
        </r>
      </text>
    </comment>
    <comment ref="F1799" authorId="0" shapeId="0" xr:uid="{37A5E5AB-198B-43E4-9D3F-9DCEE7C8479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U6 &amp; I5</t>
        </r>
      </text>
    </comment>
    <comment ref="F1800" authorId="0" shapeId="0" xr:uid="{80F42E35-027C-4FCC-ABEF-65A960739871}">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U9</t>
        </r>
      </text>
    </comment>
    <comment ref="F1858" authorId="0" shapeId="0" xr:uid="{3A4CAE96-FFAD-4655-BF89-4C3CBAC6323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59" authorId="0" shapeId="0" xr:uid="{84F51B13-34A0-41EF-822D-8D24CED35625}">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U2</t>
        </r>
      </text>
    </comment>
    <comment ref="F1860" authorId="0" shapeId="0" xr:uid="{D74457C1-ED6B-43EF-8D37-00C9CF459C1A}">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U5</t>
        </r>
      </text>
    </comment>
    <comment ref="F1861" authorId="0" shapeId="0" xr:uid="{C69BECAB-E7FF-416A-A6D3-4543B6477515}">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U3</t>
        </r>
      </text>
    </comment>
    <comment ref="F1867" authorId="0" shapeId="0" xr:uid="{4FD1539A-8B68-44A0-A600-2328F38A7526}">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S2 &amp; U7</t>
        </r>
      </text>
    </comment>
    <comment ref="F1868" authorId="0" shapeId="0" xr:uid="{36D5D25B-6A0A-4534-A228-1D87FA99378F}">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t>
        </r>
      </text>
    </comment>
    <comment ref="F1923" authorId="0" shapeId="0" xr:uid="{59B4A20C-2F12-4091-BF02-731B12165050}">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U5</t>
        </r>
      </text>
    </comment>
    <comment ref="F1924" authorId="0" shapeId="0" xr:uid="{1B22B3B3-5245-4B6A-88ED-42BC2136DD59}">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25" authorId="0" shapeId="0" xr:uid="{4C19881D-D582-4D98-BD9E-33B6679A000F}">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26" authorId="0" shapeId="0" xr:uid="{61ACB94F-0741-4EA3-B317-D51E67056E2F}">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U4</t>
        </r>
      </text>
    </comment>
    <comment ref="F1933" authorId="0" shapeId="0" xr:uid="{03C598C7-0104-42CD-99F5-E062D812B54B}">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U6</t>
        </r>
      </text>
    </comment>
    <comment ref="F1989" authorId="0" shapeId="0" xr:uid="{AACF681D-98AA-4FB7-B5DE-07362E058A07}">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U2</t>
        </r>
      </text>
    </comment>
    <comment ref="F1990" authorId="0" shapeId="0" xr:uid="{898A75CE-AC17-47CE-80C3-680B210CAE3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91" authorId="0" shapeId="0" xr:uid="{AB2CF879-6EFD-45B1-989B-A5E4D2194328}">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t>
        </r>
      </text>
    </comment>
    <comment ref="F1996" authorId="0" shapeId="0" xr:uid="{DF80B0E8-472A-4E4B-8ACF-FD71D3DC3274}">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X2 &amp; U9</t>
        </r>
      </text>
    </comment>
    <comment ref="F1997" authorId="0" shapeId="0" xr:uid="{DE2AD3CB-A906-4F97-AF16-9E4305D542F2}">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X4</t>
        </r>
      </text>
    </comment>
    <comment ref="F1998" authorId="0" shapeId="0" xr:uid="{D017C48F-FBBC-4F78-A04F-3D8F8FC40B7B}">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U6</t>
        </r>
      </text>
    </comment>
    <comment ref="F2056" authorId="0" shapeId="0" xr:uid="{7B08F734-2406-4C3E-A982-2C42C3BC46AA}">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U4</t>
        </r>
      </text>
    </comment>
    <comment ref="F2057" authorId="0" shapeId="0" xr:uid="{A7A641FC-E46A-4EF0-B387-1E3E6B0BEC3A}">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U5</t>
        </r>
      </text>
    </comment>
    <comment ref="F2058" authorId="0" shapeId="0" xr:uid="{46939F46-7312-46D8-B2F7-E393EB71228E}">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X4 &amp; U5</t>
        </r>
      </text>
    </comment>
    <comment ref="F2063" authorId="0" shapeId="0" xr:uid="{6189F0EC-5F3E-4BA0-977E-BF4A80B2AC57}">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X1 &amp; U7</t>
        </r>
      </text>
    </comment>
    <comment ref="F2064" authorId="0" shapeId="0" xr:uid="{EE0E8EF1-E2DD-46D4-A41F-269A85E610B0}">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U7</t>
        </r>
      </text>
    </comment>
    <comment ref="F2123" authorId="0" shapeId="0" xr:uid="{27BFAEB0-01D0-444D-A4F8-152C3B22A65F}">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0.5%]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29-SEP]_x000D_
{</t>
        </r>
        <r>
          <rPr>
            <b/>
            <sz val="8.5"/>
            <color indexed="10"/>
            <rFont val="Calibri"/>
            <family val="2"/>
          </rPr>
          <t>CLASSES</t>
        </r>
        <r>
          <rPr>
            <b/>
            <sz val="8.5"/>
            <color indexed="8"/>
            <rFont val="Calibri"/>
            <family val="2"/>
          </rPr>
          <t>}_x000D_
U1</t>
        </r>
      </text>
    </comment>
    <comment ref="F2124" authorId="0" shapeId="0" xr:uid="{0FA8E55C-FE8E-41D4-9C0D-C0EFB12DC4B0}">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U3</t>
        </r>
      </text>
    </comment>
    <comment ref="F2129" authorId="0" shapeId="0" xr:uid="{ACCCAA46-1DB9-45BE-8C2E-30866B79811E}">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U6</t>
        </r>
      </text>
    </comment>
    <comment ref="F2130" authorId="0" shapeId="0" xr:uid="{E1974066-CDDA-4C25-ADBE-50D09B53B1A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U6</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8DD39370-A8CE-479A-AF79-3437B2AA4236}">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2.1%]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U4</t>
        </r>
      </text>
    </comment>
    <comment ref="F4" authorId="0" shapeId="0" xr:uid="{A509C58D-C2B2-4A9E-9994-32155C7B27D6}">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 authorId="0" shapeId="0" xr:uid="{A911ADBD-EDF5-47FF-A206-B137443869F6}">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I7</t>
        </r>
      </text>
    </comment>
    <comment ref="F6" authorId="0" shapeId="0" xr:uid="{ED53CED0-BB6A-4A9E-9CF4-C0FE3E5B6D60}">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I9</t>
        </r>
      </text>
    </comment>
    <comment ref="F7" authorId="0" shapeId="0" xr:uid="{F9D3185A-7730-4C9C-8B3F-BB5B5D94D781}">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I9</t>
        </r>
      </text>
    </comment>
    <comment ref="F8" authorId="0" shapeId="0" xr:uid="{FD94C46A-4E43-4A6B-85A3-8A3105918D7C}">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28-SEP]_x000D_
{</t>
        </r>
        <r>
          <rPr>
            <b/>
            <sz val="8.5"/>
            <color indexed="10"/>
            <rFont val="Calibri"/>
            <family val="2"/>
          </rPr>
          <t>CLASSES</t>
        </r>
        <r>
          <rPr>
            <b/>
            <sz val="8.5"/>
            <color indexed="8"/>
            <rFont val="Calibri"/>
            <family val="2"/>
          </rPr>
          <t>}_x000D_
V4 &amp; I10</t>
        </r>
      </text>
    </comment>
    <comment ref="F13" authorId="0" shapeId="0" xr:uid="{DD302387-A4AC-496D-B731-84C17F4E4D1B}">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U5</t>
        </r>
      </text>
    </comment>
    <comment ref="F14" authorId="0" shapeId="0" xr:uid="{F7913FEB-2F90-4A95-8377-EE346AC7EC54}">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U1</t>
        </r>
      </text>
    </comment>
    <comment ref="F15" authorId="0" shapeId="0" xr:uid="{EFAE61D9-47E3-4AC5-9810-BAC3A11AE6A6}">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U5</t>
        </r>
      </text>
    </comment>
    <comment ref="F17" authorId="0" shapeId="0" xr:uid="{57CCECED-0CD1-4A29-BE6B-5DC5C4C0325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X4 &amp; U6</t>
        </r>
      </text>
    </comment>
    <comment ref="F18" authorId="0" shapeId="0" xr:uid="{727808DD-0964-4F3B-9056-97A04B7BAE72}">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U6</t>
        </r>
      </text>
    </comment>
    <comment ref="F19" authorId="0" shapeId="0" xr:uid="{AFD66B2F-0BD4-4137-854D-01C3E39F6F39}">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 &amp; U3</t>
        </r>
      </text>
    </comment>
    <comment ref="F21" authorId="0" shapeId="0" xr:uid="{876234D8-16F4-4101-85E3-3DA8D5D85F1B}">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X2 &amp; U8</t>
        </r>
      </text>
    </comment>
    <comment ref="F22" authorId="0" shapeId="0" xr:uid="{A22C25EF-68C2-48B6-95D3-E4D7CBE6FC77}">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U6</t>
        </r>
      </text>
    </comment>
    <comment ref="F39" authorId="0" shapeId="0" xr:uid="{CE862F88-B1B0-4A3D-919D-BC33A914AA7D}">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S1 &amp; X7 &amp; U6</t>
        </r>
      </text>
    </comment>
    <comment ref="F40" authorId="0" shapeId="0" xr:uid="{01299D54-59B4-448F-A5D4-0220115DE7E4}">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1" authorId="0" shapeId="0" xr:uid="{DBA6B025-5E22-454B-8AE4-C6D1E9704A30}">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U2</t>
        </r>
      </text>
    </comment>
    <comment ref="F42" authorId="0" shapeId="0" xr:uid="{CF85EB45-D315-4FD7-8166-598E80A6B724}">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t>
        </r>
      </text>
    </comment>
    <comment ref="F43" authorId="0" shapeId="0" xr:uid="{3BB96A6B-D5AB-4DAD-84F0-946EE3F83E47}">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U4</t>
        </r>
      </text>
    </comment>
    <comment ref="F46" authorId="0" shapeId="0" xr:uid="{38AAEDF6-9932-4F85-8017-FEB073F15531}">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S2 &amp; X1 &amp; O1 &amp; I2</t>
        </r>
      </text>
    </comment>
    <comment ref="F49" authorId="0" shapeId="0" xr:uid="{274BEF50-C9B8-46E7-B5C9-43B1454B3D71}">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U5</t>
        </r>
      </text>
    </comment>
    <comment ref="F50" authorId="0" shapeId="0" xr:uid="{FF7EC6F2-9EF7-4AAE-BB50-7D472367CA93}">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U5</t>
        </r>
      </text>
    </comment>
    <comment ref="F51" authorId="0" shapeId="0" xr:uid="{1EDE027A-8FEA-4F7F-A7D1-51F8FB62A19B}">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12.2%]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T9 &amp; X9 &amp; U4</t>
        </r>
      </text>
    </comment>
    <comment ref="F53" authorId="0" shapeId="0" xr:uid="{7AEA86FA-56ED-473D-9ECE-EE2346188655}">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19-OCT]_x000D_
{</t>
        </r>
        <r>
          <rPr>
            <b/>
            <sz val="8.5"/>
            <color indexed="10"/>
            <rFont val="Calibri"/>
            <family val="2"/>
          </rPr>
          <t>CLASSES</t>
        </r>
        <r>
          <rPr>
            <b/>
            <sz val="8.5"/>
            <color indexed="8"/>
            <rFont val="Calibri"/>
            <family val="2"/>
          </rPr>
          <t>}_x000D_
U2</t>
        </r>
      </text>
    </comment>
    <comment ref="F54" authorId="0" shapeId="0" xr:uid="{B385681A-0F96-4913-BB50-2E5D03952C84}">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5" authorId="0" shapeId="0" xr:uid="{E29911D2-EE22-49E1-9DB7-2A272FAEE415}">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U1</t>
        </r>
      </text>
    </comment>
    <comment ref="F56" authorId="0" shapeId="0" xr:uid="{EFD572FA-4FA8-4501-AB7B-76B8E7D6186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7" authorId="0" shapeId="0" xr:uid="{CF566823-8D37-45C3-961C-DD96B5AC031B}">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10-OCT]_x000D_
{</t>
        </r>
        <r>
          <rPr>
            <b/>
            <sz val="8.5"/>
            <color indexed="10"/>
            <rFont val="Calibri"/>
            <family val="2"/>
          </rPr>
          <t>CLASSES</t>
        </r>
        <r>
          <rPr>
            <b/>
            <sz val="8.5"/>
            <color indexed="8"/>
            <rFont val="Calibri"/>
            <family val="2"/>
          </rPr>
          <t>}_x000D_
U1</t>
        </r>
      </text>
    </comment>
    <comment ref="F59" authorId="0" shapeId="0" xr:uid="{E9C176EA-AC60-4E42-ABE4-CF47BC4E14F8}">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U6</t>
        </r>
      </text>
    </comment>
    <comment ref="F62" authorId="0" shapeId="0" xr:uid="{C6F64A3D-F642-4844-AFEA-0CE7EFFD99FD}">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T4 &amp; U5</t>
        </r>
      </text>
    </comment>
    <comment ref="F63" authorId="0" shapeId="0" xr:uid="{924EDB50-DBE0-4DA0-83BA-0DBC4C0B767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05-OCT]_x000D_
{</t>
        </r>
        <r>
          <rPr>
            <b/>
            <sz val="8.5"/>
            <color indexed="10"/>
            <rFont val="Calibri"/>
            <family val="2"/>
          </rPr>
          <t>CLASSES</t>
        </r>
        <r>
          <rPr>
            <b/>
            <sz val="8.5"/>
            <color indexed="8"/>
            <rFont val="Calibri"/>
            <family val="2"/>
          </rPr>
          <t>}_x000D_
U1</t>
        </r>
      </text>
    </comment>
    <comment ref="F64" authorId="0" shapeId="0" xr:uid="{577BF65C-DD33-438F-8C1E-7A91537D1803}">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U2</t>
        </r>
      </text>
    </comment>
    <comment ref="F65" authorId="0" shapeId="0" xr:uid="{D9387A82-4F03-40ED-9B6D-CA9689D7C35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U2</t>
        </r>
      </text>
    </comment>
    <comment ref="F66" authorId="0" shapeId="0" xr:uid="{39B0DC0D-C7FC-46A9-BC39-293A0E343909}">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U3</t>
        </r>
      </text>
    </comment>
    <comment ref="F67" authorId="0" shapeId="0" xr:uid="{BD7953EE-936B-445E-AC9A-5C5E81DD2B31}">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8" authorId="0" shapeId="0" xr:uid="{69F7D496-1A9A-4B33-AFFB-75A9CA83233D}">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9" authorId="0" shapeId="0" xr:uid="{5786D175-B86B-4E46-9DCB-6ADF0D30CF5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0" authorId="0" shapeId="0" xr:uid="{E9696BCF-A786-45E9-8F0B-15FB6A3855F4}">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U3</t>
        </r>
      </text>
    </comment>
    <comment ref="F71" authorId="0" shapeId="0" xr:uid="{4072C70D-4342-4B69-A81A-8E8684173ECB}">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U5</t>
        </r>
      </text>
    </comment>
    <comment ref="F73" authorId="0" shapeId="0" xr:uid="{A66328A6-9DD9-4848-9F76-C2AAA27304B3}">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X3</t>
        </r>
      </text>
    </comment>
    <comment ref="F74" authorId="0" shapeId="0" xr:uid="{DB5FBA31-2DEC-424A-B382-8281ED72A29F}">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U5</t>
        </r>
      </text>
    </comment>
    <comment ref="F75" authorId="0" shapeId="0" xr:uid="{8CAA72D8-DC89-4B5C-9B79-EE8D5068FEC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U3</t>
        </r>
      </text>
    </comment>
    <comment ref="F76" authorId="0" shapeId="0" xr:uid="{529F2E70-194E-4EAB-A2C5-CE8398245148}">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7" authorId="0" shapeId="0" xr:uid="{3B653850-D453-4452-B9A0-383E0C992577}">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U3</t>
        </r>
      </text>
    </comment>
    <comment ref="F79" authorId="0" shapeId="0" xr:uid="{8BD1B2BF-281A-49B0-8E34-9935DF84C620}">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t>
        </r>
      </text>
    </comment>
    <comment ref="F86" authorId="0" shapeId="0" xr:uid="{5DB24EC2-12ED-49B9-867F-88C8028BA8D2}">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X2 &amp; U3</t>
        </r>
      </text>
    </comment>
    <comment ref="F87" authorId="0" shapeId="0" xr:uid="{EAE03E3D-9F71-457E-BECB-33A0F4CA3909}">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U2</t>
        </r>
      </text>
    </comment>
    <comment ref="F88" authorId="0" shapeId="0" xr:uid="{ACCFF84B-5ED6-495C-AB55-C381B910EB00}">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U5</t>
        </r>
      </text>
    </comment>
    <comment ref="F90" authorId="0" shapeId="0" xr:uid="{8F0517B7-F125-464E-90BA-3C417E8DED23}">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U6</t>
        </r>
      </text>
    </comment>
    <comment ref="F95" authorId="0" shapeId="0" xr:uid="{D4D8132A-D488-4EA4-9620-2EEAF197C931}">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06-OCT]_x000D_
{</t>
        </r>
        <r>
          <rPr>
            <b/>
            <sz val="8.5"/>
            <color indexed="10"/>
            <rFont val="Calibri"/>
            <family val="2"/>
          </rPr>
          <t>CLASSES</t>
        </r>
        <r>
          <rPr>
            <b/>
            <sz val="8.5"/>
            <color indexed="8"/>
            <rFont val="Calibri"/>
            <family val="2"/>
          </rPr>
          <t>}_x000D_
U1</t>
        </r>
      </text>
    </comment>
    <comment ref="F96" authorId="0" shapeId="0" xr:uid="{572E2D6E-D582-4B56-8F85-975051865467}">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26.7%] - [</t>
        </r>
        <r>
          <rPr>
            <b/>
            <sz val="10"/>
            <color indexed="48"/>
            <rFont val="Calibri"/>
            <family val="2"/>
          </rPr>
          <t xml:space="preserve">SOLD </t>
        </r>
        <r>
          <rPr>
            <b/>
            <sz val="10"/>
            <color indexed="8"/>
            <rFont val="Calibri"/>
            <family val="2"/>
          </rPr>
          <t>» 48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P45</t>
        </r>
      </text>
    </comment>
    <comment ref="F97" authorId="0" shapeId="0" xr:uid="{C81E6CD8-58B1-459F-A13C-7652394F31AB}">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U1</t>
        </r>
      </text>
    </comment>
    <comment ref="F98" authorId="0" shapeId="0" xr:uid="{79F04749-081B-47EC-B443-4900077237BD}">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U3</t>
        </r>
      </text>
    </comment>
    <comment ref="F101" authorId="0" shapeId="0" xr:uid="{4DE18154-1C28-4FE2-A6A2-31A4C4547446}">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5" authorId="0" shapeId="0" xr:uid="{0FCC897F-691A-41D5-AE4B-ED88450F918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U1</t>
        </r>
      </text>
    </comment>
    <comment ref="F106" authorId="0" shapeId="0" xr:uid="{8EEF7920-F34E-498F-AAA7-272F02503E1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U2</t>
        </r>
      </text>
    </comment>
    <comment ref="F107" authorId="0" shapeId="0" xr:uid="{3B324B0A-38C5-4FB8-A9E2-B481A81C7342}">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U2</t>
        </r>
      </text>
    </comment>
    <comment ref="F108" authorId="0" shapeId="0" xr:uid="{A708320E-0211-4362-8C7B-B811D4D9B8BB}">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S1</t>
        </r>
      </text>
    </comment>
    <comment ref="F109" authorId="0" shapeId="0" xr:uid="{EE3BAD46-5B0E-472F-B9DC-C58BBD0468D2}">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S1</t>
        </r>
      </text>
    </comment>
    <comment ref="F110" authorId="0" shapeId="0" xr:uid="{5752306D-2C35-4B25-B39C-CDFDCC33D9BB}">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U3</t>
        </r>
      </text>
    </comment>
    <comment ref="F111" authorId="0" shapeId="0" xr:uid="{5C7DD079-B3F4-42B5-BB33-BA2F550BFC0C}">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U4</t>
        </r>
      </text>
    </comment>
    <comment ref="F112" authorId="0" shapeId="0" xr:uid="{8FB1EFD4-CCCE-411E-BB9B-DFFD604B6E1A}">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4" authorId="0" shapeId="0" xr:uid="{1FAC5797-4C6A-4724-89DE-66F9082DD5A4}">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U6</t>
        </r>
      </text>
    </comment>
    <comment ref="F116" authorId="0" shapeId="0" xr:uid="{AF3C2617-F8CC-483C-A31F-9CBDC48A0553}">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7" authorId="0" shapeId="0" xr:uid="{851EBCD1-FC17-4347-BFDB-FE0F3309AAB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8" authorId="0" shapeId="0" xr:uid="{5A59DA0C-2BF2-4AD3-A388-8EABDBAE1A20}">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U3</t>
        </r>
      </text>
    </comment>
    <comment ref="F119" authorId="0" shapeId="0" xr:uid="{CA246B74-FDC2-4B7C-90CA-78B4CD65C87F}">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22" authorId="0" shapeId="0" xr:uid="{BA046C7A-5ACB-4814-990D-489EA9DADB3D}">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X1 &amp; U7</t>
        </r>
      </text>
    </comment>
    <comment ref="F125" authorId="0" shapeId="0" xr:uid="{C38D32B6-DDA8-45D6-8D10-E5A5FF04616B}">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S1 &amp; U5</t>
        </r>
      </text>
    </comment>
    <comment ref="F127" authorId="0" shapeId="0" xr:uid="{B144B3DF-8749-4EB4-AA35-B615359F54C6}">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28" authorId="0" shapeId="0" xr:uid="{453D3972-2129-49CE-9408-F8B387F83B1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U6</t>
        </r>
      </text>
    </comment>
    <comment ref="F129" authorId="0" shapeId="0" xr:uid="{BB4C4342-1607-43F7-9C2F-15C103DF6A73}">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t>
        </r>
      </text>
    </comment>
    <comment ref="F130" authorId="0" shapeId="0" xr:uid="{7B34E7B8-9229-40D8-BD07-C61C8F91105F}">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U8</t>
        </r>
      </text>
    </comment>
    <comment ref="F140" authorId="0" shapeId="0" xr:uid="{EC8B2F67-46FB-40CD-A9C7-327620D094C5}">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9.4%]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T4 &amp; X7 &amp; U6</t>
        </r>
      </text>
    </comment>
    <comment ref="F142" authorId="0" shapeId="0" xr:uid="{8964827A-93E2-4C3A-8E6C-7C8DE496B0DC}">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X1 &amp; U10</t>
        </r>
      </text>
    </comment>
    <comment ref="F143" authorId="0" shapeId="0" xr:uid="{039FE0F2-C820-48B6-9D89-8CECDCCA3A6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X6 &amp; U6</t>
        </r>
      </text>
    </comment>
    <comment ref="F144" authorId="0" shapeId="0" xr:uid="{099F06D9-C3D6-420F-A9D1-ABABA97120D7}">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U8</t>
        </r>
      </text>
    </comment>
    <comment ref="F145" authorId="0" shapeId="0" xr:uid="{630FDD77-8A7A-489F-9EFB-F5C3DD58CE93}">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X2 &amp; U9</t>
        </r>
      </text>
    </comment>
    <comment ref="F148" authorId="0" shapeId="0" xr:uid="{1A66B4AE-5399-4075-9E79-BD66EEABD158}">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 - [</t>
        </r>
        <r>
          <rPr>
            <b/>
            <sz val="10"/>
            <color indexed="48"/>
            <rFont val="Calibri"/>
            <family val="2"/>
          </rPr>
          <t xml:space="preserve">SOLD </t>
        </r>
        <r>
          <rPr>
            <b/>
            <sz val="10"/>
            <color indexed="8"/>
            <rFont val="Calibri"/>
            <family val="2"/>
          </rPr>
          <t>» 18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T5 &amp; X3 &amp; U10</t>
        </r>
      </text>
    </comment>
    <comment ref="F150" authorId="0" shapeId="0" xr:uid="{03284465-CAE4-4092-A2FF-E0AF8F68C3E1}">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33.9%]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T9 &amp; X4 &amp; U10 &amp; E40</t>
        </r>
      </text>
    </comment>
    <comment ref="F151" authorId="0" shapeId="0" xr:uid="{FE526209-C085-4752-96E9-974D05C60889}">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 - [</t>
        </r>
        <r>
          <rPr>
            <b/>
            <sz val="10"/>
            <color indexed="48"/>
            <rFont val="Calibri"/>
            <family val="2"/>
          </rPr>
          <t xml:space="preserve">SOLD </t>
        </r>
        <r>
          <rPr>
            <b/>
            <sz val="10"/>
            <color indexed="8"/>
            <rFont val="Calibri"/>
            <family val="2"/>
          </rPr>
          <t>» 18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T5 &amp; X3 &amp; U10</t>
        </r>
      </text>
    </comment>
    <comment ref="F152" authorId="0" shapeId="0" xr:uid="{55B4D539-9617-40C3-AEDF-F32FC5E09DF6}">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17.8%] - [</t>
        </r>
        <r>
          <rPr>
            <b/>
            <sz val="10"/>
            <color indexed="48"/>
            <rFont val="Calibri"/>
            <family val="2"/>
          </rPr>
          <t xml:space="preserve">SOLD </t>
        </r>
        <r>
          <rPr>
            <b/>
            <sz val="10"/>
            <color indexed="8"/>
            <rFont val="Calibri"/>
            <family val="2"/>
          </rPr>
          <t>» 32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W4 &amp; T14 &amp; X2 &amp; U11</t>
        </r>
      </text>
    </comment>
    <comment ref="F153" authorId="0" shapeId="0" xr:uid="{1928CA8B-85C4-4CBE-AE42-2FC7F8965E15}">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20.0%] - [</t>
        </r>
        <r>
          <rPr>
            <b/>
            <sz val="10"/>
            <color indexed="48"/>
            <rFont val="Calibri"/>
            <family val="2"/>
          </rPr>
          <t xml:space="preserve">SOLD </t>
        </r>
        <r>
          <rPr>
            <b/>
            <sz val="10"/>
            <color indexed="8"/>
            <rFont val="Calibri"/>
            <family val="2"/>
          </rPr>
          <t>» 36 PAX]</t>
        </r>
        <r>
          <rPr>
            <b/>
            <sz val="8.5"/>
            <color indexed="8"/>
            <rFont val="Calibri"/>
            <family val="2"/>
          </rPr>
          <t>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W9 &amp; T14 &amp; X3 &amp; U10</t>
        </r>
      </text>
    </comment>
    <comment ref="F156" authorId="0" shapeId="0" xr:uid="{EDFEAF59-239F-4CBA-AF0D-AE35B1D24DEF}">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t>
        </r>
      </text>
    </comment>
    <comment ref="F157" authorId="0" shapeId="0" xr:uid="{1202D92A-2B48-49F6-8A98-28837C740D9E}">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18-OCT]_x000D_
{</t>
        </r>
        <r>
          <rPr>
            <b/>
            <sz val="8.5"/>
            <color indexed="10"/>
            <rFont val="Calibri"/>
            <family val="2"/>
          </rPr>
          <t>CLASSES</t>
        </r>
        <r>
          <rPr>
            <b/>
            <sz val="8.5"/>
            <color indexed="8"/>
            <rFont val="Calibri"/>
            <family val="2"/>
          </rPr>
          <t>}_x000D_
U6</t>
        </r>
      </text>
    </comment>
    <comment ref="F158" authorId="0" shapeId="0" xr:uid="{44E69458-535F-4489-AF26-055074209099}">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X4 &amp; U8</t>
        </r>
      </text>
    </comment>
    <comment ref="F159" authorId="0" shapeId="0" xr:uid="{2F9BBE52-67DF-43C4-857B-955C8E7443A3}">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T6 &amp; X4 &amp; U6</t>
        </r>
      </text>
    </comment>
    <comment ref="F168" authorId="0" shapeId="0" xr:uid="{709BCFF0-C0B5-4023-BB18-BC4C36795132}">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X3 &amp; U10</t>
        </r>
      </text>
    </comment>
    <comment ref="F169" authorId="0" shapeId="0" xr:uid="{2CE793C1-9538-43E7-A31A-20D1EE656DCF}">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U3</t>
        </r>
      </text>
    </comment>
    <comment ref="F170" authorId="0" shapeId="0" xr:uid="{14CACAED-C96C-482E-9B55-6F3BFD71FD57}">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U4</t>
        </r>
      </text>
    </comment>
    <comment ref="F174" authorId="0" shapeId="0" xr:uid="{61406A9F-896A-4139-8BA6-E33306AC27C1}">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 &amp; U8</t>
        </r>
      </text>
    </comment>
    <comment ref="F184" authorId="0" shapeId="0" xr:uid="{116ABE7E-DEF4-497A-8784-FDB2AABCC808}">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U1</t>
        </r>
      </text>
    </comment>
    <comment ref="F185" authorId="0" shapeId="0" xr:uid="{681F9666-7618-4328-B883-0EF6494A6E54}">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S1 &amp; U4</t>
        </r>
      </text>
    </comment>
    <comment ref="F186" authorId="0" shapeId="0" xr:uid="{FD016AFD-07A6-4BCD-A908-53382B64E194}">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S1 &amp; U1</t>
        </r>
      </text>
    </comment>
    <comment ref="F187" authorId="0" shapeId="0" xr:uid="{17A8DDE9-61C3-4FD9-AE6C-051DBA0D8A84}">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08-SEP]_x000D_
{</t>
        </r>
        <r>
          <rPr>
            <b/>
            <sz val="8.5"/>
            <color indexed="10"/>
            <rFont val="Calibri"/>
            <family val="2"/>
          </rPr>
          <t>CLASSES</t>
        </r>
        <r>
          <rPr>
            <b/>
            <sz val="8.5"/>
            <color indexed="8"/>
            <rFont val="Calibri"/>
            <family val="2"/>
          </rPr>
          <t>}_x000D_
U1</t>
        </r>
      </text>
    </comment>
    <comment ref="F188" authorId="0" shapeId="0" xr:uid="{A52EA3C2-3F79-4C74-972E-87EC6AB779B0}">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U1</t>
        </r>
      </text>
    </comment>
    <comment ref="F189" authorId="0" shapeId="0" xr:uid="{FA6AD8CE-24B9-4D9F-BD4B-7C119A83795D}">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U2</t>
        </r>
      </text>
    </comment>
    <comment ref="F190" authorId="0" shapeId="0" xr:uid="{92739C82-368A-4B2B-A486-70749B22BFF4}">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1" authorId="0" shapeId="0" xr:uid="{573A6A28-C4D1-4CBC-8B84-77C84272EC7C}">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2" authorId="0" shapeId="0" xr:uid="{05E469B0-563C-4D9D-9B22-C10B52A44044}">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U5</t>
        </r>
      </text>
    </comment>
    <comment ref="F193" authorId="0" shapeId="0" xr:uid="{63096F3E-5B6F-4395-A7A1-AE85B835FEC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6" authorId="0" shapeId="0" xr:uid="{6D25C873-DD12-443C-953E-EB62BF0EF4E8}">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X4 &amp; U6</t>
        </r>
      </text>
    </comment>
    <comment ref="F206" authorId="0" shapeId="0" xr:uid="{1A0788B8-59F9-488F-BDCF-136EB7A3E372}">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S1 &amp; X6</t>
        </r>
      </text>
    </comment>
    <comment ref="F207" authorId="0" shapeId="0" xr:uid="{AFCA2E49-50CF-4C15-86C6-13C2B4D335FC}">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X4 &amp; U6</t>
        </r>
      </text>
    </comment>
    <comment ref="F208" authorId="0" shapeId="0" xr:uid="{5F182700-A610-4E3D-878A-206B317C272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X2 &amp; U8</t>
        </r>
      </text>
    </comment>
    <comment ref="F209" authorId="0" shapeId="0" xr:uid="{852B748E-FAC1-4CB3-B843-ED11BA4D146F}">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X4 &amp; U7</t>
        </r>
      </text>
    </comment>
    <comment ref="F217" authorId="0" shapeId="0" xr:uid="{2A748550-D713-4A01-9B62-5ED8D28EE258}">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21.7%] - [</t>
        </r>
        <r>
          <rPr>
            <b/>
            <sz val="10"/>
            <color indexed="48"/>
            <rFont val="Calibri"/>
            <family val="2"/>
          </rPr>
          <t xml:space="preserve">SOLD </t>
        </r>
        <r>
          <rPr>
            <b/>
            <sz val="10"/>
            <color indexed="8"/>
            <rFont val="Calibri"/>
            <family val="2"/>
          </rPr>
          <t>» 39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T1 &amp; X1 &amp; O1 &amp; I11 &amp; E25</t>
        </r>
      </text>
    </comment>
    <comment ref="F218" authorId="0" shapeId="0" xr:uid="{7F42603C-7D95-40BA-A164-7BE7D6AB2448}">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X3 &amp; I10</t>
        </r>
      </text>
    </comment>
    <comment ref="F220" authorId="0" shapeId="0" xr:uid="{761F98D4-7BCF-46AC-87CE-58B706C8AA97}">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T6 &amp; X2 &amp; U1 &amp; I5</t>
        </r>
      </text>
    </comment>
    <comment ref="F221" authorId="0" shapeId="0" xr:uid="{FB2D5551-0A38-4D12-9CF0-C14BD3549B2B}">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X2 &amp; I10</t>
        </r>
      </text>
    </comment>
    <comment ref="F227" authorId="0" shapeId="0" xr:uid="{EDE329A7-1E8E-4527-A41A-A96520D58B2B}">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T2 &amp; X3 &amp; I10</t>
        </r>
      </text>
    </comment>
    <comment ref="F228" authorId="0" shapeId="0" xr:uid="{15A52184-1A68-454E-82A9-B925144E8A78}">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X3 &amp; I10</t>
        </r>
      </text>
    </comment>
    <comment ref="F229" authorId="0" shapeId="0" xr:uid="{C275976F-A391-4F5E-97C1-C8C42D42010C}">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T1 &amp; X4 &amp; I9</t>
        </r>
      </text>
    </comment>
    <comment ref="F232" authorId="0" shapeId="0" xr:uid="{7CA67097-7481-4057-B7D1-D8F8F15D5CEA}">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S1 &amp; X1 &amp; U8</t>
        </r>
      </text>
    </comment>
    <comment ref="F233" authorId="0" shapeId="0" xr:uid="{9727822E-504D-4BD7-9A02-0414F32BFD12}">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I9</t>
        </r>
      </text>
    </comment>
    <comment ref="F239" authorId="0" shapeId="0" xr:uid="{CFC76409-D0D2-4815-9B05-B7F4355C9BF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T2 &amp; X3 &amp; I10</t>
        </r>
      </text>
    </comment>
    <comment ref="F240" authorId="0" shapeId="0" xr:uid="{064EEE42-C212-42DB-8C51-12087F1DAE45}">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9.4%]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T4 &amp; X7 &amp; U6</t>
        </r>
      </text>
    </comment>
    <comment ref="F244" authorId="0" shapeId="0" xr:uid="{1554CC79-F8E9-4409-ADB7-42B2A9A47397}">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U5</t>
        </r>
      </text>
    </comment>
    <comment ref="F247" authorId="0" shapeId="0" xr:uid="{15BF30BA-2805-4B06-AA76-34522E454629}">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48" authorId="0" shapeId="0" xr:uid="{E6EB00A6-F430-4829-9258-0614A6743A69}">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X6 &amp; U6</t>
        </r>
      </text>
    </comment>
    <comment ref="F249" authorId="0" shapeId="0" xr:uid="{6C938575-AC77-4B3D-9D74-B368BB3F6E7C}">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X2 &amp; U6</t>
        </r>
      </text>
    </comment>
    <comment ref="F250" authorId="0" shapeId="0" xr:uid="{E8DD9E47-F2D3-44A0-9709-7EF280BADE54}">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U6</t>
        </r>
      </text>
    </comment>
    <comment ref="F255" authorId="0" shapeId="0" xr:uid="{F7C9D43C-F7C2-44CF-A5C0-BE97F6229ACA}">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X1 &amp; U6</t>
        </r>
      </text>
    </comment>
    <comment ref="F256" authorId="0" shapeId="0" xr:uid="{4AFB2491-9C0B-4E22-BFF5-710A99FE045A}">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U6 &amp; I5</t>
        </r>
      </text>
    </comment>
    <comment ref="F257" authorId="0" shapeId="0" xr:uid="{ADA8B2BD-C863-4ADE-A8C9-07D3A194194A}">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U9</t>
        </r>
      </text>
    </comment>
    <comment ref="F260" authorId="0" shapeId="0" xr:uid="{804F0013-A809-42B1-B084-2BB7D6AF9A26}">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61" authorId="0" shapeId="0" xr:uid="{66F0CA22-BA86-4C09-8C5E-1FB374EB5ABB}">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U2</t>
        </r>
      </text>
    </comment>
    <comment ref="F262" authorId="0" shapeId="0" xr:uid="{D0D68411-8B8D-46BE-A1B9-D45A01449C30}">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U5</t>
        </r>
      </text>
    </comment>
    <comment ref="F263" authorId="0" shapeId="0" xr:uid="{D6E2AFCD-C114-414E-B1F3-85892BB64564}">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U3</t>
        </r>
      </text>
    </comment>
    <comment ref="F265" authorId="0" shapeId="0" xr:uid="{21D80AFA-00EC-4AEC-A8A9-7D51CDEC7540}">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S2 &amp; U7</t>
        </r>
      </text>
    </comment>
    <comment ref="F266" authorId="0" shapeId="0" xr:uid="{A2083AFE-F33A-4F2E-B3FB-8E67C63DB2A7}">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t>
        </r>
      </text>
    </comment>
    <comment ref="F268" authorId="0" shapeId="0" xr:uid="{CCD37FA2-E8B4-4146-9C2C-60D437241E85}">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U5</t>
        </r>
      </text>
    </comment>
    <comment ref="F269" authorId="0" shapeId="0" xr:uid="{BE1DCBC3-60A8-4F33-82D6-2CFA480BB145}">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0" authorId="0" shapeId="0" xr:uid="{DDE1B38A-78EA-4EF2-A107-CBAFBB821EAF}">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1" authorId="0" shapeId="0" xr:uid="{3470AAAB-3689-4DB7-959C-BE78AD8B8DB7}">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U4</t>
        </r>
      </text>
    </comment>
    <comment ref="F274" authorId="0" shapeId="0" xr:uid="{41A5BC63-0241-416B-A65C-919BA2DEDF07}">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U6</t>
        </r>
      </text>
    </comment>
    <comment ref="F275" authorId="0" shapeId="0" xr:uid="{025464AD-E586-4ECE-ABCF-7668DFB82FBE}">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U2</t>
        </r>
      </text>
    </comment>
    <comment ref="F276" authorId="0" shapeId="0" xr:uid="{8C7BE91D-B826-465C-A9BF-42F9AA528AA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7" authorId="0" shapeId="0" xr:uid="{E1D676C3-1985-443C-BC49-484753117A4D}">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t>
        </r>
      </text>
    </comment>
    <comment ref="F279" authorId="0" shapeId="0" xr:uid="{9E010181-F723-4000-A019-12DB250E9C48}">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X2 &amp; U9</t>
        </r>
      </text>
    </comment>
    <comment ref="F280" authorId="0" shapeId="0" xr:uid="{371C4DF7-7FB9-4903-BD86-B68802A65B0F}">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X4</t>
        </r>
      </text>
    </comment>
    <comment ref="F281" authorId="0" shapeId="0" xr:uid="{E590AF60-1113-4324-9AB1-11152EC2E16F}">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U6</t>
        </r>
      </text>
    </comment>
    <comment ref="F286" authorId="0" shapeId="0" xr:uid="{32A39B19-88B7-4A16-B64F-D27CBEA5BA95}">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U4</t>
        </r>
      </text>
    </comment>
    <comment ref="F287" authorId="0" shapeId="0" xr:uid="{7EEFDA60-EDB3-4FE7-98BC-8959B64AF56B}">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U5</t>
        </r>
      </text>
    </comment>
    <comment ref="F288" authorId="0" shapeId="0" xr:uid="{48C51DD6-7DCC-49F4-8A74-D0594AAB2446}">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X4 &amp; U5</t>
        </r>
      </text>
    </comment>
    <comment ref="F290" authorId="0" shapeId="0" xr:uid="{09E7DBF4-616D-402E-ACCF-A19FFE037D3A}">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X1 &amp; U7</t>
        </r>
      </text>
    </comment>
    <comment ref="F291" authorId="0" shapeId="0" xr:uid="{D302D7E6-6387-4829-9849-94E3C3088B71}">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U7</t>
        </r>
      </text>
    </comment>
    <comment ref="F295" authorId="0" shapeId="0" xr:uid="{D312ED31-4B0C-45CA-8615-0A7CAAF12280}">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0.5%]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29-SEP]_x000D_
{</t>
        </r>
        <r>
          <rPr>
            <b/>
            <sz val="8.5"/>
            <color indexed="10"/>
            <rFont val="Calibri"/>
            <family val="2"/>
          </rPr>
          <t>CLASSES</t>
        </r>
        <r>
          <rPr>
            <b/>
            <sz val="8.5"/>
            <color indexed="8"/>
            <rFont val="Calibri"/>
            <family val="2"/>
          </rPr>
          <t>}_x000D_
U1</t>
        </r>
      </text>
    </comment>
    <comment ref="F296" authorId="0" shapeId="0" xr:uid="{E0246210-E535-469E-9B0A-4A2918AB0078}">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U3</t>
        </r>
      </text>
    </comment>
    <comment ref="F298" authorId="0" shapeId="0" xr:uid="{B0B1E664-F783-4223-BED5-1FBA9170EEAF}">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U6</t>
        </r>
      </text>
    </comment>
    <comment ref="F299" authorId="0" shapeId="0" xr:uid="{6B0B38E1-E784-4376-B7D4-3FEBF439ED7A}">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U6</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8" authorId="0" shapeId="0" xr:uid="{A41BE636-2965-4E6D-A5CA-614F0081B8C1}">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72.2%] - [</t>
        </r>
        <r>
          <rPr>
            <b/>
            <sz val="10"/>
            <color indexed="48"/>
            <rFont val="Calibri"/>
            <family val="2"/>
          </rPr>
          <t xml:space="preserve">SOLD </t>
        </r>
        <r>
          <rPr>
            <b/>
            <sz val="10"/>
            <color indexed="8"/>
            <rFont val="Calibri"/>
            <family val="2"/>
          </rPr>
          <t>» 130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T4 &amp; X1 &amp; P125</t>
        </r>
      </text>
    </comment>
    <comment ref="F25" authorId="0" shapeId="0" xr:uid="{54667C45-707A-444C-BB29-89BE0EA29E54}">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T6</t>
        </r>
      </text>
    </comment>
    <comment ref="F41" authorId="0" shapeId="0" xr:uid="{E7F5FD7A-8230-49A7-816E-D50CCE1DA026}">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T1 &amp; X8</t>
        </r>
      </text>
    </comment>
    <comment ref="F47" authorId="0" shapeId="0" xr:uid="{79A0F2A8-3EC6-4BF1-8F75-DFC09A1B9F3F}">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T1 &amp; X12</t>
        </r>
      </text>
    </comment>
    <comment ref="F65" authorId="0" shapeId="0" xr:uid="{749BF1F9-2D8C-404B-9F44-E5ECDD3B513A}">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X1</t>
        </r>
      </text>
    </comment>
    <comment ref="F66" authorId="0" shapeId="0" xr:uid="{28E82F59-FCB1-4CC1-B4DD-77AAF1F991BE}">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X1</t>
        </r>
      </text>
    </comment>
    <comment ref="F83" authorId="0" shapeId="0" xr:uid="{E82FF134-01B6-4667-80EC-7F3EE290EE06}">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S2 &amp; X5</t>
        </r>
      </text>
    </comment>
    <comment ref="F84" authorId="0" shapeId="0" xr:uid="{FF558AC5-6CA9-48F4-8652-0F654A34090B}">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3" authorId="0" shapeId="0" xr:uid="{82E9B343-1FF7-4287-9A4A-4709DA513BDE}">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X1</t>
        </r>
      </text>
    </comment>
    <comment ref="F127" authorId="0" shapeId="0" xr:uid="{5B4BA14B-3CB4-4490-B7B1-9923E5F94363}">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T4 &amp; X9</t>
        </r>
      </text>
    </comment>
    <comment ref="F128" authorId="0" shapeId="0" xr:uid="{231D0DDD-8725-4212-8C81-4DC7044059D0}">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X6</t>
        </r>
      </text>
    </comment>
    <comment ref="F129" authorId="0" shapeId="0" xr:uid="{412D3A62-094E-4CD4-BD08-1CD613080661}">
      <text>
        <r>
          <rPr>
            <b/>
            <sz val="10"/>
            <color indexed="8"/>
            <rFont val="Calibri"/>
            <family val="2"/>
          </rPr>
          <t>-{ SM473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8" authorId="0" shapeId="0" xr:uid="{7ECDB64A-AD1A-47DF-AA3C-BD29EAC3D935}">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I1 &amp; N1</t>
        </r>
      </text>
    </comment>
    <comment ref="F170" authorId="0" shapeId="0" xr:uid="{1A90C860-F6D8-4819-86BC-452B3A03C8B8}">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8" authorId="0" shapeId="0" xr:uid="{6E9FF286-44C5-4A22-8E18-7B76BAFF15E7}">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X8</t>
        </r>
      </text>
    </comment>
    <comment ref="F189" authorId="0" shapeId="0" xr:uid="{6E2707AC-675C-4D88-B27B-F7587FD639E1}">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X3</t>
        </r>
      </text>
    </comment>
    <comment ref="F214" authorId="0" shapeId="0" xr:uid="{7378A84D-C303-4F0E-8B2E-DF79BDA182C2}">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X1</t>
        </r>
      </text>
    </comment>
    <comment ref="F215" authorId="0" shapeId="0" xr:uid="{BC36FFF9-D2E3-475D-B35D-E10B54F72BAC}">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32" authorId="0" shapeId="0" xr:uid="{EDE964D9-8DED-4D25-8926-5B9C040290F0}">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33" authorId="0" shapeId="0" xr:uid="{AE3ACFCE-FD33-4B06-B65C-9DF943CBAADD}">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51" authorId="0" shapeId="0" xr:uid="{2C4EDEB1-A0FE-4F8B-AB21-18D8951BA91F}">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X2</t>
        </r>
      </text>
    </comment>
    <comment ref="F277" authorId="0" shapeId="0" xr:uid="{3B5C5C85-4923-487A-9457-BA76CEDA4193}">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14-SEP]_x000D_
{</t>
        </r>
        <r>
          <rPr>
            <b/>
            <sz val="8.5"/>
            <color indexed="10"/>
            <rFont val="Calibri"/>
            <family val="2"/>
          </rPr>
          <t>CLASSES</t>
        </r>
        <r>
          <rPr>
            <b/>
            <sz val="8.5"/>
            <color indexed="8"/>
            <rFont val="Calibri"/>
            <family val="2"/>
          </rPr>
          <t>}_x000D_
X2</t>
        </r>
      </text>
    </comment>
    <comment ref="F278" authorId="0" shapeId="0" xr:uid="{7BFDFAFA-5F1F-4C7F-A638-DDA0D9125C9E}">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X8</t>
        </r>
      </text>
    </comment>
    <comment ref="F279" authorId="0" shapeId="0" xr:uid="{B22C5C3D-EC11-457B-ACE0-9BA0A773CD3C}">
      <text>
        <r>
          <rPr>
            <b/>
            <sz val="10"/>
            <color indexed="8"/>
            <rFont val="Calibri"/>
            <family val="2"/>
          </rPr>
          <t>-{ SM473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X2</t>
        </r>
      </text>
    </comment>
    <comment ref="F296" authorId="0" shapeId="0" xr:uid="{3D7D3014-580E-41C9-900A-8A4A29C39AF8}">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X9</t>
        </r>
      </text>
    </comment>
    <comment ref="F320" authorId="0" shapeId="0" xr:uid="{D01725C1-45CB-46DD-88A9-3FDA44F9E281}">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19-AUG]_x000D_
{</t>
        </r>
        <r>
          <rPr>
            <b/>
            <sz val="8.5"/>
            <color indexed="10"/>
            <rFont val="Calibri"/>
            <family val="2"/>
          </rPr>
          <t>CLASSES</t>
        </r>
        <r>
          <rPr>
            <b/>
            <sz val="8.5"/>
            <color indexed="8"/>
            <rFont val="Calibri"/>
            <family val="2"/>
          </rPr>
          <t>}_x000D_
T5</t>
        </r>
      </text>
    </comment>
    <comment ref="F339" authorId="0" shapeId="0" xr:uid="{6C2E2E0F-C2C9-45AF-994D-8B2571665FC6}">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W7</t>
        </r>
      </text>
    </comment>
    <comment ref="F343" authorId="0" shapeId="0" xr:uid="{4172546E-F40C-4C78-A1AE-A74F4F6EE15F}">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 - [</t>
        </r>
        <r>
          <rPr>
            <b/>
            <sz val="10"/>
            <color indexed="48"/>
            <rFont val="Calibri"/>
            <family val="2"/>
          </rPr>
          <t xml:space="preserve">SOLD </t>
        </r>
        <r>
          <rPr>
            <b/>
            <sz val="10"/>
            <color indexed="8"/>
            <rFont val="Calibri"/>
            <family val="2"/>
          </rPr>
          <t>» 18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S5 &amp; W10 &amp; X3</t>
        </r>
      </text>
    </comment>
    <comment ref="F360" authorId="0" shapeId="0" xr:uid="{E911AA58-D8F7-4BA7-AD70-DAE2641D303E}">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X1</t>
        </r>
      </text>
    </comment>
    <comment ref="F361" authorId="0" shapeId="0" xr:uid="{C107FFFB-A4B5-497D-B0FE-4EDEE66B0DC9}">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X6</t>
        </r>
      </text>
    </comment>
    <comment ref="F379" authorId="0" shapeId="0" xr:uid="{519F4206-144E-4A1F-9EDE-DE31D3094B91}">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X5</t>
        </r>
      </text>
    </comment>
    <comment ref="F380" authorId="0" shapeId="0" xr:uid="{C11485F8-1F25-4366-82BB-B8C68ED13EBF}">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00" authorId="0" shapeId="0" xr:uid="{CDE965F8-A0D6-4D74-983F-69319019441C}">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t>
        </r>
      </text>
    </comment>
    <comment ref="F423" authorId="0" shapeId="0" xr:uid="{5A7369A6-DD0C-475E-8BD7-591ACD1E6FF9}">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24" authorId="0" shapeId="0" xr:uid="{D3A1C47D-5375-4912-A018-CDC44C6BC97C}">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X5</t>
        </r>
      </text>
    </comment>
    <comment ref="F425" authorId="0" shapeId="0" xr:uid="{B71C8212-5EC5-445A-90B5-2C8DD766AB21}">
      <text>
        <r>
          <rPr>
            <b/>
            <sz val="10"/>
            <color indexed="8"/>
            <rFont val="Calibri"/>
            <family val="2"/>
          </rPr>
          <t>-{ SM473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45" authorId="0" shapeId="0" xr:uid="{B0AAFF34-3753-453C-B5AA-C01838B316BC}">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X2</t>
        </r>
      </text>
    </comment>
    <comment ref="F463" authorId="0" shapeId="0" xr:uid="{9A852B6F-F957-4980-9B9B-1C3BFEC3A064}">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W7</t>
        </r>
      </text>
    </comment>
    <comment ref="F482" authorId="0" shapeId="0" xr:uid="{9018AF5E-C8FC-4DD1-AFF8-4420D99DE357}">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X7</t>
        </r>
      </text>
    </comment>
    <comment ref="F483" authorId="0" shapeId="0" xr:uid="{2E03E669-7F5D-4A68-BDB8-7323D10629C4}">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S2 &amp; W4 &amp; X3</t>
        </r>
      </text>
    </comment>
    <comment ref="F503" authorId="0" shapeId="0" xr:uid="{FA6F6796-86CC-49DB-8351-98C2338A9D73}">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X1</t>
        </r>
      </text>
    </comment>
    <comment ref="F504" authorId="0" shapeId="0" xr:uid="{904F5E4E-F954-475B-8E0D-A65DE6E08739}">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X3</t>
        </r>
      </text>
    </comment>
    <comment ref="F520" authorId="0" shapeId="0" xr:uid="{0EDB1723-9295-4733-9CE9-F0F96E8AB610}">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X2</t>
        </r>
      </text>
    </comment>
    <comment ref="F521" authorId="0" shapeId="0" xr:uid="{39B77645-0547-4FA8-8757-CF19579A6D38}">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40" authorId="0" shapeId="0" xr:uid="{F54C52C5-963D-49F1-99D3-FFB8A76A24BB}">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X1</t>
        </r>
      </text>
    </comment>
    <comment ref="F561" authorId="0" shapeId="0" xr:uid="{18ED0927-B1C5-42A3-ABEA-467D871AA0BB}">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62" authorId="0" shapeId="0" xr:uid="{99F7F95D-5C3A-484E-A8E2-83A991571CF3}">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X1</t>
        </r>
      </text>
    </comment>
    <comment ref="F563" authorId="0" shapeId="0" xr:uid="{AADE35B0-6B69-4A03-BE6E-311FB1B524A3}">
      <text>
        <r>
          <rPr>
            <b/>
            <sz val="10"/>
            <color indexed="8"/>
            <rFont val="Calibri"/>
            <family val="2"/>
          </rPr>
          <t>-{ SM473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X1</t>
        </r>
      </text>
    </comment>
    <comment ref="F581" authorId="0" shapeId="0" xr:uid="{AAFB7208-6FBC-4DD3-846A-D59C705BAFA3}">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9" authorId="0" shapeId="0" xr:uid="{994093A9-1393-4697-9B37-47F7D984CDBB}">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W1</t>
        </r>
      </text>
    </comment>
    <comment ref="F618" authorId="0" shapeId="0" xr:uid="{FE20781B-BF79-404E-9FDD-758E83B81882}">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X4</t>
        </r>
      </text>
    </comment>
    <comment ref="F619" authorId="0" shapeId="0" xr:uid="{28381719-DB85-49A2-9119-47005F62DB4B}">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3A000886-2A05-426E-8B07-C8DCF4F88DD6}">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24-SEP]_x000D_
{</t>
        </r>
        <r>
          <rPr>
            <b/>
            <sz val="8.5"/>
            <color indexed="10"/>
            <rFont val="Calibri"/>
            <family val="2"/>
          </rPr>
          <t>CLASSES</t>
        </r>
        <r>
          <rPr>
            <b/>
            <sz val="8.5"/>
            <color indexed="8"/>
            <rFont val="Calibri"/>
            <family val="2"/>
          </rPr>
          <t>}_x000D_
X2</t>
        </r>
      </text>
    </comment>
    <comment ref="F3" authorId="0" shapeId="0" xr:uid="{40694263-2312-47A2-BBAE-D91A95E08C69}">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X4</t>
        </r>
      </text>
    </comment>
    <comment ref="F16" authorId="0" shapeId="0" xr:uid="{E8335557-36C2-4E47-A626-750471A31586}">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W2 &amp; X3</t>
        </r>
      </text>
    </comment>
    <comment ref="F28" authorId="0" shapeId="0" xr:uid="{D5E92777-8F5B-450D-B943-0157F4A72BDA}">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9" authorId="0" shapeId="0" xr:uid="{107FCBD4-33BD-48AC-BA88-29534B2B437F}">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W1 &amp; X3</t>
        </r>
      </text>
    </comment>
    <comment ref="F30" authorId="0" shapeId="0" xr:uid="{0335FD01-DB01-4ABB-A0CC-24030A7D4C19}">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X3</t>
        </r>
      </text>
    </comment>
    <comment ref="F44" authorId="0" shapeId="0" xr:uid="{357F33BF-AB72-41A8-8472-898B02D6F715}">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6" authorId="0" shapeId="0" xr:uid="{85EEF943-C3BF-48A6-BA7E-7529E3858583}">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X4</t>
        </r>
      </text>
    </comment>
    <comment ref="F60" authorId="0" shapeId="0" xr:uid="{B3E3811F-81DF-4B2E-8B06-63470407A230}">
      <text>
        <r>
          <rPr>
            <b/>
            <sz val="10"/>
            <color indexed="8"/>
            <rFont val="Calibri"/>
            <family val="2"/>
          </rPr>
          <t>-{ SM421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21-SEP]_x000D_
{</t>
        </r>
        <r>
          <rPr>
            <b/>
            <sz val="8.5"/>
            <color indexed="10"/>
            <rFont val="Calibri"/>
            <family val="2"/>
          </rPr>
          <t>CLASSES</t>
        </r>
        <r>
          <rPr>
            <b/>
            <sz val="8.5"/>
            <color indexed="8"/>
            <rFont val="Calibri"/>
            <family val="2"/>
          </rPr>
          <t>}_x000D_
W1</t>
        </r>
      </text>
    </comment>
    <comment ref="F61" authorId="0" shapeId="0" xr:uid="{8B73435B-5A27-423D-9B90-2DA186CC6EC5}">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W6 &amp; X1</t>
        </r>
      </text>
    </comment>
    <comment ref="F62" authorId="0" shapeId="0" xr:uid="{70572D30-89E2-47D7-ACB8-3CB6E12A666E}">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3" authorId="0" shapeId="0" xr:uid="{AE9C9D96-94BA-4514-8C0A-45137960845C}">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7" authorId="0" shapeId="0" xr:uid="{4BF4F290-8DD6-489D-9A40-56DFCCD3AF71}">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8" authorId="0" shapeId="0" xr:uid="{F2B154B9-9298-4D34-A54B-AEC0DE4628DB}">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2" authorId="0" shapeId="0" xr:uid="{8A7D38E9-4F21-48A2-81E7-C664325110BD}">
      <text>
        <r>
          <rPr>
            <b/>
            <sz val="10"/>
            <color indexed="8"/>
            <rFont val="Calibri"/>
            <family val="2"/>
          </rPr>
          <t>-{ SM421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03-SEP]_x000D_
{</t>
        </r>
        <r>
          <rPr>
            <b/>
            <sz val="8.5"/>
            <color indexed="10"/>
            <rFont val="Calibri"/>
            <family val="2"/>
          </rPr>
          <t>CLASSES</t>
        </r>
        <r>
          <rPr>
            <b/>
            <sz val="8.5"/>
            <color indexed="8"/>
            <rFont val="Calibri"/>
            <family val="2"/>
          </rPr>
          <t>}_x000D_
X1</t>
        </r>
      </text>
    </comment>
    <comment ref="F93" authorId="0" shapeId="0" xr:uid="{553ED126-CB14-4ACB-A137-2945867BE722}">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4" authorId="0" shapeId="0" xr:uid="{3A6A9567-E62F-40E5-91EE-090E17B95057}">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W2 &amp; X3</t>
        </r>
      </text>
    </comment>
    <comment ref="F111" authorId="0" shapeId="0" xr:uid="{54F1680A-3ABD-40F6-A38B-E8EC04217177}">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25-OCT]_x000D_
{</t>
        </r>
        <r>
          <rPr>
            <b/>
            <sz val="8.5"/>
            <color indexed="10"/>
            <rFont val="Calibri"/>
            <family val="2"/>
          </rPr>
          <t>CLASSES</t>
        </r>
        <r>
          <rPr>
            <b/>
            <sz val="8.5"/>
            <color indexed="8"/>
            <rFont val="Calibri"/>
            <family val="2"/>
          </rPr>
          <t>}_x000D_
S2 &amp; T6 &amp; X1</t>
        </r>
      </text>
    </comment>
    <comment ref="F112" authorId="0" shapeId="0" xr:uid="{92757861-092E-4E1F-B646-565E287ABFEA}">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W2</t>
        </r>
      </text>
    </comment>
    <comment ref="F125" authorId="0" shapeId="0" xr:uid="{1BC57FB0-9780-4CCE-88F3-25EBF891C4FD}">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37" authorId="0" shapeId="0" xr:uid="{57872212-CFE5-4771-AE37-C78C3335C2AA}">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t>
        </r>
      </text>
    </comment>
    <comment ref="F138" authorId="0" shapeId="0" xr:uid="{48905346-F45C-441D-8395-1385DC4836E5}">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39" authorId="0" shapeId="0" xr:uid="{36C61F10-8FE8-4840-BDF4-A20C3E094BA1}">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X4</t>
        </r>
      </text>
    </comment>
    <comment ref="F152" authorId="0" shapeId="0" xr:uid="{DF477FF4-9938-4184-AF73-9D5522CFEF15}">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X1</t>
        </r>
      </text>
    </comment>
    <comment ref="F153" authorId="0" shapeId="0" xr:uid="{B328F6C4-335E-402E-BB35-BE2BE23FC351}">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9" authorId="0" shapeId="0" xr:uid="{F0273333-02E2-4D92-8A3E-26AEC2FCF25E}">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X1</t>
        </r>
      </text>
    </comment>
    <comment ref="F170" authorId="0" shapeId="0" xr:uid="{876781BB-2DCD-4BA3-A16F-0DD22DEE6606}">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1" authorId="0" shapeId="0" xr:uid="{BFB49DEF-D18A-46A5-9851-5E75E22172C5}">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4" authorId="0" shapeId="0" xr:uid="{66A81784-1EB4-4E84-802A-4115EFC70BF6}">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X1</t>
        </r>
      </text>
    </comment>
    <comment ref="F185" authorId="0" shapeId="0" xr:uid="{3A36BA8B-C76F-4D68-BDF8-90ADE41220C3}">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W1</t>
        </r>
      </text>
    </comment>
    <comment ref="F198" authorId="0" shapeId="0" xr:uid="{A032D13F-E549-402B-9779-C98B3A9FEFFD}">
      <text>
        <r>
          <rPr>
            <b/>
            <sz val="10"/>
            <color indexed="8"/>
            <rFont val="Calibri"/>
            <family val="2"/>
          </rPr>
          <t>-{ SM421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X3</t>
        </r>
      </text>
    </comment>
    <comment ref="F199" authorId="0" shapeId="0" xr:uid="{E4BBD8E1-672A-49A7-977D-51B323960B8F}">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00" authorId="0" shapeId="0" xr:uid="{68F398E3-D322-4EB7-86A4-4FEE42030E59}">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X1</t>
        </r>
      </text>
    </comment>
    <comment ref="F218" authorId="0" shapeId="0" xr:uid="{DE446CCA-F70A-40BA-AE66-065F1C964F85}">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X2</t>
        </r>
      </text>
    </comment>
    <comment ref="F219" authorId="0" shapeId="0" xr:uid="{C7076631-C616-4450-8CEB-459D202F2AB1}">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W1 &amp; X3</t>
        </r>
      </text>
    </comment>
    <comment ref="F232" authorId="0" shapeId="0" xr:uid="{AC1A9AE0-0978-4D78-A3F0-0DD6B1C5B663}">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W2 &amp; T1 &amp; X4</t>
        </r>
      </text>
    </comment>
    <comment ref="F244" authorId="0" shapeId="0" xr:uid="{22ED3723-061E-4D27-B3C3-12D1B7B1D21B}">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t>
        </r>
      </text>
    </comment>
    <comment ref="F245" authorId="0" shapeId="0" xr:uid="{21B54D20-A055-4ACD-8435-B22BA9F147EF}">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t>
        </r>
      </text>
    </comment>
    <comment ref="F246" authorId="0" shapeId="0" xr:uid="{41BEB916-CBE5-43EF-B4D3-4C252FEFE29E}">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T3 &amp; X4</t>
        </r>
      </text>
    </comment>
    <comment ref="F259" authorId="0" shapeId="0" xr:uid="{57F91B15-E95B-4EE0-8FE0-CA2C59851BE3}">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W3 &amp; X1</t>
        </r>
      </text>
    </comment>
    <comment ref="F260" authorId="0" shapeId="0" xr:uid="{8C661DDA-4126-4113-8CBC-C157D3149BD8}">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6" authorId="0" shapeId="0" xr:uid="{12056355-031B-4A4E-8073-E02B5E02C895}">
      <text>
        <r>
          <rPr>
            <b/>
            <sz val="10"/>
            <color indexed="8"/>
            <rFont val="Calibri"/>
            <family val="2"/>
          </rPr>
          <t>-{ SM421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7" authorId="0" shapeId="0" xr:uid="{F8A82A50-FE1B-49E7-9EA8-79BE18FB67D8}">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X1</t>
        </r>
      </text>
    </comment>
    <comment ref="F278" authorId="0" shapeId="0" xr:uid="{5D40F1D9-D5A6-4B72-8412-A59A7C8F96A3}">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9" authorId="0" shapeId="0" xr:uid="{D865F22D-298A-4E9E-8729-0A22AA837F63}">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93" authorId="0" shapeId="0" xr:uid="{44C4D3C0-E474-4BF9-A4EE-AEF9907FE047}">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94" authorId="0" shapeId="0" xr:uid="{4814B16B-F850-4020-B1CA-EA655FF0A4BE}">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19-OCT]_x000D_
{</t>
        </r>
        <r>
          <rPr>
            <b/>
            <sz val="8.5"/>
            <color indexed="10"/>
            <rFont val="Calibri"/>
            <family val="2"/>
          </rPr>
          <t>CLASSES</t>
        </r>
        <r>
          <rPr>
            <b/>
            <sz val="8.5"/>
            <color indexed="8"/>
            <rFont val="Calibri"/>
            <family val="2"/>
          </rPr>
          <t>}_x000D_
W1</t>
        </r>
      </text>
    </comment>
    <comment ref="F307" authorId="0" shapeId="0" xr:uid="{48A98EED-DC9E-4311-967F-5E191D0CA7D5}">
      <text>
        <r>
          <rPr>
            <b/>
            <sz val="10"/>
            <color indexed="8"/>
            <rFont val="Calibri"/>
            <family val="2"/>
          </rPr>
          <t>-{ SM421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08" authorId="0" shapeId="0" xr:uid="{6548FFED-FEB3-463C-B79D-7822ACC0ACC2}">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09" authorId="0" shapeId="0" xr:uid="{B48396B5-AA06-40E2-8AA7-EE2BE2AB4BCB}">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X3</t>
        </r>
      </text>
    </comment>
    <comment ref="F327" authorId="0" shapeId="0" xr:uid="{9CF363DD-EE5B-4932-941F-E60A9DD3B7F7}">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X3</t>
        </r>
      </text>
    </comment>
    <comment ref="F328" authorId="0" shapeId="0" xr:uid="{A14A1875-9988-404E-A8C2-58C748191C1E}">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10-AUG]_x000D_
{</t>
        </r>
        <r>
          <rPr>
            <b/>
            <sz val="8.5"/>
            <color indexed="10"/>
            <rFont val="Calibri"/>
            <family val="2"/>
          </rPr>
          <t>CLASSES</t>
        </r>
        <r>
          <rPr>
            <b/>
            <sz val="8.5"/>
            <color indexed="8"/>
            <rFont val="Calibri"/>
            <family val="2"/>
          </rPr>
          <t>}_x000D_
X1</t>
        </r>
      </text>
    </comment>
    <comment ref="F341" authorId="0" shapeId="0" xr:uid="{0EB5AC9B-0694-41C4-95B9-8A0F2A8FC44F}">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W1 &amp; T4 &amp; X4</t>
        </r>
      </text>
    </comment>
    <comment ref="F353" authorId="0" shapeId="0" xr:uid="{74F31518-A62A-4DF6-95C7-1EA474426440}">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X2</t>
        </r>
      </text>
    </comment>
    <comment ref="F354" authorId="0" shapeId="0" xr:uid="{5895BB68-86C5-472C-831F-93BCC57A242E}">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T1 &amp; X4</t>
        </r>
      </text>
    </comment>
    <comment ref="F355" authorId="0" shapeId="0" xr:uid="{33C3BDC6-34C9-4638-8107-1D8E03EED80A}">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W1 &amp; X4</t>
        </r>
      </text>
    </comment>
    <comment ref="F368" authorId="0" shapeId="0" xr:uid="{DBC7CB68-C753-47C9-A481-DD15ECD25ECA}">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X3</t>
        </r>
      </text>
    </comment>
    <comment ref="F370" authorId="0" shapeId="0" xr:uid="{4C09A64E-962C-4CC6-9972-2C5BD287ED9D}">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X4</t>
        </r>
      </text>
    </comment>
    <comment ref="F385" authorId="0" shapeId="0" xr:uid="{AF30DC25-5BA2-4C43-A38E-125B1DB2BBFD}">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86" authorId="0" shapeId="0" xr:uid="{DEFF8A84-11BC-4EFD-B519-333157AB81B2}">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87" authorId="0" shapeId="0" xr:uid="{6E3A14C2-F1C2-4465-BC7B-77DB8905E43C}">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X1</t>
        </r>
      </text>
    </comment>
    <comment ref="F400" authorId="0" shapeId="0" xr:uid="{BB2E78D2-6713-4E7F-89F0-9632690DA563}">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01" authorId="0" shapeId="0" xr:uid="{1D94BE3D-F83A-4766-8B06-49EAC0D320E8}">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W1 &amp; X3</t>
        </r>
      </text>
    </comment>
    <comment ref="F415" authorId="0" shapeId="0" xr:uid="{E8E397CF-A454-4D36-BE3D-0E79D642DD9C}">
      <text>
        <r>
          <rPr>
            <b/>
            <sz val="10"/>
            <color indexed="8"/>
            <rFont val="Calibri"/>
            <family val="2"/>
          </rPr>
          <t>-{ SM421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X2</t>
        </r>
      </text>
    </comment>
    <comment ref="F416" authorId="0" shapeId="0" xr:uid="{764C2E9F-C1C1-4552-8EC3-C1E625C0A392}">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X1</t>
        </r>
      </text>
    </comment>
    <comment ref="F419" authorId="0" shapeId="0" xr:uid="{B99350D0-8019-40DF-AB6D-691D3FE834B5}">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T6 &amp; X2</t>
        </r>
      </text>
    </comment>
    <comment ref="F434" authorId="0" shapeId="0" xr:uid="{B614E126-388D-4836-A4D0-7B4F7DF49881}">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35" authorId="0" shapeId="0" xr:uid="{45185668-B0B3-4B99-985D-4A7306DB2A7C}">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W2</t>
        </r>
      </text>
    </comment>
    <comment ref="F448" authorId="0" shapeId="0" xr:uid="{8160854D-06A1-4F1F-B35D-FD6E7B4DEFA1}">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X3</t>
        </r>
      </text>
    </comment>
    <comment ref="F460" authorId="0" shapeId="0" xr:uid="{CE900A70-00AA-42DA-9E74-AAB3BD80E22F}">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04-SEP]_x000D_
{</t>
        </r>
        <r>
          <rPr>
            <b/>
            <sz val="8.5"/>
            <color indexed="10"/>
            <rFont val="Calibri"/>
            <family val="2"/>
          </rPr>
          <t>CLASSES</t>
        </r>
        <r>
          <rPr>
            <b/>
            <sz val="8.5"/>
            <color indexed="8"/>
            <rFont val="Calibri"/>
            <family val="2"/>
          </rPr>
          <t>}_x000D_
X1</t>
        </r>
      </text>
    </comment>
    <comment ref="F461" authorId="0" shapeId="0" xr:uid="{7CBA8D4B-73A6-4D3F-ACB1-2A136D99570F}">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W1 &amp; X2</t>
        </r>
      </text>
    </comment>
    <comment ref="F462" authorId="0" shapeId="0" xr:uid="{46391866-7E76-442A-8F36-3AEE74FB50B6}">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X1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7E297E3A-1704-4B9F-82E2-8FE5DDF4B330}">
      <text>
        <r>
          <rPr>
            <b/>
            <sz val="10"/>
            <color indexed="8"/>
            <rFont val="Calibri"/>
            <family val="2"/>
          </rPr>
          <t>-{ SM481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 authorId="0" shapeId="0" xr:uid="{3CDB6EAA-A170-4E25-913B-8DB12256ECB0}">
      <text>
        <r>
          <rPr>
            <b/>
            <sz val="10"/>
            <color indexed="8"/>
            <rFont val="Calibri"/>
            <family val="2"/>
          </rPr>
          <t>-{ SM429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 authorId="0" shapeId="0" xr:uid="{BD44AA71-8EB2-4F64-907C-A4529A980414}">
      <text>
        <r>
          <rPr>
            <b/>
            <sz val="10"/>
            <color indexed="8"/>
            <rFont val="Calibri"/>
            <family val="2"/>
          </rPr>
          <t>-{ SM483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 authorId="0" shapeId="0" xr:uid="{A450BE0C-CFD1-4F55-8F80-D7258A0F4A1E}">
      <text>
        <r>
          <rPr>
            <b/>
            <sz val="10"/>
            <color indexed="8"/>
            <rFont val="Calibri"/>
            <family val="2"/>
          </rPr>
          <t>-{ SM981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 authorId="0" shapeId="0" xr:uid="{08EF64C4-44F6-4D4E-8A10-31957B34016C}">
      <text>
        <r>
          <rPr>
            <b/>
            <sz val="10"/>
            <color indexed="8"/>
            <rFont val="Calibri"/>
            <family val="2"/>
          </rPr>
          <t>-{ SM481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2" authorId="0" shapeId="0" xr:uid="{CBC1C96D-DCA5-4372-832D-E7141B3EBF46}">
      <text>
        <r>
          <rPr>
            <b/>
            <sz val="10"/>
            <color indexed="8"/>
            <rFont val="Calibri"/>
            <family val="2"/>
          </rPr>
          <t>-{ SM429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3" authorId="0" shapeId="0" xr:uid="{5F492688-A9DE-4385-9E9E-94D275A2F365}">
      <text>
        <r>
          <rPr>
            <b/>
            <sz val="10"/>
            <color indexed="8"/>
            <rFont val="Calibri"/>
            <family val="2"/>
          </rPr>
          <t>-{ SM483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 authorId="0" shapeId="0" xr:uid="{8CB34964-E5E8-43A8-8EE0-3167EC4D8EAE}">
      <text>
        <r>
          <rPr>
            <b/>
            <sz val="10"/>
            <color indexed="8"/>
            <rFont val="Calibri"/>
            <family val="2"/>
          </rPr>
          <t>-{ SM981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 authorId="0" shapeId="0" xr:uid="{16A30E00-B2D3-4D1D-9FC7-F5D9611D34F2}">
      <text>
        <r>
          <rPr>
            <b/>
            <sz val="10"/>
            <color indexed="8"/>
            <rFont val="Calibri"/>
            <family val="2"/>
          </rPr>
          <t>-{ SM481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 authorId="0" shapeId="0" xr:uid="{BF20654E-7B85-49D8-AEBF-648A5433454A}">
      <text>
        <r>
          <rPr>
            <b/>
            <sz val="10"/>
            <color indexed="8"/>
            <rFont val="Calibri"/>
            <family val="2"/>
          </rPr>
          <t>-{ SM429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0" authorId="0" shapeId="0" xr:uid="{AD80E957-DD24-4513-B07A-AF85DBFBB4A9}">
      <text>
        <r>
          <rPr>
            <b/>
            <sz val="10"/>
            <color indexed="8"/>
            <rFont val="Calibri"/>
            <family val="2"/>
          </rPr>
          <t>-{ SM483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1" authorId="0" shapeId="0" xr:uid="{91E9E91C-C42C-42D9-9977-4F65D1F4963C}">
      <text>
        <r>
          <rPr>
            <b/>
            <sz val="10"/>
            <color indexed="8"/>
            <rFont val="Calibri"/>
            <family val="2"/>
          </rPr>
          <t>-{ SM981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4" authorId="0" shapeId="0" xr:uid="{A6EB1416-EC2E-4537-A4B2-B3AE7B7DC831}">
      <text>
        <r>
          <rPr>
            <b/>
            <sz val="10"/>
            <color indexed="8"/>
            <rFont val="Calibri"/>
            <family val="2"/>
          </rPr>
          <t>-{ SM481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6" authorId="0" shapeId="0" xr:uid="{104BC5CD-B6A5-45EF-9B06-AAD32C23C4C7}">
      <text>
        <r>
          <rPr>
            <b/>
            <sz val="10"/>
            <color indexed="8"/>
            <rFont val="Calibri"/>
            <family val="2"/>
          </rPr>
          <t>-{ SM429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 authorId="0" shapeId="0" xr:uid="{FE324C89-784F-45E8-9F12-C287DEAC1591}">
      <text>
        <r>
          <rPr>
            <b/>
            <sz val="10"/>
            <color indexed="8"/>
            <rFont val="Calibri"/>
            <family val="2"/>
          </rPr>
          <t>-{ SM483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8" authorId="0" shapeId="0" xr:uid="{6E3CB2C2-E29E-4DDD-9B97-595F86EF5571}">
      <text>
        <r>
          <rPr>
            <b/>
            <sz val="10"/>
            <color indexed="8"/>
            <rFont val="Calibri"/>
            <family val="2"/>
          </rPr>
          <t>-{ SM981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293210B6-2076-49EC-8ACF-0470D8130BA4}">
      <text>
        <r>
          <rPr>
            <b/>
            <sz val="10"/>
            <color indexed="8"/>
            <rFont val="Calibri"/>
            <family val="2"/>
          </rPr>
          <t>-{ SM425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 authorId="0" shapeId="0" xr:uid="{41E2E1BC-9412-4702-B841-BD0ABFBBF44C}">
      <text>
        <r>
          <rPr>
            <b/>
            <sz val="10"/>
            <color indexed="8"/>
            <rFont val="Calibri"/>
            <family val="2"/>
          </rPr>
          <t>-{ SM949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 authorId="0" shapeId="0" xr:uid="{971D3B90-880F-488E-A18E-95BAE6F94A36}">
      <text>
        <r>
          <rPr>
            <b/>
            <sz val="10"/>
            <color indexed="8"/>
            <rFont val="Calibri"/>
            <family val="2"/>
          </rPr>
          <t>-{ SM985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 authorId="0" shapeId="0" xr:uid="{2CEEE7F1-1D46-4ECB-AD47-0A05B5E36968}">
      <text>
        <r>
          <rPr>
            <b/>
            <sz val="10"/>
            <color indexed="8"/>
            <rFont val="Calibri"/>
            <family val="2"/>
          </rPr>
          <t>-{ SM425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 authorId="0" shapeId="0" xr:uid="{99448ED9-5385-43BC-BE48-CFFF8C26B172}">
      <text>
        <r>
          <rPr>
            <b/>
            <sz val="10"/>
            <color indexed="8"/>
            <rFont val="Calibri"/>
            <family val="2"/>
          </rPr>
          <t>-{ SM949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 authorId="0" shapeId="0" xr:uid="{74080C68-E3BB-41C3-ADBB-1A465D67D0A8}">
      <text>
        <r>
          <rPr>
            <b/>
            <sz val="10"/>
            <color indexed="8"/>
            <rFont val="Calibri"/>
            <family val="2"/>
          </rPr>
          <t>-{ SM985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7" authorId="0" shapeId="0" xr:uid="{09C02151-9FBD-4F7F-ADD6-BEC214602B73}">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I3</t>
        </r>
      </text>
    </comment>
    <comment ref="F66" authorId="0" shapeId="0" xr:uid="{96B1E170-8F56-4521-B7FB-4C38963F58D8}">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O1 &amp; I7</t>
        </r>
      </text>
    </comment>
    <comment ref="F67" authorId="0" shapeId="0" xr:uid="{0BCE9115-3E22-4336-9DEA-518E9E82F2C0}">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X3 &amp; U1 &amp; O8 &amp; I4</t>
        </r>
      </text>
    </comment>
    <comment ref="F120" authorId="0" shapeId="0" xr:uid="{6B1FA7AC-2B05-4FBC-A58A-503241F6378E}">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22.4%] - [</t>
        </r>
        <r>
          <rPr>
            <b/>
            <sz val="10"/>
            <color indexed="48"/>
            <rFont val="Calibri"/>
            <family val="2"/>
          </rPr>
          <t xml:space="preserve">SOLD </t>
        </r>
        <r>
          <rPr>
            <b/>
            <sz val="10"/>
            <color indexed="8"/>
            <rFont val="Calibri"/>
            <family val="2"/>
          </rPr>
          <t>» 40 PAX]</t>
        </r>
        <r>
          <rPr>
            <b/>
            <sz val="8.5"/>
            <color indexed="8"/>
            <rFont val="Calibri"/>
            <family val="2"/>
          </rPr>
          <t>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K3 &amp; T13 &amp; X5 &amp; U9 &amp; O5 &amp; I5</t>
        </r>
      </text>
    </comment>
    <comment ref="F196" authorId="0" shapeId="0" xr:uid="{914BE7CC-1576-44CB-9A11-26CD530956F2}">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O12 &amp; I3</t>
        </r>
      </text>
    </comment>
    <comment ref="F251" authorId="0" shapeId="0" xr:uid="{32DC7904-428B-4A31-BAC6-61A564D5A98D}">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X3 &amp; I4</t>
        </r>
      </text>
    </comment>
    <comment ref="F272" authorId="0" shapeId="0" xr:uid="{B8C19C5B-3CB2-44F5-BD1C-9A5F15267886}">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X2 &amp; I4</t>
        </r>
      </text>
    </comment>
    <comment ref="F326" authorId="0" shapeId="0" xr:uid="{86751F0B-71CE-4D5C-BD3E-58BCE9887A75}">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27" authorId="0" shapeId="0" xr:uid="{A5939298-D207-4014-B6D9-8AF63D1E9B08}">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X1 &amp; I2</t>
        </r>
      </text>
    </comment>
    <comment ref="F378" authorId="0" shapeId="0" xr:uid="{4342799A-D7E6-4453-ABD7-0C6C0964A663}">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X2 &amp; I5</t>
        </r>
      </text>
    </comment>
    <comment ref="F428" authorId="0" shapeId="0" xr:uid="{CCF2CE90-9AA9-442B-A6C5-1E24249BCB40}">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I1</t>
        </r>
      </text>
    </comment>
    <comment ref="F429" authorId="0" shapeId="0" xr:uid="{AE0A3B01-F786-4352-9505-9D4EDE2B4E91}">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X2 &amp; I1</t>
        </r>
      </text>
    </comment>
    <comment ref="F484" authorId="0" shapeId="0" xr:uid="{645317C6-755A-4B2D-8C85-165FBC398B7C}">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X2 &amp; O1 &amp; I5</t>
        </r>
      </text>
    </comment>
    <comment ref="F529" authorId="0" shapeId="0" xr:uid="{AFF8CDCE-CD4C-47D8-B901-4921E55A63A5}">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16-OCT]_x000D_
{</t>
        </r>
        <r>
          <rPr>
            <b/>
            <sz val="8.5"/>
            <color indexed="10"/>
            <rFont val="Calibri"/>
            <family val="2"/>
          </rPr>
          <t>CLASSES</t>
        </r>
        <r>
          <rPr>
            <b/>
            <sz val="8.5"/>
            <color indexed="8"/>
            <rFont val="Calibri"/>
            <family val="2"/>
          </rPr>
          <t>}_x000D_
X2 &amp; I1</t>
        </r>
      </text>
    </comment>
    <comment ref="F583" authorId="0" shapeId="0" xr:uid="{52E17086-D64C-4430-837A-1C9A2C576F06}">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X1 &amp; I1</t>
        </r>
      </text>
    </comment>
    <comment ref="F639" authorId="0" shapeId="0" xr:uid="{D7B51B3F-CC26-4833-884F-49731103524D}">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S1 &amp; O1 &amp; I4</t>
        </r>
      </text>
    </comment>
    <comment ref="F691" authorId="0" shapeId="0" xr:uid="{4A57918B-C385-48A5-83AF-775E50E29D56}">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I6</t>
        </r>
      </text>
    </comment>
    <comment ref="F702" authorId="0" shapeId="0" xr:uid="{0896A983-EDDE-42F7-931F-66A473F01E7A}">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X3 &amp; I4</t>
        </r>
      </text>
    </comment>
    <comment ref="F750" authorId="0" shapeId="0" xr:uid="{C2ED538B-8515-46B4-A415-0002EDD56D5E}">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G2 &amp; X1</t>
        </r>
      </text>
    </comment>
    <comment ref="F792" authorId="0" shapeId="0" xr:uid="{5814C3C9-64B9-4624-AB0A-9DB9B8F9A9D1}">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W1</t>
        </r>
      </text>
    </comment>
    <comment ref="F797" authorId="0" shapeId="0" xr:uid="{B3909D21-F3ED-49D7-858C-1363FD7C81D4}">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G4 &amp; S2 &amp; W5</t>
        </r>
      </text>
    </comment>
    <comment ref="F841" authorId="0" shapeId="0" xr:uid="{A627FDD2-3898-4438-ABB5-94DFB865F4C5}">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11.2%]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L2 &amp; G9 &amp; S5 &amp; W3 &amp; X1</t>
        </r>
      </text>
    </comment>
    <comment ref="F888" authorId="0" shapeId="0" xr:uid="{A92C22AE-640B-4D3F-BC5C-DC34E066917C}">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14.0%] - [</t>
        </r>
        <r>
          <rPr>
            <b/>
            <sz val="10"/>
            <color indexed="48"/>
            <rFont val="Calibri"/>
            <family val="2"/>
          </rPr>
          <t xml:space="preserve">SOLD </t>
        </r>
        <r>
          <rPr>
            <b/>
            <sz val="10"/>
            <color indexed="8"/>
            <rFont val="Calibri"/>
            <family val="2"/>
          </rPr>
          <t>» 25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W3 &amp; T6 &amp; X9 &amp; U6 &amp; O1</t>
        </r>
      </text>
    </comment>
    <comment ref="F948" authorId="0" shapeId="0" xr:uid="{0FB46359-5E12-43FA-8B1E-58835EDBB4BF}">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U7 &amp; O6</t>
        </r>
      </text>
    </comment>
    <comment ref="F1004" authorId="0" shapeId="0" xr:uid="{041DF835-A274-48B7-8972-4542D45D262D}">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O6</t>
        </r>
      </text>
    </comment>
    <comment ref="F1060" authorId="0" shapeId="0" xr:uid="{50F41A74-35A3-4A83-B0B5-B140B1FAE752}">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O4</t>
        </r>
      </text>
    </comment>
    <comment ref="F1061" authorId="0" shapeId="0" xr:uid="{ABD41F46-6346-4837-AA85-59B9CA466FE2}">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14" authorId="0" shapeId="0" xr:uid="{CD682C2C-BCCC-43FE-AF59-2715ABFED682}">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59" authorId="0" shapeId="0" xr:uid="{5AE13A7E-8F6F-481B-87C8-11FAD2E70DE3}">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60" authorId="0" shapeId="0" xr:uid="{3636CDE8-9DFB-453C-9552-BDD8535F9DC3}">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23-SEP]_x000D_
{</t>
        </r>
        <r>
          <rPr>
            <b/>
            <sz val="8.5"/>
            <color indexed="10"/>
            <rFont val="Calibri"/>
            <family val="2"/>
          </rPr>
          <t>CLASSES</t>
        </r>
        <r>
          <rPr>
            <b/>
            <sz val="8.5"/>
            <color indexed="8"/>
            <rFont val="Calibri"/>
            <family val="2"/>
          </rPr>
          <t>}_x000D_
W1</t>
        </r>
      </text>
    </comment>
    <comment ref="F1211" authorId="0" shapeId="0" xr:uid="{797C56F2-5A68-42C3-8E6E-5CB2FE34CA44}">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S1 &amp; W5</t>
        </r>
      </text>
    </comment>
    <comment ref="F1258" authorId="0" shapeId="0" xr:uid="{61511EDF-9B55-4189-AF38-8FD07F438E73}">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S1 &amp; W2</t>
        </r>
      </text>
    </comment>
    <comment ref="F1298" authorId="0" shapeId="0" xr:uid="{014DFCCF-FC1F-46B0-8568-B2A21066F1B7}">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O4</t>
        </r>
      </text>
    </comment>
    <comment ref="F1348" authorId="0" shapeId="0" xr:uid="{4E4D44F1-9E29-4E9C-801E-18501E917E8E}">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W1 &amp; O1</t>
        </r>
      </text>
    </comment>
    <comment ref="F1400" authorId="0" shapeId="0" xr:uid="{685887F8-0A40-4B54-92FB-1C21144DE841}">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O1</t>
        </r>
      </text>
    </comment>
    <comment ref="F1402" authorId="0" shapeId="0" xr:uid="{55F90197-7E7F-4F16-8FE2-3BD42609F650}">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U6 &amp; O5</t>
        </r>
      </text>
    </comment>
    <comment ref="F1443" authorId="0" shapeId="0" xr:uid="{F2A52BCD-758B-494B-B30F-4F3FC0F1B5FC}">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O3</t>
        </r>
      </text>
    </comment>
    <comment ref="F1494" authorId="0" shapeId="0" xr:uid="{30D79C1C-6B6D-4926-AFB4-91DC48D49833}">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O3</t>
        </r>
      </text>
    </comment>
    <comment ref="F1496" authorId="0" shapeId="0" xr:uid="{3B455D6C-AE47-422D-AE73-B1A1A86550AC}">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O7</t>
        </r>
      </text>
    </comment>
    <comment ref="F1538" authorId="0" shapeId="0" xr:uid="{8A962E45-638E-4953-A435-2C61BDB7DDE9}">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W1 &amp; U3 &amp; O6</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602C4909-18C4-4309-8576-FC5E4D935286}">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I3</t>
        </r>
      </text>
    </comment>
    <comment ref="F3" authorId="0" shapeId="0" xr:uid="{AEE5A6CE-1A76-4D81-8E64-575D0A4A48C6}">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O1 &amp; I7</t>
        </r>
      </text>
    </comment>
    <comment ref="F4" authorId="0" shapeId="0" xr:uid="{5B175696-1C2F-447B-8277-381384C85BD4}">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X3 &amp; U1 &amp; O8 &amp; I4</t>
        </r>
      </text>
    </comment>
    <comment ref="F5" authorId="0" shapeId="0" xr:uid="{17F1E446-950E-4973-8121-E0C017630820}">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22.4%] - [</t>
        </r>
        <r>
          <rPr>
            <b/>
            <sz val="10"/>
            <color indexed="48"/>
            <rFont val="Calibri"/>
            <family val="2"/>
          </rPr>
          <t xml:space="preserve">SOLD </t>
        </r>
        <r>
          <rPr>
            <b/>
            <sz val="10"/>
            <color indexed="8"/>
            <rFont val="Calibri"/>
            <family val="2"/>
          </rPr>
          <t>» 40 PAX]</t>
        </r>
        <r>
          <rPr>
            <b/>
            <sz val="8.5"/>
            <color indexed="8"/>
            <rFont val="Calibri"/>
            <family val="2"/>
          </rPr>
          <t>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K3 &amp; T13 &amp; X5 &amp; U9 &amp; O5 &amp; I5</t>
        </r>
      </text>
    </comment>
    <comment ref="F7" authorId="0" shapeId="0" xr:uid="{A7CA7E6D-8CE9-4DCE-899E-BAE5AF394983}">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O12 &amp; I3</t>
        </r>
      </text>
    </comment>
    <comment ref="F11" authorId="0" shapeId="0" xr:uid="{80558FC8-472A-4E55-8779-AA248EDF2CE3}">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X3 &amp; I4</t>
        </r>
      </text>
    </comment>
    <comment ref="F13" authorId="0" shapeId="0" xr:uid="{AD64C411-DF65-4900-A86A-490A679F570A}">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X2 &amp; I4</t>
        </r>
      </text>
    </comment>
    <comment ref="F14" authorId="0" shapeId="0" xr:uid="{1F87EE06-429C-4DC9-B3EA-30968921D8D5}">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5" authorId="0" shapeId="0" xr:uid="{37CCE156-99D4-493F-8F50-E49205D82B84}">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X1 &amp; I2</t>
        </r>
      </text>
    </comment>
    <comment ref="F17" authorId="0" shapeId="0" xr:uid="{B2E8E006-3210-4BEC-BAB1-95D9AC0A7CAD}">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X2 &amp; I5</t>
        </r>
      </text>
    </comment>
    <comment ref="F18" authorId="0" shapeId="0" xr:uid="{12F52032-AA71-4A2F-A69E-FC698F752561}">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I1</t>
        </r>
      </text>
    </comment>
    <comment ref="F19" authorId="0" shapeId="0" xr:uid="{05A1623F-780F-4262-91A8-3B1FF4F14400}">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X2 &amp; I1</t>
        </r>
      </text>
    </comment>
    <comment ref="F21" authorId="0" shapeId="0" xr:uid="{3A1BEBE4-44AE-4E51-BBBF-C8C7C36421CA}">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X2 &amp; O1 &amp; I5</t>
        </r>
      </text>
    </comment>
    <comment ref="F22" authorId="0" shapeId="0" xr:uid="{332CE089-5DD1-4F86-9631-2089707E66E2}">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16-OCT]_x000D_
{</t>
        </r>
        <r>
          <rPr>
            <b/>
            <sz val="8.5"/>
            <color indexed="10"/>
            <rFont val="Calibri"/>
            <family val="2"/>
          </rPr>
          <t>CLASSES</t>
        </r>
        <r>
          <rPr>
            <b/>
            <sz val="8.5"/>
            <color indexed="8"/>
            <rFont val="Calibri"/>
            <family val="2"/>
          </rPr>
          <t>}_x000D_
X2 &amp; I1</t>
        </r>
      </text>
    </comment>
    <comment ref="F23" authorId="0" shapeId="0" xr:uid="{5F059D40-8031-476E-A8FA-4532A8FBB3AD}">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X1 &amp; I1</t>
        </r>
      </text>
    </comment>
    <comment ref="F25" authorId="0" shapeId="0" xr:uid="{07336BEE-C4F6-4FF3-925C-DE541E3F3995}">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S1 &amp; O1 &amp; I4</t>
        </r>
      </text>
    </comment>
    <comment ref="F26" authorId="0" shapeId="0" xr:uid="{B90FF936-0BDF-4C86-9DF6-C5356F69C2F7}">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I6</t>
        </r>
      </text>
    </comment>
    <comment ref="F30" authorId="0" shapeId="0" xr:uid="{A1BBE7E4-284A-42D7-99C0-7C4681564AD4}">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X3 &amp; I4</t>
        </r>
      </text>
    </comment>
    <comment ref="F31" authorId="0" shapeId="0" xr:uid="{1A0973B1-26B4-42BE-90FB-CBFC98D93EFE}">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G2 &amp; X1</t>
        </r>
      </text>
    </comment>
    <comment ref="F32" authorId="0" shapeId="0" xr:uid="{B75BF442-78CB-4A27-BE8E-1EDE14CAD6ED}">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W1</t>
        </r>
      </text>
    </comment>
    <comment ref="F33" authorId="0" shapeId="0" xr:uid="{1796932D-F32E-4CF9-BFBC-4A6DBDC43CF0}">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G4 &amp; S2 &amp; W5</t>
        </r>
      </text>
    </comment>
    <comment ref="F34" authorId="0" shapeId="0" xr:uid="{1964CC7E-EAA4-46BD-8462-FC6550FA7B05}">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11.2%]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L2 &amp; G9 &amp; S5 &amp; W3 &amp; X1</t>
        </r>
      </text>
    </comment>
    <comment ref="F35" authorId="0" shapeId="0" xr:uid="{1A173466-FB4E-4CEB-A5BB-5F0EC94C992D}">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14.0%] - [</t>
        </r>
        <r>
          <rPr>
            <b/>
            <sz val="10"/>
            <color indexed="48"/>
            <rFont val="Calibri"/>
            <family val="2"/>
          </rPr>
          <t xml:space="preserve">SOLD </t>
        </r>
        <r>
          <rPr>
            <b/>
            <sz val="10"/>
            <color indexed="8"/>
            <rFont val="Calibri"/>
            <family val="2"/>
          </rPr>
          <t>» 25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W3 &amp; T6 &amp; X9 &amp; U6 &amp; O1</t>
        </r>
      </text>
    </comment>
    <comment ref="F36" authorId="0" shapeId="0" xr:uid="{F113D832-7229-4B0C-BE72-B1428F74875B}">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U7 &amp; O6</t>
        </r>
      </text>
    </comment>
    <comment ref="F42" authorId="0" shapeId="0" xr:uid="{A46E8755-3EF0-42D6-B59D-6B853A86DCBE}">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O6</t>
        </r>
      </text>
    </comment>
    <comment ref="F47" authorId="0" shapeId="0" xr:uid="{B52AECEF-843C-47C8-9FC3-5A2B84D68F98}">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O4</t>
        </r>
      </text>
    </comment>
    <comment ref="F48" authorId="0" shapeId="0" xr:uid="{2875C20A-1B3F-47BA-977B-AD0ADA4C5467}">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9" authorId="0" shapeId="0" xr:uid="{6F5340FF-BEAA-4B90-A473-7E35BF1505BE}">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0" authorId="0" shapeId="0" xr:uid="{49800D2E-947A-42FF-B454-7E2219D4FDCF}">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1" authorId="0" shapeId="0" xr:uid="{D3589B53-699B-4185-B378-FB4CC8B4A0B7}">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23-SEP]_x000D_
{</t>
        </r>
        <r>
          <rPr>
            <b/>
            <sz val="8.5"/>
            <color indexed="10"/>
            <rFont val="Calibri"/>
            <family val="2"/>
          </rPr>
          <t>CLASSES</t>
        </r>
        <r>
          <rPr>
            <b/>
            <sz val="8.5"/>
            <color indexed="8"/>
            <rFont val="Calibri"/>
            <family val="2"/>
          </rPr>
          <t>}_x000D_
W1</t>
        </r>
      </text>
    </comment>
    <comment ref="F52" authorId="0" shapeId="0" xr:uid="{DDF67A5E-323A-40AD-B0E6-22F9602E47EA}">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S1 &amp; W5</t>
        </r>
      </text>
    </comment>
    <comment ref="F53" authorId="0" shapeId="0" xr:uid="{FA21FD62-C7B3-4C98-8D96-B9B10F2CC22A}">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S1 &amp; W2</t>
        </r>
      </text>
    </comment>
    <comment ref="F54" authorId="0" shapeId="0" xr:uid="{084B5398-05C2-4A21-BA18-B98E30180149}">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O4</t>
        </r>
      </text>
    </comment>
    <comment ref="F55" authorId="0" shapeId="0" xr:uid="{E7EDEBD6-2C46-4CB5-8723-84B36C6EED53}">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W1 &amp; O1</t>
        </r>
      </text>
    </comment>
    <comment ref="F56" authorId="0" shapeId="0" xr:uid="{7CBF544D-2DFE-4D8C-B367-91DE6FC7245F}">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O1</t>
        </r>
      </text>
    </comment>
    <comment ref="F57" authorId="0" shapeId="0" xr:uid="{C13ADB42-5FC9-4785-B38D-4D93639C40CB}">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U6 &amp; O5</t>
        </r>
      </text>
    </comment>
    <comment ref="F58" authorId="0" shapeId="0" xr:uid="{933C5307-9293-41DB-BC51-477FE5B1A8BE}">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O3</t>
        </r>
      </text>
    </comment>
    <comment ref="F59" authorId="0" shapeId="0" xr:uid="{36B883F6-C2EB-44C3-B1AB-332F827A1618}">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O3</t>
        </r>
      </text>
    </comment>
    <comment ref="F61" authorId="0" shapeId="0" xr:uid="{157BE05B-2808-4343-985D-C26EF736DB73}">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O7</t>
        </r>
      </text>
    </comment>
    <comment ref="F63" authorId="0" shapeId="0" xr:uid="{B283DC9E-CCBB-44E5-9336-3332A5BDBF60}">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W1 &amp; U3 &amp; O6</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1" authorId="0" shapeId="0" xr:uid="{564038EE-D69C-4191-AE69-A0E5B247DD5B}">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14.0%] - [</t>
        </r>
        <r>
          <rPr>
            <b/>
            <sz val="10"/>
            <color indexed="48"/>
            <rFont val="Calibri"/>
            <family val="2"/>
          </rPr>
          <t xml:space="preserve">SOLD </t>
        </r>
        <r>
          <rPr>
            <b/>
            <sz val="10"/>
            <color indexed="8"/>
            <rFont val="Calibri"/>
            <family val="2"/>
          </rPr>
          <t>» 25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G1 &amp; W6 &amp; X4 &amp; U8 &amp; O6</t>
        </r>
      </text>
    </comment>
    <comment ref="F65" authorId="0" shapeId="0" xr:uid="{25C44D52-6BD1-446E-AB27-C080481D9C95}">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W3 &amp; O1 &amp; I4</t>
        </r>
      </text>
    </comment>
    <comment ref="F81" authorId="0" shapeId="0" xr:uid="{E8409EB4-975A-4FD3-AF6E-8DD4ACD057D6}">
      <text>
        <r>
          <rPr>
            <b/>
            <sz val="10"/>
            <color indexed="8"/>
            <rFont val="Calibri"/>
            <family val="2"/>
          </rPr>
          <t>-{ SM465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18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Y1 &amp; W4 &amp; U4 &amp; O7 &amp; I2</t>
        </r>
      </text>
    </comment>
    <comment ref="F133" authorId="0" shapeId="0" xr:uid="{0FF440E7-DA41-47CF-87F9-42FF91ECA9F1}">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W4 &amp; X5 &amp; U2 &amp; O4 &amp; I1</t>
        </r>
      </text>
    </comment>
    <comment ref="F157" authorId="0" shapeId="0" xr:uid="{23453FCC-EC01-4762-8B44-CDC4EE7B77D1}">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X2 &amp; O1 &amp; I4</t>
        </r>
      </text>
    </comment>
    <comment ref="F173" authorId="0" shapeId="0" xr:uid="{416828FD-1333-400A-AA7F-08E0286105B0}">
      <text>
        <r>
          <rPr>
            <b/>
            <sz val="10"/>
            <color indexed="8"/>
            <rFont val="Calibri"/>
            <family val="2"/>
          </rPr>
          <t>-{ SM465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X6 &amp; O5 &amp; I1</t>
        </r>
      </text>
    </comment>
    <comment ref="F225" authorId="0" shapeId="0" xr:uid="{39D6348C-D347-4B8A-A1B7-13288A67D799}">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12.3%]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K1 &amp; T4 &amp; X16 &amp; U1</t>
        </r>
      </text>
    </comment>
    <comment ref="F249" authorId="0" shapeId="0" xr:uid="{21241335-DAC0-4691-806D-4B28E4213E04}">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U5 &amp; O4</t>
        </r>
      </text>
    </comment>
    <comment ref="F265" authorId="0" shapeId="0" xr:uid="{4AD4B86B-C29E-40BD-985F-8A4DD21A69E3}">
      <text>
        <r>
          <rPr>
            <b/>
            <sz val="10"/>
            <color indexed="8"/>
            <rFont val="Calibri"/>
            <family val="2"/>
          </rPr>
          <t>-{ SM465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V1 &amp; W1 &amp; X5 &amp; U4 &amp; O2</t>
        </r>
      </text>
    </comment>
    <comment ref="F317" authorId="0" shapeId="0" xr:uid="{08E6541B-DEEC-4706-885A-85C8ED66627D}">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X5</t>
        </r>
      </text>
    </comment>
    <comment ref="F341" authorId="0" shapeId="0" xr:uid="{C10AD8EE-C462-490D-A1A6-FFCFDF0C5595}">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W1 &amp; X3 &amp; U3 &amp; O1</t>
        </r>
      </text>
    </comment>
    <comment ref="F357" authorId="0" shapeId="0" xr:uid="{E0070C53-B959-4190-BA21-2B7A8C34DED2}">
      <text>
        <r>
          <rPr>
            <b/>
            <sz val="10"/>
            <color indexed="8"/>
            <rFont val="Calibri"/>
            <family val="2"/>
          </rPr>
          <t>-{ SM465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W1 &amp; X3 &amp; O3</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9FCE0CD5-5716-438C-9560-E68FD6749593}">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17.2%] - [</t>
        </r>
        <r>
          <rPr>
            <b/>
            <sz val="10"/>
            <color indexed="48"/>
            <rFont val="Calibri"/>
            <family val="2"/>
          </rPr>
          <t xml:space="preserve">SOLD </t>
        </r>
        <r>
          <rPr>
            <b/>
            <sz val="10"/>
            <color indexed="8"/>
            <rFont val="Calibri"/>
            <family val="2"/>
          </rPr>
          <t>» 31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X15 &amp; U10 &amp; O5 &amp; I1</t>
        </r>
      </text>
    </comment>
    <comment ref="F16" authorId="0" shapeId="0" xr:uid="{760815D6-FD6B-48B8-910F-CD542314DEC3}">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14.4%] - [</t>
        </r>
        <r>
          <rPr>
            <b/>
            <sz val="10"/>
            <color indexed="48"/>
            <rFont val="Calibri"/>
            <family val="2"/>
          </rPr>
          <t xml:space="preserve">SOLD </t>
        </r>
        <r>
          <rPr>
            <b/>
            <sz val="10"/>
            <color indexed="8"/>
            <rFont val="Calibri"/>
            <family val="2"/>
          </rPr>
          <t>» 26 PAX]</t>
        </r>
        <r>
          <rPr>
            <b/>
            <sz val="8.5"/>
            <color indexed="8"/>
            <rFont val="Calibri"/>
            <family val="2"/>
          </rPr>
          <t>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T5 &amp; X8 &amp; U10 &amp; O3</t>
        </r>
      </text>
    </comment>
    <comment ref="F32" authorId="0" shapeId="0" xr:uid="{379FE20A-C07A-4A8C-8128-4C04B930D544}">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27.8%] - [</t>
        </r>
        <r>
          <rPr>
            <b/>
            <sz val="10"/>
            <color indexed="48"/>
            <rFont val="Calibri"/>
            <family val="2"/>
          </rPr>
          <t xml:space="preserve">SOLD </t>
        </r>
        <r>
          <rPr>
            <b/>
            <sz val="10"/>
            <color indexed="8"/>
            <rFont val="Calibri"/>
            <family val="2"/>
          </rPr>
          <t>» 50 PAX]</t>
        </r>
        <r>
          <rPr>
            <b/>
            <sz val="8.5"/>
            <color indexed="8"/>
            <rFont val="Calibri"/>
            <family val="2"/>
          </rPr>
          <t>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W9 &amp; T15 &amp; X15 &amp; U9</t>
        </r>
      </text>
    </comment>
    <comment ref="F72" authorId="0" shapeId="0" xr:uid="{39E7AF0E-E07D-4639-A43E-73370E9E9FAD}">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X3 &amp; U2 &amp; O7 &amp; I4</t>
        </r>
      </text>
    </comment>
    <comment ref="F101" authorId="0" shapeId="0" xr:uid="{C2776A0A-03FD-4D3B-8622-6BD4FC121898}">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U2 &amp; O7 &amp; I3</t>
        </r>
      </text>
    </comment>
    <comment ref="F118" authorId="0" shapeId="0" xr:uid="{A96684B9-0301-4561-A3CE-DD64089F052B}">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 &amp; U7 &amp; O5 &amp; I5</t>
        </r>
      </text>
    </comment>
    <comment ref="F131" authorId="0" shapeId="0" xr:uid="{36202235-72C0-4583-BA1D-11D8D22313B1}">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23.9%] - [</t>
        </r>
        <r>
          <rPr>
            <b/>
            <sz val="10"/>
            <color indexed="48"/>
            <rFont val="Calibri"/>
            <family val="2"/>
          </rPr>
          <t xml:space="preserve">SOLD </t>
        </r>
        <r>
          <rPr>
            <b/>
            <sz val="10"/>
            <color indexed="8"/>
            <rFont val="Calibri"/>
            <family val="2"/>
          </rPr>
          <t>» 43 PAX]</t>
        </r>
        <r>
          <rPr>
            <b/>
            <sz val="8.5"/>
            <color indexed="8"/>
            <rFont val="Calibri"/>
            <family val="2"/>
          </rPr>
          <t>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W4 &amp; T12 &amp; X16 &amp; U7 &amp; O3</t>
        </r>
      </text>
    </comment>
    <comment ref="F174" authorId="0" shapeId="0" xr:uid="{145EE12C-9DA6-4DCC-A1A6-A9139BB3BB34}">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13.3%] - [</t>
        </r>
        <r>
          <rPr>
            <b/>
            <sz val="10"/>
            <color indexed="48"/>
            <rFont val="Calibri"/>
            <family val="2"/>
          </rPr>
          <t xml:space="preserve">SOLD </t>
        </r>
        <r>
          <rPr>
            <b/>
            <sz val="10"/>
            <color indexed="8"/>
            <rFont val="Calibri"/>
            <family val="2"/>
          </rPr>
          <t>» 24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X8 &amp; U8 &amp; O7 &amp; I1</t>
        </r>
      </text>
    </comment>
    <comment ref="F207" authorId="0" shapeId="0" xr:uid="{C69CCF31-A353-4EFE-B10E-80A5D4325613}">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G1 &amp; X7</t>
        </r>
      </text>
    </comment>
    <comment ref="F221" authorId="0" shapeId="0" xr:uid="{910E57E5-C370-410E-A0D1-B7E56539934B}">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G9 &amp; S4 &amp; W2</t>
        </r>
      </text>
    </comment>
    <comment ref="F239" authorId="0" shapeId="0" xr:uid="{93AF368B-5AC3-4D09-A248-924F3B21FDB7}">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25.6%]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K10 &amp; V12 &amp; L11 &amp; G8 &amp; S4 &amp; W1</t>
        </r>
      </text>
    </comment>
    <comment ref="F279" authorId="0" shapeId="0" xr:uid="{23FAC42E-AE61-4199-A854-4268A0D56677}">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W4 &amp; X2 &amp; U8 &amp; O2</t>
        </r>
      </text>
    </comment>
    <comment ref="F313" authorId="0" shapeId="0" xr:uid="{67D09CDF-3A21-4C12-BB62-B097C6AEF732}">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W5</t>
        </r>
      </text>
    </comment>
    <comment ref="F330" authorId="0" shapeId="0" xr:uid="{1EA49F8F-D5B2-4FD3-9E36-6D65A27547CB}">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12.2%]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L5 &amp; G7 &amp; S10</t>
        </r>
      </text>
    </comment>
    <comment ref="F342" authorId="0" shapeId="0" xr:uid="{CF8E01CE-1661-441C-9671-111890754729}">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G3 &amp; W9</t>
        </r>
      </text>
    </comment>
    <comment ref="F384" authorId="0" shapeId="0" xr:uid="{3E742588-02D7-4F5D-B9AC-C754D2718825}">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O4</t>
        </r>
      </text>
    </comment>
    <comment ref="F414" authorId="0" shapeId="0" xr:uid="{6F066F50-A41F-4AE4-9376-BB06232851AB}">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U8 &amp; O4</t>
        </r>
      </text>
    </comment>
    <comment ref="F431" authorId="0" shapeId="0" xr:uid="{7A3E0F3C-4844-4251-AB56-CA04BF2A10B3}">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 &amp; O6</t>
        </r>
      </text>
    </comment>
    <comment ref="F445" authorId="0" shapeId="0" xr:uid="{D57ADA31-29F6-47A9-802E-CEDFC39FFC63}">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12.2%]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S2 &amp; W3 &amp; T3 &amp; X4 &amp; U7 &amp; O3</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555637EC-7B83-4302-867B-1FC88DB3468B}">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17.2%] - [</t>
        </r>
        <r>
          <rPr>
            <b/>
            <sz val="10"/>
            <color indexed="48"/>
            <rFont val="Calibri"/>
            <family val="2"/>
          </rPr>
          <t xml:space="preserve">SOLD </t>
        </r>
        <r>
          <rPr>
            <b/>
            <sz val="10"/>
            <color indexed="8"/>
            <rFont val="Calibri"/>
            <family val="2"/>
          </rPr>
          <t>» 31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X15 &amp; U10 &amp; O5 &amp; I1</t>
        </r>
      </text>
    </comment>
    <comment ref="F3" authorId="0" shapeId="0" xr:uid="{E98780F6-34BE-4DF2-91FF-264E2CEE5E6D}">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14.4%] - [</t>
        </r>
        <r>
          <rPr>
            <b/>
            <sz val="10"/>
            <color indexed="48"/>
            <rFont val="Calibri"/>
            <family val="2"/>
          </rPr>
          <t xml:space="preserve">SOLD </t>
        </r>
        <r>
          <rPr>
            <b/>
            <sz val="10"/>
            <color indexed="8"/>
            <rFont val="Calibri"/>
            <family val="2"/>
          </rPr>
          <t>» 26 PAX]</t>
        </r>
        <r>
          <rPr>
            <b/>
            <sz val="8.5"/>
            <color indexed="8"/>
            <rFont val="Calibri"/>
            <family val="2"/>
          </rPr>
          <t>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T5 &amp; X8 &amp; U10 &amp; O3</t>
        </r>
      </text>
    </comment>
    <comment ref="F4" authorId="0" shapeId="0" xr:uid="{74370A92-0E47-4670-8CA1-F24525E5DCE9}">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27.8%] - [</t>
        </r>
        <r>
          <rPr>
            <b/>
            <sz val="10"/>
            <color indexed="48"/>
            <rFont val="Calibri"/>
            <family val="2"/>
          </rPr>
          <t xml:space="preserve">SOLD </t>
        </r>
        <r>
          <rPr>
            <b/>
            <sz val="10"/>
            <color indexed="8"/>
            <rFont val="Calibri"/>
            <family val="2"/>
          </rPr>
          <t>» 50 PAX]</t>
        </r>
        <r>
          <rPr>
            <b/>
            <sz val="8.5"/>
            <color indexed="8"/>
            <rFont val="Calibri"/>
            <family val="2"/>
          </rPr>
          <t>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W9 &amp; T15 &amp; X15 &amp; U9</t>
        </r>
      </text>
    </comment>
    <comment ref="F33" authorId="0" shapeId="0" xr:uid="{E0E9CC5F-3CAE-423D-A4CF-A8E36D94F74D}">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X3 &amp; U2 &amp; O7 &amp; I4</t>
        </r>
      </text>
    </comment>
    <comment ref="F47" authorId="0" shapeId="0" xr:uid="{6DD60624-87E9-4284-A444-8576D47C0BD2}">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U2 &amp; O7 &amp; I3</t>
        </r>
      </text>
    </comment>
    <comment ref="F48" authorId="0" shapeId="0" xr:uid="{710DA32D-A477-4414-B126-FACB5E327F6E}">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 &amp; U7 &amp; O5 &amp; I5</t>
        </r>
      </text>
    </comment>
    <comment ref="F49" authorId="0" shapeId="0" xr:uid="{6FAC0019-96FF-4CF8-B1D3-A5E9F82FE8D4}">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23.9%] - [</t>
        </r>
        <r>
          <rPr>
            <b/>
            <sz val="10"/>
            <color indexed="48"/>
            <rFont val="Calibri"/>
            <family val="2"/>
          </rPr>
          <t xml:space="preserve">SOLD </t>
        </r>
        <r>
          <rPr>
            <b/>
            <sz val="10"/>
            <color indexed="8"/>
            <rFont val="Calibri"/>
            <family val="2"/>
          </rPr>
          <t>» 43 PAX]</t>
        </r>
        <r>
          <rPr>
            <b/>
            <sz val="8.5"/>
            <color indexed="8"/>
            <rFont val="Calibri"/>
            <family val="2"/>
          </rPr>
          <t>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W4 &amp; T12 &amp; X16 &amp; U7 &amp; O3</t>
        </r>
      </text>
    </comment>
    <comment ref="F77" authorId="0" shapeId="0" xr:uid="{6C19E060-C0B4-42D1-B7EF-2B1D3D2621D8}">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13.3%] - [</t>
        </r>
        <r>
          <rPr>
            <b/>
            <sz val="10"/>
            <color indexed="48"/>
            <rFont val="Calibri"/>
            <family val="2"/>
          </rPr>
          <t xml:space="preserve">SOLD </t>
        </r>
        <r>
          <rPr>
            <b/>
            <sz val="10"/>
            <color indexed="8"/>
            <rFont val="Calibri"/>
            <family val="2"/>
          </rPr>
          <t>» 24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X8 &amp; U8 &amp; O7 &amp; I1</t>
        </r>
      </text>
    </comment>
    <comment ref="F91" authorId="0" shapeId="0" xr:uid="{717D997F-C13B-4256-AF73-AAEAEA0D40BC}">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G1 &amp; X7</t>
        </r>
      </text>
    </comment>
    <comment ref="F93" authorId="0" shapeId="0" xr:uid="{4892C639-E078-424C-B984-D9B6072C0D18}">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G9 &amp; S4 &amp; W2</t>
        </r>
      </text>
    </comment>
    <comment ref="F94" authorId="0" shapeId="0" xr:uid="{E58011EA-DF20-4BDC-9805-2BF0EB697906}">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25.6%]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K10 &amp; V12 &amp; L11 &amp; G8 &amp; S4 &amp; W1</t>
        </r>
      </text>
    </comment>
    <comment ref="F122" authorId="0" shapeId="0" xr:uid="{BC46BF71-ECE4-4C38-9B72-3A0B14EE1E89}">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W4 &amp; X2 &amp; U8 &amp; O2</t>
        </r>
      </text>
    </comment>
    <comment ref="F136" authorId="0" shapeId="0" xr:uid="{B39B5C80-53C7-4900-A896-0EC8A72B3A6D}">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W5</t>
        </r>
      </text>
    </comment>
    <comment ref="F138" authorId="0" shapeId="0" xr:uid="{19DF6B2C-C9B2-4CC0-A64E-144D9D1BFB45}">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12.2%]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L5 &amp; G7 &amp; S10</t>
        </r>
      </text>
    </comment>
    <comment ref="F140" authorId="0" shapeId="0" xr:uid="{2FED0276-59D6-400C-A602-06D03F4EE681}">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G3 &amp; W9</t>
        </r>
      </text>
    </comment>
    <comment ref="F169" authorId="0" shapeId="0" xr:uid="{BF13CBE1-550A-495D-8ED1-0EE6A5B38A4E}">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O4</t>
        </r>
      </text>
    </comment>
    <comment ref="F183" authorId="0" shapeId="0" xr:uid="{0372CD70-EBC2-4FC2-AFA6-4170198C9013}">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U8 &amp; O4</t>
        </r>
      </text>
    </comment>
    <comment ref="F184" authorId="0" shapeId="0" xr:uid="{C00756E4-1BDA-4788-B9BD-4DEB7B9DE4F3}">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 &amp; O6</t>
        </r>
      </text>
    </comment>
    <comment ref="F185" authorId="0" shapeId="0" xr:uid="{C50DA5BD-4C05-4552-A108-529DB5070F26}">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12.2%]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S2 &amp; W3 &amp; T3 &amp; X4 &amp; U7 &amp; O3</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3" authorId="0" shapeId="0" xr:uid="{C2D80989-F1F9-474D-A835-CB98BAF084B8}">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X5 &amp; O6 &amp; I2</t>
        </r>
      </text>
    </comment>
    <comment ref="F47" authorId="0" shapeId="0" xr:uid="{CCB253DF-F96E-48DF-ACA1-E5F3E991F552}">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X5 &amp; I2</t>
        </r>
      </text>
    </comment>
    <comment ref="F92" authorId="0" shapeId="0" xr:uid="{C43818BD-4FB0-4078-83CA-E72C80608B52}">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I6</t>
        </r>
      </text>
    </comment>
    <comment ref="F126" authorId="0" shapeId="0" xr:uid="{4672B38B-6428-42AA-8506-5960DDB539F3}">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W2 &amp; O1 &amp; I7</t>
        </r>
      </text>
    </comment>
    <comment ref="F171" authorId="0" shapeId="0" xr:uid="{6FCC7451-7BAE-4193-B8E6-08522E4B3645}">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25-OCT]_x000D_
{</t>
        </r>
        <r>
          <rPr>
            <b/>
            <sz val="8.5"/>
            <color indexed="10"/>
            <rFont val="Calibri"/>
            <family val="2"/>
          </rPr>
          <t>CLASSES</t>
        </r>
        <r>
          <rPr>
            <b/>
            <sz val="8.5"/>
            <color indexed="8"/>
            <rFont val="Calibri"/>
            <family val="2"/>
          </rPr>
          <t>}_x000D_
G1 &amp; X1</t>
        </r>
      </text>
    </comment>
    <comment ref="F205" authorId="0" shapeId="0" xr:uid="{E6FCFF71-13E8-4972-8190-EA2A47AA89B7}">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3.3%]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U5 &amp; O1</t>
        </r>
      </text>
    </comment>
    <comment ref="F250" authorId="0" shapeId="0" xr:uid="{49CC7123-7B58-4904-A47A-655F9B68AAF5}">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W1</t>
        </r>
      </text>
    </comment>
    <comment ref="F284" authorId="0" shapeId="0" xr:uid="{458289FD-C885-4DD0-8699-63554505BC39}">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X1 &amp; O1</t>
        </r>
      </text>
    </comment>
    <comment ref="F329" authorId="0" shapeId="0" xr:uid="{F074A32F-51E9-4D34-A65C-89C33DAEF538}">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X1 &amp; O3</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EF6BFE7F-6028-48FB-8F7C-604EE0DA1882}">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I3</t>
        </r>
      </text>
    </comment>
    <comment ref="F12" authorId="0" shapeId="0" xr:uid="{2B25A645-E325-4687-B308-9ADDCAA5F5DD}">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S2 &amp; O3 &amp; I7</t>
        </r>
      </text>
    </comment>
    <comment ref="F25" authorId="0" shapeId="0" xr:uid="{62BE98FB-7184-45B7-9882-B0D59279D569}">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I4</t>
        </r>
      </text>
    </comment>
    <comment ref="F30" authorId="0" shapeId="0" xr:uid="{A62DE164-E18B-4F80-B388-8DEF2CE125B1}">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I6</t>
        </r>
      </text>
    </comment>
    <comment ref="F39" authorId="0" shapeId="0" xr:uid="{D00DD0E3-F889-427B-A6BC-245EDA19AAA8}">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I5</t>
        </r>
      </text>
    </comment>
    <comment ref="F51" authorId="0" shapeId="0" xr:uid="{4FDD1B5C-B968-4F66-974B-5CB09E14EE4B}">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S1 &amp; I2</t>
        </r>
      </text>
    </comment>
    <comment ref="F59" authorId="0" shapeId="0" xr:uid="{56B7F128-88D5-45A8-BE69-57E57CE4F056}">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29-SEP]_x000D_
{</t>
        </r>
        <r>
          <rPr>
            <b/>
            <sz val="8.5"/>
            <color indexed="10"/>
            <rFont val="Calibri"/>
            <family val="2"/>
          </rPr>
          <t>CLASSES</t>
        </r>
        <r>
          <rPr>
            <b/>
            <sz val="8.5"/>
            <color indexed="8"/>
            <rFont val="Calibri"/>
            <family val="2"/>
          </rPr>
          <t>}_x000D_
X3</t>
        </r>
      </text>
    </comment>
    <comment ref="F67" authorId="0" shapeId="0" xr:uid="{0B2B39AC-6E7F-469B-B81D-9E9279826BB4}">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11.7%] - [</t>
        </r>
        <r>
          <rPr>
            <b/>
            <sz val="10"/>
            <color indexed="48"/>
            <rFont val="Calibri"/>
            <family val="2"/>
          </rPr>
          <t xml:space="preserve">SOLD </t>
        </r>
        <r>
          <rPr>
            <b/>
            <sz val="10"/>
            <color indexed="8"/>
            <rFont val="Calibri"/>
            <family val="2"/>
          </rPr>
          <t>» 21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S2 &amp; W1 &amp; I18</t>
        </r>
      </text>
    </comment>
    <comment ref="F82" authorId="0" shapeId="0" xr:uid="{AD80DD19-5987-4E8E-9F51-BC1525EBB9CF}">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O3</t>
        </r>
      </text>
    </comment>
    <comment ref="F88" authorId="0" shapeId="0" xr:uid="{31DD6689-D308-4BEE-B0DA-20444637367C}">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6" authorId="0" shapeId="0" xr:uid="{2CBBA6B6-7317-41F8-A73C-F215EA37EB3C}">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W6 &amp; I2</t>
        </r>
      </text>
    </comment>
    <comment ref="F111" authorId="0" shapeId="0" xr:uid="{39B55038-0E24-45C1-A0AA-3C858AE108C0}">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O1</t>
        </r>
      </text>
    </comment>
    <comment ref="F116" authorId="0" shapeId="0" xr:uid="{70879DE8-8C7B-41D8-8048-661A03B1003A}">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21-SEP]_x000D_
{</t>
        </r>
        <r>
          <rPr>
            <b/>
            <sz val="8.5"/>
            <color indexed="10"/>
            <rFont val="Calibri"/>
            <family val="2"/>
          </rPr>
          <t>CLASSES</t>
        </r>
        <r>
          <rPr>
            <b/>
            <sz val="8.5"/>
            <color indexed="8"/>
            <rFont val="Calibri"/>
            <family val="2"/>
          </rPr>
          <t>}_x000D_
I6</t>
        </r>
      </text>
    </comment>
    <comment ref="F124" authorId="0" shapeId="0" xr:uid="{C15DE79C-6865-4E95-A763-12E8FF62D7D3}">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O2</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047D9747-D79A-44CC-8B60-B8A6E564218A}">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I3</t>
        </r>
      </text>
    </comment>
    <comment ref="F10" authorId="0" shapeId="0" xr:uid="{11E74693-5845-4924-97F3-979A7B45F948}">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S2 &amp; O3 &amp; I7</t>
        </r>
      </text>
    </comment>
    <comment ref="F22" authorId="0" shapeId="0" xr:uid="{8D5A3111-AD98-4A95-B0CE-DEFA3FB53BB3}">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I4</t>
        </r>
      </text>
    </comment>
    <comment ref="F24" authorId="0" shapeId="0" xr:uid="{39E29486-8E95-41DA-8B24-942C6212F601}">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I6</t>
        </r>
      </text>
    </comment>
    <comment ref="F32" authorId="0" shapeId="0" xr:uid="{F28F0D9E-E167-4D23-97CA-AB19012D4491}">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I5</t>
        </r>
      </text>
    </comment>
    <comment ref="F44" authorId="0" shapeId="0" xr:uid="{E8213190-346F-497F-935D-F262346C1B9A}">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S1 &amp; I2</t>
        </r>
      </text>
    </comment>
    <comment ref="F46" authorId="0" shapeId="0" xr:uid="{5B982950-F69E-4DD4-8377-C64AB1AAD892}">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29-SEP]_x000D_
{</t>
        </r>
        <r>
          <rPr>
            <b/>
            <sz val="8.5"/>
            <color indexed="10"/>
            <rFont val="Calibri"/>
            <family val="2"/>
          </rPr>
          <t>CLASSES</t>
        </r>
        <r>
          <rPr>
            <b/>
            <sz val="8.5"/>
            <color indexed="8"/>
            <rFont val="Calibri"/>
            <family val="2"/>
          </rPr>
          <t>}_x000D_
X3</t>
        </r>
      </text>
    </comment>
    <comment ref="F52" authorId="0" shapeId="0" xr:uid="{CE4426CA-C0B5-4DD3-A957-87B2615F6FC2}">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11.7%] - [</t>
        </r>
        <r>
          <rPr>
            <b/>
            <sz val="10"/>
            <color indexed="48"/>
            <rFont val="Calibri"/>
            <family val="2"/>
          </rPr>
          <t xml:space="preserve">SOLD </t>
        </r>
        <r>
          <rPr>
            <b/>
            <sz val="10"/>
            <color indexed="8"/>
            <rFont val="Calibri"/>
            <family val="2"/>
          </rPr>
          <t>» 21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S2 &amp; W1 &amp; I18</t>
        </r>
      </text>
    </comment>
    <comment ref="F65" authorId="0" shapeId="0" xr:uid="{81A68515-FE52-4878-B93C-52D3EA8D2624}">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O3</t>
        </r>
      </text>
    </comment>
    <comment ref="F66" authorId="0" shapeId="0" xr:uid="{79114737-E56E-4337-A690-0057C67ABC2E}">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2" authorId="0" shapeId="0" xr:uid="{B1E71516-591C-4239-B933-C0ADE4677DFE}">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W6 &amp; I2</t>
        </r>
      </text>
    </comment>
    <comment ref="F85" authorId="0" shapeId="0" xr:uid="{9FE3AFD4-23DF-422C-AF2C-EECE0E3286F2}">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O1</t>
        </r>
      </text>
    </comment>
    <comment ref="F86" authorId="0" shapeId="0" xr:uid="{F6965DF1-8BE3-4E2C-8905-8C58F18F124B}">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21-SEP]_x000D_
{</t>
        </r>
        <r>
          <rPr>
            <b/>
            <sz val="8.5"/>
            <color indexed="10"/>
            <rFont val="Calibri"/>
            <family val="2"/>
          </rPr>
          <t>CLASSES</t>
        </r>
        <r>
          <rPr>
            <b/>
            <sz val="8.5"/>
            <color indexed="8"/>
            <rFont val="Calibri"/>
            <family val="2"/>
          </rPr>
          <t>}_x000D_
I6</t>
        </r>
      </text>
    </comment>
    <comment ref="F92" authorId="0" shapeId="0" xr:uid="{3E799C7D-270E-4407-B06D-261CA5C7453F}">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O2</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7" authorId="0" shapeId="0" xr:uid="{E1640812-28EE-4C44-91AE-D5885820BDBB}">
      <text>
        <r>
          <rPr>
            <b/>
            <sz val="10"/>
            <color indexed="8"/>
            <rFont val="Calibri"/>
            <family val="2"/>
          </rPr>
          <t>-{ SM327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2" authorId="0" shapeId="0" xr:uid="{9525F749-B88F-4077-8B12-17B4BB06D062}">
      <text>
        <r>
          <rPr>
            <b/>
            <sz val="10"/>
            <color indexed="8"/>
            <rFont val="Calibri"/>
            <family val="2"/>
          </rPr>
          <t>-{ SM327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30-SEP]_x000D_
{</t>
        </r>
        <r>
          <rPr>
            <b/>
            <sz val="8.5"/>
            <color indexed="10"/>
            <rFont val="Calibri"/>
            <family val="2"/>
          </rPr>
          <t>CLASSES</t>
        </r>
        <r>
          <rPr>
            <b/>
            <sz val="8.5"/>
            <color indexed="8"/>
            <rFont val="Calibri"/>
            <family val="2"/>
          </rPr>
          <t>}_x000D_
Y3 &amp; X1</t>
        </r>
      </text>
    </comment>
    <comment ref="F78" authorId="0" shapeId="0" xr:uid="{D43D1CAC-1AA4-43C5-B0D0-E850EC5DCF95}">
      <text>
        <r>
          <rPr>
            <b/>
            <sz val="10"/>
            <color indexed="8"/>
            <rFont val="Calibri"/>
            <family val="2"/>
          </rPr>
          <t>-{ SM327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5" authorId="0" shapeId="0" xr:uid="{40EF0072-72C2-4D5A-B5A0-F79F742D7AE0}">
      <text>
        <r>
          <rPr>
            <b/>
            <sz val="10"/>
            <color indexed="8"/>
            <rFont val="Calibri"/>
            <family val="2"/>
          </rPr>
          <t>-{ SM327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52" authorId="0" shapeId="0" xr:uid="{3CC5EB7C-3BEC-4838-BE90-406DE895A500}">
      <text>
        <r>
          <rPr>
            <b/>
            <sz val="10"/>
            <color indexed="8"/>
            <rFont val="Calibri"/>
            <family val="2"/>
          </rPr>
          <t>-{ SM327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X2 &amp; O2</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BD2700B7-5E57-4872-B43D-810A77E61DD2}">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I3</t>
        </r>
      </text>
    </comment>
    <comment ref="F5" authorId="0" shapeId="0" xr:uid="{240D8F8A-290B-4563-9FB9-D83DDEAB34D3}">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I4</t>
        </r>
      </text>
    </comment>
    <comment ref="F7" authorId="0" shapeId="0" xr:uid="{7BC5285A-1715-4B58-9C10-371E4D47737A}">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I2</t>
        </r>
      </text>
    </comment>
    <comment ref="F9" authorId="0" shapeId="0" xr:uid="{43C5D959-85DF-4217-A86A-3DCE99D655B5}">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2" authorId="0" shapeId="0" xr:uid="{089BD446-E44F-46EC-81E0-A7989500A1F5}">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O5 &amp; I4</t>
        </r>
      </text>
    </comment>
    <comment ref="F14" authorId="0" shapeId="0" xr:uid="{295A2317-6A41-422D-9A11-41151D455583}">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I1</t>
        </r>
      </text>
    </comment>
    <comment ref="F17" authorId="0" shapeId="0" xr:uid="{BE9924FF-D28D-43EC-84F5-6F2C26B3670C}">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03-OCT]_x000D_
{</t>
        </r>
        <r>
          <rPr>
            <b/>
            <sz val="8.5"/>
            <color indexed="10"/>
            <rFont val="Calibri"/>
            <family val="2"/>
          </rPr>
          <t>CLASSES</t>
        </r>
        <r>
          <rPr>
            <b/>
            <sz val="8.5"/>
            <color indexed="8"/>
            <rFont val="Calibri"/>
            <family val="2"/>
          </rPr>
          <t>}_x000D_
X1</t>
        </r>
      </text>
    </comment>
    <comment ref="F19" authorId="0" shapeId="0" xr:uid="{7E4A73AE-832C-4A22-9A6F-B643BFDCDC44}">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G1 &amp; S1 &amp; W1</t>
        </r>
      </text>
    </comment>
    <comment ref="F21" authorId="0" shapeId="0" xr:uid="{2CC81E4B-005A-44DB-81EE-1957FA1E1C6F}">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O1</t>
        </r>
      </text>
    </comment>
    <comment ref="F24" authorId="0" shapeId="0" xr:uid="{168D4F21-794E-4477-AB9D-2E157C062BC0}">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W1</t>
        </r>
      </text>
    </comment>
    <comment ref="F26" authorId="0" shapeId="0" xr:uid="{091525EB-CC5E-44E2-881C-E33E24C6C74F}">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W6</t>
        </r>
      </text>
    </comment>
    <comment ref="F28" authorId="0" shapeId="0" xr:uid="{0B8CA69F-ABF9-4D18-B072-119BF15EB1F8}">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O3</t>
        </r>
      </text>
    </comment>
    <comment ref="F31" authorId="0" shapeId="0" xr:uid="{E0CDE9D6-CFD8-47D2-90A6-C4F068644E2A}">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O1</t>
        </r>
      </text>
    </comment>
    <comment ref="F33" authorId="0" shapeId="0" xr:uid="{43117B4A-5433-4019-9514-92839FFB9811}">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18-OCT]_x000D_
{</t>
        </r>
        <r>
          <rPr>
            <b/>
            <sz val="8.5"/>
            <color indexed="10"/>
            <rFont val="Calibri"/>
            <family val="2"/>
          </rPr>
          <t>CLASSES</t>
        </r>
        <r>
          <rPr>
            <b/>
            <sz val="8.5"/>
            <color indexed="8"/>
            <rFont val="Calibri"/>
            <family val="2"/>
          </rPr>
          <t>}_x000D_
W1 &amp; O1</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DE5E008C-7C81-47B0-AC8C-08342FEFB28C}">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I3</t>
        </r>
      </text>
    </comment>
    <comment ref="F4" authorId="0" shapeId="0" xr:uid="{15B6F6D2-9A00-449A-B634-61F69842FEC5}">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I4</t>
        </r>
      </text>
    </comment>
    <comment ref="F6" authorId="0" shapeId="0" xr:uid="{5B86CA82-B1D3-4E99-BA09-07A79FB0EBF3}">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I2</t>
        </r>
      </text>
    </comment>
    <comment ref="F8" authorId="0" shapeId="0" xr:uid="{AF5B83C2-E768-418F-8733-712D9D18DEA5}">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 authorId="0" shapeId="0" xr:uid="{C86DE0FC-EB62-44D4-A81D-384359D78C94}">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O5 &amp; I4</t>
        </r>
      </text>
    </comment>
    <comment ref="F12" authorId="0" shapeId="0" xr:uid="{E4D0E336-5258-4381-B239-8FA96098A142}">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I1</t>
        </r>
      </text>
    </comment>
    <comment ref="F14" authorId="0" shapeId="0" xr:uid="{48977CB6-735D-4502-AD3E-B1DB67578A08}">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03-OCT]_x000D_
{</t>
        </r>
        <r>
          <rPr>
            <b/>
            <sz val="8.5"/>
            <color indexed="10"/>
            <rFont val="Calibri"/>
            <family val="2"/>
          </rPr>
          <t>CLASSES</t>
        </r>
        <r>
          <rPr>
            <b/>
            <sz val="8.5"/>
            <color indexed="8"/>
            <rFont val="Calibri"/>
            <family val="2"/>
          </rPr>
          <t>}_x000D_
X1</t>
        </r>
      </text>
    </comment>
    <comment ref="F16" authorId="0" shapeId="0" xr:uid="{3A8897E6-BEA0-4EEE-ACDC-291427D63AF7}">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G1 &amp; S1 &amp; W1</t>
        </r>
      </text>
    </comment>
    <comment ref="F18" authorId="0" shapeId="0" xr:uid="{CBBFABE1-B7F2-42CE-9F9C-E900AD76D63F}">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O1</t>
        </r>
      </text>
    </comment>
    <comment ref="F20" authorId="0" shapeId="0" xr:uid="{BA10E716-CCE7-4A9A-A614-B0DCEB153E5D}">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W1</t>
        </r>
      </text>
    </comment>
    <comment ref="F22" authorId="0" shapeId="0" xr:uid="{A831B6EC-93C3-4E4B-9BCD-984886E28093}">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W6</t>
        </r>
      </text>
    </comment>
    <comment ref="F24" authorId="0" shapeId="0" xr:uid="{0B265D7A-93F8-46F6-8A97-539A5C9F2A7B}">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O3</t>
        </r>
      </text>
    </comment>
    <comment ref="F27" authorId="0" shapeId="0" xr:uid="{9F15E299-D25C-4A17-B467-9F2BA24F3361}">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O1</t>
        </r>
      </text>
    </comment>
    <comment ref="F29" authorId="0" shapeId="0" xr:uid="{0C411336-CC4D-4C7A-AB68-71423179AF7A}">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18-OCT]_x000D_
{</t>
        </r>
        <r>
          <rPr>
            <b/>
            <sz val="8.5"/>
            <color indexed="10"/>
            <rFont val="Calibri"/>
            <family val="2"/>
          </rPr>
          <t>CLASSES</t>
        </r>
        <r>
          <rPr>
            <b/>
            <sz val="8.5"/>
            <color indexed="8"/>
            <rFont val="Calibri"/>
            <family val="2"/>
          </rPr>
          <t>}_x000D_
W1 &amp; O1</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7B3D9669-2A05-4C2E-B625-90042C9F6890}">
      <text>
        <r>
          <rPr>
            <b/>
            <sz val="10"/>
            <color indexed="8"/>
            <rFont val="Calibri"/>
            <family val="2"/>
          </rPr>
          <t>-{ SM323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24-OCT]_x000D_
{</t>
        </r>
        <r>
          <rPr>
            <b/>
            <sz val="8.5"/>
            <color indexed="10"/>
            <rFont val="Calibri"/>
            <family val="2"/>
          </rPr>
          <t>CLASSES</t>
        </r>
        <r>
          <rPr>
            <b/>
            <sz val="8.5"/>
            <color indexed="8"/>
            <rFont val="Calibri"/>
            <family val="2"/>
          </rPr>
          <t>}_x000D_
I1</t>
        </r>
      </text>
    </comment>
    <comment ref="F19" authorId="0" shapeId="0" xr:uid="{098950C5-84CE-4C83-A946-25223F08E56A}">
      <text>
        <r>
          <rPr>
            <b/>
            <sz val="10"/>
            <color indexed="8"/>
            <rFont val="Calibri"/>
            <family val="2"/>
          </rPr>
          <t>-{ SM323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I1</t>
        </r>
      </text>
    </comment>
    <comment ref="F33" authorId="0" shapeId="0" xr:uid="{BC419FC3-6D12-487D-BA4A-CCE569A8BF91}">
      <text>
        <r>
          <rPr>
            <b/>
            <sz val="10"/>
            <color indexed="8"/>
            <rFont val="Calibri"/>
            <family val="2"/>
          </rPr>
          <t>-{ SM323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7" authorId="0" shapeId="0" xr:uid="{477A8314-CAF0-4EF1-AEAF-335F9864FE6F}">
      <text>
        <r>
          <rPr>
            <b/>
            <sz val="10"/>
            <color indexed="8"/>
            <rFont val="Calibri"/>
            <family val="2"/>
          </rPr>
          <t>-{ SM323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W5</t>
        </r>
      </text>
    </comment>
    <comment ref="F61" authorId="0" shapeId="0" xr:uid="{DB1F1D10-5207-48A9-B2EC-92C63CBA77EB}">
      <text>
        <r>
          <rPr>
            <b/>
            <sz val="10"/>
            <color indexed="8"/>
            <rFont val="Calibri"/>
            <family val="2"/>
          </rPr>
          <t>-{ SM323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7C3452E4-F745-4124-BF9E-A50B06BE9C4F}">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T3 &amp; X2</t>
        </r>
      </text>
    </comment>
    <comment ref="F4" authorId="0" shapeId="0" xr:uid="{EFA6AE4D-9996-4B7B-97CD-D7B9638DD449}">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T2 &amp; X2</t>
        </r>
      </text>
    </comment>
    <comment ref="F5" authorId="0" shapeId="0" xr:uid="{4E1B2DD0-D684-4345-86DF-EF45F9097453}">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K3 &amp; W3 &amp; T4 &amp; X2</t>
        </r>
      </text>
    </comment>
    <comment ref="F6" authorId="0" shapeId="0" xr:uid="{44E4AB67-BD43-4B86-AF5E-EC553502A2B0}">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T2 &amp; X2 &amp; I5</t>
        </r>
      </text>
    </comment>
    <comment ref="F7" authorId="0" shapeId="0" xr:uid="{5484AD62-A9BF-4331-A080-D73575223128}">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W1 &amp; T4 &amp; X2 &amp; I1</t>
        </r>
      </text>
    </comment>
    <comment ref="F8" authorId="0" shapeId="0" xr:uid="{ABBDCC49-A837-44CE-99FF-1C1C9229E7E4}">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T2 &amp; X2</t>
        </r>
      </text>
    </comment>
    <comment ref="F10" authorId="0" shapeId="0" xr:uid="{49EF609B-46C7-4400-A6EF-441DEC4CC8F8}">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T3 &amp; X2</t>
        </r>
      </text>
    </comment>
    <comment ref="F11" authorId="0" shapeId="0" xr:uid="{B68B2ACB-9530-4A38-9B75-1A08D7FB25C1}">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X2</t>
        </r>
      </text>
    </comment>
    <comment ref="F13" authorId="0" shapeId="0" xr:uid="{3664E2C3-328A-4DA7-98AF-4B6503BC8088}">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T1 &amp; X2 &amp; U1</t>
        </r>
      </text>
    </comment>
    <comment ref="F14" authorId="0" shapeId="0" xr:uid="{0B0DEE96-5F66-494F-B86D-668A7A1CC0EE}">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S1 &amp; T4 &amp; X2</t>
        </r>
      </text>
    </comment>
    <comment ref="F15" authorId="0" shapeId="0" xr:uid="{DE812381-2CE1-4830-A080-2DF4F714447D}">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T3 &amp; X2 &amp; U1</t>
        </r>
      </text>
    </comment>
    <comment ref="F16" authorId="0" shapeId="0" xr:uid="{947A8CC1-B8FD-4EDE-9FBF-1A46849AD663}">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01-SEP]_x000D_
{</t>
        </r>
        <r>
          <rPr>
            <b/>
            <sz val="8.5"/>
            <color indexed="10"/>
            <rFont val="Calibri"/>
            <family val="2"/>
          </rPr>
          <t>CLASSES</t>
        </r>
        <r>
          <rPr>
            <b/>
            <sz val="8.5"/>
            <color indexed="8"/>
            <rFont val="Calibri"/>
            <family val="2"/>
          </rPr>
          <t>}_x000D_
X1</t>
        </r>
      </text>
    </comment>
    <comment ref="F17" authorId="0" shapeId="0" xr:uid="{DAD48FFF-C2F2-403A-92B4-A0EB0801EF71}">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T1 &amp; X1</t>
        </r>
      </text>
    </comment>
    <comment ref="F19" authorId="0" shapeId="0" xr:uid="{D2DAB03B-D368-4998-AF48-A704600A1005}">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T1 &amp; X2</t>
        </r>
      </text>
    </comment>
    <comment ref="F20" authorId="0" shapeId="0" xr:uid="{49954477-6A1F-4234-A407-358F6D39FD8D}">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S1 &amp; X2</t>
        </r>
      </text>
    </comment>
    <comment ref="F22" authorId="0" shapeId="0" xr:uid="{6C6079C9-336B-4642-9730-B9410B629C73}">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W1 &amp; T4 &amp; X3</t>
        </r>
      </text>
    </comment>
    <comment ref="F23" authorId="0" shapeId="0" xr:uid="{83E768F0-E23F-4E0F-A1A5-A8E9EAEABF07}">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S6 &amp; W1 &amp; T4 &amp; X8</t>
        </r>
      </text>
    </comment>
    <comment ref="F24" authorId="0" shapeId="0" xr:uid="{60C67460-2F35-4D7F-8327-6440133A56E2}">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W4 &amp; T8 &amp; X2</t>
        </r>
      </text>
    </comment>
    <comment ref="F25" authorId="0" shapeId="0" xr:uid="{3A01171F-DD9F-4F41-A1C4-6E31F641665E}">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t>
        </r>
      </text>
    </comment>
    <comment ref="F26" authorId="0" shapeId="0" xr:uid="{4E969B8C-49DA-411B-919F-CA05CFB255E6}">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O3</t>
        </r>
      </text>
    </comment>
    <comment ref="F28" authorId="0" shapeId="0" xr:uid="{7DF34F1F-D651-46D2-946A-6269885A13C6}">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 &amp; U1</t>
        </r>
      </text>
    </comment>
    <comment ref="F29" authorId="0" shapeId="0" xr:uid="{3D1783DC-19FF-4E87-BC66-CAA067735771}">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1" authorId="0" shapeId="0" xr:uid="{19D91089-C456-4E2B-85BD-397975699ABE}">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T2 &amp; X2</t>
        </r>
      </text>
    </comment>
    <comment ref="F32" authorId="0" shapeId="0" xr:uid="{95F9B79E-E96F-46BD-9508-86DCF89EE5FB}">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X1</t>
        </r>
      </text>
    </comment>
    <comment ref="F33" authorId="0" shapeId="0" xr:uid="{102F04A3-9CC4-4484-BBE9-B7D3659AA764}">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T1 &amp; X2</t>
        </r>
      </text>
    </comment>
    <comment ref="F34" authorId="0" shapeId="0" xr:uid="{626869DF-BE7C-48EC-B7C1-E8053E286E9C}">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O1</t>
        </r>
      </text>
    </comment>
    <comment ref="F35" authorId="0" shapeId="0" xr:uid="{ACDA6A64-5C54-42AC-8C18-7497496F5AA4}">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29-SEP]_x000D_
{</t>
        </r>
        <r>
          <rPr>
            <b/>
            <sz val="8.5"/>
            <color indexed="10"/>
            <rFont val="Calibri"/>
            <family val="2"/>
          </rPr>
          <t>CLASSES</t>
        </r>
        <r>
          <rPr>
            <b/>
            <sz val="8.5"/>
            <color indexed="8"/>
            <rFont val="Calibri"/>
            <family val="2"/>
          </rPr>
          <t>}_x000D_
X1</t>
        </r>
      </text>
    </comment>
    <comment ref="F37" authorId="0" shapeId="0" xr:uid="{4868075F-214A-49DA-BEE3-4B2DEDC43B20}">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X2</t>
        </r>
      </text>
    </comment>
    <comment ref="F38" authorId="0" shapeId="0" xr:uid="{F2E21A7C-A66C-4106-A329-32CB1DD2B37E}">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X2</t>
        </r>
      </text>
    </comment>
    <comment ref="F40" authorId="0" shapeId="0" xr:uid="{105FF1FA-C247-4C2D-B62D-134C31CCF0CB}">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X1</t>
        </r>
      </text>
    </comment>
    <comment ref="F41" authorId="0" shapeId="0" xr:uid="{CDD8F11B-27DC-4769-8894-C6FEC273437D}">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X1</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F82C8ED6-BDC5-471A-8470-A5F89D162FD3}">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T3 &amp; X2</t>
        </r>
      </text>
    </comment>
    <comment ref="F3" authorId="0" shapeId="0" xr:uid="{6D7DB961-D718-41F9-AC43-FAA1C988841C}">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T2 &amp; X2</t>
        </r>
      </text>
    </comment>
    <comment ref="F4" authorId="0" shapeId="0" xr:uid="{E7FEF0A0-1B7F-4013-B1FC-3F26322856A8}">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K3 &amp; W3 &amp; T4 &amp; X2</t>
        </r>
      </text>
    </comment>
    <comment ref="F5" authorId="0" shapeId="0" xr:uid="{A0890194-2B5F-4565-9BE7-01E687F9E3B9}">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T2 &amp; X2 &amp; I5</t>
        </r>
      </text>
    </comment>
    <comment ref="F6" authorId="0" shapeId="0" xr:uid="{109C6FFA-3D5E-43FE-AE6A-53F47A449D26}">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W1 &amp; T4 &amp; X2 &amp; I1</t>
        </r>
      </text>
    </comment>
    <comment ref="F7" authorId="0" shapeId="0" xr:uid="{C19220D5-E8DD-4DD4-AC05-40B2FF8C4FD1}">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T2 &amp; X2</t>
        </r>
      </text>
    </comment>
    <comment ref="F8" authorId="0" shapeId="0" xr:uid="{19C21C45-EC25-4A8D-86F8-A2BD58711E33}">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T3 &amp; X2</t>
        </r>
      </text>
    </comment>
    <comment ref="F9" authorId="0" shapeId="0" xr:uid="{C7579302-0CCA-464A-916F-733537EFC143}">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X2</t>
        </r>
      </text>
    </comment>
    <comment ref="F10" authorId="0" shapeId="0" xr:uid="{FC109FE4-EA05-474F-921C-530522AE7C58}">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T1 &amp; X2 &amp; U1</t>
        </r>
      </text>
    </comment>
    <comment ref="F11" authorId="0" shapeId="0" xr:uid="{5B105357-C30B-4E02-BF88-84B3B69A9F7C}">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S1 &amp; T4 &amp; X2</t>
        </r>
      </text>
    </comment>
    <comment ref="F12" authorId="0" shapeId="0" xr:uid="{37791B87-07C6-4501-B928-B79EBEDF7E20}">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T3 &amp; X2 &amp; U1</t>
        </r>
      </text>
    </comment>
    <comment ref="F13" authorId="0" shapeId="0" xr:uid="{D0FCA6EE-3B82-4288-92D6-648CCFF70C2C}">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01-SEP]_x000D_
{</t>
        </r>
        <r>
          <rPr>
            <b/>
            <sz val="8.5"/>
            <color indexed="10"/>
            <rFont val="Calibri"/>
            <family val="2"/>
          </rPr>
          <t>CLASSES</t>
        </r>
        <r>
          <rPr>
            <b/>
            <sz val="8.5"/>
            <color indexed="8"/>
            <rFont val="Calibri"/>
            <family val="2"/>
          </rPr>
          <t>}_x000D_
X1</t>
        </r>
      </text>
    </comment>
    <comment ref="F14" authorId="0" shapeId="0" xr:uid="{A4E1CAE0-CB05-4021-94D7-740F6A4E8B20}">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T1 &amp; X1</t>
        </r>
      </text>
    </comment>
    <comment ref="F15" authorId="0" shapeId="0" xr:uid="{6EEA0EA2-97DB-4B68-8398-EE659BDD85C6}">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T1 &amp; X2</t>
        </r>
      </text>
    </comment>
    <comment ref="F16" authorId="0" shapeId="0" xr:uid="{C07FD250-27E0-47E6-9A65-28A318D3FBEE}">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S1 &amp; X2</t>
        </r>
      </text>
    </comment>
    <comment ref="F17" authorId="0" shapeId="0" xr:uid="{7D9403D3-22F6-47B5-BED6-41B442F5F9DE}">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W1 &amp; T4 &amp; X3</t>
        </r>
      </text>
    </comment>
    <comment ref="F18" authorId="0" shapeId="0" xr:uid="{5100A1FB-0B9E-42CD-A530-07ACD4339D1A}">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S6 &amp; W1 &amp; T4 &amp; X8</t>
        </r>
      </text>
    </comment>
    <comment ref="F19" authorId="0" shapeId="0" xr:uid="{95B281DD-A4C0-4CA5-8CD5-0D7A5CFC5DE9}">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W4 &amp; T8 &amp; X2</t>
        </r>
      </text>
    </comment>
    <comment ref="F20" authorId="0" shapeId="0" xr:uid="{1B392BC1-812C-4C37-A843-A6E635918C40}">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t>
        </r>
      </text>
    </comment>
    <comment ref="F21" authorId="0" shapeId="0" xr:uid="{27457B52-AD22-41A5-B81C-33FE5DED8A4F}">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O3</t>
        </r>
      </text>
    </comment>
    <comment ref="F22" authorId="0" shapeId="0" xr:uid="{F3ED7407-7F47-4557-B99B-C2618A2C0DDF}">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 &amp; U1</t>
        </r>
      </text>
    </comment>
    <comment ref="F23" authorId="0" shapeId="0" xr:uid="{34F6EB62-C8E2-472F-8210-10423B5D2657}">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4" authorId="0" shapeId="0" xr:uid="{71BA68C2-9571-4008-B0F9-629111597C81}">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T2 &amp; X2</t>
        </r>
      </text>
    </comment>
    <comment ref="F25" authorId="0" shapeId="0" xr:uid="{57719809-F60B-4010-A658-EF9C30DF7B69}">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X1</t>
        </r>
      </text>
    </comment>
    <comment ref="F26" authorId="0" shapeId="0" xr:uid="{CD8537D4-6150-401B-8C24-7B71D4CF7E11}">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T1 &amp; X2</t>
        </r>
      </text>
    </comment>
    <comment ref="F27" authorId="0" shapeId="0" xr:uid="{ADFB1DA0-32FD-4049-B7FB-3A3C67AB13B6}">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O1</t>
        </r>
      </text>
    </comment>
    <comment ref="F28" authorId="0" shapeId="0" xr:uid="{0BC696FA-06A5-433A-BE72-78E5A787A5E5}">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29-SEP]_x000D_
{</t>
        </r>
        <r>
          <rPr>
            <b/>
            <sz val="8.5"/>
            <color indexed="10"/>
            <rFont val="Calibri"/>
            <family val="2"/>
          </rPr>
          <t>CLASSES</t>
        </r>
        <r>
          <rPr>
            <b/>
            <sz val="8.5"/>
            <color indexed="8"/>
            <rFont val="Calibri"/>
            <family val="2"/>
          </rPr>
          <t>}_x000D_
X1</t>
        </r>
      </text>
    </comment>
    <comment ref="F29" authorId="0" shapeId="0" xr:uid="{5ADF446F-36BF-4409-BFEC-A4DD3FF26544}">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X2</t>
        </r>
      </text>
    </comment>
    <comment ref="F30" authorId="0" shapeId="0" xr:uid="{3788C4BE-3992-464C-ACC2-8DEDF81D63ED}">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X2</t>
        </r>
      </text>
    </comment>
    <comment ref="F31" authorId="0" shapeId="0" xr:uid="{5B1CE680-19CC-4141-B947-DA50D1553D02}">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X1</t>
        </r>
      </text>
    </comment>
    <comment ref="F32" authorId="0" shapeId="0" xr:uid="{3B24586B-B39A-4D90-8AE1-F5B630AD75A9}">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X1</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2371BCE5-0864-44D8-AA78-CEBA0AD98151}">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12.3%]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X3 &amp; U7 &amp; O8 &amp; I4</t>
        </r>
      </text>
    </comment>
    <comment ref="F6" authorId="0" shapeId="0" xr:uid="{939CBC47-BE96-48A0-BE7C-60E244092A66}">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14.5%] - [</t>
        </r>
        <r>
          <rPr>
            <b/>
            <sz val="10"/>
            <color indexed="48"/>
            <rFont val="Calibri"/>
            <family val="2"/>
          </rPr>
          <t xml:space="preserve">SOLD </t>
        </r>
        <r>
          <rPr>
            <b/>
            <sz val="10"/>
            <color indexed="8"/>
            <rFont val="Calibri"/>
            <family val="2"/>
          </rPr>
          <t>» 26 PAX]</t>
        </r>
        <r>
          <rPr>
            <b/>
            <sz val="8.5"/>
            <color indexed="8"/>
            <rFont val="Calibri"/>
            <family val="2"/>
          </rPr>
          <t>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W2 &amp; X10 &amp; U10 &amp; O4</t>
        </r>
      </text>
    </comment>
    <comment ref="F16" authorId="0" shapeId="0" xr:uid="{D78E8930-97BB-4094-BD78-844F33D5FEA6}">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W3 &amp; X4 &amp; U1 &amp; O5 &amp; I3</t>
        </r>
      </text>
    </comment>
    <comment ref="F19" authorId="0" shapeId="0" xr:uid="{FA9558AE-CE1F-49B8-8305-19EE45BB48F9}">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X3 &amp; O4 &amp; I4</t>
        </r>
      </text>
    </comment>
    <comment ref="F23" authorId="0" shapeId="0" xr:uid="{73BE0D3E-CA7E-4193-A787-EFC6D5772302}">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13.4%] - [</t>
        </r>
        <r>
          <rPr>
            <b/>
            <sz val="10"/>
            <color indexed="48"/>
            <rFont val="Calibri"/>
            <family val="2"/>
          </rPr>
          <t xml:space="preserve">SOLD </t>
        </r>
        <r>
          <rPr>
            <b/>
            <sz val="10"/>
            <color indexed="8"/>
            <rFont val="Calibri"/>
            <family val="2"/>
          </rPr>
          <t>» 24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T3 &amp; X8 &amp; U7 &amp; O6</t>
        </r>
      </text>
    </comment>
    <comment ref="F33" authorId="0" shapeId="0" xr:uid="{A337248F-72E7-4DEC-BABF-07764560BF88}">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12.8%] - [</t>
        </r>
        <r>
          <rPr>
            <b/>
            <sz val="10"/>
            <color indexed="48"/>
            <rFont val="Calibri"/>
            <family val="2"/>
          </rPr>
          <t xml:space="preserve">SOLD </t>
        </r>
        <r>
          <rPr>
            <b/>
            <sz val="10"/>
            <color indexed="8"/>
            <rFont val="Calibri"/>
            <family val="2"/>
          </rPr>
          <t>» 23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 &amp; U7 &amp; O7 &amp; I7</t>
        </r>
      </text>
    </comment>
    <comment ref="F36" authorId="0" shapeId="0" xr:uid="{1CA2A66A-7D9B-4A9A-967A-7B58D7C405F3}">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T7 &amp; X7</t>
        </r>
      </text>
    </comment>
    <comment ref="F40" authorId="0" shapeId="0" xr:uid="{61BCFC9C-D2B1-4747-830F-2A6941C0B8C3}">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16.2%] - [</t>
        </r>
        <r>
          <rPr>
            <b/>
            <sz val="10"/>
            <color indexed="48"/>
            <rFont val="Calibri"/>
            <family val="2"/>
          </rPr>
          <t xml:space="preserve">SOLD </t>
        </r>
        <r>
          <rPr>
            <b/>
            <sz val="10"/>
            <color indexed="8"/>
            <rFont val="Calibri"/>
            <family val="2"/>
          </rPr>
          <t>» 29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L17 &amp; S6 &amp; W6</t>
        </r>
      </text>
    </comment>
    <comment ref="F50" authorId="0" shapeId="0" xr:uid="{079A8269-06C8-4707-BB6D-39D8326C46A8}">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W6 &amp; T5 &amp; X4 &amp; U4</t>
        </r>
      </text>
    </comment>
    <comment ref="F53" authorId="0" shapeId="0" xr:uid="{B4674A9A-E092-4740-9BFA-3489B0E26502}">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S7 &amp; W3</t>
        </r>
      </text>
    </comment>
    <comment ref="F57" authorId="0" shapeId="0" xr:uid="{01E2F79D-4654-42F9-91CD-6356AF895223}">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W4</t>
        </r>
      </text>
    </comment>
    <comment ref="F67" authorId="0" shapeId="0" xr:uid="{57688D98-6B47-4852-BCB4-8FCF8D0895B4}">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O3</t>
        </r>
      </text>
    </comment>
    <comment ref="F70" authorId="0" shapeId="0" xr:uid="{51DA31C2-D38C-42A2-BA7F-690AF01675E8}">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W1 &amp; O1</t>
        </r>
      </text>
    </comment>
    <comment ref="F74" authorId="0" shapeId="0" xr:uid="{A98820F8-C825-4DF3-B05E-E4BE0A851844}">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W1 &amp; X5 &amp; U3 &amp; O2</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380A96F7-2AD3-471C-BD9F-4B98BC63FC0F}">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12.3%]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X3 &amp; U7 &amp; O8 &amp; I4</t>
        </r>
      </text>
    </comment>
    <comment ref="F5" authorId="0" shapeId="0" xr:uid="{CDC979CF-78B2-4205-BBA4-B604641CCEAC}">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14.5%] - [</t>
        </r>
        <r>
          <rPr>
            <b/>
            <sz val="10"/>
            <color indexed="48"/>
            <rFont val="Calibri"/>
            <family val="2"/>
          </rPr>
          <t xml:space="preserve">SOLD </t>
        </r>
        <r>
          <rPr>
            <b/>
            <sz val="10"/>
            <color indexed="8"/>
            <rFont val="Calibri"/>
            <family val="2"/>
          </rPr>
          <t>» 26 PAX]</t>
        </r>
        <r>
          <rPr>
            <b/>
            <sz val="8.5"/>
            <color indexed="8"/>
            <rFont val="Calibri"/>
            <family val="2"/>
          </rPr>
          <t>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W2 &amp; X10 &amp; U10 &amp; O4</t>
        </r>
      </text>
    </comment>
    <comment ref="F14" authorId="0" shapeId="0" xr:uid="{CF4A2B1A-386B-4B45-80A5-8685D7C90813}">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W3 &amp; X4 &amp; U1 &amp; O5 &amp; I3</t>
        </r>
      </text>
    </comment>
    <comment ref="F15" authorId="0" shapeId="0" xr:uid="{181638DD-9772-42C7-A239-1E27389C6B8B}">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X3 &amp; O4 &amp; I4</t>
        </r>
      </text>
    </comment>
    <comment ref="F18" authorId="0" shapeId="0" xr:uid="{AD068F5A-42E7-4A8B-ADE2-8B5C1370D299}">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13.4%] - [</t>
        </r>
        <r>
          <rPr>
            <b/>
            <sz val="10"/>
            <color indexed="48"/>
            <rFont val="Calibri"/>
            <family val="2"/>
          </rPr>
          <t xml:space="preserve">SOLD </t>
        </r>
        <r>
          <rPr>
            <b/>
            <sz val="10"/>
            <color indexed="8"/>
            <rFont val="Calibri"/>
            <family val="2"/>
          </rPr>
          <t>» 24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T3 &amp; X8 &amp; U7 &amp; O6</t>
        </r>
      </text>
    </comment>
    <comment ref="F27" authorId="0" shapeId="0" xr:uid="{7DB06D07-5372-4089-B3F3-B61BBD99BEBE}">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12.8%] - [</t>
        </r>
        <r>
          <rPr>
            <b/>
            <sz val="10"/>
            <color indexed="48"/>
            <rFont val="Calibri"/>
            <family val="2"/>
          </rPr>
          <t xml:space="preserve">SOLD </t>
        </r>
        <r>
          <rPr>
            <b/>
            <sz val="10"/>
            <color indexed="8"/>
            <rFont val="Calibri"/>
            <family val="2"/>
          </rPr>
          <t>» 23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X2 &amp; U7 &amp; O7 &amp; I7</t>
        </r>
      </text>
    </comment>
    <comment ref="F28" authorId="0" shapeId="0" xr:uid="{3A9A84C2-A603-4245-AD88-A7ABA433AA16}">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T7 &amp; X7</t>
        </r>
      </text>
    </comment>
    <comment ref="F31" authorId="0" shapeId="0" xr:uid="{33FD94F9-26C1-4E01-9F5A-6B16D9F109F7}">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16.2%] - [</t>
        </r>
        <r>
          <rPr>
            <b/>
            <sz val="10"/>
            <color indexed="48"/>
            <rFont val="Calibri"/>
            <family val="2"/>
          </rPr>
          <t xml:space="preserve">SOLD </t>
        </r>
        <r>
          <rPr>
            <b/>
            <sz val="10"/>
            <color indexed="8"/>
            <rFont val="Calibri"/>
            <family val="2"/>
          </rPr>
          <t>» 29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L17 &amp; S6 &amp; W6</t>
        </r>
      </text>
    </comment>
    <comment ref="F40" authorId="0" shapeId="0" xr:uid="{BA6F9E36-1AFF-4AFB-B9E0-CBB01B5296C9}">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W6 &amp; T5 &amp; X4 &amp; U4</t>
        </r>
      </text>
    </comment>
    <comment ref="F41" authorId="0" shapeId="0" xr:uid="{243F3424-F375-46B3-A266-B2A9A65646C0}">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S7 &amp; W3</t>
        </r>
      </text>
    </comment>
    <comment ref="F44" authorId="0" shapeId="0" xr:uid="{B83F8BA3-16A1-4255-872D-F6CF84DB68A0}">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W4</t>
        </r>
      </text>
    </comment>
    <comment ref="F53" authorId="0" shapeId="0" xr:uid="{DE1459F0-A36D-486A-B372-2E2142683BC5}">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O3</t>
        </r>
      </text>
    </comment>
    <comment ref="F54" authorId="0" shapeId="0" xr:uid="{9572ECF0-2B9F-481A-A81B-835F30D480EB}">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W1 &amp; O1</t>
        </r>
      </text>
    </comment>
    <comment ref="F57" authorId="0" shapeId="0" xr:uid="{3145C373-27FA-4198-A6F9-16B5270ED8D2}">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W1 &amp; X5 &amp; U3 &amp; O2</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50528004-2B3A-43EF-B022-1DB6059B513D}">
      <text>
        <r>
          <rPr>
            <b/>
            <sz val="10"/>
            <color indexed="8"/>
            <rFont val="Calibri"/>
            <family val="2"/>
          </rPr>
          <t>-{ SM445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 &amp; I6</t>
        </r>
      </text>
    </comment>
    <comment ref="F30" authorId="0" shapeId="0" xr:uid="{ABA57564-AA0C-43BB-87EF-D11282FDDA9C}">
      <text>
        <r>
          <rPr>
            <b/>
            <sz val="10"/>
            <color indexed="8"/>
            <rFont val="Calibri"/>
            <family val="2"/>
          </rPr>
          <t>-{ SM445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I6</t>
        </r>
      </text>
    </comment>
    <comment ref="F55" authorId="0" shapeId="0" xr:uid="{12E1CE34-A6BE-4E0C-8AEF-BA8062BF0E9C}">
      <text>
        <r>
          <rPr>
            <b/>
            <sz val="10"/>
            <color indexed="8"/>
            <rFont val="Calibri"/>
            <family val="2"/>
          </rPr>
          <t>-{ SM445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t>
        </r>
      </text>
    </comment>
    <comment ref="F80" authorId="0" shapeId="0" xr:uid="{F7F9500C-7A03-4A3E-B759-3343C81BF2FF}">
      <text>
        <r>
          <rPr>
            <b/>
            <sz val="10"/>
            <color indexed="8"/>
            <rFont val="Calibri"/>
            <family val="2"/>
          </rPr>
          <t>-{ SM445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S3 &amp; W6 &amp; X2</t>
        </r>
      </text>
    </comment>
    <comment ref="F105" authorId="0" shapeId="0" xr:uid="{7F1C66F7-6057-4E84-A164-5E0B780E8FEB}">
      <text>
        <r>
          <rPr>
            <b/>
            <sz val="10"/>
            <color indexed="8"/>
            <rFont val="Calibri"/>
            <family val="2"/>
          </rPr>
          <t>-{ SM445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O5</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97DDCC40-F798-4FF3-98B5-6047DE4AC56D}">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O2 &amp; I4</t>
        </r>
      </text>
    </comment>
    <comment ref="F8" authorId="0" shapeId="0" xr:uid="{28560021-21D2-4CB0-A283-DBE184FFDB4E}">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I6</t>
        </r>
      </text>
    </comment>
    <comment ref="F30" authorId="0" shapeId="0" xr:uid="{E3D5A83B-B2E3-4820-B5CA-3281F0712112}">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 &amp; I3</t>
        </r>
      </text>
    </comment>
    <comment ref="F36" authorId="0" shapeId="0" xr:uid="{F934D218-F622-40BB-AA44-43F28FDE86E0}">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T1 &amp; X2 &amp; I4</t>
        </r>
      </text>
    </comment>
    <comment ref="F43" authorId="0" shapeId="0" xr:uid="{28435D44-04A9-46D7-A1AC-EBFE4C1C2187}">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X1 &amp; O3 &amp; I2</t>
        </r>
      </text>
    </comment>
    <comment ref="F62" authorId="0" shapeId="0" xr:uid="{E4BAAFAF-17EA-4CE2-A3C5-8BE0253BF1D4}">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G1 &amp; X2</t>
        </r>
      </text>
    </comment>
    <comment ref="F66" authorId="0" shapeId="0" xr:uid="{84FB76A0-D31B-4892-ACC0-C2E16273A8A1}">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G8 &amp; S2 &amp; W4</t>
        </r>
      </text>
    </comment>
    <comment ref="F75" authorId="0" shapeId="0" xr:uid="{78265696-758E-442A-B76B-E4A44A2A9D8E}">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 &amp; U10 &amp; O4</t>
        </r>
      </text>
    </comment>
    <comment ref="F92" authorId="0" shapeId="0" xr:uid="{C5281B41-8DC0-45CC-8016-621EA8EBD00D}">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S1 &amp; W4 &amp; O1</t>
        </r>
      </text>
    </comment>
    <comment ref="F98" authorId="0" shapeId="0" xr:uid="{E04C677D-15A8-4CD8-966B-D208D1AC6634}">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W11</t>
        </r>
      </text>
    </comment>
    <comment ref="F107" authorId="0" shapeId="0" xr:uid="{E2D177F0-E6FF-493D-B990-1F1CD8EDD906}">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W2</t>
        </r>
      </text>
    </comment>
    <comment ref="F124" authorId="0" shapeId="0" xr:uid="{E037D369-5AEE-4AC9-8B55-F889DE278313}">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O3</t>
        </r>
      </text>
    </comment>
    <comment ref="F130" authorId="0" shapeId="0" xr:uid="{477CA3B6-AEBE-4C96-A6BA-1BF705308E30}">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G2 &amp; W1 &amp; U3 &amp; O2</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FCD1C988-FC8A-4A35-BF6D-59138E480484}">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O2 &amp; I4</t>
        </r>
      </text>
    </comment>
    <comment ref="F3" authorId="0" shapeId="0" xr:uid="{4A86DEDA-D5BE-4EDA-BF12-FE46760442F4}">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I6</t>
        </r>
      </text>
    </comment>
    <comment ref="F23" authorId="0" shapeId="0" xr:uid="{03D3CDF5-3FB9-4063-B9A4-405E76298C0A}">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 &amp; I3</t>
        </r>
      </text>
    </comment>
    <comment ref="F24" authorId="0" shapeId="0" xr:uid="{2FD44D50-7E3D-4E0D-85B4-3D120D775D7E}">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T1 &amp; X2 &amp; I4</t>
        </r>
      </text>
    </comment>
    <comment ref="F29" authorId="0" shapeId="0" xr:uid="{164ADD3B-FADB-4037-B0FC-9ACDF54650B4}">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X1 &amp; O3 &amp; I2</t>
        </r>
      </text>
    </comment>
    <comment ref="F44" authorId="0" shapeId="0" xr:uid="{B4A68083-F0AB-4413-A4D2-C5BCEB434867}">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G1 &amp; X2</t>
        </r>
      </text>
    </comment>
    <comment ref="F45" authorId="0" shapeId="0" xr:uid="{1E3B07D5-CEAF-48B9-8379-CD1859268143}">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G8 &amp; S2 &amp; W4</t>
        </r>
      </text>
    </comment>
    <comment ref="F51" authorId="0" shapeId="0" xr:uid="{6510253F-BE24-44BB-B278-6E9A543D363C}">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 &amp; U10 &amp; O4</t>
        </r>
      </text>
    </comment>
    <comment ref="F66" authorId="0" shapeId="0" xr:uid="{61D231AF-2059-414E-BA4B-95F83D175C67}">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S1 &amp; W4 &amp; O1</t>
        </r>
      </text>
    </comment>
    <comment ref="F67" authorId="0" shapeId="0" xr:uid="{866EFE09-E64F-48B6-A170-BA4DB9CF8E18}">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W11</t>
        </r>
      </text>
    </comment>
    <comment ref="F73" authorId="0" shapeId="0" xr:uid="{2F098C2F-04F3-43E5-968C-4044FB67448C}">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W2</t>
        </r>
      </text>
    </comment>
    <comment ref="F88" authorId="0" shapeId="0" xr:uid="{0313BD64-A1DA-4C16-8B69-6F95C5DD1845}">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O3</t>
        </r>
      </text>
    </comment>
    <comment ref="F89" authorId="0" shapeId="0" xr:uid="{702A43F2-4374-4B71-BB50-D96EF55700B3}">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G2 &amp; W1 &amp; U3 &amp; O2</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3" authorId="0" shapeId="0" xr:uid="{4E5FE004-D890-4250-9B98-C416A15AA4C0}">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U2 &amp; I3</t>
        </r>
      </text>
    </comment>
    <comment ref="F27" authorId="0" shapeId="0" xr:uid="{D3FE5009-3178-459F-898E-1543980803F0}">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I3</t>
        </r>
      </text>
    </comment>
    <comment ref="F50" authorId="0" shapeId="0" xr:uid="{A4864FA5-F558-40A4-8288-2F4F8660C23F}">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I1</t>
        </r>
      </text>
    </comment>
    <comment ref="F66" authorId="0" shapeId="0" xr:uid="{74D8426B-2CAC-4A38-BBDB-25A2DF38BFA4}">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X1 &amp; I2</t>
        </r>
      </text>
    </comment>
    <comment ref="F90" authorId="0" shapeId="0" xr:uid="{C1F462DE-53EC-413B-B31B-67BBAC4D1D8A}">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23-SEP]_x000D_
{</t>
        </r>
        <r>
          <rPr>
            <b/>
            <sz val="8.5"/>
            <color indexed="10"/>
            <rFont val="Calibri"/>
            <family val="2"/>
          </rPr>
          <t>CLASSES</t>
        </r>
        <r>
          <rPr>
            <b/>
            <sz val="8.5"/>
            <color indexed="8"/>
            <rFont val="Calibri"/>
            <family val="2"/>
          </rPr>
          <t>}_x000D_
X3</t>
        </r>
      </text>
    </comment>
    <comment ref="F107" authorId="0" shapeId="0" xr:uid="{7B8EFA94-B545-405E-BA96-720BC1865404}">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O1</t>
        </r>
      </text>
    </comment>
    <comment ref="F131" authorId="0" shapeId="0" xr:uid="{EE6611D1-CA07-4C4C-9304-B8E231C910AF}">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25-OCT]_x000D_
{</t>
        </r>
        <r>
          <rPr>
            <b/>
            <sz val="8.5"/>
            <color indexed="10"/>
            <rFont val="Calibri"/>
            <family val="2"/>
          </rPr>
          <t>CLASSES</t>
        </r>
        <r>
          <rPr>
            <b/>
            <sz val="8.5"/>
            <color indexed="8"/>
            <rFont val="Calibri"/>
            <family val="2"/>
          </rPr>
          <t>}_x000D_
W2 &amp; X1</t>
        </r>
      </text>
    </comment>
    <comment ref="F148" authorId="0" shapeId="0" xr:uid="{A62CBC65-8197-4A74-9AE7-9CCDEE6D74A1}">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O2</t>
        </r>
      </text>
    </comment>
    <comment ref="F172" authorId="0" shapeId="0" xr:uid="{09DA75BE-E63B-4E48-94DC-D323BCE77667}">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0E2C57E4-D720-43CE-815A-86685A847F64}">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X1 &amp; U1 &amp; I4</t>
        </r>
      </text>
    </comment>
    <comment ref="F6" authorId="0" shapeId="0" xr:uid="{AB818C8B-2A89-4355-A047-519A0559B5FC}">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X2 &amp; O7 &amp; I1</t>
        </r>
      </text>
    </comment>
    <comment ref="F14" authorId="0" shapeId="0" xr:uid="{25AA0514-6B97-4657-AC64-441DCDFABD28}">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S1 &amp; I2</t>
        </r>
      </text>
    </comment>
    <comment ref="F17" authorId="0" shapeId="0" xr:uid="{9FF66719-31C5-4E08-97CC-B7B99900C1B0}">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X1 &amp; U1 &amp; I3</t>
        </r>
      </text>
    </comment>
    <comment ref="F25" authorId="0" shapeId="0" xr:uid="{8929D115-6F60-444C-BB15-2D036B283434}">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G14</t>
        </r>
      </text>
    </comment>
    <comment ref="F29" authorId="0" shapeId="0" xr:uid="{194EE664-AC2B-40BA-BA62-36E48F6103F7}">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15.6%] - [</t>
        </r>
        <r>
          <rPr>
            <b/>
            <sz val="10"/>
            <color indexed="48"/>
            <rFont val="Calibri"/>
            <family val="2"/>
          </rPr>
          <t xml:space="preserve">SOLD </t>
        </r>
        <r>
          <rPr>
            <b/>
            <sz val="10"/>
            <color indexed="8"/>
            <rFont val="Calibri"/>
            <family val="2"/>
          </rPr>
          <t>» 28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G12 &amp; W3</t>
        </r>
      </text>
    </comment>
    <comment ref="F35" authorId="0" shapeId="0" xr:uid="{5BCC6994-2749-4A82-83F1-EAC040B9FF29}">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W2</t>
        </r>
      </text>
    </comment>
    <comment ref="F40" authorId="0" shapeId="0" xr:uid="{502CA6D8-8076-4B80-83A3-295066DFAE11}">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W1</t>
        </r>
      </text>
    </comment>
    <comment ref="F46" authorId="0" shapeId="0" xr:uid="{8ED0885B-E701-422B-951E-5B0EA7396F38}">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0" authorId="0" shapeId="0" xr:uid="{0EFA759D-270B-46DF-9CC6-ECB276C812FA}">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W2 &amp; X1 &amp; O1</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53837C4D-1E39-4F28-AF21-C50D5CA422CA}">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3.4%]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X1 &amp; U1 &amp; I4</t>
        </r>
      </text>
    </comment>
    <comment ref="F3" authorId="0" shapeId="0" xr:uid="{60747400-636E-4BD9-9FAB-DB2F27A0AF71}">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X2 &amp; O7 &amp; I1</t>
        </r>
      </text>
    </comment>
    <comment ref="F9" authorId="0" shapeId="0" xr:uid="{FEE2EE76-738B-42CA-8EA7-2D0A1A78926C}">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S1 &amp; I2</t>
        </r>
      </text>
    </comment>
    <comment ref="F10" authorId="0" shapeId="0" xr:uid="{BE7057BB-1BAF-4231-B3D5-4D3B43E1D7DE}">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X1 &amp; U1 &amp; I3</t>
        </r>
      </text>
    </comment>
    <comment ref="F16" authorId="0" shapeId="0" xr:uid="{D02422DF-2F24-4D30-A120-A6046DD5E9A9}">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G14</t>
        </r>
      </text>
    </comment>
    <comment ref="F18" authorId="0" shapeId="0" xr:uid="{0FFDFD1C-3649-43DB-BC5D-AE8BF8AD70DE}">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15.6%] - [</t>
        </r>
        <r>
          <rPr>
            <b/>
            <sz val="10"/>
            <color indexed="48"/>
            <rFont val="Calibri"/>
            <family val="2"/>
          </rPr>
          <t xml:space="preserve">SOLD </t>
        </r>
        <r>
          <rPr>
            <b/>
            <sz val="10"/>
            <color indexed="8"/>
            <rFont val="Calibri"/>
            <family val="2"/>
          </rPr>
          <t>» 28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G12 &amp; W3</t>
        </r>
      </text>
    </comment>
    <comment ref="F24" authorId="0" shapeId="0" xr:uid="{1E05926C-DF2F-41BF-831F-A718AFCE895F}">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W2</t>
        </r>
      </text>
    </comment>
    <comment ref="F25" authorId="0" shapeId="0" xr:uid="{5A0975C8-C7F4-4ADA-A07F-02C461E2A03D}">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W1</t>
        </r>
      </text>
    </comment>
    <comment ref="F31" authorId="0" shapeId="0" xr:uid="{7CEF39F2-3CC5-492C-8EDC-E426990AD41E}">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2" authorId="0" shapeId="0" xr:uid="{16F54E48-CC4A-4064-B7D5-D63B54F0752C}">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2.2%]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W2 &amp; X1 &amp; O1</t>
        </r>
      </text>
    </comment>
  </commentList>
</comments>
</file>

<file path=xl/sharedStrings.xml><?xml version="1.0" encoding="utf-8"?>
<sst xmlns="http://schemas.openxmlformats.org/spreadsheetml/2006/main" count="106198" uniqueCount="1360">
  <si>
    <t>COMPREHENSIVE REPORT</t>
  </si>
  <si>
    <t>CAI-MED</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</si>
  <si>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</si>
  <si>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</si>
  <si>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</si>
  <si>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</si>
  <si>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</si>
  <si>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</si>
  <si>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</si>
  <si>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</si>
  <si>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</si>
  <si>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</si>
  <si>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</si>
  <si>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</si>
  <si>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</si>
  <si>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</si>
  <si>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</si>
  <si>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</si>
  <si>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</si>
  <si>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</si>
  <si>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</si>
  <si>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</si>
  <si>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</si>
  <si>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</si>
  <si>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</si>
  <si>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</si>
  <si>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</si>
  <si>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XY-575</t>
  </si>
  <si>
    <t>Cabin: 7 KG / Check-in: 20 KG</t>
  </si>
  <si>
    <r>
      <rPr>
        <b/>
        <i/>
        <sz val="13"/>
        <color rgb="FFBC0000"/>
        <rFont val="Calibri"/>
      </rPr>
      <t>4</t>
    </r>
    <r>
      <rPr>
        <b/>
        <i/>
        <sz val="10"/>
        <color rgb="FFBC0000"/>
        <rFont val="Calibri"/>
      </rPr>
      <t xml:space="preserve"> FOR SAME CLASS</t>
    </r>
  </si>
  <si>
    <t>5,365 EGP</t>
  </si>
  <si>
    <t>Cabin: 7 KG / Check-in: 30 KG</t>
  </si>
  <si>
    <r>
      <rPr>
        <i/>
        <sz val="13"/>
        <rFont val="Calibri"/>
      </rPr>
      <t>4</t>
    </r>
    <r>
      <rPr>
        <i/>
        <sz val="10"/>
        <rFont val="Calibri"/>
      </rPr>
      <t xml:space="preserve"> FOR SAME CLASS</t>
    </r>
  </si>
  <si>
    <t>6,646 EGP</t>
  </si>
  <si>
    <t>Cabin: 7 KG / Check-in: 2 x 40 KG</t>
  </si>
  <si>
    <t>7,798 EGP</t>
  </si>
  <si>
    <t>XY-794</t>
  </si>
  <si>
    <r>
      <rPr>
        <b/>
        <i/>
        <sz val="13"/>
        <rFont val="Calibri"/>
      </rPr>
      <t>4</t>
    </r>
    <r>
      <rPr>
        <b/>
        <i/>
        <sz val="10"/>
        <rFont val="Calibri"/>
      </rPr>
      <t xml:space="preserve"> FOR SAME CLASS</t>
    </r>
  </si>
  <si>
    <t>flyadeal</t>
  </si>
  <si>
    <t>F3-770</t>
  </si>
  <si>
    <t>Check-in: 15 KG</t>
  </si>
  <si>
    <r>
      <rPr>
        <b/>
        <i/>
        <sz val="13"/>
        <color rgb="FFBC0000"/>
        <rFont val="Calibri"/>
      </rPr>
      <t>20</t>
    </r>
    <r>
      <rPr>
        <b/>
        <i/>
        <sz val="10"/>
        <color rgb="FFBC0000"/>
        <rFont val="Calibri"/>
      </rPr>
      <t xml:space="preserve"> FOR SAME CLASS</t>
    </r>
  </si>
  <si>
    <t>5,493 EGP</t>
  </si>
  <si>
    <t>Cabin: 10 KG / Check-in: 25 KG</t>
  </si>
  <si>
    <r>
      <rPr>
        <i/>
        <sz val="13"/>
        <rFont val="Calibri"/>
      </rPr>
      <t>20</t>
    </r>
    <r>
      <rPr>
        <i/>
        <sz val="10"/>
        <rFont val="Calibri"/>
      </rPr>
      <t xml:space="preserve"> FOR SAME CLASS</t>
    </r>
  </si>
  <si>
    <t>7,414 EGP</t>
  </si>
  <si>
    <t>Cabin: 10 KG / Check-in: 2 x 40 KG</t>
  </si>
  <si>
    <t>10,872 EGP</t>
  </si>
  <si>
    <t>Saudia</t>
  </si>
  <si>
    <t>SV-318</t>
  </si>
  <si>
    <t>Cabin: 7 KG / Check-in: 23 KG</t>
  </si>
  <si>
    <r>
      <rPr>
        <b/>
        <i/>
        <sz val="13"/>
        <color rgb="FFBC0000"/>
        <rFont val="Calibri"/>
      </rPr>
      <t>+9</t>
    </r>
    <r>
      <rPr>
        <b/>
        <i/>
        <sz val="10"/>
        <color rgb="FFBC0000"/>
        <rFont val="Calibri"/>
      </rPr>
      <t xml:space="preserve"> FOR SAME CLASS</t>
    </r>
  </si>
  <si>
    <t>7,332 EGP</t>
  </si>
  <si>
    <t>Cabin: 7 KG / Check-in: 2 x 46 KG</t>
  </si>
  <si>
    <r>
      <rPr>
        <i/>
        <sz val="13"/>
        <rFont val="Calibri"/>
      </rPr>
      <t>+9</t>
    </r>
    <r>
      <rPr>
        <i/>
        <sz val="10"/>
        <rFont val="Calibri"/>
      </rPr>
      <t xml:space="preserve"> FOR SAME CLASS</t>
    </r>
  </si>
  <si>
    <t>9,086 EGP</t>
  </si>
  <si>
    <t>SV-380</t>
  </si>
  <si>
    <r>
      <rPr>
        <b/>
        <i/>
        <sz val="13"/>
        <rFont val="Calibri"/>
      </rPr>
      <t>+9</t>
    </r>
    <r>
      <rPr>
        <b/>
        <i/>
        <sz val="10"/>
        <rFont val="Calibri"/>
      </rPr>
      <t xml:space="preserve"> FOR SAME CLASS</t>
    </r>
  </si>
  <si>
    <t>SV-390</t>
  </si>
  <si>
    <t>SV-6904</t>
  </si>
  <si>
    <t>15,323 EGP</t>
  </si>
  <si>
    <t>Air Cairo</t>
  </si>
  <si>
    <t>SM-493</t>
  </si>
  <si>
    <t>Cabin: 7 KG | Check-in: 30 KG</t>
  </si>
  <si>
    <t>8,228 EGP</t>
  </si>
  <si>
    <t>SM493</t>
  </si>
  <si>
    <t>NIL</t>
  </si>
  <si>
    <t>T9</t>
  </si>
  <si>
    <t>EgyptAir</t>
  </si>
  <si>
    <t>MS-675</t>
  </si>
  <si>
    <t>Cabin: 7 KG | Check-in: 2 PIECE</t>
  </si>
  <si>
    <t>9,893 EGP</t>
  </si>
  <si>
    <t>MS-693</t>
  </si>
  <si>
    <t>MS-695</t>
  </si>
  <si>
    <t>MS-639</t>
  </si>
  <si>
    <t>11,071 EGP</t>
  </si>
  <si>
    <t>MS-677</t>
  </si>
  <si>
    <t>16,462 EGP</t>
  </si>
  <si>
    <t>4,853 EGP</t>
  </si>
  <si>
    <t>6,774 EGP</t>
  </si>
  <si>
    <r>
      <rPr>
        <b/>
        <i/>
        <sz val="13"/>
        <color rgb="FFBC0000"/>
        <rFont val="Calibri"/>
      </rPr>
      <t>9</t>
    </r>
    <r>
      <rPr>
        <b/>
        <i/>
        <sz val="10"/>
        <color rgb="FFBC0000"/>
        <rFont val="Calibri"/>
      </rPr>
      <t xml:space="preserve"> FOR SAME CLASS</t>
    </r>
  </si>
  <si>
    <t>4,981 EGP</t>
  </si>
  <si>
    <r>
      <rPr>
        <i/>
        <sz val="13"/>
        <rFont val="Calibri"/>
      </rPr>
      <t>9</t>
    </r>
    <r>
      <rPr>
        <i/>
        <sz val="10"/>
        <rFont val="Calibri"/>
      </rPr>
      <t xml:space="preserve"> FOR SAME CLASS</t>
    </r>
  </si>
  <si>
    <t>6,262 EGP</t>
  </si>
  <si>
    <t>13,427 EGP</t>
  </si>
  <si>
    <t>14,785 EGP</t>
  </si>
  <si>
    <t>17,871 EGP</t>
  </si>
  <si>
    <t>F3-776</t>
  </si>
  <si>
    <t>4,469 EGP</t>
  </si>
  <si>
    <t>6,390 EGP</t>
  </si>
  <si>
    <r>
      <rPr>
        <b/>
        <i/>
        <sz val="13"/>
        <rFont val="Calibri"/>
      </rPr>
      <t>9</t>
    </r>
    <r>
      <rPr>
        <b/>
        <i/>
        <sz val="10"/>
        <rFont val="Calibri"/>
      </rPr>
      <t xml:space="preserve"> FOR SAME CLASS</t>
    </r>
  </si>
  <si>
    <r>
      <rPr>
        <b/>
        <i/>
        <sz val="13"/>
        <rFont val="Calibri"/>
      </rPr>
      <t>2</t>
    </r>
    <r>
      <rPr>
        <b/>
        <i/>
        <sz val="10"/>
        <rFont val="Calibri"/>
      </rPr>
      <t xml:space="preserve"> FOR SAME CLASS</t>
    </r>
  </si>
  <si>
    <r>
      <rPr>
        <i/>
        <sz val="13"/>
        <rFont val="Calibri"/>
      </rPr>
      <t>2</t>
    </r>
    <r>
      <rPr>
        <i/>
        <sz val="10"/>
        <rFont val="Calibri"/>
      </rPr>
      <t xml:space="preserve"> FOR SAME CLASS</t>
    </r>
  </si>
  <si>
    <t>14,260 EGP</t>
  </si>
  <si>
    <r>
      <rPr>
        <b/>
        <i/>
        <sz val="13"/>
        <color rgb="FFBC0000"/>
        <rFont val="Calibri"/>
      </rPr>
      <t>13</t>
    </r>
    <r>
      <rPr>
        <b/>
        <i/>
        <sz val="10"/>
        <color rgb="FFBC0000"/>
        <rFont val="Calibri"/>
      </rPr>
      <t xml:space="preserve"> FOR SAME CLASS</t>
    </r>
  </si>
  <si>
    <r>
      <rPr>
        <i/>
        <sz val="13"/>
        <rFont val="Calibri"/>
      </rPr>
      <t>13</t>
    </r>
    <r>
      <rPr>
        <i/>
        <sz val="10"/>
        <rFont val="Calibri"/>
      </rPr>
      <t xml:space="preserve"> FOR SAME CLASS</t>
    </r>
  </si>
  <si>
    <t>6,128 EGP</t>
  </si>
  <si>
    <t>7,882 EGP</t>
  </si>
  <si>
    <r>
      <rPr>
        <b/>
        <i/>
        <sz val="13"/>
        <rFont val="Calibri"/>
      </rPr>
      <t>5</t>
    </r>
    <r>
      <rPr>
        <b/>
        <i/>
        <sz val="10"/>
        <rFont val="Calibri"/>
      </rPr>
      <t xml:space="preserve"> FOR SAME CLASS</t>
    </r>
  </si>
  <si>
    <r>
      <rPr>
        <i/>
        <sz val="13"/>
        <rFont val="Calibri"/>
      </rPr>
      <t>5</t>
    </r>
    <r>
      <rPr>
        <i/>
        <sz val="10"/>
        <rFont val="Calibri"/>
      </rPr>
      <t xml:space="preserve"> FOR SAME CLASS</t>
    </r>
  </si>
  <si>
    <r>
      <rPr>
        <b/>
        <i/>
        <sz val="13"/>
        <color rgb="FFBC0000"/>
        <rFont val="Calibri"/>
      </rPr>
      <t>8</t>
    </r>
    <r>
      <rPr>
        <b/>
        <i/>
        <sz val="10"/>
        <color rgb="FFBC0000"/>
        <rFont val="Calibri"/>
      </rPr>
      <t xml:space="preserve"> FOR SAME CLASS</t>
    </r>
  </si>
  <si>
    <t>T8</t>
  </si>
  <si>
    <t>T2 &amp; E25 &amp; P45</t>
  </si>
  <si>
    <r>
      <rPr>
        <b/>
        <i/>
        <sz val="13"/>
        <color rgb="FFBC0000"/>
        <rFont val="Calibri"/>
      </rPr>
      <t>5</t>
    </r>
    <r>
      <rPr>
        <b/>
        <i/>
        <sz val="10"/>
        <color rgb="FFBC0000"/>
        <rFont val="Calibri"/>
      </rPr>
      <t xml:space="preserve"> FOR SAME CLASS</t>
    </r>
  </si>
  <si>
    <t>10,359 EGP</t>
  </si>
  <si>
    <t>11,640 EGP</t>
  </si>
  <si>
    <t>12,792 EGP</t>
  </si>
  <si>
    <r>
      <rPr>
        <b/>
        <i/>
        <sz val="13"/>
        <color rgb="FFBC0000"/>
        <rFont val="Calibri"/>
      </rPr>
      <t>7</t>
    </r>
    <r>
      <rPr>
        <b/>
        <i/>
        <sz val="10"/>
        <color rgb="FFBC0000"/>
        <rFont val="Calibri"/>
      </rPr>
      <t xml:space="preserve"> FOR SAME CLASS</t>
    </r>
  </si>
  <si>
    <r>
      <rPr>
        <i/>
        <sz val="13"/>
        <rFont val="Calibri"/>
      </rPr>
      <t>7</t>
    </r>
    <r>
      <rPr>
        <i/>
        <sz val="10"/>
        <rFont val="Calibri"/>
      </rPr>
      <t xml:space="preserve"> FOR SAME CLASS</t>
    </r>
  </si>
  <si>
    <t>8,587 EGP</t>
  </si>
  <si>
    <t>10,239 EGP</t>
  </si>
  <si>
    <t>SM-495</t>
  </si>
  <si>
    <t>SM495</t>
  </si>
  <si>
    <r>
      <rPr>
        <b/>
        <i/>
        <sz val="13"/>
        <rFont val="Calibri"/>
      </rPr>
      <t>14</t>
    </r>
    <r>
      <rPr>
        <b/>
        <i/>
        <sz val="10"/>
        <rFont val="Calibri"/>
      </rPr>
      <t xml:space="preserve"> FOR SAME CLASS</t>
    </r>
  </si>
  <si>
    <r>
      <rPr>
        <i/>
        <sz val="13"/>
        <rFont val="Calibri"/>
      </rPr>
      <t>14</t>
    </r>
    <r>
      <rPr>
        <i/>
        <sz val="10"/>
        <rFont val="Calibri"/>
      </rPr>
      <t xml:space="preserve"> FOR SAME CLASS</t>
    </r>
  </si>
  <si>
    <r>
      <rPr>
        <i/>
        <sz val="13"/>
        <rFont val="Calibri"/>
      </rPr>
      <t>8</t>
    </r>
    <r>
      <rPr>
        <i/>
        <sz val="10"/>
        <rFont val="Calibri"/>
      </rPr>
      <t xml:space="preserve"> FOR SAME CLASS</t>
    </r>
  </si>
  <si>
    <t>11,033 EGP</t>
  </si>
  <si>
    <t>11,686 EGP</t>
  </si>
  <si>
    <t>9,207 EGP</t>
  </si>
  <si>
    <t>10,487 EGP</t>
  </si>
  <si>
    <r>
      <rPr>
        <b/>
        <i/>
        <sz val="13"/>
        <color rgb="FFBC0000"/>
        <rFont val="Calibri"/>
      </rPr>
      <t>18</t>
    </r>
    <r>
      <rPr>
        <b/>
        <i/>
        <sz val="10"/>
        <color rgb="FFBC0000"/>
        <rFont val="Calibri"/>
      </rPr>
      <t xml:space="preserve"> FOR SAME CLASS</t>
    </r>
  </si>
  <si>
    <t>6,133 EGP</t>
  </si>
  <si>
    <r>
      <rPr>
        <i/>
        <sz val="13"/>
        <rFont val="Calibri"/>
      </rPr>
      <t>18</t>
    </r>
    <r>
      <rPr>
        <i/>
        <sz val="10"/>
        <rFont val="Calibri"/>
      </rPr>
      <t xml:space="preserve"> FOR SAME CLASS</t>
    </r>
  </si>
  <si>
    <t>8,054 EGP</t>
  </si>
  <si>
    <t>16,142 EGP</t>
  </si>
  <si>
    <r>
      <rPr>
        <b/>
        <i/>
        <sz val="13"/>
        <rFont val="Calibri"/>
      </rPr>
      <t>20</t>
    </r>
    <r>
      <rPr>
        <b/>
        <i/>
        <sz val="10"/>
        <rFont val="Calibri"/>
      </rPr>
      <t xml:space="preserve"> FOR SAME CLASS</t>
    </r>
  </si>
  <si>
    <r>
      <rPr>
        <b/>
        <i/>
        <sz val="13"/>
        <color rgb="FFBC0000"/>
        <rFont val="Calibri"/>
      </rPr>
      <t>3</t>
    </r>
    <r>
      <rPr>
        <b/>
        <i/>
        <sz val="10"/>
        <color rgb="FFBC0000"/>
        <rFont val="Calibri"/>
      </rPr>
      <t xml:space="preserve"> FOR SAME CLASS</t>
    </r>
  </si>
  <si>
    <r>
      <rPr>
        <i/>
        <sz val="13"/>
        <rFont val="Calibri"/>
      </rPr>
      <t>3</t>
    </r>
    <r>
      <rPr>
        <i/>
        <sz val="10"/>
        <rFont val="Calibri"/>
      </rPr>
      <t xml:space="preserve"> FOR SAME CLASS</t>
    </r>
  </si>
  <si>
    <t>T1</t>
  </si>
  <si>
    <t>12,249 EGP</t>
  </si>
  <si>
    <r>
      <rPr>
        <b/>
        <i/>
        <sz val="13"/>
        <color rgb="FFBC0000"/>
        <rFont val="Calibri"/>
      </rPr>
      <t>11</t>
    </r>
    <r>
      <rPr>
        <b/>
        <i/>
        <sz val="10"/>
        <color rgb="FFBC0000"/>
        <rFont val="Calibri"/>
      </rPr>
      <t xml:space="preserve"> FOR SAME CLASS</t>
    </r>
  </si>
  <si>
    <t>5,237 EGP</t>
  </si>
  <si>
    <r>
      <rPr>
        <i/>
        <sz val="13"/>
        <rFont val="Calibri"/>
      </rPr>
      <t>11</t>
    </r>
    <r>
      <rPr>
        <i/>
        <sz val="10"/>
        <rFont val="Calibri"/>
      </rPr>
      <t xml:space="preserve"> FOR SAME CLASS</t>
    </r>
  </si>
  <si>
    <t>7,158 EGP</t>
  </si>
  <si>
    <r>
      <rPr>
        <b/>
        <i/>
        <sz val="13"/>
        <rFont val="Calibri"/>
      </rPr>
      <t>1</t>
    </r>
    <r>
      <rPr>
        <b/>
        <i/>
        <sz val="10"/>
        <rFont val="Calibri"/>
      </rPr>
      <t xml:space="preserve"> FOR SAME CLASS</t>
    </r>
  </si>
  <si>
    <r>
      <rPr>
        <i/>
        <sz val="13"/>
        <rFont val="Calibri"/>
      </rPr>
      <t>1</t>
    </r>
    <r>
      <rPr>
        <i/>
        <sz val="10"/>
        <rFont val="Calibri"/>
      </rPr>
      <t xml:space="preserve"> FOR SAME CLASS</t>
    </r>
  </si>
  <si>
    <r>
      <rPr>
        <b/>
        <i/>
        <sz val="13"/>
        <rFont val="Calibri"/>
      </rPr>
      <t>25</t>
    </r>
    <r>
      <rPr>
        <b/>
        <i/>
        <sz val="10"/>
        <rFont val="Calibri"/>
      </rPr>
      <t xml:space="preserve"> FOR SAME CLASS</t>
    </r>
  </si>
  <si>
    <r>
      <rPr>
        <i/>
        <sz val="13"/>
        <rFont val="Calibri"/>
      </rPr>
      <t>25</t>
    </r>
    <r>
      <rPr>
        <i/>
        <sz val="10"/>
        <rFont val="Calibri"/>
      </rPr>
      <t xml:space="preserve"> FOR SAME CLASS</t>
    </r>
  </si>
  <si>
    <t>7,670 EGP</t>
  </si>
  <si>
    <t>8,823 EGP</t>
  </si>
  <si>
    <r>
      <rPr>
        <b/>
        <i/>
        <sz val="13"/>
        <color rgb="FFBC0000"/>
        <rFont val="Calibri"/>
      </rPr>
      <t>24</t>
    </r>
    <r>
      <rPr>
        <b/>
        <i/>
        <sz val="10"/>
        <color rgb="FFBC0000"/>
        <rFont val="Calibri"/>
      </rPr>
      <t xml:space="preserve"> FOR SAME CLASS</t>
    </r>
  </si>
  <si>
    <r>
      <rPr>
        <i/>
        <sz val="13"/>
        <rFont val="Calibri"/>
      </rPr>
      <t>24</t>
    </r>
    <r>
      <rPr>
        <i/>
        <sz val="10"/>
        <rFont val="Calibri"/>
      </rPr>
      <t xml:space="preserve"> FOR SAME CLASS</t>
    </r>
  </si>
  <si>
    <t>E50</t>
  </si>
  <si>
    <r>
      <rPr>
        <b/>
        <i/>
        <sz val="13"/>
        <color rgb="FFBC0000"/>
        <rFont val="Calibri"/>
      </rPr>
      <t>2</t>
    </r>
    <r>
      <rPr>
        <b/>
        <i/>
        <sz val="10"/>
        <color rgb="FFBC0000"/>
        <rFont val="Calibri"/>
      </rPr>
      <t xml:space="preserve"> FOR SAME CLASS</t>
    </r>
  </si>
  <si>
    <t>24,446 EGP</t>
  </si>
  <si>
    <t>25,278 EGP</t>
  </si>
  <si>
    <t>26,367 EGP</t>
  </si>
  <si>
    <r>
      <rPr>
        <b/>
        <i/>
        <sz val="13"/>
        <color rgb="FFBC0000"/>
        <rFont val="Calibri"/>
      </rPr>
      <t>22</t>
    </r>
    <r>
      <rPr>
        <b/>
        <i/>
        <sz val="10"/>
        <color rgb="FFBC0000"/>
        <rFont val="Calibri"/>
      </rPr>
      <t xml:space="preserve"> FOR SAME CLASS</t>
    </r>
  </si>
  <si>
    <r>
      <rPr>
        <i/>
        <sz val="13"/>
        <rFont val="Calibri"/>
      </rPr>
      <t>22</t>
    </r>
    <r>
      <rPr>
        <i/>
        <sz val="10"/>
        <rFont val="Calibri"/>
      </rPr>
      <t xml:space="preserve"> FOR SAME CLASS</t>
    </r>
  </si>
  <si>
    <t>5,877 EGP</t>
  </si>
  <si>
    <t>8,310 EGP</t>
  </si>
  <si>
    <r>
      <rPr>
        <b/>
        <i/>
        <sz val="13"/>
        <color rgb="FFBC0000"/>
        <rFont val="Calibri"/>
      </rPr>
      <t>19</t>
    </r>
    <r>
      <rPr>
        <b/>
        <i/>
        <sz val="10"/>
        <color rgb="FFBC0000"/>
        <rFont val="Calibri"/>
      </rPr>
      <t xml:space="preserve"> FOR SAME CLASS</t>
    </r>
  </si>
  <si>
    <r>
      <rPr>
        <i/>
        <sz val="13"/>
        <rFont val="Calibri"/>
      </rPr>
      <t>19</t>
    </r>
    <r>
      <rPr>
        <i/>
        <sz val="10"/>
        <rFont val="Calibri"/>
      </rPr>
      <t xml:space="preserve"> FOR SAME CLASS</t>
    </r>
  </si>
  <si>
    <t>T1 &amp; I1 &amp; P50</t>
  </si>
  <si>
    <r>
      <rPr>
        <b/>
        <i/>
        <sz val="13"/>
        <color rgb="FFBC0000"/>
        <rFont val="Calibri"/>
      </rPr>
      <t>15</t>
    </r>
    <r>
      <rPr>
        <b/>
        <i/>
        <sz val="10"/>
        <color rgb="FFBC0000"/>
        <rFont val="Calibri"/>
      </rPr>
      <t xml:space="preserve"> FOR SAME CLASS</t>
    </r>
  </si>
  <si>
    <r>
      <rPr>
        <i/>
        <sz val="13"/>
        <rFont val="Calibri"/>
      </rPr>
      <t>15</t>
    </r>
    <r>
      <rPr>
        <i/>
        <sz val="10"/>
        <rFont val="Calibri"/>
      </rPr>
      <t xml:space="preserve"> FOR SAME CLASS</t>
    </r>
  </si>
  <si>
    <r>
      <rPr>
        <b/>
        <i/>
        <sz val="13"/>
        <color rgb="FFBC0000"/>
        <rFont val="Calibri"/>
      </rPr>
      <t>1</t>
    </r>
    <r>
      <rPr>
        <b/>
        <i/>
        <sz val="10"/>
        <color rgb="FFBC0000"/>
        <rFont val="Calibri"/>
      </rPr>
      <t xml:space="preserve"> FOR SAME CLASS</t>
    </r>
  </si>
  <si>
    <t>23,096 EGP</t>
  </si>
  <si>
    <t>S5</t>
  </si>
  <si>
    <t>7,542 EGP</t>
  </si>
  <si>
    <t>9,975 EGP</t>
  </si>
  <si>
    <t>6,902 EGP</t>
  </si>
  <si>
    <t>8,182 EGP</t>
  </si>
  <si>
    <t>9,335 EGP</t>
  </si>
  <si>
    <t>T2</t>
  </si>
  <si>
    <t>E65</t>
  </si>
  <si>
    <t>T1 &amp; E45</t>
  </si>
  <si>
    <t>T2 &amp; E25</t>
  </si>
  <si>
    <r>
      <rPr>
        <b/>
        <i/>
        <sz val="13"/>
        <color rgb="FFBC0000"/>
        <rFont val="Calibri"/>
      </rPr>
      <t>14</t>
    </r>
    <r>
      <rPr>
        <b/>
        <i/>
        <sz val="10"/>
        <color rgb="FFBC0000"/>
        <rFont val="Calibri"/>
      </rPr>
      <t xml:space="preserve"> FOR SAME CLASS</t>
    </r>
  </si>
  <si>
    <t>18,153 EGP</t>
  </si>
  <si>
    <r>
      <rPr>
        <b/>
        <i/>
        <sz val="13"/>
        <rFont val="Calibri"/>
      </rPr>
      <t>19</t>
    </r>
    <r>
      <rPr>
        <b/>
        <i/>
        <sz val="10"/>
        <rFont val="Calibri"/>
      </rPr>
      <t xml:space="preserve"> FOR SAME CLASS</t>
    </r>
  </si>
  <si>
    <t>12,921 EGP</t>
  </si>
  <si>
    <t>14,073 EGP</t>
  </si>
  <si>
    <t>9,547 EGP</t>
  </si>
  <si>
    <t>S1</t>
  </si>
  <si>
    <t>G5 &amp; S14 &amp; W15 &amp; T10</t>
  </si>
  <si>
    <t>20,419 EGP</t>
  </si>
  <si>
    <r>
      <rPr>
        <b/>
        <i/>
        <sz val="13"/>
        <color rgb="FFBC0000"/>
        <rFont val="Calibri"/>
      </rPr>
      <t>6</t>
    </r>
    <r>
      <rPr>
        <b/>
        <i/>
        <sz val="10"/>
        <color rgb="FFBC0000"/>
        <rFont val="Calibri"/>
      </rPr>
      <t xml:space="preserve"> FOR SAME CLASS</t>
    </r>
  </si>
  <si>
    <t>9,463 EGP</t>
  </si>
  <si>
    <t>10,616 EGP</t>
  </si>
  <si>
    <t>20,560 EGP</t>
  </si>
  <si>
    <r>
      <rPr>
        <b/>
        <i/>
        <sz val="13"/>
        <color rgb="FFBC0000"/>
        <rFont val="Calibri"/>
      </rPr>
      <t>12</t>
    </r>
    <r>
      <rPr>
        <b/>
        <i/>
        <sz val="10"/>
        <color rgb="FFBC0000"/>
        <rFont val="Calibri"/>
      </rPr>
      <t xml:space="preserve"> FOR SAME CLASS</t>
    </r>
  </si>
  <si>
    <r>
      <rPr>
        <i/>
        <sz val="13"/>
        <rFont val="Calibri"/>
      </rPr>
      <t>12</t>
    </r>
    <r>
      <rPr>
        <i/>
        <sz val="10"/>
        <rFont val="Calibri"/>
      </rPr>
      <t xml:space="preserve"> FOR SAME CLASS</t>
    </r>
  </si>
  <si>
    <t>T7</t>
  </si>
  <si>
    <t>T3</t>
  </si>
  <si>
    <t>14,964 EGP</t>
  </si>
  <si>
    <t>16,762 EGP</t>
  </si>
  <si>
    <t>18,043 EGP</t>
  </si>
  <si>
    <t>19,195 EGP</t>
  </si>
  <si>
    <t>14,201 EGP</t>
  </si>
  <si>
    <t>15,482 EGP</t>
  </si>
  <si>
    <t>16,634 EGP</t>
  </si>
  <si>
    <r>
      <rPr>
        <b/>
        <i/>
        <sz val="13"/>
        <color rgb="FFBC0000"/>
        <rFont val="Calibri"/>
      </rPr>
      <t>16</t>
    </r>
    <r>
      <rPr>
        <b/>
        <i/>
        <sz val="10"/>
        <color rgb="FFBC0000"/>
        <rFont val="Calibri"/>
      </rPr>
      <t xml:space="preserve"> FOR SAME CLASS</t>
    </r>
  </si>
  <si>
    <r>
      <rPr>
        <i/>
        <sz val="13"/>
        <rFont val="Calibri"/>
      </rPr>
      <t>16</t>
    </r>
    <r>
      <rPr>
        <i/>
        <sz val="10"/>
        <rFont val="Calibri"/>
      </rPr>
      <t xml:space="preserve"> FOR SAME CLASS</t>
    </r>
  </si>
  <si>
    <r>
      <rPr>
        <b/>
        <i/>
        <sz val="13"/>
        <rFont val="Calibri"/>
      </rPr>
      <t>17</t>
    </r>
    <r>
      <rPr>
        <b/>
        <i/>
        <sz val="10"/>
        <rFont val="Calibri"/>
      </rPr>
      <t xml:space="preserve"> FOR SAME CLASS</t>
    </r>
  </si>
  <si>
    <r>
      <rPr>
        <i/>
        <sz val="13"/>
        <rFont val="Calibri"/>
      </rPr>
      <t>17</t>
    </r>
    <r>
      <rPr>
        <i/>
        <sz val="10"/>
        <rFont val="Calibri"/>
      </rPr>
      <t xml:space="preserve"> FOR SAME CLASS</t>
    </r>
  </si>
  <si>
    <r>
      <rPr>
        <b/>
        <i/>
        <sz val="13"/>
        <color rgb="FFBC0000"/>
        <rFont val="Calibri"/>
      </rPr>
      <t>28</t>
    </r>
    <r>
      <rPr>
        <b/>
        <i/>
        <sz val="10"/>
        <color rgb="FFBC0000"/>
        <rFont val="Calibri"/>
      </rPr>
      <t xml:space="preserve"> FOR SAME CLASS</t>
    </r>
  </si>
  <si>
    <r>
      <rPr>
        <i/>
        <sz val="13"/>
        <rFont val="Calibri"/>
      </rPr>
      <t>28</t>
    </r>
    <r>
      <rPr>
        <i/>
        <sz val="10"/>
        <rFont val="Calibri"/>
      </rPr>
      <t xml:space="preserve"> FOR SAME CLASS</t>
    </r>
  </si>
  <si>
    <r>
      <rPr>
        <b/>
        <i/>
        <sz val="13"/>
        <color rgb="FFBC0000"/>
        <rFont val="Calibri"/>
      </rPr>
      <t>21</t>
    </r>
    <r>
      <rPr>
        <b/>
        <i/>
        <sz val="10"/>
        <color rgb="FFBC0000"/>
        <rFont val="Calibri"/>
      </rPr>
      <t xml:space="preserve"> FOR SAME CLASS</t>
    </r>
  </si>
  <si>
    <r>
      <rPr>
        <i/>
        <sz val="13"/>
        <rFont val="Calibri"/>
      </rPr>
      <t>21</t>
    </r>
    <r>
      <rPr>
        <i/>
        <sz val="10"/>
        <rFont val="Calibri"/>
      </rPr>
      <t xml:space="preserve"> FOR SAME CLASS</t>
    </r>
  </si>
  <si>
    <r>
      <rPr>
        <b/>
        <i/>
        <sz val="13"/>
        <rFont val="Calibri"/>
      </rPr>
      <t>3</t>
    </r>
    <r>
      <rPr>
        <b/>
        <i/>
        <sz val="10"/>
        <rFont val="Calibri"/>
      </rPr>
      <t xml:space="preserve"> FOR SAME CLASS</t>
    </r>
  </si>
  <si>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</si>
  <si>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</si>
  <si>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</si>
  <si>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</si>
  <si>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</si>
  <si>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</si>
  <si>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</si>
  <si>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</si>
  <si>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</si>
  <si>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</si>
  <si>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</si>
  <si>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</si>
  <si>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</si>
  <si>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</si>
  <si>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</si>
  <si>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</si>
  <si>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</si>
  <si>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</si>
  <si>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</si>
  <si>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</si>
  <si>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</si>
  <si>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</si>
  <si>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</si>
  <si>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</si>
  <si>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</si>
  <si>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</si>
  <si>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</si>
  <si>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</si>
  <si>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</si>
  <si>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</si>
  <si>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09:10</t>
  </si>
  <si>
    <t>320</t>
  </si>
  <si>
    <t>UPCOMING</t>
  </si>
  <si>
    <t>SATURDAY</t>
  </si>
  <si>
    <t>05:40</t>
  </si>
  <si>
    <t>SUNDAY</t>
  </si>
  <si>
    <t>17:50</t>
  </si>
  <si>
    <t>E25</t>
  </si>
  <si>
    <t>P45</t>
  </si>
  <si>
    <t>MONDAY</t>
  </si>
  <si>
    <t>20:50</t>
  </si>
  <si>
    <t>TUESDAY</t>
  </si>
  <si>
    <t>19:40</t>
  </si>
  <si>
    <t>I1</t>
  </si>
  <si>
    <t>P50</t>
  </si>
  <si>
    <t>E45</t>
  </si>
  <si>
    <t>G5</t>
  </si>
  <si>
    <t>S14</t>
  </si>
  <si>
    <t>W15</t>
  </si>
  <si>
    <t>T10</t>
  </si>
  <si>
    <t>TOTAL</t>
  </si>
  <si>
    <t>DATE</t>
  </si>
  <si>
    <t>ROUTE</t>
  </si>
  <si>
    <t>2026-01-01</t>
  </si>
  <si>
    <t>14:35</t>
  </si>
  <si>
    <t>10:25</t>
  </si>
  <si>
    <t>05:30</t>
  </si>
  <si>
    <t>08:30</t>
  </si>
  <si>
    <t>21:30</t>
  </si>
  <si>
    <t>04:25</t>
  </si>
  <si>
    <t>HBE-MED</t>
  </si>
  <si>
    <t>SM-485</t>
  </si>
  <si>
    <t>SM485</t>
  </si>
  <si>
    <t>MS-679</t>
  </si>
  <si>
    <t>9,470 EGP</t>
  </si>
  <si>
    <t>Indirect competition route CAI – MED - diversion ratio &amp; passenger leakage</t>
  </si>
  <si>
    <t>4 FOR SAME CLASS</t>
  </si>
  <si>
    <t>20 FOR SAME CLASS</t>
  </si>
  <si>
    <t>+9 FOR SAME CLASS</t>
  </si>
  <si>
    <t>9 FOR SAME CLASS</t>
  </si>
  <si>
    <t>22:35</t>
  </si>
  <si>
    <t>16:45</t>
  </si>
  <si>
    <t>01:35</t>
  </si>
  <si>
    <t>06:55</t>
  </si>
  <si>
    <t>13 FOR SAME CLASS</t>
  </si>
  <si>
    <t>08:25</t>
  </si>
  <si>
    <t>5 FOR SAME CLASS</t>
  </si>
  <si>
    <t>8 FOR SAME CLASS</t>
  </si>
  <si>
    <t>T2 &amp; X9</t>
  </si>
  <si>
    <t>01:30</t>
  </si>
  <si>
    <t>14 FOR SAME CLASS</t>
  </si>
  <si>
    <t>08:05</t>
  </si>
  <si>
    <t>T3 &amp; P45</t>
  </si>
  <si>
    <t>18 FOR SAME CLASS</t>
  </si>
  <si>
    <t>T2 &amp; P45</t>
  </si>
  <si>
    <t>3 FOR SAME CLASS</t>
  </si>
  <si>
    <t>11 FOR SAME CLASS</t>
  </si>
  <si>
    <t>1 FOR SAME CLASS</t>
  </si>
  <si>
    <t>11,865 EGP</t>
  </si>
  <si>
    <t>24 FOR SAME CLASS</t>
  </si>
  <si>
    <t>7,562 EGP</t>
  </si>
  <si>
    <t>X9</t>
  </si>
  <si>
    <t>19 FOR SAME CLASS</t>
  </si>
  <si>
    <t>2 FOR SAME CLASS</t>
  </si>
  <si>
    <t>15 FOR SAME CLASS</t>
  </si>
  <si>
    <t>14,401 EGP</t>
  </si>
  <si>
    <t>15,963 EGP</t>
  </si>
  <si>
    <t>X2</t>
  </si>
  <si>
    <t>X7</t>
  </si>
  <si>
    <t>T4</t>
  </si>
  <si>
    <t>X8</t>
  </si>
  <si>
    <t>X1</t>
  </si>
  <si>
    <t>7 FOR SAME CLASS</t>
  </si>
  <si>
    <t>X3</t>
  </si>
  <si>
    <t>X6</t>
  </si>
  <si>
    <t>X5</t>
  </si>
  <si>
    <t>X4</t>
  </si>
  <si>
    <t>16 FOR SAME CLASS</t>
  </si>
  <si>
    <t>8,894 EGP</t>
  </si>
  <si>
    <t>W3</t>
  </si>
  <si>
    <t>S8 &amp; W2 &amp; T4 &amp; X9</t>
  </si>
  <si>
    <t>17 FOR SAME CLASS</t>
  </si>
  <si>
    <t>11:30</t>
  </si>
  <si>
    <t>03:50</t>
  </si>
  <si>
    <t>WEDNESDAY</t>
  </si>
  <si>
    <t>18:40</t>
  </si>
  <si>
    <t>S8</t>
  </si>
  <si>
    <t>W2</t>
  </si>
  <si>
    <t>CAI-MED AS ALTERNATIVE ROUTE</t>
  </si>
  <si>
    <t>ATZ-MED</t>
  </si>
  <si>
    <t>SM-487</t>
  </si>
  <si>
    <t>6,435 EGP</t>
  </si>
  <si>
    <t>SM487</t>
  </si>
  <si>
    <t>I8</t>
  </si>
  <si>
    <t>X1 &amp; I1</t>
  </si>
  <si>
    <t>I9</t>
  </si>
  <si>
    <t>SM-489</t>
  </si>
  <si>
    <t>SM489</t>
  </si>
  <si>
    <t>Y1 &amp; X3</t>
  </si>
  <si>
    <t>25 FOR SAME CLASS</t>
  </si>
  <si>
    <t>22 FOR SAME CLASS</t>
  </si>
  <si>
    <t>12 FOR SAME CLASS</t>
  </si>
  <si>
    <t>21 FOR SAME CLASS</t>
  </si>
  <si>
    <t>19:15</t>
  </si>
  <si>
    <t>15:30</t>
  </si>
  <si>
    <t>03:00</t>
  </si>
  <si>
    <t>11:05</t>
  </si>
  <si>
    <t>Y1</t>
  </si>
  <si>
    <t>2026-01-02</t>
  </si>
  <si>
    <t>2026-01-03</t>
  </si>
  <si>
    <t>CAI-JED</t>
  </si>
  <si>
    <t>F3-756</t>
  </si>
  <si>
    <t>4,725 EGP</t>
  </si>
  <si>
    <t>F3-762</t>
  </si>
  <si>
    <t>F3-764</t>
  </si>
  <si>
    <t>F3-754</t>
  </si>
  <si>
    <t>5,749 EGP</t>
  </si>
  <si>
    <t>XY-568</t>
  </si>
  <si>
    <t>6,518 EGP</t>
  </si>
  <si>
    <t>XY-570</t>
  </si>
  <si>
    <t>XY-572</t>
  </si>
  <si>
    <t>XY-574</t>
  </si>
  <si>
    <t>XY-590</t>
  </si>
  <si>
    <t>XY-566</t>
  </si>
  <si>
    <t>8,695 EGP</t>
  </si>
  <si>
    <t>XY-578</t>
  </si>
  <si>
    <t>XY-584</t>
  </si>
  <si>
    <t>9,847 EGP</t>
  </si>
  <si>
    <t>Air Arabia Egypt</t>
  </si>
  <si>
    <t>E5-327</t>
  </si>
  <si>
    <t>Cabin: 10 KG / Check-in: 30 KG</t>
  </si>
  <si>
    <t>5,424 EGP</t>
  </si>
  <si>
    <t>8,152 EGP</t>
  </si>
  <si>
    <t>SM-423</t>
  </si>
  <si>
    <t>6,057 EGP</t>
  </si>
  <si>
    <t>SM423</t>
  </si>
  <si>
    <t>U2</t>
  </si>
  <si>
    <t>U4</t>
  </si>
  <si>
    <t>SM-431</t>
  </si>
  <si>
    <t>SM431</t>
  </si>
  <si>
    <t>SM-449</t>
  </si>
  <si>
    <r>
      <rPr>
        <b/>
        <i/>
        <sz val="13"/>
        <rFont val="Calibri"/>
      </rPr>
      <t>6</t>
    </r>
    <r>
      <rPr>
        <b/>
        <i/>
        <sz val="10"/>
        <rFont val="Calibri"/>
      </rPr>
      <t xml:space="preserve"> FOR SAME CLASS</t>
    </r>
  </si>
  <si>
    <t>SM449</t>
  </si>
  <si>
    <t>I7</t>
  </si>
  <si>
    <t>SM-475</t>
  </si>
  <si>
    <t>SM475</t>
  </si>
  <si>
    <t>SM-477</t>
  </si>
  <si>
    <t>SM477</t>
  </si>
  <si>
    <t>SM-479</t>
  </si>
  <si>
    <t>SM479</t>
  </si>
  <si>
    <t>V4 &amp; I10</t>
  </si>
  <si>
    <t>SV-308</t>
  </si>
  <si>
    <t>6,287 EGP</t>
  </si>
  <si>
    <t>8,042 EGP</t>
  </si>
  <si>
    <t>SV-388</t>
  </si>
  <si>
    <t>SV-302</t>
  </si>
  <si>
    <t>8,515 EGP</t>
  </si>
  <si>
    <t>SV-304</t>
  </si>
  <si>
    <t>SV-330</t>
  </si>
  <si>
    <t>SV-386</t>
  </si>
  <si>
    <t>SV-300</t>
  </si>
  <si>
    <t>10,180 EGP</t>
  </si>
  <si>
    <t>11,935 EGP</t>
  </si>
  <si>
    <t>SV-6665</t>
  </si>
  <si>
    <t>11,333 EGP</t>
  </si>
  <si>
    <t>SV-6894</t>
  </si>
  <si>
    <t>SV-6896</t>
  </si>
  <si>
    <t>SV-6892</t>
  </si>
  <si>
    <t>12,882 EGP</t>
  </si>
  <si>
    <t>SV-382</t>
  </si>
  <si>
    <t>14,176 EGP</t>
  </si>
  <si>
    <t>Nile Air</t>
  </si>
  <si>
    <t>NP-127</t>
  </si>
  <si>
    <t>6,748 EGP</t>
  </si>
  <si>
    <t>MS-643</t>
  </si>
  <si>
    <t>7,875 EGP</t>
  </si>
  <si>
    <t>MS-661</t>
  </si>
  <si>
    <t>MS-663</t>
  </si>
  <si>
    <t>MS-667</t>
  </si>
  <si>
    <t>MS-671</t>
  </si>
  <si>
    <t>MS-669</t>
  </si>
  <si>
    <t>8,643 EGP</t>
  </si>
  <si>
    <t>MS-673</t>
  </si>
  <si>
    <t>11,960 EGP</t>
  </si>
  <si>
    <t>Nesma Airlines</t>
  </si>
  <si>
    <t>NE-170</t>
  </si>
  <si>
    <t>20,617 EGP</t>
  </si>
  <si>
    <t>NE-172</t>
  </si>
  <si>
    <t>15,354 EGP</t>
  </si>
  <si>
    <t>7,286 EGP</t>
  </si>
  <si>
    <r>
      <rPr>
        <b/>
        <i/>
        <sz val="13"/>
        <rFont val="Calibri"/>
      </rPr>
      <t>16</t>
    </r>
    <r>
      <rPr>
        <b/>
        <i/>
        <sz val="10"/>
        <rFont val="Calibri"/>
      </rPr>
      <t xml:space="preserve"> FOR SAME CLASS</t>
    </r>
  </si>
  <si>
    <t>E5-321</t>
  </si>
  <si>
    <t>5,496 EGP</t>
  </si>
  <si>
    <t>8,497 EGP</t>
  </si>
  <si>
    <t>E5-382</t>
  </si>
  <si>
    <t>7,030 EGP</t>
  </si>
  <si>
    <r>
      <rPr>
        <b/>
        <i/>
        <sz val="13"/>
        <rFont val="Calibri"/>
      </rPr>
      <t>8</t>
    </r>
    <r>
      <rPr>
        <b/>
        <i/>
        <sz val="10"/>
        <rFont val="Calibri"/>
      </rPr>
      <t xml:space="preserve"> FOR SAME CLASS</t>
    </r>
  </si>
  <si>
    <t>SM-471</t>
  </si>
  <si>
    <t>SM471</t>
  </si>
  <si>
    <t>U1</t>
  </si>
  <si>
    <t>U5</t>
  </si>
  <si>
    <t>SM-459</t>
  </si>
  <si>
    <t>SM459</t>
  </si>
  <si>
    <t>X4 &amp; U6</t>
  </si>
  <si>
    <r>
      <rPr>
        <b/>
        <i/>
        <sz val="13"/>
        <rFont val="Calibri"/>
      </rPr>
      <t>7</t>
    </r>
    <r>
      <rPr>
        <b/>
        <i/>
        <sz val="10"/>
        <rFont val="Calibri"/>
      </rPr>
      <t xml:space="preserve"> FOR SAME CLASS</t>
    </r>
  </si>
  <si>
    <t>U6</t>
  </si>
  <si>
    <t>MS-665</t>
  </si>
  <si>
    <t>12,344 EGP</t>
  </si>
  <si>
    <t>15,277 EGP</t>
  </si>
  <si>
    <t>Cabin: 0 KG | Check-in: 15 KG</t>
  </si>
  <si>
    <r>
      <rPr>
        <b/>
        <i/>
        <sz val="13"/>
        <rFont val="Calibri"/>
      </rPr>
      <t>11</t>
    </r>
    <r>
      <rPr>
        <b/>
        <i/>
        <sz val="10"/>
        <rFont val="Calibri"/>
      </rPr>
      <t xml:space="preserve"> FOR SAME CLASS</t>
    </r>
  </si>
  <si>
    <r>
      <rPr>
        <b/>
        <i/>
        <sz val="13"/>
        <rFont val="Calibri"/>
      </rPr>
      <t>18</t>
    </r>
    <r>
      <rPr>
        <b/>
        <i/>
        <sz val="10"/>
        <rFont val="Calibri"/>
      </rPr>
      <t xml:space="preserve"> FOR SAME CLASS</t>
    </r>
  </si>
  <si>
    <t>8,439 EGP</t>
  </si>
  <si>
    <r>
      <rPr>
        <b/>
        <i/>
        <sz val="13"/>
        <rFont val="Calibri"/>
      </rPr>
      <t>13</t>
    </r>
    <r>
      <rPr>
        <b/>
        <i/>
        <sz val="10"/>
        <rFont val="Calibri"/>
      </rPr>
      <t xml:space="preserve"> FOR SAME CLASS</t>
    </r>
  </si>
  <si>
    <t>E5-361</t>
  </si>
  <si>
    <t>U3</t>
  </si>
  <si>
    <t>X2 &amp; U3</t>
  </si>
  <si>
    <t>X2 &amp; U8</t>
  </si>
  <si>
    <t>7,491 EGP</t>
  </si>
  <si>
    <t>S1 &amp; X7 &amp; U6</t>
  </si>
  <si>
    <t>Cabin: 7 KG | Check-in: 20 KG</t>
  </si>
  <si>
    <t>14,662 EGP</t>
  </si>
  <si>
    <t>16,967 EGP</t>
  </si>
  <si>
    <r>
      <rPr>
        <i/>
        <sz val="13"/>
        <rFont val="Calibri"/>
      </rPr>
      <t>6</t>
    </r>
    <r>
      <rPr>
        <i/>
        <sz val="10"/>
        <rFont val="Calibri"/>
      </rPr>
      <t xml:space="preserve"> FOR SAME CLASS</t>
    </r>
  </si>
  <si>
    <t>10,231 EGP</t>
  </si>
  <si>
    <t>11,512 EGP</t>
  </si>
  <si>
    <t>12,664 EGP</t>
  </si>
  <si>
    <r>
      <rPr>
        <b/>
        <i/>
        <sz val="13"/>
        <rFont val="Calibri"/>
      </rPr>
      <t>15</t>
    </r>
    <r>
      <rPr>
        <b/>
        <i/>
        <sz val="10"/>
        <rFont val="Calibri"/>
      </rPr>
      <t xml:space="preserve"> FOR SAME CLASS</t>
    </r>
  </si>
  <si>
    <r>
      <rPr>
        <b/>
        <i/>
        <sz val="13"/>
        <rFont val="Calibri"/>
      </rPr>
      <t>12</t>
    </r>
    <r>
      <rPr>
        <b/>
        <i/>
        <sz val="10"/>
        <rFont val="Calibri"/>
      </rPr>
      <t xml:space="preserve"> FOR SAME CLASS</t>
    </r>
  </si>
  <si>
    <t>X1 &amp; U2</t>
  </si>
  <si>
    <t>S2 &amp; X1 &amp; O1 &amp; I2</t>
  </si>
  <si>
    <t>7,926 EGP</t>
  </si>
  <si>
    <t>9,681 EGP</t>
  </si>
  <si>
    <t>13,407 EGP</t>
  </si>
  <si>
    <t>NP-227</t>
  </si>
  <si>
    <t>9,822 EGP</t>
  </si>
  <si>
    <t>9,079 EGP</t>
  </si>
  <si>
    <t>5,664 EGP</t>
  </si>
  <si>
    <t>Cabin: 10 KG | Check-in: 30 KG</t>
  </si>
  <si>
    <t>8,392 EGP</t>
  </si>
  <si>
    <t>T5</t>
  </si>
  <si>
    <t>T9 &amp; X9 &amp; U4</t>
  </si>
  <si>
    <t>NP-327</t>
  </si>
  <si>
    <t>14,419 EGP</t>
  </si>
  <si>
    <t>4,213 EGP</t>
  </si>
  <si>
    <t>7,248 EGP</t>
  </si>
  <si>
    <t>9,002 EGP</t>
  </si>
  <si>
    <t>13,945 EGP</t>
  </si>
  <si>
    <t>T4 &amp; U5</t>
  </si>
  <si>
    <t>NE-174</t>
  </si>
  <si>
    <t>11,819 EGP</t>
  </si>
  <si>
    <r>
      <rPr>
        <b/>
        <i/>
        <sz val="13"/>
        <color rgb="FFBC0000"/>
        <rFont val="Calibri"/>
      </rPr>
      <t>10</t>
    </r>
    <r>
      <rPr>
        <b/>
        <i/>
        <sz val="10"/>
        <color rgb="FFBC0000"/>
        <rFont val="Calibri"/>
      </rPr>
      <t xml:space="preserve"> FOR SAME CLASS</t>
    </r>
  </si>
  <si>
    <r>
      <rPr>
        <i/>
        <sz val="13"/>
        <rFont val="Calibri"/>
      </rPr>
      <t>10</t>
    </r>
    <r>
      <rPr>
        <i/>
        <sz val="10"/>
        <rFont val="Calibri"/>
      </rPr>
      <t xml:space="preserve"> FOR SAME CLASS</t>
    </r>
  </si>
  <si>
    <t>5,735 EGP</t>
  </si>
  <si>
    <t>8,737 EGP</t>
  </si>
  <si>
    <t>7,965 EGP</t>
  </si>
  <si>
    <t>9,719 EGP</t>
  </si>
  <si>
    <t>8,938 EGP</t>
  </si>
  <si>
    <t>10,692 EGP</t>
  </si>
  <si>
    <t>20,578 EGP</t>
  </si>
  <si>
    <t>U3 &amp; P45</t>
  </si>
  <si>
    <t>13,138 EGP</t>
  </si>
  <si>
    <t>6,382 EGP</t>
  </si>
  <si>
    <t>9,110 EGP</t>
  </si>
  <si>
    <t>X1 &amp; U7</t>
  </si>
  <si>
    <r>
      <rPr>
        <b/>
        <i/>
        <sz val="13"/>
        <color rgb="FFBC0000"/>
        <rFont val="Calibri"/>
      </rPr>
      <t>17</t>
    </r>
    <r>
      <rPr>
        <b/>
        <i/>
        <sz val="10"/>
        <color rgb="FFBC0000"/>
        <rFont val="Calibri"/>
      </rPr>
      <t xml:space="preserve"> FOR SAME CLASS</t>
    </r>
  </si>
  <si>
    <t>S1 &amp; U5</t>
  </si>
  <si>
    <t>X1 &amp; U8</t>
  </si>
  <si>
    <t>T4 &amp; X7 &amp; U6</t>
  </si>
  <si>
    <t>16,122 EGP</t>
  </si>
  <si>
    <t>26,431 EGP</t>
  </si>
  <si>
    <t>27,519 EGP</t>
  </si>
  <si>
    <t>8,951 EGP</t>
  </si>
  <si>
    <t>6,453 EGP</t>
  </si>
  <si>
    <t>9,454 EGP</t>
  </si>
  <si>
    <t>S3 &amp; X1 &amp; U10</t>
  </si>
  <si>
    <t>X6 &amp; U6</t>
  </si>
  <si>
    <t>U8</t>
  </si>
  <si>
    <t>X2 &amp; U9</t>
  </si>
  <si>
    <t>T5 &amp; X3 &amp; U10</t>
  </si>
  <si>
    <t>9,591 EGP</t>
  </si>
  <si>
    <t>T9 &amp; X4 &amp; U10 &amp; E40</t>
  </si>
  <si>
    <t>8,208 EGP</t>
  </si>
  <si>
    <t>W9</t>
  </si>
  <si>
    <t>S1 &amp; W4 &amp; T14 &amp; X2 &amp; U11</t>
  </si>
  <si>
    <t>W6</t>
  </si>
  <si>
    <t>W9 &amp; T14 &amp; X3 &amp; U10</t>
  </si>
  <si>
    <t>16,288 EGP</t>
  </si>
  <si>
    <t>18,120 EGP</t>
  </si>
  <si>
    <t>X4 &amp; U8</t>
  </si>
  <si>
    <t>T6 &amp; X4 &amp; U6</t>
  </si>
  <si>
    <t>X3 &amp; U10</t>
  </si>
  <si>
    <t>10,884 EGP</t>
  </si>
  <si>
    <t>20,860 EGP</t>
  </si>
  <si>
    <t>5,903 EGP</t>
  </si>
  <si>
    <t>8,631 EGP</t>
  </si>
  <si>
    <t>S1 &amp; U4</t>
  </si>
  <si>
    <t>S1 &amp; U1</t>
  </si>
  <si>
    <t>17,313 EGP</t>
  </si>
  <si>
    <t>S1 &amp; X6</t>
  </si>
  <si>
    <t>X4 &amp; U7</t>
  </si>
  <si>
    <t>T1 &amp; X1 &amp; O1 &amp; I11 &amp; E25</t>
  </si>
  <si>
    <t>X3 &amp; I10</t>
  </si>
  <si>
    <t>5,975 EGP</t>
  </si>
  <si>
    <t>8,976 EGP</t>
  </si>
  <si>
    <t>T6 &amp; X2 &amp; U1 &amp; I5</t>
  </si>
  <si>
    <t>X2 &amp; I10</t>
  </si>
  <si>
    <t>T2 &amp; X3 &amp; I10</t>
  </si>
  <si>
    <t>T1 &amp; X4 &amp; I9</t>
  </si>
  <si>
    <t>23,844 EGP</t>
  </si>
  <si>
    <t>17,915 EGP</t>
  </si>
  <si>
    <t>19,067 EGP</t>
  </si>
  <si>
    <t>S1 &amp; X1 &amp; U8</t>
  </si>
  <si>
    <t>22,256 EGP</t>
  </si>
  <si>
    <t>X3 &amp; U5</t>
  </si>
  <si>
    <t>X2 &amp; U6</t>
  </si>
  <si>
    <t>S1 &amp; X1 &amp; U6</t>
  </si>
  <si>
    <t>U6 &amp; I5</t>
  </si>
  <si>
    <t>U9</t>
  </si>
  <si>
    <t>S2 &amp; U7</t>
  </si>
  <si>
    <t>X4 &amp; U5</t>
  </si>
  <si>
    <t>U7</t>
  </si>
  <si>
    <t>03:45</t>
  </si>
  <si>
    <t>04:30</t>
  </si>
  <si>
    <t>09:45</t>
  </si>
  <si>
    <t>13:30</t>
  </si>
  <si>
    <t>V4</t>
  </si>
  <si>
    <t>I10</t>
  </si>
  <si>
    <t>22:30</t>
  </si>
  <si>
    <t>FRIDAY</t>
  </si>
  <si>
    <t>03:25</t>
  </si>
  <si>
    <t>06:45</t>
  </si>
  <si>
    <t>10:30</t>
  </si>
  <si>
    <t>13:25</t>
  </si>
  <si>
    <t>18:15</t>
  </si>
  <si>
    <t>01:10</t>
  </si>
  <si>
    <t>12:05</t>
  </si>
  <si>
    <t>21:45</t>
  </si>
  <si>
    <t>S2</t>
  </si>
  <si>
    <t>O1</t>
  </si>
  <si>
    <t>I2</t>
  </si>
  <si>
    <t>08:00</t>
  </si>
  <si>
    <t>10:55</t>
  </si>
  <si>
    <t>19:55</t>
  </si>
  <si>
    <t>05:55</t>
  </si>
  <si>
    <t>01:15</t>
  </si>
  <si>
    <t>13:15</t>
  </si>
  <si>
    <t>18:10</t>
  </si>
  <si>
    <t>19:00</t>
  </si>
  <si>
    <t>05:35</t>
  </si>
  <si>
    <t>08:10</t>
  </si>
  <si>
    <t>08:15</t>
  </si>
  <si>
    <t>S3</t>
  </si>
  <si>
    <t>U10</t>
  </si>
  <si>
    <t>E40</t>
  </si>
  <si>
    <t>T14</t>
  </si>
  <si>
    <t>W4</t>
  </si>
  <si>
    <t>U11</t>
  </si>
  <si>
    <t>T6</t>
  </si>
  <si>
    <t>I11</t>
  </si>
  <si>
    <t>I5</t>
  </si>
  <si>
    <t>11:45</t>
  </si>
  <si>
    <t>21:20</t>
  </si>
  <si>
    <t>23:45</t>
  </si>
  <si>
    <t>23:50</t>
  </si>
  <si>
    <t>17:40</t>
  </si>
  <si>
    <t>20:05</t>
  </si>
  <si>
    <t>22:40</t>
  </si>
  <si>
    <t>04:05</t>
  </si>
  <si>
    <t>09:35</t>
  </si>
  <si>
    <t>HBE-JED</t>
  </si>
  <si>
    <t>E5-325</t>
  </si>
  <si>
    <t>Cabin: 10 KG</t>
  </si>
  <si>
    <t>6,375 EGP</t>
  </si>
  <si>
    <t>Cabin: 10 KG / Check-in: 20 KG</t>
  </si>
  <si>
    <t>7,141 EGP</t>
  </si>
  <si>
    <t>9,008 EGP</t>
  </si>
  <si>
    <t>E5-393</t>
  </si>
  <si>
    <t>SV-332</t>
  </si>
  <si>
    <t>8,964 EGP</t>
  </si>
  <si>
    <t>SV-410</t>
  </si>
  <si>
    <t>SM-451</t>
  </si>
  <si>
    <t>SM451</t>
  </si>
  <si>
    <t>T4 &amp; X1 &amp; P125</t>
  </si>
  <si>
    <t>Indirect competition route CAI – JED - diversion ratio &amp; passenger leakage</t>
  </si>
  <si>
    <t>E5-391</t>
  </si>
  <si>
    <t>6,447 EGP</t>
  </si>
  <si>
    <t>19:25</t>
  </si>
  <si>
    <t>05:25</t>
  </si>
  <si>
    <t>12:15</t>
  </si>
  <si>
    <t>F3-774</t>
  </si>
  <si>
    <t>Hand baggage only</t>
  </si>
  <si>
    <t>6,889 EGP</t>
  </si>
  <si>
    <t>7,196 EGP</t>
  </si>
  <si>
    <t>Cabin: 10 KG / Check-in: 32 KG</t>
  </si>
  <si>
    <t>7,213 EGP</t>
  </si>
  <si>
    <t>9,343 EGP</t>
  </si>
  <si>
    <t>E5-363</t>
  </si>
  <si>
    <t>SM-457</t>
  </si>
  <si>
    <t>SM457</t>
  </si>
  <si>
    <t>T1 &amp; X8</t>
  </si>
  <si>
    <t>T1 &amp; X12</t>
  </si>
  <si>
    <t>MS-655</t>
  </si>
  <si>
    <t>7,068 EGP</t>
  </si>
  <si>
    <t>01:20</t>
  </si>
  <si>
    <t>6 FOR SAME CLASS</t>
  </si>
  <si>
    <t>E5-323</t>
  </si>
  <si>
    <t>6,376 EGP</t>
  </si>
  <si>
    <t>S2 &amp; X5</t>
  </si>
  <si>
    <t>13,382 EGP</t>
  </si>
  <si>
    <t>00:20</t>
  </si>
  <si>
    <t>Cabin: 0 KG</t>
  </si>
  <si>
    <t>Cabin: 7 KG | Check-in: 1 PIECE</t>
  </si>
  <si>
    <t>T4 &amp; X9</t>
  </si>
  <si>
    <t>SM-473</t>
  </si>
  <si>
    <t>SM473</t>
  </si>
  <si>
    <t>7,785 EGP</t>
  </si>
  <si>
    <t>I1 &amp; N1</t>
  </si>
  <si>
    <t>7,734 EGP</t>
  </si>
  <si>
    <t>9,540 EGP</t>
  </si>
  <si>
    <t>9,873 EGP</t>
  </si>
  <si>
    <t>10 FOR SAME CLASS</t>
  </si>
  <si>
    <t>10,744 EGP</t>
  </si>
  <si>
    <t>11,499 EGP</t>
  </si>
  <si>
    <t>11,806 EGP</t>
  </si>
  <si>
    <t>08:20</t>
  </si>
  <si>
    <t>7,333 EGP</t>
  </si>
  <si>
    <t>8,146 EGP</t>
  </si>
  <si>
    <t>10,061 EGP</t>
  </si>
  <si>
    <t>9,565 EGP</t>
  </si>
  <si>
    <t>11,409 EGP</t>
  </si>
  <si>
    <t>11:50</t>
  </si>
  <si>
    <t>7,404 EGP</t>
  </si>
  <si>
    <t>8,218 EGP</t>
  </si>
  <si>
    <t>10,405 EGP</t>
  </si>
  <si>
    <t>9,770 EGP</t>
  </si>
  <si>
    <t>G9</t>
  </si>
  <si>
    <t>7,401 EGP</t>
  </si>
  <si>
    <t>7,709 EGP</t>
  </si>
  <si>
    <t>W7</t>
  </si>
  <si>
    <t>8,989 EGP</t>
  </si>
  <si>
    <t>S9</t>
  </si>
  <si>
    <t>S5 &amp; W10 &amp; X3</t>
  </si>
  <si>
    <t>8,797 EGP</t>
  </si>
  <si>
    <t>09:25</t>
  </si>
  <si>
    <t>04:55</t>
  </si>
  <si>
    <t>5,897 EGP</t>
  </si>
  <si>
    <t>6,663 EGP</t>
  </si>
  <si>
    <t>8,529 EGP</t>
  </si>
  <si>
    <t>02:50</t>
  </si>
  <si>
    <t>19,183 EGP</t>
  </si>
  <si>
    <t>5,969 EGP</t>
  </si>
  <si>
    <t>6,734 EGP</t>
  </si>
  <si>
    <t>8,864 EGP</t>
  </si>
  <si>
    <t>S2 &amp; W4 &amp; X3</t>
  </si>
  <si>
    <t>W1</t>
  </si>
  <si>
    <t>02:05</t>
  </si>
  <si>
    <t>P125</t>
  </si>
  <si>
    <t>06:30</t>
  </si>
  <si>
    <t>14:30</t>
  </si>
  <si>
    <t>X12</t>
  </si>
  <si>
    <t>11:55</t>
  </si>
  <si>
    <t>13:55</t>
  </si>
  <si>
    <t>03:35</t>
  </si>
  <si>
    <t>11:00</t>
  </si>
  <si>
    <t>12:30</t>
  </si>
  <si>
    <t>03:30</t>
  </si>
  <si>
    <t>12:45</t>
  </si>
  <si>
    <t>20:40</t>
  </si>
  <si>
    <t>N1</t>
  </si>
  <si>
    <t>W10</t>
  </si>
  <si>
    <t>08:40</t>
  </si>
  <si>
    <t>15:10</t>
  </si>
  <si>
    <t>10:50</t>
  </si>
  <si>
    <t>CAI-JED AS ALTERNATIVE ROUTE</t>
  </si>
  <si>
    <t>ATZ-JED</t>
  </si>
  <si>
    <t>SM-453</t>
  </si>
  <si>
    <t>6,185 EGP</t>
  </si>
  <si>
    <t>SM453</t>
  </si>
  <si>
    <t>SM-455</t>
  </si>
  <si>
    <t>6,671 EGP</t>
  </si>
  <si>
    <t>SM455</t>
  </si>
  <si>
    <t>MS-8223</t>
  </si>
  <si>
    <t>8,336 EGP</t>
  </si>
  <si>
    <t>SM-491</t>
  </si>
  <si>
    <t>SM491</t>
  </si>
  <si>
    <t>W2 &amp; X3</t>
  </si>
  <si>
    <t>W1 &amp; X3</t>
  </si>
  <si>
    <t>F3-778</t>
  </si>
  <si>
    <t>6,505 EGP</t>
  </si>
  <si>
    <t>6,812 EGP</t>
  </si>
  <si>
    <t>SM-421</t>
  </si>
  <si>
    <t>SM421</t>
  </si>
  <si>
    <t>W6 &amp; X1</t>
  </si>
  <si>
    <t>MS-8261</t>
  </si>
  <si>
    <t>S2 &amp; T6 &amp; X1</t>
  </si>
  <si>
    <t>9,309 EGP</t>
  </si>
  <si>
    <t>7,145 EGP</t>
  </si>
  <si>
    <t>7,452 EGP</t>
  </si>
  <si>
    <t>8,554 EGP</t>
  </si>
  <si>
    <t>8,861 EGP</t>
  </si>
  <si>
    <t>11,000 EGP</t>
  </si>
  <si>
    <t>W2 &amp; T1 &amp; X4</t>
  </si>
  <si>
    <t>T3 &amp; X4</t>
  </si>
  <si>
    <t>W3 &amp; X1</t>
  </si>
  <si>
    <t>8,093 EGP</t>
  </si>
  <si>
    <t>W1 &amp; T4 &amp; X4</t>
  </si>
  <si>
    <t>T1 &amp; X4</t>
  </si>
  <si>
    <t>W1 &amp; X4</t>
  </si>
  <si>
    <t>T6 &amp; X2</t>
  </si>
  <si>
    <t>W1 &amp; X2</t>
  </si>
  <si>
    <t>12:35</t>
  </si>
  <si>
    <t>13:10</t>
  </si>
  <si>
    <t>03:15</t>
  </si>
  <si>
    <t>07:15</t>
  </si>
  <si>
    <t>12:40</t>
  </si>
  <si>
    <t>07:55</t>
  </si>
  <si>
    <t>16:35</t>
  </si>
  <si>
    <t>02:15</t>
  </si>
  <si>
    <t>04:40</t>
  </si>
  <si>
    <t>04:00</t>
  </si>
  <si>
    <t>02:35</t>
  </si>
  <si>
    <t>12:00</t>
  </si>
  <si>
    <t>22:10</t>
  </si>
  <si>
    <t>LXR-JED</t>
  </si>
  <si>
    <t>NE-675</t>
  </si>
  <si>
    <t>20,117 EGP</t>
  </si>
  <si>
    <t>SM481</t>
  </si>
  <si>
    <t>30KG + 7KG CABIN</t>
  </si>
  <si>
    <t>FULLY BOOKED</t>
  </si>
  <si>
    <t>CLOSED</t>
  </si>
  <si>
    <t>SM429</t>
  </si>
  <si>
    <t>SM483</t>
  </si>
  <si>
    <t>SM981</t>
  </si>
  <si>
    <t>23:05</t>
  </si>
  <si>
    <t>06:20</t>
  </si>
  <si>
    <t>15:20</t>
  </si>
  <si>
    <t>04:35</t>
  </si>
  <si>
    <t>15:05</t>
  </si>
  <si>
    <t>2026-01-04</t>
  </si>
  <si>
    <t>00:55</t>
  </si>
  <si>
    <t>2026-01-05</t>
  </si>
  <si>
    <t>SM-481</t>
  </si>
  <si>
    <t>ASW-JED</t>
  </si>
  <si>
    <t>SM425</t>
  </si>
  <si>
    <t>SM949</t>
  </si>
  <si>
    <t>SM985</t>
  </si>
  <si>
    <t>19:45</t>
  </si>
  <si>
    <t>16:15</t>
  </si>
  <si>
    <t>2026-01-12</t>
  </si>
  <si>
    <t>SM-425</t>
  </si>
  <si>
    <t>SM-949</t>
  </si>
  <si>
    <t>SM-985</t>
  </si>
  <si>
    <t>SSH-JED</t>
  </si>
  <si>
    <t>SV-326</t>
  </si>
  <si>
    <t>7,299 EGP</t>
  </si>
  <si>
    <t>9,053 EGP</t>
  </si>
  <si>
    <t>17,057 EGP</t>
  </si>
  <si>
    <t>9,168 EGP</t>
  </si>
  <si>
    <t>10,923 EGP</t>
  </si>
  <si>
    <t>19,951 EGP</t>
  </si>
  <si>
    <t>2026-01-06</t>
  </si>
  <si>
    <t>2026-01-08</t>
  </si>
  <si>
    <t>2026-01-10</t>
  </si>
  <si>
    <t>2026-01-11</t>
  </si>
  <si>
    <t>2026-01-13</t>
  </si>
  <si>
    <t>2026-01-15</t>
  </si>
  <si>
    <t>2026-01-17</t>
  </si>
  <si>
    <t>2026-01-18</t>
  </si>
  <si>
    <t>2026-01-20</t>
  </si>
  <si>
    <t>2026-01-22</t>
  </si>
  <si>
    <t>2026-01-24</t>
  </si>
  <si>
    <t>2026-01-25</t>
  </si>
  <si>
    <t>2026-01-27</t>
  </si>
  <si>
    <t>2026-01-29</t>
  </si>
  <si>
    <t>2026-01-31</t>
  </si>
  <si>
    <t>HRG-JED</t>
  </si>
  <si>
    <t>CAI-RUH</t>
  </si>
  <si>
    <t>F3-606</t>
  </si>
  <si>
    <t>12,152 EGP</t>
  </si>
  <si>
    <t>F3-608</t>
  </si>
  <si>
    <t>F3-612</t>
  </si>
  <si>
    <t>F3-616</t>
  </si>
  <si>
    <t>E5-410</t>
  </si>
  <si>
    <t>4,604 EGP</t>
  </si>
  <si>
    <t>SM-461</t>
  </si>
  <si>
    <t>4,955 EGP</t>
  </si>
  <si>
    <t>SM461</t>
  </si>
  <si>
    <t>I3</t>
  </si>
  <si>
    <t>XY-264</t>
  </si>
  <si>
    <t>XY-268</t>
  </si>
  <si>
    <t>XY-270</t>
  </si>
  <si>
    <t>XY-272</t>
  </si>
  <si>
    <t>XY-274</t>
  </si>
  <si>
    <t>XY-276</t>
  </si>
  <si>
    <t>XY-266</t>
  </si>
  <si>
    <t>5,621 EGP</t>
  </si>
  <si>
    <t>SV-312</t>
  </si>
  <si>
    <t>5,852 EGP</t>
  </si>
  <si>
    <t>7,606 EGP</t>
  </si>
  <si>
    <t>SV-320</t>
  </si>
  <si>
    <t>SV-418</t>
  </si>
  <si>
    <t>SV-310</t>
  </si>
  <si>
    <t>8,912 EGP</t>
  </si>
  <si>
    <t>SV-6632</t>
  </si>
  <si>
    <t>13,497 EGP</t>
  </si>
  <si>
    <t>SV-6693</t>
  </si>
  <si>
    <t>SV-6905</t>
  </si>
  <si>
    <t>NP-151</t>
  </si>
  <si>
    <t>6,108 EGP</t>
  </si>
  <si>
    <t>NP-251</t>
  </si>
  <si>
    <t>MS-649</t>
  </si>
  <si>
    <t>MS-651</t>
  </si>
  <si>
    <t>MS-647</t>
  </si>
  <si>
    <t>7,465 EGP</t>
  </si>
  <si>
    <t>4,676 EGP</t>
  </si>
  <si>
    <t>7,677 EGP</t>
  </si>
  <si>
    <t>5,109 EGP</t>
  </si>
  <si>
    <t>5,211 EGP</t>
  </si>
  <si>
    <t>O8</t>
  </si>
  <si>
    <t>O1 &amp; I7</t>
  </si>
  <si>
    <t>SM-469</t>
  </si>
  <si>
    <t>5,468 EGP</t>
  </si>
  <si>
    <t>SM469</t>
  </si>
  <si>
    <t>X3 &amp; U1 &amp; O8 &amp; I4</t>
  </si>
  <si>
    <t>5,685 EGP</t>
  </si>
  <si>
    <t>8,131 EGP</t>
  </si>
  <si>
    <t>8,887 EGP</t>
  </si>
  <si>
    <t>14,124 EGP</t>
  </si>
  <si>
    <t>15,904 EGP</t>
  </si>
  <si>
    <t>17,492 EGP</t>
  </si>
  <si>
    <t>K3 &amp; T13 &amp; X5 &amp; U9 &amp; O5 &amp; I5</t>
  </si>
  <si>
    <t>6,830 EGP</t>
  </si>
  <si>
    <t>9,831 EGP</t>
  </si>
  <si>
    <t>10,103 EGP</t>
  </si>
  <si>
    <t>11,128 EGP</t>
  </si>
  <si>
    <t>10,705 EGP</t>
  </si>
  <si>
    <t>10,756 EGP</t>
  </si>
  <si>
    <t>17,825 EGP</t>
  </si>
  <si>
    <t>18,171 EGP</t>
  </si>
  <si>
    <t>19,759 EGP</t>
  </si>
  <si>
    <t>4,597 EGP</t>
  </si>
  <si>
    <t>5,186 EGP</t>
  </si>
  <si>
    <t>6,940 EGP</t>
  </si>
  <si>
    <t>SV-324</t>
  </si>
  <si>
    <t>8,067 EGP</t>
  </si>
  <si>
    <t>O9</t>
  </si>
  <si>
    <t>O12 &amp; I3</t>
  </si>
  <si>
    <t>5,394 EGP</t>
  </si>
  <si>
    <t>8,395 EGP</t>
  </si>
  <si>
    <t>7,901 EGP</t>
  </si>
  <si>
    <r>
      <rPr>
        <b/>
        <i/>
        <sz val="13"/>
        <rFont val="Calibri"/>
      </rPr>
      <t>10</t>
    </r>
    <r>
      <rPr>
        <b/>
        <i/>
        <sz val="10"/>
        <rFont val="Calibri"/>
      </rPr>
      <t xml:space="preserve"> FOR SAME CLASS</t>
    </r>
  </si>
  <si>
    <t>4,365 EGP</t>
  </si>
  <si>
    <t>SV-314</t>
  </si>
  <si>
    <t>X3 &amp; I4</t>
  </si>
  <si>
    <t>7,093 EGP</t>
  </si>
  <si>
    <t>E5-415</t>
  </si>
  <si>
    <t>4,891 EGP</t>
  </si>
  <si>
    <t>X2 &amp; I4</t>
  </si>
  <si>
    <r>
      <rPr>
        <b/>
        <i/>
        <sz val="13"/>
        <rFont val="Calibri"/>
      </rPr>
      <t>22</t>
    </r>
    <r>
      <rPr>
        <b/>
        <i/>
        <sz val="10"/>
        <rFont val="Calibri"/>
      </rPr>
      <t xml:space="preserve"> FOR SAME CLASS</t>
    </r>
  </si>
  <si>
    <t>4,840 EGP</t>
  </si>
  <si>
    <t>6,799 EGP</t>
  </si>
  <si>
    <t>X1 &amp; I2</t>
  </si>
  <si>
    <t>18,299 EGP</t>
  </si>
  <si>
    <t>X2 &amp; I5</t>
  </si>
  <si>
    <r>
      <rPr>
        <b/>
        <i/>
        <sz val="13"/>
        <rFont val="Calibri"/>
      </rPr>
      <t>35</t>
    </r>
    <r>
      <rPr>
        <b/>
        <i/>
        <sz val="10"/>
        <rFont val="Calibri"/>
      </rPr>
      <t xml:space="preserve"> FOR SAME CLASS</t>
    </r>
  </si>
  <si>
    <r>
      <rPr>
        <i/>
        <sz val="13"/>
        <rFont val="Calibri"/>
      </rPr>
      <t>35</t>
    </r>
    <r>
      <rPr>
        <i/>
        <sz val="10"/>
        <rFont val="Calibri"/>
      </rPr>
      <t xml:space="preserve"> FOR SAME CLASS</t>
    </r>
  </si>
  <si>
    <t>4,437 EGP</t>
  </si>
  <si>
    <t>7,438 EGP</t>
  </si>
  <si>
    <t>I6</t>
  </si>
  <si>
    <t>I4</t>
  </si>
  <si>
    <t>X2 &amp; I1</t>
  </si>
  <si>
    <t>5,155 EGP</t>
  </si>
  <si>
    <t>8,156 EGP</t>
  </si>
  <si>
    <t>O6</t>
  </si>
  <si>
    <t>X2 &amp; O1 &amp; I5</t>
  </si>
  <si>
    <t>6,530 EGP</t>
  </si>
  <si>
    <t>8,285 EGP</t>
  </si>
  <si>
    <t>7,773 EGP</t>
  </si>
  <si>
    <t>9,527 EGP</t>
  </si>
  <si>
    <t>10,833 EGP</t>
  </si>
  <si>
    <t>14,752 EGP</t>
  </si>
  <si>
    <r>
      <rPr>
        <b/>
        <i/>
        <sz val="13"/>
        <rFont val="Calibri"/>
      </rPr>
      <t>46</t>
    </r>
    <r>
      <rPr>
        <b/>
        <i/>
        <sz val="10"/>
        <rFont val="Calibri"/>
      </rPr>
      <t xml:space="preserve"> FOR SAME CLASS</t>
    </r>
  </si>
  <si>
    <r>
      <rPr>
        <i/>
        <sz val="13"/>
        <rFont val="Calibri"/>
      </rPr>
      <t>46</t>
    </r>
    <r>
      <rPr>
        <i/>
        <sz val="10"/>
        <rFont val="Calibri"/>
      </rPr>
      <t xml:space="preserve"> FOR SAME CLASS</t>
    </r>
  </si>
  <si>
    <t>S1 &amp; O1 &amp; I4</t>
  </si>
  <si>
    <r>
      <rPr>
        <b/>
        <i/>
        <sz val="13"/>
        <rFont val="Calibri"/>
      </rPr>
      <t>34</t>
    </r>
    <r>
      <rPr>
        <b/>
        <i/>
        <sz val="10"/>
        <rFont val="Calibri"/>
      </rPr>
      <t xml:space="preserve"> FOR SAME CLASS</t>
    </r>
  </si>
  <si>
    <r>
      <rPr>
        <i/>
        <sz val="13"/>
        <rFont val="Calibri"/>
      </rPr>
      <t>34</t>
    </r>
    <r>
      <rPr>
        <i/>
        <sz val="10"/>
        <rFont val="Calibri"/>
      </rPr>
      <t xml:space="preserve"> FOR SAME CLASS</t>
    </r>
  </si>
  <si>
    <t>O7</t>
  </si>
  <si>
    <t>6,280 EGP</t>
  </si>
  <si>
    <t>G2 &amp; X1</t>
  </si>
  <si>
    <t>12,063 EGP</t>
  </si>
  <si>
    <t>6,352 EGP</t>
  </si>
  <si>
    <t>9,353 EGP</t>
  </si>
  <si>
    <t>7,939 EGP</t>
  </si>
  <si>
    <t>G4 &amp; S2 &amp; W5</t>
  </si>
  <si>
    <t>8,567 EGP</t>
  </si>
  <si>
    <r>
      <rPr>
        <b/>
        <i/>
        <sz val="13"/>
        <rFont val="Calibri"/>
      </rPr>
      <t>26</t>
    </r>
    <r>
      <rPr>
        <b/>
        <i/>
        <sz val="10"/>
        <rFont val="Calibri"/>
      </rPr>
      <t xml:space="preserve"> FOR SAME CLASS</t>
    </r>
  </si>
  <si>
    <r>
      <rPr>
        <i/>
        <sz val="13"/>
        <rFont val="Calibri"/>
      </rPr>
      <t>26</t>
    </r>
    <r>
      <rPr>
        <i/>
        <sz val="10"/>
        <rFont val="Calibri"/>
      </rPr>
      <t xml:space="preserve"> FOR SAME CLASS</t>
    </r>
  </si>
  <si>
    <r>
      <rPr>
        <b/>
        <i/>
        <sz val="13"/>
        <rFont val="Calibri"/>
      </rPr>
      <t>53</t>
    </r>
    <r>
      <rPr>
        <b/>
        <i/>
        <sz val="10"/>
        <rFont val="Calibri"/>
      </rPr>
      <t xml:space="preserve"> FOR SAME CLASS</t>
    </r>
  </si>
  <si>
    <r>
      <rPr>
        <i/>
        <sz val="13"/>
        <rFont val="Calibri"/>
      </rPr>
      <t>53</t>
    </r>
    <r>
      <rPr>
        <i/>
        <sz val="10"/>
        <rFont val="Calibri"/>
      </rPr>
      <t xml:space="preserve"> FOR SAME CLASS</t>
    </r>
  </si>
  <si>
    <t>8,836 EGP</t>
  </si>
  <si>
    <t>12,024 EGP</t>
  </si>
  <si>
    <t>16,045 EGP</t>
  </si>
  <si>
    <r>
      <rPr>
        <b/>
        <i/>
        <sz val="13"/>
        <rFont val="Calibri"/>
      </rPr>
      <t>23</t>
    </r>
    <r>
      <rPr>
        <b/>
        <i/>
        <sz val="10"/>
        <rFont val="Calibri"/>
      </rPr>
      <t xml:space="preserve"> FOR SAME CLASS</t>
    </r>
  </si>
  <si>
    <r>
      <rPr>
        <i/>
        <sz val="13"/>
        <rFont val="Calibri"/>
      </rPr>
      <t>23</t>
    </r>
    <r>
      <rPr>
        <i/>
        <sz val="10"/>
        <rFont val="Calibri"/>
      </rPr>
      <t xml:space="preserve"> FOR SAME CLASS</t>
    </r>
  </si>
  <si>
    <t>8,266 EGP</t>
  </si>
  <si>
    <t>11,267 EGP</t>
  </si>
  <si>
    <t>8,771 EGP</t>
  </si>
  <si>
    <t>L9</t>
  </si>
  <si>
    <t>L2 &amp; G9 &amp; S5 &amp; W3 &amp; X1</t>
  </si>
  <si>
    <t>11,768 EGP</t>
  </si>
  <si>
    <t>22,064 EGP</t>
  </si>
  <si>
    <r>
      <rPr>
        <b/>
        <i/>
        <sz val="13"/>
        <rFont val="Calibri"/>
      </rPr>
      <t>44</t>
    </r>
    <r>
      <rPr>
        <b/>
        <i/>
        <sz val="10"/>
        <rFont val="Calibri"/>
      </rPr>
      <t xml:space="preserve"> FOR SAME CLASS</t>
    </r>
  </si>
  <si>
    <r>
      <rPr>
        <i/>
        <sz val="13"/>
        <rFont val="Calibri"/>
      </rPr>
      <t>44</t>
    </r>
    <r>
      <rPr>
        <i/>
        <sz val="10"/>
        <rFont val="Calibri"/>
      </rPr>
      <t xml:space="preserve"> FOR SAME CLASS</t>
    </r>
  </si>
  <si>
    <t>W3 &amp; T6 &amp; X9 &amp; U6 &amp; O1</t>
  </si>
  <si>
    <t>15,379 EGP</t>
  </si>
  <si>
    <t>U7 &amp; O6</t>
  </si>
  <si>
    <t>8,618 EGP</t>
  </si>
  <si>
    <t>5,322 EGP</t>
  </si>
  <si>
    <t>8,051 EGP</t>
  </si>
  <si>
    <t>O4</t>
  </si>
  <si>
    <r>
      <rPr>
        <b/>
        <i/>
        <sz val="13"/>
        <rFont val="Calibri"/>
      </rPr>
      <t>43</t>
    </r>
    <r>
      <rPr>
        <b/>
        <i/>
        <sz val="10"/>
        <rFont val="Calibri"/>
      </rPr>
      <t xml:space="preserve"> FOR SAME CLASS</t>
    </r>
  </si>
  <si>
    <r>
      <rPr>
        <i/>
        <sz val="13"/>
        <rFont val="Calibri"/>
      </rPr>
      <t>43</t>
    </r>
    <r>
      <rPr>
        <i/>
        <sz val="10"/>
        <rFont val="Calibri"/>
      </rPr>
      <t xml:space="preserve"> FOR SAME CLASS</t>
    </r>
  </si>
  <si>
    <r>
      <rPr>
        <b/>
        <i/>
        <sz val="13"/>
        <rFont val="Calibri"/>
      </rPr>
      <t>30</t>
    </r>
    <r>
      <rPr>
        <b/>
        <i/>
        <sz val="10"/>
        <rFont val="Calibri"/>
      </rPr>
      <t xml:space="preserve"> FOR SAME CLASS</t>
    </r>
  </si>
  <si>
    <r>
      <rPr>
        <i/>
        <sz val="13"/>
        <rFont val="Calibri"/>
      </rPr>
      <t>30</t>
    </r>
    <r>
      <rPr>
        <i/>
        <sz val="10"/>
        <rFont val="Calibri"/>
      </rPr>
      <t xml:space="preserve"> FOR SAME CLASS</t>
    </r>
  </si>
  <si>
    <t>W5</t>
  </si>
  <si>
    <r>
      <rPr>
        <b/>
        <i/>
        <sz val="13"/>
        <rFont val="Calibri"/>
      </rPr>
      <t>45</t>
    </r>
    <r>
      <rPr>
        <b/>
        <i/>
        <sz val="10"/>
        <rFont val="Calibri"/>
      </rPr>
      <t xml:space="preserve"> FOR SAME CLASS</t>
    </r>
  </si>
  <si>
    <r>
      <rPr>
        <i/>
        <sz val="13"/>
        <rFont val="Calibri"/>
      </rPr>
      <t>45</t>
    </r>
    <r>
      <rPr>
        <i/>
        <sz val="10"/>
        <rFont val="Calibri"/>
      </rPr>
      <t xml:space="preserve"> FOR SAME CLASS</t>
    </r>
  </si>
  <si>
    <r>
      <rPr>
        <b/>
        <i/>
        <sz val="13"/>
        <rFont val="Calibri"/>
      </rPr>
      <t>49</t>
    </r>
    <r>
      <rPr>
        <b/>
        <i/>
        <sz val="10"/>
        <rFont val="Calibri"/>
      </rPr>
      <t xml:space="preserve"> FOR SAME CLASS</t>
    </r>
  </si>
  <si>
    <r>
      <rPr>
        <i/>
        <sz val="13"/>
        <rFont val="Calibri"/>
      </rPr>
      <t>49</t>
    </r>
    <r>
      <rPr>
        <i/>
        <sz val="10"/>
        <rFont val="Calibri"/>
      </rPr>
      <t xml:space="preserve"> FOR SAME CLASS</t>
    </r>
  </si>
  <si>
    <t>7,260 EGP</t>
  </si>
  <si>
    <t>S1 &amp; W5</t>
  </si>
  <si>
    <t>20,092 EGP</t>
  </si>
  <si>
    <r>
      <rPr>
        <b/>
        <i/>
        <sz val="13"/>
        <rFont val="Calibri"/>
      </rPr>
      <t>50</t>
    </r>
    <r>
      <rPr>
        <b/>
        <i/>
        <sz val="10"/>
        <rFont val="Calibri"/>
      </rPr>
      <t xml:space="preserve"> FOR SAME CLASS</t>
    </r>
  </si>
  <si>
    <r>
      <rPr>
        <i/>
        <sz val="13"/>
        <rFont val="Calibri"/>
      </rPr>
      <t>50</t>
    </r>
    <r>
      <rPr>
        <i/>
        <sz val="10"/>
        <rFont val="Calibri"/>
      </rPr>
      <t xml:space="preserve"> FOR SAME CLASS</t>
    </r>
  </si>
  <si>
    <t>S1 &amp; W2</t>
  </si>
  <si>
    <t>O3</t>
  </si>
  <si>
    <t>O5</t>
  </si>
  <si>
    <t>W1 &amp; O1</t>
  </si>
  <si>
    <t>U6 &amp; O5</t>
  </si>
  <si>
    <r>
      <rPr>
        <b/>
        <i/>
        <sz val="13"/>
        <rFont val="Calibri"/>
      </rPr>
      <t>41</t>
    </r>
    <r>
      <rPr>
        <b/>
        <i/>
        <sz val="10"/>
        <rFont val="Calibri"/>
      </rPr>
      <t xml:space="preserve"> FOR SAME CLASS</t>
    </r>
  </si>
  <si>
    <r>
      <rPr>
        <i/>
        <sz val="13"/>
        <rFont val="Calibri"/>
      </rPr>
      <t>41</t>
    </r>
    <r>
      <rPr>
        <i/>
        <sz val="10"/>
        <rFont val="Calibri"/>
      </rPr>
      <t xml:space="preserve"> FOR SAME CLASS</t>
    </r>
  </si>
  <si>
    <t>W1 &amp; U3 &amp; O6</t>
  </si>
  <si>
    <t>09:55</t>
  </si>
  <si>
    <t>17:25</t>
  </si>
  <si>
    <t>K3</t>
  </si>
  <si>
    <t>T13</t>
  </si>
  <si>
    <t>10:15</t>
  </si>
  <si>
    <t>O12</t>
  </si>
  <si>
    <t>17:10</t>
  </si>
  <si>
    <t>G2</t>
  </si>
  <si>
    <t>G4</t>
  </si>
  <si>
    <t>L2</t>
  </si>
  <si>
    <t>13:50</t>
  </si>
  <si>
    <t>ATZ-RUH</t>
  </si>
  <si>
    <t>XY-284</t>
  </si>
  <si>
    <t>Cabin: 7 KG</t>
  </si>
  <si>
    <t>6,402 EGP</t>
  </si>
  <si>
    <t>7,529 EGP</t>
  </si>
  <si>
    <t>8,592 EGP</t>
  </si>
  <si>
    <t>Indirect competition route CAI – RUH - diversion ratio &amp; passenger leakage</t>
  </si>
  <si>
    <t>7,043 EGP</t>
  </si>
  <si>
    <t>8,169 EGP</t>
  </si>
  <si>
    <t>9,232 EGP</t>
  </si>
  <si>
    <t>12:10</t>
  </si>
  <si>
    <t>SM-463</t>
  </si>
  <si>
    <t>5,724 EGP</t>
  </si>
  <si>
    <t>SM463</t>
  </si>
  <si>
    <t>G1 &amp; W6 &amp; X4 &amp; U8 &amp; O6</t>
  </si>
  <si>
    <t>MS-8245</t>
  </si>
  <si>
    <t>8,400 EGP</t>
  </si>
  <si>
    <t>23:00</t>
  </si>
  <si>
    <t>W3 &amp; O1 &amp; I4</t>
  </si>
  <si>
    <t>17:30</t>
  </si>
  <si>
    <t>SM-465</t>
  </si>
  <si>
    <t>SM465</t>
  </si>
  <si>
    <t>Y1 &amp; W4 &amp; U4 &amp; O7 &amp; I2</t>
  </si>
  <si>
    <t>MS-8239</t>
  </si>
  <si>
    <t>23:35</t>
  </si>
  <si>
    <t>7,811 EGP</t>
  </si>
  <si>
    <t>10,001 EGP</t>
  </si>
  <si>
    <t>W4 &amp; X5 &amp; U2 &amp; O4 &amp; I1</t>
  </si>
  <si>
    <t>07:05</t>
  </si>
  <si>
    <t>X2 &amp; O1 &amp; I4</t>
  </si>
  <si>
    <t>46 FOR SAME CLASS</t>
  </si>
  <si>
    <t>O2</t>
  </si>
  <si>
    <t>X6 &amp; O5 &amp; I1</t>
  </si>
  <si>
    <t>34 FOR SAME CLASS</t>
  </si>
  <si>
    <t>9,604 EGP</t>
  </si>
  <si>
    <t>10,731 EGP</t>
  </si>
  <si>
    <t>11,794 EGP</t>
  </si>
  <si>
    <t>K1 &amp; T4 &amp; X16 &amp; U1</t>
  </si>
  <si>
    <t>44 FOR SAME CLASS</t>
  </si>
  <si>
    <t>X1 &amp; U5 &amp; O4</t>
  </si>
  <si>
    <t>V1 &amp; W1 &amp; X5 &amp; U4 &amp; O2</t>
  </si>
  <si>
    <t>8,579 EGP</t>
  </si>
  <si>
    <t>9,706 EGP</t>
  </si>
  <si>
    <t>10,769 EGP</t>
  </si>
  <si>
    <t>S6</t>
  </si>
  <si>
    <t>S1 &amp; W2 &amp; X5</t>
  </si>
  <si>
    <t>11,602 EGP</t>
  </si>
  <si>
    <t>W1 &amp; X3 &amp; U3 &amp; O1</t>
  </si>
  <si>
    <t>W1 &amp; X3 &amp; O3</t>
  </si>
  <si>
    <t>G1</t>
  </si>
  <si>
    <t>10:20</t>
  </si>
  <si>
    <t>K1</t>
  </si>
  <si>
    <t>X16</t>
  </si>
  <si>
    <t>V1</t>
  </si>
  <si>
    <t>CAI-RUH AS ALTERNATIVE ROUTE</t>
  </si>
  <si>
    <t>CAI-DMM</t>
  </si>
  <si>
    <t>F3-912</t>
  </si>
  <si>
    <t>4,341 EGP</t>
  </si>
  <si>
    <t>SM-433</t>
  </si>
  <si>
    <t>5,993 EGP</t>
  </si>
  <si>
    <t>SM433</t>
  </si>
  <si>
    <t>X15 &amp; U10 &amp; O5 &amp; I1</t>
  </si>
  <si>
    <t>XY-855</t>
  </si>
  <si>
    <t>6,005 EGP</t>
  </si>
  <si>
    <t>XY-895</t>
  </si>
  <si>
    <t>NE-154</t>
  </si>
  <si>
    <t>6,953 EGP</t>
  </si>
  <si>
    <t>MS-681</t>
  </si>
  <si>
    <t>7,555 EGP</t>
  </si>
  <si>
    <t>MS-683</t>
  </si>
  <si>
    <t>7,913 EGP</t>
  </si>
  <si>
    <t>MS-687</t>
  </si>
  <si>
    <t>NP-131</t>
  </si>
  <si>
    <t>7,747 EGP</t>
  </si>
  <si>
    <t>NP-331</t>
  </si>
  <si>
    <t>SV-6447</t>
  </si>
  <si>
    <t>T5 &amp; X8 &amp; U10 &amp; O3</t>
  </si>
  <si>
    <t>NE-150</t>
  </si>
  <si>
    <t>10,347 EGP</t>
  </si>
  <si>
    <t>NP-231</t>
  </si>
  <si>
    <t>E5-315</t>
  </si>
  <si>
    <t>6,064 EGP</t>
  </si>
  <si>
    <t>9,065 EGP</t>
  </si>
  <si>
    <t>7,132 EGP</t>
  </si>
  <si>
    <t>S7</t>
  </si>
  <si>
    <t>S2 &amp; W9 &amp; T15 &amp; X15 &amp; U9</t>
  </si>
  <si>
    <t>NE-152</t>
  </si>
  <si>
    <t>14,035 EGP</t>
  </si>
  <si>
    <t>X3 &amp; U2 &amp; O7 &amp; I4</t>
  </si>
  <si>
    <t>5,992 EGP</t>
  </si>
  <si>
    <t>8,721 EGP</t>
  </si>
  <si>
    <t>5,455 EGP</t>
  </si>
  <si>
    <t>X3 &amp; U2 &amp; O7 &amp; I3</t>
  </si>
  <si>
    <t>X2 &amp; U7 &amp; O5 &amp; I5</t>
  </si>
  <si>
    <t>S1 &amp; W4 &amp; T12 &amp; X16 &amp; U7 &amp; O3</t>
  </si>
  <si>
    <t>7,357 EGP</t>
  </si>
  <si>
    <t>10,358 EGP</t>
  </si>
  <si>
    <t>X8 &amp; U8 &amp; O7 &amp; I1</t>
  </si>
  <si>
    <t>6,327 EGP</t>
  </si>
  <si>
    <t>9,056 EGP</t>
  </si>
  <si>
    <t>G1 &amp; X7</t>
  </si>
  <si>
    <t>9,297 EGP</t>
  </si>
  <si>
    <t>G6</t>
  </si>
  <si>
    <t>G9 &amp; S4 &amp; W2</t>
  </si>
  <si>
    <t>10,398 EGP</t>
  </si>
  <si>
    <t>11,858 EGP</t>
  </si>
  <si>
    <t>14,163 EGP</t>
  </si>
  <si>
    <r>
      <rPr>
        <b/>
        <i/>
        <sz val="13"/>
        <color rgb="FFBC0000"/>
        <rFont val="Calibri"/>
      </rPr>
      <t>23</t>
    </r>
    <r>
      <rPr>
        <b/>
        <i/>
        <sz val="10"/>
        <color rgb="FFBC0000"/>
        <rFont val="Calibri"/>
      </rPr>
      <t xml:space="preserve"> FOR SAME CLASS</t>
    </r>
  </si>
  <si>
    <t>10,577 EGP</t>
  </si>
  <si>
    <t>K9</t>
  </si>
  <si>
    <t>K10 &amp; V12 &amp; L11 &amp; G8 &amp; S4 &amp; W1</t>
  </si>
  <si>
    <t>11,186 EGP</t>
  </si>
  <si>
    <t>14,187 EGP</t>
  </si>
  <si>
    <t>11,845 EGP</t>
  </si>
  <si>
    <t>W4 &amp; X2 &amp; U8 &amp; O2</t>
  </si>
  <si>
    <t>7,285 EGP</t>
  </si>
  <si>
    <t>10,013 EGP</t>
  </si>
  <si>
    <t>L5 &amp; G7 &amp; S10</t>
  </si>
  <si>
    <t>G3 &amp; W9</t>
  </si>
  <si>
    <t>U8 &amp; O4</t>
  </si>
  <si>
    <t>U1 &amp; O6</t>
  </si>
  <si>
    <t>6,300 EGP</t>
  </si>
  <si>
    <t>S2 &amp; W3 &amp; T3 &amp; X4 &amp; U7 &amp; O3</t>
  </si>
  <si>
    <t>17:20</t>
  </si>
  <si>
    <t>X15</t>
  </si>
  <si>
    <t>T15</t>
  </si>
  <si>
    <t>01:40</t>
  </si>
  <si>
    <t>T12</t>
  </si>
  <si>
    <t>S4</t>
  </si>
  <si>
    <t>K10</t>
  </si>
  <si>
    <t>V12</t>
  </si>
  <si>
    <t>L11</t>
  </si>
  <si>
    <t>G8</t>
  </si>
  <si>
    <t>L5</t>
  </si>
  <si>
    <t>G7</t>
  </si>
  <si>
    <t>S10</t>
  </si>
  <si>
    <t>G3</t>
  </si>
  <si>
    <t>10:45</t>
  </si>
  <si>
    <t>ATZ-DMM</t>
  </si>
  <si>
    <t>SM-437</t>
  </si>
  <si>
    <t>SM437</t>
  </si>
  <si>
    <t>X5 &amp; O6 &amp; I2</t>
  </si>
  <si>
    <t>Indirect competition route CAI – DMM - diversion ratio &amp; passenger leakage</t>
  </si>
  <si>
    <t>23:20</t>
  </si>
  <si>
    <t>00:10</t>
  </si>
  <si>
    <t>23:30</t>
  </si>
  <si>
    <t>X5 &amp; I2</t>
  </si>
  <si>
    <t>X1 &amp; I6</t>
  </si>
  <si>
    <t>16:10</t>
  </si>
  <si>
    <t>W2 &amp; O1 &amp; I7</t>
  </si>
  <si>
    <t>G1 &amp; X1</t>
  </si>
  <si>
    <t>U5 &amp; O1</t>
  </si>
  <si>
    <t>W8</t>
  </si>
  <si>
    <t>X1 &amp; O1</t>
  </si>
  <si>
    <t>X1 &amp; O3</t>
  </si>
  <si>
    <t>01:45</t>
  </si>
  <si>
    <t>07:00</t>
  </si>
  <si>
    <t>CAI-DMM AS ALTERNATIVE ROUTE</t>
  </si>
  <si>
    <t>16:30</t>
  </si>
  <si>
    <t>CAI-TUU</t>
  </si>
  <si>
    <t>NP-107</t>
  </si>
  <si>
    <t>6,633 EGP</t>
  </si>
  <si>
    <t>SM-325</t>
  </si>
  <si>
    <t>SM325</t>
  </si>
  <si>
    <t>MS-811</t>
  </si>
  <si>
    <t>NE-120</t>
  </si>
  <si>
    <t>8,528 EGP</t>
  </si>
  <si>
    <t>E5-599</t>
  </si>
  <si>
    <t>6,383 EGP</t>
  </si>
  <si>
    <t>9,384 EGP</t>
  </si>
  <si>
    <t>NP-117</t>
  </si>
  <si>
    <t>7,312 EGP</t>
  </si>
  <si>
    <t>7,094 EGP</t>
  </si>
  <si>
    <t>S2 &amp; O3 &amp; I7</t>
  </si>
  <si>
    <t>NP-307</t>
  </si>
  <si>
    <t>6,312 EGP</t>
  </si>
  <si>
    <t>9,040 EGP</t>
  </si>
  <si>
    <t>9,117 EGP</t>
  </si>
  <si>
    <t>12,575 EGP</t>
  </si>
  <si>
    <t>S1 &amp; I2</t>
  </si>
  <si>
    <t>7,057 EGP</t>
  </si>
  <si>
    <t>9,786 EGP</t>
  </si>
  <si>
    <t>7,129 EGP</t>
  </si>
  <si>
    <t>10,130 EGP</t>
  </si>
  <si>
    <t>L4</t>
  </si>
  <si>
    <t>S2 &amp; W1 &amp; I18</t>
  </si>
  <si>
    <t>NE-122</t>
  </si>
  <si>
    <t>9,348 EGP</t>
  </si>
  <si>
    <t>9,950 EGP</t>
  </si>
  <si>
    <t>W6 &amp; I2</t>
  </si>
  <si>
    <t>7,568 EGP</t>
  </si>
  <si>
    <t>17:05</t>
  </si>
  <si>
    <t>I18</t>
  </si>
  <si>
    <t>ATZ-TUU</t>
  </si>
  <si>
    <t>SM-327</t>
  </si>
  <si>
    <t>7,017 EGP</t>
  </si>
  <si>
    <t>SM327</t>
  </si>
  <si>
    <t>Indirect competition route CAI – TUU - diversion ratio &amp; passenger leakage</t>
  </si>
  <si>
    <t>20:30</t>
  </si>
  <si>
    <t>Y3 &amp; X1</t>
  </si>
  <si>
    <t>11,025 EGP</t>
  </si>
  <si>
    <t>9,220 EGP</t>
  </si>
  <si>
    <t>X2 &amp; O2</t>
  </si>
  <si>
    <t>09:05</t>
  </si>
  <si>
    <t>Y3</t>
  </si>
  <si>
    <t>CAI-TUU AS ALTERNATIVE ROUTE</t>
  </si>
  <si>
    <t>19:20</t>
  </si>
  <si>
    <t>CAI-AJF</t>
  </si>
  <si>
    <t>SM-321</t>
  </si>
  <si>
    <t>SM321</t>
  </si>
  <si>
    <t>NP-119</t>
  </si>
  <si>
    <t>6,428 EGP</t>
  </si>
  <si>
    <t>NP-109</t>
  </si>
  <si>
    <t>6,095 EGP</t>
  </si>
  <si>
    <t>O5 &amp; I4</t>
  </si>
  <si>
    <t>G1 &amp; S1 &amp; W1</t>
  </si>
  <si>
    <t>6,927 EGP</t>
  </si>
  <si>
    <t>18:25</t>
  </si>
  <si>
    <t>17:15</t>
  </si>
  <si>
    <t>07:30</t>
  </si>
  <si>
    <t>ATZ-AJF</t>
  </si>
  <si>
    <t>SM-323</t>
  </si>
  <si>
    <t>6,031 EGP</t>
  </si>
  <si>
    <t>SM323</t>
  </si>
  <si>
    <t>Indirect competition route CAI – AJF - diversion ratio &amp; passenger leakage</t>
  </si>
  <si>
    <t>07:25</t>
  </si>
  <si>
    <t>CAI-AJF AS ALTERNATIVE ROUTE</t>
  </si>
  <si>
    <t>16:50</t>
  </si>
  <si>
    <t>CAI-YNB</t>
  </si>
  <si>
    <t>SM-441</t>
  </si>
  <si>
    <t>SM441</t>
  </si>
  <si>
    <t>T3 &amp; X2</t>
  </si>
  <si>
    <t>NP-103</t>
  </si>
  <si>
    <t>8,298 EGP</t>
  </si>
  <si>
    <t>6,825 EGP</t>
  </si>
  <si>
    <t>T2 &amp; X2</t>
  </si>
  <si>
    <t>8,234 EGP</t>
  </si>
  <si>
    <t>K3 &amp; W3 &amp; T4 &amp; X2</t>
  </si>
  <si>
    <t>T2 &amp; X2 &amp; I5</t>
  </si>
  <si>
    <t>W1 &amp; T4 &amp; X2 &amp; I1</t>
  </si>
  <si>
    <t>T1 &amp; X2 &amp; U1</t>
  </si>
  <si>
    <t>7,683 EGP</t>
  </si>
  <si>
    <t>S1 &amp; T4 &amp; X2</t>
  </si>
  <si>
    <t>T3 &amp; X2 &amp; U1</t>
  </si>
  <si>
    <t>T1 &amp; X1</t>
  </si>
  <si>
    <t>T1 &amp; X2</t>
  </si>
  <si>
    <t>S1 &amp; X2</t>
  </si>
  <si>
    <t>W1 &amp; T4 &amp; X3</t>
  </si>
  <si>
    <t>S6 &amp; W1 &amp; T4 &amp; X8</t>
  </si>
  <si>
    <t>S1 &amp; W4 &amp; T8 &amp; X2</t>
  </si>
  <si>
    <t>X1 &amp; U1</t>
  </si>
  <si>
    <t>05:10</t>
  </si>
  <si>
    <t>20:00</t>
  </si>
  <si>
    <t>19:50</t>
  </si>
  <si>
    <t>CAI-AHB</t>
  </si>
  <si>
    <t>SM-443</t>
  </si>
  <si>
    <t>SM443</t>
  </si>
  <si>
    <t>X3 &amp; U7 &amp; O8 &amp; I4</t>
  </si>
  <si>
    <t>NP-143</t>
  </si>
  <si>
    <t>E5-511</t>
  </si>
  <si>
    <t>7,392 EGP</t>
  </si>
  <si>
    <t>10,393 EGP</t>
  </si>
  <si>
    <t>W2 &amp; X10 &amp; U10 &amp; O4</t>
  </si>
  <si>
    <t>NP-243</t>
  </si>
  <si>
    <t>E5-513</t>
  </si>
  <si>
    <t>7,321 EGP</t>
  </si>
  <si>
    <t>10,049 EGP</t>
  </si>
  <si>
    <t>SM-447</t>
  </si>
  <si>
    <t>SM447</t>
  </si>
  <si>
    <t>W3 &amp; X4 &amp; U1 &amp; O5 &amp; I3</t>
  </si>
  <si>
    <t>6,172 EGP</t>
  </si>
  <si>
    <t>X3 &amp; O4 &amp; I4</t>
  </si>
  <si>
    <t>T3 &amp; X8 &amp; U7 &amp; O6</t>
  </si>
  <si>
    <t>11,947 EGP</t>
  </si>
  <si>
    <t>X2 &amp; U7 &amp; O7 &amp; I7</t>
  </si>
  <si>
    <t>9,738 EGP</t>
  </si>
  <si>
    <t>12,466 EGP</t>
  </si>
  <si>
    <t>8,503 EGP</t>
  </si>
  <si>
    <t>L5 &amp; T7 &amp; X7</t>
  </si>
  <si>
    <t>10,767 EGP</t>
  </si>
  <si>
    <t>13,768 EGP</t>
  </si>
  <si>
    <t>L17 &amp; S6 &amp; W6</t>
  </si>
  <si>
    <t>9,810 EGP</t>
  </si>
  <si>
    <t>12,811 EGP</t>
  </si>
  <si>
    <t>W6 &amp; T5 &amp; X4 &amp; U4</t>
  </si>
  <si>
    <t>S7 &amp; W3</t>
  </si>
  <si>
    <t>S5 &amp; W4</t>
  </si>
  <si>
    <t>W1 &amp; X5 &amp; U3 &amp; O2</t>
  </si>
  <si>
    <t>X10</t>
  </si>
  <si>
    <t>20:15</t>
  </si>
  <si>
    <t>L17</t>
  </si>
  <si>
    <t>ATZ-AHB</t>
  </si>
  <si>
    <t>SM-445</t>
  </si>
  <si>
    <t>6,607 EGP</t>
  </si>
  <si>
    <t>SM445</t>
  </si>
  <si>
    <t>Indirect competition route CAI – AHB - diversion ratio &amp; passenger leakage</t>
  </si>
  <si>
    <t>8,349 EGP</t>
  </si>
  <si>
    <t>S3 &amp; W6 &amp; X2</t>
  </si>
  <si>
    <t>14:00</t>
  </si>
  <si>
    <t>CAI-AHB AS ALTERNATIVE ROUTE</t>
  </si>
  <si>
    <t>18:20</t>
  </si>
  <si>
    <t>CAI-ELQ</t>
  </si>
  <si>
    <t>SM-427</t>
  </si>
  <si>
    <t>5,672 EGP</t>
  </si>
  <si>
    <t>SM427</t>
  </si>
  <si>
    <t>X3 &amp; O2 &amp; I4</t>
  </si>
  <si>
    <t>E5-591</t>
  </si>
  <si>
    <t>6,310 EGP</t>
  </si>
  <si>
    <t>9,038 EGP</t>
  </si>
  <si>
    <t>NP-105</t>
  </si>
  <si>
    <t>MS-633</t>
  </si>
  <si>
    <t>7,619 EGP</t>
  </si>
  <si>
    <t>NE-140</t>
  </si>
  <si>
    <t>11,538 EGP</t>
  </si>
  <si>
    <t>9,383 EGP</t>
  </si>
  <si>
    <t>NP-115</t>
  </si>
  <si>
    <t>X1 &amp; I3</t>
  </si>
  <si>
    <t>T1 &amp; X2 &amp; I4</t>
  </si>
  <si>
    <t>X1 &amp; O3 &amp; I2</t>
  </si>
  <si>
    <t>7,393 EGP</t>
  </si>
  <si>
    <t>10,121 EGP</t>
  </si>
  <si>
    <t>7,760 EGP</t>
  </si>
  <si>
    <t>G1 &amp; X2</t>
  </si>
  <si>
    <t>G8 &amp; S2 &amp; W4</t>
  </si>
  <si>
    <t>7,464 EGP</t>
  </si>
  <si>
    <t>10,465 EGP</t>
  </si>
  <si>
    <t>11,717 EGP</t>
  </si>
  <si>
    <t>X2 &amp; U10 &amp; O4</t>
  </si>
  <si>
    <t>7,273 EGP</t>
  </si>
  <si>
    <t>S1 &amp; W4 &amp; O1</t>
  </si>
  <si>
    <t>W11</t>
  </si>
  <si>
    <t>5,865 EGP</t>
  </si>
  <si>
    <t>G2 &amp; W1 &amp; U3 &amp; O2</t>
  </si>
  <si>
    <t>ATZ-ELQ</t>
  </si>
  <si>
    <t>SM-435</t>
  </si>
  <si>
    <t>5,826 EGP</t>
  </si>
  <si>
    <t>SM435</t>
  </si>
  <si>
    <t>U2 &amp; I3</t>
  </si>
  <si>
    <t>Indirect competition route CAI – ELQ - diversion ratio &amp; passenger leakage</t>
  </si>
  <si>
    <t>19:30</t>
  </si>
  <si>
    <t>6,121 EGP</t>
  </si>
  <si>
    <t>7,721 EGP</t>
  </si>
  <si>
    <t>W2 &amp; X1</t>
  </si>
  <si>
    <t>6,569 EGP</t>
  </si>
  <si>
    <t>X3 &amp; O2</t>
  </si>
  <si>
    <t>10:35</t>
  </si>
  <si>
    <t>20:35</t>
  </si>
  <si>
    <t>CAI-ELQ AS ALTERNATIVE ROUTE</t>
  </si>
  <si>
    <t>CAI-GIZ</t>
  </si>
  <si>
    <t>E5-585</t>
  </si>
  <si>
    <t>NP-141</t>
  </si>
  <si>
    <t>SM-329</t>
  </si>
  <si>
    <t>SM329</t>
  </si>
  <si>
    <t>X1 &amp; U1 &amp; I4</t>
  </si>
  <si>
    <t>X2 &amp; O7 &amp; I1</t>
  </si>
  <si>
    <t>7,478 EGP</t>
  </si>
  <si>
    <t>X1 &amp; U1 &amp; I3</t>
  </si>
  <si>
    <t>10,014 EGP</t>
  </si>
  <si>
    <t>10,647 EGP</t>
  </si>
  <si>
    <t>13,375 EGP</t>
  </si>
  <si>
    <t>10,628 EGP</t>
  </si>
  <si>
    <t>10,795 EGP</t>
  </si>
  <si>
    <t>G14</t>
  </si>
  <si>
    <t>11,126 EGP</t>
  </si>
  <si>
    <t>13,854 EGP</t>
  </si>
  <si>
    <t>11,243 EGP</t>
  </si>
  <si>
    <t>11,294 EGP</t>
  </si>
  <si>
    <t>L13 &amp; G12 &amp; W3</t>
  </si>
  <si>
    <t>10,270 EGP</t>
  </si>
  <si>
    <t>S6 &amp; W2</t>
  </si>
  <si>
    <t>9,501 EGP</t>
  </si>
  <si>
    <t>9,796 EGP</t>
  </si>
  <si>
    <t>W2 &amp; X1 &amp; O1</t>
  </si>
  <si>
    <t>L13</t>
  </si>
  <si>
    <t>G12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</si>
</sst>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F800]dddd\,\ mmmm\ dd\,\ yyyy"/>
    <numFmt numFmtId="165" formatCode="yyyy\-mm\-dd\ h:mm:ss"/>
    <numFmt numFmtId="166" formatCode="dddd\,\ mmmm\ dd\,\ yyyy"/>
    <numFmt numFmtId="167" formatCode="h:mm;@"/>
    <numFmt numFmtId="168" formatCode="0.0%"/>
    <numFmt numFmtId="169" formatCode="[$-409]dddd"/>
    <numFmt numFmtId="170" formatCode="dd\-mmm\-yy"/>
    <numFmt numFmtId="171" formatCode="hh:mm"/>
  </numFmts>
  <fonts count="38">
    <font>
      <sz val="11"/>
      <color theme="1"/>
      <name val="Calibri"/>
      <family val="2"/>
      <scheme val="minor"/>
    </font>
    <font>
      <b/>
      <i/>
      <sz val="22"/>
      <color rgb="FFFFFFFF"/>
      <name val="Calibri"/>
    </font>
    <font>
      <b/>
      <i/>
      <sz val="16"/>
      <color rgb="FFED7D31"/>
      <name val="Calibri"/>
    </font>
    <font>
      <b/>
      <i/>
      <u/>
      <sz val="18"/>
      <name val="Calibri"/>
    </font>
    <font>
      <i/>
      <sz val="13"/>
      <name val="Calibri"/>
    </font>
    <font>
      <b/>
      <i/>
      <sz val="20"/>
      <color rgb="FFFFFFFF"/>
      <name val="Calibri"/>
    </font>
    <font>
      <b/>
      <i/>
      <sz val="20"/>
      <name val="Calibri"/>
    </font>
    <font>
      <b/>
      <i/>
      <sz val="18"/>
      <color rgb="FFFFFFFF"/>
      <name val="Calibri"/>
    </font>
    <font>
      <b/>
      <i/>
      <sz val="14"/>
      <color rgb="FF000000"/>
      <name val="Calibri"/>
    </font>
    <font>
      <b/>
      <i/>
      <sz val="16"/>
      <color rgb="FF000000"/>
      <name val="Calibri"/>
    </font>
    <font>
      <b/>
      <i/>
      <sz val="12"/>
      <color rgb="FFBC0000"/>
      <name val="Calibri"/>
    </font>
    <font>
      <b/>
      <sz val="13"/>
      <color theme="1"/>
      <name val="Calibri"/>
    </font>
    <font>
      <b/>
      <sz val="14"/>
      <color theme="1"/>
      <name val="Calibri"/>
    </font>
    <font>
      <i/>
      <sz val="12"/>
      <name val="Calibri"/>
    </font>
    <font>
      <b/>
      <i/>
      <sz val="12"/>
      <name val="Calibri"/>
    </font>
    <font>
      <b/>
      <i/>
      <sz val="13"/>
      <name val="Calibri"/>
    </font>
    <font>
      <b/>
      <i/>
      <sz val="13"/>
      <color rgb="FF9C0006"/>
      <name val="Calibri"/>
    </font>
    <font>
      <b/>
      <i/>
      <sz val="14"/>
      <name val="Calibri"/>
    </font>
    <font>
      <sz val="12"/>
      <color theme="1"/>
      <name val="Calibri"/>
    </font>
    <font>
      <b/>
      <i/>
      <sz val="18"/>
      <name val="Calibri"/>
    </font>
    <font>
      <i/>
      <sz val="18"/>
      <color rgb="FFFF0000"/>
      <name val="Calibri"/>
    </font>
    <font>
      <b/>
      <sz val="14"/>
      <color rgb="FFFFFFFF"/>
      <name val="Calibri"/>
    </font>
    <font>
      <i/>
      <sz val="12"/>
      <color rgb="FF494529"/>
      <name val="Calibri"/>
    </font>
    <font>
      <b/>
      <sz val="12"/>
      <color rgb="FF000000"/>
      <name val="Calibri"/>
    </font>
    <font>
      <b/>
      <i/>
      <sz val="12"/>
      <color rgb="FF0070C0"/>
      <name val="Calibri"/>
    </font>
    <font>
      <i/>
      <sz val="11"/>
      <name val="Calibri"/>
    </font>
    <font>
      <b/>
      <i/>
      <sz val="13"/>
      <color rgb="FFBC0000"/>
      <name val="Calibri"/>
    </font>
    <font>
      <b/>
      <i/>
      <sz val="10"/>
      <color rgb="FFBC0000"/>
      <name val="Calibri"/>
    </font>
    <font>
      <i/>
      <sz val="10"/>
      <name val="Calibri"/>
    </font>
    <font>
      <b/>
      <i/>
      <sz val="10"/>
      <name val="Calibri"/>
    </font>
    <font>
      <b/>
      <i/>
      <sz val="12"/>
      <color theme="1"/>
      <name val="Calibri"/>
      <family val="2"/>
      <scheme val="minor"/>
    </font>
    <font>
      <b/>
      <i/>
      <sz val="16"/>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8"/>
      <name val="Calibri"/>
      <family val="2"/>
    </font>
    <font>
      <b/>
      <sz val="10"/>
      <color indexed="48"/>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FE4B5"/>
      </patternFill>
    </fill>
    <fill>
      <patternFill patternType="solid">
        <fgColor rgb="FFCCCCCC"/>
        <bgColor rgb="FFCCCCCC"/>
      </patternFill>
    </fill>
    <fill>
      <patternFill patternType="solid">
        <fgColor rgb="FFF2CA93"/>
      </patternFill>
    </fill>
    <fill>
      <patternFill patternType="solid">
        <fgColor rgb="FFD8E4BC"/>
      </patternFill>
    </fill>
    <fill>
      <patternFill patternType="solid">
        <fgColor rgb="FFC7FFFF"/>
      </patternFill>
    </fill>
    <fill>
      <patternFill patternType="solid">
        <fgColor rgb="FFC5D9F1"/>
      </patternFill>
    </fill>
    <fill>
      <patternFill patternType="solid">
        <fgColor rgb="FFB5E7D3"/>
      </patternFill>
    </fill>
    <fill>
      <patternFill patternType="solid">
        <fgColor rgb="FFE6D5E6"/>
      </patternFill>
    </fill>
    <fill>
      <patternFill patternType="solid">
        <fgColor rgb="FFFFFFCC"/>
      </patternFill>
    </fill>
    <fill>
      <patternFill patternType="solid">
        <fgColor rgb="FF366092"/>
      </patternFill>
    </fill>
    <fill>
      <patternFill patternType="solid">
        <fgColor rgb="FF365492"/>
        <bgColor indexed="64"/>
      </patternFill>
    </fill>
  </fills>
  <borders count="37">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thick">
        <color rgb="FFD040E3"/>
      </left>
      <right style="thick">
        <color rgb="FFD040E3"/>
      </right>
      <top style="thick">
        <color rgb="FFD040E3"/>
      </top>
      <bottom style="thick">
        <color rgb="FFD040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ck">
        <color rgb="FFD040E3"/>
      </left>
      <right style="thick">
        <color rgb="FFD040E3"/>
      </right>
      <top/>
      <bottom style="thick">
        <color rgb="FFD040E3"/>
      </bottom>
      <diagonal/>
    </border>
    <border>
      <left style="thick">
        <color rgb="FFA0A0A0"/>
      </left>
      <right style="thick">
        <color rgb="FFA0A0A0"/>
      </right>
      <top style="thick">
        <color rgb="FFA0A0A0"/>
      </top>
      <bottom style="thick">
        <color rgb="FFA0A0A0"/>
      </bottom>
      <diagonal/>
    </border>
    <border>
      <left/>
      <right/>
      <top style="thick">
        <color rgb="FFA0A0A0"/>
      </top>
      <bottom style="thick">
        <color rgb="FFA0A0A0"/>
      </bottom>
      <diagonal/>
    </border>
    <border>
      <left/>
      <right style="thick">
        <color rgb="FFA0A0A0"/>
      </right>
      <top style="thick">
        <color rgb="FFA0A0A0"/>
      </top>
      <bottom style="thick">
        <color rgb="FFA0A0A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307">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6"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3" xfId="0" applyFont="1" applyFill="1" applyBorder="1" applyAlignment="1">
      <alignment horizontal="center" vertical="center"/>
    </xf>
    <xf numFmtId="49" fontId="10" fillId="0" borderId="4" xfId="0" applyNumberFormat="1" applyFont="1" applyBorder="1" applyAlignment="1">
      <alignment horizontal="center" vertical="center"/>
    </xf>
    <xf numFmtId="167" fontId="10" fillId="0" borderId="4" xfId="0" applyNumberFormat="1"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2" fillId="0" borderId="7"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49" fontId="13" fillId="0" borderId="9" xfId="0" applyNumberFormat="1" applyFont="1" applyBorder="1" applyAlignment="1">
      <alignment horizontal="center" vertical="center"/>
    </xf>
    <xf numFmtId="167" fontId="13" fillId="0" borderId="9" xfId="0" applyNumberFormat="1" applyFont="1" applyBorder="1" applyAlignment="1">
      <alignment horizontal="center" vertical="center"/>
    </xf>
    <xf numFmtId="49" fontId="14" fillId="0" borderId="9" xfId="0" applyNumberFormat="1" applyFont="1" applyBorder="1" applyAlignment="1">
      <alignment horizontal="center" vertical="center"/>
    </xf>
    <xf numFmtId="167" fontId="14" fillId="0" borderId="9" xfId="0" applyNumberFormat="1" applyFont="1" applyBorder="1" applyAlignment="1">
      <alignment horizontal="center" vertical="center"/>
    </xf>
    <xf numFmtId="49" fontId="10" fillId="0" borderId="9" xfId="0" applyNumberFormat="1" applyFont="1" applyBorder="1" applyAlignment="1">
      <alignment horizontal="center" vertical="center"/>
    </xf>
    <xf numFmtId="167" fontId="10" fillId="0" borderId="9" xfId="0" applyNumberFormat="1" applyFont="1" applyBorder="1" applyAlignment="1">
      <alignment horizontal="center" vertical="center"/>
    </xf>
    <xf numFmtId="49" fontId="10" fillId="8" borderId="2" xfId="0" applyNumberFormat="1" applyFont="1" applyFill="1" applyBorder="1" applyAlignment="1">
      <alignment horizontal="center" vertical="center"/>
    </xf>
    <xf numFmtId="167" fontId="10" fillId="8" borderId="2" xfId="0" applyNumberFormat="1" applyFont="1" applyFill="1" applyBorder="1" applyAlignment="1">
      <alignment horizontal="center" vertical="center"/>
    </xf>
    <xf numFmtId="49" fontId="15" fillId="8" borderId="11" xfId="0" applyNumberFormat="1" applyFont="1" applyFill="1" applyBorder="1" applyAlignment="1">
      <alignment horizontal="center" vertical="center"/>
    </xf>
    <xf numFmtId="168" fontId="16" fillId="8" borderId="12" xfId="0" applyNumberFormat="1" applyFont="1" applyFill="1" applyBorder="1" applyAlignment="1">
      <alignment horizontal="center" vertical="center"/>
    </xf>
    <xf numFmtId="1" fontId="15" fillId="8" borderId="12" xfId="0" applyNumberFormat="1" applyFont="1" applyFill="1" applyBorder="1" applyAlignment="1">
      <alignment horizontal="center" vertical="center"/>
    </xf>
    <xf numFmtId="16" fontId="15" fillId="8" borderId="12" xfId="0" applyNumberFormat="1" applyFont="1" applyFill="1" applyBorder="1" applyAlignment="1">
      <alignment horizontal="center" vertical="center"/>
    </xf>
    <xf numFmtId="49" fontId="17" fillId="8" borderId="12" xfId="0" applyNumberFormat="1" applyFont="1" applyFill="1" applyBorder="1" applyAlignment="1">
      <alignment horizontal="center" vertical="center"/>
    </xf>
    <xf numFmtId="167" fontId="15" fillId="8" borderId="12" xfId="0" applyNumberFormat="1" applyFont="1" applyFill="1" applyBorder="1" applyAlignment="1">
      <alignment horizontal="center" vertical="center"/>
    </xf>
    <xf numFmtId="49" fontId="15" fillId="8" borderId="13" xfId="0" applyNumberFormat="1" applyFont="1" applyFill="1" applyBorder="1" applyAlignment="1">
      <alignment horizontal="center" vertical="center"/>
    </xf>
    <xf numFmtId="49" fontId="14" fillId="0" borderId="14" xfId="0" applyNumberFormat="1" applyFont="1" applyBorder="1" applyAlignment="1">
      <alignment horizontal="center" vertical="center"/>
    </xf>
    <xf numFmtId="167" fontId="14" fillId="0" borderId="14" xfId="0" applyNumberFormat="1" applyFont="1" applyBorder="1" applyAlignment="1">
      <alignment horizontal="center" vertical="center"/>
    </xf>
    <xf numFmtId="166" fontId="19" fillId="5" borderId="2" xfId="0" applyNumberFormat="1" applyFont="1" applyFill="1" applyBorder="1" applyAlignment="1">
      <alignment horizontal="center" vertical="center"/>
    </xf>
    <xf numFmtId="49" fontId="8" fillId="6" borderId="2" xfId="0" applyNumberFormat="1" applyFont="1" applyFill="1" applyBorder="1" applyAlignment="1">
      <alignment horizontal="center" vertical="center"/>
    </xf>
    <xf numFmtId="167" fontId="8" fillId="6"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49" fontId="9" fillId="7" borderId="3"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16" fontId="8" fillId="6" borderId="2" xfId="0" applyNumberFormat="1" applyFont="1" applyFill="1" applyBorder="1" applyAlignment="1">
      <alignment horizontal="center" vertical="center"/>
    </xf>
    <xf numFmtId="49" fontId="10" fillId="10" borderId="2" xfId="0" applyNumberFormat="1" applyFont="1" applyFill="1" applyBorder="1" applyAlignment="1">
      <alignment horizontal="center" vertical="center"/>
    </xf>
    <xf numFmtId="167" fontId="10" fillId="10" borderId="2" xfId="0" applyNumberFormat="1" applyFont="1" applyFill="1" applyBorder="1" applyAlignment="1">
      <alignment horizontal="center" vertical="center"/>
    </xf>
    <xf numFmtId="49" fontId="15" fillId="10" borderId="11" xfId="0" applyNumberFormat="1" applyFont="1" applyFill="1" applyBorder="1" applyAlignment="1">
      <alignment horizontal="center" vertical="center"/>
    </xf>
    <xf numFmtId="168" fontId="16" fillId="10" borderId="12" xfId="0" applyNumberFormat="1" applyFont="1" applyFill="1" applyBorder="1" applyAlignment="1">
      <alignment horizontal="center" vertical="center"/>
    </xf>
    <xf numFmtId="1" fontId="15" fillId="10" borderId="12" xfId="0" applyNumberFormat="1" applyFont="1" applyFill="1" applyBorder="1" applyAlignment="1">
      <alignment horizontal="center" vertical="center"/>
    </xf>
    <xf numFmtId="16" fontId="15" fillId="10" borderId="12" xfId="0" applyNumberFormat="1" applyFont="1" applyFill="1" applyBorder="1" applyAlignment="1">
      <alignment horizontal="center" vertical="center"/>
    </xf>
    <xf numFmtId="49" fontId="17" fillId="10" borderId="12" xfId="0" applyNumberFormat="1" applyFont="1" applyFill="1" applyBorder="1" applyAlignment="1">
      <alignment horizontal="center" vertical="center"/>
    </xf>
    <xf numFmtId="167" fontId="15" fillId="10" borderId="12" xfId="0" applyNumberFormat="1" applyFont="1" applyFill="1" applyBorder="1" applyAlignment="1">
      <alignment horizontal="center" vertical="center"/>
    </xf>
    <xf numFmtId="49" fontId="15" fillId="10" borderId="13" xfId="0" applyNumberFormat="1" applyFont="1" applyFill="1" applyBorder="1" applyAlignment="1">
      <alignment horizontal="center" vertical="center"/>
    </xf>
    <xf numFmtId="49" fontId="10" fillId="11" borderId="2" xfId="0" applyNumberFormat="1" applyFont="1" applyFill="1" applyBorder="1" applyAlignment="1">
      <alignment horizontal="center" vertical="center"/>
    </xf>
    <xf numFmtId="167" fontId="10" fillId="11" borderId="2" xfId="0" applyNumberFormat="1" applyFont="1" applyFill="1" applyBorder="1" applyAlignment="1">
      <alignment horizontal="center" vertical="center"/>
    </xf>
    <xf numFmtId="49" fontId="15" fillId="11" borderId="11" xfId="0" applyNumberFormat="1" applyFont="1" applyFill="1" applyBorder="1" applyAlignment="1">
      <alignment horizontal="center" vertical="center"/>
    </xf>
    <xf numFmtId="168" fontId="16" fillId="11" borderId="12" xfId="0" applyNumberFormat="1" applyFont="1" applyFill="1" applyBorder="1" applyAlignment="1">
      <alignment horizontal="center" vertical="center"/>
    </xf>
    <xf numFmtId="1" fontId="15" fillId="11" borderId="12" xfId="0" applyNumberFormat="1" applyFont="1" applyFill="1" applyBorder="1" applyAlignment="1">
      <alignment horizontal="center" vertical="center"/>
    </xf>
    <xf numFmtId="16" fontId="15" fillId="11" borderId="12" xfId="0" applyNumberFormat="1" applyFont="1" applyFill="1" applyBorder="1" applyAlignment="1">
      <alignment horizontal="center" vertical="center"/>
    </xf>
    <xf numFmtId="49" fontId="17" fillId="11" borderId="12" xfId="0" applyNumberFormat="1" applyFont="1" applyFill="1" applyBorder="1" applyAlignment="1">
      <alignment horizontal="center" vertical="center"/>
    </xf>
    <xf numFmtId="167" fontId="15" fillId="11" borderId="12" xfId="0" applyNumberFormat="1" applyFont="1" applyFill="1" applyBorder="1" applyAlignment="1">
      <alignment horizontal="center" vertical="center"/>
    </xf>
    <xf numFmtId="49" fontId="15" fillId="11" borderId="13" xfId="0" applyNumberFormat="1" applyFont="1" applyFill="1" applyBorder="1" applyAlignment="1">
      <alignment horizontal="center" vertical="center"/>
    </xf>
    <xf numFmtId="49" fontId="10" fillId="12" borderId="2" xfId="0" applyNumberFormat="1" applyFont="1" applyFill="1" applyBorder="1" applyAlignment="1">
      <alignment horizontal="center" vertical="center"/>
    </xf>
    <xf numFmtId="167" fontId="10" fillId="12" borderId="2" xfId="0" applyNumberFormat="1" applyFont="1" applyFill="1" applyBorder="1" applyAlignment="1">
      <alignment horizontal="center" vertical="center"/>
    </xf>
    <xf numFmtId="49" fontId="15" fillId="12" borderId="11" xfId="0" applyNumberFormat="1" applyFont="1" applyFill="1" applyBorder="1" applyAlignment="1">
      <alignment horizontal="center" vertical="center"/>
    </xf>
    <xf numFmtId="168" fontId="16" fillId="12" borderId="12" xfId="0" applyNumberFormat="1" applyFont="1" applyFill="1" applyBorder="1" applyAlignment="1">
      <alignment horizontal="center" vertical="center"/>
    </xf>
    <xf numFmtId="1" fontId="15" fillId="12" borderId="12" xfId="0" applyNumberFormat="1" applyFont="1" applyFill="1" applyBorder="1" applyAlignment="1">
      <alignment horizontal="center" vertical="center"/>
    </xf>
    <xf numFmtId="16" fontId="15" fillId="12" borderId="12" xfId="0" applyNumberFormat="1" applyFont="1" applyFill="1" applyBorder="1" applyAlignment="1">
      <alignment horizontal="center" vertical="center"/>
    </xf>
    <xf numFmtId="49" fontId="17" fillId="12" borderId="12" xfId="0" applyNumberFormat="1" applyFont="1" applyFill="1" applyBorder="1" applyAlignment="1">
      <alignment horizontal="center" vertical="center"/>
    </xf>
    <xf numFmtId="167" fontId="15" fillId="12" borderId="12" xfId="0" applyNumberFormat="1" applyFont="1" applyFill="1" applyBorder="1" applyAlignment="1">
      <alignment horizontal="center" vertical="center"/>
    </xf>
    <xf numFmtId="49" fontId="15" fillId="12" borderId="13" xfId="0" applyNumberFormat="1" applyFont="1" applyFill="1" applyBorder="1" applyAlignment="1">
      <alignment horizontal="center" vertical="center"/>
    </xf>
    <xf numFmtId="49" fontId="10" fillId="13" borderId="2" xfId="0" applyNumberFormat="1" applyFont="1" applyFill="1" applyBorder="1" applyAlignment="1">
      <alignment horizontal="center" vertical="center"/>
    </xf>
    <xf numFmtId="167" fontId="10" fillId="13" borderId="2" xfId="0" applyNumberFormat="1" applyFont="1" applyFill="1" applyBorder="1" applyAlignment="1">
      <alignment horizontal="center" vertical="center"/>
    </xf>
    <xf numFmtId="49" fontId="15" fillId="13" borderId="11" xfId="0" applyNumberFormat="1" applyFont="1" applyFill="1" applyBorder="1" applyAlignment="1">
      <alignment horizontal="center" vertical="center"/>
    </xf>
    <xf numFmtId="168" fontId="16" fillId="13" borderId="12" xfId="0" applyNumberFormat="1" applyFont="1" applyFill="1" applyBorder="1" applyAlignment="1">
      <alignment horizontal="center" vertical="center"/>
    </xf>
    <xf numFmtId="1" fontId="15" fillId="13" borderId="12" xfId="0" applyNumberFormat="1" applyFont="1" applyFill="1" applyBorder="1" applyAlignment="1">
      <alignment horizontal="center" vertical="center"/>
    </xf>
    <xf numFmtId="16" fontId="15" fillId="13" borderId="12" xfId="0" applyNumberFormat="1" applyFont="1" applyFill="1" applyBorder="1" applyAlignment="1">
      <alignment horizontal="center" vertical="center"/>
    </xf>
    <xf numFmtId="49" fontId="17" fillId="13" borderId="12" xfId="0" applyNumberFormat="1" applyFont="1" applyFill="1" applyBorder="1" applyAlignment="1">
      <alignment horizontal="center" vertical="center"/>
    </xf>
    <xf numFmtId="167" fontId="15" fillId="13" borderId="12" xfId="0" applyNumberFormat="1" applyFont="1" applyFill="1" applyBorder="1" applyAlignment="1">
      <alignment horizontal="center" vertical="center"/>
    </xf>
    <xf numFmtId="49" fontId="15" fillId="13" borderId="13" xfId="0" applyNumberFormat="1" applyFont="1" applyFill="1" applyBorder="1" applyAlignment="1">
      <alignment horizontal="center" vertical="center"/>
    </xf>
    <xf numFmtId="49" fontId="13" fillId="0" borderId="14" xfId="0" applyNumberFormat="1" applyFont="1" applyBorder="1" applyAlignment="1">
      <alignment horizontal="center" vertical="center"/>
    </xf>
    <xf numFmtId="167" fontId="13" fillId="0" borderId="14" xfId="0" applyNumberFormat="1" applyFont="1" applyBorder="1" applyAlignment="1">
      <alignment horizontal="center" vertical="center"/>
    </xf>
    <xf numFmtId="49" fontId="10" fillId="14" borderId="2" xfId="0" applyNumberFormat="1" applyFont="1" applyFill="1" applyBorder="1" applyAlignment="1">
      <alignment horizontal="center" vertical="center"/>
    </xf>
    <xf numFmtId="167" fontId="10" fillId="14" borderId="2" xfId="0" applyNumberFormat="1" applyFont="1" applyFill="1" applyBorder="1" applyAlignment="1">
      <alignment horizontal="center" vertical="center"/>
    </xf>
    <xf numFmtId="49" fontId="15" fillId="14" borderId="11" xfId="0" applyNumberFormat="1" applyFont="1" applyFill="1" applyBorder="1" applyAlignment="1">
      <alignment horizontal="center" vertical="center"/>
    </xf>
    <xf numFmtId="168" fontId="16" fillId="14" borderId="12" xfId="0" applyNumberFormat="1" applyFont="1" applyFill="1" applyBorder="1" applyAlignment="1">
      <alignment horizontal="center" vertical="center"/>
    </xf>
    <xf numFmtId="1" fontId="15" fillId="14" borderId="12" xfId="0" applyNumberFormat="1" applyFont="1" applyFill="1" applyBorder="1" applyAlignment="1">
      <alignment horizontal="center" vertical="center"/>
    </xf>
    <xf numFmtId="16" fontId="15" fillId="14" borderId="12" xfId="0" applyNumberFormat="1" applyFont="1" applyFill="1" applyBorder="1" applyAlignment="1">
      <alignment horizontal="center" vertical="center"/>
    </xf>
    <xf numFmtId="49" fontId="17" fillId="14" borderId="12" xfId="0" applyNumberFormat="1" applyFont="1" applyFill="1" applyBorder="1" applyAlignment="1">
      <alignment horizontal="center" vertical="center"/>
    </xf>
    <xf numFmtId="167" fontId="15" fillId="14" borderId="12" xfId="0" applyNumberFormat="1" applyFont="1" applyFill="1" applyBorder="1" applyAlignment="1">
      <alignment horizontal="center" vertical="center"/>
    </xf>
    <xf numFmtId="49" fontId="15" fillId="14" borderId="13" xfId="0" applyNumberFormat="1" applyFont="1" applyFill="1" applyBorder="1" applyAlignment="1">
      <alignment horizontal="center" vertical="center"/>
    </xf>
    <xf numFmtId="49" fontId="10" fillId="15" borderId="2" xfId="0" applyNumberFormat="1" applyFont="1" applyFill="1" applyBorder="1" applyAlignment="1">
      <alignment horizontal="center" vertical="center"/>
    </xf>
    <xf numFmtId="167" fontId="10" fillId="15" borderId="2" xfId="0" applyNumberFormat="1" applyFont="1" applyFill="1" applyBorder="1" applyAlignment="1">
      <alignment horizontal="center" vertical="center"/>
    </xf>
    <xf numFmtId="49" fontId="15" fillId="15" borderId="11" xfId="0" applyNumberFormat="1" applyFont="1" applyFill="1" applyBorder="1" applyAlignment="1">
      <alignment horizontal="center" vertical="center"/>
    </xf>
    <xf numFmtId="168" fontId="16" fillId="15" borderId="12" xfId="0" applyNumberFormat="1" applyFont="1" applyFill="1" applyBorder="1" applyAlignment="1">
      <alignment horizontal="center" vertical="center"/>
    </xf>
    <xf numFmtId="1" fontId="15" fillId="15" borderId="12" xfId="0" applyNumberFormat="1" applyFont="1" applyFill="1" applyBorder="1" applyAlignment="1">
      <alignment horizontal="center" vertical="center"/>
    </xf>
    <xf numFmtId="16" fontId="15" fillId="15" borderId="12" xfId="0" applyNumberFormat="1" applyFont="1" applyFill="1" applyBorder="1" applyAlignment="1">
      <alignment horizontal="center" vertical="center"/>
    </xf>
    <xf numFmtId="49" fontId="17" fillId="15" borderId="12" xfId="0" applyNumberFormat="1" applyFont="1" applyFill="1" applyBorder="1" applyAlignment="1">
      <alignment horizontal="center" vertical="center"/>
    </xf>
    <xf numFmtId="167" fontId="15" fillId="15" borderId="12" xfId="0" applyNumberFormat="1" applyFont="1" applyFill="1" applyBorder="1" applyAlignment="1">
      <alignment horizontal="center" vertical="center"/>
    </xf>
    <xf numFmtId="49" fontId="15" fillId="15" borderId="13" xfId="0" applyNumberFormat="1" applyFont="1" applyFill="1" applyBorder="1" applyAlignment="1">
      <alignment horizontal="center" vertical="center"/>
    </xf>
    <xf numFmtId="49" fontId="10" fillId="0" borderId="14" xfId="0" applyNumberFormat="1" applyFont="1" applyBorder="1" applyAlignment="1">
      <alignment horizontal="center" vertical="center"/>
    </xf>
    <xf numFmtId="167" fontId="10" fillId="0" borderId="14" xfId="0" applyNumberFormat="1" applyFont="1" applyBorder="1" applyAlignment="1">
      <alignment horizontal="center" vertical="center"/>
    </xf>
    <xf numFmtId="49" fontId="10" fillId="16" borderId="2" xfId="0" applyNumberFormat="1" applyFont="1" applyFill="1" applyBorder="1" applyAlignment="1">
      <alignment horizontal="center" vertical="center"/>
    </xf>
    <xf numFmtId="167" fontId="10" fillId="16" borderId="2" xfId="0" applyNumberFormat="1" applyFont="1" applyFill="1" applyBorder="1" applyAlignment="1">
      <alignment horizontal="center" vertical="center"/>
    </xf>
    <xf numFmtId="49" fontId="15" fillId="16" borderId="11" xfId="0" applyNumberFormat="1" applyFont="1" applyFill="1" applyBorder="1" applyAlignment="1">
      <alignment horizontal="center" vertical="center"/>
    </xf>
    <xf numFmtId="168" fontId="16" fillId="16" borderId="12" xfId="0" applyNumberFormat="1" applyFont="1" applyFill="1" applyBorder="1" applyAlignment="1">
      <alignment horizontal="center" vertical="center"/>
    </xf>
    <xf numFmtId="1" fontId="15" fillId="16" borderId="12" xfId="0" applyNumberFormat="1" applyFont="1" applyFill="1" applyBorder="1" applyAlignment="1">
      <alignment horizontal="center" vertical="center"/>
    </xf>
    <xf numFmtId="16" fontId="15" fillId="16" borderId="12" xfId="0" applyNumberFormat="1" applyFont="1" applyFill="1" applyBorder="1" applyAlignment="1">
      <alignment horizontal="center" vertical="center"/>
    </xf>
    <xf numFmtId="49" fontId="17" fillId="16" borderId="12" xfId="0" applyNumberFormat="1" applyFont="1" applyFill="1" applyBorder="1" applyAlignment="1">
      <alignment horizontal="center" vertical="center"/>
    </xf>
    <xf numFmtId="167" fontId="15" fillId="16" borderId="12" xfId="0" applyNumberFormat="1" applyFont="1" applyFill="1" applyBorder="1" applyAlignment="1">
      <alignment horizontal="center" vertical="center"/>
    </xf>
    <xf numFmtId="49" fontId="15" fillId="16" borderId="13" xfId="0" applyNumberFormat="1" applyFont="1" applyFill="1" applyBorder="1" applyAlignment="1">
      <alignment horizontal="center" vertical="center"/>
    </xf>
    <xf numFmtId="0" fontId="0" fillId="0" borderId="0" xfId="0" applyAlignment="1">
      <alignment horizontal="center" vertical="center"/>
    </xf>
    <xf numFmtId="0" fontId="21" fillId="17" borderId="19" xfId="0" applyFont="1" applyFill="1" applyBorder="1" applyAlignment="1">
      <alignment horizontal="center" vertical="center"/>
    </xf>
    <xf numFmtId="0" fontId="21" fillId="17" borderId="20" xfId="0" applyFont="1" applyFill="1" applyBorder="1" applyAlignment="1">
      <alignment horizontal="center" vertical="center"/>
    </xf>
    <xf numFmtId="0" fontId="21" fillId="17" borderId="21" xfId="0" applyFont="1" applyFill="1" applyBorder="1" applyAlignment="1">
      <alignment horizontal="center" vertical="center"/>
    </xf>
    <xf numFmtId="0" fontId="22" fillId="0" borderId="22" xfId="0" applyFont="1" applyBorder="1" applyAlignment="1">
      <alignment horizontal="center" vertical="center"/>
    </xf>
    <xf numFmtId="0" fontId="22" fillId="0" borderId="23" xfId="0" applyFont="1" applyBorder="1" applyAlignment="1">
      <alignment horizontal="center" vertical="center"/>
    </xf>
    <xf numFmtId="49" fontId="22" fillId="0" borderId="23" xfId="0" applyNumberFormat="1" applyFont="1" applyBorder="1" applyAlignment="1">
      <alignment horizontal="center" vertical="center"/>
    </xf>
    <xf numFmtId="1" fontId="22" fillId="0" borderId="23" xfId="0" applyNumberFormat="1" applyFont="1" applyBorder="1" applyAlignment="1">
      <alignment horizontal="center" vertical="center"/>
    </xf>
    <xf numFmtId="0" fontId="22" fillId="0" borderId="24" xfId="0" applyFont="1" applyBorder="1" applyAlignment="1">
      <alignment horizontal="center" vertical="center"/>
    </xf>
    <xf numFmtId="0" fontId="23" fillId="0" borderId="22" xfId="0" applyFont="1" applyBorder="1" applyAlignment="1">
      <alignment horizontal="center" vertical="center"/>
    </xf>
    <xf numFmtId="0" fontId="23" fillId="0" borderId="23" xfId="0" applyFont="1" applyBorder="1" applyAlignment="1">
      <alignment horizontal="center" vertical="center"/>
    </xf>
    <xf numFmtId="49" fontId="23" fillId="0" borderId="23" xfId="0" applyNumberFormat="1" applyFont="1" applyBorder="1" applyAlignment="1">
      <alignment horizontal="center" vertical="center"/>
    </xf>
    <xf numFmtId="1" fontId="23" fillId="0" borderId="23" xfId="0" applyNumberFormat="1" applyFont="1" applyBorder="1" applyAlignment="1">
      <alignment horizontal="center" vertical="center"/>
    </xf>
    <xf numFmtId="0" fontId="23" fillId="0" borderId="24" xfId="0" applyFont="1" applyBorder="1" applyAlignment="1">
      <alignment horizontal="center" vertical="center"/>
    </xf>
    <xf numFmtId="170" fontId="22" fillId="0" borderId="22" xfId="0" applyNumberFormat="1" applyFont="1" applyBorder="1" applyAlignment="1">
      <alignment horizontal="center" vertical="center"/>
    </xf>
    <xf numFmtId="171" fontId="22" fillId="0" borderId="23" xfId="0" applyNumberFormat="1" applyFont="1" applyBorder="1" applyAlignment="1">
      <alignment horizontal="center" vertical="center"/>
    </xf>
    <xf numFmtId="170" fontId="22" fillId="0" borderId="25" xfId="0" applyNumberFormat="1" applyFont="1" applyBorder="1" applyAlignment="1">
      <alignment horizontal="center" vertical="center"/>
    </xf>
    <xf numFmtId="0" fontId="22" fillId="0" borderId="26" xfId="0" applyFont="1" applyBorder="1" applyAlignment="1">
      <alignment horizontal="center" vertical="center"/>
    </xf>
    <xf numFmtId="49" fontId="22" fillId="0" borderId="26" xfId="0" applyNumberFormat="1" applyFont="1" applyBorder="1" applyAlignment="1">
      <alignment horizontal="center" vertical="center"/>
    </xf>
    <xf numFmtId="171" fontId="22" fillId="0" borderId="26" xfId="0" applyNumberFormat="1" applyFont="1" applyBorder="1" applyAlignment="1">
      <alignment horizontal="center" vertical="center"/>
    </xf>
    <xf numFmtId="1" fontId="22" fillId="0" borderId="26" xfId="0" applyNumberFormat="1" applyFont="1" applyBorder="1" applyAlignment="1">
      <alignment horizontal="center" vertical="center"/>
    </xf>
    <xf numFmtId="0" fontId="22" fillId="0" borderId="27" xfId="0" applyFont="1" applyBorder="1" applyAlignment="1">
      <alignment horizontal="center" vertical="center"/>
    </xf>
    <xf numFmtId="170" fontId="23" fillId="0" borderId="22" xfId="0" applyNumberFormat="1" applyFont="1" applyBorder="1" applyAlignment="1">
      <alignment horizontal="center" vertical="center"/>
    </xf>
    <xf numFmtId="171" fontId="23" fillId="0" borderId="23" xfId="0" applyNumberFormat="1" applyFont="1" applyBorder="1" applyAlignment="1">
      <alignment horizontal="center" vertical="center"/>
    </xf>
    <xf numFmtId="0" fontId="23" fillId="0" borderId="25" xfId="0" applyFont="1" applyBorder="1" applyAlignment="1">
      <alignment horizontal="center" vertical="center"/>
    </xf>
    <xf numFmtId="0" fontId="23" fillId="0" borderId="26" xfId="0" applyFont="1" applyBorder="1" applyAlignment="1">
      <alignment horizontal="center" vertical="center"/>
    </xf>
    <xf numFmtId="49" fontId="23" fillId="0" borderId="26" xfId="0" applyNumberFormat="1" applyFont="1" applyBorder="1" applyAlignment="1">
      <alignment horizontal="center" vertical="center"/>
    </xf>
    <xf numFmtId="1" fontId="23" fillId="0" borderId="26" xfId="0" applyNumberFormat="1" applyFont="1" applyBorder="1" applyAlignment="1">
      <alignment horizontal="center" vertical="center"/>
    </xf>
    <xf numFmtId="0" fontId="23" fillId="0" borderId="27" xfId="0" applyFont="1" applyBorder="1" applyAlignment="1">
      <alignment horizontal="center" vertical="center"/>
    </xf>
    <xf numFmtId="170" fontId="23" fillId="0" borderId="25" xfId="0" applyNumberFormat="1" applyFont="1" applyBorder="1" applyAlignment="1">
      <alignment horizontal="center" vertical="center"/>
    </xf>
    <xf numFmtId="171" fontId="23" fillId="0" borderId="26" xfId="0" applyNumberFormat="1" applyFont="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31" xfId="0" applyFont="1" applyBorder="1" applyAlignment="1">
      <alignment horizontal="center" vertical="center"/>
    </xf>
    <xf numFmtId="0" fontId="12" fillId="0" borderId="31" xfId="0" applyFont="1" applyBorder="1" applyAlignment="1">
      <alignment horizontal="center" vertical="center"/>
    </xf>
    <xf numFmtId="0" fontId="0" fillId="0" borderId="31" xfId="0" applyBorder="1" applyAlignment="1">
      <alignment horizontal="center" vertical="center"/>
    </xf>
    <xf numFmtId="0" fontId="0" fillId="0" borderId="22" xfId="0" applyBorder="1"/>
    <xf numFmtId="0" fontId="0" fillId="0" borderId="23" xfId="0" applyBorder="1"/>
    <xf numFmtId="0" fontId="24" fillId="0" borderId="23" xfId="0" applyFont="1" applyBorder="1" applyAlignment="1">
      <alignment horizontal="center" vertical="center"/>
    </xf>
    <xf numFmtId="0" fontId="0" fillId="0" borderId="24" xfId="0" applyBorder="1"/>
    <xf numFmtId="0" fontId="22" fillId="0" borderId="25" xfId="0" applyFont="1" applyBorder="1" applyAlignment="1">
      <alignment horizontal="center" vertical="center"/>
    </xf>
    <xf numFmtId="49" fontId="14" fillId="11" borderId="2" xfId="0" applyNumberFormat="1" applyFont="1" applyFill="1" applyBorder="1" applyAlignment="1">
      <alignment horizontal="center" vertical="center"/>
    </xf>
    <xf numFmtId="167" fontId="14" fillId="11" borderId="2" xfId="0" applyNumberFormat="1" applyFont="1" applyFill="1" applyBorder="1" applyAlignment="1">
      <alignment horizontal="center" vertical="center"/>
    </xf>
    <xf numFmtId="49" fontId="14" fillId="14" borderId="2" xfId="0" applyNumberFormat="1" applyFont="1" applyFill="1" applyBorder="1" applyAlignment="1">
      <alignment horizontal="center" vertical="center"/>
    </xf>
    <xf numFmtId="167" fontId="14" fillId="14" borderId="2" xfId="0" applyNumberFormat="1" applyFont="1" applyFill="1" applyBorder="1" applyAlignment="1">
      <alignment horizontal="center" vertical="center"/>
    </xf>
    <xf numFmtId="49" fontId="14" fillId="16" borderId="2" xfId="0" applyNumberFormat="1" applyFont="1" applyFill="1" applyBorder="1" applyAlignment="1">
      <alignment horizontal="center" vertical="center"/>
    </xf>
    <xf numFmtId="167" fontId="14" fillId="16" borderId="2" xfId="0" applyNumberFormat="1" applyFont="1" applyFill="1" applyBorder="1" applyAlignment="1">
      <alignment horizontal="center" vertical="center"/>
    </xf>
    <xf numFmtId="49" fontId="14" fillId="13" borderId="2" xfId="0" applyNumberFormat="1" applyFont="1" applyFill="1" applyBorder="1" applyAlignment="1">
      <alignment horizontal="center" vertical="center"/>
    </xf>
    <xf numFmtId="167" fontId="14" fillId="13" borderId="2" xfId="0" applyNumberFormat="1" applyFont="1" applyFill="1" applyBorder="1" applyAlignment="1">
      <alignment horizontal="center" vertical="center"/>
    </xf>
    <xf numFmtId="49" fontId="14" fillId="10" borderId="2" xfId="0" applyNumberFormat="1" applyFont="1" applyFill="1" applyBorder="1" applyAlignment="1">
      <alignment horizontal="center" vertical="center"/>
    </xf>
    <xf numFmtId="167" fontId="14" fillId="10" borderId="2" xfId="0" applyNumberFormat="1" applyFont="1" applyFill="1" applyBorder="1" applyAlignment="1">
      <alignment horizontal="center" vertical="center"/>
    </xf>
    <xf numFmtId="49" fontId="14" fillId="15" borderId="2" xfId="0" applyNumberFormat="1" applyFont="1" applyFill="1" applyBorder="1" applyAlignment="1">
      <alignment horizontal="center" vertical="center"/>
    </xf>
    <xf numFmtId="167" fontId="14" fillId="15" borderId="2" xfId="0" applyNumberFormat="1" applyFont="1" applyFill="1" applyBorder="1" applyAlignment="1">
      <alignment horizontal="center" vertical="center"/>
    </xf>
    <xf numFmtId="49" fontId="14" fillId="8" borderId="2" xfId="0" applyNumberFormat="1" applyFont="1" applyFill="1" applyBorder="1" applyAlignment="1">
      <alignment horizontal="center" vertical="center"/>
    </xf>
    <xf numFmtId="167" fontId="14" fillId="8" borderId="2" xfId="0" applyNumberFormat="1" applyFont="1" applyFill="1" applyBorder="1" applyAlignment="1">
      <alignment horizontal="center" vertical="center"/>
    </xf>
    <xf numFmtId="49" fontId="14" fillId="12" borderId="2" xfId="0" applyNumberFormat="1" applyFont="1" applyFill="1" applyBorder="1" applyAlignment="1">
      <alignment horizontal="center" vertical="center"/>
    </xf>
    <xf numFmtId="167" fontId="14" fillId="12" borderId="2" xfId="0" applyNumberFormat="1" applyFont="1" applyFill="1" applyBorder="1" applyAlignment="1">
      <alignment horizontal="center" vertical="center"/>
    </xf>
    <xf numFmtId="168" fontId="15" fillId="11" borderId="12" xfId="0" applyNumberFormat="1" applyFont="1" applyFill="1" applyBorder="1" applyAlignment="1">
      <alignment horizontal="center" vertical="center"/>
    </xf>
    <xf numFmtId="0" fontId="15" fillId="8" borderId="12" xfId="0" applyFont="1" applyFill="1" applyBorder="1" applyAlignment="1">
      <alignment horizontal="center" vertical="center"/>
    </xf>
    <xf numFmtId="49" fontId="10" fillId="0" borderId="2" xfId="0" applyNumberFormat="1" applyFont="1" applyBorder="1" applyAlignment="1">
      <alignment horizontal="center" vertical="center"/>
    </xf>
    <xf numFmtId="167" fontId="10" fillId="0" borderId="2" xfId="0" applyNumberFormat="1" applyFont="1" applyBorder="1" applyAlignment="1">
      <alignment horizontal="center" vertical="center"/>
    </xf>
    <xf numFmtId="0" fontId="10" fillId="11" borderId="2" xfId="0" applyFont="1" applyFill="1" applyBorder="1" applyAlignment="1">
      <alignment horizontal="center" vertical="center"/>
    </xf>
    <xf numFmtId="49" fontId="15" fillId="11" borderId="32" xfId="0" applyNumberFormat="1" applyFont="1" applyFill="1" applyBorder="1" applyAlignment="1">
      <alignment horizontal="center" vertical="center"/>
    </xf>
    <xf numFmtId="168" fontId="16" fillId="11" borderId="31" xfId="0" applyNumberFormat="1" applyFont="1" applyFill="1" applyBorder="1" applyAlignment="1">
      <alignment horizontal="center" vertical="center"/>
    </xf>
    <xf numFmtId="1" fontId="15" fillId="11" borderId="31" xfId="0" applyNumberFormat="1" applyFont="1" applyFill="1" applyBorder="1" applyAlignment="1">
      <alignment horizontal="center" vertical="center"/>
    </xf>
    <xf numFmtId="16" fontId="15" fillId="11" borderId="31" xfId="0" applyNumberFormat="1" applyFont="1" applyFill="1" applyBorder="1" applyAlignment="1">
      <alignment horizontal="center" vertical="center"/>
    </xf>
    <xf numFmtId="49" fontId="17" fillId="11" borderId="31" xfId="0" applyNumberFormat="1" applyFont="1" applyFill="1" applyBorder="1" applyAlignment="1">
      <alignment horizontal="center" vertical="center"/>
    </xf>
    <xf numFmtId="167" fontId="15" fillId="11" borderId="31" xfId="0" applyNumberFormat="1" applyFont="1" applyFill="1" applyBorder="1" applyAlignment="1">
      <alignment horizontal="center" vertical="center"/>
    </xf>
    <xf numFmtId="49" fontId="15" fillId="11" borderId="33" xfId="0" applyNumberFormat="1" applyFont="1" applyFill="1" applyBorder="1" applyAlignment="1">
      <alignment horizontal="center" vertical="center"/>
    </xf>
    <xf numFmtId="0" fontId="10" fillId="15" borderId="2" xfId="0" applyFont="1" applyFill="1" applyBorder="1" applyAlignment="1">
      <alignment horizontal="center" vertical="center"/>
    </xf>
    <xf numFmtId="0" fontId="14" fillId="11" borderId="2" xfId="0" applyFont="1" applyFill="1" applyBorder="1" applyAlignment="1">
      <alignment horizontal="center" vertical="center"/>
    </xf>
    <xf numFmtId="49" fontId="14" fillId="13" borderId="14" xfId="0" applyNumberFormat="1" applyFont="1" applyFill="1" applyBorder="1" applyAlignment="1">
      <alignment horizontal="center" vertical="center"/>
    </xf>
    <xf numFmtId="167" fontId="14" fillId="13" borderId="14" xfId="0" applyNumberFormat="1" applyFont="1" applyFill="1" applyBorder="1" applyAlignment="1">
      <alignment horizontal="center" vertical="center"/>
    </xf>
    <xf numFmtId="0" fontId="14" fillId="13" borderId="14" xfId="0" applyFont="1" applyFill="1" applyBorder="1" applyAlignment="1">
      <alignment horizontal="center" vertical="center"/>
    </xf>
    <xf numFmtId="49" fontId="15" fillId="13" borderId="32" xfId="0" applyNumberFormat="1" applyFont="1" applyFill="1" applyBorder="1" applyAlignment="1">
      <alignment horizontal="center" vertical="center"/>
    </xf>
    <xf numFmtId="168" fontId="16" fillId="13" borderId="31" xfId="0" applyNumberFormat="1" applyFont="1" applyFill="1" applyBorder="1" applyAlignment="1">
      <alignment horizontal="center" vertical="center"/>
    </xf>
    <xf numFmtId="1" fontId="15" fillId="13" borderId="31" xfId="0" applyNumberFormat="1" applyFont="1" applyFill="1" applyBorder="1" applyAlignment="1">
      <alignment horizontal="center" vertical="center"/>
    </xf>
    <xf numFmtId="16" fontId="15" fillId="13" borderId="31" xfId="0" applyNumberFormat="1" applyFont="1" applyFill="1" applyBorder="1" applyAlignment="1">
      <alignment horizontal="center" vertical="center"/>
    </xf>
    <xf numFmtId="49" fontId="17" fillId="13" borderId="31" xfId="0" applyNumberFormat="1" applyFont="1" applyFill="1" applyBorder="1" applyAlignment="1">
      <alignment horizontal="center" vertical="center"/>
    </xf>
    <xf numFmtId="167" fontId="15" fillId="13" borderId="31" xfId="0" applyNumberFormat="1" applyFont="1" applyFill="1" applyBorder="1" applyAlignment="1">
      <alignment horizontal="center" vertical="center"/>
    </xf>
    <xf numFmtId="49" fontId="15" fillId="13" borderId="33" xfId="0" applyNumberFormat="1" applyFont="1" applyFill="1" applyBorder="1" applyAlignment="1">
      <alignment horizontal="center" vertical="center"/>
    </xf>
    <xf numFmtId="0" fontId="10" fillId="16" borderId="2" xfId="0" applyFont="1" applyFill="1" applyBorder="1" applyAlignment="1">
      <alignment horizontal="center" vertical="center"/>
    </xf>
    <xf numFmtId="49" fontId="15" fillId="16" borderId="32" xfId="0" applyNumberFormat="1" applyFont="1" applyFill="1" applyBorder="1" applyAlignment="1">
      <alignment horizontal="center" vertical="center"/>
    </xf>
    <xf numFmtId="168" fontId="16" fillId="16" borderId="31" xfId="0" applyNumberFormat="1" applyFont="1" applyFill="1" applyBorder="1" applyAlignment="1">
      <alignment horizontal="center" vertical="center"/>
    </xf>
    <xf numFmtId="1" fontId="15" fillId="16" borderId="31" xfId="0" applyNumberFormat="1" applyFont="1" applyFill="1" applyBorder="1" applyAlignment="1">
      <alignment horizontal="center" vertical="center"/>
    </xf>
    <xf numFmtId="16" fontId="15" fillId="16" borderId="31" xfId="0" applyNumberFormat="1" applyFont="1" applyFill="1" applyBorder="1" applyAlignment="1">
      <alignment horizontal="center" vertical="center"/>
    </xf>
    <xf numFmtId="49" fontId="17" fillId="16" borderId="31" xfId="0" applyNumberFormat="1" applyFont="1" applyFill="1" applyBorder="1" applyAlignment="1">
      <alignment horizontal="center" vertical="center"/>
    </xf>
    <xf numFmtId="167" fontId="15" fillId="16" borderId="31" xfId="0" applyNumberFormat="1" applyFont="1" applyFill="1" applyBorder="1" applyAlignment="1">
      <alignment horizontal="center" vertical="center"/>
    </xf>
    <xf numFmtId="49" fontId="15" fillId="16" borderId="33" xfId="0" applyNumberFormat="1" applyFont="1" applyFill="1" applyBorder="1" applyAlignment="1">
      <alignment horizontal="center" vertical="center"/>
    </xf>
    <xf numFmtId="0" fontId="10" fillId="10" borderId="2" xfId="0" applyFont="1" applyFill="1" applyBorder="1" applyAlignment="1">
      <alignment horizontal="center" vertical="center"/>
    </xf>
    <xf numFmtId="0" fontId="14" fillId="12" borderId="2" xfId="0" applyFont="1" applyFill="1" applyBorder="1" applyAlignment="1">
      <alignment horizontal="center" vertical="center"/>
    </xf>
    <xf numFmtId="49" fontId="14" fillId="8" borderId="14" xfId="0" applyNumberFormat="1" applyFont="1" applyFill="1" applyBorder="1" applyAlignment="1">
      <alignment horizontal="center" vertical="center"/>
    </xf>
    <xf numFmtId="167" fontId="14" fillId="8" borderId="14" xfId="0" applyNumberFormat="1" applyFont="1" applyFill="1" applyBorder="1" applyAlignment="1">
      <alignment horizontal="center" vertical="center"/>
    </xf>
    <xf numFmtId="0" fontId="14" fillId="8" borderId="14" xfId="0" applyFont="1" applyFill="1" applyBorder="1" applyAlignment="1">
      <alignment horizontal="center" vertical="center"/>
    </xf>
    <xf numFmtId="49" fontId="15" fillId="8" borderId="32" xfId="0" applyNumberFormat="1" applyFont="1" applyFill="1" applyBorder="1" applyAlignment="1">
      <alignment horizontal="center" vertical="center"/>
    </xf>
    <xf numFmtId="168" fontId="16" fillId="8" borderId="31" xfId="0" applyNumberFormat="1" applyFont="1" applyFill="1" applyBorder="1" applyAlignment="1">
      <alignment horizontal="center" vertical="center"/>
    </xf>
    <xf numFmtId="1" fontId="15" fillId="8" borderId="31" xfId="0" applyNumberFormat="1" applyFont="1" applyFill="1" applyBorder="1" applyAlignment="1">
      <alignment horizontal="center" vertical="center"/>
    </xf>
    <xf numFmtId="16" fontId="15" fillId="8" borderId="31" xfId="0" applyNumberFormat="1" applyFont="1" applyFill="1" applyBorder="1" applyAlignment="1">
      <alignment horizontal="center" vertical="center"/>
    </xf>
    <xf numFmtId="49" fontId="17" fillId="8" borderId="31" xfId="0" applyNumberFormat="1" applyFont="1" applyFill="1" applyBorder="1" applyAlignment="1">
      <alignment horizontal="center" vertical="center"/>
    </xf>
    <xf numFmtId="167" fontId="15" fillId="8" borderId="31" xfId="0" applyNumberFormat="1" applyFont="1" applyFill="1" applyBorder="1" applyAlignment="1">
      <alignment horizontal="center" vertical="center"/>
    </xf>
    <xf numFmtId="49" fontId="15" fillId="8" borderId="33" xfId="0" applyNumberFormat="1" applyFont="1" applyFill="1" applyBorder="1" applyAlignment="1">
      <alignment horizontal="center" vertical="center"/>
    </xf>
    <xf numFmtId="49" fontId="15" fillId="15" borderId="32" xfId="0" applyNumberFormat="1" applyFont="1" applyFill="1" applyBorder="1" applyAlignment="1">
      <alignment horizontal="center" vertical="center"/>
    </xf>
    <xf numFmtId="168" fontId="16" fillId="15" borderId="31" xfId="0" applyNumberFormat="1" applyFont="1" applyFill="1" applyBorder="1" applyAlignment="1">
      <alignment horizontal="center" vertical="center"/>
    </xf>
    <xf numFmtId="1" fontId="15" fillId="15" borderId="31" xfId="0" applyNumberFormat="1" applyFont="1" applyFill="1" applyBorder="1" applyAlignment="1">
      <alignment horizontal="center" vertical="center"/>
    </xf>
    <xf numFmtId="16" fontId="15" fillId="15" borderId="31" xfId="0" applyNumberFormat="1" applyFont="1" applyFill="1" applyBorder="1" applyAlignment="1">
      <alignment horizontal="center" vertical="center"/>
    </xf>
    <xf numFmtId="49" fontId="17" fillId="15" borderId="31" xfId="0" applyNumberFormat="1" applyFont="1" applyFill="1" applyBorder="1" applyAlignment="1">
      <alignment horizontal="center" vertical="center"/>
    </xf>
    <xf numFmtId="167" fontId="15" fillId="15" borderId="31" xfId="0" applyNumberFormat="1" applyFont="1" applyFill="1" applyBorder="1" applyAlignment="1">
      <alignment horizontal="center" vertical="center"/>
    </xf>
    <xf numFmtId="49" fontId="15" fillId="15" borderId="33" xfId="0" applyNumberFormat="1" applyFont="1" applyFill="1" applyBorder="1" applyAlignment="1">
      <alignment horizontal="center" vertical="center"/>
    </xf>
    <xf numFmtId="0" fontId="10" fillId="14" borderId="2" xfId="0" applyFont="1" applyFill="1" applyBorder="1" applyAlignment="1">
      <alignment horizontal="center" vertical="center"/>
    </xf>
    <xf numFmtId="0" fontId="14" fillId="15" borderId="2" xfId="0" applyFont="1" applyFill="1" applyBorder="1" applyAlignment="1">
      <alignment horizontal="center" vertical="center"/>
    </xf>
    <xf numFmtId="0" fontId="10" fillId="8" borderId="2" xfId="0" applyFont="1" applyFill="1" applyBorder="1" applyAlignment="1">
      <alignment horizontal="center" vertical="center"/>
    </xf>
    <xf numFmtId="0" fontId="14" fillId="10" borderId="2" xfId="0" applyFont="1" applyFill="1" applyBorder="1" applyAlignment="1">
      <alignment horizontal="center" vertical="center"/>
    </xf>
    <xf numFmtId="49" fontId="14" fillId="14" borderId="14" xfId="0" applyNumberFormat="1" applyFont="1" applyFill="1" applyBorder="1" applyAlignment="1">
      <alignment horizontal="center" vertical="center"/>
    </xf>
    <xf numFmtId="167" fontId="14" fillId="14" borderId="14" xfId="0" applyNumberFormat="1" applyFont="1" applyFill="1" applyBorder="1" applyAlignment="1">
      <alignment horizontal="center" vertical="center"/>
    </xf>
    <xf numFmtId="0" fontId="14" fillId="14" borderId="14" xfId="0" applyFont="1" applyFill="1" applyBorder="1" applyAlignment="1">
      <alignment horizontal="center" vertical="center"/>
    </xf>
    <xf numFmtId="49" fontId="15" fillId="14" borderId="32" xfId="0" applyNumberFormat="1" applyFont="1" applyFill="1" applyBorder="1" applyAlignment="1">
      <alignment horizontal="center" vertical="center"/>
    </xf>
    <xf numFmtId="168" fontId="16" fillId="14" borderId="31" xfId="0" applyNumberFormat="1" applyFont="1" applyFill="1" applyBorder="1" applyAlignment="1">
      <alignment horizontal="center" vertical="center"/>
    </xf>
    <xf numFmtId="1" fontId="15" fillId="14" borderId="31" xfId="0" applyNumberFormat="1" applyFont="1" applyFill="1" applyBorder="1" applyAlignment="1">
      <alignment horizontal="center" vertical="center"/>
    </xf>
    <xf numFmtId="16" fontId="15" fillId="14" borderId="31" xfId="0" applyNumberFormat="1" applyFont="1" applyFill="1" applyBorder="1" applyAlignment="1">
      <alignment horizontal="center" vertical="center"/>
    </xf>
    <xf numFmtId="49" fontId="17" fillId="14" borderId="31" xfId="0" applyNumberFormat="1" applyFont="1" applyFill="1" applyBorder="1" applyAlignment="1">
      <alignment horizontal="center" vertical="center"/>
    </xf>
    <xf numFmtId="167" fontId="15" fillId="14" borderId="31" xfId="0" applyNumberFormat="1" applyFont="1" applyFill="1" applyBorder="1" applyAlignment="1">
      <alignment horizontal="center" vertical="center"/>
    </xf>
    <xf numFmtId="49" fontId="15" fillId="14" borderId="33" xfId="0" applyNumberFormat="1" applyFont="1" applyFill="1" applyBorder="1" applyAlignment="1">
      <alignment horizontal="center" vertical="center"/>
    </xf>
    <xf numFmtId="49" fontId="14" fillId="12" borderId="14" xfId="0" applyNumberFormat="1" applyFont="1" applyFill="1" applyBorder="1" applyAlignment="1">
      <alignment horizontal="center" vertical="center"/>
    </xf>
    <xf numFmtId="167" fontId="14" fillId="12" borderId="14" xfId="0" applyNumberFormat="1" applyFont="1" applyFill="1" applyBorder="1" applyAlignment="1">
      <alignment horizontal="center" vertical="center"/>
    </xf>
    <xf numFmtId="0" fontId="14" fillId="12" borderId="14" xfId="0" applyFont="1" applyFill="1" applyBorder="1" applyAlignment="1">
      <alignment horizontal="center" vertical="center"/>
    </xf>
    <xf numFmtId="49" fontId="15" fillId="12" borderId="32" xfId="0" applyNumberFormat="1" applyFont="1" applyFill="1" applyBorder="1" applyAlignment="1">
      <alignment horizontal="center" vertical="center"/>
    </xf>
    <xf numFmtId="168" fontId="16" fillId="12" borderId="31" xfId="0" applyNumberFormat="1" applyFont="1" applyFill="1" applyBorder="1" applyAlignment="1">
      <alignment horizontal="center" vertical="center"/>
    </xf>
    <xf numFmtId="1" fontId="15" fillId="12" borderId="31" xfId="0" applyNumberFormat="1" applyFont="1" applyFill="1" applyBorder="1" applyAlignment="1">
      <alignment horizontal="center" vertical="center"/>
    </xf>
    <xf numFmtId="16" fontId="15" fillId="12" borderId="31" xfId="0" applyNumberFormat="1" applyFont="1" applyFill="1" applyBorder="1" applyAlignment="1">
      <alignment horizontal="center" vertical="center"/>
    </xf>
    <xf numFmtId="49" fontId="17" fillId="12" borderId="31" xfId="0" applyNumberFormat="1" applyFont="1" applyFill="1" applyBorder="1" applyAlignment="1">
      <alignment horizontal="center" vertical="center"/>
    </xf>
    <xf numFmtId="167" fontId="15" fillId="12" borderId="31" xfId="0" applyNumberFormat="1" applyFont="1" applyFill="1" applyBorder="1" applyAlignment="1">
      <alignment horizontal="center" vertical="center"/>
    </xf>
    <xf numFmtId="49" fontId="15" fillId="12" borderId="33" xfId="0" applyNumberFormat="1" applyFont="1" applyFill="1" applyBorder="1" applyAlignment="1">
      <alignment horizontal="center" vertical="center"/>
    </xf>
    <xf numFmtId="0" fontId="10" fillId="12" borderId="2" xfId="0" applyFont="1" applyFill="1" applyBorder="1" applyAlignment="1">
      <alignment horizontal="center" vertical="center"/>
    </xf>
    <xf numFmtId="0" fontId="6" fillId="0" borderId="0" xfId="0" applyFont="1"/>
    <xf numFmtId="0" fontId="19" fillId="0" borderId="0" xfId="0" applyFont="1"/>
    <xf numFmtId="0" fontId="25" fillId="0" borderId="0" xfId="0" applyFont="1"/>
    <xf numFmtId="0" fontId="21" fillId="17" borderId="3" xfId="0" applyFont="1" applyFill="1" applyBorder="1" applyAlignment="1">
      <alignment horizontal="center" vertical="center"/>
    </xf>
    <xf numFmtId="0" fontId="15" fillId="12" borderId="12" xfId="0" applyFont="1" applyFill="1" applyBorder="1" applyAlignment="1">
      <alignment horizontal="center" vertical="center"/>
    </xf>
    <xf numFmtId="49" fontId="10" fillId="12" borderId="14" xfId="0" applyNumberFormat="1" applyFont="1" applyFill="1" applyBorder="1" applyAlignment="1">
      <alignment horizontal="center" vertical="center"/>
    </xf>
    <xf numFmtId="167" fontId="10" fillId="12" borderId="14" xfId="0" applyNumberFormat="1" applyFont="1" applyFill="1" applyBorder="1" applyAlignment="1">
      <alignment horizontal="center" vertical="center"/>
    </xf>
    <xf numFmtId="49" fontId="10" fillId="8" borderId="14" xfId="0" applyNumberFormat="1" applyFont="1" applyFill="1" applyBorder="1" applyAlignment="1">
      <alignment horizontal="center" vertical="center"/>
    </xf>
    <xf numFmtId="167" fontId="10" fillId="8" borderId="14" xfId="0" applyNumberFormat="1" applyFont="1" applyFill="1" applyBorder="1" applyAlignment="1">
      <alignment horizontal="center" vertical="center"/>
    </xf>
    <xf numFmtId="49" fontId="15" fillId="10" borderId="32" xfId="0" applyNumberFormat="1" applyFont="1" applyFill="1" applyBorder="1" applyAlignment="1">
      <alignment horizontal="center" vertical="center"/>
    </xf>
    <xf numFmtId="168" fontId="16" fillId="10" borderId="31" xfId="0" applyNumberFormat="1" applyFont="1" applyFill="1" applyBorder="1" applyAlignment="1">
      <alignment horizontal="center" vertical="center"/>
    </xf>
    <xf numFmtId="1" fontId="15" fillId="10" borderId="31" xfId="0" applyNumberFormat="1" applyFont="1" applyFill="1" applyBorder="1" applyAlignment="1">
      <alignment horizontal="center" vertical="center"/>
    </xf>
    <xf numFmtId="16" fontId="15" fillId="10" borderId="31" xfId="0" applyNumberFormat="1" applyFont="1" applyFill="1" applyBorder="1" applyAlignment="1">
      <alignment horizontal="center" vertical="center"/>
    </xf>
    <xf numFmtId="49" fontId="17" fillId="10" borderId="31" xfId="0" applyNumberFormat="1" applyFont="1" applyFill="1" applyBorder="1" applyAlignment="1">
      <alignment horizontal="center" vertical="center"/>
    </xf>
    <xf numFmtId="167" fontId="15" fillId="10" borderId="31" xfId="0" applyNumberFormat="1" applyFont="1" applyFill="1" applyBorder="1" applyAlignment="1">
      <alignment horizontal="center" vertical="center"/>
    </xf>
    <xf numFmtId="49" fontId="15" fillId="10" borderId="33" xfId="0" applyNumberFormat="1" applyFont="1" applyFill="1" applyBorder="1" applyAlignment="1">
      <alignment horizontal="center" vertical="center"/>
    </xf>
    <xf numFmtId="49" fontId="10" fillId="11" borderId="14" xfId="0" applyNumberFormat="1" applyFont="1" applyFill="1" applyBorder="1" applyAlignment="1">
      <alignment horizontal="center" vertical="center"/>
    </xf>
    <xf numFmtId="167" fontId="10" fillId="11" borderId="14" xfId="0" applyNumberFormat="1" applyFont="1" applyFill="1" applyBorder="1" applyAlignment="1">
      <alignment horizontal="center" vertical="center"/>
    </xf>
    <xf numFmtId="49" fontId="10" fillId="10" borderId="14" xfId="0" applyNumberFormat="1" applyFont="1" applyFill="1" applyBorder="1" applyAlignment="1">
      <alignment horizontal="center" vertical="center"/>
    </xf>
    <xf numFmtId="167" fontId="10" fillId="10" borderId="14" xfId="0" applyNumberFormat="1" applyFont="1" applyFill="1" applyBorder="1" applyAlignment="1">
      <alignment horizontal="center" vertical="center"/>
    </xf>
    <xf numFmtId="49" fontId="10" fillId="16" borderId="14" xfId="0" applyNumberFormat="1" applyFont="1" applyFill="1" applyBorder="1" applyAlignment="1">
      <alignment horizontal="center" vertical="center"/>
    </xf>
    <xf numFmtId="167" fontId="10" fillId="16" borderId="14" xfId="0" applyNumberFormat="1" applyFont="1" applyFill="1" applyBorder="1" applyAlignment="1">
      <alignment horizontal="center" vertical="center"/>
    </xf>
    <xf numFmtId="49" fontId="10" fillId="13" borderId="14" xfId="0" applyNumberFormat="1" applyFont="1" applyFill="1" applyBorder="1" applyAlignment="1">
      <alignment horizontal="center" vertical="center"/>
    </xf>
    <xf numFmtId="167" fontId="10" fillId="13" borderId="14" xfId="0" applyNumberFormat="1" applyFont="1" applyFill="1" applyBorder="1" applyAlignment="1">
      <alignment horizontal="center" vertical="center"/>
    </xf>
    <xf numFmtId="165" fontId="0" fillId="0" borderId="0" xfId="0" applyNumberFormat="1"/>
    <xf numFmtId="0" fontId="30" fillId="0" borderId="0" xfId="0" applyFont="1" applyAlignment="1">
      <alignment horizontal="center" vertical="center"/>
    </xf>
    <xf numFmtId="0" fontId="30" fillId="0" borderId="0" xfId="0" applyFont="1"/>
    <xf numFmtId="169" fontId="30" fillId="0" borderId="0" xfId="0" applyNumberFormat="1" applyFont="1" applyAlignment="1">
      <alignment horizontal="center" vertical="center"/>
    </xf>
    <xf numFmtId="15" fontId="30" fillId="0" borderId="0" xfId="0" applyNumberFormat="1" applyFont="1" applyAlignment="1">
      <alignment horizontal="center" vertical="center"/>
    </xf>
    <xf numFmtId="49" fontId="30" fillId="0" borderId="0" xfId="0" applyNumberFormat="1" applyFont="1" applyAlignment="1">
      <alignment horizontal="center" vertical="center"/>
    </xf>
    <xf numFmtId="167" fontId="30" fillId="0" borderId="0" xfId="0" applyNumberFormat="1" applyFont="1" applyAlignment="1">
      <alignment horizontal="center" vertical="center"/>
    </xf>
    <xf numFmtId="168" fontId="30" fillId="0" borderId="0" xfId="0" applyNumberFormat="1" applyFont="1" applyAlignment="1">
      <alignment horizontal="center" vertical="center"/>
    </xf>
    <xf numFmtId="1" fontId="30" fillId="0" borderId="0" xfId="0" applyNumberFormat="1" applyFont="1" applyAlignment="1">
      <alignment horizontal="center" vertical="center"/>
    </xf>
    <xf numFmtId="16" fontId="30" fillId="0" borderId="0" xfId="0" applyNumberFormat="1" applyFont="1" applyAlignment="1">
      <alignment horizontal="center" vertical="center"/>
    </xf>
    <xf numFmtId="0" fontId="31" fillId="18" borderId="0" xfId="0" applyFont="1" applyFill="1" applyAlignment="1">
      <alignment horizontal="center" vertical="center"/>
    </xf>
    <xf numFmtId="15" fontId="31" fillId="18" borderId="0" xfId="0" applyNumberFormat="1" applyFont="1" applyFill="1" applyAlignment="1">
      <alignment horizontal="center" vertical="center"/>
    </xf>
    <xf numFmtId="168" fontId="31" fillId="18" borderId="0" xfId="0" applyNumberFormat="1" applyFont="1" applyFill="1" applyAlignment="1">
      <alignment horizontal="center" vertical="center"/>
    </xf>
    <xf numFmtId="1" fontId="31" fillId="18" borderId="0" xfId="0" applyNumberFormat="1" applyFont="1" applyFill="1" applyAlignment="1">
      <alignment horizontal="center" vertical="center"/>
    </xf>
    <xf numFmtId="49" fontId="7" fillId="4" borderId="2" xfId="0" applyNumberFormat="1" applyFont="1" applyFill="1" applyBorder="1" applyAlignment="1">
      <alignment horizontal="center" vertical="center"/>
    </xf>
    <xf numFmtId="49" fontId="5" fillId="4" borderId="2" xfId="0" applyNumberFormat="1" applyFont="1" applyFill="1" applyBorder="1" applyAlignment="1">
      <alignment horizontal="center" vertical="center"/>
    </xf>
    <xf numFmtId="0" fontId="7" fillId="4" borderId="2" xfId="0" applyFont="1" applyFill="1" applyBorder="1" applyAlignment="1">
      <alignment horizontal="center" vertical="center"/>
    </xf>
    <xf numFmtId="0" fontId="4" fillId="0" borderId="0" xfId="0" applyFont="1" applyAlignment="1">
      <alignment horizontal="right" vertical="center" readingOrder="2"/>
    </xf>
    <xf numFmtId="0" fontId="5" fillId="4" borderId="2" xfId="0" applyFont="1" applyFill="1" applyBorder="1" applyAlignment="1">
      <alignment horizontal="center" vertical="center"/>
    </xf>
    <xf numFmtId="0" fontId="18" fillId="9" borderId="34" xfId="0" applyFont="1" applyFill="1" applyBorder="1" applyAlignment="1">
      <alignment horizontal="center" vertical="center"/>
    </xf>
    <xf numFmtId="0" fontId="18" fillId="9" borderId="35" xfId="0" applyFont="1" applyFill="1" applyBorder="1" applyAlignment="1">
      <alignment horizontal="center" vertical="center"/>
    </xf>
    <xf numFmtId="0" fontId="18" fillId="9" borderId="36" xfId="0" applyFont="1" applyFill="1" applyBorder="1" applyAlignment="1">
      <alignment horizontal="center" vertical="center"/>
    </xf>
    <xf numFmtId="164" fontId="2" fillId="2" borderId="0" xfId="0" applyNumberFormat="1" applyFont="1" applyFill="1" applyAlignment="1">
      <alignment horizontal="left" vertical="center"/>
    </xf>
    <xf numFmtId="18" fontId="3" fillId="3" borderId="0" xfId="0" applyNumberFormat="1" applyFont="1" applyFill="1" applyAlignment="1">
      <alignment horizontal="left" vertical="center"/>
    </xf>
    <xf numFmtId="166" fontId="3" fillId="3" borderId="0" xfId="0" applyNumberFormat="1" applyFont="1" applyFill="1" applyAlignment="1">
      <alignment horizontal="left" vertical="center"/>
    </xf>
    <xf numFmtId="0" fontId="3" fillId="3" borderId="0" xfId="0" applyFont="1" applyFill="1" applyAlignment="1">
      <alignment horizontal="right" vertical="center"/>
    </xf>
    <xf numFmtId="164" fontId="2" fillId="2" borderId="0" xfId="0" applyNumberFormat="1" applyFont="1" applyFill="1" applyAlignment="1">
      <alignment horizontal="center" vertical="center"/>
    </xf>
    <xf numFmtId="0" fontId="1" fillId="2" borderId="0" xfId="0" applyFont="1" applyFill="1" applyAlignment="1">
      <alignment horizontal="center" vertical="center"/>
    </xf>
    <xf numFmtId="49" fontId="24" fillId="0" borderId="28" xfId="0" applyNumberFormat="1" applyFont="1" applyBorder="1" applyAlignment="1">
      <alignment horizontal="center" vertical="center"/>
    </xf>
    <xf numFmtId="0" fontId="18" fillId="9" borderId="16" xfId="0" applyFont="1" applyFill="1" applyBorder="1" applyAlignment="1">
      <alignment horizontal="center" vertical="center"/>
    </xf>
    <xf numFmtId="0" fontId="0" fillId="0" borderId="0" xfId="0" applyAlignment="1"/>
    <xf numFmtId="0" fontId="0" fillId="0" borderId="12" xfId="0" applyBorder="1" applyAlignment="1"/>
    <xf numFmtId="0" fontId="0" fillId="0" borderId="13" xfId="0" applyBorder="1" applyAlignment="1"/>
    <xf numFmtId="0" fontId="0" fillId="0" borderId="5" xfId="0" applyBorder="1" applyAlignment="1"/>
    <xf numFmtId="0" fontId="0" fillId="0" borderId="10" xfId="0" applyBorder="1" applyAlignment="1"/>
    <xf numFmtId="0" fontId="0" fillId="0" borderId="15" xfId="0" applyBorder="1" applyAlignment="1"/>
    <xf numFmtId="0" fontId="11" fillId="0" borderId="32" xfId="0" applyFont="1" applyBorder="1" applyAlignment="1">
      <alignment horizontal="center" vertical="center"/>
    </xf>
    <xf numFmtId="0" fontId="0" fillId="0" borderId="33" xfId="0" applyBorder="1" applyAlignment="1">
      <alignment horizontal="center" vertical="center"/>
    </xf>
    <xf numFmtId="0" fontId="20" fillId="0" borderId="5" xfId="0" applyFont="1" applyBorder="1" applyAlignment="1"/>
    <xf numFmtId="0" fontId="0" fillId="0" borderId="29" xfId="0" applyBorder="1" applyAlignment="1"/>
    <xf numFmtId="0" fontId="0" fillId="0" borderId="30" xfId="0" applyBorder="1" applyAlignment="1"/>
    <xf numFmtId="0" fontId="0" fillId="0" borderId="17" xfId="0" applyBorder="1" applyAlignment="1"/>
    <xf numFmtId="0" fontId="0" fillId="0" borderId="18" xfId="0" applyBorder="1" applyAlignment="1"/>
  </cellXfs>
  <cellStyles count="1">
    <cellStyle name="Normal" xfId="0" builtinId="0"/>
  </cellStyles>
  <dxfs count="1650">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I_MED_LF_LEGACY" displayName="CAI_MED_LF_LEGACY" ref="A1:AJ24" totalsRowCount="1" headerRowDxfId="1649" dataDxfId="1648" totalsRowDxfId="1647">
  <tableColumns count="36">
    <tableColumn id="1" xr3:uid="{00000000-0010-0000-0000-000001000000}" name="Day" totalsRowLabel="TOTAL" dataDxfId="1645" totalsRowDxfId="1646"/>
    <tableColumn id="2" xr3:uid="{00000000-0010-0000-0000-000002000000}" name="Flt Dt" dataDxfId="1643" totalsRowDxfId="1644"/>
    <tableColumn id="3" xr3:uid="{00000000-0010-0000-0000-000003000000}" name="Flt" totalsRowFunction="count" dataDxfId="1641" totalsRowDxfId="1642"/>
    <tableColumn id="4" xr3:uid="{00000000-0010-0000-0000-000004000000}" name="DEP" dataDxfId="1639" totalsRowDxfId="1640"/>
    <tableColumn id="5" xr3:uid="{00000000-0010-0000-0000-000005000000}" name="Brd-Off" totalsRowFunction="count" dataDxfId="1637" totalsRowDxfId="1638"/>
    <tableColumn id="6" xr3:uid="{00000000-0010-0000-0000-000006000000}" name="Eqp" dataDxfId="1635" totalsRowDxfId="1636"/>
    <tableColumn id="7" xr3:uid="{00000000-0010-0000-0000-000007000000}" name="LF%" totalsRowFunction="average" dataDxfId="1633" totalsRowDxfId="1634"/>
    <tableColumn id="8" xr3:uid="{00000000-0010-0000-0000-000008000000}" name="CAP" totalsRowFunction="sum" dataDxfId="1631" totalsRowDxfId="1632"/>
    <tableColumn id="9" xr3:uid="{00000000-0010-0000-0000-000009000000}" name="BKG(Y)" totalsRowFunction="sum" dataDxfId="1629" totalsRowDxfId="1630"/>
    <tableColumn id="10" xr3:uid="{00000000-0010-0000-0000-00000A000000}" name="GRP(Y)" totalsRowFunction="sum" dataDxfId="1627" totalsRowDxfId="1628"/>
    <tableColumn id="11" xr3:uid="{00000000-0010-0000-0000-00000B000000}" name="FLT ST" dataDxfId="1625" totalsRowDxfId="1626"/>
    <tableColumn id="12" xr3:uid="{00000000-0010-0000-0000-00000C000000}" name="LST-SOLD" dataDxfId="1623" totalsRowDxfId="1624"/>
    <tableColumn id="13" xr3:uid="{00000000-0010-0000-0000-00000D000000}" name="TO-DAY" totalsRowFunction="sum" dataDxfId="1621" totalsRowDxfId="1622"/>
    <tableColumn id="14" xr3:uid="{00000000-0010-0000-0000-00000E000000}" name="Y-DAY" totalsRowFunction="sum" dataDxfId="1619" totalsRowDxfId="1620"/>
    <tableColumn id="15" xr3:uid="{00000000-0010-0000-0000-00000F000000}" name="WEEKLY" totalsRowFunction="sum" dataDxfId="1617" totalsRowDxfId="1618"/>
    <tableColumn id="16" xr3:uid="{00000000-0010-0000-0000-000010000000}" name="LOWEST AVAIL" dataDxfId="1615" totalsRowDxfId="1616"/>
    <tableColumn id="17" xr3:uid="{00000000-0010-0000-0000-000011000000}" name="Y" totalsRowFunction="sum" dataDxfId="1613" totalsRowDxfId="1614"/>
    <tableColumn id="18" xr3:uid="{00000000-0010-0000-0000-000012000000}" name="B" totalsRowFunction="sum" dataDxfId="1611" totalsRowDxfId="1612"/>
    <tableColumn id="19" xr3:uid="{00000000-0010-0000-0000-000013000000}" name="M" totalsRowFunction="sum" dataDxfId="1609" totalsRowDxfId="1610"/>
    <tableColumn id="20" xr3:uid="{00000000-0010-0000-0000-000014000000}" name="H" totalsRowFunction="sum" dataDxfId="1607" totalsRowDxfId="1608"/>
    <tableColumn id="21" xr3:uid="{00000000-0010-0000-0000-000015000000}" name="Q" totalsRowFunction="sum" dataDxfId="1605" totalsRowDxfId="1606"/>
    <tableColumn id="22" xr3:uid="{00000000-0010-0000-0000-000016000000}" name="K" totalsRowFunction="sum" dataDxfId="1603" totalsRowDxfId="1604"/>
    <tableColumn id="23" xr3:uid="{00000000-0010-0000-0000-000017000000}" name="V" totalsRowFunction="sum" dataDxfId="1601" totalsRowDxfId="1602"/>
    <tableColumn id="24" xr3:uid="{00000000-0010-0000-0000-000018000000}" name="L" totalsRowFunction="sum" dataDxfId="1599" totalsRowDxfId="1600"/>
    <tableColumn id="25" xr3:uid="{00000000-0010-0000-0000-000019000000}" name="G" totalsRowFunction="sum" dataDxfId="1597" totalsRowDxfId="1598"/>
    <tableColumn id="26" xr3:uid="{00000000-0010-0000-0000-00001A000000}" name="S" totalsRowFunction="sum" dataDxfId="1595" totalsRowDxfId="1596"/>
    <tableColumn id="27" xr3:uid="{00000000-0010-0000-0000-00001B000000}" name="W" totalsRowFunction="sum" dataDxfId="1593" totalsRowDxfId="1594"/>
    <tableColumn id="28" xr3:uid="{00000000-0010-0000-0000-00001C000000}" name="T" totalsRowFunction="sum" dataDxfId="1591" totalsRowDxfId="1592"/>
    <tableColumn id="29" xr3:uid="{00000000-0010-0000-0000-00001D000000}" name="X" totalsRowFunction="sum" dataDxfId="1589" totalsRowDxfId="1590"/>
    <tableColumn id="30" xr3:uid="{00000000-0010-0000-0000-00001E000000}" name="U" totalsRowFunction="sum" dataDxfId="1587" totalsRowDxfId="1588"/>
    <tableColumn id="31" xr3:uid="{00000000-0010-0000-0000-00001F000000}" name="O" totalsRowFunction="sum" dataDxfId="1585" totalsRowDxfId="1586"/>
    <tableColumn id="32" xr3:uid="{00000000-0010-0000-0000-000020000000}" name="I" totalsRowFunction="sum" dataDxfId="1583" totalsRowDxfId="1584"/>
    <tableColumn id="33" xr3:uid="{00000000-0010-0000-0000-000021000000}" name="E" totalsRowFunction="sum" dataDxfId="1581" totalsRowDxfId="1582"/>
    <tableColumn id="34" xr3:uid="{00000000-0010-0000-0000-000022000000}" name="A" totalsRowFunction="sum" dataDxfId="1579" totalsRowDxfId="1580"/>
    <tableColumn id="35" xr3:uid="{00000000-0010-0000-0000-000023000000}" name="P" totalsRowFunction="sum" dataDxfId="1577" totalsRowDxfId="1578"/>
    <tableColumn id="36" xr3:uid="{00000000-0010-0000-0000-000024000000}" name="N" totalsRowFunction="count" dataDxfId="1575" totalsRowDxfId="157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CAI_MED" displayName="FocusMode_CAI_MED" ref="A1:H609" totalsRowShown="0">
  <autoFilter ref="A1:H609"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CAI_MED" displayName="ThreatsAlert_CAI_MED" ref="A1:H169" totalsRowShown="0">
  <autoFilter ref="A1:H169"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HBE_MED_LF_LEGACY" displayName="HBE_MED_LF_LEGACY" ref="A1:AJ19" totalsRowCount="1" headerRowDxfId="1574" dataDxfId="1573" totalsRowDxfId="1572">
  <tableColumns count="36">
    <tableColumn id="1" xr3:uid="{00000000-0010-0000-0300-000001000000}" name="Day" totalsRowLabel="TOTAL" dataDxfId="1570" totalsRowDxfId="1571"/>
    <tableColumn id="2" xr3:uid="{00000000-0010-0000-0300-000002000000}" name="Flt Dt" dataDxfId="1568" totalsRowDxfId="1569"/>
    <tableColumn id="3" xr3:uid="{00000000-0010-0000-0300-000003000000}" name="Flt" totalsRowFunction="count" dataDxfId="1566" totalsRowDxfId="1567"/>
    <tableColumn id="4" xr3:uid="{00000000-0010-0000-0300-000004000000}" name="DEP" dataDxfId="1564" totalsRowDxfId="1565"/>
    <tableColumn id="5" xr3:uid="{00000000-0010-0000-0300-000005000000}" name="Brd-Off" totalsRowFunction="count" dataDxfId="1562" totalsRowDxfId="1563"/>
    <tableColumn id="6" xr3:uid="{00000000-0010-0000-0300-000006000000}" name="Eqp" dataDxfId="1560" totalsRowDxfId="1561"/>
    <tableColumn id="7" xr3:uid="{00000000-0010-0000-0300-000007000000}" name="LF%" totalsRowFunction="average" dataDxfId="1558" totalsRowDxfId="1559"/>
    <tableColumn id="8" xr3:uid="{00000000-0010-0000-0300-000008000000}" name="CAP" totalsRowFunction="sum" dataDxfId="1556" totalsRowDxfId="1557"/>
    <tableColumn id="9" xr3:uid="{00000000-0010-0000-0300-000009000000}" name="BKG(Y)" totalsRowFunction="sum" dataDxfId="1554" totalsRowDxfId="1555"/>
    <tableColumn id="10" xr3:uid="{00000000-0010-0000-0300-00000A000000}" name="GRP(Y)" totalsRowFunction="sum" dataDxfId="1552" totalsRowDxfId="1553"/>
    <tableColumn id="11" xr3:uid="{00000000-0010-0000-0300-00000B000000}" name="FLT ST" dataDxfId="1550" totalsRowDxfId="1551"/>
    <tableColumn id="12" xr3:uid="{00000000-0010-0000-0300-00000C000000}" name="LST-SOLD" dataDxfId="1548" totalsRowDxfId="1549"/>
    <tableColumn id="13" xr3:uid="{00000000-0010-0000-0300-00000D000000}" name="TO-DAY" totalsRowFunction="sum" dataDxfId="1546" totalsRowDxfId="1547"/>
    <tableColumn id="14" xr3:uid="{00000000-0010-0000-0300-00000E000000}" name="Y-DAY" totalsRowFunction="sum" dataDxfId="1544" totalsRowDxfId="1545"/>
    <tableColumn id="15" xr3:uid="{00000000-0010-0000-0300-00000F000000}" name="WEEKLY" totalsRowFunction="sum" dataDxfId="1542" totalsRowDxfId="1543"/>
    <tableColumn id="16" xr3:uid="{00000000-0010-0000-0300-000010000000}" name="LOWEST AVAIL" dataDxfId="1540" totalsRowDxfId="1541"/>
    <tableColumn id="17" xr3:uid="{00000000-0010-0000-0300-000011000000}" name="Y" totalsRowFunction="sum" dataDxfId="1538" totalsRowDxfId="1539"/>
    <tableColumn id="18" xr3:uid="{00000000-0010-0000-0300-000012000000}" name="B" totalsRowFunction="sum" dataDxfId="1536" totalsRowDxfId="1537"/>
    <tableColumn id="19" xr3:uid="{00000000-0010-0000-0300-000013000000}" name="M" totalsRowFunction="sum" dataDxfId="1534" totalsRowDxfId="1535"/>
    <tableColumn id="20" xr3:uid="{00000000-0010-0000-0300-000014000000}" name="H" totalsRowFunction="sum" dataDxfId="1532" totalsRowDxfId="1533"/>
    <tableColumn id="21" xr3:uid="{00000000-0010-0000-0300-000015000000}" name="Q" totalsRowFunction="sum" dataDxfId="1530" totalsRowDxfId="1531"/>
    <tableColumn id="22" xr3:uid="{00000000-0010-0000-0300-000016000000}" name="K" totalsRowFunction="sum" dataDxfId="1528" totalsRowDxfId="1529"/>
    <tableColumn id="23" xr3:uid="{00000000-0010-0000-0300-000017000000}" name="V" totalsRowFunction="sum" dataDxfId="1526" totalsRowDxfId="1527"/>
    <tableColumn id="24" xr3:uid="{00000000-0010-0000-0300-000018000000}" name="L" totalsRowFunction="sum" dataDxfId="1524" totalsRowDxfId="1525"/>
    <tableColumn id="25" xr3:uid="{00000000-0010-0000-0300-000019000000}" name="G" totalsRowFunction="sum" dataDxfId="1522" totalsRowDxfId="1523"/>
    <tableColumn id="26" xr3:uid="{00000000-0010-0000-0300-00001A000000}" name="S" totalsRowFunction="sum" dataDxfId="1520" totalsRowDxfId="1521"/>
    <tableColumn id="27" xr3:uid="{00000000-0010-0000-0300-00001B000000}" name="W" totalsRowFunction="sum" dataDxfId="1518" totalsRowDxfId="1519"/>
    <tableColumn id="28" xr3:uid="{00000000-0010-0000-0300-00001C000000}" name="T" totalsRowFunction="sum" dataDxfId="1516" totalsRowDxfId="1517"/>
    <tableColumn id="29" xr3:uid="{00000000-0010-0000-0300-00001D000000}" name="X" totalsRowFunction="sum" dataDxfId="1514" totalsRowDxfId="1515"/>
    <tableColumn id="30" xr3:uid="{00000000-0010-0000-0300-00001E000000}" name="U" totalsRowFunction="sum" dataDxfId="1512" totalsRowDxfId="1513"/>
    <tableColumn id="31" xr3:uid="{00000000-0010-0000-0300-00001F000000}" name="O" totalsRowFunction="sum" dataDxfId="1510" totalsRowDxfId="1511"/>
    <tableColumn id="32" xr3:uid="{00000000-0010-0000-0300-000020000000}" name="I" totalsRowFunction="sum" dataDxfId="1508" totalsRowDxfId="1509"/>
    <tableColumn id="33" xr3:uid="{00000000-0010-0000-0300-000021000000}" name="E" totalsRowFunction="sum" dataDxfId="1506" totalsRowDxfId="1507"/>
    <tableColumn id="34" xr3:uid="{00000000-0010-0000-0300-000022000000}" name="A" totalsRowFunction="sum" dataDxfId="1504" totalsRowDxfId="1505"/>
    <tableColumn id="35" xr3:uid="{00000000-0010-0000-0300-000023000000}" name="P" totalsRowFunction="sum" dataDxfId="1502" totalsRowDxfId="1503"/>
    <tableColumn id="36" xr3:uid="{00000000-0010-0000-0300-000024000000}" name="N" totalsRowFunction="count" dataDxfId="1500" totalsRowDxfId="150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HBE_MED" displayName="FocusMode_HBE_MED" ref="A1:H366" totalsRowShown="0">
  <autoFilter ref="A1:H366"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TZ_MED_LF_LEGACY" displayName="ATZ_MED_LF_LEGACY" ref="A1:AJ19" totalsRowCount="1" headerRowDxfId="1499" dataDxfId="1498" totalsRowDxfId="1497">
  <tableColumns count="36">
    <tableColumn id="1" xr3:uid="{00000000-0010-0000-0500-000001000000}" name="Day" totalsRowLabel="TOTAL" dataDxfId="1495" totalsRowDxfId="1496"/>
    <tableColumn id="2" xr3:uid="{00000000-0010-0000-0500-000002000000}" name="Flt Dt" dataDxfId="1493" totalsRowDxfId="1494"/>
    <tableColumn id="3" xr3:uid="{00000000-0010-0000-0500-000003000000}" name="Flt" totalsRowFunction="count" dataDxfId="1491" totalsRowDxfId="1492"/>
    <tableColumn id="4" xr3:uid="{00000000-0010-0000-0500-000004000000}" name="DEP" dataDxfId="1489" totalsRowDxfId="1490"/>
    <tableColumn id="5" xr3:uid="{00000000-0010-0000-0500-000005000000}" name="Brd-Off" totalsRowFunction="count" dataDxfId="1487" totalsRowDxfId="1488"/>
    <tableColumn id="6" xr3:uid="{00000000-0010-0000-0500-000006000000}" name="Eqp" dataDxfId="1485" totalsRowDxfId="1486"/>
    <tableColumn id="7" xr3:uid="{00000000-0010-0000-0500-000007000000}" name="LF%" totalsRowFunction="average" dataDxfId="1483" totalsRowDxfId="1484"/>
    <tableColumn id="8" xr3:uid="{00000000-0010-0000-0500-000008000000}" name="CAP" totalsRowFunction="sum" dataDxfId="1481" totalsRowDxfId="1482"/>
    <tableColumn id="9" xr3:uid="{00000000-0010-0000-0500-000009000000}" name="BKG(Y)" totalsRowFunction="sum" dataDxfId="1479" totalsRowDxfId="1480"/>
    <tableColumn id="10" xr3:uid="{00000000-0010-0000-0500-00000A000000}" name="GRP(Y)" totalsRowFunction="sum" dataDxfId="1477" totalsRowDxfId="1478"/>
    <tableColumn id="11" xr3:uid="{00000000-0010-0000-0500-00000B000000}" name="FLT ST" dataDxfId="1475" totalsRowDxfId="1476"/>
    <tableColumn id="12" xr3:uid="{00000000-0010-0000-0500-00000C000000}" name="LST-SOLD" dataDxfId="1473" totalsRowDxfId="1474"/>
    <tableColumn id="13" xr3:uid="{00000000-0010-0000-0500-00000D000000}" name="TO-DAY" totalsRowFunction="sum" dataDxfId="1471" totalsRowDxfId="1472"/>
    <tableColumn id="14" xr3:uid="{00000000-0010-0000-0500-00000E000000}" name="Y-DAY" totalsRowFunction="sum" dataDxfId="1469" totalsRowDxfId="1470"/>
    <tableColumn id="15" xr3:uid="{00000000-0010-0000-0500-00000F000000}" name="WEEKLY" totalsRowFunction="sum" dataDxfId="1467" totalsRowDxfId="1468"/>
    <tableColumn id="16" xr3:uid="{00000000-0010-0000-0500-000010000000}" name="LOWEST AVAIL" dataDxfId="1465" totalsRowDxfId="1466"/>
    <tableColumn id="17" xr3:uid="{00000000-0010-0000-0500-000011000000}" name="Y" totalsRowFunction="sum" dataDxfId="1463" totalsRowDxfId="1464"/>
    <tableColumn id="18" xr3:uid="{00000000-0010-0000-0500-000012000000}" name="B" totalsRowFunction="sum" dataDxfId="1461" totalsRowDxfId="1462"/>
    <tableColumn id="19" xr3:uid="{00000000-0010-0000-0500-000013000000}" name="M" totalsRowFunction="sum" dataDxfId="1459" totalsRowDxfId="1460"/>
    <tableColumn id="20" xr3:uid="{00000000-0010-0000-0500-000014000000}" name="H" totalsRowFunction="sum" dataDxfId="1457" totalsRowDxfId="1458"/>
    <tableColumn id="21" xr3:uid="{00000000-0010-0000-0500-000015000000}" name="Q" totalsRowFunction="sum" dataDxfId="1455" totalsRowDxfId="1456"/>
    <tableColumn id="22" xr3:uid="{00000000-0010-0000-0500-000016000000}" name="K" totalsRowFunction="sum" dataDxfId="1453" totalsRowDxfId="1454"/>
    <tableColumn id="23" xr3:uid="{00000000-0010-0000-0500-000017000000}" name="V" totalsRowFunction="sum" dataDxfId="1451" totalsRowDxfId="1452"/>
    <tableColumn id="24" xr3:uid="{00000000-0010-0000-0500-000018000000}" name="L" totalsRowFunction="sum" dataDxfId="1449" totalsRowDxfId="1450"/>
    <tableColumn id="25" xr3:uid="{00000000-0010-0000-0500-000019000000}" name="G" totalsRowFunction="sum" dataDxfId="1447" totalsRowDxfId="1448"/>
    <tableColumn id="26" xr3:uid="{00000000-0010-0000-0500-00001A000000}" name="S" totalsRowFunction="sum" dataDxfId="1445" totalsRowDxfId="1446"/>
    <tableColumn id="27" xr3:uid="{00000000-0010-0000-0500-00001B000000}" name="W" totalsRowFunction="sum" dataDxfId="1443" totalsRowDxfId="1444"/>
    <tableColumn id="28" xr3:uid="{00000000-0010-0000-0500-00001C000000}" name="T" totalsRowFunction="sum" dataDxfId="1441" totalsRowDxfId="1442"/>
    <tableColumn id="29" xr3:uid="{00000000-0010-0000-0500-00001D000000}" name="X" totalsRowFunction="sum" dataDxfId="1439" totalsRowDxfId="1440"/>
    <tableColumn id="30" xr3:uid="{00000000-0010-0000-0500-00001E000000}" name="U" totalsRowFunction="sum" dataDxfId="1437" totalsRowDxfId="1438"/>
    <tableColumn id="31" xr3:uid="{00000000-0010-0000-0500-00001F000000}" name="O" totalsRowFunction="sum" dataDxfId="1435" totalsRowDxfId="1436"/>
    <tableColumn id="32" xr3:uid="{00000000-0010-0000-0500-000020000000}" name="I" totalsRowFunction="sum" dataDxfId="1433" totalsRowDxfId="1434"/>
    <tableColumn id="33" xr3:uid="{00000000-0010-0000-0500-000021000000}" name="E" totalsRowFunction="sum" dataDxfId="1431" totalsRowDxfId="1432"/>
    <tableColumn id="34" xr3:uid="{00000000-0010-0000-0500-000022000000}" name="A" totalsRowFunction="sum" dataDxfId="1429" totalsRowDxfId="1430"/>
    <tableColumn id="35" xr3:uid="{00000000-0010-0000-0500-000023000000}" name="P" totalsRowFunction="sum" dataDxfId="1427" totalsRowDxfId="1428"/>
    <tableColumn id="36" xr3:uid="{00000000-0010-0000-0500-000024000000}" name="N" totalsRowFunction="count" dataDxfId="1425" totalsRowDxfId="142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ATZ_MED" displayName="FocusMode_ATZ_MED" ref="A1:H359" totalsRowShown="0">
  <autoFilter ref="A1:H359"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AI_JED_LF_LEGACY" displayName="CAI_JED_LF_LEGACY" ref="A1:AJ153" totalsRowCount="1" headerRowDxfId="1424" dataDxfId="1423" totalsRowDxfId="1422">
  <tableColumns count="36">
    <tableColumn id="1" xr3:uid="{00000000-0010-0000-0700-000001000000}" name="Day" totalsRowLabel="TOTAL" dataDxfId="1420" totalsRowDxfId="1421"/>
    <tableColumn id="2" xr3:uid="{00000000-0010-0000-0700-000002000000}" name="Flt Dt" dataDxfId="1418" totalsRowDxfId="1419"/>
    <tableColumn id="3" xr3:uid="{00000000-0010-0000-0700-000003000000}" name="Flt" totalsRowFunction="count" dataDxfId="1416" totalsRowDxfId="1417"/>
    <tableColumn id="4" xr3:uid="{00000000-0010-0000-0700-000004000000}" name="DEP" dataDxfId="1414" totalsRowDxfId="1415"/>
    <tableColumn id="5" xr3:uid="{00000000-0010-0000-0700-000005000000}" name="Brd-Off" totalsRowFunction="count" dataDxfId="1412" totalsRowDxfId="1413"/>
    <tableColumn id="6" xr3:uid="{00000000-0010-0000-0700-000006000000}" name="Eqp" dataDxfId="1410" totalsRowDxfId="1411"/>
    <tableColumn id="7" xr3:uid="{00000000-0010-0000-0700-000007000000}" name="LF%" totalsRowFunction="average" dataDxfId="1408" totalsRowDxfId="1409"/>
    <tableColumn id="8" xr3:uid="{00000000-0010-0000-0700-000008000000}" name="CAP" totalsRowFunction="sum" dataDxfId="1406" totalsRowDxfId="1407"/>
    <tableColumn id="9" xr3:uid="{00000000-0010-0000-0700-000009000000}" name="BKG(Y)" totalsRowFunction="sum" dataDxfId="1404" totalsRowDxfId="1405"/>
    <tableColumn id="10" xr3:uid="{00000000-0010-0000-0700-00000A000000}" name="GRP(Y)" totalsRowFunction="sum" dataDxfId="1402" totalsRowDxfId="1403"/>
    <tableColumn id="11" xr3:uid="{00000000-0010-0000-0700-00000B000000}" name="FLT ST" dataDxfId="1400" totalsRowDxfId="1401"/>
    <tableColumn id="12" xr3:uid="{00000000-0010-0000-0700-00000C000000}" name="LST-SOLD" dataDxfId="1398" totalsRowDxfId="1399"/>
    <tableColumn id="13" xr3:uid="{00000000-0010-0000-0700-00000D000000}" name="TO-DAY" totalsRowFunction="sum" dataDxfId="1396" totalsRowDxfId="1397"/>
    <tableColumn id="14" xr3:uid="{00000000-0010-0000-0700-00000E000000}" name="Y-DAY" totalsRowFunction="sum" dataDxfId="1394" totalsRowDxfId="1395"/>
    <tableColumn id="15" xr3:uid="{00000000-0010-0000-0700-00000F000000}" name="WEEKLY" totalsRowFunction="sum" dataDxfId="1392" totalsRowDxfId="1393"/>
    <tableColumn id="16" xr3:uid="{00000000-0010-0000-0700-000010000000}" name="LOWEST AVAIL" dataDxfId="1390" totalsRowDxfId="1391"/>
    <tableColumn id="17" xr3:uid="{00000000-0010-0000-0700-000011000000}" name="Y" totalsRowFunction="sum" dataDxfId="1388" totalsRowDxfId="1389"/>
    <tableColumn id="18" xr3:uid="{00000000-0010-0000-0700-000012000000}" name="B" totalsRowFunction="sum" dataDxfId="1386" totalsRowDxfId="1387"/>
    <tableColumn id="19" xr3:uid="{00000000-0010-0000-0700-000013000000}" name="M" totalsRowFunction="sum" dataDxfId="1384" totalsRowDxfId="1385"/>
    <tableColumn id="20" xr3:uid="{00000000-0010-0000-0700-000014000000}" name="H" totalsRowFunction="sum" dataDxfId="1382" totalsRowDxfId="1383"/>
    <tableColumn id="21" xr3:uid="{00000000-0010-0000-0700-000015000000}" name="Q" totalsRowFunction="sum" dataDxfId="1380" totalsRowDxfId="1381"/>
    <tableColumn id="22" xr3:uid="{00000000-0010-0000-0700-000016000000}" name="K" totalsRowFunction="sum" dataDxfId="1378" totalsRowDxfId="1379"/>
    <tableColumn id="23" xr3:uid="{00000000-0010-0000-0700-000017000000}" name="V" totalsRowFunction="sum" dataDxfId="1376" totalsRowDxfId="1377"/>
    <tableColumn id="24" xr3:uid="{00000000-0010-0000-0700-000018000000}" name="L" totalsRowFunction="sum" dataDxfId="1374" totalsRowDxfId="1375"/>
    <tableColumn id="25" xr3:uid="{00000000-0010-0000-0700-000019000000}" name="G" totalsRowFunction="sum" dataDxfId="1372" totalsRowDxfId="1373"/>
    <tableColumn id="26" xr3:uid="{00000000-0010-0000-0700-00001A000000}" name="S" totalsRowFunction="sum" dataDxfId="1370" totalsRowDxfId="1371"/>
    <tableColumn id="27" xr3:uid="{00000000-0010-0000-0700-00001B000000}" name="W" totalsRowFunction="sum" dataDxfId="1368" totalsRowDxfId="1369"/>
    <tableColumn id="28" xr3:uid="{00000000-0010-0000-0700-00001C000000}" name="T" totalsRowFunction="sum" dataDxfId="1366" totalsRowDxfId="1367"/>
    <tableColumn id="29" xr3:uid="{00000000-0010-0000-0700-00001D000000}" name="X" totalsRowFunction="sum" dataDxfId="1364" totalsRowDxfId="1365"/>
    <tableColumn id="30" xr3:uid="{00000000-0010-0000-0700-00001E000000}" name="U" totalsRowFunction="sum" dataDxfId="1362" totalsRowDxfId="1363"/>
    <tableColumn id="31" xr3:uid="{00000000-0010-0000-0700-00001F000000}" name="O" totalsRowFunction="sum" dataDxfId="1360" totalsRowDxfId="1361"/>
    <tableColumn id="32" xr3:uid="{00000000-0010-0000-0700-000020000000}" name="I" totalsRowFunction="sum" dataDxfId="1358" totalsRowDxfId="1359"/>
    <tableColumn id="33" xr3:uid="{00000000-0010-0000-0700-000021000000}" name="E" totalsRowFunction="sum" dataDxfId="1356" totalsRowDxfId="1357"/>
    <tableColumn id="34" xr3:uid="{00000000-0010-0000-0700-000022000000}" name="A" totalsRowFunction="sum" dataDxfId="1354" totalsRowDxfId="1355"/>
    <tableColumn id="35" xr3:uid="{00000000-0010-0000-0700-000023000000}" name="P" totalsRowFunction="sum" dataDxfId="1352" totalsRowDxfId="1353"/>
    <tableColumn id="36" xr3:uid="{00000000-0010-0000-0700-000024000000}" name="N" totalsRowFunction="count" dataDxfId="1350" totalsRowDxfId="135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CAI_JED" displayName="FocusMode_CAI_JED" ref="A1:H2182" totalsRowShown="0">
  <autoFilter ref="A1:H2182"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hreatsAlert_CAI_JED" displayName="ThreatsAlert_CAI_JED" ref="A1:H301" totalsRowShown="0">
  <autoFilter ref="A1:H301"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HBE_JED_LF_LEGACY" displayName="HBE_JED_LF_LEGACY" ref="A1:AJ54" totalsRowCount="1" headerRowDxfId="1349" dataDxfId="1348" totalsRowDxfId="1347">
  <tableColumns count="36">
    <tableColumn id="1" xr3:uid="{00000000-0010-0000-0A00-000001000000}" name="Day" totalsRowLabel="TOTAL" dataDxfId="1345" totalsRowDxfId="1346"/>
    <tableColumn id="2" xr3:uid="{00000000-0010-0000-0A00-000002000000}" name="Flt Dt" dataDxfId="1343" totalsRowDxfId="1344"/>
    <tableColumn id="3" xr3:uid="{00000000-0010-0000-0A00-000003000000}" name="Flt" totalsRowFunction="count" dataDxfId="1341" totalsRowDxfId="1342"/>
    <tableColumn id="4" xr3:uid="{00000000-0010-0000-0A00-000004000000}" name="DEP" dataDxfId="1339" totalsRowDxfId="1340"/>
    <tableColumn id="5" xr3:uid="{00000000-0010-0000-0A00-000005000000}" name="Brd-Off" totalsRowFunction="count" dataDxfId="1337" totalsRowDxfId="1338"/>
    <tableColumn id="6" xr3:uid="{00000000-0010-0000-0A00-000006000000}" name="Eqp" dataDxfId="1335" totalsRowDxfId="1336"/>
    <tableColumn id="7" xr3:uid="{00000000-0010-0000-0A00-000007000000}" name="LF%" totalsRowFunction="average" dataDxfId="1333" totalsRowDxfId="1334"/>
    <tableColumn id="8" xr3:uid="{00000000-0010-0000-0A00-000008000000}" name="CAP" totalsRowFunction="sum" dataDxfId="1331" totalsRowDxfId="1332"/>
    <tableColumn id="9" xr3:uid="{00000000-0010-0000-0A00-000009000000}" name="BKG(Y)" totalsRowFunction="sum" dataDxfId="1329" totalsRowDxfId="1330"/>
    <tableColumn id="10" xr3:uid="{00000000-0010-0000-0A00-00000A000000}" name="GRP(Y)" totalsRowFunction="sum" dataDxfId="1327" totalsRowDxfId="1328"/>
    <tableColumn id="11" xr3:uid="{00000000-0010-0000-0A00-00000B000000}" name="FLT ST" dataDxfId="1325" totalsRowDxfId="1326"/>
    <tableColumn id="12" xr3:uid="{00000000-0010-0000-0A00-00000C000000}" name="LST-SOLD" dataDxfId="1323" totalsRowDxfId="1324"/>
    <tableColumn id="13" xr3:uid="{00000000-0010-0000-0A00-00000D000000}" name="TO-DAY" totalsRowFunction="sum" dataDxfId="1321" totalsRowDxfId="1322"/>
    <tableColumn id="14" xr3:uid="{00000000-0010-0000-0A00-00000E000000}" name="Y-DAY" totalsRowFunction="sum" dataDxfId="1319" totalsRowDxfId="1320"/>
    <tableColumn id="15" xr3:uid="{00000000-0010-0000-0A00-00000F000000}" name="WEEKLY" totalsRowFunction="sum" dataDxfId="1317" totalsRowDxfId="1318"/>
    <tableColumn id="16" xr3:uid="{00000000-0010-0000-0A00-000010000000}" name="LOWEST AVAIL" dataDxfId="1315" totalsRowDxfId="1316"/>
    <tableColumn id="17" xr3:uid="{00000000-0010-0000-0A00-000011000000}" name="Y" totalsRowFunction="sum" dataDxfId="1313" totalsRowDxfId="1314"/>
    <tableColumn id="18" xr3:uid="{00000000-0010-0000-0A00-000012000000}" name="B" totalsRowFunction="sum" dataDxfId="1311" totalsRowDxfId="1312"/>
    <tableColumn id="19" xr3:uid="{00000000-0010-0000-0A00-000013000000}" name="M" totalsRowFunction="sum" dataDxfId="1309" totalsRowDxfId="1310"/>
    <tableColumn id="20" xr3:uid="{00000000-0010-0000-0A00-000014000000}" name="H" totalsRowFunction="sum" dataDxfId="1307" totalsRowDxfId="1308"/>
    <tableColumn id="21" xr3:uid="{00000000-0010-0000-0A00-000015000000}" name="Q" totalsRowFunction="sum" dataDxfId="1305" totalsRowDxfId="1306"/>
    <tableColumn id="22" xr3:uid="{00000000-0010-0000-0A00-000016000000}" name="K" totalsRowFunction="sum" dataDxfId="1303" totalsRowDxfId="1304"/>
    <tableColumn id="23" xr3:uid="{00000000-0010-0000-0A00-000017000000}" name="V" totalsRowFunction="sum" dataDxfId="1301" totalsRowDxfId="1302"/>
    <tableColumn id="24" xr3:uid="{00000000-0010-0000-0A00-000018000000}" name="L" totalsRowFunction="sum" dataDxfId="1299" totalsRowDxfId="1300"/>
    <tableColumn id="25" xr3:uid="{00000000-0010-0000-0A00-000019000000}" name="G" totalsRowFunction="sum" dataDxfId="1297" totalsRowDxfId="1298"/>
    <tableColumn id="26" xr3:uid="{00000000-0010-0000-0A00-00001A000000}" name="S" totalsRowFunction="sum" dataDxfId="1295" totalsRowDxfId="1296"/>
    <tableColumn id="27" xr3:uid="{00000000-0010-0000-0A00-00001B000000}" name="W" totalsRowFunction="sum" dataDxfId="1293" totalsRowDxfId="1294"/>
    <tableColumn id="28" xr3:uid="{00000000-0010-0000-0A00-00001C000000}" name="T" totalsRowFunction="sum" dataDxfId="1291" totalsRowDxfId="1292"/>
    <tableColumn id="29" xr3:uid="{00000000-0010-0000-0A00-00001D000000}" name="X" totalsRowFunction="sum" dataDxfId="1289" totalsRowDxfId="1290"/>
    <tableColumn id="30" xr3:uid="{00000000-0010-0000-0A00-00001E000000}" name="U" totalsRowFunction="sum" dataDxfId="1287" totalsRowDxfId="1288"/>
    <tableColumn id="31" xr3:uid="{00000000-0010-0000-0A00-00001F000000}" name="O" totalsRowFunction="sum" dataDxfId="1285" totalsRowDxfId="1286"/>
    <tableColumn id="32" xr3:uid="{00000000-0010-0000-0A00-000020000000}" name="I" totalsRowFunction="sum" dataDxfId="1283" totalsRowDxfId="1284"/>
    <tableColumn id="33" xr3:uid="{00000000-0010-0000-0A00-000021000000}" name="E" totalsRowFunction="sum" dataDxfId="1281" totalsRowDxfId="1282"/>
    <tableColumn id="34" xr3:uid="{00000000-0010-0000-0A00-000022000000}" name="A" totalsRowFunction="sum" dataDxfId="1279" totalsRowDxfId="1280"/>
    <tableColumn id="35" xr3:uid="{00000000-0010-0000-0A00-000023000000}" name="P" totalsRowFunction="sum" dataDxfId="1277" totalsRowDxfId="1278"/>
    <tableColumn id="36" xr3:uid="{00000000-0010-0000-0A00-000024000000}" name="N" totalsRowFunction="count" dataDxfId="1275" totalsRowDxfId="127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HBE_JED" displayName="FocusMode_HBE_JED" ref="A1:H637" totalsRowShown="0">
  <autoFilter ref="A1:H637"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ATZ_JED_LF_LEGACY" displayName="ATZ_JED_LF_LEGACY" ref="A1:AJ74" totalsRowCount="1" headerRowDxfId="1274" dataDxfId="1273" totalsRowDxfId="1272">
  <tableColumns count="36">
    <tableColumn id="1" xr3:uid="{00000000-0010-0000-0C00-000001000000}" name="Day" totalsRowLabel="TOTAL" dataDxfId="1270" totalsRowDxfId="1271"/>
    <tableColumn id="2" xr3:uid="{00000000-0010-0000-0C00-000002000000}" name="Flt Dt" dataDxfId="1268" totalsRowDxfId="1269"/>
    <tableColumn id="3" xr3:uid="{00000000-0010-0000-0C00-000003000000}" name="Flt" totalsRowFunction="count" dataDxfId="1266" totalsRowDxfId="1267"/>
    <tableColumn id="4" xr3:uid="{00000000-0010-0000-0C00-000004000000}" name="DEP" dataDxfId="1264" totalsRowDxfId="1265"/>
    <tableColumn id="5" xr3:uid="{00000000-0010-0000-0C00-000005000000}" name="Brd-Off" totalsRowFunction="count" dataDxfId="1262" totalsRowDxfId="1263"/>
    <tableColumn id="6" xr3:uid="{00000000-0010-0000-0C00-000006000000}" name="Eqp" dataDxfId="1260" totalsRowDxfId="1261"/>
    <tableColumn id="7" xr3:uid="{00000000-0010-0000-0C00-000007000000}" name="LF%" totalsRowFunction="average" dataDxfId="1258" totalsRowDxfId="1259"/>
    <tableColumn id="8" xr3:uid="{00000000-0010-0000-0C00-000008000000}" name="CAP" totalsRowFunction="sum" dataDxfId="1256" totalsRowDxfId="1257"/>
    <tableColumn id="9" xr3:uid="{00000000-0010-0000-0C00-000009000000}" name="BKG(Y)" totalsRowFunction="sum" dataDxfId="1254" totalsRowDxfId="1255"/>
    <tableColumn id="10" xr3:uid="{00000000-0010-0000-0C00-00000A000000}" name="GRP(Y)" totalsRowFunction="sum" dataDxfId="1252" totalsRowDxfId="1253"/>
    <tableColumn id="11" xr3:uid="{00000000-0010-0000-0C00-00000B000000}" name="FLT ST" dataDxfId="1250" totalsRowDxfId="1251"/>
    <tableColumn id="12" xr3:uid="{00000000-0010-0000-0C00-00000C000000}" name="LST-SOLD" dataDxfId="1248" totalsRowDxfId="1249"/>
    <tableColumn id="13" xr3:uid="{00000000-0010-0000-0C00-00000D000000}" name="TO-DAY" totalsRowFunction="sum" dataDxfId="1246" totalsRowDxfId="1247"/>
    <tableColumn id="14" xr3:uid="{00000000-0010-0000-0C00-00000E000000}" name="Y-DAY" totalsRowFunction="sum" dataDxfId="1244" totalsRowDxfId="1245"/>
    <tableColumn id="15" xr3:uid="{00000000-0010-0000-0C00-00000F000000}" name="WEEKLY" totalsRowFunction="sum" dataDxfId="1242" totalsRowDxfId="1243"/>
    <tableColumn id="16" xr3:uid="{00000000-0010-0000-0C00-000010000000}" name="LOWEST AVAIL" dataDxfId="1240" totalsRowDxfId="1241"/>
    <tableColumn id="17" xr3:uid="{00000000-0010-0000-0C00-000011000000}" name="Y" totalsRowFunction="sum" dataDxfId="1238" totalsRowDxfId="1239"/>
    <tableColumn id="18" xr3:uid="{00000000-0010-0000-0C00-000012000000}" name="B" totalsRowFunction="sum" dataDxfId="1236" totalsRowDxfId="1237"/>
    <tableColumn id="19" xr3:uid="{00000000-0010-0000-0C00-000013000000}" name="M" totalsRowFunction="sum" dataDxfId="1234" totalsRowDxfId="1235"/>
    <tableColumn id="20" xr3:uid="{00000000-0010-0000-0C00-000014000000}" name="H" totalsRowFunction="sum" dataDxfId="1232" totalsRowDxfId="1233"/>
    <tableColumn id="21" xr3:uid="{00000000-0010-0000-0C00-000015000000}" name="Q" totalsRowFunction="sum" dataDxfId="1230" totalsRowDxfId="1231"/>
    <tableColumn id="22" xr3:uid="{00000000-0010-0000-0C00-000016000000}" name="K" totalsRowFunction="sum" dataDxfId="1228" totalsRowDxfId="1229"/>
    <tableColumn id="23" xr3:uid="{00000000-0010-0000-0C00-000017000000}" name="V" totalsRowFunction="sum" dataDxfId="1226" totalsRowDxfId="1227"/>
    <tableColumn id="24" xr3:uid="{00000000-0010-0000-0C00-000018000000}" name="L" totalsRowFunction="sum" dataDxfId="1224" totalsRowDxfId="1225"/>
    <tableColumn id="25" xr3:uid="{00000000-0010-0000-0C00-000019000000}" name="G" totalsRowFunction="sum" dataDxfId="1222" totalsRowDxfId="1223"/>
    <tableColumn id="26" xr3:uid="{00000000-0010-0000-0C00-00001A000000}" name="S" totalsRowFunction="sum" dataDxfId="1220" totalsRowDxfId="1221"/>
    <tableColumn id="27" xr3:uid="{00000000-0010-0000-0C00-00001B000000}" name="W" totalsRowFunction="sum" dataDxfId="1218" totalsRowDxfId="1219"/>
    <tableColumn id="28" xr3:uid="{00000000-0010-0000-0C00-00001C000000}" name="T" totalsRowFunction="sum" dataDxfId="1216" totalsRowDxfId="1217"/>
    <tableColumn id="29" xr3:uid="{00000000-0010-0000-0C00-00001D000000}" name="X" totalsRowFunction="sum" dataDxfId="1214" totalsRowDxfId="1215"/>
    <tableColumn id="30" xr3:uid="{00000000-0010-0000-0C00-00001E000000}" name="U" totalsRowFunction="sum" dataDxfId="1212" totalsRowDxfId="1213"/>
    <tableColumn id="31" xr3:uid="{00000000-0010-0000-0C00-00001F000000}" name="O" totalsRowFunction="sum" dataDxfId="1210" totalsRowDxfId="1211"/>
    <tableColumn id="32" xr3:uid="{00000000-0010-0000-0C00-000020000000}" name="I" totalsRowFunction="sum" dataDxfId="1208" totalsRowDxfId="1209"/>
    <tableColumn id="33" xr3:uid="{00000000-0010-0000-0C00-000021000000}" name="E" totalsRowFunction="sum" dataDxfId="1206" totalsRowDxfId="1207"/>
    <tableColumn id="34" xr3:uid="{00000000-0010-0000-0C00-000022000000}" name="A" totalsRowFunction="sum" dataDxfId="1204" totalsRowDxfId="1205"/>
    <tableColumn id="35" xr3:uid="{00000000-0010-0000-0C00-000023000000}" name="P" totalsRowFunction="sum" dataDxfId="1202" totalsRowDxfId="1203"/>
    <tableColumn id="36" xr3:uid="{00000000-0010-0000-0C00-000024000000}" name="N" totalsRowFunction="count" dataDxfId="1200" totalsRowDxfId="1201"/>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ATZ_JED" displayName="FocusMode_ATZ_JED" ref="A1:H474" totalsRowShown="0">
  <autoFilter ref="A1:H474"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LXR_JED_LF_LEGACY" displayName="LXR_JED_LF_LEGACY" ref="A1:AJ18" totalsRowCount="1" headerRowDxfId="1199" dataDxfId="1198" totalsRowDxfId="1197">
  <tableColumns count="36">
    <tableColumn id="1" xr3:uid="{00000000-0010-0000-0E00-000001000000}" name="Day" totalsRowLabel="TOTAL" dataDxfId="1195" totalsRowDxfId="1196"/>
    <tableColumn id="2" xr3:uid="{00000000-0010-0000-0E00-000002000000}" name="Flt Dt" dataDxfId="1193" totalsRowDxfId="1194"/>
    <tableColumn id="3" xr3:uid="{00000000-0010-0000-0E00-000003000000}" name="Flt" totalsRowFunction="count" dataDxfId="1191" totalsRowDxfId="1192"/>
    <tableColumn id="4" xr3:uid="{00000000-0010-0000-0E00-000004000000}" name="DEP" dataDxfId="1189" totalsRowDxfId="1190"/>
    <tableColumn id="5" xr3:uid="{00000000-0010-0000-0E00-000005000000}" name="Brd-Off" totalsRowFunction="count" dataDxfId="1187" totalsRowDxfId="1188"/>
    <tableColumn id="6" xr3:uid="{00000000-0010-0000-0E00-000006000000}" name="Eqp" dataDxfId="1185" totalsRowDxfId="1186"/>
    <tableColumn id="7" xr3:uid="{00000000-0010-0000-0E00-000007000000}" name="LF%" totalsRowFunction="average" dataDxfId="1183" totalsRowDxfId="1184"/>
    <tableColumn id="8" xr3:uid="{00000000-0010-0000-0E00-000008000000}" name="CAP" totalsRowFunction="sum" dataDxfId="1181" totalsRowDxfId="1182"/>
    <tableColumn id="9" xr3:uid="{00000000-0010-0000-0E00-000009000000}" name="BKG(Y)" totalsRowFunction="sum" dataDxfId="1179" totalsRowDxfId="1180"/>
    <tableColumn id="10" xr3:uid="{00000000-0010-0000-0E00-00000A000000}" name="GRP(Y)" totalsRowFunction="sum" dataDxfId="1177" totalsRowDxfId="1178"/>
    <tableColumn id="11" xr3:uid="{00000000-0010-0000-0E00-00000B000000}" name="FLT ST" dataDxfId="1175" totalsRowDxfId="1176"/>
    <tableColumn id="12" xr3:uid="{00000000-0010-0000-0E00-00000C000000}" name="LST-SOLD" dataDxfId="1173" totalsRowDxfId="1174"/>
    <tableColumn id="13" xr3:uid="{00000000-0010-0000-0E00-00000D000000}" name="TO-DAY" totalsRowFunction="sum" dataDxfId="1171" totalsRowDxfId="1172"/>
    <tableColumn id="14" xr3:uid="{00000000-0010-0000-0E00-00000E000000}" name="Y-DAY" totalsRowFunction="sum" dataDxfId="1169" totalsRowDxfId="1170"/>
    <tableColumn id="15" xr3:uid="{00000000-0010-0000-0E00-00000F000000}" name="WEEKLY" totalsRowFunction="sum" dataDxfId="1167" totalsRowDxfId="1168"/>
    <tableColumn id="16" xr3:uid="{00000000-0010-0000-0E00-000010000000}" name="LOWEST AVAIL" dataDxfId="1165" totalsRowDxfId="1166"/>
    <tableColumn id="17" xr3:uid="{00000000-0010-0000-0E00-000011000000}" name="Y" totalsRowFunction="sum" dataDxfId="1163" totalsRowDxfId="1164"/>
    <tableColumn id="18" xr3:uid="{00000000-0010-0000-0E00-000012000000}" name="B" totalsRowFunction="sum" dataDxfId="1161" totalsRowDxfId="1162"/>
    <tableColumn id="19" xr3:uid="{00000000-0010-0000-0E00-000013000000}" name="M" totalsRowFunction="sum" dataDxfId="1159" totalsRowDxfId="1160"/>
    <tableColumn id="20" xr3:uid="{00000000-0010-0000-0E00-000014000000}" name="H" totalsRowFunction="sum" dataDxfId="1157" totalsRowDxfId="1158"/>
    <tableColumn id="21" xr3:uid="{00000000-0010-0000-0E00-000015000000}" name="Q" totalsRowFunction="sum" dataDxfId="1155" totalsRowDxfId="1156"/>
    <tableColumn id="22" xr3:uid="{00000000-0010-0000-0E00-000016000000}" name="K" totalsRowFunction="sum" dataDxfId="1153" totalsRowDxfId="1154"/>
    <tableColumn id="23" xr3:uid="{00000000-0010-0000-0E00-000017000000}" name="V" totalsRowFunction="sum" dataDxfId="1151" totalsRowDxfId="1152"/>
    <tableColumn id="24" xr3:uid="{00000000-0010-0000-0E00-000018000000}" name="L" totalsRowFunction="sum" dataDxfId="1149" totalsRowDxfId="1150"/>
    <tableColumn id="25" xr3:uid="{00000000-0010-0000-0E00-000019000000}" name="G" totalsRowFunction="sum" dataDxfId="1147" totalsRowDxfId="1148"/>
    <tableColumn id="26" xr3:uid="{00000000-0010-0000-0E00-00001A000000}" name="S" totalsRowFunction="sum" dataDxfId="1145" totalsRowDxfId="1146"/>
    <tableColumn id="27" xr3:uid="{00000000-0010-0000-0E00-00001B000000}" name="W" totalsRowFunction="sum" dataDxfId="1143" totalsRowDxfId="1144"/>
    <tableColumn id="28" xr3:uid="{00000000-0010-0000-0E00-00001C000000}" name="T" totalsRowFunction="sum" dataDxfId="1141" totalsRowDxfId="1142"/>
    <tableColumn id="29" xr3:uid="{00000000-0010-0000-0E00-00001D000000}" name="X" totalsRowFunction="sum" dataDxfId="1139" totalsRowDxfId="1140"/>
    <tableColumn id="30" xr3:uid="{00000000-0010-0000-0E00-00001E000000}" name="U" totalsRowFunction="sum" dataDxfId="1137" totalsRowDxfId="1138"/>
    <tableColumn id="31" xr3:uid="{00000000-0010-0000-0E00-00001F000000}" name="O" totalsRowFunction="sum" dataDxfId="1135" totalsRowDxfId="1136"/>
    <tableColumn id="32" xr3:uid="{00000000-0010-0000-0E00-000020000000}" name="I" totalsRowFunction="sum" dataDxfId="1133" totalsRowDxfId="1134"/>
    <tableColumn id="33" xr3:uid="{00000000-0010-0000-0E00-000021000000}" name="E" totalsRowFunction="sum" dataDxfId="1131" totalsRowDxfId="1132"/>
    <tableColumn id="34" xr3:uid="{00000000-0010-0000-0E00-000022000000}" name="A" totalsRowFunction="sum" dataDxfId="1129" totalsRowDxfId="1130"/>
    <tableColumn id="35" xr3:uid="{00000000-0010-0000-0E00-000023000000}" name="P" totalsRowFunction="sum" dataDxfId="1127" totalsRowDxfId="1128"/>
    <tableColumn id="36" xr3:uid="{00000000-0010-0000-0E00-000024000000}" name="N" totalsRowFunction="count" dataDxfId="1125" totalsRowDxfId="1126"/>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LXR_JED" displayName="FocusMode_LXR_JED" ref="A1:H29" totalsRowShown="0">
  <autoFilter ref="A1:H29"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ASW_JED_LF_LEGACY" displayName="ASW_JED_LF_LEGACY" ref="A1:AJ8" totalsRowCount="1" headerRowDxfId="1124" dataDxfId="1123" totalsRowDxfId="1122">
  <tableColumns count="36">
    <tableColumn id="1" xr3:uid="{00000000-0010-0000-1000-000001000000}" name="Day" totalsRowLabel="TOTAL" dataDxfId="1120" totalsRowDxfId="1121"/>
    <tableColumn id="2" xr3:uid="{00000000-0010-0000-1000-000002000000}" name="Flt Dt" dataDxfId="1118" totalsRowDxfId="1119"/>
    <tableColumn id="3" xr3:uid="{00000000-0010-0000-1000-000003000000}" name="Flt" totalsRowFunction="count" dataDxfId="1116" totalsRowDxfId="1117"/>
    <tableColumn id="4" xr3:uid="{00000000-0010-0000-1000-000004000000}" name="DEP" dataDxfId="1114" totalsRowDxfId="1115"/>
    <tableColumn id="5" xr3:uid="{00000000-0010-0000-1000-000005000000}" name="Brd-Off" totalsRowFunction="count" dataDxfId="1112" totalsRowDxfId="1113"/>
    <tableColumn id="6" xr3:uid="{00000000-0010-0000-1000-000006000000}" name="Eqp" dataDxfId="1110" totalsRowDxfId="1111"/>
    <tableColumn id="7" xr3:uid="{00000000-0010-0000-1000-000007000000}" name="LF%" totalsRowFunction="average" dataDxfId="1108" totalsRowDxfId="1109"/>
    <tableColumn id="8" xr3:uid="{00000000-0010-0000-1000-000008000000}" name="CAP" totalsRowFunction="sum" dataDxfId="1106" totalsRowDxfId="1107"/>
    <tableColumn id="9" xr3:uid="{00000000-0010-0000-1000-000009000000}" name="BKG(Y)" totalsRowFunction="sum" dataDxfId="1104" totalsRowDxfId="1105"/>
    <tableColumn id="10" xr3:uid="{00000000-0010-0000-1000-00000A000000}" name="GRP(Y)" totalsRowFunction="sum" dataDxfId="1102" totalsRowDxfId="1103"/>
    <tableColumn id="11" xr3:uid="{00000000-0010-0000-1000-00000B000000}" name="FLT ST" dataDxfId="1100" totalsRowDxfId="1101"/>
    <tableColumn id="12" xr3:uid="{00000000-0010-0000-1000-00000C000000}" name="LST-SOLD" dataDxfId="1098" totalsRowDxfId="1099"/>
    <tableColumn id="13" xr3:uid="{00000000-0010-0000-1000-00000D000000}" name="TO-DAY" totalsRowFunction="sum" dataDxfId="1096" totalsRowDxfId="1097"/>
    <tableColumn id="14" xr3:uid="{00000000-0010-0000-1000-00000E000000}" name="Y-DAY" totalsRowFunction="sum" dataDxfId="1094" totalsRowDxfId="1095"/>
    <tableColumn id="15" xr3:uid="{00000000-0010-0000-1000-00000F000000}" name="WEEKLY" totalsRowFunction="sum" dataDxfId="1092" totalsRowDxfId="1093"/>
    <tableColumn id="16" xr3:uid="{00000000-0010-0000-1000-000010000000}" name="LOWEST AVAIL" dataDxfId="1090" totalsRowDxfId="1091"/>
    <tableColumn id="17" xr3:uid="{00000000-0010-0000-1000-000011000000}" name="Y" totalsRowFunction="sum" dataDxfId="1088" totalsRowDxfId="1089"/>
    <tableColumn id="18" xr3:uid="{00000000-0010-0000-1000-000012000000}" name="B" totalsRowFunction="sum" dataDxfId="1086" totalsRowDxfId="1087"/>
    <tableColumn id="19" xr3:uid="{00000000-0010-0000-1000-000013000000}" name="M" totalsRowFunction="sum" dataDxfId="1084" totalsRowDxfId="1085"/>
    <tableColumn id="20" xr3:uid="{00000000-0010-0000-1000-000014000000}" name="H" totalsRowFunction="sum" dataDxfId="1082" totalsRowDxfId="1083"/>
    <tableColumn id="21" xr3:uid="{00000000-0010-0000-1000-000015000000}" name="Q" totalsRowFunction="sum" dataDxfId="1080" totalsRowDxfId="1081"/>
    <tableColumn id="22" xr3:uid="{00000000-0010-0000-1000-000016000000}" name="K" totalsRowFunction="sum" dataDxfId="1078" totalsRowDxfId="1079"/>
    <tableColumn id="23" xr3:uid="{00000000-0010-0000-1000-000017000000}" name="V" totalsRowFunction="sum" dataDxfId="1076" totalsRowDxfId="1077"/>
    <tableColumn id="24" xr3:uid="{00000000-0010-0000-1000-000018000000}" name="L" totalsRowFunction="sum" dataDxfId="1074" totalsRowDxfId="1075"/>
    <tableColumn id="25" xr3:uid="{00000000-0010-0000-1000-000019000000}" name="G" totalsRowFunction="sum" dataDxfId="1072" totalsRowDxfId="1073"/>
    <tableColumn id="26" xr3:uid="{00000000-0010-0000-1000-00001A000000}" name="S" totalsRowFunction="sum" dataDxfId="1070" totalsRowDxfId="1071"/>
    <tableColumn id="27" xr3:uid="{00000000-0010-0000-1000-00001B000000}" name="W" totalsRowFunction="sum" dataDxfId="1068" totalsRowDxfId="1069"/>
    <tableColumn id="28" xr3:uid="{00000000-0010-0000-1000-00001C000000}" name="T" totalsRowFunction="sum" dataDxfId="1066" totalsRowDxfId="1067"/>
    <tableColumn id="29" xr3:uid="{00000000-0010-0000-1000-00001D000000}" name="X" totalsRowFunction="sum" dataDxfId="1064" totalsRowDxfId="1065"/>
    <tableColumn id="30" xr3:uid="{00000000-0010-0000-1000-00001E000000}" name="U" totalsRowFunction="sum" dataDxfId="1062" totalsRowDxfId="1063"/>
    <tableColumn id="31" xr3:uid="{00000000-0010-0000-1000-00001F000000}" name="O" totalsRowFunction="sum" dataDxfId="1060" totalsRowDxfId="1061"/>
    <tableColumn id="32" xr3:uid="{00000000-0010-0000-1000-000020000000}" name="I" totalsRowFunction="sum" dataDxfId="1058" totalsRowDxfId="1059"/>
    <tableColumn id="33" xr3:uid="{00000000-0010-0000-1000-000021000000}" name="E" totalsRowFunction="sum" dataDxfId="1056" totalsRowDxfId="1057"/>
    <tableColumn id="34" xr3:uid="{00000000-0010-0000-1000-000022000000}" name="A" totalsRowFunction="sum" dataDxfId="1054" totalsRowDxfId="1055"/>
    <tableColumn id="35" xr3:uid="{00000000-0010-0000-1000-000023000000}" name="P" totalsRowFunction="sum" dataDxfId="1052" totalsRowDxfId="1053"/>
    <tableColumn id="36" xr3:uid="{00000000-0010-0000-1000-000024000000}" name="N" totalsRowFunction="count" dataDxfId="1050" totalsRowDxfId="105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ASW_JED" displayName="FocusMode_ASW_JED" ref="A1:H7" totalsRowShown="0">
  <autoFilter ref="A1:H7"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SSH_JED" displayName="FocusMode_SSH_JED" ref="A1:H28" totalsRowShown="0">
  <autoFilter ref="A1:H28"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CAI_RUH_LF_LEGACY" displayName="CAI_RUH_LF_LEGACY" ref="A1:AJ42" totalsRowCount="1" headerRowDxfId="1049" dataDxfId="1048" totalsRowDxfId="1047">
  <tableColumns count="36">
    <tableColumn id="1" xr3:uid="{00000000-0010-0000-1300-000001000000}" name="Day" totalsRowLabel="TOTAL" dataDxfId="1045" totalsRowDxfId="1046"/>
    <tableColumn id="2" xr3:uid="{00000000-0010-0000-1300-000002000000}" name="Flt Dt" dataDxfId="1043" totalsRowDxfId="1044"/>
    <tableColumn id="3" xr3:uid="{00000000-0010-0000-1300-000003000000}" name="Flt" totalsRowFunction="count" dataDxfId="1041" totalsRowDxfId="1042"/>
    <tableColumn id="4" xr3:uid="{00000000-0010-0000-1300-000004000000}" name="DEP" dataDxfId="1039" totalsRowDxfId="1040"/>
    <tableColumn id="5" xr3:uid="{00000000-0010-0000-1300-000005000000}" name="Brd-Off" totalsRowFunction="count" dataDxfId="1037" totalsRowDxfId="1038"/>
    <tableColumn id="6" xr3:uid="{00000000-0010-0000-1300-000006000000}" name="Eqp" dataDxfId="1035" totalsRowDxfId="1036"/>
    <tableColumn id="7" xr3:uid="{00000000-0010-0000-1300-000007000000}" name="LF%" totalsRowFunction="average" dataDxfId="1033" totalsRowDxfId="1034"/>
    <tableColumn id="8" xr3:uid="{00000000-0010-0000-1300-000008000000}" name="CAP" totalsRowFunction="sum" dataDxfId="1031" totalsRowDxfId="1032"/>
    <tableColumn id="9" xr3:uid="{00000000-0010-0000-1300-000009000000}" name="BKG(Y)" totalsRowFunction="sum" dataDxfId="1029" totalsRowDxfId="1030"/>
    <tableColumn id="10" xr3:uid="{00000000-0010-0000-1300-00000A000000}" name="GRP(Y)" totalsRowFunction="sum" dataDxfId="1027" totalsRowDxfId="1028"/>
    <tableColumn id="11" xr3:uid="{00000000-0010-0000-1300-00000B000000}" name="FLT ST" dataDxfId="1025" totalsRowDxfId="1026"/>
    <tableColumn id="12" xr3:uid="{00000000-0010-0000-1300-00000C000000}" name="LST-SOLD" dataDxfId="1023" totalsRowDxfId="1024"/>
    <tableColumn id="13" xr3:uid="{00000000-0010-0000-1300-00000D000000}" name="TO-DAY" totalsRowFunction="sum" dataDxfId="1021" totalsRowDxfId="1022"/>
    <tableColumn id="14" xr3:uid="{00000000-0010-0000-1300-00000E000000}" name="Y-DAY" totalsRowFunction="sum" dataDxfId="1019" totalsRowDxfId="1020"/>
    <tableColumn id="15" xr3:uid="{00000000-0010-0000-1300-00000F000000}" name="WEEKLY" totalsRowFunction="sum" dataDxfId="1017" totalsRowDxfId="1018"/>
    <tableColumn id="16" xr3:uid="{00000000-0010-0000-1300-000010000000}" name="LOWEST AVAIL" dataDxfId="1015" totalsRowDxfId="1016"/>
    <tableColumn id="17" xr3:uid="{00000000-0010-0000-1300-000011000000}" name="Y" totalsRowFunction="sum" dataDxfId="1013" totalsRowDxfId="1014"/>
    <tableColumn id="18" xr3:uid="{00000000-0010-0000-1300-000012000000}" name="B" totalsRowFunction="sum" dataDxfId="1011" totalsRowDxfId="1012"/>
    <tableColumn id="19" xr3:uid="{00000000-0010-0000-1300-000013000000}" name="M" totalsRowFunction="sum" dataDxfId="1009" totalsRowDxfId="1010"/>
    <tableColumn id="20" xr3:uid="{00000000-0010-0000-1300-000014000000}" name="H" totalsRowFunction="sum" dataDxfId="1007" totalsRowDxfId="1008"/>
    <tableColumn id="21" xr3:uid="{00000000-0010-0000-1300-000015000000}" name="Q" totalsRowFunction="sum" dataDxfId="1005" totalsRowDxfId="1006"/>
    <tableColumn id="22" xr3:uid="{00000000-0010-0000-1300-000016000000}" name="K" totalsRowFunction="sum" dataDxfId="1003" totalsRowDxfId="1004"/>
    <tableColumn id="23" xr3:uid="{00000000-0010-0000-1300-000017000000}" name="V" totalsRowFunction="sum" dataDxfId="1001" totalsRowDxfId="1002"/>
    <tableColumn id="24" xr3:uid="{00000000-0010-0000-1300-000018000000}" name="L" totalsRowFunction="sum" dataDxfId="999" totalsRowDxfId="1000"/>
    <tableColumn id="25" xr3:uid="{00000000-0010-0000-1300-000019000000}" name="G" totalsRowFunction="sum" dataDxfId="997" totalsRowDxfId="998"/>
    <tableColumn id="26" xr3:uid="{00000000-0010-0000-1300-00001A000000}" name="S" totalsRowFunction="sum" dataDxfId="995" totalsRowDxfId="996"/>
    <tableColumn id="27" xr3:uid="{00000000-0010-0000-1300-00001B000000}" name="W" totalsRowFunction="sum" dataDxfId="993" totalsRowDxfId="994"/>
    <tableColumn id="28" xr3:uid="{00000000-0010-0000-1300-00001C000000}" name="T" totalsRowFunction="sum" dataDxfId="991" totalsRowDxfId="992"/>
    <tableColumn id="29" xr3:uid="{00000000-0010-0000-1300-00001D000000}" name="X" totalsRowFunction="sum" dataDxfId="989" totalsRowDxfId="990"/>
    <tableColumn id="30" xr3:uid="{00000000-0010-0000-1300-00001E000000}" name="U" totalsRowFunction="sum" dataDxfId="987" totalsRowDxfId="988"/>
    <tableColumn id="31" xr3:uid="{00000000-0010-0000-1300-00001F000000}" name="O" totalsRowFunction="sum" dataDxfId="985" totalsRowDxfId="986"/>
    <tableColumn id="32" xr3:uid="{00000000-0010-0000-1300-000020000000}" name="I" totalsRowFunction="sum" dataDxfId="983" totalsRowDxfId="984"/>
    <tableColumn id="33" xr3:uid="{00000000-0010-0000-1300-000021000000}" name="E" totalsRowFunction="sum" dataDxfId="981" totalsRowDxfId="982"/>
    <tableColumn id="34" xr3:uid="{00000000-0010-0000-1300-000022000000}" name="A" totalsRowFunction="sum" dataDxfId="979" totalsRowDxfId="980"/>
    <tableColumn id="35" xr3:uid="{00000000-0010-0000-1300-000023000000}" name="P" totalsRowFunction="sum" dataDxfId="977" totalsRowDxfId="978"/>
    <tableColumn id="36" xr3:uid="{00000000-0010-0000-1300-000024000000}" name="N" totalsRowFunction="count" dataDxfId="975" totalsRowDxfId="97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CAI_RUH" displayName="FocusMode_CAI_RUH" ref="A1:H1577" totalsRowShown="0">
  <autoFilter ref="A1:H1577"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hreatsAlert_CAI_RUH" displayName="ThreatsAlert_CAI_RUH" ref="A1:H63" totalsRowShown="0">
  <autoFilter ref="A1:H63"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ATZ_RUH_LF_LEGACY" displayName="ATZ_RUH_LF_LEGACY" ref="A1:AJ14" totalsRowCount="1" headerRowDxfId="974" dataDxfId="973" totalsRowDxfId="972">
  <tableColumns count="36">
    <tableColumn id="1" xr3:uid="{00000000-0010-0000-1600-000001000000}" name="Day" totalsRowLabel="TOTAL" dataDxfId="970" totalsRowDxfId="971"/>
    <tableColumn id="2" xr3:uid="{00000000-0010-0000-1600-000002000000}" name="Flt Dt" dataDxfId="968" totalsRowDxfId="969"/>
    <tableColumn id="3" xr3:uid="{00000000-0010-0000-1600-000003000000}" name="Flt" totalsRowFunction="count" dataDxfId="966" totalsRowDxfId="967"/>
    <tableColumn id="4" xr3:uid="{00000000-0010-0000-1600-000004000000}" name="DEP" dataDxfId="964" totalsRowDxfId="965"/>
    <tableColumn id="5" xr3:uid="{00000000-0010-0000-1600-000005000000}" name="Brd-Off" totalsRowFunction="count" dataDxfId="962" totalsRowDxfId="963"/>
    <tableColumn id="6" xr3:uid="{00000000-0010-0000-1600-000006000000}" name="Eqp" dataDxfId="960" totalsRowDxfId="961"/>
    <tableColumn id="7" xr3:uid="{00000000-0010-0000-1600-000007000000}" name="LF%" totalsRowFunction="average" dataDxfId="958" totalsRowDxfId="959"/>
    <tableColumn id="8" xr3:uid="{00000000-0010-0000-1600-000008000000}" name="CAP" totalsRowFunction="sum" dataDxfId="956" totalsRowDxfId="957"/>
    <tableColumn id="9" xr3:uid="{00000000-0010-0000-1600-000009000000}" name="BKG(Y)" totalsRowFunction="sum" dataDxfId="954" totalsRowDxfId="955"/>
    <tableColumn id="10" xr3:uid="{00000000-0010-0000-1600-00000A000000}" name="GRP(Y)" totalsRowFunction="sum" dataDxfId="952" totalsRowDxfId="953"/>
    <tableColumn id="11" xr3:uid="{00000000-0010-0000-1600-00000B000000}" name="FLT ST" dataDxfId="950" totalsRowDxfId="951"/>
    <tableColumn id="12" xr3:uid="{00000000-0010-0000-1600-00000C000000}" name="LST-SOLD" dataDxfId="948" totalsRowDxfId="949"/>
    <tableColumn id="13" xr3:uid="{00000000-0010-0000-1600-00000D000000}" name="TO-DAY" totalsRowFunction="sum" dataDxfId="946" totalsRowDxfId="947"/>
    <tableColumn id="14" xr3:uid="{00000000-0010-0000-1600-00000E000000}" name="Y-DAY" totalsRowFunction="sum" dataDxfId="944" totalsRowDxfId="945"/>
    <tableColumn id="15" xr3:uid="{00000000-0010-0000-1600-00000F000000}" name="WEEKLY" totalsRowFunction="sum" dataDxfId="942" totalsRowDxfId="943"/>
    <tableColumn id="16" xr3:uid="{00000000-0010-0000-1600-000010000000}" name="LOWEST AVAIL" dataDxfId="940" totalsRowDxfId="941"/>
    <tableColumn id="17" xr3:uid="{00000000-0010-0000-1600-000011000000}" name="Y" totalsRowFunction="sum" dataDxfId="938" totalsRowDxfId="939"/>
    <tableColumn id="18" xr3:uid="{00000000-0010-0000-1600-000012000000}" name="B" totalsRowFunction="sum" dataDxfId="936" totalsRowDxfId="937"/>
    <tableColumn id="19" xr3:uid="{00000000-0010-0000-1600-000013000000}" name="M" totalsRowFunction="sum" dataDxfId="934" totalsRowDxfId="935"/>
    <tableColumn id="20" xr3:uid="{00000000-0010-0000-1600-000014000000}" name="H" totalsRowFunction="sum" dataDxfId="932" totalsRowDxfId="933"/>
    <tableColumn id="21" xr3:uid="{00000000-0010-0000-1600-000015000000}" name="Q" totalsRowFunction="sum" dataDxfId="930" totalsRowDxfId="931"/>
    <tableColumn id="22" xr3:uid="{00000000-0010-0000-1600-000016000000}" name="K" totalsRowFunction="sum" dataDxfId="928" totalsRowDxfId="929"/>
    <tableColumn id="23" xr3:uid="{00000000-0010-0000-1600-000017000000}" name="V" totalsRowFunction="sum" dataDxfId="926" totalsRowDxfId="927"/>
    <tableColumn id="24" xr3:uid="{00000000-0010-0000-1600-000018000000}" name="L" totalsRowFunction="sum" dataDxfId="924" totalsRowDxfId="925"/>
    <tableColumn id="25" xr3:uid="{00000000-0010-0000-1600-000019000000}" name="G" totalsRowFunction="sum" dataDxfId="922" totalsRowDxfId="923"/>
    <tableColumn id="26" xr3:uid="{00000000-0010-0000-1600-00001A000000}" name="S" totalsRowFunction="sum" dataDxfId="920" totalsRowDxfId="921"/>
    <tableColumn id="27" xr3:uid="{00000000-0010-0000-1600-00001B000000}" name="W" totalsRowFunction="sum" dataDxfId="918" totalsRowDxfId="919"/>
    <tableColumn id="28" xr3:uid="{00000000-0010-0000-1600-00001C000000}" name="T" totalsRowFunction="sum" dataDxfId="916" totalsRowDxfId="917"/>
    <tableColumn id="29" xr3:uid="{00000000-0010-0000-1600-00001D000000}" name="X" totalsRowFunction="sum" dataDxfId="914" totalsRowDxfId="915"/>
    <tableColumn id="30" xr3:uid="{00000000-0010-0000-1600-00001E000000}" name="U" totalsRowFunction="sum" dataDxfId="912" totalsRowDxfId="913"/>
    <tableColumn id="31" xr3:uid="{00000000-0010-0000-1600-00001F000000}" name="O" totalsRowFunction="sum" dataDxfId="910" totalsRowDxfId="911"/>
    <tableColumn id="32" xr3:uid="{00000000-0010-0000-1600-000020000000}" name="I" totalsRowFunction="sum" dataDxfId="908" totalsRowDxfId="909"/>
    <tableColumn id="33" xr3:uid="{00000000-0010-0000-1600-000021000000}" name="E" totalsRowFunction="sum" dataDxfId="906" totalsRowDxfId="907"/>
    <tableColumn id="34" xr3:uid="{00000000-0010-0000-1600-000022000000}" name="A" totalsRowFunction="sum" dataDxfId="904" totalsRowDxfId="905"/>
    <tableColumn id="35" xr3:uid="{00000000-0010-0000-1600-000023000000}" name="P" totalsRowFunction="sum" dataDxfId="902" totalsRowDxfId="903"/>
    <tableColumn id="36" xr3:uid="{00000000-0010-0000-1600-000024000000}" name="N" totalsRowFunction="count" dataDxfId="900" totalsRowDxfId="901"/>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FocusMode_ATZ_RUH" displayName="FocusMode_ATZ_RUH" ref="A1:H408" totalsRowShown="0">
  <autoFilter ref="A1:H408" xr:uid="{00000000-0009-0000-0100-000018000000}"/>
  <tableColumns count="8">
    <tableColumn id="1" xr3:uid="{00000000-0010-0000-1700-000001000000}" name="DATE"/>
    <tableColumn id="2" xr3:uid="{00000000-0010-0000-1700-000002000000}" name="AIRLINE"/>
    <tableColumn id="3" xr3:uid="{00000000-0010-0000-1700-000003000000}" name="FLIGHT NUM"/>
    <tableColumn id="4" xr3:uid="{00000000-0010-0000-1700-000004000000}" name="ROUTE"/>
    <tableColumn id="5" xr3:uid="{00000000-0010-0000-1700-000005000000}" name="DEPARTURE"/>
    <tableColumn id="6" xr3:uid="{00000000-0010-0000-1700-000006000000}" name="BAGGAGE"/>
    <tableColumn id="7" xr3:uid="{00000000-0010-0000-1700-000007000000}" name="AVAILABILITY"/>
    <tableColumn id="8" xr3:uid="{00000000-0010-0000-1700-000008000000}" name="PUBLISHED FAR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CAI_DMM_LF_LEGACY" displayName="CAI_DMM_LF_LEGACY" ref="A1:AJ21" totalsRowCount="1" headerRowDxfId="899" dataDxfId="898" totalsRowDxfId="897">
  <tableColumns count="36">
    <tableColumn id="1" xr3:uid="{00000000-0010-0000-1800-000001000000}" name="Day" totalsRowLabel="TOTAL" dataDxfId="895" totalsRowDxfId="896"/>
    <tableColumn id="2" xr3:uid="{00000000-0010-0000-1800-000002000000}" name="Flt Dt" dataDxfId="893" totalsRowDxfId="894"/>
    <tableColumn id="3" xr3:uid="{00000000-0010-0000-1800-000003000000}" name="Flt" totalsRowFunction="count" dataDxfId="891" totalsRowDxfId="892"/>
    <tableColumn id="4" xr3:uid="{00000000-0010-0000-1800-000004000000}" name="DEP" dataDxfId="889" totalsRowDxfId="890"/>
    <tableColumn id="5" xr3:uid="{00000000-0010-0000-1800-000005000000}" name="Brd-Off" totalsRowFunction="count" dataDxfId="887" totalsRowDxfId="888"/>
    <tableColumn id="6" xr3:uid="{00000000-0010-0000-1800-000006000000}" name="Eqp" dataDxfId="885" totalsRowDxfId="886"/>
    <tableColumn id="7" xr3:uid="{00000000-0010-0000-1800-000007000000}" name="LF%" totalsRowFunction="average" dataDxfId="883" totalsRowDxfId="884"/>
    <tableColumn id="8" xr3:uid="{00000000-0010-0000-1800-000008000000}" name="CAP" totalsRowFunction="sum" dataDxfId="881" totalsRowDxfId="882"/>
    <tableColumn id="9" xr3:uid="{00000000-0010-0000-1800-000009000000}" name="BKG(Y)" totalsRowFunction="sum" dataDxfId="879" totalsRowDxfId="880"/>
    <tableColumn id="10" xr3:uid="{00000000-0010-0000-1800-00000A000000}" name="GRP(Y)" totalsRowFunction="sum" dataDxfId="877" totalsRowDxfId="878"/>
    <tableColumn id="11" xr3:uid="{00000000-0010-0000-1800-00000B000000}" name="FLT ST" dataDxfId="875" totalsRowDxfId="876"/>
    <tableColumn id="12" xr3:uid="{00000000-0010-0000-1800-00000C000000}" name="LST-SOLD" dataDxfId="873" totalsRowDxfId="874"/>
    <tableColumn id="13" xr3:uid="{00000000-0010-0000-1800-00000D000000}" name="TO-DAY" totalsRowFunction="sum" dataDxfId="871" totalsRowDxfId="872"/>
    <tableColumn id="14" xr3:uid="{00000000-0010-0000-1800-00000E000000}" name="Y-DAY" totalsRowFunction="sum" dataDxfId="869" totalsRowDxfId="870"/>
    <tableColumn id="15" xr3:uid="{00000000-0010-0000-1800-00000F000000}" name="WEEKLY" totalsRowFunction="sum" dataDxfId="867" totalsRowDxfId="868"/>
    <tableColumn id="16" xr3:uid="{00000000-0010-0000-1800-000010000000}" name="LOWEST AVAIL" dataDxfId="865" totalsRowDxfId="866"/>
    <tableColumn id="17" xr3:uid="{00000000-0010-0000-1800-000011000000}" name="Y" totalsRowFunction="sum" dataDxfId="863" totalsRowDxfId="864"/>
    <tableColumn id="18" xr3:uid="{00000000-0010-0000-1800-000012000000}" name="B" totalsRowFunction="sum" dataDxfId="861" totalsRowDxfId="862"/>
    <tableColumn id="19" xr3:uid="{00000000-0010-0000-1800-000013000000}" name="M" totalsRowFunction="sum" dataDxfId="859" totalsRowDxfId="860"/>
    <tableColumn id="20" xr3:uid="{00000000-0010-0000-1800-000014000000}" name="H" totalsRowFunction="sum" dataDxfId="857" totalsRowDxfId="858"/>
    <tableColumn id="21" xr3:uid="{00000000-0010-0000-1800-000015000000}" name="Q" totalsRowFunction="sum" dataDxfId="855" totalsRowDxfId="856"/>
    <tableColumn id="22" xr3:uid="{00000000-0010-0000-1800-000016000000}" name="K" totalsRowFunction="sum" dataDxfId="853" totalsRowDxfId="854"/>
    <tableColumn id="23" xr3:uid="{00000000-0010-0000-1800-000017000000}" name="V" totalsRowFunction="sum" dataDxfId="851" totalsRowDxfId="852"/>
    <tableColumn id="24" xr3:uid="{00000000-0010-0000-1800-000018000000}" name="L" totalsRowFunction="sum" dataDxfId="849" totalsRowDxfId="850"/>
    <tableColumn id="25" xr3:uid="{00000000-0010-0000-1800-000019000000}" name="G" totalsRowFunction="sum" dataDxfId="847" totalsRowDxfId="848"/>
    <tableColumn id="26" xr3:uid="{00000000-0010-0000-1800-00001A000000}" name="S" totalsRowFunction="sum" dataDxfId="845" totalsRowDxfId="846"/>
    <tableColumn id="27" xr3:uid="{00000000-0010-0000-1800-00001B000000}" name="W" totalsRowFunction="sum" dataDxfId="843" totalsRowDxfId="844"/>
    <tableColumn id="28" xr3:uid="{00000000-0010-0000-1800-00001C000000}" name="T" totalsRowFunction="sum" dataDxfId="841" totalsRowDxfId="842"/>
    <tableColumn id="29" xr3:uid="{00000000-0010-0000-1800-00001D000000}" name="X" totalsRowFunction="sum" dataDxfId="839" totalsRowDxfId="840"/>
    <tableColumn id="30" xr3:uid="{00000000-0010-0000-1800-00001E000000}" name="U" totalsRowFunction="sum" dataDxfId="837" totalsRowDxfId="838"/>
    <tableColumn id="31" xr3:uid="{00000000-0010-0000-1800-00001F000000}" name="O" totalsRowFunction="sum" dataDxfId="835" totalsRowDxfId="836"/>
    <tableColumn id="32" xr3:uid="{00000000-0010-0000-1800-000020000000}" name="I" totalsRowFunction="sum" dataDxfId="833" totalsRowDxfId="834"/>
    <tableColumn id="33" xr3:uid="{00000000-0010-0000-1800-000021000000}" name="E" totalsRowFunction="sum" dataDxfId="831" totalsRowDxfId="832"/>
    <tableColumn id="34" xr3:uid="{00000000-0010-0000-1800-000022000000}" name="A" totalsRowFunction="sum" dataDxfId="829" totalsRowDxfId="830"/>
    <tableColumn id="35" xr3:uid="{00000000-0010-0000-1800-000023000000}" name="P" totalsRowFunction="sum" dataDxfId="827" totalsRowDxfId="828"/>
    <tableColumn id="36" xr3:uid="{00000000-0010-0000-1800-000024000000}" name="N" totalsRowFunction="count" dataDxfId="825" totalsRowDxfId="826"/>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FocusMode_CAI_DMM" displayName="FocusMode_CAI_DMM" ref="A1:H461" totalsRowShown="0">
  <autoFilter ref="A1:H461" xr:uid="{00000000-0009-0000-0100-00001A000000}"/>
  <tableColumns count="8">
    <tableColumn id="1" xr3:uid="{00000000-0010-0000-1900-000001000000}" name="DATE"/>
    <tableColumn id="2" xr3:uid="{00000000-0010-0000-1900-000002000000}" name="AIRLINE"/>
    <tableColumn id="3" xr3:uid="{00000000-0010-0000-1900-000003000000}" name="FLIGHT NUM"/>
    <tableColumn id="4" xr3:uid="{00000000-0010-0000-1900-000004000000}" name="ROUTE"/>
    <tableColumn id="5" xr3:uid="{00000000-0010-0000-1900-000005000000}" name="DEPARTURE"/>
    <tableColumn id="6" xr3:uid="{00000000-0010-0000-1900-000006000000}" name="BAGGAGE"/>
    <tableColumn id="7" xr3:uid="{00000000-0010-0000-1900-000007000000}" name="AVAILABILITY"/>
    <tableColumn id="8" xr3:uid="{00000000-0010-0000-1900-000008000000}" name="PUBLISHED FAR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hreatsAlert_CAI_DMM" displayName="ThreatsAlert_CAI_DMM" ref="A1:H185" totalsRowShown="0">
  <autoFilter ref="A1:H185" xr:uid="{00000000-0009-0000-0100-00001B000000}"/>
  <tableColumns count="8">
    <tableColumn id="1" xr3:uid="{00000000-0010-0000-1A00-000001000000}" name="DATE"/>
    <tableColumn id="2" xr3:uid="{00000000-0010-0000-1A00-000002000000}" name="AIRLINE"/>
    <tableColumn id="3" xr3:uid="{00000000-0010-0000-1A00-000003000000}" name="FLIGHT NUM"/>
    <tableColumn id="4" xr3:uid="{00000000-0010-0000-1A00-000004000000}" name="ROUTE"/>
    <tableColumn id="5" xr3:uid="{00000000-0010-0000-1A00-000005000000}" name="DEPARTURE"/>
    <tableColumn id="6" xr3:uid="{00000000-0010-0000-1A00-000006000000}" name="BAGGAGE"/>
    <tableColumn id="7" xr3:uid="{00000000-0010-0000-1A00-000007000000}" name="AVAILABILITY"/>
    <tableColumn id="8" xr3:uid="{00000000-0010-0000-1A00-000008000000}" name="PUBLISHED FAR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ATZ_DMM_LF_LEGACY" displayName="ATZ_DMM_LF_LEGACY" ref="A1:AJ11" totalsRowCount="1" headerRowDxfId="824" dataDxfId="823" totalsRowDxfId="822">
  <tableColumns count="36">
    <tableColumn id="1" xr3:uid="{00000000-0010-0000-1B00-000001000000}" name="Day" totalsRowLabel="TOTAL" dataDxfId="820" totalsRowDxfId="821"/>
    <tableColumn id="2" xr3:uid="{00000000-0010-0000-1B00-000002000000}" name="Flt Dt" dataDxfId="818" totalsRowDxfId="819"/>
    <tableColumn id="3" xr3:uid="{00000000-0010-0000-1B00-000003000000}" name="Flt" totalsRowFunction="count" dataDxfId="816" totalsRowDxfId="817"/>
    <tableColumn id="4" xr3:uid="{00000000-0010-0000-1B00-000004000000}" name="DEP" dataDxfId="814" totalsRowDxfId="815"/>
    <tableColumn id="5" xr3:uid="{00000000-0010-0000-1B00-000005000000}" name="Brd-Off" totalsRowFunction="count" dataDxfId="812" totalsRowDxfId="813"/>
    <tableColumn id="6" xr3:uid="{00000000-0010-0000-1B00-000006000000}" name="Eqp" dataDxfId="810" totalsRowDxfId="811"/>
    <tableColumn id="7" xr3:uid="{00000000-0010-0000-1B00-000007000000}" name="LF%" totalsRowFunction="average" dataDxfId="808" totalsRowDxfId="809"/>
    <tableColumn id="8" xr3:uid="{00000000-0010-0000-1B00-000008000000}" name="CAP" totalsRowFunction="sum" dataDxfId="806" totalsRowDxfId="807"/>
    <tableColumn id="9" xr3:uid="{00000000-0010-0000-1B00-000009000000}" name="BKG(Y)" totalsRowFunction="sum" dataDxfId="804" totalsRowDxfId="805"/>
    <tableColumn id="10" xr3:uid="{00000000-0010-0000-1B00-00000A000000}" name="GRP(Y)" totalsRowFunction="sum" dataDxfId="802" totalsRowDxfId="803"/>
    <tableColumn id="11" xr3:uid="{00000000-0010-0000-1B00-00000B000000}" name="FLT ST" dataDxfId="800" totalsRowDxfId="801"/>
    <tableColumn id="12" xr3:uid="{00000000-0010-0000-1B00-00000C000000}" name="LST-SOLD" dataDxfId="798" totalsRowDxfId="799"/>
    <tableColumn id="13" xr3:uid="{00000000-0010-0000-1B00-00000D000000}" name="TO-DAY" totalsRowFunction="sum" dataDxfId="796" totalsRowDxfId="797"/>
    <tableColumn id="14" xr3:uid="{00000000-0010-0000-1B00-00000E000000}" name="Y-DAY" totalsRowFunction="sum" dataDxfId="794" totalsRowDxfId="795"/>
    <tableColumn id="15" xr3:uid="{00000000-0010-0000-1B00-00000F000000}" name="WEEKLY" totalsRowFunction="sum" dataDxfId="792" totalsRowDxfId="793"/>
    <tableColumn id="16" xr3:uid="{00000000-0010-0000-1B00-000010000000}" name="LOWEST AVAIL" dataDxfId="790" totalsRowDxfId="791"/>
    <tableColumn id="17" xr3:uid="{00000000-0010-0000-1B00-000011000000}" name="Y" totalsRowFunction="sum" dataDxfId="788" totalsRowDxfId="789"/>
    <tableColumn id="18" xr3:uid="{00000000-0010-0000-1B00-000012000000}" name="B" totalsRowFunction="sum" dataDxfId="786" totalsRowDxfId="787"/>
    <tableColumn id="19" xr3:uid="{00000000-0010-0000-1B00-000013000000}" name="M" totalsRowFunction="sum" dataDxfId="784" totalsRowDxfId="785"/>
    <tableColumn id="20" xr3:uid="{00000000-0010-0000-1B00-000014000000}" name="H" totalsRowFunction="sum" dataDxfId="782" totalsRowDxfId="783"/>
    <tableColumn id="21" xr3:uid="{00000000-0010-0000-1B00-000015000000}" name="Q" totalsRowFunction="sum" dataDxfId="780" totalsRowDxfId="781"/>
    <tableColumn id="22" xr3:uid="{00000000-0010-0000-1B00-000016000000}" name="K" totalsRowFunction="sum" dataDxfId="778" totalsRowDxfId="779"/>
    <tableColumn id="23" xr3:uid="{00000000-0010-0000-1B00-000017000000}" name="V" totalsRowFunction="sum" dataDxfId="776" totalsRowDxfId="777"/>
    <tableColumn id="24" xr3:uid="{00000000-0010-0000-1B00-000018000000}" name="L" totalsRowFunction="sum" dataDxfId="774" totalsRowDxfId="775"/>
    <tableColumn id="25" xr3:uid="{00000000-0010-0000-1B00-000019000000}" name="G" totalsRowFunction="sum" dataDxfId="772" totalsRowDxfId="773"/>
    <tableColumn id="26" xr3:uid="{00000000-0010-0000-1B00-00001A000000}" name="S" totalsRowFunction="sum" dataDxfId="770" totalsRowDxfId="771"/>
    <tableColumn id="27" xr3:uid="{00000000-0010-0000-1B00-00001B000000}" name="W" totalsRowFunction="sum" dataDxfId="768" totalsRowDxfId="769"/>
    <tableColumn id="28" xr3:uid="{00000000-0010-0000-1B00-00001C000000}" name="T" totalsRowFunction="sum" dataDxfId="766" totalsRowDxfId="767"/>
    <tableColumn id="29" xr3:uid="{00000000-0010-0000-1B00-00001D000000}" name="X" totalsRowFunction="sum" dataDxfId="764" totalsRowDxfId="765"/>
    <tableColumn id="30" xr3:uid="{00000000-0010-0000-1B00-00001E000000}" name="U" totalsRowFunction="sum" dataDxfId="762" totalsRowDxfId="763"/>
    <tableColumn id="31" xr3:uid="{00000000-0010-0000-1B00-00001F000000}" name="O" totalsRowFunction="sum" dataDxfId="760" totalsRowDxfId="761"/>
    <tableColumn id="32" xr3:uid="{00000000-0010-0000-1B00-000020000000}" name="I" totalsRowFunction="sum" dataDxfId="758" totalsRowDxfId="759"/>
    <tableColumn id="33" xr3:uid="{00000000-0010-0000-1B00-000021000000}" name="E" totalsRowFunction="sum" dataDxfId="756" totalsRowDxfId="757"/>
    <tableColumn id="34" xr3:uid="{00000000-0010-0000-1B00-000022000000}" name="A" totalsRowFunction="sum" dataDxfId="754" totalsRowDxfId="755"/>
    <tableColumn id="35" xr3:uid="{00000000-0010-0000-1B00-000023000000}" name="P" totalsRowFunction="sum" dataDxfId="752" totalsRowDxfId="753"/>
    <tableColumn id="36" xr3:uid="{00000000-0010-0000-1B00-000024000000}" name="N" totalsRowFunction="count" dataDxfId="750" totalsRowDxfId="751"/>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FocusMode_ATZ_DMM" displayName="FocusMode_ATZ_DMM" ref="A1:H351" totalsRowShown="0">
  <autoFilter ref="A1:H351" xr:uid="{00000000-0009-0000-0100-00001D000000}"/>
  <tableColumns count="8">
    <tableColumn id="1" xr3:uid="{00000000-0010-0000-1C00-000001000000}" name="DATE"/>
    <tableColumn id="2" xr3:uid="{00000000-0010-0000-1C00-000002000000}" name="AIRLINE"/>
    <tableColumn id="3" xr3:uid="{00000000-0010-0000-1C00-000003000000}" name="FLIGHT NUM"/>
    <tableColumn id="4" xr3:uid="{00000000-0010-0000-1C00-000004000000}" name="ROUTE"/>
    <tableColumn id="5" xr3:uid="{00000000-0010-0000-1C00-000005000000}" name="DEPARTURE"/>
    <tableColumn id="6" xr3:uid="{00000000-0010-0000-1C00-000006000000}" name="BAGGAGE"/>
    <tableColumn id="7" xr3:uid="{00000000-0010-0000-1C00-000007000000}" name="AVAILABILITY"/>
    <tableColumn id="8" xr3:uid="{00000000-0010-0000-1C00-000008000000}" name="PUBLISHED FAR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CAI_TUU_LF_LEGACY" displayName="CAI_TUU_LF_LEGACY" ref="A1:AJ16" totalsRowCount="1" headerRowDxfId="749" dataDxfId="748" totalsRowDxfId="747">
  <tableColumns count="36">
    <tableColumn id="1" xr3:uid="{00000000-0010-0000-1D00-000001000000}" name="Day" totalsRowLabel="TOTAL" dataDxfId="745" totalsRowDxfId="746"/>
    <tableColumn id="2" xr3:uid="{00000000-0010-0000-1D00-000002000000}" name="Flt Dt" dataDxfId="743" totalsRowDxfId="744"/>
    <tableColumn id="3" xr3:uid="{00000000-0010-0000-1D00-000003000000}" name="Flt" totalsRowFunction="count" dataDxfId="741" totalsRowDxfId="742"/>
    <tableColumn id="4" xr3:uid="{00000000-0010-0000-1D00-000004000000}" name="DEP" dataDxfId="739" totalsRowDxfId="740"/>
    <tableColumn id="5" xr3:uid="{00000000-0010-0000-1D00-000005000000}" name="Brd-Off" totalsRowFunction="count" dataDxfId="737" totalsRowDxfId="738"/>
    <tableColumn id="6" xr3:uid="{00000000-0010-0000-1D00-000006000000}" name="Eqp" dataDxfId="735" totalsRowDxfId="736"/>
    <tableColumn id="7" xr3:uid="{00000000-0010-0000-1D00-000007000000}" name="LF%" totalsRowFunction="average" dataDxfId="733" totalsRowDxfId="734"/>
    <tableColumn id="8" xr3:uid="{00000000-0010-0000-1D00-000008000000}" name="CAP" totalsRowFunction="sum" dataDxfId="731" totalsRowDxfId="732"/>
    <tableColumn id="9" xr3:uid="{00000000-0010-0000-1D00-000009000000}" name="BKG(Y)" totalsRowFunction="sum" dataDxfId="729" totalsRowDxfId="730"/>
    <tableColumn id="10" xr3:uid="{00000000-0010-0000-1D00-00000A000000}" name="GRP(Y)" totalsRowFunction="sum" dataDxfId="727" totalsRowDxfId="728"/>
    <tableColumn id="11" xr3:uid="{00000000-0010-0000-1D00-00000B000000}" name="FLT ST" dataDxfId="725" totalsRowDxfId="726"/>
    <tableColumn id="12" xr3:uid="{00000000-0010-0000-1D00-00000C000000}" name="LST-SOLD" dataDxfId="723" totalsRowDxfId="724"/>
    <tableColumn id="13" xr3:uid="{00000000-0010-0000-1D00-00000D000000}" name="TO-DAY" totalsRowFunction="sum" dataDxfId="721" totalsRowDxfId="722"/>
    <tableColumn id="14" xr3:uid="{00000000-0010-0000-1D00-00000E000000}" name="Y-DAY" totalsRowFunction="sum" dataDxfId="719" totalsRowDxfId="720"/>
    <tableColumn id="15" xr3:uid="{00000000-0010-0000-1D00-00000F000000}" name="WEEKLY" totalsRowFunction="sum" dataDxfId="717" totalsRowDxfId="718"/>
    <tableColumn id="16" xr3:uid="{00000000-0010-0000-1D00-000010000000}" name="LOWEST AVAIL" dataDxfId="715" totalsRowDxfId="716"/>
    <tableColumn id="17" xr3:uid="{00000000-0010-0000-1D00-000011000000}" name="Y" totalsRowFunction="sum" dataDxfId="713" totalsRowDxfId="714"/>
    <tableColumn id="18" xr3:uid="{00000000-0010-0000-1D00-000012000000}" name="B" totalsRowFunction="sum" dataDxfId="711" totalsRowDxfId="712"/>
    <tableColumn id="19" xr3:uid="{00000000-0010-0000-1D00-000013000000}" name="M" totalsRowFunction="sum" dataDxfId="709" totalsRowDxfId="710"/>
    <tableColumn id="20" xr3:uid="{00000000-0010-0000-1D00-000014000000}" name="H" totalsRowFunction="sum" dataDxfId="707" totalsRowDxfId="708"/>
    <tableColumn id="21" xr3:uid="{00000000-0010-0000-1D00-000015000000}" name="Q" totalsRowFunction="sum" dataDxfId="705" totalsRowDxfId="706"/>
    <tableColumn id="22" xr3:uid="{00000000-0010-0000-1D00-000016000000}" name="K" totalsRowFunction="sum" dataDxfId="703" totalsRowDxfId="704"/>
    <tableColumn id="23" xr3:uid="{00000000-0010-0000-1D00-000017000000}" name="V" totalsRowFunction="sum" dataDxfId="701" totalsRowDxfId="702"/>
    <tableColumn id="24" xr3:uid="{00000000-0010-0000-1D00-000018000000}" name="L" totalsRowFunction="sum" dataDxfId="699" totalsRowDxfId="700"/>
    <tableColumn id="25" xr3:uid="{00000000-0010-0000-1D00-000019000000}" name="G" totalsRowFunction="sum" dataDxfId="697" totalsRowDxfId="698"/>
    <tableColumn id="26" xr3:uid="{00000000-0010-0000-1D00-00001A000000}" name="S" totalsRowFunction="sum" dataDxfId="695" totalsRowDxfId="696"/>
    <tableColumn id="27" xr3:uid="{00000000-0010-0000-1D00-00001B000000}" name="W" totalsRowFunction="sum" dataDxfId="693" totalsRowDxfId="694"/>
    <tableColumn id="28" xr3:uid="{00000000-0010-0000-1D00-00001C000000}" name="T" totalsRowFunction="sum" dataDxfId="691" totalsRowDxfId="692"/>
    <tableColumn id="29" xr3:uid="{00000000-0010-0000-1D00-00001D000000}" name="X" totalsRowFunction="sum" dataDxfId="689" totalsRowDxfId="690"/>
    <tableColumn id="30" xr3:uid="{00000000-0010-0000-1D00-00001E000000}" name="U" totalsRowFunction="sum" dataDxfId="687" totalsRowDxfId="688"/>
    <tableColumn id="31" xr3:uid="{00000000-0010-0000-1D00-00001F000000}" name="O" totalsRowFunction="sum" dataDxfId="685" totalsRowDxfId="686"/>
    <tableColumn id="32" xr3:uid="{00000000-0010-0000-1D00-000020000000}" name="I" totalsRowFunction="sum" dataDxfId="683" totalsRowDxfId="684"/>
    <tableColumn id="33" xr3:uid="{00000000-0010-0000-1D00-000021000000}" name="E" totalsRowFunction="sum" dataDxfId="681" totalsRowDxfId="682"/>
    <tableColumn id="34" xr3:uid="{00000000-0010-0000-1D00-000022000000}" name="A" totalsRowFunction="sum" dataDxfId="679" totalsRowDxfId="680"/>
    <tableColumn id="35" xr3:uid="{00000000-0010-0000-1D00-000023000000}" name="P" totalsRowFunction="sum" dataDxfId="677" totalsRowDxfId="678"/>
    <tableColumn id="36" xr3:uid="{00000000-0010-0000-1D00-000024000000}" name="N" totalsRowFunction="count" dataDxfId="675" totalsRowDxfId="676"/>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FocusMode_CAI_TUU" displayName="FocusMode_CAI_TUU" ref="A1:H126" totalsRowShown="0">
  <autoFilter ref="A1:H126" xr:uid="{00000000-0009-0000-0100-00001F000000}"/>
  <tableColumns count="8">
    <tableColumn id="1" xr3:uid="{00000000-0010-0000-1E00-000001000000}" name="DATE"/>
    <tableColumn id="2" xr3:uid="{00000000-0010-0000-1E00-000002000000}" name="AIRLINE"/>
    <tableColumn id="3" xr3:uid="{00000000-0010-0000-1E00-000003000000}" name="FLIGHT NUM"/>
    <tableColumn id="4" xr3:uid="{00000000-0010-0000-1E00-000004000000}" name="ROUTE"/>
    <tableColumn id="5" xr3:uid="{00000000-0010-0000-1E00-000005000000}" name="DEPARTURE"/>
    <tableColumn id="6" xr3:uid="{00000000-0010-0000-1E00-000006000000}" name="BAGGAGE"/>
    <tableColumn id="7" xr3:uid="{00000000-0010-0000-1E00-000007000000}" name="AVAILABILITY"/>
    <tableColumn id="8" xr3:uid="{00000000-0010-0000-1E00-000008000000}" name="PUBLISHED FARE"/>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hreatsAlert_CAI_TUU" displayName="ThreatsAlert_CAI_TUU" ref="A1:H92" totalsRowShown="0">
  <autoFilter ref="A1:H92" xr:uid="{00000000-0009-0000-0100-000020000000}"/>
  <tableColumns count="8">
    <tableColumn id="1" xr3:uid="{00000000-0010-0000-1F00-000001000000}" name="DATE"/>
    <tableColumn id="2" xr3:uid="{00000000-0010-0000-1F00-000002000000}" name="AIRLINE"/>
    <tableColumn id="3" xr3:uid="{00000000-0010-0000-1F00-000003000000}" name="FLIGHT NUM"/>
    <tableColumn id="4" xr3:uid="{00000000-0010-0000-1F00-000004000000}" name="ROUTE"/>
    <tableColumn id="5" xr3:uid="{00000000-0010-0000-1F00-000005000000}" name="DEPARTURE"/>
    <tableColumn id="6" xr3:uid="{00000000-0010-0000-1F00-000006000000}" name="BAGGAGE"/>
    <tableColumn id="7" xr3:uid="{00000000-0010-0000-1F00-000007000000}" name="AVAILABILITY"/>
    <tableColumn id="8" xr3:uid="{00000000-0010-0000-1F00-000008000000}" name="PUBLISHED FAR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ATZ_TUU_LF_LEGACY" displayName="ATZ_TUU_LF_LEGACY" ref="A1:AJ7" totalsRowCount="1" headerRowDxfId="674" dataDxfId="673" totalsRowDxfId="672">
  <tableColumns count="36">
    <tableColumn id="1" xr3:uid="{00000000-0010-0000-2000-000001000000}" name="Day" totalsRowLabel="TOTAL" dataDxfId="670" totalsRowDxfId="671"/>
    <tableColumn id="2" xr3:uid="{00000000-0010-0000-2000-000002000000}" name="Flt Dt" dataDxfId="668" totalsRowDxfId="669"/>
    <tableColumn id="3" xr3:uid="{00000000-0010-0000-2000-000003000000}" name="Flt" totalsRowFunction="count" dataDxfId="666" totalsRowDxfId="667"/>
    <tableColumn id="4" xr3:uid="{00000000-0010-0000-2000-000004000000}" name="DEP" dataDxfId="664" totalsRowDxfId="665"/>
    <tableColumn id="5" xr3:uid="{00000000-0010-0000-2000-000005000000}" name="Brd-Off" totalsRowFunction="count" dataDxfId="662" totalsRowDxfId="663"/>
    <tableColumn id="6" xr3:uid="{00000000-0010-0000-2000-000006000000}" name="Eqp" dataDxfId="660" totalsRowDxfId="661"/>
    <tableColumn id="7" xr3:uid="{00000000-0010-0000-2000-000007000000}" name="LF%" totalsRowFunction="average" dataDxfId="658" totalsRowDxfId="659"/>
    <tableColumn id="8" xr3:uid="{00000000-0010-0000-2000-000008000000}" name="CAP" totalsRowFunction="sum" dataDxfId="656" totalsRowDxfId="657"/>
    <tableColumn id="9" xr3:uid="{00000000-0010-0000-2000-000009000000}" name="BKG(Y)" totalsRowFunction="sum" dataDxfId="654" totalsRowDxfId="655"/>
    <tableColumn id="10" xr3:uid="{00000000-0010-0000-2000-00000A000000}" name="GRP(Y)" totalsRowFunction="sum" dataDxfId="652" totalsRowDxfId="653"/>
    <tableColumn id="11" xr3:uid="{00000000-0010-0000-2000-00000B000000}" name="FLT ST" dataDxfId="650" totalsRowDxfId="651"/>
    <tableColumn id="12" xr3:uid="{00000000-0010-0000-2000-00000C000000}" name="LST-SOLD" dataDxfId="648" totalsRowDxfId="649"/>
    <tableColumn id="13" xr3:uid="{00000000-0010-0000-2000-00000D000000}" name="TO-DAY" totalsRowFunction="sum" dataDxfId="646" totalsRowDxfId="647"/>
    <tableColumn id="14" xr3:uid="{00000000-0010-0000-2000-00000E000000}" name="Y-DAY" totalsRowFunction="sum" dataDxfId="644" totalsRowDxfId="645"/>
    <tableColumn id="15" xr3:uid="{00000000-0010-0000-2000-00000F000000}" name="WEEKLY" totalsRowFunction="sum" dataDxfId="642" totalsRowDxfId="643"/>
    <tableColumn id="16" xr3:uid="{00000000-0010-0000-2000-000010000000}" name="LOWEST AVAIL" dataDxfId="640" totalsRowDxfId="641"/>
    <tableColumn id="17" xr3:uid="{00000000-0010-0000-2000-000011000000}" name="Y" totalsRowFunction="sum" dataDxfId="638" totalsRowDxfId="639"/>
    <tableColumn id="18" xr3:uid="{00000000-0010-0000-2000-000012000000}" name="B" totalsRowFunction="sum" dataDxfId="636" totalsRowDxfId="637"/>
    <tableColumn id="19" xr3:uid="{00000000-0010-0000-2000-000013000000}" name="M" totalsRowFunction="sum" dataDxfId="634" totalsRowDxfId="635"/>
    <tableColumn id="20" xr3:uid="{00000000-0010-0000-2000-000014000000}" name="H" totalsRowFunction="sum" dataDxfId="632" totalsRowDxfId="633"/>
    <tableColumn id="21" xr3:uid="{00000000-0010-0000-2000-000015000000}" name="Q" totalsRowFunction="sum" dataDxfId="630" totalsRowDxfId="631"/>
    <tableColumn id="22" xr3:uid="{00000000-0010-0000-2000-000016000000}" name="K" totalsRowFunction="sum" dataDxfId="628" totalsRowDxfId="629"/>
    <tableColumn id="23" xr3:uid="{00000000-0010-0000-2000-000017000000}" name="V" totalsRowFunction="sum" dataDxfId="626" totalsRowDxfId="627"/>
    <tableColumn id="24" xr3:uid="{00000000-0010-0000-2000-000018000000}" name="L" totalsRowFunction="sum" dataDxfId="624" totalsRowDxfId="625"/>
    <tableColumn id="25" xr3:uid="{00000000-0010-0000-2000-000019000000}" name="G" totalsRowFunction="sum" dataDxfId="622" totalsRowDxfId="623"/>
    <tableColumn id="26" xr3:uid="{00000000-0010-0000-2000-00001A000000}" name="S" totalsRowFunction="sum" dataDxfId="620" totalsRowDxfId="621"/>
    <tableColumn id="27" xr3:uid="{00000000-0010-0000-2000-00001B000000}" name="W" totalsRowFunction="sum" dataDxfId="618" totalsRowDxfId="619"/>
    <tableColumn id="28" xr3:uid="{00000000-0010-0000-2000-00001C000000}" name="T" totalsRowFunction="sum" dataDxfId="616" totalsRowDxfId="617"/>
    <tableColumn id="29" xr3:uid="{00000000-0010-0000-2000-00001D000000}" name="X" totalsRowFunction="sum" dataDxfId="614" totalsRowDxfId="615"/>
    <tableColumn id="30" xr3:uid="{00000000-0010-0000-2000-00001E000000}" name="U" totalsRowFunction="sum" dataDxfId="612" totalsRowDxfId="613"/>
    <tableColumn id="31" xr3:uid="{00000000-0010-0000-2000-00001F000000}" name="O" totalsRowFunction="sum" dataDxfId="610" totalsRowDxfId="611"/>
    <tableColumn id="32" xr3:uid="{00000000-0010-0000-2000-000020000000}" name="I" totalsRowFunction="sum" dataDxfId="608" totalsRowDxfId="609"/>
    <tableColumn id="33" xr3:uid="{00000000-0010-0000-2000-000021000000}" name="E" totalsRowFunction="sum" dataDxfId="606" totalsRowDxfId="607"/>
    <tableColumn id="34" xr3:uid="{00000000-0010-0000-2000-000022000000}" name="A" totalsRowFunction="sum" dataDxfId="604" totalsRowDxfId="605"/>
    <tableColumn id="35" xr3:uid="{00000000-0010-0000-2000-000023000000}" name="P" totalsRowFunction="sum" dataDxfId="602" totalsRowDxfId="603"/>
    <tableColumn id="36" xr3:uid="{00000000-0010-0000-2000-000024000000}" name="N" totalsRowFunction="count" dataDxfId="600" totalsRowDxfId="601"/>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FocusMode_ATZ_TUU" displayName="FocusMode_ATZ_TUU" ref="A1:H162" totalsRowShown="0">
  <autoFilter ref="A1:H162" xr:uid="{00000000-0009-0000-0100-000022000000}"/>
  <tableColumns count="8">
    <tableColumn id="1" xr3:uid="{00000000-0010-0000-2100-000001000000}" name="DATE"/>
    <tableColumn id="2" xr3:uid="{00000000-0010-0000-2100-000002000000}" name="AIRLINE"/>
    <tableColumn id="3" xr3:uid="{00000000-0010-0000-2100-000003000000}" name="FLIGHT NUM"/>
    <tableColumn id="4" xr3:uid="{00000000-0010-0000-2100-000004000000}" name="ROUTE"/>
    <tableColumn id="5" xr3:uid="{00000000-0010-0000-2100-000005000000}" name="DEPARTURE"/>
    <tableColumn id="6" xr3:uid="{00000000-0010-0000-2100-000006000000}" name="BAGGAGE"/>
    <tableColumn id="7" xr3:uid="{00000000-0010-0000-2100-000007000000}" name="AVAILABILITY"/>
    <tableColumn id="8" xr3:uid="{00000000-0010-0000-2100-000008000000}" name="PUBLISHED FARE"/>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CAI_AJF_LF_LEGACY" displayName="CAI_AJF_LF_LEGACY" ref="A1:AJ16" totalsRowCount="1" headerRowDxfId="599" dataDxfId="598" totalsRowDxfId="597">
  <tableColumns count="36">
    <tableColumn id="1" xr3:uid="{00000000-0010-0000-2200-000001000000}" name="Day" totalsRowLabel="TOTAL" dataDxfId="595" totalsRowDxfId="596"/>
    <tableColumn id="2" xr3:uid="{00000000-0010-0000-2200-000002000000}" name="Flt Dt" dataDxfId="593" totalsRowDxfId="594"/>
    <tableColumn id="3" xr3:uid="{00000000-0010-0000-2200-000003000000}" name="Flt" totalsRowFunction="count" dataDxfId="591" totalsRowDxfId="592"/>
    <tableColumn id="4" xr3:uid="{00000000-0010-0000-2200-000004000000}" name="DEP" dataDxfId="589" totalsRowDxfId="590"/>
    <tableColumn id="5" xr3:uid="{00000000-0010-0000-2200-000005000000}" name="Brd-Off" totalsRowFunction="count" dataDxfId="587" totalsRowDxfId="588"/>
    <tableColumn id="6" xr3:uid="{00000000-0010-0000-2200-000006000000}" name="Eqp" dataDxfId="585" totalsRowDxfId="586"/>
    <tableColumn id="7" xr3:uid="{00000000-0010-0000-2200-000007000000}" name="LF%" totalsRowFunction="average" dataDxfId="583" totalsRowDxfId="584"/>
    <tableColumn id="8" xr3:uid="{00000000-0010-0000-2200-000008000000}" name="CAP" totalsRowFunction="sum" dataDxfId="581" totalsRowDxfId="582"/>
    <tableColumn id="9" xr3:uid="{00000000-0010-0000-2200-000009000000}" name="BKG(Y)" totalsRowFunction="sum" dataDxfId="579" totalsRowDxfId="580"/>
    <tableColumn id="10" xr3:uid="{00000000-0010-0000-2200-00000A000000}" name="GRP(Y)" totalsRowFunction="sum" dataDxfId="577" totalsRowDxfId="578"/>
    <tableColumn id="11" xr3:uid="{00000000-0010-0000-2200-00000B000000}" name="FLT ST" dataDxfId="575" totalsRowDxfId="576"/>
    <tableColumn id="12" xr3:uid="{00000000-0010-0000-2200-00000C000000}" name="LST-SOLD" dataDxfId="573" totalsRowDxfId="574"/>
    <tableColumn id="13" xr3:uid="{00000000-0010-0000-2200-00000D000000}" name="TO-DAY" totalsRowFunction="sum" dataDxfId="571" totalsRowDxfId="572"/>
    <tableColumn id="14" xr3:uid="{00000000-0010-0000-2200-00000E000000}" name="Y-DAY" totalsRowFunction="sum" dataDxfId="569" totalsRowDxfId="570"/>
    <tableColumn id="15" xr3:uid="{00000000-0010-0000-2200-00000F000000}" name="WEEKLY" totalsRowFunction="sum" dataDxfId="567" totalsRowDxfId="568"/>
    <tableColumn id="16" xr3:uid="{00000000-0010-0000-2200-000010000000}" name="LOWEST AVAIL" dataDxfId="565" totalsRowDxfId="566"/>
    <tableColumn id="17" xr3:uid="{00000000-0010-0000-2200-000011000000}" name="Y" totalsRowFunction="sum" dataDxfId="563" totalsRowDxfId="564"/>
    <tableColumn id="18" xr3:uid="{00000000-0010-0000-2200-000012000000}" name="B" totalsRowFunction="sum" dataDxfId="561" totalsRowDxfId="562"/>
    <tableColumn id="19" xr3:uid="{00000000-0010-0000-2200-000013000000}" name="M" totalsRowFunction="sum" dataDxfId="559" totalsRowDxfId="560"/>
    <tableColumn id="20" xr3:uid="{00000000-0010-0000-2200-000014000000}" name="H" totalsRowFunction="sum" dataDxfId="557" totalsRowDxfId="558"/>
    <tableColumn id="21" xr3:uid="{00000000-0010-0000-2200-000015000000}" name="Q" totalsRowFunction="sum" dataDxfId="555" totalsRowDxfId="556"/>
    <tableColumn id="22" xr3:uid="{00000000-0010-0000-2200-000016000000}" name="K" totalsRowFunction="sum" dataDxfId="553" totalsRowDxfId="554"/>
    <tableColumn id="23" xr3:uid="{00000000-0010-0000-2200-000017000000}" name="V" totalsRowFunction="sum" dataDxfId="551" totalsRowDxfId="552"/>
    <tableColumn id="24" xr3:uid="{00000000-0010-0000-2200-000018000000}" name="L" totalsRowFunction="sum" dataDxfId="549" totalsRowDxfId="550"/>
    <tableColumn id="25" xr3:uid="{00000000-0010-0000-2200-000019000000}" name="G" totalsRowFunction="sum" dataDxfId="547" totalsRowDxfId="548"/>
    <tableColumn id="26" xr3:uid="{00000000-0010-0000-2200-00001A000000}" name="S" totalsRowFunction="sum" dataDxfId="545" totalsRowDxfId="546"/>
    <tableColumn id="27" xr3:uid="{00000000-0010-0000-2200-00001B000000}" name="W" totalsRowFunction="sum" dataDxfId="543" totalsRowDxfId="544"/>
    <tableColumn id="28" xr3:uid="{00000000-0010-0000-2200-00001C000000}" name="T" totalsRowFunction="sum" dataDxfId="541" totalsRowDxfId="542"/>
    <tableColumn id="29" xr3:uid="{00000000-0010-0000-2200-00001D000000}" name="X" totalsRowFunction="sum" dataDxfId="539" totalsRowDxfId="540"/>
    <tableColumn id="30" xr3:uid="{00000000-0010-0000-2200-00001E000000}" name="U" totalsRowFunction="sum" dataDxfId="537" totalsRowDxfId="538"/>
    <tableColumn id="31" xr3:uid="{00000000-0010-0000-2200-00001F000000}" name="O" totalsRowFunction="sum" dataDxfId="535" totalsRowDxfId="536"/>
    <tableColumn id="32" xr3:uid="{00000000-0010-0000-2200-000020000000}" name="I" totalsRowFunction="sum" dataDxfId="533" totalsRowDxfId="534"/>
    <tableColumn id="33" xr3:uid="{00000000-0010-0000-2200-000021000000}" name="E" totalsRowFunction="sum" dataDxfId="531" totalsRowDxfId="532"/>
    <tableColumn id="34" xr3:uid="{00000000-0010-0000-2200-000022000000}" name="A" totalsRowFunction="sum" dataDxfId="529" totalsRowDxfId="530"/>
    <tableColumn id="35" xr3:uid="{00000000-0010-0000-2200-000023000000}" name="P" totalsRowFunction="sum" dataDxfId="527" totalsRowDxfId="528"/>
    <tableColumn id="36" xr3:uid="{00000000-0010-0000-2200-000024000000}" name="N" totalsRowFunction="count" dataDxfId="525" totalsRowDxfId="526"/>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FocusMode_CAI_AJF" displayName="FocusMode_CAI_AJF" ref="A1:H33" totalsRowShown="0">
  <autoFilter ref="A1:H33" xr:uid="{00000000-0009-0000-0100-000024000000}"/>
  <tableColumns count="8">
    <tableColumn id="1" xr3:uid="{00000000-0010-0000-2300-000001000000}" name="DATE"/>
    <tableColumn id="2" xr3:uid="{00000000-0010-0000-2300-000002000000}" name="AIRLINE"/>
    <tableColumn id="3" xr3:uid="{00000000-0010-0000-2300-000003000000}" name="FLIGHT NUM"/>
    <tableColumn id="4" xr3:uid="{00000000-0010-0000-2300-000004000000}" name="ROUTE"/>
    <tableColumn id="5" xr3:uid="{00000000-0010-0000-2300-000005000000}" name="DEPARTURE"/>
    <tableColumn id="6" xr3:uid="{00000000-0010-0000-2300-000006000000}" name="BAGGAGE"/>
    <tableColumn id="7" xr3:uid="{00000000-0010-0000-2300-000007000000}" name="AVAILABILITY"/>
    <tableColumn id="8" xr3:uid="{00000000-0010-0000-2300-000008000000}" name="PUBLISHED FAR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hreatsAlert_CAI_AJF" displayName="ThreatsAlert_CAI_AJF" ref="A1:H29" totalsRowShown="0">
  <autoFilter ref="A1:H29" xr:uid="{00000000-0009-0000-0100-000025000000}"/>
  <tableColumns count="8">
    <tableColumn id="1" xr3:uid="{00000000-0010-0000-2400-000001000000}" name="DATE"/>
    <tableColumn id="2" xr3:uid="{00000000-0010-0000-2400-000002000000}" name="AIRLINE"/>
    <tableColumn id="3" xr3:uid="{00000000-0010-0000-2400-000003000000}" name="FLIGHT NUM"/>
    <tableColumn id="4" xr3:uid="{00000000-0010-0000-2400-000004000000}" name="ROUTE"/>
    <tableColumn id="5" xr3:uid="{00000000-0010-0000-2400-000005000000}" name="DEPARTURE"/>
    <tableColumn id="6" xr3:uid="{00000000-0010-0000-2400-000006000000}" name="BAGGAGE"/>
    <tableColumn id="7" xr3:uid="{00000000-0010-0000-2400-000007000000}" name="AVAILABILITY"/>
    <tableColumn id="8" xr3:uid="{00000000-0010-0000-2400-000008000000}" name="PUBLISHED FARE"/>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ATZ_AJF_LF_LEGACY" displayName="ATZ_AJF_LF_LEGACY" ref="A1:AJ7" totalsRowCount="1" headerRowDxfId="524" dataDxfId="523" totalsRowDxfId="522">
  <tableColumns count="36">
    <tableColumn id="1" xr3:uid="{00000000-0010-0000-2500-000001000000}" name="Day" totalsRowLabel="TOTAL" dataDxfId="520" totalsRowDxfId="521"/>
    <tableColumn id="2" xr3:uid="{00000000-0010-0000-2500-000002000000}" name="Flt Dt" dataDxfId="518" totalsRowDxfId="519"/>
    <tableColumn id="3" xr3:uid="{00000000-0010-0000-2500-000003000000}" name="Flt" totalsRowFunction="count" dataDxfId="516" totalsRowDxfId="517"/>
    <tableColumn id="4" xr3:uid="{00000000-0010-0000-2500-000004000000}" name="DEP" dataDxfId="514" totalsRowDxfId="515"/>
    <tableColumn id="5" xr3:uid="{00000000-0010-0000-2500-000005000000}" name="Brd-Off" totalsRowFunction="count" dataDxfId="512" totalsRowDxfId="513"/>
    <tableColumn id="6" xr3:uid="{00000000-0010-0000-2500-000006000000}" name="Eqp" dataDxfId="510" totalsRowDxfId="511"/>
    <tableColumn id="7" xr3:uid="{00000000-0010-0000-2500-000007000000}" name="LF%" totalsRowFunction="average" dataDxfId="508" totalsRowDxfId="509"/>
    <tableColumn id="8" xr3:uid="{00000000-0010-0000-2500-000008000000}" name="CAP" totalsRowFunction="sum" dataDxfId="506" totalsRowDxfId="507"/>
    <tableColumn id="9" xr3:uid="{00000000-0010-0000-2500-000009000000}" name="BKG(Y)" totalsRowFunction="sum" dataDxfId="504" totalsRowDxfId="505"/>
    <tableColumn id="10" xr3:uid="{00000000-0010-0000-2500-00000A000000}" name="GRP(Y)" totalsRowFunction="sum" dataDxfId="502" totalsRowDxfId="503"/>
    <tableColumn id="11" xr3:uid="{00000000-0010-0000-2500-00000B000000}" name="FLT ST" dataDxfId="500" totalsRowDxfId="501"/>
    <tableColumn id="12" xr3:uid="{00000000-0010-0000-2500-00000C000000}" name="LST-SOLD" dataDxfId="498" totalsRowDxfId="499"/>
    <tableColumn id="13" xr3:uid="{00000000-0010-0000-2500-00000D000000}" name="TO-DAY" totalsRowFunction="sum" dataDxfId="496" totalsRowDxfId="497"/>
    <tableColumn id="14" xr3:uid="{00000000-0010-0000-2500-00000E000000}" name="Y-DAY" totalsRowFunction="sum" dataDxfId="494" totalsRowDxfId="495"/>
    <tableColumn id="15" xr3:uid="{00000000-0010-0000-2500-00000F000000}" name="WEEKLY" totalsRowFunction="sum" dataDxfId="492" totalsRowDxfId="493"/>
    <tableColumn id="16" xr3:uid="{00000000-0010-0000-2500-000010000000}" name="LOWEST AVAIL" dataDxfId="490" totalsRowDxfId="491"/>
    <tableColumn id="17" xr3:uid="{00000000-0010-0000-2500-000011000000}" name="Y" totalsRowFunction="sum" dataDxfId="488" totalsRowDxfId="489"/>
    <tableColumn id="18" xr3:uid="{00000000-0010-0000-2500-000012000000}" name="B" totalsRowFunction="sum" dataDxfId="486" totalsRowDxfId="487"/>
    <tableColumn id="19" xr3:uid="{00000000-0010-0000-2500-000013000000}" name="M" totalsRowFunction="sum" dataDxfId="484" totalsRowDxfId="485"/>
    <tableColumn id="20" xr3:uid="{00000000-0010-0000-2500-000014000000}" name="H" totalsRowFunction="sum" dataDxfId="482" totalsRowDxfId="483"/>
    <tableColumn id="21" xr3:uid="{00000000-0010-0000-2500-000015000000}" name="Q" totalsRowFunction="sum" dataDxfId="480" totalsRowDxfId="481"/>
    <tableColumn id="22" xr3:uid="{00000000-0010-0000-2500-000016000000}" name="K" totalsRowFunction="sum" dataDxfId="478" totalsRowDxfId="479"/>
    <tableColumn id="23" xr3:uid="{00000000-0010-0000-2500-000017000000}" name="V" totalsRowFunction="sum" dataDxfId="476" totalsRowDxfId="477"/>
    <tableColumn id="24" xr3:uid="{00000000-0010-0000-2500-000018000000}" name="L" totalsRowFunction="sum" dataDxfId="474" totalsRowDxfId="475"/>
    <tableColumn id="25" xr3:uid="{00000000-0010-0000-2500-000019000000}" name="G" totalsRowFunction="sum" dataDxfId="472" totalsRowDxfId="473"/>
    <tableColumn id="26" xr3:uid="{00000000-0010-0000-2500-00001A000000}" name="S" totalsRowFunction="sum" dataDxfId="470" totalsRowDxfId="471"/>
    <tableColumn id="27" xr3:uid="{00000000-0010-0000-2500-00001B000000}" name="W" totalsRowFunction="sum" dataDxfId="468" totalsRowDxfId="469"/>
    <tableColumn id="28" xr3:uid="{00000000-0010-0000-2500-00001C000000}" name="T" totalsRowFunction="sum" dataDxfId="466" totalsRowDxfId="467"/>
    <tableColumn id="29" xr3:uid="{00000000-0010-0000-2500-00001D000000}" name="X" totalsRowFunction="sum" dataDxfId="464" totalsRowDxfId="465"/>
    <tableColumn id="30" xr3:uid="{00000000-0010-0000-2500-00001E000000}" name="U" totalsRowFunction="sum" dataDxfId="462" totalsRowDxfId="463"/>
    <tableColumn id="31" xr3:uid="{00000000-0010-0000-2500-00001F000000}" name="O" totalsRowFunction="sum" dataDxfId="460" totalsRowDxfId="461"/>
    <tableColumn id="32" xr3:uid="{00000000-0010-0000-2500-000020000000}" name="I" totalsRowFunction="sum" dataDxfId="458" totalsRowDxfId="459"/>
    <tableColumn id="33" xr3:uid="{00000000-0010-0000-2500-000021000000}" name="E" totalsRowFunction="sum" dataDxfId="456" totalsRowDxfId="457"/>
    <tableColumn id="34" xr3:uid="{00000000-0010-0000-2500-000022000000}" name="A" totalsRowFunction="sum" dataDxfId="454" totalsRowDxfId="455"/>
    <tableColumn id="35" xr3:uid="{00000000-0010-0000-2500-000023000000}" name="P" totalsRowFunction="sum" dataDxfId="452" totalsRowDxfId="453"/>
    <tableColumn id="36" xr3:uid="{00000000-0010-0000-2500-000024000000}" name="N" totalsRowFunction="count" dataDxfId="450" totalsRowDxfId="451"/>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FocusMode_ATZ_AJF" displayName="FocusMode_ATZ_AJF" ref="A1:H65" totalsRowShown="0">
  <autoFilter ref="A1:H65" xr:uid="{00000000-0009-0000-0100-000027000000}"/>
  <tableColumns count="8">
    <tableColumn id="1" xr3:uid="{00000000-0010-0000-2600-000001000000}" name="DATE"/>
    <tableColumn id="2" xr3:uid="{00000000-0010-0000-2600-000002000000}" name="AIRLINE"/>
    <tableColumn id="3" xr3:uid="{00000000-0010-0000-2600-000003000000}" name="FLIGHT NUM"/>
    <tableColumn id="4" xr3:uid="{00000000-0010-0000-2600-000004000000}" name="ROUTE"/>
    <tableColumn id="5" xr3:uid="{00000000-0010-0000-2600-000005000000}" name="DEPARTURE"/>
    <tableColumn id="6" xr3:uid="{00000000-0010-0000-2600-000006000000}" name="BAGGAGE"/>
    <tableColumn id="7" xr3:uid="{00000000-0010-0000-2600-000007000000}" name="AVAILABILITY"/>
    <tableColumn id="8" xr3:uid="{00000000-0010-0000-2600-000008000000}" name="PUBLISHED FARE"/>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CAI_YNB_LF_LEGACY" displayName="CAI_YNB_LF_LEGACY" ref="A1:AJ33" totalsRowCount="1" headerRowDxfId="449" dataDxfId="448" totalsRowDxfId="447">
  <tableColumns count="36">
    <tableColumn id="1" xr3:uid="{00000000-0010-0000-2700-000001000000}" name="Day" totalsRowLabel="TOTAL" dataDxfId="445" totalsRowDxfId="446"/>
    <tableColumn id="2" xr3:uid="{00000000-0010-0000-2700-000002000000}" name="Flt Dt" dataDxfId="443" totalsRowDxfId="444"/>
    <tableColumn id="3" xr3:uid="{00000000-0010-0000-2700-000003000000}" name="Flt" totalsRowFunction="count" dataDxfId="441" totalsRowDxfId="442"/>
    <tableColumn id="4" xr3:uid="{00000000-0010-0000-2700-000004000000}" name="DEP" dataDxfId="439" totalsRowDxfId="440"/>
    <tableColumn id="5" xr3:uid="{00000000-0010-0000-2700-000005000000}" name="Brd-Off" totalsRowFunction="count" dataDxfId="437" totalsRowDxfId="438"/>
    <tableColumn id="6" xr3:uid="{00000000-0010-0000-2700-000006000000}" name="Eqp" dataDxfId="435" totalsRowDxfId="436"/>
    <tableColumn id="7" xr3:uid="{00000000-0010-0000-2700-000007000000}" name="LF%" totalsRowFunction="average" dataDxfId="433" totalsRowDxfId="434"/>
    <tableColumn id="8" xr3:uid="{00000000-0010-0000-2700-000008000000}" name="CAP" totalsRowFunction="sum" dataDxfId="431" totalsRowDxfId="432"/>
    <tableColumn id="9" xr3:uid="{00000000-0010-0000-2700-000009000000}" name="BKG(Y)" totalsRowFunction="sum" dataDxfId="429" totalsRowDxfId="430"/>
    <tableColumn id="10" xr3:uid="{00000000-0010-0000-2700-00000A000000}" name="GRP(Y)" totalsRowFunction="sum" dataDxfId="427" totalsRowDxfId="428"/>
    <tableColumn id="11" xr3:uid="{00000000-0010-0000-2700-00000B000000}" name="FLT ST" dataDxfId="425" totalsRowDxfId="426"/>
    <tableColumn id="12" xr3:uid="{00000000-0010-0000-2700-00000C000000}" name="LST-SOLD" dataDxfId="423" totalsRowDxfId="424"/>
    <tableColumn id="13" xr3:uid="{00000000-0010-0000-2700-00000D000000}" name="TO-DAY" totalsRowFunction="sum" dataDxfId="421" totalsRowDxfId="422"/>
    <tableColumn id="14" xr3:uid="{00000000-0010-0000-2700-00000E000000}" name="Y-DAY" totalsRowFunction="sum" dataDxfId="419" totalsRowDxfId="420"/>
    <tableColumn id="15" xr3:uid="{00000000-0010-0000-2700-00000F000000}" name="WEEKLY" totalsRowFunction="sum" dataDxfId="417" totalsRowDxfId="418"/>
    <tableColumn id="16" xr3:uid="{00000000-0010-0000-2700-000010000000}" name="LOWEST AVAIL" dataDxfId="415" totalsRowDxfId="416"/>
    <tableColumn id="17" xr3:uid="{00000000-0010-0000-2700-000011000000}" name="Y" totalsRowFunction="sum" dataDxfId="413" totalsRowDxfId="414"/>
    <tableColumn id="18" xr3:uid="{00000000-0010-0000-2700-000012000000}" name="B" totalsRowFunction="sum" dataDxfId="411" totalsRowDxfId="412"/>
    <tableColumn id="19" xr3:uid="{00000000-0010-0000-2700-000013000000}" name="M" totalsRowFunction="sum" dataDxfId="409" totalsRowDxfId="410"/>
    <tableColumn id="20" xr3:uid="{00000000-0010-0000-2700-000014000000}" name="H" totalsRowFunction="sum" dataDxfId="407" totalsRowDxfId="408"/>
    <tableColumn id="21" xr3:uid="{00000000-0010-0000-2700-000015000000}" name="Q" totalsRowFunction="sum" dataDxfId="405" totalsRowDxfId="406"/>
    <tableColumn id="22" xr3:uid="{00000000-0010-0000-2700-000016000000}" name="K" totalsRowFunction="sum" dataDxfId="403" totalsRowDxfId="404"/>
    <tableColumn id="23" xr3:uid="{00000000-0010-0000-2700-000017000000}" name="V" totalsRowFunction="sum" dataDxfId="401" totalsRowDxfId="402"/>
    <tableColumn id="24" xr3:uid="{00000000-0010-0000-2700-000018000000}" name="L" totalsRowFunction="sum" dataDxfId="399" totalsRowDxfId="400"/>
    <tableColumn id="25" xr3:uid="{00000000-0010-0000-2700-000019000000}" name="G" totalsRowFunction="sum" dataDxfId="397" totalsRowDxfId="398"/>
    <tableColumn id="26" xr3:uid="{00000000-0010-0000-2700-00001A000000}" name="S" totalsRowFunction="sum" dataDxfId="395" totalsRowDxfId="396"/>
    <tableColumn id="27" xr3:uid="{00000000-0010-0000-2700-00001B000000}" name="W" totalsRowFunction="sum" dataDxfId="393" totalsRowDxfId="394"/>
    <tableColumn id="28" xr3:uid="{00000000-0010-0000-2700-00001C000000}" name="T" totalsRowFunction="sum" dataDxfId="391" totalsRowDxfId="392"/>
    <tableColumn id="29" xr3:uid="{00000000-0010-0000-2700-00001D000000}" name="X" totalsRowFunction="sum" dataDxfId="389" totalsRowDxfId="390"/>
    <tableColumn id="30" xr3:uid="{00000000-0010-0000-2700-00001E000000}" name="U" totalsRowFunction="sum" dataDxfId="387" totalsRowDxfId="388"/>
    <tableColumn id="31" xr3:uid="{00000000-0010-0000-2700-00001F000000}" name="O" totalsRowFunction="sum" dataDxfId="385" totalsRowDxfId="386"/>
    <tableColumn id="32" xr3:uid="{00000000-0010-0000-2700-000020000000}" name="I" totalsRowFunction="sum" dataDxfId="383" totalsRowDxfId="384"/>
    <tableColumn id="33" xr3:uid="{00000000-0010-0000-2700-000021000000}" name="E" totalsRowFunction="sum" dataDxfId="381" totalsRowDxfId="382"/>
    <tableColumn id="34" xr3:uid="{00000000-0010-0000-2700-000022000000}" name="A" totalsRowFunction="sum" dataDxfId="379" totalsRowDxfId="380"/>
    <tableColumn id="35" xr3:uid="{00000000-0010-0000-2700-000023000000}" name="P" totalsRowFunction="sum" dataDxfId="377" totalsRowDxfId="378"/>
    <tableColumn id="36" xr3:uid="{00000000-0010-0000-2700-000024000000}" name="N" totalsRowFunction="count" dataDxfId="375" totalsRowDxfId="376"/>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FocusMode_CAI_YNB" displayName="FocusMode_CAI_YNB" ref="A1:H41" totalsRowShown="0">
  <autoFilter ref="A1:H41" xr:uid="{00000000-0009-0000-0100-000029000000}"/>
  <tableColumns count="8">
    <tableColumn id="1" xr3:uid="{00000000-0010-0000-2800-000001000000}" name="DATE"/>
    <tableColumn id="2" xr3:uid="{00000000-0010-0000-2800-000002000000}" name="AIRLINE"/>
    <tableColumn id="3" xr3:uid="{00000000-0010-0000-2800-000003000000}" name="FLIGHT NUM"/>
    <tableColumn id="4" xr3:uid="{00000000-0010-0000-2800-000004000000}" name="ROUTE"/>
    <tableColumn id="5" xr3:uid="{00000000-0010-0000-2800-000005000000}" name="DEPARTURE"/>
    <tableColumn id="6" xr3:uid="{00000000-0010-0000-2800-000006000000}" name="BAGGAGE"/>
    <tableColumn id="7" xr3:uid="{00000000-0010-0000-2800-000007000000}" name="AVAILABILITY"/>
    <tableColumn id="8" xr3:uid="{00000000-0010-0000-2800-000008000000}" name="PUBLISHED FARE"/>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hreatsAlert_CAI_YNB" displayName="ThreatsAlert_CAI_YNB" ref="A1:H32" totalsRowShown="0">
  <autoFilter ref="A1:H32" xr:uid="{00000000-0009-0000-0100-00002A000000}"/>
  <tableColumns count="8">
    <tableColumn id="1" xr3:uid="{00000000-0010-0000-2900-000001000000}" name="DATE"/>
    <tableColumn id="2" xr3:uid="{00000000-0010-0000-2900-000002000000}" name="AIRLINE"/>
    <tableColumn id="3" xr3:uid="{00000000-0010-0000-2900-000003000000}" name="FLIGHT NUM"/>
    <tableColumn id="4" xr3:uid="{00000000-0010-0000-2900-000004000000}" name="ROUTE"/>
    <tableColumn id="5" xr3:uid="{00000000-0010-0000-2900-000005000000}" name="DEPARTURE"/>
    <tableColumn id="6" xr3:uid="{00000000-0010-0000-2900-000006000000}" name="BAGGAGE"/>
    <tableColumn id="7" xr3:uid="{00000000-0010-0000-2900-000007000000}" name="AVAILABILITY"/>
    <tableColumn id="8" xr3:uid="{00000000-0010-0000-2900-000008000000}" name="PUBLISHED FAR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CAI_AHB_LF_LEGACY" displayName="CAI_AHB_LF_LEGACY" ref="A1:AJ16" totalsRowCount="1" headerRowDxfId="374" dataDxfId="373" totalsRowDxfId="372">
  <tableColumns count="36">
    <tableColumn id="1" xr3:uid="{00000000-0010-0000-2A00-000001000000}" name="Day" totalsRowLabel="TOTAL" dataDxfId="370" totalsRowDxfId="371"/>
    <tableColumn id="2" xr3:uid="{00000000-0010-0000-2A00-000002000000}" name="Flt Dt" dataDxfId="368" totalsRowDxfId="369"/>
    <tableColumn id="3" xr3:uid="{00000000-0010-0000-2A00-000003000000}" name="Flt" totalsRowFunction="count" dataDxfId="366" totalsRowDxfId="367"/>
    <tableColumn id="4" xr3:uid="{00000000-0010-0000-2A00-000004000000}" name="DEP" dataDxfId="364" totalsRowDxfId="365"/>
    <tableColumn id="5" xr3:uid="{00000000-0010-0000-2A00-000005000000}" name="Brd-Off" totalsRowFunction="count" dataDxfId="362" totalsRowDxfId="363"/>
    <tableColumn id="6" xr3:uid="{00000000-0010-0000-2A00-000006000000}" name="Eqp" dataDxfId="360" totalsRowDxfId="361"/>
    <tableColumn id="7" xr3:uid="{00000000-0010-0000-2A00-000007000000}" name="LF%" totalsRowFunction="average" dataDxfId="358" totalsRowDxfId="359"/>
    <tableColumn id="8" xr3:uid="{00000000-0010-0000-2A00-000008000000}" name="CAP" totalsRowFunction="sum" dataDxfId="356" totalsRowDxfId="357"/>
    <tableColumn id="9" xr3:uid="{00000000-0010-0000-2A00-000009000000}" name="BKG(Y)" totalsRowFunction="sum" dataDxfId="354" totalsRowDxfId="355"/>
    <tableColumn id="10" xr3:uid="{00000000-0010-0000-2A00-00000A000000}" name="GRP(Y)" totalsRowFunction="sum" dataDxfId="352" totalsRowDxfId="353"/>
    <tableColumn id="11" xr3:uid="{00000000-0010-0000-2A00-00000B000000}" name="FLT ST" dataDxfId="350" totalsRowDxfId="351"/>
    <tableColumn id="12" xr3:uid="{00000000-0010-0000-2A00-00000C000000}" name="LST-SOLD" dataDxfId="348" totalsRowDxfId="349"/>
    <tableColumn id="13" xr3:uid="{00000000-0010-0000-2A00-00000D000000}" name="TO-DAY" totalsRowFunction="sum" dataDxfId="346" totalsRowDxfId="347"/>
    <tableColumn id="14" xr3:uid="{00000000-0010-0000-2A00-00000E000000}" name="Y-DAY" totalsRowFunction="sum" dataDxfId="344" totalsRowDxfId="345"/>
    <tableColumn id="15" xr3:uid="{00000000-0010-0000-2A00-00000F000000}" name="WEEKLY" totalsRowFunction="sum" dataDxfId="342" totalsRowDxfId="343"/>
    <tableColumn id="16" xr3:uid="{00000000-0010-0000-2A00-000010000000}" name="LOWEST AVAIL" dataDxfId="340" totalsRowDxfId="341"/>
    <tableColumn id="17" xr3:uid="{00000000-0010-0000-2A00-000011000000}" name="Y" totalsRowFunction="sum" dataDxfId="338" totalsRowDxfId="339"/>
    <tableColumn id="18" xr3:uid="{00000000-0010-0000-2A00-000012000000}" name="B" totalsRowFunction="sum" dataDxfId="336" totalsRowDxfId="337"/>
    <tableColumn id="19" xr3:uid="{00000000-0010-0000-2A00-000013000000}" name="M" totalsRowFunction="sum" dataDxfId="334" totalsRowDxfId="335"/>
    <tableColumn id="20" xr3:uid="{00000000-0010-0000-2A00-000014000000}" name="H" totalsRowFunction="sum" dataDxfId="332" totalsRowDxfId="333"/>
    <tableColumn id="21" xr3:uid="{00000000-0010-0000-2A00-000015000000}" name="Q" totalsRowFunction="sum" dataDxfId="330" totalsRowDxfId="331"/>
    <tableColumn id="22" xr3:uid="{00000000-0010-0000-2A00-000016000000}" name="K" totalsRowFunction="sum" dataDxfId="328" totalsRowDxfId="329"/>
    <tableColumn id="23" xr3:uid="{00000000-0010-0000-2A00-000017000000}" name="V" totalsRowFunction="sum" dataDxfId="326" totalsRowDxfId="327"/>
    <tableColumn id="24" xr3:uid="{00000000-0010-0000-2A00-000018000000}" name="L" totalsRowFunction="sum" dataDxfId="324" totalsRowDxfId="325"/>
    <tableColumn id="25" xr3:uid="{00000000-0010-0000-2A00-000019000000}" name="G" totalsRowFunction="sum" dataDxfId="322" totalsRowDxfId="323"/>
    <tableColumn id="26" xr3:uid="{00000000-0010-0000-2A00-00001A000000}" name="S" totalsRowFunction="sum" dataDxfId="320" totalsRowDxfId="321"/>
    <tableColumn id="27" xr3:uid="{00000000-0010-0000-2A00-00001B000000}" name="W" totalsRowFunction="sum" dataDxfId="318" totalsRowDxfId="319"/>
    <tableColumn id="28" xr3:uid="{00000000-0010-0000-2A00-00001C000000}" name="T" totalsRowFunction="sum" dataDxfId="316" totalsRowDxfId="317"/>
    <tableColumn id="29" xr3:uid="{00000000-0010-0000-2A00-00001D000000}" name="X" totalsRowFunction="sum" dataDxfId="314" totalsRowDxfId="315"/>
    <tableColumn id="30" xr3:uid="{00000000-0010-0000-2A00-00001E000000}" name="U" totalsRowFunction="sum" dataDxfId="312" totalsRowDxfId="313"/>
    <tableColumn id="31" xr3:uid="{00000000-0010-0000-2A00-00001F000000}" name="O" totalsRowFunction="sum" dataDxfId="310" totalsRowDxfId="311"/>
    <tableColumn id="32" xr3:uid="{00000000-0010-0000-2A00-000020000000}" name="I" totalsRowFunction="sum" dataDxfId="308" totalsRowDxfId="309"/>
    <tableColumn id="33" xr3:uid="{00000000-0010-0000-2A00-000021000000}" name="E" totalsRowFunction="sum" dataDxfId="306" totalsRowDxfId="307"/>
    <tableColumn id="34" xr3:uid="{00000000-0010-0000-2A00-000022000000}" name="A" totalsRowFunction="sum" dataDxfId="304" totalsRowDxfId="305"/>
    <tableColumn id="35" xr3:uid="{00000000-0010-0000-2A00-000023000000}" name="P" totalsRowFunction="sum" dataDxfId="302" totalsRowDxfId="303"/>
    <tableColumn id="36" xr3:uid="{00000000-0010-0000-2A00-000024000000}" name="N" totalsRowFunction="count" dataDxfId="300" totalsRowDxfId="301"/>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FocusMode_CAI_AHB" displayName="FocusMode_CAI_AHB" ref="A1:H75" totalsRowShown="0">
  <autoFilter ref="A1:H75" xr:uid="{00000000-0009-0000-0100-00002C000000}"/>
  <tableColumns count="8">
    <tableColumn id="1" xr3:uid="{00000000-0010-0000-2B00-000001000000}" name="DATE"/>
    <tableColumn id="2" xr3:uid="{00000000-0010-0000-2B00-000002000000}" name="AIRLINE"/>
    <tableColumn id="3" xr3:uid="{00000000-0010-0000-2B00-000003000000}" name="FLIGHT NUM"/>
    <tableColumn id="4" xr3:uid="{00000000-0010-0000-2B00-000004000000}" name="ROUTE"/>
    <tableColumn id="5" xr3:uid="{00000000-0010-0000-2B00-000005000000}" name="DEPARTURE"/>
    <tableColumn id="6" xr3:uid="{00000000-0010-0000-2B00-000006000000}" name="BAGGAGE"/>
    <tableColumn id="7" xr3:uid="{00000000-0010-0000-2B00-000007000000}" name="AVAILABILITY"/>
    <tableColumn id="8" xr3:uid="{00000000-0010-0000-2B00-000008000000}" name="PUBLISHED FAR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hreatsAlert_CAI_AHB" displayName="ThreatsAlert_CAI_AHB" ref="A1:H57" totalsRowShown="0">
  <autoFilter ref="A1:H57" xr:uid="{00000000-0009-0000-0100-00002D000000}"/>
  <tableColumns count="8">
    <tableColumn id="1" xr3:uid="{00000000-0010-0000-2C00-000001000000}" name="DATE"/>
    <tableColumn id="2" xr3:uid="{00000000-0010-0000-2C00-000002000000}" name="AIRLINE"/>
    <tableColumn id="3" xr3:uid="{00000000-0010-0000-2C00-000003000000}" name="FLIGHT NUM"/>
    <tableColumn id="4" xr3:uid="{00000000-0010-0000-2C00-000004000000}" name="ROUTE"/>
    <tableColumn id="5" xr3:uid="{00000000-0010-0000-2C00-000005000000}" name="DEPARTURE"/>
    <tableColumn id="6" xr3:uid="{00000000-0010-0000-2C00-000006000000}" name="BAGGAGE"/>
    <tableColumn id="7" xr3:uid="{00000000-0010-0000-2C00-000007000000}" name="AVAILABILITY"/>
    <tableColumn id="8" xr3:uid="{00000000-0010-0000-2C00-000008000000}" name="PUBLISHED FAR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ATZ_AHB_LF_LEGACY" displayName="ATZ_AHB_LF_LEGACY" ref="A1:AJ7" totalsRowCount="1" headerRowDxfId="299" dataDxfId="298" totalsRowDxfId="297">
  <tableColumns count="36">
    <tableColumn id="1" xr3:uid="{00000000-0010-0000-2D00-000001000000}" name="Day" totalsRowLabel="TOTAL" dataDxfId="295" totalsRowDxfId="296"/>
    <tableColumn id="2" xr3:uid="{00000000-0010-0000-2D00-000002000000}" name="Flt Dt" dataDxfId="293" totalsRowDxfId="294"/>
    <tableColumn id="3" xr3:uid="{00000000-0010-0000-2D00-000003000000}" name="Flt" totalsRowFunction="count" dataDxfId="291" totalsRowDxfId="292"/>
    <tableColumn id="4" xr3:uid="{00000000-0010-0000-2D00-000004000000}" name="DEP" dataDxfId="289" totalsRowDxfId="290"/>
    <tableColumn id="5" xr3:uid="{00000000-0010-0000-2D00-000005000000}" name="Brd-Off" totalsRowFunction="count" dataDxfId="287" totalsRowDxfId="288"/>
    <tableColumn id="6" xr3:uid="{00000000-0010-0000-2D00-000006000000}" name="Eqp" dataDxfId="285" totalsRowDxfId="286"/>
    <tableColumn id="7" xr3:uid="{00000000-0010-0000-2D00-000007000000}" name="LF%" totalsRowFunction="average" dataDxfId="283" totalsRowDxfId="284"/>
    <tableColumn id="8" xr3:uid="{00000000-0010-0000-2D00-000008000000}" name="CAP" totalsRowFunction="sum" dataDxfId="281" totalsRowDxfId="282"/>
    <tableColumn id="9" xr3:uid="{00000000-0010-0000-2D00-000009000000}" name="BKG(Y)" totalsRowFunction="sum" dataDxfId="279" totalsRowDxfId="280"/>
    <tableColumn id="10" xr3:uid="{00000000-0010-0000-2D00-00000A000000}" name="GRP(Y)" totalsRowFunction="sum" dataDxfId="277" totalsRowDxfId="278"/>
    <tableColumn id="11" xr3:uid="{00000000-0010-0000-2D00-00000B000000}" name="FLT ST" dataDxfId="275" totalsRowDxfId="276"/>
    <tableColumn id="12" xr3:uid="{00000000-0010-0000-2D00-00000C000000}" name="LST-SOLD" dataDxfId="273" totalsRowDxfId="274"/>
    <tableColumn id="13" xr3:uid="{00000000-0010-0000-2D00-00000D000000}" name="TO-DAY" totalsRowFunction="sum" dataDxfId="271" totalsRowDxfId="272"/>
    <tableColumn id="14" xr3:uid="{00000000-0010-0000-2D00-00000E000000}" name="Y-DAY" totalsRowFunction="sum" dataDxfId="269" totalsRowDxfId="270"/>
    <tableColumn id="15" xr3:uid="{00000000-0010-0000-2D00-00000F000000}" name="WEEKLY" totalsRowFunction="sum" dataDxfId="267" totalsRowDxfId="268"/>
    <tableColumn id="16" xr3:uid="{00000000-0010-0000-2D00-000010000000}" name="LOWEST AVAIL" dataDxfId="265" totalsRowDxfId="266"/>
    <tableColumn id="17" xr3:uid="{00000000-0010-0000-2D00-000011000000}" name="Y" totalsRowFunction="sum" dataDxfId="263" totalsRowDxfId="264"/>
    <tableColumn id="18" xr3:uid="{00000000-0010-0000-2D00-000012000000}" name="B" totalsRowFunction="sum" dataDxfId="261" totalsRowDxfId="262"/>
    <tableColumn id="19" xr3:uid="{00000000-0010-0000-2D00-000013000000}" name="M" totalsRowFunction="sum" dataDxfId="259" totalsRowDxfId="260"/>
    <tableColumn id="20" xr3:uid="{00000000-0010-0000-2D00-000014000000}" name="H" totalsRowFunction="sum" dataDxfId="257" totalsRowDxfId="258"/>
    <tableColumn id="21" xr3:uid="{00000000-0010-0000-2D00-000015000000}" name="Q" totalsRowFunction="sum" dataDxfId="255" totalsRowDxfId="256"/>
    <tableColumn id="22" xr3:uid="{00000000-0010-0000-2D00-000016000000}" name="K" totalsRowFunction="sum" dataDxfId="253" totalsRowDxfId="254"/>
    <tableColumn id="23" xr3:uid="{00000000-0010-0000-2D00-000017000000}" name="V" totalsRowFunction="sum" dataDxfId="251" totalsRowDxfId="252"/>
    <tableColumn id="24" xr3:uid="{00000000-0010-0000-2D00-000018000000}" name="L" totalsRowFunction="sum" dataDxfId="249" totalsRowDxfId="250"/>
    <tableColumn id="25" xr3:uid="{00000000-0010-0000-2D00-000019000000}" name="G" totalsRowFunction="sum" dataDxfId="247" totalsRowDxfId="248"/>
    <tableColumn id="26" xr3:uid="{00000000-0010-0000-2D00-00001A000000}" name="S" totalsRowFunction="sum" dataDxfId="245" totalsRowDxfId="246"/>
    <tableColumn id="27" xr3:uid="{00000000-0010-0000-2D00-00001B000000}" name="W" totalsRowFunction="sum" dataDxfId="243" totalsRowDxfId="244"/>
    <tableColumn id="28" xr3:uid="{00000000-0010-0000-2D00-00001C000000}" name="T" totalsRowFunction="sum" dataDxfId="241" totalsRowDxfId="242"/>
    <tableColumn id="29" xr3:uid="{00000000-0010-0000-2D00-00001D000000}" name="X" totalsRowFunction="sum" dataDxfId="239" totalsRowDxfId="240"/>
    <tableColumn id="30" xr3:uid="{00000000-0010-0000-2D00-00001E000000}" name="U" totalsRowFunction="sum" dataDxfId="237" totalsRowDxfId="238"/>
    <tableColumn id="31" xr3:uid="{00000000-0010-0000-2D00-00001F000000}" name="O" totalsRowFunction="sum" dataDxfId="235" totalsRowDxfId="236"/>
    <tableColumn id="32" xr3:uid="{00000000-0010-0000-2D00-000020000000}" name="I" totalsRowFunction="sum" dataDxfId="233" totalsRowDxfId="234"/>
    <tableColumn id="33" xr3:uid="{00000000-0010-0000-2D00-000021000000}" name="E" totalsRowFunction="sum" dataDxfId="231" totalsRowDxfId="232"/>
    <tableColumn id="34" xr3:uid="{00000000-0010-0000-2D00-000022000000}" name="A" totalsRowFunction="sum" dataDxfId="229" totalsRowDxfId="230"/>
    <tableColumn id="35" xr3:uid="{00000000-0010-0000-2D00-000023000000}" name="P" totalsRowFunction="sum" dataDxfId="227" totalsRowDxfId="228"/>
    <tableColumn id="36" xr3:uid="{00000000-0010-0000-2D00-000024000000}" name="N" totalsRowFunction="count" dataDxfId="225" totalsRowDxfId="226"/>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FocusMode_ATZ_AHB" displayName="FocusMode_ATZ_AHB" ref="A1:H111" totalsRowShown="0">
  <autoFilter ref="A1:H111" xr:uid="{00000000-0009-0000-0100-00002F000000}"/>
  <tableColumns count="8">
    <tableColumn id="1" xr3:uid="{00000000-0010-0000-2E00-000001000000}" name="DATE"/>
    <tableColumn id="2" xr3:uid="{00000000-0010-0000-2E00-000002000000}" name="AIRLINE"/>
    <tableColumn id="3" xr3:uid="{00000000-0010-0000-2E00-000003000000}" name="FLIGHT NUM"/>
    <tableColumn id="4" xr3:uid="{00000000-0010-0000-2E00-000004000000}" name="ROUTE"/>
    <tableColumn id="5" xr3:uid="{00000000-0010-0000-2E00-000005000000}" name="DEPARTURE"/>
    <tableColumn id="6" xr3:uid="{00000000-0010-0000-2E00-000006000000}" name="BAGGAGE"/>
    <tableColumn id="7" xr3:uid="{00000000-0010-0000-2E00-000007000000}" name="AVAILABILITY"/>
    <tableColumn id="8" xr3:uid="{00000000-0010-0000-2E00-000008000000}" name="PUBLISHED FAR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CAI_ELQ_LF_LEGACY" displayName="CAI_ELQ_LF_LEGACY" ref="A1:AJ15" totalsRowCount="1" headerRowDxfId="224" dataDxfId="223" totalsRowDxfId="222">
  <tableColumns count="36">
    <tableColumn id="1" xr3:uid="{00000000-0010-0000-2F00-000001000000}" name="Day" totalsRowLabel="TOTAL" dataDxfId="220" totalsRowDxfId="221"/>
    <tableColumn id="2" xr3:uid="{00000000-0010-0000-2F00-000002000000}" name="Flt Dt" dataDxfId="218" totalsRowDxfId="219"/>
    <tableColumn id="3" xr3:uid="{00000000-0010-0000-2F00-000003000000}" name="Flt" totalsRowFunction="count" dataDxfId="216" totalsRowDxfId="217"/>
    <tableColumn id="4" xr3:uid="{00000000-0010-0000-2F00-000004000000}" name="DEP" dataDxfId="214" totalsRowDxfId="215"/>
    <tableColumn id="5" xr3:uid="{00000000-0010-0000-2F00-000005000000}" name="Brd-Off" totalsRowFunction="count" dataDxfId="212" totalsRowDxfId="213"/>
    <tableColumn id="6" xr3:uid="{00000000-0010-0000-2F00-000006000000}" name="Eqp" dataDxfId="210" totalsRowDxfId="211"/>
    <tableColumn id="7" xr3:uid="{00000000-0010-0000-2F00-000007000000}" name="LF%" totalsRowFunction="average" dataDxfId="208" totalsRowDxfId="209"/>
    <tableColumn id="8" xr3:uid="{00000000-0010-0000-2F00-000008000000}" name="CAP" totalsRowFunction="sum" dataDxfId="206" totalsRowDxfId="207"/>
    <tableColumn id="9" xr3:uid="{00000000-0010-0000-2F00-000009000000}" name="BKG(Y)" totalsRowFunction="sum" dataDxfId="204" totalsRowDxfId="205"/>
    <tableColumn id="10" xr3:uid="{00000000-0010-0000-2F00-00000A000000}" name="GRP(Y)" totalsRowFunction="sum" dataDxfId="202" totalsRowDxfId="203"/>
    <tableColumn id="11" xr3:uid="{00000000-0010-0000-2F00-00000B000000}" name="FLT ST" dataDxfId="200" totalsRowDxfId="201"/>
    <tableColumn id="12" xr3:uid="{00000000-0010-0000-2F00-00000C000000}" name="LST-SOLD" dataDxfId="198" totalsRowDxfId="199"/>
    <tableColumn id="13" xr3:uid="{00000000-0010-0000-2F00-00000D000000}" name="TO-DAY" totalsRowFunction="sum" dataDxfId="196" totalsRowDxfId="197"/>
    <tableColumn id="14" xr3:uid="{00000000-0010-0000-2F00-00000E000000}" name="Y-DAY" totalsRowFunction="sum" dataDxfId="194" totalsRowDxfId="195"/>
    <tableColumn id="15" xr3:uid="{00000000-0010-0000-2F00-00000F000000}" name="WEEKLY" totalsRowFunction="sum" dataDxfId="192" totalsRowDxfId="193"/>
    <tableColumn id="16" xr3:uid="{00000000-0010-0000-2F00-000010000000}" name="LOWEST AVAIL" dataDxfId="190" totalsRowDxfId="191"/>
    <tableColumn id="17" xr3:uid="{00000000-0010-0000-2F00-000011000000}" name="Y" totalsRowFunction="sum" dataDxfId="188" totalsRowDxfId="189"/>
    <tableColumn id="18" xr3:uid="{00000000-0010-0000-2F00-000012000000}" name="B" totalsRowFunction="sum" dataDxfId="186" totalsRowDxfId="187"/>
    <tableColumn id="19" xr3:uid="{00000000-0010-0000-2F00-000013000000}" name="M" totalsRowFunction="sum" dataDxfId="184" totalsRowDxfId="185"/>
    <tableColumn id="20" xr3:uid="{00000000-0010-0000-2F00-000014000000}" name="H" totalsRowFunction="sum" dataDxfId="182" totalsRowDxfId="183"/>
    <tableColumn id="21" xr3:uid="{00000000-0010-0000-2F00-000015000000}" name="Q" totalsRowFunction="sum" dataDxfId="180" totalsRowDxfId="181"/>
    <tableColumn id="22" xr3:uid="{00000000-0010-0000-2F00-000016000000}" name="K" totalsRowFunction="sum" dataDxfId="178" totalsRowDxfId="179"/>
    <tableColumn id="23" xr3:uid="{00000000-0010-0000-2F00-000017000000}" name="V" totalsRowFunction="sum" dataDxfId="176" totalsRowDxfId="177"/>
    <tableColumn id="24" xr3:uid="{00000000-0010-0000-2F00-000018000000}" name="L" totalsRowFunction="sum" dataDxfId="174" totalsRowDxfId="175"/>
    <tableColumn id="25" xr3:uid="{00000000-0010-0000-2F00-000019000000}" name="G" totalsRowFunction="sum" dataDxfId="172" totalsRowDxfId="173"/>
    <tableColumn id="26" xr3:uid="{00000000-0010-0000-2F00-00001A000000}" name="S" totalsRowFunction="sum" dataDxfId="170" totalsRowDxfId="171"/>
    <tableColumn id="27" xr3:uid="{00000000-0010-0000-2F00-00001B000000}" name="W" totalsRowFunction="sum" dataDxfId="168" totalsRowDxfId="169"/>
    <tableColumn id="28" xr3:uid="{00000000-0010-0000-2F00-00001C000000}" name="T" totalsRowFunction="sum" dataDxfId="166" totalsRowDxfId="167"/>
    <tableColumn id="29" xr3:uid="{00000000-0010-0000-2F00-00001D000000}" name="X" totalsRowFunction="sum" dataDxfId="164" totalsRowDxfId="165"/>
    <tableColumn id="30" xr3:uid="{00000000-0010-0000-2F00-00001E000000}" name="U" totalsRowFunction="sum" dataDxfId="162" totalsRowDxfId="163"/>
    <tableColumn id="31" xr3:uid="{00000000-0010-0000-2F00-00001F000000}" name="O" totalsRowFunction="sum" dataDxfId="160" totalsRowDxfId="161"/>
    <tableColumn id="32" xr3:uid="{00000000-0010-0000-2F00-000020000000}" name="I" totalsRowFunction="sum" dataDxfId="158" totalsRowDxfId="159"/>
    <tableColumn id="33" xr3:uid="{00000000-0010-0000-2F00-000021000000}" name="E" totalsRowFunction="sum" dataDxfId="156" totalsRowDxfId="157"/>
    <tableColumn id="34" xr3:uid="{00000000-0010-0000-2F00-000022000000}" name="A" totalsRowFunction="sum" dataDxfId="154" totalsRowDxfId="155"/>
    <tableColumn id="35" xr3:uid="{00000000-0010-0000-2F00-000023000000}" name="P" totalsRowFunction="sum" dataDxfId="152" totalsRowDxfId="153"/>
    <tableColumn id="36" xr3:uid="{00000000-0010-0000-2F00-000024000000}" name="N" totalsRowFunction="count" dataDxfId="150" totalsRowDxfId="151"/>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FocusMode_CAI_ELQ" displayName="FocusMode_CAI_ELQ" ref="A1:H138" totalsRowShown="0">
  <autoFilter ref="A1:H138" xr:uid="{00000000-0009-0000-0100-000031000000}"/>
  <tableColumns count="8">
    <tableColumn id="1" xr3:uid="{00000000-0010-0000-3000-000001000000}" name="DATE"/>
    <tableColumn id="2" xr3:uid="{00000000-0010-0000-3000-000002000000}" name="AIRLINE"/>
    <tableColumn id="3" xr3:uid="{00000000-0010-0000-3000-000003000000}" name="FLIGHT NUM"/>
    <tableColumn id="4" xr3:uid="{00000000-0010-0000-3000-000004000000}" name="ROUTE"/>
    <tableColumn id="5" xr3:uid="{00000000-0010-0000-3000-000005000000}" name="DEPARTURE"/>
    <tableColumn id="6" xr3:uid="{00000000-0010-0000-3000-000006000000}" name="BAGGAGE"/>
    <tableColumn id="7" xr3:uid="{00000000-0010-0000-3000-000007000000}" name="AVAILABILITY"/>
    <tableColumn id="8" xr3:uid="{00000000-0010-0000-3000-000008000000}" name="PUBLISHED FAR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hreatsAlert_CAI_ELQ" displayName="ThreatsAlert_CAI_ELQ" ref="A1:H94" totalsRowShown="0">
  <autoFilter ref="A1:H94" xr:uid="{00000000-0009-0000-0100-000032000000}"/>
  <tableColumns count="8">
    <tableColumn id="1" xr3:uid="{00000000-0010-0000-3100-000001000000}" name="DATE"/>
    <tableColumn id="2" xr3:uid="{00000000-0010-0000-3100-000002000000}" name="AIRLINE"/>
    <tableColumn id="3" xr3:uid="{00000000-0010-0000-3100-000003000000}" name="FLIGHT NUM"/>
    <tableColumn id="4" xr3:uid="{00000000-0010-0000-3100-000004000000}" name="ROUTE"/>
    <tableColumn id="5" xr3:uid="{00000000-0010-0000-3100-000005000000}" name="DEPARTURE"/>
    <tableColumn id="6" xr3:uid="{00000000-0010-0000-3100-000006000000}" name="BAGGAGE"/>
    <tableColumn id="7" xr3:uid="{00000000-0010-0000-3100-000007000000}" name="AVAILABILITY"/>
    <tableColumn id="8" xr3:uid="{00000000-0010-0000-3100-000008000000}" name="PUBLISHED FAR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ATZ_ELQ_LF_LEGACY" displayName="ATZ_ELQ_LF_LEGACY" ref="A1:AJ11" totalsRowCount="1" headerRowDxfId="149" dataDxfId="148" totalsRowDxfId="147">
  <tableColumns count="36">
    <tableColumn id="1" xr3:uid="{00000000-0010-0000-3200-000001000000}" name="Day" totalsRowLabel="TOTAL" dataDxfId="145" totalsRowDxfId="146"/>
    <tableColumn id="2" xr3:uid="{00000000-0010-0000-3200-000002000000}" name="Flt Dt" dataDxfId="143" totalsRowDxfId="144"/>
    <tableColumn id="3" xr3:uid="{00000000-0010-0000-3200-000003000000}" name="Flt" totalsRowFunction="count" dataDxfId="141" totalsRowDxfId="142"/>
    <tableColumn id="4" xr3:uid="{00000000-0010-0000-3200-000004000000}" name="DEP" dataDxfId="139" totalsRowDxfId="140"/>
    <tableColumn id="5" xr3:uid="{00000000-0010-0000-3200-000005000000}" name="Brd-Off" totalsRowFunction="count" dataDxfId="137" totalsRowDxfId="138"/>
    <tableColumn id="6" xr3:uid="{00000000-0010-0000-3200-000006000000}" name="Eqp" dataDxfId="135" totalsRowDxfId="136"/>
    <tableColumn id="7" xr3:uid="{00000000-0010-0000-3200-000007000000}" name="LF%" totalsRowFunction="average" dataDxfId="133" totalsRowDxfId="134"/>
    <tableColumn id="8" xr3:uid="{00000000-0010-0000-3200-000008000000}" name="CAP" totalsRowFunction="sum" dataDxfId="131" totalsRowDxfId="132"/>
    <tableColumn id="9" xr3:uid="{00000000-0010-0000-3200-000009000000}" name="BKG(Y)" totalsRowFunction="sum" dataDxfId="129" totalsRowDxfId="130"/>
    <tableColumn id="10" xr3:uid="{00000000-0010-0000-3200-00000A000000}" name="GRP(Y)" totalsRowFunction="sum" dataDxfId="127" totalsRowDxfId="128"/>
    <tableColumn id="11" xr3:uid="{00000000-0010-0000-3200-00000B000000}" name="FLT ST" dataDxfId="125" totalsRowDxfId="126"/>
    <tableColumn id="12" xr3:uid="{00000000-0010-0000-3200-00000C000000}" name="LST-SOLD" dataDxfId="123" totalsRowDxfId="124"/>
    <tableColumn id="13" xr3:uid="{00000000-0010-0000-3200-00000D000000}" name="TO-DAY" totalsRowFunction="sum" dataDxfId="121" totalsRowDxfId="122"/>
    <tableColumn id="14" xr3:uid="{00000000-0010-0000-3200-00000E000000}" name="Y-DAY" totalsRowFunction="sum" dataDxfId="119" totalsRowDxfId="120"/>
    <tableColumn id="15" xr3:uid="{00000000-0010-0000-3200-00000F000000}" name="WEEKLY" totalsRowFunction="sum" dataDxfId="117" totalsRowDxfId="118"/>
    <tableColumn id="16" xr3:uid="{00000000-0010-0000-3200-000010000000}" name="LOWEST AVAIL" dataDxfId="115" totalsRowDxfId="116"/>
    <tableColumn id="17" xr3:uid="{00000000-0010-0000-3200-000011000000}" name="Y" totalsRowFunction="sum" dataDxfId="113" totalsRowDxfId="114"/>
    <tableColumn id="18" xr3:uid="{00000000-0010-0000-3200-000012000000}" name="B" totalsRowFunction="sum" dataDxfId="111" totalsRowDxfId="112"/>
    <tableColumn id="19" xr3:uid="{00000000-0010-0000-3200-000013000000}" name="M" totalsRowFunction="sum" dataDxfId="109" totalsRowDxfId="110"/>
    <tableColumn id="20" xr3:uid="{00000000-0010-0000-3200-000014000000}" name="H" totalsRowFunction="sum" dataDxfId="107" totalsRowDxfId="108"/>
    <tableColumn id="21" xr3:uid="{00000000-0010-0000-3200-000015000000}" name="Q" totalsRowFunction="sum" dataDxfId="105" totalsRowDxfId="106"/>
    <tableColumn id="22" xr3:uid="{00000000-0010-0000-3200-000016000000}" name="K" totalsRowFunction="sum" dataDxfId="103" totalsRowDxfId="104"/>
    <tableColumn id="23" xr3:uid="{00000000-0010-0000-3200-000017000000}" name="V" totalsRowFunction="sum" dataDxfId="101" totalsRowDxfId="102"/>
    <tableColumn id="24" xr3:uid="{00000000-0010-0000-3200-000018000000}" name="L" totalsRowFunction="sum" dataDxfId="99" totalsRowDxfId="100"/>
    <tableColumn id="25" xr3:uid="{00000000-0010-0000-3200-000019000000}" name="G" totalsRowFunction="sum" dataDxfId="97" totalsRowDxfId="98"/>
    <tableColumn id="26" xr3:uid="{00000000-0010-0000-3200-00001A000000}" name="S" totalsRowFunction="sum" dataDxfId="95" totalsRowDxfId="96"/>
    <tableColumn id="27" xr3:uid="{00000000-0010-0000-3200-00001B000000}" name="W" totalsRowFunction="sum" dataDxfId="93" totalsRowDxfId="94"/>
    <tableColumn id="28" xr3:uid="{00000000-0010-0000-3200-00001C000000}" name="T" totalsRowFunction="sum" dataDxfId="91" totalsRowDxfId="92"/>
    <tableColumn id="29" xr3:uid="{00000000-0010-0000-3200-00001D000000}" name="X" totalsRowFunction="sum" dataDxfId="89" totalsRowDxfId="90"/>
    <tableColumn id="30" xr3:uid="{00000000-0010-0000-3200-00001E000000}" name="U" totalsRowFunction="sum" dataDxfId="87" totalsRowDxfId="88"/>
    <tableColumn id="31" xr3:uid="{00000000-0010-0000-3200-00001F000000}" name="O" totalsRowFunction="sum" dataDxfId="85" totalsRowDxfId="86"/>
    <tableColumn id="32" xr3:uid="{00000000-0010-0000-3200-000020000000}" name="I" totalsRowFunction="sum" dataDxfId="83" totalsRowDxfId="84"/>
    <tableColumn id="33" xr3:uid="{00000000-0010-0000-3200-000021000000}" name="E" totalsRowFunction="sum" dataDxfId="81" totalsRowDxfId="82"/>
    <tableColumn id="34" xr3:uid="{00000000-0010-0000-3200-000022000000}" name="A" totalsRowFunction="sum" dataDxfId="79" totalsRowDxfId="80"/>
    <tableColumn id="35" xr3:uid="{00000000-0010-0000-3200-000023000000}" name="P" totalsRowFunction="sum" dataDxfId="77" totalsRowDxfId="78"/>
    <tableColumn id="36" xr3:uid="{00000000-0010-0000-3200-000024000000}" name="N" totalsRowFunction="count" dataDxfId="75" totalsRowDxfId="76"/>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FocusMode_ATZ_ELQ" displayName="FocusMode_ATZ_ELQ" ref="A1:H178" totalsRowShown="0">
  <autoFilter ref="A1:H178" xr:uid="{00000000-0009-0000-0100-000034000000}"/>
  <tableColumns count="8">
    <tableColumn id="1" xr3:uid="{00000000-0010-0000-3300-000001000000}" name="DATE"/>
    <tableColumn id="2" xr3:uid="{00000000-0010-0000-3300-000002000000}" name="AIRLINE"/>
    <tableColumn id="3" xr3:uid="{00000000-0010-0000-3300-000003000000}" name="FLIGHT NUM"/>
    <tableColumn id="4" xr3:uid="{00000000-0010-0000-3300-000004000000}" name="ROUTE"/>
    <tableColumn id="5" xr3:uid="{00000000-0010-0000-3300-000005000000}" name="DEPARTURE"/>
    <tableColumn id="6" xr3:uid="{00000000-0010-0000-3300-000006000000}" name="BAGGAGE"/>
    <tableColumn id="7" xr3:uid="{00000000-0010-0000-3300-000007000000}" name="AVAILABILITY"/>
    <tableColumn id="8" xr3:uid="{00000000-0010-0000-3300-000008000000}" name="PUBLISHED FAR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CAI_GIZ_LF_LEGACY" displayName="CAI_GIZ_LF_LEGACY" ref="A1:AJ12" totalsRowCount="1" headerRowDxfId="74" dataDxfId="73" totalsRowDxfId="72">
  <tableColumns count="36">
    <tableColumn id="1" xr3:uid="{00000000-0010-0000-3400-000001000000}" name="Day" totalsRowLabel="TOTAL" dataDxfId="70" totalsRowDxfId="71"/>
    <tableColumn id="2" xr3:uid="{00000000-0010-0000-3400-000002000000}" name="Flt Dt" dataDxfId="68" totalsRowDxfId="69"/>
    <tableColumn id="3" xr3:uid="{00000000-0010-0000-3400-000003000000}" name="Flt" totalsRowFunction="count" dataDxfId="66" totalsRowDxfId="67"/>
    <tableColumn id="4" xr3:uid="{00000000-0010-0000-3400-000004000000}" name="DEP" dataDxfId="64" totalsRowDxfId="65"/>
    <tableColumn id="5" xr3:uid="{00000000-0010-0000-3400-000005000000}" name="Brd-Off" totalsRowFunction="count" dataDxfId="62" totalsRowDxfId="63"/>
    <tableColumn id="6" xr3:uid="{00000000-0010-0000-3400-000006000000}" name="Eqp" dataDxfId="60" totalsRowDxfId="61"/>
    <tableColumn id="7" xr3:uid="{00000000-0010-0000-3400-000007000000}" name="LF%" totalsRowFunction="average" dataDxfId="58" totalsRowDxfId="59"/>
    <tableColumn id="8" xr3:uid="{00000000-0010-0000-3400-000008000000}" name="CAP" totalsRowFunction="sum" dataDxfId="56" totalsRowDxfId="57"/>
    <tableColumn id="9" xr3:uid="{00000000-0010-0000-3400-000009000000}" name="BKG(Y)" totalsRowFunction="sum" dataDxfId="54" totalsRowDxfId="55"/>
    <tableColumn id="10" xr3:uid="{00000000-0010-0000-3400-00000A000000}" name="GRP(Y)" totalsRowFunction="sum" dataDxfId="52" totalsRowDxfId="53"/>
    <tableColumn id="11" xr3:uid="{00000000-0010-0000-3400-00000B000000}" name="FLT ST" dataDxfId="50" totalsRowDxfId="51"/>
    <tableColumn id="12" xr3:uid="{00000000-0010-0000-3400-00000C000000}" name="LST-SOLD" dataDxfId="48" totalsRowDxfId="49"/>
    <tableColumn id="13" xr3:uid="{00000000-0010-0000-3400-00000D000000}" name="TO-DAY" totalsRowFunction="sum" dataDxfId="46" totalsRowDxfId="47"/>
    <tableColumn id="14" xr3:uid="{00000000-0010-0000-3400-00000E000000}" name="Y-DAY" totalsRowFunction="sum" dataDxfId="44" totalsRowDxfId="45"/>
    <tableColumn id="15" xr3:uid="{00000000-0010-0000-3400-00000F000000}" name="WEEKLY" totalsRowFunction="sum" dataDxfId="42" totalsRowDxfId="43"/>
    <tableColumn id="16" xr3:uid="{00000000-0010-0000-3400-000010000000}" name="LOWEST AVAIL" dataDxfId="40" totalsRowDxfId="41"/>
    <tableColumn id="17" xr3:uid="{00000000-0010-0000-3400-000011000000}" name="Y" totalsRowFunction="sum" dataDxfId="38" totalsRowDxfId="39"/>
    <tableColumn id="18" xr3:uid="{00000000-0010-0000-3400-000012000000}" name="B" totalsRowFunction="sum" dataDxfId="36" totalsRowDxfId="37"/>
    <tableColumn id="19" xr3:uid="{00000000-0010-0000-3400-000013000000}" name="M" totalsRowFunction="sum" dataDxfId="34" totalsRowDxfId="35"/>
    <tableColumn id="20" xr3:uid="{00000000-0010-0000-3400-000014000000}" name="H" totalsRowFunction="sum" dataDxfId="32" totalsRowDxfId="33"/>
    <tableColumn id="21" xr3:uid="{00000000-0010-0000-3400-000015000000}" name="Q" totalsRowFunction="sum" dataDxfId="30" totalsRowDxfId="31"/>
    <tableColumn id="22" xr3:uid="{00000000-0010-0000-3400-000016000000}" name="K" totalsRowFunction="sum" dataDxfId="28" totalsRowDxfId="29"/>
    <tableColumn id="23" xr3:uid="{00000000-0010-0000-3400-000017000000}" name="V" totalsRowFunction="sum" dataDxfId="26" totalsRowDxfId="27"/>
    <tableColumn id="24" xr3:uid="{00000000-0010-0000-3400-000018000000}" name="L" totalsRowFunction="sum" dataDxfId="24" totalsRowDxfId="25"/>
    <tableColumn id="25" xr3:uid="{00000000-0010-0000-3400-000019000000}" name="G" totalsRowFunction="sum" dataDxfId="22" totalsRowDxfId="23"/>
    <tableColumn id="26" xr3:uid="{00000000-0010-0000-3400-00001A000000}" name="S" totalsRowFunction="sum" dataDxfId="20" totalsRowDxfId="21"/>
    <tableColumn id="27" xr3:uid="{00000000-0010-0000-3400-00001B000000}" name="W" totalsRowFunction="sum" dataDxfId="18" totalsRowDxfId="19"/>
    <tableColumn id="28" xr3:uid="{00000000-0010-0000-3400-00001C000000}" name="T" totalsRowFunction="sum" dataDxfId="16" totalsRowDxfId="17"/>
    <tableColumn id="29" xr3:uid="{00000000-0010-0000-3400-00001D000000}" name="X" totalsRowFunction="sum" dataDxfId="14" totalsRowDxfId="15"/>
    <tableColumn id="30" xr3:uid="{00000000-0010-0000-3400-00001E000000}" name="U" totalsRowFunction="sum" dataDxfId="12" totalsRowDxfId="13"/>
    <tableColumn id="31" xr3:uid="{00000000-0010-0000-3400-00001F000000}" name="O" totalsRowFunction="sum" dataDxfId="10" totalsRowDxfId="11"/>
    <tableColumn id="32" xr3:uid="{00000000-0010-0000-3400-000020000000}" name="I" totalsRowFunction="sum" dataDxfId="8" totalsRowDxfId="9"/>
    <tableColumn id="33" xr3:uid="{00000000-0010-0000-3400-000021000000}" name="E" totalsRowFunction="sum" dataDxfId="6" totalsRowDxfId="7"/>
    <tableColumn id="34" xr3:uid="{00000000-0010-0000-3400-000022000000}" name="A" totalsRowFunction="sum" dataDxfId="4" totalsRowDxfId="5"/>
    <tableColumn id="35" xr3:uid="{00000000-0010-0000-3400-000023000000}" name="P" totalsRowFunction="sum" dataDxfId="2" totalsRowDxfId="3"/>
    <tableColumn id="36" xr3:uid="{00000000-0010-0000-3400-000024000000}" name="N" totalsRowFunction="count" dataDxfId="0" totalsRowDxfId="1"/>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FocusMode_CAI_GIZ" displayName="FocusMode_CAI_GIZ" ref="A1:H51" totalsRowShown="0">
  <autoFilter ref="A1:H51" xr:uid="{00000000-0009-0000-0100-000036000000}"/>
  <tableColumns count="8">
    <tableColumn id="1" xr3:uid="{00000000-0010-0000-3500-000001000000}" name="DATE"/>
    <tableColumn id="2" xr3:uid="{00000000-0010-0000-3500-000002000000}" name="AIRLINE"/>
    <tableColumn id="3" xr3:uid="{00000000-0010-0000-3500-000003000000}" name="FLIGHT NUM"/>
    <tableColumn id="4" xr3:uid="{00000000-0010-0000-3500-000004000000}" name="ROUTE"/>
    <tableColumn id="5" xr3:uid="{00000000-0010-0000-3500-000005000000}" name="DEPARTURE"/>
    <tableColumn id="6" xr3:uid="{00000000-0010-0000-3500-000006000000}" name="BAGGAGE"/>
    <tableColumn id="7" xr3:uid="{00000000-0010-0000-3500-000007000000}" name="AVAILABILITY"/>
    <tableColumn id="8" xr3:uid="{00000000-0010-0000-3500-000008000000}" name="PUBLISHED FARE"/>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hreatsAlert_CAI_GIZ" displayName="ThreatsAlert_CAI_GIZ" ref="A1:H32" totalsRowShown="0">
  <autoFilter ref="A1:H32" xr:uid="{00000000-0009-0000-0100-000037000000}"/>
  <tableColumns count="8">
    <tableColumn id="1" xr3:uid="{00000000-0010-0000-3600-000001000000}" name="DATE"/>
    <tableColumn id="2" xr3:uid="{00000000-0010-0000-3600-000002000000}" name="AIRLINE"/>
    <tableColumn id="3" xr3:uid="{00000000-0010-0000-3600-000003000000}" name="FLIGHT NUM"/>
    <tableColumn id="4" xr3:uid="{00000000-0010-0000-3600-000004000000}" name="ROUTE"/>
    <tableColumn id="5" xr3:uid="{00000000-0010-0000-3600-000005000000}" name="DEPARTURE"/>
    <tableColumn id="6" xr3:uid="{00000000-0010-0000-3600-000006000000}" name="BAGGAGE"/>
    <tableColumn id="7" xr3:uid="{00000000-0010-0000-3600-000007000000}" name="AVAILABILITY"/>
    <tableColumn id="8" xr3:uid="{00000000-0010-0000-3600-000008000000}" name="PUBLISHED FARE"/>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EGY_TO_KSA_ALL_ROUTES" displayName="EGY_TO_KSA_ALL_ROUTES" ref="A1:AJ554" totalsRowShown="0">
  <tableColumns count="36">
    <tableColumn id="1" xr3:uid="{00000000-0010-0000-3700-000001000000}" name="Day" totalsRowLabel="TOTAL"/>
    <tableColumn id="2" xr3:uid="{00000000-0010-0000-3700-000002000000}" name="Flt Dt"/>
    <tableColumn id="3" xr3:uid="{00000000-0010-0000-3700-000003000000}" name="Flt" totalsRowFunction="count"/>
    <tableColumn id="4" xr3:uid="{00000000-0010-0000-3700-000004000000}" name="DEP"/>
    <tableColumn id="5" xr3:uid="{00000000-0010-0000-3700-000005000000}" name="Brd-Off" totalsRowFunction="count"/>
    <tableColumn id="6" xr3:uid="{00000000-0010-0000-3700-000006000000}" name="Eqp"/>
    <tableColumn id="7" xr3:uid="{00000000-0010-0000-3700-000007000000}" name="LF%" totalsRowFunction="average"/>
    <tableColumn id="8" xr3:uid="{00000000-0010-0000-3700-000008000000}" name="CAP" totalsRowFunction="sum"/>
    <tableColumn id="9" xr3:uid="{00000000-0010-0000-3700-000009000000}" name="BKG(Y)" totalsRowFunction="sum"/>
    <tableColumn id="10" xr3:uid="{00000000-0010-0000-3700-00000A000000}" name="GRP(Y)" totalsRowFunction="sum"/>
    <tableColumn id="11" xr3:uid="{00000000-0010-0000-3700-00000B000000}" name="FLT ST"/>
    <tableColumn id="12" xr3:uid="{00000000-0010-0000-3700-00000C000000}" name="LST-SOLD"/>
    <tableColumn id="13" xr3:uid="{00000000-0010-0000-3700-00000D000000}" name="TO-DAY" totalsRowFunction="sum"/>
    <tableColumn id="14" xr3:uid="{00000000-0010-0000-3700-00000E000000}" name="Y-DAY" totalsRowFunction="sum"/>
    <tableColumn id="15" xr3:uid="{00000000-0010-0000-3700-00000F000000}" name="WEEKLY" totalsRowFunction="sum"/>
    <tableColumn id="16" xr3:uid="{00000000-0010-0000-3700-000010000000}" name="LOWEST AVAIL" totalsRowFunction="sum"/>
    <tableColumn id="17" xr3:uid="{00000000-0010-0000-3700-000011000000}" name="Y" totalsRowFunction="sum"/>
    <tableColumn id="18" xr3:uid="{00000000-0010-0000-3700-000012000000}" name="B" totalsRowFunction="sum"/>
    <tableColumn id="19" xr3:uid="{00000000-0010-0000-3700-000013000000}" name="M" totalsRowFunction="sum"/>
    <tableColumn id="20" xr3:uid="{00000000-0010-0000-3700-000014000000}" name="H" totalsRowFunction="sum"/>
    <tableColumn id="21" xr3:uid="{00000000-0010-0000-3700-000015000000}" name="Q" totalsRowFunction="sum"/>
    <tableColumn id="22" xr3:uid="{00000000-0010-0000-3700-000016000000}" name="K" totalsRowFunction="sum"/>
    <tableColumn id="23" xr3:uid="{00000000-0010-0000-3700-000017000000}" name="V" totalsRowFunction="sum"/>
    <tableColumn id="24" xr3:uid="{00000000-0010-0000-3700-000018000000}" name="L" totalsRowFunction="sum"/>
    <tableColumn id="25" xr3:uid="{00000000-0010-0000-3700-000019000000}" name="G" totalsRowFunction="sum"/>
    <tableColumn id="26" xr3:uid="{00000000-0010-0000-3700-00001A000000}" name="S" totalsRowFunction="sum"/>
    <tableColumn id="27" xr3:uid="{00000000-0010-0000-3700-00001B000000}" name="W" totalsRowFunction="sum"/>
    <tableColumn id="28" xr3:uid="{00000000-0010-0000-3700-00001C000000}" name="T" totalsRowFunction="sum"/>
    <tableColumn id="29" xr3:uid="{00000000-0010-0000-3700-00001D000000}" name="X" totalsRowFunction="sum"/>
    <tableColumn id="30" xr3:uid="{00000000-0010-0000-3700-00001E000000}" name="U" totalsRowFunction="sum"/>
    <tableColumn id="31" xr3:uid="{00000000-0010-0000-3700-00001F000000}" name="O" totalsRowFunction="sum"/>
    <tableColumn id="32" xr3:uid="{00000000-0010-0000-3700-000020000000}" name="I" totalsRowFunction="sum"/>
    <tableColumn id="33" xr3:uid="{00000000-0010-0000-3700-000021000000}" name="E" totalsRowFunction="sum"/>
    <tableColumn id="34" xr3:uid="{00000000-0010-0000-3700-000022000000}" name="A" totalsRowFunction="sum"/>
    <tableColumn id="35" xr3:uid="{00000000-0010-0000-3700-000023000000}" name="P" totalsRowFunction="sum"/>
    <tableColumn id="36" xr3:uid="{00000000-0010-0000-3700-000024000000}"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7.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9.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0.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2.xml"/><Relationship Id="rId1"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4.xml"/><Relationship Id="rId1" Type="http://schemas.openxmlformats.org/officeDocument/2006/relationships/vmlDrawing" Target="../drawings/vmlDrawing8.v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6.xml"/><Relationship Id="rId1" Type="http://schemas.openxmlformats.org/officeDocument/2006/relationships/vmlDrawing" Target="../drawings/vmlDrawing9.v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8.xml"/><Relationship Id="rId1" Type="http://schemas.openxmlformats.org/officeDocument/2006/relationships/vmlDrawing" Target="../drawings/vmlDrawing10.v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21.xml"/><Relationship Id="rId1" Type="http://schemas.openxmlformats.org/officeDocument/2006/relationships/vmlDrawing" Target="../drawings/vmlDrawing11.v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22.xml"/><Relationship Id="rId1" Type="http://schemas.openxmlformats.org/officeDocument/2006/relationships/vmlDrawing" Target="../drawings/vmlDrawing12.vml"/></Relationships>
</file>

<file path=xl/worksheets/_rels/sheet38.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4.xml"/><Relationship Id="rId1" Type="http://schemas.openxmlformats.org/officeDocument/2006/relationships/vmlDrawing" Target="../drawings/vmlDrawing13.v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6.xml"/><Relationship Id="rId1" Type="http://schemas.openxmlformats.org/officeDocument/2006/relationships/vmlDrawing" Target="../drawings/vmlDrawing14.v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7.xml"/><Relationship Id="rId1" Type="http://schemas.openxmlformats.org/officeDocument/2006/relationships/vmlDrawing" Target="../drawings/vmlDrawing15.vml"/></Relationships>
</file>

<file path=xl/worksheets/_rels/sheet45.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4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9.xml"/><Relationship Id="rId1" Type="http://schemas.openxmlformats.org/officeDocument/2006/relationships/vmlDrawing" Target="../drawings/vmlDrawing16.vml"/></Relationships>
</file>

<file path=xl/worksheets/_rels/sheet48.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4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31.xml"/><Relationship Id="rId1" Type="http://schemas.openxmlformats.org/officeDocument/2006/relationships/vmlDrawing" Target="../drawings/vmlDrawing17.vml"/></Relationships>
</file>

<file path=xl/worksheets/_rels/sheet5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32.xml"/><Relationship Id="rId1" Type="http://schemas.openxmlformats.org/officeDocument/2006/relationships/vmlDrawing" Target="../drawings/vmlDrawing18.vml"/></Relationships>
</file>

<file path=xl/worksheets/_rels/sheet52.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53.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34.xml"/><Relationship Id="rId1" Type="http://schemas.openxmlformats.org/officeDocument/2006/relationships/vmlDrawing" Target="../drawings/vmlDrawing19.vml"/></Relationships>
</file>

<file path=xl/worksheets/_rels/sheet55.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56.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36.xml"/><Relationship Id="rId1" Type="http://schemas.openxmlformats.org/officeDocument/2006/relationships/vmlDrawing" Target="../drawings/vmlDrawing20.vml"/></Relationships>
</file>

<file path=xl/worksheets/_rels/sheet57.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37.xml"/><Relationship Id="rId1" Type="http://schemas.openxmlformats.org/officeDocument/2006/relationships/vmlDrawing" Target="../drawings/vmlDrawing21.vml"/></Relationships>
</file>

<file path=xl/worksheets/_rels/sheet5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6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table" Target="../tables/table39.xml"/><Relationship Id="rId1" Type="http://schemas.openxmlformats.org/officeDocument/2006/relationships/vmlDrawing" Target="../drawings/vmlDrawing22.vml"/></Relationships>
</file>

<file path=xl/worksheets/_rels/sheet62.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table" Target="../tables/table41.xml"/><Relationship Id="rId1" Type="http://schemas.openxmlformats.org/officeDocument/2006/relationships/vmlDrawing" Target="../drawings/vmlDrawing23.vml"/></Relationships>
</file>

<file path=xl/worksheets/_rels/sheet6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table" Target="../tables/table42.xml"/><Relationship Id="rId1" Type="http://schemas.openxmlformats.org/officeDocument/2006/relationships/vmlDrawing" Target="../drawings/vmlDrawing24.vml"/></Relationships>
</file>

<file path=xl/worksheets/_rels/sheet66.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67.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table" Target="../tables/table44.xml"/><Relationship Id="rId1" Type="http://schemas.openxmlformats.org/officeDocument/2006/relationships/vmlDrawing" Target="../drawings/vmlDrawing25.vml"/></Relationships>
</file>

<file path=xl/worksheets/_rels/sheet68.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table" Target="../tables/table45.xml"/><Relationship Id="rId1" Type="http://schemas.openxmlformats.org/officeDocument/2006/relationships/vmlDrawing" Target="../drawings/vmlDrawing26.vml"/></Relationships>
</file>

<file path=xl/worksheets/_rels/sheet70.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table" Target="../tables/table47.xml"/><Relationship Id="rId1" Type="http://schemas.openxmlformats.org/officeDocument/2006/relationships/vmlDrawing" Target="../drawings/vmlDrawing27.vml"/></Relationships>
</file>

<file path=xl/worksheets/_rels/sheet73.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74.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table" Target="../tables/table49.xml"/><Relationship Id="rId1" Type="http://schemas.openxmlformats.org/officeDocument/2006/relationships/vmlDrawing" Target="../drawings/vmlDrawing28.vml"/></Relationships>
</file>

<file path=xl/worksheets/_rels/sheet75.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table" Target="../tables/table50.xml"/><Relationship Id="rId1" Type="http://schemas.openxmlformats.org/officeDocument/2006/relationships/vmlDrawing" Target="../drawings/vmlDrawing29.vml"/></Relationships>
</file>

<file path=xl/worksheets/_rels/sheet77.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78.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table" Target="../tables/table52.xml"/><Relationship Id="rId1" Type="http://schemas.openxmlformats.org/officeDocument/2006/relationships/vmlDrawing" Target="../drawings/vmlDrawing30.vml"/></Relationships>
</file>

<file path=xl/worksheets/_rels/sheet80.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81.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table" Target="../tables/table54.xml"/><Relationship Id="rId1" Type="http://schemas.openxmlformats.org/officeDocument/2006/relationships/vmlDrawing" Target="../drawings/vmlDrawing31.vml"/></Relationships>
</file>

<file path=xl/worksheets/_rels/sheet82.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table" Target="../tables/table55.xml"/><Relationship Id="rId1" Type="http://schemas.openxmlformats.org/officeDocument/2006/relationships/vmlDrawing" Target="../drawings/vmlDrawing32.vml"/></Relationships>
</file>

<file path=xl/worksheets/_rels/sheet83.xml.rels><?xml version="1.0" encoding="UTF-8" standalone="yes"?>
<Relationships xmlns="http://schemas.openxmlformats.org/package/2006/relationships"><Relationship Id="rId1" Type="http://schemas.openxmlformats.org/officeDocument/2006/relationships/table" Target="../tables/table5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703"/>
  <sheetViews>
    <sheetView tabSelected="1" workbookViewId="0">
      <selection sqref="A1:E1"/>
    </sheetView>
  </sheetViews>
  <sheetFormatPr defaultRowHeight="14.45"/>
  <cols>
    <col min="1" max="1" width="10.28515625" bestFit="1" customWidth="1"/>
    <col min="2" max="2" width="15.7109375" bestFit="1" customWidth="1"/>
    <col min="3" max="3" width="14.7109375" bestFit="1" customWidth="1"/>
    <col min="4" max="4" width="33" bestFit="1" customWidth="1"/>
    <col min="5" max="5" width="18.5703125" bestFit="1" customWidth="1"/>
    <col min="6" max="6" width="23.42578125" bestFit="1" customWidth="1"/>
    <col min="7" max="7" width="45.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25.5703125" bestFit="1" customWidth="1"/>
  </cols>
  <sheetData>
    <row r="1" spans="1:92" ht="28.9" customHeight="1">
      <c r="A1" s="291" t="s">
        <v>0</v>
      </c>
      <c r="B1" s="294"/>
      <c r="C1" s="294"/>
      <c r="D1" s="294"/>
      <c r="E1" s="294"/>
      <c r="F1" s="1" t="s">
        <v>1</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45980.609042022617</v>
      </c>
      <c r="H2" s="294"/>
      <c r="I2" s="294"/>
      <c r="J2" s="294"/>
      <c r="K2" s="287">
        <v>45980.60904202309</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46023</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26</v>
      </c>
      <c r="B6" s="8" t="s">
        <v>27</v>
      </c>
      <c r="C6" s="9">
        <v>0.60763888888888895</v>
      </c>
      <c r="D6" s="8" t="s">
        <v>28</v>
      </c>
      <c r="E6" s="8" t="s">
        <v>29</v>
      </c>
      <c r="F6" s="8" t="s">
        <v>30</v>
      </c>
      <c r="G6" s="297"/>
      <c r="H6" s="10"/>
      <c r="I6" s="11"/>
      <c r="J6" s="11"/>
      <c r="K6" s="11"/>
      <c r="L6" s="11"/>
      <c r="M6" s="11"/>
      <c r="N6" s="11"/>
      <c r="O6" s="12"/>
      <c r="P6" s="11"/>
      <c r="Q6" s="13"/>
      <c r="R6" s="14"/>
    </row>
    <row r="7" spans="1:92" ht="15" customHeight="1">
      <c r="A7" s="15" t="s">
        <v>26</v>
      </c>
      <c r="B7" s="15" t="s">
        <v>27</v>
      </c>
      <c r="C7" s="16">
        <v>0.60763888888888895</v>
      </c>
      <c r="D7" s="15" t="s">
        <v>31</v>
      </c>
      <c r="E7" s="15" t="s">
        <v>32</v>
      </c>
      <c r="F7" s="15" t="s">
        <v>33</v>
      </c>
      <c r="G7" s="298"/>
      <c r="H7" s="10"/>
      <c r="I7" s="11"/>
      <c r="J7" s="11"/>
      <c r="K7" s="11"/>
      <c r="L7" s="11"/>
      <c r="M7" s="11"/>
      <c r="N7" s="11"/>
      <c r="O7" s="12"/>
      <c r="P7" s="11"/>
      <c r="Q7" s="13"/>
      <c r="R7" s="14"/>
    </row>
    <row r="8" spans="1:92" ht="15" customHeight="1">
      <c r="A8" s="15" t="s">
        <v>26</v>
      </c>
      <c r="B8" s="15" t="s">
        <v>27</v>
      </c>
      <c r="C8" s="16">
        <v>0.60763888888888895</v>
      </c>
      <c r="D8" s="15" t="s">
        <v>34</v>
      </c>
      <c r="E8" s="15" t="s">
        <v>32</v>
      </c>
      <c r="F8" s="15" t="s">
        <v>35</v>
      </c>
      <c r="G8" s="298"/>
      <c r="H8" s="10"/>
      <c r="I8" s="11"/>
      <c r="J8" s="11"/>
      <c r="K8" s="11"/>
      <c r="L8" s="11"/>
      <c r="M8" s="11"/>
      <c r="N8" s="11"/>
      <c r="O8" s="12"/>
      <c r="P8" s="11"/>
      <c r="Q8" s="13"/>
      <c r="R8" s="14"/>
    </row>
    <row r="9" spans="1:92" ht="15" customHeight="1">
      <c r="A9" s="17" t="s">
        <v>26</v>
      </c>
      <c r="B9" s="17" t="s">
        <v>36</v>
      </c>
      <c r="C9" s="18">
        <v>0.43402777777777768</v>
      </c>
      <c r="D9" s="17" t="s">
        <v>28</v>
      </c>
      <c r="E9" s="17" t="s">
        <v>37</v>
      </c>
      <c r="F9" s="17" t="s">
        <v>30</v>
      </c>
      <c r="G9" s="298"/>
      <c r="H9" s="10"/>
      <c r="I9" s="11"/>
      <c r="J9" s="11"/>
      <c r="K9" s="11"/>
      <c r="L9" s="11"/>
      <c r="M9" s="11"/>
      <c r="N9" s="11"/>
      <c r="O9" s="12"/>
      <c r="P9" s="11"/>
      <c r="Q9" s="13"/>
      <c r="R9" s="14"/>
    </row>
    <row r="10" spans="1:92" ht="15" customHeight="1">
      <c r="A10" s="15" t="s">
        <v>26</v>
      </c>
      <c r="B10" s="15" t="s">
        <v>36</v>
      </c>
      <c r="C10" s="16">
        <v>0.43402777777777768</v>
      </c>
      <c r="D10" s="15" t="s">
        <v>31</v>
      </c>
      <c r="E10" s="15" t="s">
        <v>32</v>
      </c>
      <c r="F10" s="15" t="s">
        <v>33</v>
      </c>
      <c r="G10" s="298"/>
      <c r="H10" s="10"/>
      <c r="I10" s="11"/>
      <c r="J10" s="11"/>
      <c r="K10" s="11"/>
      <c r="L10" s="11"/>
      <c r="M10" s="11"/>
      <c r="N10" s="11"/>
      <c r="O10" s="12"/>
      <c r="P10" s="11"/>
      <c r="Q10" s="13"/>
      <c r="R10" s="14"/>
    </row>
    <row r="11" spans="1:92" ht="15" customHeight="1">
      <c r="A11" s="15" t="s">
        <v>26</v>
      </c>
      <c r="B11" s="15" t="s">
        <v>36</v>
      </c>
      <c r="C11" s="16">
        <v>0.43402777777777768</v>
      </c>
      <c r="D11" s="15" t="s">
        <v>34</v>
      </c>
      <c r="E11" s="15" t="s">
        <v>32</v>
      </c>
      <c r="F11" s="15" t="s">
        <v>35</v>
      </c>
      <c r="G11" s="298"/>
      <c r="H11" s="10"/>
      <c r="I11" s="11"/>
      <c r="J11" s="11"/>
      <c r="K11" s="11"/>
      <c r="L11" s="11"/>
      <c r="M11" s="11"/>
      <c r="N11" s="11"/>
      <c r="O11" s="12"/>
      <c r="P11" s="11"/>
      <c r="Q11" s="13"/>
      <c r="R11" s="14"/>
    </row>
    <row r="12" spans="1:92" ht="15" customHeight="1">
      <c r="A12" s="19" t="s">
        <v>38</v>
      </c>
      <c r="B12" s="19" t="s">
        <v>39</v>
      </c>
      <c r="C12" s="20">
        <v>0.22916666666666671</v>
      </c>
      <c r="D12" s="19" t="s">
        <v>40</v>
      </c>
      <c r="E12" s="19" t="s">
        <v>41</v>
      </c>
      <c r="F12" s="19" t="s">
        <v>42</v>
      </c>
      <c r="G12" s="298"/>
      <c r="H12" s="10"/>
      <c r="I12" s="11"/>
      <c r="J12" s="11"/>
      <c r="K12" s="11"/>
      <c r="L12" s="11"/>
      <c r="M12" s="11"/>
      <c r="N12" s="11"/>
      <c r="O12" s="12"/>
      <c r="P12" s="11"/>
      <c r="Q12" s="13"/>
      <c r="R12" s="14"/>
    </row>
    <row r="13" spans="1:92" ht="15" customHeight="1">
      <c r="A13" s="15" t="s">
        <v>38</v>
      </c>
      <c r="B13" s="15" t="s">
        <v>39</v>
      </c>
      <c r="C13" s="16">
        <v>0.22916666666666671</v>
      </c>
      <c r="D13" s="15" t="s">
        <v>43</v>
      </c>
      <c r="E13" s="15" t="s">
        <v>44</v>
      </c>
      <c r="F13" s="15" t="s">
        <v>45</v>
      </c>
      <c r="G13" s="298"/>
      <c r="H13" s="10"/>
      <c r="I13" s="11"/>
      <c r="J13" s="11"/>
      <c r="K13" s="11"/>
      <c r="L13" s="11"/>
      <c r="M13" s="11"/>
      <c r="N13" s="11"/>
      <c r="O13" s="12"/>
      <c r="P13" s="11"/>
      <c r="Q13" s="13"/>
      <c r="R13" s="14"/>
    </row>
    <row r="14" spans="1:92" ht="15" customHeight="1">
      <c r="A14" s="15" t="s">
        <v>38</v>
      </c>
      <c r="B14" s="15" t="s">
        <v>39</v>
      </c>
      <c r="C14" s="16">
        <v>0.22916666666666671</v>
      </c>
      <c r="D14" s="15" t="s">
        <v>46</v>
      </c>
      <c r="E14" s="15" t="s">
        <v>44</v>
      </c>
      <c r="F14" s="15" t="s">
        <v>47</v>
      </c>
      <c r="G14" s="298"/>
      <c r="H14" s="10"/>
      <c r="I14" s="11"/>
      <c r="J14" s="11"/>
      <c r="K14" s="11"/>
      <c r="L14" s="11"/>
      <c r="M14" s="11"/>
      <c r="N14" s="11"/>
      <c r="O14" s="12"/>
      <c r="P14" s="11"/>
      <c r="Q14" s="13"/>
      <c r="R14" s="14"/>
    </row>
    <row r="15" spans="1:92" ht="15" customHeight="1">
      <c r="A15" s="19" t="s">
        <v>48</v>
      </c>
      <c r="B15" s="19" t="s">
        <v>49</v>
      </c>
      <c r="C15" s="20">
        <v>0.35416666666666669</v>
      </c>
      <c r="D15" s="19" t="s">
        <v>50</v>
      </c>
      <c r="E15" s="19" t="s">
        <v>51</v>
      </c>
      <c r="F15" s="19" t="s">
        <v>52</v>
      </c>
      <c r="G15" s="298"/>
      <c r="H15" s="10"/>
      <c r="I15" s="11"/>
      <c r="J15" s="11"/>
      <c r="K15" s="11"/>
      <c r="L15" s="11"/>
      <c r="M15" s="11"/>
      <c r="N15" s="11"/>
      <c r="O15" s="12"/>
      <c r="P15" s="11"/>
      <c r="Q15" s="13"/>
      <c r="R15" s="14"/>
    </row>
    <row r="16" spans="1:92" ht="15" customHeight="1">
      <c r="A16" s="15" t="s">
        <v>48</v>
      </c>
      <c r="B16" s="15" t="s">
        <v>49</v>
      </c>
      <c r="C16" s="16">
        <v>0.35416666666666669</v>
      </c>
      <c r="D16" s="15" t="s">
        <v>53</v>
      </c>
      <c r="E16" s="15" t="s">
        <v>54</v>
      </c>
      <c r="F16" s="15" t="s">
        <v>55</v>
      </c>
      <c r="G16" s="298"/>
      <c r="H16" s="10"/>
      <c r="I16" s="11"/>
      <c r="J16" s="11"/>
      <c r="K16" s="11"/>
      <c r="L16" s="11"/>
      <c r="M16" s="11"/>
      <c r="N16" s="11"/>
      <c r="O16" s="12"/>
      <c r="P16" s="11"/>
      <c r="Q16" s="13"/>
      <c r="R16" s="14"/>
    </row>
    <row r="17" spans="1:18" ht="15" customHeight="1">
      <c r="A17" s="17" t="s">
        <v>48</v>
      </c>
      <c r="B17" s="17" t="s">
        <v>56</v>
      </c>
      <c r="C17" s="18">
        <v>0.89583333333333337</v>
      </c>
      <c r="D17" s="17" t="s">
        <v>50</v>
      </c>
      <c r="E17" s="17" t="s">
        <v>57</v>
      </c>
      <c r="F17" s="17" t="s">
        <v>52</v>
      </c>
      <c r="G17" s="298"/>
      <c r="H17" s="10"/>
      <c r="I17" s="11"/>
      <c r="J17" s="11"/>
      <c r="K17" s="11"/>
      <c r="L17" s="11"/>
      <c r="M17" s="11"/>
      <c r="N17" s="11"/>
      <c r="O17" s="12"/>
      <c r="P17" s="11"/>
      <c r="Q17" s="13"/>
      <c r="R17" s="14"/>
    </row>
    <row r="18" spans="1:18" ht="15" customHeight="1">
      <c r="A18" s="15" t="s">
        <v>48</v>
      </c>
      <c r="B18" s="15" t="s">
        <v>56</v>
      </c>
      <c r="C18" s="16">
        <v>0.89583333333333337</v>
      </c>
      <c r="D18" s="15" t="s">
        <v>53</v>
      </c>
      <c r="E18" s="15" t="s">
        <v>54</v>
      </c>
      <c r="F18" s="15" t="s">
        <v>55</v>
      </c>
      <c r="G18" s="298"/>
      <c r="H18" s="10"/>
      <c r="I18" s="11"/>
      <c r="J18" s="11"/>
      <c r="K18" s="11"/>
      <c r="L18" s="11"/>
      <c r="M18" s="11"/>
      <c r="N18" s="11"/>
      <c r="O18" s="12"/>
      <c r="P18" s="11"/>
      <c r="Q18" s="13"/>
      <c r="R18" s="14"/>
    </row>
    <row r="19" spans="1:18" ht="15" customHeight="1">
      <c r="A19" s="17" t="s">
        <v>48</v>
      </c>
      <c r="B19" s="17" t="s">
        <v>58</v>
      </c>
      <c r="C19" s="18">
        <v>0.18402777777777779</v>
      </c>
      <c r="D19" s="17" t="s">
        <v>50</v>
      </c>
      <c r="E19" s="17" t="s">
        <v>57</v>
      </c>
      <c r="F19" s="17" t="s">
        <v>52</v>
      </c>
      <c r="G19" s="298"/>
      <c r="H19" s="10"/>
      <c r="I19" s="11"/>
      <c r="J19" s="11"/>
      <c r="K19" s="11"/>
      <c r="L19" s="11"/>
      <c r="M19" s="11"/>
      <c r="N19" s="11"/>
      <c r="O19" s="12"/>
      <c r="P19" s="11"/>
      <c r="Q19" s="13"/>
      <c r="R19" s="14"/>
    </row>
    <row r="20" spans="1:18" ht="15" customHeight="1">
      <c r="A20" s="15" t="s">
        <v>48</v>
      </c>
      <c r="B20" s="15" t="s">
        <v>58</v>
      </c>
      <c r="C20" s="16">
        <v>0.18402777777777779</v>
      </c>
      <c r="D20" s="15" t="s">
        <v>53</v>
      </c>
      <c r="E20" s="15" t="s">
        <v>54</v>
      </c>
      <c r="F20" s="15" t="s">
        <v>55</v>
      </c>
      <c r="G20" s="298"/>
      <c r="H20" s="10"/>
      <c r="I20" s="11"/>
      <c r="J20" s="11"/>
      <c r="K20" s="11"/>
      <c r="L20" s="11"/>
      <c r="M20" s="11"/>
      <c r="N20" s="11"/>
      <c r="O20" s="12"/>
      <c r="P20" s="11"/>
      <c r="Q20" s="13"/>
      <c r="R20" s="14"/>
    </row>
    <row r="21" spans="1:18" ht="15" customHeight="1">
      <c r="A21" s="17" t="s">
        <v>48</v>
      </c>
      <c r="B21" s="17" t="s">
        <v>59</v>
      </c>
      <c r="C21" s="18">
        <v>0.22916666666666671</v>
      </c>
      <c r="D21" s="17" t="s">
        <v>53</v>
      </c>
      <c r="E21" s="17" t="s">
        <v>37</v>
      </c>
      <c r="F21" s="17" t="s">
        <v>60</v>
      </c>
      <c r="G21" s="298"/>
      <c r="H21" s="10"/>
      <c r="I21" s="11"/>
      <c r="J21" s="11"/>
      <c r="K21" s="11"/>
      <c r="L21" s="11"/>
      <c r="M21" s="11"/>
      <c r="N21" s="11"/>
      <c r="O21" s="12"/>
      <c r="P21" s="11"/>
      <c r="Q21" s="13"/>
      <c r="R21" s="14"/>
    </row>
    <row r="22" spans="1:18" ht="15" customHeight="1">
      <c r="A22" s="21" t="s">
        <v>61</v>
      </c>
      <c r="B22" s="21" t="s">
        <v>62</v>
      </c>
      <c r="C22" s="22">
        <v>0.38194444444444442</v>
      </c>
      <c r="D22" s="21" t="s">
        <v>63</v>
      </c>
      <c r="E22" s="21" t="s">
        <v>51</v>
      </c>
      <c r="F22" s="21" t="s">
        <v>64</v>
      </c>
      <c r="G22" s="298"/>
      <c r="H22" s="23" t="s">
        <v>65</v>
      </c>
      <c r="I22" s="24">
        <v>0</v>
      </c>
      <c r="J22" s="25">
        <v>0</v>
      </c>
      <c r="K22" s="26" t="s">
        <v>66</v>
      </c>
      <c r="L22" s="25">
        <v>0</v>
      </c>
      <c r="M22" s="25">
        <v>0</v>
      </c>
      <c r="N22" s="25">
        <v>0</v>
      </c>
      <c r="O22" s="27" t="s">
        <v>67</v>
      </c>
      <c r="P22" s="28">
        <v>0.38194444444444442</v>
      </c>
      <c r="Q22" s="25">
        <v>180</v>
      </c>
      <c r="R22" s="29" t="s">
        <v>66</v>
      </c>
    </row>
    <row r="23" spans="1:18" ht="15" customHeight="1">
      <c r="A23" s="19" t="s">
        <v>68</v>
      </c>
      <c r="B23" s="19" t="s">
        <v>69</v>
      </c>
      <c r="C23" s="20">
        <v>0.94097222222222221</v>
      </c>
      <c r="D23" s="19" t="s">
        <v>70</v>
      </c>
      <c r="E23" s="19" t="s">
        <v>51</v>
      </c>
      <c r="F23" s="19" t="s">
        <v>71</v>
      </c>
      <c r="G23" s="298"/>
      <c r="H23" s="10"/>
      <c r="I23" s="11"/>
      <c r="J23" s="11"/>
      <c r="K23" s="11"/>
      <c r="L23" s="11"/>
      <c r="M23" s="11"/>
      <c r="N23" s="11"/>
      <c r="O23" s="12"/>
      <c r="P23" s="11"/>
      <c r="Q23" s="13"/>
      <c r="R23" s="14"/>
    </row>
    <row r="24" spans="1:18" ht="15" customHeight="1">
      <c r="A24" s="17" t="s">
        <v>68</v>
      </c>
      <c r="B24" s="17" t="s">
        <v>72</v>
      </c>
      <c r="C24" s="18">
        <v>6.5972222222222224E-2</v>
      </c>
      <c r="D24" s="17" t="s">
        <v>70</v>
      </c>
      <c r="E24" s="17" t="s">
        <v>57</v>
      </c>
      <c r="F24" s="17" t="s">
        <v>71</v>
      </c>
      <c r="G24" s="298"/>
      <c r="H24" s="10"/>
      <c r="I24" s="11"/>
      <c r="J24" s="11"/>
      <c r="K24" s="11"/>
      <c r="L24" s="11"/>
      <c r="M24" s="11"/>
      <c r="N24" s="11"/>
      <c r="O24" s="12"/>
      <c r="P24" s="11"/>
      <c r="Q24" s="13"/>
      <c r="R24" s="14"/>
    </row>
    <row r="25" spans="1:18" ht="15" customHeight="1">
      <c r="A25" s="17" t="s">
        <v>68</v>
      </c>
      <c r="B25" s="17" t="s">
        <v>73</v>
      </c>
      <c r="C25" s="18">
        <v>0.28819444444444448</v>
      </c>
      <c r="D25" s="17" t="s">
        <v>70</v>
      </c>
      <c r="E25" s="17" t="s">
        <v>57</v>
      </c>
      <c r="F25" s="17" t="s">
        <v>71</v>
      </c>
      <c r="G25" s="298"/>
      <c r="H25" s="10"/>
      <c r="I25" s="11"/>
      <c r="J25" s="11"/>
      <c r="K25" s="11"/>
      <c r="L25" s="11"/>
      <c r="M25" s="11"/>
      <c r="N25" s="11"/>
      <c r="O25" s="12"/>
      <c r="P25" s="11"/>
      <c r="Q25" s="13"/>
      <c r="R25" s="14"/>
    </row>
    <row r="26" spans="1:18" ht="15" customHeight="1">
      <c r="A26" s="17" t="s">
        <v>68</v>
      </c>
      <c r="B26" s="17" t="s">
        <v>74</v>
      </c>
      <c r="C26" s="18">
        <v>0.33680555555555558</v>
      </c>
      <c r="D26" s="17" t="s">
        <v>70</v>
      </c>
      <c r="E26" s="17" t="s">
        <v>57</v>
      </c>
      <c r="F26" s="17" t="s">
        <v>75</v>
      </c>
      <c r="G26" s="298"/>
      <c r="H26" s="10"/>
      <c r="I26" s="11"/>
      <c r="J26" s="11"/>
      <c r="K26" s="11"/>
      <c r="L26" s="11"/>
      <c r="M26" s="11"/>
      <c r="N26" s="11"/>
      <c r="O26" s="12"/>
      <c r="P26" s="11"/>
      <c r="Q26" s="13"/>
      <c r="R26" s="14"/>
    </row>
    <row r="27" spans="1:18" ht="15" customHeight="1" thickBot="1">
      <c r="A27" s="30" t="s">
        <v>68</v>
      </c>
      <c r="B27" s="30" t="s">
        <v>76</v>
      </c>
      <c r="C27" s="31">
        <v>0.69791666666666663</v>
      </c>
      <c r="D27" s="30" t="s">
        <v>70</v>
      </c>
      <c r="E27" s="30" t="s">
        <v>57</v>
      </c>
      <c r="F27" s="30" t="s">
        <v>77</v>
      </c>
      <c r="G27" s="299"/>
      <c r="H27" s="300"/>
      <c r="I27" s="140"/>
      <c r="J27" s="140"/>
      <c r="K27" s="140"/>
      <c r="L27" s="140"/>
      <c r="M27" s="140"/>
      <c r="N27" s="140"/>
      <c r="O27" s="141"/>
      <c r="P27" s="140"/>
      <c r="Q27" s="142"/>
      <c r="R27" s="301"/>
    </row>
    <row r="28" spans="1:18" ht="17.45" customHeight="1" thickBot="1">
      <c r="A28" s="283"/>
      <c r="B28" s="284"/>
      <c r="C28" s="284"/>
      <c r="D28" s="284"/>
      <c r="E28" s="284"/>
      <c r="F28" s="284"/>
      <c r="G28" s="284"/>
      <c r="H28" s="284"/>
      <c r="I28" s="284"/>
      <c r="J28" s="284"/>
      <c r="K28" s="284"/>
      <c r="L28" s="284"/>
      <c r="M28" s="284"/>
      <c r="N28" s="284"/>
      <c r="O28" s="284"/>
      <c r="P28" s="284"/>
      <c r="Q28" s="284"/>
      <c r="R28" s="285"/>
    </row>
    <row r="29" spans="1:18" ht="22.15" customHeight="1" thickTop="1" thickBot="1">
      <c r="A29" s="279" t="s">
        <v>6</v>
      </c>
      <c r="B29" s="295"/>
      <c r="C29" s="295"/>
      <c r="D29" s="295"/>
      <c r="E29" s="295"/>
      <c r="F29" s="296"/>
      <c r="G29" s="32">
        <v>46024</v>
      </c>
      <c r="H29" s="278" t="s">
        <v>7</v>
      </c>
      <c r="I29" s="295"/>
      <c r="J29" s="295"/>
      <c r="K29" s="295"/>
      <c r="L29" s="295"/>
      <c r="M29" s="295"/>
      <c r="N29" s="295"/>
      <c r="O29" s="295"/>
      <c r="P29" s="295"/>
      <c r="Q29" s="295"/>
      <c r="R29" s="296"/>
    </row>
    <row r="30" spans="1:18" ht="24" customHeight="1">
      <c r="A30" s="33" t="s">
        <v>8</v>
      </c>
      <c r="B30" s="33" t="s">
        <v>9</v>
      </c>
      <c r="C30" s="34" t="s">
        <v>10</v>
      </c>
      <c r="D30" s="33" t="s">
        <v>11</v>
      </c>
      <c r="E30" s="33" t="s">
        <v>12</v>
      </c>
      <c r="F30" s="35" t="s">
        <v>13</v>
      </c>
      <c r="G30" s="36" t="s">
        <v>14</v>
      </c>
      <c r="H30" s="33" t="s">
        <v>15</v>
      </c>
      <c r="I30" s="37" t="s">
        <v>16</v>
      </c>
      <c r="J30" s="38" t="s">
        <v>17</v>
      </c>
      <c r="K30" s="39" t="s">
        <v>18</v>
      </c>
      <c r="L30" s="38" t="s">
        <v>19</v>
      </c>
      <c r="M30" s="38" t="s">
        <v>20</v>
      </c>
      <c r="N30" s="38" t="s">
        <v>21</v>
      </c>
      <c r="O30" s="33" t="s">
        <v>22</v>
      </c>
      <c r="P30" s="34" t="s">
        <v>23</v>
      </c>
      <c r="Q30" s="38" t="s">
        <v>24</v>
      </c>
      <c r="R30" s="33" t="s">
        <v>25</v>
      </c>
    </row>
    <row r="31" spans="1:18" ht="15" customHeight="1">
      <c r="A31" s="8" t="s">
        <v>38</v>
      </c>
      <c r="B31" s="8" t="s">
        <v>39</v>
      </c>
      <c r="C31" s="9">
        <v>0.22916666666666671</v>
      </c>
      <c r="D31" s="8" t="s">
        <v>40</v>
      </c>
      <c r="E31" s="8" t="s">
        <v>29</v>
      </c>
      <c r="F31" s="8" t="s">
        <v>78</v>
      </c>
      <c r="G31" s="297"/>
      <c r="H31" s="10"/>
      <c r="I31" s="11"/>
      <c r="J31" s="11"/>
      <c r="K31" s="11"/>
      <c r="L31" s="11"/>
      <c r="M31" s="11"/>
      <c r="N31" s="11"/>
      <c r="O31" s="12"/>
      <c r="P31" s="11"/>
      <c r="Q31" s="13"/>
      <c r="R31" s="14"/>
    </row>
    <row r="32" spans="1:18" ht="15" customHeight="1">
      <c r="A32" s="15" t="s">
        <v>38</v>
      </c>
      <c r="B32" s="15" t="s">
        <v>39</v>
      </c>
      <c r="C32" s="16">
        <v>0.22916666666666671</v>
      </c>
      <c r="D32" s="15" t="s">
        <v>43</v>
      </c>
      <c r="E32" s="15" t="s">
        <v>32</v>
      </c>
      <c r="F32" s="15" t="s">
        <v>79</v>
      </c>
      <c r="G32" s="298"/>
      <c r="H32" s="10"/>
      <c r="I32" s="11"/>
      <c r="J32" s="11"/>
      <c r="K32" s="11"/>
      <c r="L32" s="11"/>
      <c r="M32" s="11"/>
      <c r="N32" s="11"/>
      <c r="O32" s="12"/>
      <c r="P32" s="11"/>
      <c r="Q32" s="13"/>
      <c r="R32" s="14"/>
    </row>
    <row r="33" spans="1:18" ht="15" customHeight="1">
      <c r="A33" s="15" t="s">
        <v>38</v>
      </c>
      <c r="B33" s="15" t="s">
        <v>39</v>
      </c>
      <c r="C33" s="16">
        <v>0.22916666666666671</v>
      </c>
      <c r="D33" s="15" t="s">
        <v>46</v>
      </c>
      <c r="E33" s="15" t="s">
        <v>32</v>
      </c>
      <c r="F33" s="15" t="s">
        <v>47</v>
      </c>
      <c r="G33" s="298"/>
      <c r="H33" s="10"/>
      <c r="I33" s="11"/>
      <c r="J33" s="11"/>
      <c r="K33" s="11"/>
      <c r="L33" s="11"/>
      <c r="M33" s="11"/>
      <c r="N33" s="11"/>
      <c r="O33" s="12"/>
      <c r="P33" s="11"/>
      <c r="Q33" s="13"/>
      <c r="R33" s="14"/>
    </row>
    <row r="34" spans="1:18" ht="15" customHeight="1">
      <c r="A34" s="19" t="s">
        <v>26</v>
      </c>
      <c r="B34" s="19" t="s">
        <v>27</v>
      </c>
      <c r="C34" s="20">
        <v>0.60763888888888895</v>
      </c>
      <c r="D34" s="19" t="s">
        <v>28</v>
      </c>
      <c r="E34" s="19" t="s">
        <v>80</v>
      </c>
      <c r="F34" s="19" t="s">
        <v>81</v>
      </c>
      <c r="G34" s="298"/>
      <c r="H34" s="10"/>
      <c r="I34" s="11"/>
      <c r="J34" s="11"/>
      <c r="K34" s="11"/>
      <c r="L34" s="11"/>
      <c r="M34" s="11"/>
      <c r="N34" s="11"/>
      <c r="O34" s="12"/>
      <c r="P34" s="11"/>
      <c r="Q34" s="13"/>
      <c r="R34" s="14"/>
    </row>
    <row r="35" spans="1:18" ht="15" customHeight="1">
      <c r="A35" s="15" t="s">
        <v>26</v>
      </c>
      <c r="B35" s="15" t="s">
        <v>27</v>
      </c>
      <c r="C35" s="16">
        <v>0.60763888888888895</v>
      </c>
      <c r="D35" s="15" t="s">
        <v>31</v>
      </c>
      <c r="E35" s="15" t="s">
        <v>82</v>
      </c>
      <c r="F35" s="15" t="s">
        <v>83</v>
      </c>
      <c r="G35" s="298"/>
      <c r="H35" s="10"/>
      <c r="I35" s="11"/>
      <c r="J35" s="11"/>
      <c r="K35" s="11"/>
      <c r="L35" s="11"/>
      <c r="M35" s="11"/>
      <c r="N35" s="11"/>
      <c r="O35" s="12"/>
      <c r="P35" s="11"/>
      <c r="Q35" s="13"/>
      <c r="R35" s="14"/>
    </row>
    <row r="36" spans="1:18" ht="15" customHeight="1">
      <c r="A36" s="15" t="s">
        <v>26</v>
      </c>
      <c r="B36" s="15" t="s">
        <v>27</v>
      </c>
      <c r="C36" s="16">
        <v>0.60763888888888895</v>
      </c>
      <c r="D36" s="15" t="s">
        <v>34</v>
      </c>
      <c r="E36" s="15" t="s">
        <v>82</v>
      </c>
      <c r="F36" s="15" t="s">
        <v>45</v>
      </c>
      <c r="G36" s="298"/>
      <c r="H36" s="10"/>
      <c r="I36" s="11"/>
      <c r="J36" s="11"/>
      <c r="K36" s="11"/>
      <c r="L36" s="11"/>
      <c r="M36" s="11"/>
      <c r="N36" s="11"/>
      <c r="O36" s="12"/>
      <c r="P36" s="11"/>
      <c r="Q36" s="13"/>
      <c r="R36" s="14"/>
    </row>
    <row r="37" spans="1:18" ht="15" customHeight="1">
      <c r="A37" s="19" t="s">
        <v>68</v>
      </c>
      <c r="B37" s="19" t="s">
        <v>69</v>
      </c>
      <c r="C37" s="20">
        <v>0.94097222222222221</v>
      </c>
      <c r="D37" s="19" t="s">
        <v>70</v>
      </c>
      <c r="E37" s="19" t="s">
        <v>51</v>
      </c>
      <c r="F37" s="19" t="s">
        <v>71</v>
      </c>
      <c r="G37" s="298"/>
      <c r="H37" s="10"/>
      <c r="I37" s="11"/>
      <c r="J37" s="11"/>
      <c r="K37" s="11"/>
      <c r="L37" s="11"/>
      <c r="M37" s="11"/>
      <c r="N37" s="11"/>
      <c r="O37" s="12"/>
      <c r="P37" s="11"/>
      <c r="Q37" s="13"/>
      <c r="R37" s="14"/>
    </row>
    <row r="38" spans="1:18" ht="15" customHeight="1">
      <c r="A38" s="17" t="s">
        <v>68</v>
      </c>
      <c r="B38" s="17" t="s">
        <v>76</v>
      </c>
      <c r="C38" s="18">
        <v>0.69791666666666663</v>
      </c>
      <c r="D38" s="17" t="s">
        <v>70</v>
      </c>
      <c r="E38" s="17" t="s">
        <v>57</v>
      </c>
      <c r="F38" s="17" t="s">
        <v>71</v>
      </c>
      <c r="G38" s="298"/>
      <c r="H38" s="10"/>
      <c r="I38" s="11"/>
      <c r="J38" s="11"/>
      <c r="K38" s="11"/>
      <c r="L38" s="11"/>
      <c r="M38" s="11"/>
      <c r="N38" s="11"/>
      <c r="O38" s="12"/>
      <c r="P38" s="11"/>
      <c r="Q38" s="13"/>
      <c r="R38" s="14"/>
    </row>
    <row r="39" spans="1:18" ht="15" customHeight="1">
      <c r="A39" s="17" t="s">
        <v>68</v>
      </c>
      <c r="B39" s="17" t="s">
        <v>72</v>
      </c>
      <c r="C39" s="18">
        <v>6.5972222222222224E-2</v>
      </c>
      <c r="D39" s="17" t="s">
        <v>70</v>
      </c>
      <c r="E39" s="17" t="s">
        <v>57</v>
      </c>
      <c r="F39" s="17" t="s">
        <v>71</v>
      </c>
      <c r="G39" s="298"/>
      <c r="H39" s="10"/>
      <c r="I39" s="11"/>
      <c r="J39" s="11"/>
      <c r="K39" s="11"/>
      <c r="L39" s="11"/>
      <c r="M39" s="11"/>
      <c r="N39" s="11"/>
      <c r="O39" s="12"/>
      <c r="P39" s="11"/>
      <c r="Q39" s="13"/>
      <c r="R39" s="14"/>
    </row>
    <row r="40" spans="1:18" ht="15" customHeight="1">
      <c r="A40" s="17" t="s">
        <v>68</v>
      </c>
      <c r="B40" s="17" t="s">
        <v>73</v>
      </c>
      <c r="C40" s="18">
        <v>0.28819444444444448</v>
      </c>
      <c r="D40" s="17" t="s">
        <v>70</v>
      </c>
      <c r="E40" s="17" t="s">
        <v>57</v>
      </c>
      <c r="F40" s="17" t="s">
        <v>71</v>
      </c>
      <c r="G40" s="298"/>
      <c r="H40" s="10"/>
      <c r="I40" s="11"/>
      <c r="J40" s="11"/>
      <c r="K40" s="11"/>
      <c r="L40" s="11"/>
      <c r="M40" s="11"/>
      <c r="N40" s="11"/>
      <c r="O40" s="12"/>
      <c r="P40" s="11"/>
      <c r="Q40" s="13"/>
      <c r="R40" s="14"/>
    </row>
    <row r="41" spans="1:18" ht="15" customHeight="1">
      <c r="A41" s="17" t="s">
        <v>68</v>
      </c>
      <c r="B41" s="17" t="s">
        <v>74</v>
      </c>
      <c r="C41" s="18">
        <v>0.33680555555555558</v>
      </c>
      <c r="D41" s="17" t="s">
        <v>70</v>
      </c>
      <c r="E41" s="17" t="s">
        <v>57</v>
      </c>
      <c r="F41" s="17" t="s">
        <v>84</v>
      </c>
      <c r="G41" s="298"/>
      <c r="H41" s="10"/>
      <c r="I41" s="11"/>
      <c r="J41" s="11"/>
      <c r="K41" s="11"/>
      <c r="L41" s="11"/>
      <c r="M41" s="11"/>
      <c r="N41" s="11"/>
      <c r="O41" s="12"/>
      <c r="P41" s="11"/>
      <c r="Q41" s="13"/>
      <c r="R41" s="14"/>
    </row>
    <row r="42" spans="1:18" ht="15" customHeight="1">
      <c r="A42" s="19" t="s">
        <v>48</v>
      </c>
      <c r="B42" s="19" t="s">
        <v>59</v>
      </c>
      <c r="C42" s="20">
        <v>0.22916666666666671</v>
      </c>
      <c r="D42" s="19" t="s">
        <v>53</v>
      </c>
      <c r="E42" s="19" t="s">
        <v>29</v>
      </c>
      <c r="F42" s="19" t="s">
        <v>85</v>
      </c>
      <c r="G42" s="298"/>
      <c r="H42" s="10"/>
      <c r="I42" s="11"/>
      <c r="J42" s="11"/>
      <c r="K42" s="11"/>
      <c r="L42" s="11"/>
      <c r="M42" s="11"/>
      <c r="N42" s="11"/>
      <c r="O42" s="12"/>
      <c r="P42" s="11"/>
      <c r="Q42" s="13"/>
      <c r="R42" s="14"/>
    </row>
    <row r="43" spans="1:18" ht="15" customHeight="1">
      <c r="A43" s="17" t="s">
        <v>48</v>
      </c>
      <c r="B43" s="17" t="s">
        <v>49</v>
      </c>
      <c r="C43" s="18">
        <v>0.35069444444444442</v>
      </c>
      <c r="D43" s="17" t="s">
        <v>53</v>
      </c>
      <c r="E43" s="17" t="s">
        <v>57</v>
      </c>
      <c r="F43" s="17" t="s">
        <v>86</v>
      </c>
      <c r="G43" s="298"/>
      <c r="H43" s="10"/>
      <c r="I43" s="11"/>
      <c r="J43" s="11"/>
      <c r="K43" s="11"/>
      <c r="L43" s="11"/>
      <c r="M43" s="11"/>
      <c r="N43" s="11"/>
      <c r="O43" s="12"/>
      <c r="P43" s="11"/>
      <c r="Q43" s="13"/>
      <c r="R43" s="14"/>
    </row>
    <row r="44" spans="1:18" ht="15" customHeight="1">
      <c r="A44" s="17" t="s">
        <v>48</v>
      </c>
      <c r="B44" s="17" t="s">
        <v>56</v>
      </c>
      <c r="C44" s="18">
        <v>0.89583333333333337</v>
      </c>
      <c r="D44" s="17" t="s">
        <v>53</v>
      </c>
      <c r="E44" s="17" t="s">
        <v>57</v>
      </c>
      <c r="F44" s="17" t="s">
        <v>86</v>
      </c>
      <c r="G44" s="298"/>
      <c r="H44" s="10"/>
      <c r="I44" s="11"/>
      <c r="J44" s="11"/>
      <c r="K44" s="11"/>
      <c r="L44" s="11"/>
      <c r="M44" s="11"/>
      <c r="N44" s="11"/>
      <c r="O44" s="12"/>
      <c r="P44" s="11"/>
      <c r="Q44" s="13"/>
      <c r="R44" s="14"/>
    </row>
    <row r="45" spans="1:18" ht="15" customHeight="1" thickBot="1">
      <c r="A45" s="30" t="s">
        <v>48</v>
      </c>
      <c r="B45" s="30" t="s">
        <v>58</v>
      </c>
      <c r="C45" s="31">
        <v>0.18402777777777779</v>
      </c>
      <c r="D45" s="30" t="s">
        <v>53</v>
      </c>
      <c r="E45" s="30" t="s">
        <v>57</v>
      </c>
      <c r="F45" s="30" t="s">
        <v>86</v>
      </c>
      <c r="G45" s="299"/>
      <c r="H45" s="300"/>
      <c r="I45" s="140"/>
      <c r="J45" s="140"/>
      <c r="K45" s="140"/>
      <c r="L45" s="140"/>
      <c r="M45" s="140"/>
      <c r="N45" s="140"/>
      <c r="O45" s="141"/>
      <c r="P45" s="140"/>
      <c r="Q45" s="142"/>
      <c r="R45" s="301"/>
    </row>
    <row r="46" spans="1:18" ht="17.45" customHeight="1" thickBot="1">
      <c r="A46" s="283"/>
      <c r="B46" s="284"/>
      <c r="C46" s="284"/>
      <c r="D46" s="284"/>
      <c r="E46" s="284"/>
      <c r="F46" s="284"/>
      <c r="G46" s="284"/>
      <c r="H46" s="284"/>
      <c r="I46" s="284"/>
      <c r="J46" s="284"/>
      <c r="K46" s="284"/>
      <c r="L46" s="284"/>
      <c r="M46" s="284"/>
      <c r="N46" s="284"/>
      <c r="O46" s="284"/>
      <c r="P46" s="284"/>
      <c r="Q46" s="284"/>
      <c r="R46" s="285"/>
    </row>
    <row r="47" spans="1:18" ht="22.15" customHeight="1" thickTop="1" thickBot="1">
      <c r="A47" s="279" t="s">
        <v>6</v>
      </c>
      <c r="B47" s="295"/>
      <c r="C47" s="295"/>
      <c r="D47" s="295"/>
      <c r="E47" s="295"/>
      <c r="F47" s="296"/>
      <c r="G47" s="32">
        <v>46025</v>
      </c>
      <c r="H47" s="278" t="s">
        <v>7</v>
      </c>
      <c r="I47" s="295"/>
      <c r="J47" s="295"/>
      <c r="K47" s="295"/>
      <c r="L47" s="295"/>
      <c r="M47" s="295"/>
      <c r="N47" s="295"/>
      <c r="O47" s="295"/>
      <c r="P47" s="295"/>
      <c r="Q47" s="295"/>
      <c r="R47" s="296"/>
    </row>
    <row r="48" spans="1:18" ht="24" customHeight="1">
      <c r="A48" s="33" t="s">
        <v>8</v>
      </c>
      <c r="B48" s="33" t="s">
        <v>9</v>
      </c>
      <c r="C48" s="34" t="s">
        <v>10</v>
      </c>
      <c r="D48" s="33" t="s">
        <v>11</v>
      </c>
      <c r="E48" s="33" t="s">
        <v>12</v>
      </c>
      <c r="F48" s="35" t="s">
        <v>13</v>
      </c>
      <c r="G48" s="36" t="s">
        <v>14</v>
      </c>
      <c r="H48" s="33" t="s">
        <v>15</v>
      </c>
      <c r="I48" s="37" t="s">
        <v>16</v>
      </c>
      <c r="J48" s="38" t="s">
        <v>17</v>
      </c>
      <c r="K48" s="39" t="s">
        <v>18</v>
      </c>
      <c r="L48" s="38" t="s">
        <v>19</v>
      </c>
      <c r="M48" s="38" t="s">
        <v>20</v>
      </c>
      <c r="N48" s="38" t="s">
        <v>21</v>
      </c>
      <c r="O48" s="33" t="s">
        <v>22</v>
      </c>
      <c r="P48" s="34" t="s">
        <v>23</v>
      </c>
      <c r="Q48" s="38" t="s">
        <v>24</v>
      </c>
      <c r="R48" s="33" t="s">
        <v>25</v>
      </c>
    </row>
    <row r="49" spans="1:18" ht="15" customHeight="1">
      <c r="A49" s="8" t="s">
        <v>38</v>
      </c>
      <c r="B49" s="8" t="s">
        <v>87</v>
      </c>
      <c r="C49" s="9">
        <v>6.25E-2</v>
      </c>
      <c r="D49" s="8" t="s">
        <v>40</v>
      </c>
      <c r="E49" s="8" t="s">
        <v>41</v>
      </c>
      <c r="F49" s="8" t="s">
        <v>88</v>
      </c>
      <c r="G49" s="297"/>
      <c r="H49" s="10"/>
      <c r="I49" s="11"/>
      <c r="J49" s="11"/>
      <c r="K49" s="11"/>
      <c r="L49" s="11"/>
      <c r="M49" s="11"/>
      <c r="N49" s="11"/>
      <c r="O49" s="12"/>
      <c r="P49" s="11"/>
      <c r="Q49" s="13"/>
      <c r="R49" s="14"/>
    </row>
    <row r="50" spans="1:18" ht="15" customHeight="1">
      <c r="A50" s="15" t="s">
        <v>38</v>
      </c>
      <c r="B50" s="15" t="s">
        <v>87</v>
      </c>
      <c r="C50" s="16">
        <v>6.25E-2</v>
      </c>
      <c r="D50" s="15" t="s">
        <v>43</v>
      </c>
      <c r="E50" s="15" t="s">
        <v>44</v>
      </c>
      <c r="F50" s="15" t="s">
        <v>89</v>
      </c>
      <c r="G50" s="298"/>
      <c r="H50" s="10"/>
      <c r="I50" s="11"/>
      <c r="J50" s="11"/>
      <c r="K50" s="11"/>
      <c r="L50" s="11"/>
      <c r="M50" s="11"/>
      <c r="N50" s="11"/>
      <c r="O50" s="12"/>
      <c r="P50" s="11"/>
      <c r="Q50" s="13"/>
      <c r="R50" s="14"/>
    </row>
    <row r="51" spans="1:18" ht="15" customHeight="1">
      <c r="A51" s="15" t="s">
        <v>38</v>
      </c>
      <c r="B51" s="15" t="s">
        <v>87</v>
      </c>
      <c r="C51" s="16">
        <v>6.25E-2</v>
      </c>
      <c r="D51" s="15" t="s">
        <v>46</v>
      </c>
      <c r="E51" s="15" t="s">
        <v>44</v>
      </c>
      <c r="F51" s="15" t="s">
        <v>47</v>
      </c>
      <c r="G51" s="298"/>
      <c r="H51" s="10"/>
      <c r="I51" s="11"/>
      <c r="J51" s="11"/>
      <c r="K51" s="11"/>
      <c r="L51" s="11"/>
      <c r="M51" s="11"/>
      <c r="N51" s="11"/>
      <c r="O51" s="12"/>
      <c r="P51" s="11"/>
      <c r="Q51" s="13"/>
      <c r="R51" s="14"/>
    </row>
    <row r="52" spans="1:18" ht="15" customHeight="1">
      <c r="A52" s="17" t="s">
        <v>38</v>
      </c>
      <c r="B52" s="17" t="s">
        <v>39</v>
      </c>
      <c r="C52" s="18">
        <v>0.22916666666666671</v>
      </c>
      <c r="D52" s="17" t="s">
        <v>40</v>
      </c>
      <c r="E52" s="17" t="s">
        <v>90</v>
      </c>
      <c r="F52" s="17" t="s">
        <v>78</v>
      </c>
      <c r="G52" s="298"/>
      <c r="H52" s="10"/>
      <c r="I52" s="11"/>
      <c r="J52" s="11"/>
      <c r="K52" s="11"/>
      <c r="L52" s="11"/>
      <c r="M52" s="11"/>
      <c r="N52" s="11"/>
      <c r="O52" s="12"/>
      <c r="P52" s="11"/>
      <c r="Q52" s="13"/>
      <c r="R52" s="14"/>
    </row>
    <row r="53" spans="1:18" ht="15" customHeight="1">
      <c r="A53" s="15" t="s">
        <v>38</v>
      </c>
      <c r="B53" s="15" t="s">
        <v>39</v>
      </c>
      <c r="C53" s="16">
        <v>0.22916666666666671</v>
      </c>
      <c r="D53" s="15" t="s">
        <v>43</v>
      </c>
      <c r="E53" s="15" t="s">
        <v>82</v>
      </c>
      <c r="F53" s="15" t="s">
        <v>79</v>
      </c>
      <c r="G53" s="298"/>
      <c r="H53" s="10"/>
      <c r="I53" s="11"/>
      <c r="J53" s="11"/>
      <c r="K53" s="11"/>
      <c r="L53" s="11"/>
      <c r="M53" s="11"/>
      <c r="N53" s="11"/>
      <c r="O53" s="12"/>
      <c r="P53" s="11"/>
      <c r="Q53" s="13"/>
      <c r="R53" s="14"/>
    </row>
    <row r="54" spans="1:18" ht="15" customHeight="1">
      <c r="A54" s="15" t="s">
        <v>38</v>
      </c>
      <c r="B54" s="15" t="s">
        <v>39</v>
      </c>
      <c r="C54" s="16">
        <v>0.22916666666666671</v>
      </c>
      <c r="D54" s="15" t="s">
        <v>46</v>
      </c>
      <c r="E54" s="15" t="s">
        <v>82</v>
      </c>
      <c r="F54" s="15" t="s">
        <v>47</v>
      </c>
      <c r="G54" s="298"/>
      <c r="H54" s="10"/>
      <c r="I54" s="11"/>
      <c r="J54" s="11"/>
      <c r="K54" s="11"/>
      <c r="L54" s="11"/>
      <c r="M54" s="11"/>
      <c r="N54" s="11"/>
      <c r="O54" s="12"/>
      <c r="P54" s="11"/>
      <c r="Q54" s="13"/>
      <c r="R54" s="14"/>
    </row>
    <row r="55" spans="1:18" ht="15" customHeight="1">
      <c r="A55" s="19" t="s">
        <v>26</v>
      </c>
      <c r="B55" s="19" t="s">
        <v>27</v>
      </c>
      <c r="C55" s="20">
        <v>0.60763888888888895</v>
      </c>
      <c r="D55" s="19" t="s">
        <v>28</v>
      </c>
      <c r="E55" s="19" t="s">
        <v>80</v>
      </c>
      <c r="F55" s="19" t="s">
        <v>30</v>
      </c>
      <c r="G55" s="298"/>
      <c r="H55" s="10"/>
      <c r="I55" s="11"/>
      <c r="J55" s="11"/>
      <c r="K55" s="11"/>
      <c r="L55" s="11"/>
      <c r="M55" s="11"/>
      <c r="N55" s="11"/>
      <c r="O55" s="12"/>
      <c r="P55" s="11"/>
      <c r="Q55" s="13"/>
      <c r="R55" s="14"/>
    </row>
    <row r="56" spans="1:18" ht="15" customHeight="1">
      <c r="A56" s="15" t="s">
        <v>26</v>
      </c>
      <c r="B56" s="15" t="s">
        <v>27</v>
      </c>
      <c r="C56" s="16">
        <v>0.60763888888888895</v>
      </c>
      <c r="D56" s="15" t="s">
        <v>31</v>
      </c>
      <c r="E56" s="15" t="s">
        <v>82</v>
      </c>
      <c r="F56" s="15" t="s">
        <v>33</v>
      </c>
      <c r="G56" s="298"/>
      <c r="H56" s="10"/>
      <c r="I56" s="11"/>
      <c r="J56" s="11"/>
      <c r="K56" s="11"/>
      <c r="L56" s="11"/>
      <c r="M56" s="11"/>
      <c r="N56" s="11"/>
      <c r="O56" s="12"/>
      <c r="P56" s="11"/>
      <c r="Q56" s="13"/>
      <c r="R56" s="14"/>
    </row>
    <row r="57" spans="1:18" ht="15" customHeight="1">
      <c r="A57" s="15" t="s">
        <v>26</v>
      </c>
      <c r="B57" s="15" t="s">
        <v>27</v>
      </c>
      <c r="C57" s="16">
        <v>0.60763888888888895</v>
      </c>
      <c r="D57" s="15" t="s">
        <v>34</v>
      </c>
      <c r="E57" s="15" t="s">
        <v>82</v>
      </c>
      <c r="F57" s="15" t="s">
        <v>35</v>
      </c>
      <c r="G57" s="298"/>
      <c r="H57" s="10"/>
      <c r="I57" s="11"/>
      <c r="J57" s="11"/>
      <c r="K57" s="11"/>
      <c r="L57" s="11"/>
      <c r="M57" s="11"/>
      <c r="N57" s="11"/>
      <c r="O57" s="12"/>
      <c r="P57" s="11"/>
      <c r="Q57" s="13"/>
      <c r="R57" s="14"/>
    </row>
    <row r="58" spans="1:18" ht="15" customHeight="1">
      <c r="A58" s="17" t="s">
        <v>26</v>
      </c>
      <c r="B58" s="17" t="s">
        <v>36</v>
      </c>
      <c r="C58" s="18">
        <v>0.43402777777777768</v>
      </c>
      <c r="D58" s="17" t="s">
        <v>28</v>
      </c>
      <c r="E58" s="17" t="s">
        <v>91</v>
      </c>
      <c r="F58" s="17" t="s">
        <v>30</v>
      </c>
      <c r="G58" s="298"/>
      <c r="H58" s="10"/>
      <c r="I58" s="11"/>
      <c r="J58" s="11"/>
      <c r="K58" s="11"/>
      <c r="L58" s="11"/>
      <c r="M58" s="11"/>
      <c r="N58" s="11"/>
      <c r="O58" s="12"/>
      <c r="P58" s="11"/>
      <c r="Q58" s="13"/>
      <c r="R58" s="14"/>
    </row>
    <row r="59" spans="1:18" ht="15" customHeight="1">
      <c r="A59" s="15" t="s">
        <v>26</v>
      </c>
      <c r="B59" s="15" t="s">
        <v>36</v>
      </c>
      <c r="C59" s="16">
        <v>0.43402777777777768</v>
      </c>
      <c r="D59" s="15" t="s">
        <v>31</v>
      </c>
      <c r="E59" s="15" t="s">
        <v>92</v>
      </c>
      <c r="F59" s="15" t="s">
        <v>33</v>
      </c>
      <c r="G59" s="298"/>
      <c r="H59" s="10"/>
      <c r="I59" s="11"/>
      <c r="J59" s="11"/>
      <c r="K59" s="11"/>
      <c r="L59" s="11"/>
      <c r="M59" s="11"/>
      <c r="N59" s="11"/>
      <c r="O59" s="12"/>
      <c r="P59" s="11"/>
      <c r="Q59" s="13"/>
      <c r="R59" s="14"/>
    </row>
    <row r="60" spans="1:18" ht="15" customHeight="1">
      <c r="A60" s="15" t="s">
        <v>26</v>
      </c>
      <c r="B60" s="15" t="s">
        <v>36</v>
      </c>
      <c r="C60" s="16">
        <v>0.43402777777777768</v>
      </c>
      <c r="D60" s="15" t="s">
        <v>34</v>
      </c>
      <c r="E60" s="15" t="s">
        <v>92</v>
      </c>
      <c r="F60" s="15" t="s">
        <v>35</v>
      </c>
      <c r="G60" s="298"/>
      <c r="H60" s="10"/>
      <c r="I60" s="11"/>
      <c r="J60" s="11"/>
      <c r="K60" s="11"/>
      <c r="L60" s="11"/>
      <c r="M60" s="11"/>
      <c r="N60" s="11"/>
      <c r="O60" s="12"/>
      <c r="P60" s="11"/>
      <c r="Q60" s="13"/>
      <c r="R60" s="14"/>
    </row>
    <row r="61" spans="1:18" ht="15" customHeight="1">
      <c r="A61" s="40" t="s">
        <v>61</v>
      </c>
      <c r="B61" s="40" t="s">
        <v>62</v>
      </c>
      <c r="C61" s="41">
        <v>0.2361111111111111</v>
      </c>
      <c r="D61" s="40" t="s">
        <v>63</v>
      </c>
      <c r="E61" s="40" t="s">
        <v>51</v>
      </c>
      <c r="F61" s="40" t="s">
        <v>64</v>
      </c>
      <c r="G61" s="298"/>
      <c r="H61" s="42" t="s">
        <v>65</v>
      </c>
      <c r="I61" s="43">
        <v>0</v>
      </c>
      <c r="J61" s="44">
        <v>0</v>
      </c>
      <c r="K61" s="45" t="s">
        <v>66</v>
      </c>
      <c r="L61" s="44">
        <v>0</v>
      </c>
      <c r="M61" s="44">
        <v>0</v>
      </c>
      <c r="N61" s="44">
        <v>0</v>
      </c>
      <c r="O61" s="46" t="s">
        <v>67</v>
      </c>
      <c r="P61" s="47">
        <v>0.2361111111111111</v>
      </c>
      <c r="Q61" s="44">
        <v>180</v>
      </c>
      <c r="R61" s="48" t="s">
        <v>66</v>
      </c>
    </row>
    <row r="62" spans="1:18" ht="15" customHeight="1">
      <c r="A62" s="19" t="s">
        <v>68</v>
      </c>
      <c r="B62" s="19" t="s">
        <v>69</v>
      </c>
      <c r="C62" s="20">
        <v>0.94097222222222221</v>
      </c>
      <c r="D62" s="19" t="s">
        <v>70</v>
      </c>
      <c r="E62" s="19" t="s">
        <v>51</v>
      </c>
      <c r="F62" s="19" t="s">
        <v>71</v>
      </c>
      <c r="G62" s="298"/>
      <c r="H62" s="10"/>
      <c r="I62" s="11"/>
      <c r="J62" s="11"/>
      <c r="K62" s="11"/>
      <c r="L62" s="11"/>
      <c r="M62" s="11"/>
      <c r="N62" s="11"/>
      <c r="O62" s="12"/>
      <c r="P62" s="11"/>
      <c r="Q62" s="13"/>
      <c r="R62" s="14"/>
    </row>
    <row r="63" spans="1:18" ht="15" customHeight="1">
      <c r="A63" s="17" t="s">
        <v>68</v>
      </c>
      <c r="B63" s="17" t="s">
        <v>76</v>
      </c>
      <c r="C63" s="18">
        <v>0.69791666666666663</v>
      </c>
      <c r="D63" s="17" t="s">
        <v>70</v>
      </c>
      <c r="E63" s="17" t="s">
        <v>57</v>
      </c>
      <c r="F63" s="17" t="s">
        <v>71</v>
      </c>
      <c r="G63" s="298"/>
      <c r="H63" s="10"/>
      <c r="I63" s="11"/>
      <c r="J63" s="11"/>
      <c r="K63" s="11"/>
      <c r="L63" s="11"/>
      <c r="M63" s="11"/>
      <c r="N63" s="11"/>
      <c r="O63" s="12"/>
      <c r="P63" s="11"/>
      <c r="Q63" s="13"/>
      <c r="R63" s="14"/>
    </row>
    <row r="64" spans="1:18" ht="15" customHeight="1">
      <c r="A64" s="17" t="s">
        <v>68</v>
      </c>
      <c r="B64" s="17" t="s">
        <v>72</v>
      </c>
      <c r="C64" s="18">
        <v>6.5972222222222224E-2</v>
      </c>
      <c r="D64" s="17" t="s">
        <v>70</v>
      </c>
      <c r="E64" s="17" t="s">
        <v>57</v>
      </c>
      <c r="F64" s="17" t="s">
        <v>71</v>
      </c>
      <c r="G64" s="298"/>
      <c r="H64" s="10"/>
      <c r="I64" s="11"/>
      <c r="J64" s="11"/>
      <c r="K64" s="11"/>
      <c r="L64" s="11"/>
      <c r="M64" s="11"/>
      <c r="N64" s="11"/>
      <c r="O64" s="12"/>
      <c r="P64" s="11"/>
      <c r="Q64" s="13"/>
      <c r="R64" s="14"/>
    </row>
    <row r="65" spans="1:18" ht="15" customHeight="1">
      <c r="A65" s="17" t="s">
        <v>68</v>
      </c>
      <c r="B65" s="17" t="s">
        <v>73</v>
      </c>
      <c r="C65" s="18">
        <v>0.28819444444444448</v>
      </c>
      <c r="D65" s="17" t="s">
        <v>70</v>
      </c>
      <c r="E65" s="17" t="s">
        <v>57</v>
      </c>
      <c r="F65" s="17" t="s">
        <v>71</v>
      </c>
      <c r="G65" s="298"/>
      <c r="H65" s="10"/>
      <c r="I65" s="11"/>
      <c r="J65" s="11"/>
      <c r="K65" s="11"/>
      <c r="L65" s="11"/>
      <c r="M65" s="11"/>
      <c r="N65" s="11"/>
      <c r="O65" s="12"/>
      <c r="P65" s="11"/>
      <c r="Q65" s="13"/>
      <c r="R65" s="14"/>
    </row>
    <row r="66" spans="1:18" ht="15" customHeight="1">
      <c r="A66" s="17" t="s">
        <v>68</v>
      </c>
      <c r="B66" s="17" t="s">
        <v>74</v>
      </c>
      <c r="C66" s="18">
        <v>0.33680555555555558</v>
      </c>
      <c r="D66" s="17" t="s">
        <v>70</v>
      </c>
      <c r="E66" s="17" t="s">
        <v>57</v>
      </c>
      <c r="F66" s="17" t="s">
        <v>77</v>
      </c>
      <c r="G66" s="298"/>
      <c r="H66" s="10"/>
      <c r="I66" s="11"/>
      <c r="J66" s="11"/>
      <c r="K66" s="11"/>
      <c r="L66" s="11"/>
      <c r="M66" s="11"/>
      <c r="N66" s="11"/>
      <c r="O66" s="12"/>
      <c r="P66" s="11"/>
      <c r="Q66" s="13"/>
      <c r="R66" s="14"/>
    </row>
    <row r="67" spans="1:18" ht="15" customHeight="1">
      <c r="A67" s="19" t="s">
        <v>48</v>
      </c>
      <c r="B67" s="19" t="s">
        <v>59</v>
      </c>
      <c r="C67" s="20">
        <v>0.22916666666666671</v>
      </c>
      <c r="D67" s="19" t="s">
        <v>53</v>
      </c>
      <c r="E67" s="19" t="s">
        <v>29</v>
      </c>
      <c r="F67" s="19" t="s">
        <v>93</v>
      </c>
      <c r="G67" s="298"/>
      <c r="H67" s="10"/>
      <c r="I67" s="11"/>
      <c r="J67" s="11"/>
      <c r="K67" s="11"/>
      <c r="L67" s="11"/>
      <c r="M67" s="11"/>
      <c r="N67" s="11"/>
      <c r="O67" s="12"/>
      <c r="P67" s="11"/>
      <c r="Q67" s="13"/>
      <c r="R67" s="14"/>
    </row>
    <row r="68" spans="1:18" ht="15" customHeight="1">
      <c r="A68" s="17" t="s">
        <v>48</v>
      </c>
      <c r="B68" s="17" t="s">
        <v>49</v>
      </c>
      <c r="C68" s="18">
        <v>0.35416666666666669</v>
      </c>
      <c r="D68" s="17" t="s">
        <v>53</v>
      </c>
      <c r="E68" s="17" t="s">
        <v>57</v>
      </c>
      <c r="F68" s="17" t="s">
        <v>86</v>
      </c>
      <c r="G68" s="298"/>
      <c r="H68" s="10"/>
      <c r="I68" s="11"/>
      <c r="J68" s="11"/>
      <c r="K68" s="11"/>
      <c r="L68" s="11"/>
      <c r="M68" s="11"/>
      <c r="N68" s="11"/>
      <c r="O68" s="12"/>
      <c r="P68" s="11"/>
      <c r="Q68" s="13"/>
      <c r="R68" s="14"/>
    </row>
    <row r="69" spans="1:18" ht="15" customHeight="1">
      <c r="A69" s="17" t="s">
        <v>48</v>
      </c>
      <c r="B69" s="17" t="s">
        <v>56</v>
      </c>
      <c r="C69" s="18">
        <v>0.89583333333333337</v>
      </c>
      <c r="D69" s="17" t="s">
        <v>53</v>
      </c>
      <c r="E69" s="17" t="s">
        <v>57</v>
      </c>
      <c r="F69" s="17" t="s">
        <v>86</v>
      </c>
      <c r="G69" s="298"/>
      <c r="H69" s="10"/>
      <c r="I69" s="11"/>
      <c r="J69" s="11"/>
      <c r="K69" s="11"/>
      <c r="L69" s="11"/>
      <c r="M69" s="11"/>
      <c r="N69" s="11"/>
      <c r="O69" s="12"/>
      <c r="P69" s="11"/>
      <c r="Q69" s="13"/>
      <c r="R69" s="14"/>
    </row>
    <row r="70" spans="1:18" ht="15" customHeight="1" thickBot="1">
      <c r="A70" s="30" t="s">
        <v>48</v>
      </c>
      <c r="B70" s="30" t="s">
        <v>58</v>
      </c>
      <c r="C70" s="31">
        <v>0.18402777777777779</v>
      </c>
      <c r="D70" s="30" t="s">
        <v>53</v>
      </c>
      <c r="E70" s="30" t="s">
        <v>57</v>
      </c>
      <c r="F70" s="30" t="s">
        <v>86</v>
      </c>
      <c r="G70" s="299"/>
      <c r="H70" s="300"/>
      <c r="I70" s="140"/>
      <c r="J70" s="140"/>
      <c r="K70" s="140"/>
      <c r="L70" s="140"/>
      <c r="M70" s="140"/>
      <c r="N70" s="140"/>
      <c r="O70" s="141"/>
      <c r="P70" s="140"/>
      <c r="Q70" s="142"/>
      <c r="R70" s="301"/>
    </row>
    <row r="71" spans="1:18" ht="17.45" customHeight="1" thickBot="1">
      <c r="A71" s="283"/>
      <c r="B71" s="284"/>
      <c r="C71" s="284"/>
      <c r="D71" s="284"/>
      <c r="E71" s="284"/>
      <c r="F71" s="284"/>
      <c r="G71" s="284"/>
      <c r="H71" s="284"/>
      <c r="I71" s="284"/>
      <c r="J71" s="284"/>
      <c r="K71" s="284"/>
      <c r="L71" s="284"/>
      <c r="M71" s="284"/>
      <c r="N71" s="284"/>
      <c r="O71" s="284"/>
      <c r="P71" s="284"/>
      <c r="Q71" s="284"/>
      <c r="R71" s="285"/>
    </row>
    <row r="72" spans="1:18" ht="22.15" customHeight="1" thickTop="1" thickBot="1">
      <c r="A72" s="279" t="s">
        <v>6</v>
      </c>
      <c r="B72" s="295"/>
      <c r="C72" s="295"/>
      <c r="D72" s="295"/>
      <c r="E72" s="295"/>
      <c r="F72" s="296"/>
      <c r="G72" s="32">
        <v>46026</v>
      </c>
      <c r="H72" s="278" t="s">
        <v>7</v>
      </c>
      <c r="I72" s="295"/>
      <c r="J72" s="295"/>
      <c r="K72" s="295"/>
      <c r="L72" s="295"/>
      <c r="M72" s="295"/>
      <c r="N72" s="295"/>
      <c r="O72" s="295"/>
      <c r="P72" s="295"/>
      <c r="Q72" s="295"/>
      <c r="R72" s="296"/>
    </row>
    <row r="73" spans="1:18" ht="24" customHeight="1">
      <c r="A73" s="33" t="s">
        <v>8</v>
      </c>
      <c r="B73" s="33" t="s">
        <v>9</v>
      </c>
      <c r="C73" s="34" t="s">
        <v>10</v>
      </c>
      <c r="D73" s="33" t="s">
        <v>11</v>
      </c>
      <c r="E73" s="33" t="s">
        <v>12</v>
      </c>
      <c r="F73" s="35" t="s">
        <v>13</v>
      </c>
      <c r="G73" s="36" t="s">
        <v>14</v>
      </c>
      <c r="H73" s="33" t="s">
        <v>15</v>
      </c>
      <c r="I73" s="37" t="s">
        <v>16</v>
      </c>
      <c r="J73" s="38" t="s">
        <v>17</v>
      </c>
      <c r="K73" s="39" t="s">
        <v>18</v>
      </c>
      <c r="L73" s="38" t="s">
        <v>19</v>
      </c>
      <c r="M73" s="38" t="s">
        <v>20</v>
      </c>
      <c r="N73" s="38" t="s">
        <v>21</v>
      </c>
      <c r="O73" s="33" t="s">
        <v>22</v>
      </c>
      <c r="P73" s="34" t="s">
        <v>23</v>
      </c>
      <c r="Q73" s="38" t="s">
        <v>24</v>
      </c>
      <c r="R73" s="33" t="s">
        <v>25</v>
      </c>
    </row>
    <row r="74" spans="1:18" ht="15" customHeight="1">
      <c r="A74" s="8" t="s">
        <v>38</v>
      </c>
      <c r="B74" s="8" t="s">
        <v>39</v>
      </c>
      <c r="C74" s="9">
        <v>0.22916666666666671</v>
      </c>
      <c r="D74" s="8" t="s">
        <v>40</v>
      </c>
      <c r="E74" s="8" t="s">
        <v>94</v>
      </c>
      <c r="F74" s="8" t="s">
        <v>78</v>
      </c>
      <c r="G74" s="297"/>
      <c r="H74" s="10"/>
      <c r="I74" s="11"/>
      <c r="J74" s="11"/>
      <c r="K74" s="11"/>
      <c r="L74" s="11"/>
      <c r="M74" s="11"/>
      <c r="N74" s="11"/>
      <c r="O74" s="12"/>
      <c r="P74" s="11"/>
      <c r="Q74" s="13"/>
      <c r="R74" s="14"/>
    </row>
    <row r="75" spans="1:18" ht="15" customHeight="1">
      <c r="A75" s="15" t="s">
        <v>38</v>
      </c>
      <c r="B75" s="15" t="s">
        <v>39</v>
      </c>
      <c r="C75" s="16">
        <v>0.22916666666666671</v>
      </c>
      <c r="D75" s="15" t="s">
        <v>43</v>
      </c>
      <c r="E75" s="15" t="s">
        <v>95</v>
      </c>
      <c r="F75" s="15" t="s">
        <v>79</v>
      </c>
      <c r="G75" s="298"/>
      <c r="H75" s="10"/>
      <c r="I75" s="11"/>
      <c r="J75" s="11"/>
      <c r="K75" s="11"/>
      <c r="L75" s="11"/>
      <c r="M75" s="11"/>
      <c r="N75" s="11"/>
      <c r="O75" s="12"/>
      <c r="P75" s="11"/>
      <c r="Q75" s="13"/>
      <c r="R75" s="14"/>
    </row>
    <row r="76" spans="1:18" ht="15" customHeight="1">
      <c r="A76" s="15" t="s">
        <v>38</v>
      </c>
      <c r="B76" s="15" t="s">
        <v>39</v>
      </c>
      <c r="C76" s="16">
        <v>0.22916666666666671</v>
      </c>
      <c r="D76" s="15" t="s">
        <v>46</v>
      </c>
      <c r="E76" s="15" t="s">
        <v>95</v>
      </c>
      <c r="F76" s="15" t="s">
        <v>47</v>
      </c>
      <c r="G76" s="298"/>
      <c r="H76" s="10"/>
      <c r="I76" s="11"/>
      <c r="J76" s="11"/>
      <c r="K76" s="11"/>
      <c r="L76" s="11"/>
      <c r="M76" s="11"/>
      <c r="N76" s="11"/>
      <c r="O76" s="12"/>
      <c r="P76" s="11"/>
      <c r="Q76" s="13"/>
      <c r="R76" s="14"/>
    </row>
    <row r="77" spans="1:18" ht="15" customHeight="1">
      <c r="A77" s="19" t="s">
        <v>26</v>
      </c>
      <c r="B77" s="19" t="s">
        <v>27</v>
      </c>
      <c r="C77" s="20">
        <v>0.60763888888888895</v>
      </c>
      <c r="D77" s="19" t="s">
        <v>28</v>
      </c>
      <c r="E77" s="19" t="s">
        <v>80</v>
      </c>
      <c r="F77" s="19" t="s">
        <v>81</v>
      </c>
      <c r="G77" s="298"/>
      <c r="H77" s="10"/>
      <c r="I77" s="11"/>
      <c r="J77" s="11"/>
      <c r="K77" s="11"/>
      <c r="L77" s="11"/>
      <c r="M77" s="11"/>
      <c r="N77" s="11"/>
      <c r="O77" s="12"/>
      <c r="P77" s="11"/>
      <c r="Q77" s="13"/>
      <c r="R77" s="14"/>
    </row>
    <row r="78" spans="1:18" ht="15" customHeight="1">
      <c r="A78" s="15" t="s">
        <v>26</v>
      </c>
      <c r="B78" s="15" t="s">
        <v>27</v>
      </c>
      <c r="C78" s="16">
        <v>0.60763888888888895</v>
      </c>
      <c r="D78" s="15" t="s">
        <v>31</v>
      </c>
      <c r="E78" s="15" t="s">
        <v>82</v>
      </c>
      <c r="F78" s="15" t="s">
        <v>83</v>
      </c>
      <c r="G78" s="298"/>
      <c r="H78" s="10"/>
      <c r="I78" s="11"/>
      <c r="J78" s="11"/>
      <c r="K78" s="11"/>
      <c r="L78" s="11"/>
      <c r="M78" s="11"/>
      <c r="N78" s="11"/>
      <c r="O78" s="12"/>
      <c r="P78" s="11"/>
      <c r="Q78" s="13"/>
      <c r="R78" s="14"/>
    </row>
    <row r="79" spans="1:18" ht="15" customHeight="1">
      <c r="A79" s="15" t="s">
        <v>26</v>
      </c>
      <c r="B79" s="15" t="s">
        <v>27</v>
      </c>
      <c r="C79" s="16">
        <v>0.60763888888888895</v>
      </c>
      <c r="D79" s="15" t="s">
        <v>34</v>
      </c>
      <c r="E79" s="15" t="s">
        <v>82</v>
      </c>
      <c r="F79" s="15" t="s">
        <v>45</v>
      </c>
      <c r="G79" s="298"/>
      <c r="H79" s="10"/>
      <c r="I79" s="11"/>
      <c r="J79" s="11"/>
      <c r="K79" s="11"/>
      <c r="L79" s="11"/>
      <c r="M79" s="11"/>
      <c r="N79" s="11"/>
      <c r="O79" s="12"/>
      <c r="P79" s="11"/>
      <c r="Q79" s="13"/>
      <c r="R79" s="14"/>
    </row>
    <row r="80" spans="1:18" ht="15" customHeight="1">
      <c r="A80" s="19" t="s">
        <v>48</v>
      </c>
      <c r="B80" s="19" t="s">
        <v>56</v>
      </c>
      <c r="C80" s="20">
        <v>0.89583333333333337</v>
      </c>
      <c r="D80" s="19" t="s">
        <v>50</v>
      </c>
      <c r="E80" s="19" t="s">
        <v>29</v>
      </c>
      <c r="F80" s="19" t="s">
        <v>96</v>
      </c>
      <c r="G80" s="298"/>
      <c r="H80" s="10"/>
      <c r="I80" s="11"/>
      <c r="J80" s="11"/>
      <c r="K80" s="11"/>
      <c r="L80" s="11"/>
      <c r="M80" s="11"/>
      <c r="N80" s="11"/>
      <c r="O80" s="12"/>
      <c r="P80" s="11"/>
      <c r="Q80" s="13"/>
      <c r="R80" s="14"/>
    </row>
    <row r="81" spans="1:18" ht="15" customHeight="1">
      <c r="A81" s="15" t="s">
        <v>48</v>
      </c>
      <c r="B81" s="15" t="s">
        <v>56</v>
      </c>
      <c r="C81" s="16">
        <v>0.89583333333333337</v>
      </c>
      <c r="D81" s="15" t="s">
        <v>53</v>
      </c>
      <c r="E81" s="15" t="s">
        <v>32</v>
      </c>
      <c r="F81" s="15" t="s">
        <v>97</v>
      </c>
      <c r="G81" s="298"/>
      <c r="H81" s="10"/>
      <c r="I81" s="11"/>
      <c r="J81" s="11"/>
      <c r="K81" s="11"/>
      <c r="L81" s="11"/>
      <c r="M81" s="11"/>
      <c r="N81" s="11"/>
      <c r="O81" s="12"/>
      <c r="P81" s="11"/>
      <c r="Q81" s="13"/>
      <c r="R81" s="14"/>
    </row>
    <row r="82" spans="1:18" ht="15" customHeight="1">
      <c r="A82" s="17" t="s">
        <v>48</v>
      </c>
      <c r="B82" s="17" t="s">
        <v>49</v>
      </c>
      <c r="C82" s="18">
        <v>0.35069444444444442</v>
      </c>
      <c r="D82" s="17" t="s">
        <v>50</v>
      </c>
      <c r="E82" s="17" t="s">
        <v>57</v>
      </c>
      <c r="F82" s="17" t="s">
        <v>52</v>
      </c>
      <c r="G82" s="298"/>
      <c r="H82" s="10"/>
      <c r="I82" s="11"/>
      <c r="J82" s="11"/>
      <c r="K82" s="11"/>
      <c r="L82" s="11"/>
      <c r="M82" s="11"/>
      <c r="N82" s="11"/>
      <c r="O82" s="12"/>
      <c r="P82" s="11"/>
      <c r="Q82" s="13"/>
      <c r="R82" s="14"/>
    </row>
    <row r="83" spans="1:18" ht="15" customHeight="1">
      <c r="A83" s="15" t="s">
        <v>48</v>
      </c>
      <c r="B83" s="15" t="s">
        <v>49</v>
      </c>
      <c r="C83" s="16">
        <v>0.35069444444444442</v>
      </c>
      <c r="D83" s="15" t="s">
        <v>53</v>
      </c>
      <c r="E83" s="15" t="s">
        <v>54</v>
      </c>
      <c r="F83" s="15" t="s">
        <v>55</v>
      </c>
      <c r="G83" s="298"/>
      <c r="H83" s="10"/>
      <c r="I83" s="11"/>
      <c r="J83" s="11"/>
      <c r="K83" s="11"/>
      <c r="L83" s="11"/>
      <c r="M83" s="11"/>
      <c r="N83" s="11"/>
      <c r="O83" s="12"/>
      <c r="P83" s="11"/>
      <c r="Q83" s="13"/>
      <c r="R83" s="14"/>
    </row>
    <row r="84" spans="1:18" ht="15" customHeight="1">
      <c r="A84" s="17" t="s">
        <v>48</v>
      </c>
      <c r="B84" s="17" t="s">
        <v>58</v>
      </c>
      <c r="C84" s="18">
        <v>0.18402777777777779</v>
      </c>
      <c r="D84" s="17" t="s">
        <v>50</v>
      </c>
      <c r="E84" s="17" t="s">
        <v>98</v>
      </c>
      <c r="F84" s="17" t="s">
        <v>52</v>
      </c>
      <c r="G84" s="298"/>
      <c r="H84" s="10"/>
      <c r="I84" s="11"/>
      <c r="J84" s="11"/>
      <c r="K84" s="11"/>
      <c r="L84" s="11"/>
      <c r="M84" s="11"/>
      <c r="N84" s="11"/>
      <c r="O84" s="12"/>
      <c r="P84" s="11"/>
      <c r="Q84" s="13"/>
      <c r="R84" s="14"/>
    </row>
    <row r="85" spans="1:18" ht="15" customHeight="1">
      <c r="A85" s="15" t="s">
        <v>48</v>
      </c>
      <c r="B85" s="15" t="s">
        <v>58</v>
      </c>
      <c r="C85" s="16">
        <v>0.18402777777777779</v>
      </c>
      <c r="D85" s="15" t="s">
        <v>53</v>
      </c>
      <c r="E85" s="15" t="s">
        <v>99</v>
      </c>
      <c r="F85" s="15" t="s">
        <v>55</v>
      </c>
      <c r="G85" s="298"/>
      <c r="H85" s="10"/>
      <c r="I85" s="11"/>
      <c r="J85" s="11"/>
      <c r="K85" s="11"/>
      <c r="L85" s="11"/>
      <c r="M85" s="11"/>
      <c r="N85" s="11"/>
      <c r="O85" s="12"/>
      <c r="P85" s="11"/>
      <c r="Q85" s="13"/>
      <c r="R85" s="14"/>
    </row>
    <row r="86" spans="1:18" ht="15" customHeight="1">
      <c r="A86" s="17" t="s">
        <v>48</v>
      </c>
      <c r="B86" s="17" t="s">
        <v>59</v>
      </c>
      <c r="C86" s="18">
        <v>0.22916666666666671</v>
      </c>
      <c r="D86" s="17" t="s">
        <v>53</v>
      </c>
      <c r="E86" s="17" t="s">
        <v>37</v>
      </c>
      <c r="F86" s="17" t="s">
        <v>93</v>
      </c>
      <c r="G86" s="298"/>
      <c r="H86" s="10"/>
      <c r="I86" s="11"/>
      <c r="J86" s="11"/>
      <c r="K86" s="11"/>
      <c r="L86" s="11"/>
      <c r="M86" s="11"/>
      <c r="N86" s="11"/>
      <c r="O86" s="12"/>
      <c r="P86" s="11"/>
      <c r="Q86" s="13"/>
      <c r="R86" s="14"/>
    </row>
    <row r="87" spans="1:18" ht="15" customHeight="1">
      <c r="A87" s="49" t="s">
        <v>61</v>
      </c>
      <c r="B87" s="49" t="s">
        <v>62</v>
      </c>
      <c r="C87" s="50">
        <v>0.74305555555555547</v>
      </c>
      <c r="D87" s="49" t="s">
        <v>63</v>
      </c>
      <c r="E87" s="49" t="s">
        <v>100</v>
      </c>
      <c r="F87" s="49" t="s">
        <v>64</v>
      </c>
      <c r="G87" s="298"/>
      <c r="H87" s="51" t="s">
        <v>65</v>
      </c>
      <c r="I87" s="52">
        <v>0.4</v>
      </c>
      <c r="J87" s="53">
        <v>72</v>
      </c>
      <c r="K87" s="54">
        <v>46329</v>
      </c>
      <c r="L87" s="53">
        <v>5</v>
      </c>
      <c r="M87" s="53">
        <v>0</v>
      </c>
      <c r="N87" s="53">
        <v>0</v>
      </c>
      <c r="O87" s="55" t="s">
        <v>101</v>
      </c>
      <c r="P87" s="56">
        <v>0.74305555555555547</v>
      </c>
      <c r="Q87" s="53">
        <v>180</v>
      </c>
      <c r="R87" s="57" t="s">
        <v>102</v>
      </c>
    </row>
    <row r="88" spans="1:18" ht="15" customHeight="1">
      <c r="A88" s="19" t="s">
        <v>68</v>
      </c>
      <c r="B88" s="19" t="s">
        <v>74</v>
      </c>
      <c r="C88" s="20">
        <v>0.33680555555555558</v>
      </c>
      <c r="D88" s="19" t="s">
        <v>70</v>
      </c>
      <c r="E88" s="19" t="s">
        <v>51</v>
      </c>
      <c r="F88" s="19" t="s">
        <v>71</v>
      </c>
      <c r="G88" s="298"/>
      <c r="H88" s="10"/>
      <c r="I88" s="11"/>
      <c r="J88" s="11"/>
      <c r="K88" s="11"/>
      <c r="L88" s="11"/>
      <c r="M88" s="11"/>
      <c r="N88" s="11"/>
      <c r="O88" s="12"/>
      <c r="P88" s="11"/>
      <c r="Q88" s="13"/>
      <c r="R88" s="14"/>
    </row>
    <row r="89" spans="1:18" ht="15" customHeight="1">
      <c r="A89" s="17" t="s">
        <v>68</v>
      </c>
      <c r="B89" s="17" t="s">
        <v>69</v>
      </c>
      <c r="C89" s="18">
        <v>0.94097222222222221</v>
      </c>
      <c r="D89" s="17" t="s">
        <v>70</v>
      </c>
      <c r="E89" s="17" t="s">
        <v>57</v>
      </c>
      <c r="F89" s="17" t="s">
        <v>71</v>
      </c>
      <c r="G89" s="298"/>
      <c r="H89" s="10"/>
      <c r="I89" s="11"/>
      <c r="J89" s="11"/>
      <c r="K89" s="11"/>
      <c r="L89" s="11"/>
      <c r="M89" s="11"/>
      <c r="N89" s="11"/>
      <c r="O89" s="12"/>
      <c r="P89" s="11"/>
      <c r="Q89" s="13"/>
      <c r="R89" s="14"/>
    </row>
    <row r="90" spans="1:18" ht="15" customHeight="1">
      <c r="A90" s="17" t="s">
        <v>68</v>
      </c>
      <c r="B90" s="17" t="s">
        <v>76</v>
      </c>
      <c r="C90" s="18">
        <v>0.69791666666666663</v>
      </c>
      <c r="D90" s="17" t="s">
        <v>70</v>
      </c>
      <c r="E90" s="17" t="s">
        <v>57</v>
      </c>
      <c r="F90" s="17" t="s">
        <v>71</v>
      </c>
      <c r="G90" s="298"/>
      <c r="H90" s="10"/>
      <c r="I90" s="11"/>
      <c r="J90" s="11"/>
      <c r="K90" s="11"/>
      <c r="L90" s="11"/>
      <c r="M90" s="11"/>
      <c r="N90" s="11"/>
      <c r="O90" s="12"/>
      <c r="P90" s="11"/>
      <c r="Q90" s="13"/>
      <c r="R90" s="14"/>
    </row>
    <row r="91" spans="1:18" ht="15" customHeight="1">
      <c r="A91" s="17" t="s">
        <v>68</v>
      </c>
      <c r="B91" s="17" t="s">
        <v>72</v>
      </c>
      <c r="C91" s="18">
        <v>6.5972222222222224E-2</v>
      </c>
      <c r="D91" s="17" t="s">
        <v>70</v>
      </c>
      <c r="E91" s="17" t="s">
        <v>57</v>
      </c>
      <c r="F91" s="17" t="s">
        <v>71</v>
      </c>
      <c r="G91" s="298"/>
      <c r="H91" s="10"/>
      <c r="I91" s="11"/>
      <c r="J91" s="11"/>
      <c r="K91" s="11"/>
      <c r="L91" s="11"/>
      <c r="M91" s="11"/>
      <c r="N91" s="11"/>
      <c r="O91" s="12"/>
      <c r="P91" s="11"/>
      <c r="Q91" s="13"/>
      <c r="R91" s="14"/>
    </row>
    <row r="92" spans="1:18" ht="15" customHeight="1" thickBot="1">
      <c r="A92" s="30" t="s">
        <v>68</v>
      </c>
      <c r="B92" s="30" t="s">
        <v>73</v>
      </c>
      <c r="C92" s="31">
        <v>0.28819444444444448</v>
      </c>
      <c r="D92" s="30" t="s">
        <v>70</v>
      </c>
      <c r="E92" s="30" t="s">
        <v>57</v>
      </c>
      <c r="F92" s="30" t="s">
        <v>71</v>
      </c>
      <c r="G92" s="299"/>
      <c r="H92" s="300"/>
      <c r="I92" s="140"/>
      <c r="J92" s="140"/>
      <c r="K92" s="140"/>
      <c r="L92" s="140"/>
      <c r="M92" s="140"/>
      <c r="N92" s="140"/>
      <c r="O92" s="141"/>
      <c r="P92" s="140"/>
      <c r="Q92" s="142"/>
      <c r="R92" s="301"/>
    </row>
    <row r="93" spans="1:18" ht="17.45" customHeight="1" thickBot="1">
      <c r="A93" s="283"/>
      <c r="B93" s="284"/>
      <c r="C93" s="284"/>
      <c r="D93" s="284"/>
      <c r="E93" s="284"/>
      <c r="F93" s="284"/>
      <c r="G93" s="284"/>
      <c r="H93" s="284"/>
      <c r="I93" s="284"/>
      <c r="J93" s="284"/>
      <c r="K93" s="284"/>
      <c r="L93" s="284"/>
      <c r="M93" s="284"/>
      <c r="N93" s="284"/>
      <c r="O93" s="284"/>
      <c r="P93" s="284"/>
      <c r="Q93" s="284"/>
      <c r="R93" s="285"/>
    </row>
    <row r="94" spans="1:18" ht="22.15" customHeight="1" thickTop="1" thickBot="1">
      <c r="A94" s="279" t="s">
        <v>6</v>
      </c>
      <c r="B94" s="295"/>
      <c r="C94" s="295"/>
      <c r="D94" s="295"/>
      <c r="E94" s="295"/>
      <c r="F94" s="296"/>
      <c r="G94" s="32">
        <v>46027</v>
      </c>
      <c r="H94" s="278" t="s">
        <v>7</v>
      </c>
      <c r="I94" s="295"/>
      <c r="J94" s="295"/>
      <c r="K94" s="295"/>
      <c r="L94" s="295"/>
      <c r="M94" s="295"/>
      <c r="N94" s="295"/>
      <c r="O94" s="295"/>
      <c r="P94" s="295"/>
      <c r="Q94" s="295"/>
      <c r="R94" s="296"/>
    </row>
    <row r="95" spans="1:18" ht="24" customHeight="1">
      <c r="A95" s="33" t="s">
        <v>8</v>
      </c>
      <c r="B95" s="33" t="s">
        <v>9</v>
      </c>
      <c r="C95" s="34" t="s">
        <v>10</v>
      </c>
      <c r="D95" s="33" t="s">
        <v>11</v>
      </c>
      <c r="E95" s="33" t="s">
        <v>12</v>
      </c>
      <c r="F95" s="35" t="s">
        <v>13</v>
      </c>
      <c r="G95" s="36" t="s">
        <v>14</v>
      </c>
      <c r="H95" s="33" t="s">
        <v>15</v>
      </c>
      <c r="I95" s="37" t="s">
        <v>16</v>
      </c>
      <c r="J95" s="38" t="s">
        <v>17</v>
      </c>
      <c r="K95" s="39" t="s">
        <v>18</v>
      </c>
      <c r="L95" s="38" t="s">
        <v>19</v>
      </c>
      <c r="M95" s="38" t="s">
        <v>20</v>
      </c>
      <c r="N95" s="38" t="s">
        <v>21</v>
      </c>
      <c r="O95" s="33" t="s">
        <v>22</v>
      </c>
      <c r="P95" s="34" t="s">
        <v>23</v>
      </c>
      <c r="Q95" s="38" t="s">
        <v>24</v>
      </c>
      <c r="R95" s="33" t="s">
        <v>25</v>
      </c>
    </row>
    <row r="96" spans="1:18" ht="15" customHeight="1">
      <c r="A96" s="8" t="s">
        <v>38</v>
      </c>
      <c r="B96" s="8" t="s">
        <v>87</v>
      </c>
      <c r="C96" s="9">
        <v>6.25E-2</v>
      </c>
      <c r="D96" s="8" t="s">
        <v>40</v>
      </c>
      <c r="E96" s="8" t="s">
        <v>41</v>
      </c>
      <c r="F96" s="8" t="s">
        <v>88</v>
      </c>
      <c r="G96" s="297"/>
      <c r="H96" s="10"/>
      <c r="I96" s="11"/>
      <c r="J96" s="11"/>
      <c r="K96" s="11"/>
      <c r="L96" s="11"/>
      <c r="M96" s="11"/>
      <c r="N96" s="11"/>
      <c r="O96" s="12"/>
      <c r="P96" s="11"/>
      <c r="Q96" s="13"/>
      <c r="R96" s="14"/>
    </row>
    <row r="97" spans="1:18" ht="15" customHeight="1">
      <c r="A97" s="15" t="s">
        <v>38</v>
      </c>
      <c r="B97" s="15" t="s">
        <v>87</v>
      </c>
      <c r="C97" s="16">
        <v>6.25E-2</v>
      </c>
      <c r="D97" s="15" t="s">
        <v>43</v>
      </c>
      <c r="E97" s="15" t="s">
        <v>44</v>
      </c>
      <c r="F97" s="15" t="s">
        <v>89</v>
      </c>
      <c r="G97" s="298"/>
      <c r="H97" s="10"/>
      <c r="I97" s="11"/>
      <c r="J97" s="11"/>
      <c r="K97" s="11"/>
      <c r="L97" s="11"/>
      <c r="M97" s="11"/>
      <c r="N97" s="11"/>
      <c r="O97" s="12"/>
      <c r="P97" s="11"/>
      <c r="Q97" s="13"/>
      <c r="R97" s="14"/>
    </row>
    <row r="98" spans="1:18" ht="15" customHeight="1">
      <c r="A98" s="15" t="s">
        <v>38</v>
      </c>
      <c r="B98" s="15" t="s">
        <v>87</v>
      </c>
      <c r="C98" s="16">
        <v>6.25E-2</v>
      </c>
      <c r="D98" s="15" t="s">
        <v>46</v>
      </c>
      <c r="E98" s="15" t="s">
        <v>44</v>
      </c>
      <c r="F98" s="15" t="s">
        <v>47</v>
      </c>
      <c r="G98" s="298"/>
      <c r="H98" s="10"/>
      <c r="I98" s="11"/>
      <c r="J98" s="11"/>
      <c r="K98" s="11"/>
      <c r="L98" s="11"/>
      <c r="M98" s="11"/>
      <c r="N98" s="11"/>
      <c r="O98" s="12"/>
      <c r="P98" s="11"/>
      <c r="Q98" s="13"/>
      <c r="R98" s="14"/>
    </row>
    <row r="99" spans="1:18" ht="15" customHeight="1">
      <c r="A99" s="17" t="s">
        <v>38</v>
      </c>
      <c r="B99" s="17" t="s">
        <v>39</v>
      </c>
      <c r="C99" s="18">
        <v>0.22916666666666671</v>
      </c>
      <c r="D99" s="17" t="s">
        <v>40</v>
      </c>
      <c r="E99" s="17" t="s">
        <v>98</v>
      </c>
      <c r="F99" s="17" t="s">
        <v>78</v>
      </c>
      <c r="G99" s="298"/>
      <c r="H99" s="10"/>
      <c r="I99" s="11"/>
      <c r="J99" s="11"/>
      <c r="K99" s="11"/>
      <c r="L99" s="11"/>
      <c r="M99" s="11"/>
      <c r="N99" s="11"/>
      <c r="O99" s="12"/>
      <c r="P99" s="11"/>
      <c r="Q99" s="13"/>
      <c r="R99" s="14"/>
    </row>
    <row r="100" spans="1:18" ht="15" customHeight="1">
      <c r="A100" s="15" t="s">
        <v>38</v>
      </c>
      <c r="B100" s="15" t="s">
        <v>39</v>
      </c>
      <c r="C100" s="16">
        <v>0.22916666666666671</v>
      </c>
      <c r="D100" s="15" t="s">
        <v>43</v>
      </c>
      <c r="E100" s="15" t="s">
        <v>99</v>
      </c>
      <c r="F100" s="15" t="s">
        <v>79</v>
      </c>
      <c r="G100" s="298"/>
      <c r="H100" s="10"/>
      <c r="I100" s="11"/>
      <c r="J100" s="11"/>
      <c r="K100" s="11"/>
      <c r="L100" s="11"/>
      <c r="M100" s="11"/>
      <c r="N100" s="11"/>
      <c r="O100" s="12"/>
      <c r="P100" s="11"/>
      <c r="Q100" s="13"/>
      <c r="R100" s="14"/>
    </row>
    <row r="101" spans="1:18" ht="15" customHeight="1">
      <c r="A101" s="15" t="s">
        <v>38</v>
      </c>
      <c r="B101" s="15" t="s">
        <v>39</v>
      </c>
      <c r="C101" s="16">
        <v>0.22916666666666671</v>
      </c>
      <c r="D101" s="15" t="s">
        <v>46</v>
      </c>
      <c r="E101" s="15" t="s">
        <v>99</v>
      </c>
      <c r="F101" s="15" t="s">
        <v>47</v>
      </c>
      <c r="G101" s="298"/>
      <c r="H101" s="10"/>
      <c r="I101" s="11"/>
      <c r="J101" s="11"/>
      <c r="K101" s="11"/>
      <c r="L101" s="11"/>
      <c r="M101" s="11"/>
      <c r="N101" s="11"/>
      <c r="O101" s="12"/>
      <c r="P101" s="11"/>
      <c r="Q101" s="13"/>
      <c r="R101" s="14"/>
    </row>
    <row r="102" spans="1:18" ht="15" customHeight="1">
      <c r="A102" s="19" t="s">
        <v>26</v>
      </c>
      <c r="B102" s="19" t="s">
        <v>27</v>
      </c>
      <c r="C102" s="20">
        <v>0.60763888888888895</v>
      </c>
      <c r="D102" s="19" t="s">
        <v>28</v>
      </c>
      <c r="E102" s="19" t="s">
        <v>103</v>
      </c>
      <c r="F102" s="19" t="s">
        <v>81</v>
      </c>
      <c r="G102" s="298"/>
      <c r="H102" s="10"/>
      <c r="I102" s="11"/>
      <c r="J102" s="11"/>
      <c r="K102" s="11"/>
      <c r="L102" s="11"/>
      <c r="M102" s="11"/>
      <c r="N102" s="11"/>
      <c r="O102" s="12"/>
      <c r="P102" s="11"/>
      <c r="Q102" s="13"/>
      <c r="R102" s="14"/>
    </row>
    <row r="103" spans="1:18" ht="15" customHeight="1">
      <c r="A103" s="15" t="s">
        <v>26</v>
      </c>
      <c r="B103" s="15" t="s">
        <v>27</v>
      </c>
      <c r="C103" s="16">
        <v>0.60763888888888895</v>
      </c>
      <c r="D103" s="15" t="s">
        <v>31</v>
      </c>
      <c r="E103" s="15" t="s">
        <v>99</v>
      </c>
      <c r="F103" s="15" t="s">
        <v>83</v>
      </c>
      <c r="G103" s="298"/>
      <c r="H103" s="10"/>
      <c r="I103" s="11"/>
      <c r="J103" s="11"/>
      <c r="K103" s="11"/>
      <c r="L103" s="11"/>
      <c r="M103" s="11"/>
      <c r="N103" s="11"/>
      <c r="O103" s="12"/>
      <c r="P103" s="11"/>
      <c r="Q103" s="13"/>
      <c r="R103" s="14"/>
    </row>
    <row r="104" spans="1:18" ht="15" customHeight="1">
      <c r="A104" s="15" t="s">
        <v>26</v>
      </c>
      <c r="B104" s="15" t="s">
        <v>27</v>
      </c>
      <c r="C104" s="16">
        <v>0.60763888888888895</v>
      </c>
      <c r="D104" s="15" t="s">
        <v>34</v>
      </c>
      <c r="E104" s="15" t="s">
        <v>99</v>
      </c>
      <c r="F104" s="15" t="s">
        <v>45</v>
      </c>
      <c r="G104" s="298"/>
      <c r="H104" s="10"/>
      <c r="I104" s="11"/>
      <c r="J104" s="11"/>
      <c r="K104" s="11"/>
      <c r="L104" s="11"/>
      <c r="M104" s="11"/>
      <c r="N104" s="11"/>
      <c r="O104" s="12"/>
      <c r="P104" s="11"/>
      <c r="Q104" s="13"/>
      <c r="R104" s="14"/>
    </row>
    <row r="105" spans="1:18" ht="15" customHeight="1">
      <c r="A105" s="17" t="s">
        <v>26</v>
      </c>
      <c r="B105" s="17" t="s">
        <v>36</v>
      </c>
      <c r="C105" s="18">
        <v>0.43402777777777768</v>
      </c>
      <c r="D105" s="17" t="s">
        <v>28</v>
      </c>
      <c r="E105" s="17" t="s">
        <v>90</v>
      </c>
      <c r="F105" s="17" t="s">
        <v>104</v>
      </c>
      <c r="G105" s="298"/>
      <c r="H105" s="10"/>
      <c r="I105" s="11"/>
      <c r="J105" s="11"/>
      <c r="K105" s="11"/>
      <c r="L105" s="11"/>
      <c r="M105" s="11"/>
      <c r="N105" s="11"/>
      <c r="O105" s="12"/>
      <c r="P105" s="11"/>
      <c r="Q105" s="13"/>
      <c r="R105" s="14"/>
    </row>
    <row r="106" spans="1:18" ht="15" customHeight="1">
      <c r="A106" s="15" t="s">
        <v>26</v>
      </c>
      <c r="B106" s="15" t="s">
        <v>36</v>
      </c>
      <c r="C106" s="16">
        <v>0.43402777777777768</v>
      </c>
      <c r="D106" s="15" t="s">
        <v>31</v>
      </c>
      <c r="E106" s="15" t="s">
        <v>82</v>
      </c>
      <c r="F106" s="15" t="s">
        <v>105</v>
      </c>
      <c r="G106" s="298"/>
      <c r="H106" s="10"/>
      <c r="I106" s="11"/>
      <c r="J106" s="11"/>
      <c r="K106" s="11"/>
      <c r="L106" s="11"/>
      <c r="M106" s="11"/>
      <c r="N106" s="11"/>
      <c r="O106" s="12"/>
      <c r="P106" s="11"/>
      <c r="Q106" s="13"/>
      <c r="R106" s="14"/>
    </row>
    <row r="107" spans="1:18" ht="15" customHeight="1">
      <c r="A107" s="15" t="s">
        <v>26</v>
      </c>
      <c r="B107" s="15" t="s">
        <v>36</v>
      </c>
      <c r="C107" s="16">
        <v>0.43402777777777768</v>
      </c>
      <c r="D107" s="15" t="s">
        <v>34</v>
      </c>
      <c r="E107" s="15" t="s">
        <v>82</v>
      </c>
      <c r="F107" s="15" t="s">
        <v>106</v>
      </c>
      <c r="G107" s="298"/>
      <c r="H107" s="10"/>
      <c r="I107" s="11"/>
      <c r="J107" s="11"/>
      <c r="K107" s="11"/>
      <c r="L107" s="11"/>
      <c r="M107" s="11"/>
      <c r="N107" s="11"/>
      <c r="O107" s="12"/>
      <c r="P107" s="11"/>
      <c r="Q107" s="13"/>
      <c r="R107" s="14"/>
    </row>
    <row r="108" spans="1:18" ht="15" customHeight="1">
      <c r="A108" s="19" t="s">
        <v>48</v>
      </c>
      <c r="B108" s="19" t="s">
        <v>58</v>
      </c>
      <c r="C108" s="20">
        <v>0.18402777777777779</v>
      </c>
      <c r="D108" s="19" t="s">
        <v>50</v>
      </c>
      <c r="E108" s="19" t="s">
        <v>107</v>
      </c>
      <c r="F108" s="19" t="s">
        <v>96</v>
      </c>
      <c r="G108" s="298"/>
      <c r="H108" s="10"/>
      <c r="I108" s="11"/>
      <c r="J108" s="11"/>
      <c r="K108" s="11"/>
      <c r="L108" s="11"/>
      <c r="M108" s="11"/>
      <c r="N108" s="11"/>
      <c r="O108" s="12"/>
      <c r="P108" s="11"/>
      <c r="Q108" s="13"/>
      <c r="R108" s="14"/>
    </row>
    <row r="109" spans="1:18" ht="15" customHeight="1">
      <c r="A109" s="15" t="s">
        <v>48</v>
      </c>
      <c r="B109" s="15" t="s">
        <v>58</v>
      </c>
      <c r="C109" s="16">
        <v>0.18402777777777779</v>
      </c>
      <c r="D109" s="15" t="s">
        <v>53</v>
      </c>
      <c r="E109" s="15" t="s">
        <v>108</v>
      </c>
      <c r="F109" s="15" t="s">
        <v>97</v>
      </c>
      <c r="G109" s="298"/>
      <c r="H109" s="10"/>
      <c r="I109" s="11"/>
      <c r="J109" s="11"/>
      <c r="K109" s="11"/>
      <c r="L109" s="11"/>
      <c r="M109" s="11"/>
      <c r="N109" s="11"/>
      <c r="O109" s="12"/>
      <c r="P109" s="11"/>
      <c r="Q109" s="13"/>
      <c r="R109" s="14"/>
    </row>
    <row r="110" spans="1:18" ht="15" customHeight="1">
      <c r="A110" s="17" t="s">
        <v>48</v>
      </c>
      <c r="B110" s="17" t="s">
        <v>56</v>
      </c>
      <c r="C110" s="18">
        <v>0.89583333333333337</v>
      </c>
      <c r="D110" s="17" t="s">
        <v>50</v>
      </c>
      <c r="E110" s="17" t="s">
        <v>57</v>
      </c>
      <c r="F110" s="17" t="s">
        <v>52</v>
      </c>
      <c r="G110" s="298"/>
      <c r="H110" s="10"/>
      <c r="I110" s="11"/>
      <c r="J110" s="11"/>
      <c r="K110" s="11"/>
      <c r="L110" s="11"/>
      <c r="M110" s="11"/>
      <c r="N110" s="11"/>
      <c r="O110" s="12"/>
      <c r="P110" s="11"/>
      <c r="Q110" s="13"/>
      <c r="R110" s="14"/>
    </row>
    <row r="111" spans="1:18" ht="15" customHeight="1">
      <c r="A111" s="15" t="s">
        <v>48</v>
      </c>
      <c r="B111" s="15" t="s">
        <v>56</v>
      </c>
      <c r="C111" s="16">
        <v>0.89583333333333337</v>
      </c>
      <c r="D111" s="15" t="s">
        <v>53</v>
      </c>
      <c r="E111" s="15" t="s">
        <v>54</v>
      </c>
      <c r="F111" s="15" t="s">
        <v>55</v>
      </c>
      <c r="G111" s="298"/>
      <c r="H111" s="10"/>
      <c r="I111" s="11"/>
      <c r="J111" s="11"/>
      <c r="K111" s="11"/>
      <c r="L111" s="11"/>
      <c r="M111" s="11"/>
      <c r="N111" s="11"/>
      <c r="O111" s="12"/>
      <c r="P111" s="11"/>
      <c r="Q111" s="13"/>
      <c r="R111" s="14"/>
    </row>
    <row r="112" spans="1:18" ht="15" customHeight="1">
      <c r="A112" s="17" t="s">
        <v>48</v>
      </c>
      <c r="B112" s="17" t="s">
        <v>49</v>
      </c>
      <c r="C112" s="18">
        <v>0.35069444444444442</v>
      </c>
      <c r="D112" s="17" t="s">
        <v>50</v>
      </c>
      <c r="E112" s="17" t="s">
        <v>57</v>
      </c>
      <c r="F112" s="17" t="s">
        <v>109</v>
      </c>
      <c r="G112" s="298"/>
      <c r="H112" s="10"/>
      <c r="I112" s="11"/>
      <c r="J112" s="11"/>
      <c r="K112" s="11"/>
      <c r="L112" s="11"/>
      <c r="M112" s="11"/>
      <c r="N112" s="11"/>
      <c r="O112" s="12"/>
      <c r="P112" s="11"/>
      <c r="Q112" s="13"/>
      <c r="R112" s="14"/>
    </row>
    <row r="113" spans="1:18" ht="15" customHeight="1">
      <c r="A113" s="15" t="s">
        <v>48</v>
      </c>
      <c r="B113" s="15" t="s">
        <v>49</v>
      </c>
      <c r="C113" s="16">
        <v>0.35069444444444442</v>
      </c>
      <c r="D113" s="15" t="s">
        <v>53</v>
      </c>
      <c r="E113" s="15" t="s">
        <v>54</v>
      </c>
      <c r="F113" s="15" t="s">
        <v>110</v>
      </c>
      <c r="G113" s="298"/>
      <c r="H113" s="10"/>
      <c r="I113" s="11"/>
      <c r="J113" s="11"/>
      <c r="K113" s="11"/>
      <c r="L113" s="11"/>
      <c r="M113" s="11"/>
      <c r="N113" s="11"/>
      <c r="O113" s="12"/>
      <c r="P113" s="11"/>
      <c r="Q113" s="13"/>
      <c r="R113" s="14"/>
    </row>
    <row r="114" spans="1:18" ht="15" customHeight="1">
      <c r="A114" s="17" t="s">
        <v>48</v>
      </c>
      <c r="B114" s="17" t="s">
        <v>59</v>
      </c>
      <c r="C114" s="18">
        <v>0.22916666666666671</v>
      </c>
      <c r="D114" s="17" t="s">
        <v>53</v>
      </c>
      <c r="E114" s="17" t="s">
        <v>37</v>
      </c>
      <c r="F114" s="17" t="s">
        <v>93</v>
      </c>
      <c r="G114" s="298"/>
      <c r="H114" s="10"/>
      <c r="I114" s="11"/>
      <c r="J114" s="11"/>
      <c r="K114" s="11"/>
      <c r="L114" s="11"/>
      <c r="M114" s="11"/>
      <c r="N114" s="11"/>
      <c r="O114" s="12"/>
      <c r="P114" s="11"/>
      <c r="Q114" s="13"/>
      <c r="R114" s="14"/>
    </row>
    <row r="115" spans="1:18" ht="15" customHeight="1">
      <c r="A115" s="58" t="s">
        <v>61</v>
      </c>
      <c r="B115" s="58" t="s">
        <v>111</v>
      </c>
      <c r="C115" s="59">
        <v>0.86805555555555547</v>
      </c>
      <c r="D115" s="58" t="s">
        <v>63</v>
      </c>
      <c r="E115" s="58" t="s">
        <v>51</v>
      </c>
      <c r="F115" s="58" t="s">
        <v>64</v>
      </c>
      <c r="G115" s="298"/>
      <c r="H115" s="60" t="s">
        <v>112</v>
      </c>
      <c r="I115" s="61">
        <v>0</v>
      </c>
      <c r="J115" s="62">
        <v>0</v>
      </c>
      <c r="K115" s="63" t="s">
        <v>66</v>
      </c>
      <c r="L115" s="62">
        <v>0</v>
      </c>
      <c r="M115" s="62">
        <v>0</v>
      </c>
      <c r="N115" s="62">
        <v>0</v>
      </c>
      <c r="O115" s="64" t="s">
        <v>67</v>
      </c>
      <c r="P115" s="65">
        <v>0.86805555555555547</v>
      </c>
      <c r="Q115" s="62">
        <v>180</v>
      </c>
      <c r="R115" s="66" t="s">
        <v>66</v>
      </c>
    </row>
    <row r="116" spans="1:18" ht="15" customHeight="1">
      <c r="A116" s="19" t="s">
        <v>68</v>
      </c>
      <c r="B116" s="19" t="s">
        <v>74</v>
      </c>
      <c r="C116" s="20">
        <v>0.33680555555555558</v>
      </c>
      <c r="D116" s="19" t="s">
        <v>70</v>
      </c>
      <c r="E116" s="19" t="s">
        <v>51</v>
      </c>
      <c r="F116" s="19" t="s">
        <v>71</v>
      </c>
      <c r="G116" s="298"/>
      <c r="H116" s="10"/>
      <c r="I116" s="11"/>
      <c r="J116" s="11"/>
      <c r="K116" s="11"/>
      <c r="L116" s="11"/>
      <c r="M116" s="11"/>
      <c r="N116" s="11"/>
      <c r="O116" s="12"/>
      <c r="P116" s="11"/>
      <c r="Q116" s="13"/>
      <c r="R116" s="14"/>
    </row>
    <row r="117" spans="1:18" ht="15" customHeight="1">
      <c r="A117" s="17" t="s">
        <v>68</v>
      </c>
      <c r="B117" s="17" t="s">
        <v>69</v>
      </c>
      <c r="C117" s="18">
        <v>0.94097222222222221</v>
      </c>
      <c r="D117" s="17" t="s">
        <v>70</v>
      </c>
      <c r="E117" s="17" t="s">
        <v>57</v>
      </c>
      <c r="F117" s="17" t="s">
        <v>71</v>
      </c>
      <c r="G117" s="298"/>
      <c r="H117" s="10"/>
      <c r="I117" s="11"/>
      <c r="J117" s="11"/>
      <c r="K117" s="11"/>
      <c r="L117" s="11"/>
      <c r="M117" s="11"/>
      <c r="N117" s="11"/>
      <c r="O117" s="12"/>
      <c r="P117" s="11"/>
      <c r="Q117" s="13"/>
      <c r="R117" s="14"/>
    </row>
    <row r="118" spans="1:18" ht="15" customHeight="1">
      <c r="A118" s="17" t="s">
        <v>68</v>
      </c>
      <c r="B118" s="17" t="s">
        <v>72</v>
      </c>
      <c r="C118" s="18">
        <v>6.5972222222222224E-2</v>
      </c>
      <c r="D118" s="17" t="s">
        <v>70</v>
      </c>
      <c r="E118" s="17" t="s">
        <v>57</v>
      </c>
      <c r="F118" s="17" t="s">
        <v>71</v>
      </c>
      <c r="G118" s="298"/>
      <c r="H118" s="10"/>
      <c r="I118" s="11"/>
      <c r="J118" s="11"/>
      <c r="K118" s="11"/>
      <c r="L118" s="11"/>
      <c r="M118" s="11"/>
      <c r="N118" s="11"/>
      <c r="O118" s="12"/>
      <c r="P118" s="11"/>
      <c r="Q118" s="13"/>
      <c r="R118" s="14"/>
    </row>
    <row r="119" spans="1:18" ht="15" customHeight="1">
      <c r="A119" s="17" t="s">
        <v>68</v>
      </c>
      <c r="B119" s="17" t="s">
        <v>73</v>
      </c>
      <c r="C119" s="18">
        <v>0.28819444444444448</v>
      </c>
      <c r="D119" s="17" t="s">
        <v>70</v>
      </c>
      <c r="E119" s="17" t="s">
        <v>57</v>
      </c>
      <c r="F119" s="17" t="s">
        <v>71</v>
      </c>
      <c r="G119" s="298"/>
      <c r="H119" s="10"/>
      <c r="I119" s="11"/>
      <c r="J119" s="11"/>
      <c r="K119" s="11"/>
      <c r="L119" s="11"/>
      <c r="M119" s="11"/>
      <c r="N119" s="11"/>
      <c r="O119" s="12"/>
      <c r="P119" s="11"/>
      <c r="Q119" s="13"/>
      <c r="R119" s="14"/>
    </row>
    <row r="120" spans="1:18" ht="15" customHeight="1" thickBot="1">
      <c r="A120" s="30" t="s">
        <v>68</v>
      </c>
      <c r="B120" s="30" t="s">
        <v>76</v>
      </c>
      <c r="C120" s="31">
        <v>0.69791666666666663</v>
      </c>
      <c r="D120" s="30" t="s">
        <v>70</v>
      </c>
      <c r="E120" s="30" t="s">
        <v>57</v>
      </c>
      <c r="F120" s="30" t="s">
        <v>75</v>
      </c>
      <c r="G120" s="299"/>
      <c r="H120" s="300"/>
      <c r="I120" s="140"/>
      <c r="J120" s="140"/>
      <c r="K120" s="140"/>
      <c r="L120" s="140"/>
      <c r="M120" s="140"/>
      <c r="N120" s="140"/>
      <c r="O120" s="141"/>
      <c r="P120" s="140"/>
      <c r="Q120" s="142"/>
      <c r="R120" s="301"/>
    </row>
    <row r="121" spans="1:18" ht="17.45" customHeight="1" thickBot="1">
      <c r="A121" s="283"/>
      <c r="B121" s="284"/>
      <c r="C121" s="284"/>
      <c r="D121" s="284"/>
      <c r="E121" s="284"/>
      <c r="F121" s="284"/>
      <c r="G121" s="284"/>
      <c r="H121" s="284"/>
      <c r="I121" s="284"/>
      <c r="J121" s="284"/>
      <c r="K121" s="284"/>
      <c r="L121" s="284"/>
      <c r="M121" s="284"/>
      <c r="N121" s="284"/>
      <c r="O121" s="284"/>
      <c r="P121" s="284"/>
      <c r="Q121" s="284"/>
      <c r="R121" s="285"/>
    </row>
    <row r="122" spans="1:18" ht="22.15" customHeight="1" thickTop="1" thickBot="1">
      <c r="A122" s="279" t="s">
        <v>6</v>
      </c>
      <c r="B122" s="295"/>
      <c r="C122" s="295"/>
      <c r="D122" s="295"/>
      <c r="E122" s="295"/>
      <c r="F122" s="296"/>
      <c r="G122" s="32">
        <v>46028</v>
      </c>
      <c r="H122" s="278" t="s">
        <v>7</v>
      </c>
      <c r="I122" s="295"/>
      <c r="J122" s="295"/>
      <c r="K122" s="295"/>
      <c r="L122" s="295"/>
      <c r="M122" s="295"/>
      <c r="N122" s="295"/>
      <c r="O122" s="295"/>
      <c r="P122" s="295"/>
      <c r="Q122" s="295"/>
      <c r="R122" s="296"/>
    </row>
    <row r="123" spans="1:18" ht="24" customHeight="1">
      <c r="A123" s="33" t="s">
        <v>8</v>
      </c>
      <c r="B123" s="33" t="s">
        <v>9</v>
      </c>
      <c r="C123" s="34" t="s">
        <v>10</v>
      </c>
      <c r="D123" s="33" t="s">
        <v>11</v>
      </c>
      <c r="E123" s="33" t="s">
        <v>12</v>
      </c>
      <c r="F123" s="35" t="s">
        <v>13</v>
      </c>
      <c r="G123" s="36" t="s">
        <v>14</v>
      </c>
      <c r="H123" s="33" t="s">
        <v>15</v>
      </c>
      <c r="I123" s="37" t="s">
        <v>16</v>
      </c>
      <c r="J123" s="38" t="s">
        <v>17</v>
      </c>
      <c r="K123" s="39" t="s">
        <v>18</v>
      </c>
      <c r="L123" s="38" t="s">
        <v>19</v>
      </c>
      <c r="M123" s="38" t="s">
        <v>20</v>
      </c>
      <c r="N123" s="38" t="s">
        <v>21</v>
      </c>
      <c r="O123" s="33" t="s">
        <v>22</v>
      </c>
      <c r="P123" s="34" t="s">
        <v>23</v>
      </c>
      <c r="Q123" s="38" t="s">
        <v>24</v>
      </c>
      <c r="R123" s="33" t="s">
        <v>25</v>
      </c>
    </row>
    <row r="124" spans="1:18" ht="15" customHeight="1">
      <c r="A124" s="8" t="s">
        <v>38</v>
      </c>
      <c r="B124" s="8" t="s">
        <v>87</v>
      </c>
      <c r="C124" s="9">
        <v>6.25E-2</v>
      </c>
      <c r="D124" s="8" t="s">
        <v>40</v>
      </c>
      <c r="E124" s="8" t="s">
        <v>41</v>
      </c>
      <c r="F124" s="8" t="s">
        <v>78</v>
      </c>
      <c r="G124" s="297"/>
      <c r="H124" s="10"/>
      <c r="I124" s="11"/>
      <c r="J124" s="11"/>
      <c r="K124" s="11"/>
      <c r="L124" s="11"/>
      <c r="M124" s="11"/>
      <c r="N124" s="11"/>
      <c r="O124" s="12"/>
      <c r="P124" s="11"/>
      <c r="Q124" s="13"/>
      <c r="R124" s="14"/>
    </row>
    <row r="125" spans="1:18" ht="15" customHeight="1">
      <c r="A125" s="15" t="s">
        <v>38</v>
      </c>
      <c r="B125" s="15" t="s">
        <v>87</v>
      </c>
      <c r="C125" s="16">
        <v>6.25E-2</v>
      </c>
      <c r="D125" s="15" t="s">
        <v>43</v>
      </c>
      <c r="E125" s="15" t="s">
        <v>44</v>
      </c>
      <c r="F125" s="15" t="s">
        <v>79</v>
      </c>
      <c r="G125" s="298"/>
      <c r="H125" s="10"/>
      <c r="I125" s="11"/>
      <c r="J125" s="11"/>
      <c r="K125" s="11"/>
      <c r="L125" s="11"/>
      <c r="M125" s="11"/>
      <c r="N125" s="11"/>
      <c r="O125" s="12"/>
      <c r="P125" s="11"/>
      <c r="Q125" s="13"/>
      <c r="R125" s="14"/>
    </row>
    <row r="126" spans="1:18" ht="15" customHeight="1">
      <c r="A126" s="15" t="s">
        <v>38</v>
      </c>
      <c r="B126" s="15" t="s">
        <v>87</v>
      </c>
      <c r="C126" s="16">
        <v>6.25E-2</v>
      </c>
      <c r="D126" s="15" t="s">
        <v>46</v>
      </c>
      <c r="E126" s="15" t="s">
        <v>44</v>
      </c>
      <c r="F126" s="15" t="s">
        <v>47</v>
      </c>
      <c r="G126" s="298"/>
      <c r="H126" s="10"/>
      <c r="I126" s="11"/>
      <c r="J126" s="11"/>
      <c r="K126" s="11"/>
      <c r="L126" s="11"/>
      <c r="M126" s="11"/>
      <c r="N126" s="11"/>
      <c r="O126" s="12"/>
      <c r="P126" s="11"/>
      <c r="Q126" s="13"/>
      <c r="R126" s="14"/>
    </row>
    <row r="127" spans="1:18" ht="15" customHeight="1">
      <c r="A127" s="17" t="s">
        <v>38</v>
      </c>
      <c r="B127" s="17" t="s">
        <v>39</v>
      </c>
      <c r="C127" s="18">
        <v>0.22916666666666671</v>
      </c>
      <c r="D127" s="17" t="s">
        <v>40</v>
      </c>
      <c r="E127" s="17" t="s">
        <v>113</v>
      </c>
      <c r="F127" s="17" t="s">
        <v>42</v>
      </c>
      <c r="G127" s="298"/>
      <c r="H127" s="10"/>
      <c r="I127" s="11"/>
      <c r="J127" s="11"/>
      <c r="K127" s="11"/>
      <c r="L127" s="11"/>
      <c r="M127" s="11"/>
      <c r="N127" s="11"/>
      <c r="O127" s="12"/>
      <c r="P127" s="11"/>
      <c r="Q127" s="13"/>
      <c r="R127" s="14"/>
    </row>
    <row r="128" spans="1:18" ht="15" customHeight="1">
      <c r="A128" s="15" t="s">
        <v>38</v>
      </c>
      <c r="B128" s="15" t="s">
        <v>39</v>
      </c>
      <c r="C128" s="16">
        <v>0.22916666666666671</v>
      </c>
      <c r="D128" s="15" t="s">
        <v>43</v>
      </c>
      <c r="E128" s="15" t="s">
        <v>114</v>
      </c>
      <c r="F128" s="15" t="s">
        <v>45</v>
      </c>
      <c r="G128" s="298"/>
      <c r="H128" s="10"/>
      <c r="I128" s="11"/>
      <c r="J128" s="11"/>
      <c r="K128" s="11"/>
      <c r="L128" s="11"/>
      <c r="M128" s="11"/>
      <c r="N128" s="11"/>
      <c r="O128" s="12"/>
      <c r="P128" s="11"/>
      <c r="Q128" s="13"/>
      <c r="R128" s="14"/>
    </row>
    <row r="129" spans="1:18" ht="15" customHeight="1">
      <c r="A129" s="15" t="s">
        <v>38</v>
      </c>
      <c r="B129" s="15" t="s">
        <v>39</v>
      </c>
      <c r="C129" s="16">
        <v>0.22916666666666671</v>
      </c>
      <c r="D129" s="15" t="s">
        <v>46</v>
      </c>
      <c r="E129" s="15" t="s">
        <v>114</v>
      </c>
      <c r="F129" s="15" t="s">
        <v>47</v>
      </c>
      <c r="G129" s="298"/>
      <c r="H129" s="10"/>
      <c r="I129" s="11"/>
      <c r="J129" s="11"/>
      <c r="K129" s="11"/>
      <c r="L129" s="11"/>
      <c r="M129" s="11"/>
      <c r="N129" s="11"/>
      <c r="O129" s="12"/>
      <c r="P129" s="11"/>
      <c r="Q129" s="13"/>
      <c r="R129" s="14"/>
    </row>
    <row r="130" spans="1:18" ht="15" customHeight="1">
      <c r="A130" s="19" t="s">
        <v>48</v>
      </c>
      <c r="B130" s="19" t="s">
        <v>58</v>
      </c>
      <c r="C130" s="20">
        <v>0.18402777777777779</v>
      </c>
      <c r="D130" s="19" t="s">
        <v>50</v>
      </c>
      <c r="E130" s="19" t="s">
        <v>100</v>
      </c>
      <c r="F130" s="19" t="s">
        <v>96</v>
      </c>
      <c r="G130" s="298"/>
      <c r="H130" s="10"/>
      <c r="I130" s="11"/>
      <c r="J130" s="11"/>
      <c r="K130" s="11"/>
      <c r="L130" s="11"/>
      <c r="M130" s="11"/>
      <c r="N130" s="11"/>
      <c r="O130" s="12"/>
      <c r="P130" s="11"/>
      <c r="Q130" s="13"/>
      <c r="R130" s="14"/>
    </row>
    <row r="131" spans="1:18" ht="15" customHeight="1">
      <c r="A131" s="15" t="s">
        <v>48</v>
      </c>
      <c r="B131" s="15" t="s">
        <v>58</v>
      </c>
      <c r="C131" s="16">
        <v>0.18402777777777779</v>
      </c>
      <c r="D131" s="15" t="s">
        <v>53</v>
      </c>
      <c r="E131" s="15" t="s">
        <v>115</v>
      </c>
      <c r="F131" s="15" t="s">
        <v>97</v>
      </c>
      <c r="G131" s="298"/>
      <c r="H131" s="10"/>
      <c r="I131" s="11"/>
      <c r="J131" s="11"/>
      <c r="K131" s="11"/>
      <c r="L131" s="11"/>
      <c r="M131" s="11"/>
      <c r="N131" s="11"/>
      <c r="O131" s="12"/>
      <c r="P131" s="11"/>
      <c r="Q131" s="13"/>
      <c r="R131" s="14"/>
    </row>
    <row r="132" spans="1:18" ht="15" customHeight="1">
      <c r="A132" s="17" t="s">
        <v>48</v>
      </c>
      <c r="B132" s="17" t="s">
        <v>49</v>
      </c>
      <c r="C132" s="18">
        <v>0.35069444444444442</v>
      </c>
      <c r="D132" s="17" t="s">
        <v>50</v>
      </c>
      <c r="E132" s="17" t="s">
        <v>57</v>
      </c>
      <c r="F132" s="17" t="s">
        <v>116</v>
      </c>
      <c r="G132" s="298"/>
      <c r="H132" s="10"/>
      <c r="I132" s="11"/>
      <c r="J132" s="11"/>
      <c r="K132" s="11"/>
      <c r="L132" s="11"/>
      <c r="M132" s="11"/>
      <c r="N132" s="11"/>
      <c r="O132" s="12"/>
      <c r="P132" s="11"/>
      <c r="Q132" s="13"/>
      <c r="R132" s="14"/>
    </row>
    <row r="133" spans="1:18" ht="15" customHeight="1">
      <c r="A133" s="15" t="s">
        <v>48</v>
      </c>
      <c r="B133" s="15" t="s">
        <v>49</v>
      </c>
      <c r="C133" s="16">
        <v>0.35069444444444442</v>
      </c>
      <c r="D133" s="15" t="s">
        <v>53</v>
      </c>
      <c r="E133" s="15" t="s">
        <v>54</v>
      </c>
      <c r="F133" s="15" t="s">
        <v>117</v>
      </c>
      <c r="G133" s="298"/>
      <c r="H133" s="10"/>
      <c r="I133" s="11"/>
      <c r="J133" s="11"/>
      <c r="K133" s="11"/>
      <c r="L133" s="11"/>
      <c r="M133" s="11"/>
      <c r="N133" s="11"/>
      <c r="O133" s="12"/>
      <c r="P133" s="11"/>
      <c r="Q133" s="13"/>
      <c r="R133" s="14"/>
    </row>
    <row r="134" spans="1:18" ht="15" customHeight="1">
      <c r="A134" s="17" t="s">
        <v>48</v>
      </c>
      <c r="B134" s="17" t="s">
        <v>56</v>
      </c>
      <c r="C134" s="18">
        <v>0.89583333333333337</v>
      </c>
      <c r="D134" s="17" t="s">
        <v>50</v>
      </c>
      <c r="E134" s="17" t="s">
        <v>57</v>
      </c>
      <c r="F134" s="17" t="s">
        <v>116</v>
      </c>
      <c r="G134" s="298"/>
      <c r="H134" s="10"/>
      <c r="I134" s="11"/>
      <c r="J134" s="11"/>
      <c r="K134" s="11"/>
      <c r="L134" s="11"/>
      <c r="M134" s="11"/>
      <c r="N134" s="11"/>
      <c r="O134" s="12"/>
      <c r="P134" s="11"/>
      <c r="Q134" s="13"/>
      <c r="R134" s="14"/>
    </row>
    <row r="135" spans="1:18" ht="15" customHeight="1">
      <c r="A135" s="15" t="s">
        <v>48</v>
      </c>
      <c r="B135" s="15" t="s">
        <v>56</v>
      </c>
      <c r="C135" s="16">
        <v>0.89583333333333337</v>
      </c>
      <c r="D135" s="15" t="s">
        <v>53</v>
      </c>
      <c r="E135" s="15" t="s">
        <v>54</v>
      </c>
      <c r="F135" s="15" t="s">
        <v>117</v>
      </c>
      <c r="G135" s="298"/>
      <c r="H135" s="10"/>
      <c r="I135" s="11"/>
      <c r="J135" s="11"/>
      <c r="K135" s="11"/>
      <c r="L135" s="11"/>
      <c r="M135" s="11"/>
      <c r="N135" s="11"/>
      <c r="O135" s="12"/>
      <c r="P135" s="11"/>
      <c r="Q135" s="13"/>
      <c r="R135" s="14"/>
    </row>
    <row r="136" spans="1:18" ht="15" customHeight="1">
      <c r="A136" s="17" t="s">
        <v>48</v>
      </c>
      <c r="B136" s="17" t="s">
        <v>59</v>
      </c>
      <c r="C136" s="18">
        <v>0.22916666666666671</v>
      </c>
      <c r="D136" s="17" t="s">
        <v>53</v>
      </c>
      <c r="E136" s="17" t="s">
        <v>37</v>
      </c>
      <c r="F136" s="17" t="s">
        <v>60</v>
      </c>
      <c r="G136" s="298"/>
      <c r="H136" s="10"/>
      <c r="I136" s="11"/>
      <c r="J136" s="11"/>
      <c r="K136" s="11"/>
      <c r="L136" s="11"/>
      <c r="M136" s="11"/>
      <c r="N136" s="11"/>
      <c r="O136" s="12"/>
      <c r="P136" s="11"/>
      <c r="Q136" s="13"/>
      <c r="R136" s="14"/>
    </row>
    <row r="137" spans="1:18" ht="15" customHeight="1">
      <c r="A137" s="67" t="s">
        <v>61</v>
      </c>
      <c r="B137" s="67" t="s">
        <v>62</v>
      </c>
      <c r="C137" s="68">
        <v>0.81944444444444453</v>
      </c>
      <c r="D137" s="67" t="s">
        <v>63</v>
      </c>
      <c r="E137" s="67" t="s">
        <v>51</v>
      </c>
      <c r="F137" s="67" t="s">
        <v>64</v>
      </c>
      <c r="G137" s="298"/>
      <c r="H137" s="69" t="s">
        <v>65</v>
      </c>
      <c r="I137" s="70">
        <v>0</v>
      </c>
      <c r="J137" s="71">
        <v>0</v>
      </c>
      <c r="K137" s="72" t="s">
        <v>66</v>
      </c>
      <c r="L137" s="71">
        <v>0</v>
      </c>
      <c r="M137" s="71">
        <v>0</v>
      </c>
      <c r="N137" s="71">
        <v>0</v>
      </c>
      <c r="O137" s="73" t="s">
        <v>67</v>
      </c>
      <c r="P137" s="74">
        <v>0.81944444444444453</v>
      </c>
      <c r="Q137" s="71">
        <v>180</v>
      </c>
      <c r="R137" s="75" t="s">
        <v>66</v>
      </c>
    </row>
    <row r="138" spans="1:18" ht="15" customHeight="1">
      <c r="A138" s="19" t="s">
        <v>26</v>
      </c>
      <c r="B138" s="19" t="s">
        <v>27</v>
      </c>
      <c r="C138" s="20">
        <v>0.60763888888888895</v>
      </c>
      <c r="D138" s="19" t="s">
        <v>28</v>
      </c>
      <c r="E138" s="19" t="s">
        <v>80</v>
      </c>
      <c r="F138" s="19" t="s">
        <v>118</v>
      </c>
      <c r="G138" s="298"/>
      <c r="H138" s="10"/>
      <c r="I138" s="11"/>
      <c r="J138" s="11"/>
      <c r="K138" s="11"/>
      <c r="L138" s="11"/>
      <c r="M138" s="11"/>
      <c r="N138" s="11"/>
      <c r="O138" s="12"/>
      <c r="P138" s="11"/>
      <c r="Q138" s="13"/>
      <c r="R138" s="14"/>
    </row>
    <row r="139" spans="1:18" ht="15" customHeight="1">
      <c r="A139" s="15" t="s">
        <v>26</v>
      </c>
      <c r="B139" s="15" t="s">
        <v>27</v>
      </c>
      <c r="C139" s="16">
        <v>0.60763888888888895</v>
      </c>
      <c r="D139" s="15" t="s">
        <v>31</v>
      </c>
      <c r="E139" s="15" t="s">
        <v>82</v>
      </c>
      <c r="F139" s="15" t="s">
        <v>119</v>
      </c>
      <c r="G139" s="298"/>
      <c r="H139" s="10"/>
      <c r="I139" s="11"/>
      <c r="J139" s="11"/>
      <c r="K139" s="11"/>
      <c r="L139" s="11"/>
      <c r="M139" s="11"/>
      <c r="N139" s="11"/>
      <c r="O139" s="12"/>
      <c r="P139" s="11"/>
      <c r="Q139" s="13"/>
      <c r="R139" s="14"/>
    </row>
    <row r="140" spans="1:18" ht="15" customHeight="1">
      <c r="A140" s="15" t="s">
        <v>26</v>
      </c>
      <c r="B140" s="15" t="s">
        <v>27</v>
      </c>
      <c r="C140" s="16">
        <v>0.60763888888888895</v>
      </c>
      <c r="D140" s="15" t="s">
        <v>34</v>
      </c>
      <c r="E140" s="15" t="s">
        <v>82</v>
      </c>
      <c r="F140" s="15" t="s">
        <v>105</v>
      </c>
      <c r="G140" s="298"/>
      <c r="H140" s="10"/>
      <c r="I140" s="11"/>
      <c r="J140" s="11"/>
      <c r="K140" s="11"/>
      <c r="L140" s="11"/>
      <c r="M140" s="11"/>
      <c r="N140" s="11"/>
      <c r="O140" s="12"/>
      <c r="P140" s="11"/>
      <c r="Q140" s="13"/>
      <c r="R140" s="14"/>
    </row>
    <row r="141" spans="1:18" ht="15" customHeight="1">
      <c r="A141" s="19" t="s">
        <v>68</v>
      </c>
      <c r="B141" s="19" t="s">
        <v>74</v>
      </c>
      <c r="C141" s="20">
        <v>0.33680555555555558</v>
      </c>
      <c r="D141" s="19" t="s">
        <v>70</v>
      </c>
      <c r="E141" s="19" t="s">
        <v>51</v>
      </c>
      <c r="F141" s="19" t="s">
        <v>71</v>
      </c>
      <c r="G141" s="298"/>
      <c r="H141" s="10"/>
      <c r="I141" s="11"/>
      <c r="J141" s="11"/>
      <c r="K141" s="11"/>
      <c r="L141" s="11"/>
      <c r="M141" s="11"/>
      <c r="N141" s="11"/>
      <c r="O141" s="12"/>
      <c r="P141" s="11"/>
      <c r="Q141" s="13"/>
      <c r="R141" s="14"/>
    </row>
    <row r="142" spans="1:18" ht="15" customHeight="1">
      <c r="A142" s="17" t="s">
        <v>68</v>
      </c>
      <c r="B142" s="17" t="s">
        <v>69</v>
      </c>
      <c r="C142" s="18">
        <v>0.94097222222222221</v>
      </c>
      <c r="D142" s="17" t="s">
        <v>70</v>
      </c>
      <c r="E142" s="17" t="s">
        <v>57</v>
      </c>
      <c r="F142" s="17" t="s">
        <v>71</v>
      </c>
      <c r="G142" s="298"/>
      <c r="H142" s="10"/>
      <c r="I142" s="11"/>
      <c r="J142" s="11"/>
      <c r="K142" s="11"/>
      <c r="L142" s="11"/>
      <c r="M142" s="11"/>
      <c r="N142" s="11"/>
      <c r="O142" s="12"/>
      <c r="P142" s="11"/>
      <c r="Q142" s="13"/>
      <c r="R142" s="14"/>
    </row>
    <row r="143" spans="1:18" ht="15" customHeight="1">
      <c r="A143" s="17" t="s">
        <v>68</v>
      </c>
      <c r="B143" s="17" t="s">
        <v>76</v>
      </c>
      <c r="C143" s="18">
        <v>0.69791666666666663</v>
      </c>
      <c r="D143" s="17" t="s">
        <v>70</v>
      </c>
      <c r="E143" s="17" t="s">
        <v>57</v>
      </c>
      <c r="F143" s="17" t="s">
        <v>71</v>
      </c>
      <c r="G143" s="298"/>
      <c r="H143" s="10"/>
      <c r="I143" s="11"/>
      <c r="J143" s="11"/>
      <c r="K143" s="11"/>
      <c r="L143" s="11"/>
      <c r="M143" s="11"/>
      <c r="N143" s="11"/>
      <c r="O143" s="12"/>
      <c r="P143" s="11"/>
      <c r="Q143" s="13"/>
      <c r="R143" s="14"/>
    </row>
    <row r="144" spans="1:18" ht="15" customHeight="1">
      <c r="A144" s="17" t="s">
        <v>68</v>
      </c>
      <c r="B144" s="17" t="s">
        <v>72</v>
      </c>
      <c r="C144" s="18">
        <v>6.5972222222222224E-2</v>
      </c>
      <c r="D144" s="17" t="s">
        <v>70</v>
      </c>
      <c r="E144" s="17" t="s">
        <v>57</v>
      </c>
      <c r="F144" s="17" t="s">
        <v>71</v>
      </c>
      <c r="G144" s="298"/>
      <c r="H144" s="10"/>
      <c r="I144" s="11"/>
      <c r="J144" s="11"/>
      <c r="K144" s="11"/>
      <c r="L144" s="11"/>
      <c r="M144" s="11"/>
      <c r="N144" s="11"/>
      <c r="O144" s="12"/>
      <c r="P144" s="11"/>
      <c r="Q144" s="13"/>
      <c r="R144" s="14"/>
    </row>
    <row r="145" spans="1:18" ht="15" customHeight="1" thickBot="1">
      <c r="A145" s="30" t="s">
        <v>68</v>
      </c>
      <c r="B145" s="30" t="s">
        <v>73</v>
      </c>
      <c r="C145" s="31">
        <v>0.28819444444444448</v>
      </c>
      <c r="D145" s="30" t="s">
        <v>70</v>
      </c>
      <c r="E145" s="30" t="s">
        <v>57</v>
      </c>
      <c r="F145" s="30" t="s">
        <v>71</v>
      </c>
      <c r="G145" s="299"/>
      <c r="H145" s="300"/>
      <c r="I145" s="140"/>
      <c r="J145" s="140"/>
      <c r="K145" s="140"/>
      <c r="L145" s="140"/>
      <c r="M145" s="140"/>
      <c r="N145" s="140"/>
      <c r="O145" s="141"/>
      <c r="P145" s="140"/>
      <c r="Q145" s="142"/>
      <c r="R145" s="301"/>
    </row>
    <row r="146" spans="1:18" ht="17.45" customHeight="1" thickBot="1">
      <c r="A146" s="283"/>
      <c r="B146" s="284"/>
      <c r="C146" s="284"/>
      <c r="D146" s="284"/>
      <c r="E146" s="284"/>
      <c r="F146" s="284"/>
      <c r="G146" s="284"/>
      <c r="H146" s="284"/>
      <c r="I146" s="284"/>
      <c r="J146" s="284"/>
      <c r="K146" s="284"/>
      <c r="L146" s="284"/>
      <c r="M146" s="284"/>
      <c r="N146" s="284"/>
      <c r="O146" s="284"/>
      <c r="P146" s="284"/>
      <c r="Q146" s="284"/>
      <c r="R146" s="285"/>
    </row>
    <row r="147" spans="1:18" ht="22.15" customHeight="1" thickTop="1" thickBot="1">
      <c r="A147" s="279" t="s">
        <v>6</v>
      </c>
      <c r="B147" s="295"/>
      <c r="C147" s="295"/>
      <c r="D147" s="295"/>
      <c r="E147" s="295"/>
      <c r="F147" s="296"/>
      <c r="G147" s="32">
        <v>46029</v>
      </c>
      <c r="H147" s="278" t="s">
        <v>7</v>
      </c>
      <c r="I147" s="295"/>
      <c r="J147" s="295"/>
      <c r="K147" s="295"/>
      <c r="L147" s="295"/>
      <c r="M147" s="295"/>
      <c r="N147" s="295"/>
      <c r="O147" s="295"/>
      <c r="P147" s="295"/>
      <c r="Q147" s="295"/>
      <c r="R147" s="296"/>
    </row>
    <row r="148" spans="1:18" ht="24" customHeight="1">
      <c r="A148" s="33" t="s">
        <v>8</v>
      </c>
      <c r="B148" s="33" t="s">
        <v>9</v>
      </c>
      <c r="C148" s="34" t="s">
        <v>10</v>
      </c>
      <c r="D148" s="33" t="s">
        <v>11</v>
      </c>
      <c r="E148" s="33" t="s">
        <v>12</v>
      </c>
      <c r="F148" s="35" t="s">
        <v>13</v>
      </c>
      <c r="G148" s="36" t="s">
        <v>14</v>
      </c>
      <c r="H148" s="33" t="s">
        <v>15</v>
      </c>
      <c r="I148" s="37" t="s">
        <v>16</v>
      </c>
      <c r="J148" s="38" t="s">
        <v>17</v>
      </c>
      <c r="K148" s="39" t="s">
        <v>18</v>
      </c>
      <c r="L148" s="38" t="s">
        <v>19</v>
      </c>
      <c r="M148" s="38" t="s">
        <v>20</v>
      </c>
      <c r="N148" s="38" t="s">
        <v>21</v>
      </c>
      <c r="O148" s="33" t="s">
        <v>22</v>
      </c>
      <c r="P148" s="34" t="s">
        <v>23</v>
      </c>
      <c r="Q148" s="38" t="s">
        <v>24</v>
      </c>
      <c r="R148" s="33" t="s">
        <v>25</v>
      </c>
    </row>
    <row r="149" spans="1:18" ht="15" customHeight="1">
      <c r="A149" s="8" t="s">
        <v>38</v>
      </c>
      <c r="B149" s="8" t="s">
        <v>39</v>
      </c>
      <c r="C149" s="9">
        <v>0.22916666666666671</v>
      </c>
      <c r="D149" s="8" t="s">
        <v>40</v>
      </c>
      <c r="E149" s="8" t="s">
        <v>120</v>
      </c>
      <c r="F149" s="8" t="s">
        <v>121</v>
      </c>
      <c r="G149" s="297"/>
      <c r="H149" s="10"/>
      <c r="I149" s="11"/>
      <c r="J149" s="11"/>
      <c r="K149" s="11"/>
      <c r="L149" s="11"/>
      <c r="M149" s="11"/>
      <c r="N149" s="11"/>
      <c r="O149" s="12"/>
      <c r="P149" s="11"/>
      <c r="Q149" s="13"/>
      <c r="R149" s="14"/>
    </row>
    <row r="150" spans="1:18" ht="15" customHeight="1">
      <c r="A150" s="15" t="s">
        <v>38</v>
      </c>
      <c r="B150" s="15" t="s">
        <v>39</v>
      </c>
      <c r="C150" s="16">
        <v>0.22916666666666671</v>
      </c>
      <c r="D150" s="15" t="s">
        <v>43</v>
      </c>
      <c r="E150" s="15" t="s">
        <v>122</v>
      </c>
      <c r="F150" s="15" t="s">
        <v>123</v>
      </c>
      <c r="G150" s="298"/>
      <c r="H150" s="10"/>
      <c r="I150" s="11"/>
      <c r="J150" s="11"/>
      <c r="K150" s="11"/>
      <c r="L150" s="11"/>
      <c r="M150" s="11"/>
      <c r="N150" s="11"/>
      <c r="O150" s="12"/>
      <c r="P150" s="11"/>
      <c r="Q150" s="13"/>
      <c r="R150" s="14"/>
    </row>
    <row r="151" spans="1:18" ht="15" customHeight="1">
      <c r="A151" s="15" t="s">
        <v>38</v>
      </c>
      <c r="B151" s="15" t="s">
        <v>39</v>
      </c>
      <c r="C151" s="16">
        <v>0.22916666666666671</v>
      </c>
      <c r="D151" s="15" t="s">
        <v>46</v>
      </c>
      <c r="E151" s="15" t="s">
        <v>122</v>
      </c>
      <c r="F151" s="15" t="s">
        <v>47</v>
      </c>
      <c r="G151" s="298"/>
      <c r="H151" s="10"/>
      <c r="I151" s="11"/>
      <c r="J151" s="11"/>
      <c r="K151" s="11"/>
      <c r="L151" s="11"/>
      <c r="M151" s="11"/>
      <c r="N151" s="11"/>
      <c r="O151" s="12"/>
      <c r="P151" s="11"/>
      <c r="Q151" s="13"/>
      <c r="R151" s="14"/>
    </row>
    <row r="152" spans="1:18" ht="15" customHeight="1">
      <c r="A152" s="19" t="s">
        <v>48</v>
      </c>
      <c r="B152" s="19" t="s">
        <v>49</v>
      </c>
      <c r="C152" s="20">
        <v>0.35069444444444442</v>
      </c>
      <c r="D152" s="19" t="s">
        <v>50</v>
      </c>
      <c r="E152" s="19" t="s">
        <v>51</v>
      </c>
      <c r="F152" s="19" t="s">
        <v>52</v>
      </c>
      <c r="G152" s="298"/>
      <c r="H152" s="10"/>
      <c r="I152" s="11"/>
      <c r="J152" s="11"/>
      <c r="K152" s="11"/>
      <c r="L152" s="11"/>
      <c r="M152" s="11"/>
      <c r="N152" s="11"/>
      <c r="O152" s="12"/>
      <c r="P152" s="11"/>
      <c r="Q152" s="13"/>
      <c r="R152" s="14"/>
    </row>
    <row r="153" spans="1:18" ht="15" customHeight="1">
      <c r="A153" s="15" t="s">
        <v>48</v>
      </c>
      <c r="B153" s="15" t="s">
        <v>49</v>
      </c>
      <c r="C153" s="16">
        <v>0.35069444444444442</v>
      </c>
      <c r="D153" s="15" t="s">
        <v>53</v>
      </c>
      <c r="E153" s="15" t="s">
        <v>54</v>
      </c>
      <c r="F153" s="15" t="s">
        <v>55</v>
      </c>
      <c r="G153" s="298"/>
      <c r="H153" s="10"/>
      <c r="I153" s="11"/>
      <c r="J153" s="11"/>
      <c r="K153" s="11"/>
      <c r="L153" s="11"/>
      <c r="M153" s="11"/>
      <c r="N153" s="11"/>
      <c r="O153" s="12"/>
      <c r="P153" s="11"/>
      <c r="Q153" s="13"/>
      <c r="R153" s="14"/>
    </row>
    <row r="154" spans="1:18" ht="15" customHeight="1">
      <c r="A154" s="17" t="s">
        <v>48</v>
      </c>
      <c r="B154" s="17" t="s">
        <v>58</v>
      </c>
      <c r="C154" s="18">
        <v>0.18402777777777779</v>
      </c>
      <c r="D154" s="17" t="s">
        <v>50</v>
      </c>
      <c r="E154" s="17" t="s">
        <v>57</v>
      </c>
      <c r="F154" s="17" t="s">
        <v>109</v>
      </c>
      <c r="G154" s="298"/>
      <c r="H154" s="10"/>
      <c r="I154" s="11"/>
      <c r="J154" s="11"/>
      <c r="K154" s="11"/>
      <c r="L154" s="11"/>
      <c r="M154" s="11"/>
      <c r="N154" s="11"/>
      <c r="O154" s="12"/>
      <c r="P154" s="11"/>
      <c r="Q154" s="13"/>
      <c r="R154" s="14"/>
    </row>
    <row r="155" spans="1:18" ht="15" customHeight="1">
      <c r="A155" s="15" t="s">
        <v>48</v>
      </c>
      <c r="B155" s="15" t="s">
        <v>58</v>
      </c>
      <c r="C155" s="16">
        <v>0.18402777777777779</v>
      </c>
      <c r="D155" s="15" t="s">
        <v>53</v>
      </c>
      <c r="E155" s="15" t="s">
        <v>54</v>
      </c>
      <c r="F155" s="15" t="s">
        <v>110</v>
      </c>
      <c r="G155" s="298"/>
      <c r="H155" s="10"/>
      <c r="I155" s="11"/>
      <c r="J155" s="11"/>
      <c r="K155" s="11"/>
      <c r="L155" s="11"/>
      <c r="M155" s="11"/>
      <c r="N155" s="11"/>
      <c r="O155" s="12"/>
      <c r="P155" s="11"/>
      <c r="Q155" s="13"/>
      <c r="R155" s="14"/>
    </row>
    <row r="156" spans="1:18" ht="15" customHeight="1">
      <c r="A156" s="17" t="s">
        <v>48</v>
      </c>
      <c r="B156" s="17" t="s">
        <v>56</v>
      </c>
      <c r="C156" s="18">
        <v>0.89583333333333337</v>
      </c>
      <c r="D156" s="17" t="s">
        <v>50</v>
      </c>
      <c r="E156" s="17" t="s">
        <v>57</v>
      </c>
      <c r="F156" s="17" t="s">
        <v>116</v>
      </c>
      <c r="G156" s="298"/>
      <c r="H156" s="10"/>
      <c r="I156" s="11"/>
      <c r="J156" s="11"/>
      <c r="K156" s="11"/>
      <c r="L156" s="11"/>
      <c r="M156" s="11"/>
      <c r="N156" s="11"/>
      <c r="O156" s="12"/>
      <c r="P156" s="11"/>
      <c r="Q156" s="13"/>
      <c r="R156" s="14"/>
    </row>
    <row r="157" spans="1:18" ht="15" customHeight="1">
      <c r="A157" s="15" t="s">
        <v>48</v>
      </c>
      <c r="B157" s="15" t="s">
        <v>56</v>
      </c>
      <c r="C157" s="16">
        <v>0.89583333333333337</v>
      </c>
      <c r="D157" s="15" t="s">
        <v>53</v>
      </c>
      <c r="E157" s="15" t="s">
        <v>54</v>
      </c>
      <c r="F157" s="15" t="s">
        <v>117</v>
      </c>
      <c r="G157" s="298"/>
      <c r="H157" s="10"/>
      <c r="I157" s="11"/>
      <c r="J157" s="11"/>
      <c r="K157" s="11"/>
      <c r="L157" s="11"/>
      <c r="M157" s="11"/>
      <c r="N157" s="11"/>
      <c r="O157" s="12"/>
      <c r="P157" s="11"/>
      <c r="Q157" s="13"/>
      <c r="R157" s="14"/>
    </row>
    <row r="158" spans="1:18" ht="15" customHeight="1">
      <c r="A158" s="17" t="s">
        <v>48</v>
      </c>
      <c r="B158" s="17" t="s">
        <v>59</v>
      </c>
      <c r="C158" s="18">
        <v>0.22916666666666671</v>
      </c>
      <c r="D158" s="17" t="s">
        <v>53</v>
      </c>
      <c r="E158" s="17" t="s">
        <v>37</v>
      </c>
      <c r="F158" s="17" t="s">
        <v>124</v>
      </c>
      <c r="G158" s="298"/>
      <c r="H158" s="10"/>
      <c r="I158" s="11"/>
      <c r="J158" s="11"/>
      <c r="K158" s="11"/>
      <c r="L158" s="11"/>
      <c r="M158" s="11"/>
      <c r="N158" s="11"/>
      <c r="O158" s="12"/>
      <c r="P158" s="11"/>
      <c r="Q158" s="13"/>
      <c r="R158" s="14"/>
    </row>
    <row r="159" spans="1:18" ht="15" customHeight="1">
      <c r="A159" s="19" t="s">
        <v>68</v>
      </c>
      <c r="B159" s="19" t="s">
        <v>74</v>
      </c>
      <c r="C159" s="20">
        <v>0.33680555555555558</v>
      </c>
      <c r="D159" s="19" t="s">
        <v>70</v>
      </c>
      <c r="E159" s="19" t="s">
        <v>51</v>
      </c>
      <c r="F159" s="19" t="s">
        <v>71</v>
      </c>
      <c r="G159" s="298"/>
      <c r="H159" s="10"/>
      <c r="I159" s="11"/>
      <c r="J159" s="11"/>
      <c r="K159" s="11"/>
      <c r="L159" s="11"/>
      <c r="M159" s="11"/>
      <c r="N159" s="11"/>
      <c r="O159" s="12"/>
      <c r="P159" s="11"/>
      <c r="Q159" s="13"/>
      <c r="R159" s="14"/>
    </row>
    <row r="160" spans="1:18" ht="15" customHeight="1">
      <c r="A160" s="17" t="s">
        <v>68</v>
      </c>
      <c r="B160" s="17" t="s">
        <v>76</v>
      </c>
      <c r="C160" s="18">
        <v>0.69791666666666663</v>
      </c>
      <c r="D160" s="17" t="s">
        <v>70</v>
      </c>
      <c r="E160" s="17" t="s">
        <v>57</v>
      </c>
      <c r="F160" s="17" t="s">
        <v>71</v>
      </c>
      <c r="G160" s="298"/>
      <c r="H160" s="10"/>
      <c r="I160" s="11"/>
      <c r="J160" s="11"/>
      <c r="K160" s="11"/>
      <c r="L160" s="11"/>
      <c r="M160" s="11"/>
      <c r="N160" s="11"/>
      <c r="O160" s="12"/>
      <c r="P160" s="11"/>
      <c r="Q160" s="13"/>
      <c r="R160" s="14"/>
    </row>
    <row r="161" spans="1:18" ht="15" customHeight="1">
      <c r="A161" s="17" t="s">
        <v>68</v>
      </c>
      <c r="B161" s="17" t="s">
        <v>72</v>
      </c>
      <c r="C161" s="18">
        <v>6.5972222222222224E-2</v>
      </c>
      <c r="D161" s="17" t="s">
        <v>70</v>
      </c>
      <c r="E161" s="17" t="s">
        <v>57</v>
      </c>
      <c r="F161" s="17" t="s">
        <v>71</v>
      </c>
      <c r="G161" s="298"/>
      <c r="H161" s="10"/>
      <c r="I161" s="11"/>
      <c r="J161" s="11"/>
      <c r="K161" s="11"/>
      <c r="L161" s="11"/>
      <c r="M161" s="11"/>
      <c r="N161" s="11"/>
      <c r="O161" s="12"/>
      <c r="P161" s="11"/>
      <c r="Q161" s="13"/>
      <c r="R161" s="14"/>
    </row>
    <row r="162" spans="1:18" ht="15" customHeight="1">
      <c r="A162" s="17" t="s">
        <v>68</v>
      </c>
      <c r="B162" s="17" t="s">
        <v>73</v>
      </c>
      <c r="C162" s="18">
        <v>0.28819444444444448</v>
      </c>
      <c r="D162" s="17" t="s">
        <v>70</v>
      </c>
      <c r="E162" s="17" t="s">
        <v>57</v>
      </c>
      <c r="F162" s="17" t="s">
        <v>71</v>
      </c>
      <c r="G162" s="298"/>
      <c r="H162" s="10"/>
      <c r="I162" s="11"/>
      <c r="J162" s="11"/>
      <c r="K162" s="11"/>
      <c r="L162" s="11"/>
      <c r="M162" s="11"/>
      <c r="N162" s="11"/>
      <c r="O162" s="12"/>
      <c r="P162" s="11"/>
      <c r="Q162" s="13"/>
      <c r="R162" s="14"/>
    </row>
    <row r="163" spans="1:18" ht="15" customHeight="1">
      <c r="A163" s="17" t="s">
        <v>68</v>
      </c>
      <c r="B163" s="17" t="s">
        <v>69</v>
      </c>
      <c r="C163" s="18">
        <v>0.94097222222222221</v>
      </c>
      <c r="D163" s="17" t="s">
        <v>70</v>
      </c>
      <c r="E163" s="17" t="s">
        <v>57</v>
      </c>
      <c r="F163" s="17" t="s">
        <v>75</v>
      </c>
      <c r="G163" s="298"/>
      <c r="H163" s="10"/>
      <c r="I163" s="11"/>
      <c r="J163" s="11"/>
      <c r="K163" s="11"/>
      <c r="L163" s="11"/>
      <c r="M163" s="11"/>
      <c r="N163" s="11"/>
      <c r="O163" s="12"/>
      <c r="P163" s="11"/>
      <c r="Q163" s="13"/>
      <c r="R163" s="14"/>
    </row>
    <row r="164" spans="1:18" ht="15" customHeight="1">
      <c r="A164" s="19" t="s">
        <v>26</v>
      </c>
      <c r="B164" s="19" t="s">
        <v>27</v>
      </c>
      <c r="C164" s="20">
        <v>0.60763888888888895</v>
      </c>
      <c r="D164" s="19" t="s">
        <v>28</v>
      </c>
      <c r="E164" s="19" t="s">
        <v>80</v>
      </c>
      <c r="F164" s="19" t="s">
        <v>104</v>
      </c>
      <c r="G164" s="298"/>
      <c r="H164" s="10"/>
      <c r="I164" s="11"/>
      <c r="J164" s="11"/>
      <c r="K164" s="11"/>
      <c r="L164" s="11"/>
      <c r="M164" s="11"/>
      <c r="N164" s="11"/>
      <c r="O164" s="12"/>
      <c r="P164" s="11"/>
      <c r="Q164" s="13"/>
      <c r="R164" s="14"/>
    </row>
    <row r="165" spans="1:18" ht="15" customHeight="1">
      <c r="A165" s="15" t="s">
        <v>26</v>
      </c>
      <c r="B165" s="15" t="s">
        <v>27</v>
      </c>
      <c r="C165" s="16">
        <v>0.60763888888888895</v>
      </c>
      <c r="D165" s="15" t="s">
        <v>31</v>
      </c>
      <c r="E165" s="15" t="s">
        <v>82</v>
      </c>
      <c r="F165" s="15" t="s">
        <v>105</v>
      </c>
      <c r="G165" s="298"/>
      <c r="H165" s="10"/>
      <c r="I165" s="11"/>
      <c r="J165" s="11"/>
      <c r="K165" s="11"/>
      <c r="L165" s="11"/>
      <c r="M165" s="11"/>
      <c r="N165" s="11"/>
      <c r="O165" s="12"/>
      <c r="P165" s="11"/>
      <c r="Q165" s="13"/>
      <c r="R165" s="14"/>
    </row>
    <row r="166" spans="1:18" ht="15" customHeight="1" thickBot="1">
      <c r="A166" s="76" t="s">
        <v>26</v>
      </c>
      <c r="B166" s="76" t="s">
        <v>27</v>
      </c>
      <c r="C166" s="77">
        <v>0.60763888888888895</v>
      </c>
      <c r="D166" s="76" t="s">
        <v>34</v>
      </c>
      <c r="E166" s="76" t="s">
        <v>82</v>
      </c>
      <c r="F166" s="76" t="s">
        <v>106</v>
      </c>
      <c r="G166" s="299"/>
      <c r="H166" s="300"/>
      <c r="I166" s="140"/>
      <c r="J166" s="140"/>
      <c r="K166" s="140"/>
      <c r="L166" s="140"/>
      <c r="M166" s="140"/>
      <c r="N166" s="140"/>
      <c r="O166" s="141"/>
      <c r="P166" s="140"/>
      <c r="Q166" s="142"/>
      <c r="R166" s="301"/>
    </row>
    <row r="167" spans="1:18" ht="17.45" customHeight="1" thickBot="1">
      <c r="A167" s="283"/>
      <c r="B167" s="284"/>
      <c r="C167" s="284"/>
      <c r="D167" s="284"/>
      <c r="E167" s="284"/>
      <c r="F167" s="284"/>
      <c r="G167" s="284"/>
      <c r="H167" s="284"/>
      <c r="I167" s="284"/>
      <c r="J167" s="284"/>
      <c r="K167" s="284"/>
      <c r="L167" s="284"/>
      <c r="M167" s="284"/>
      <c r="N167" s="284"/>
      <c r="O167" s="284"/>
      <c r="P167" s="284"/>
      <c r="Q167" s="284"/>
      <c r="R167" s="285"/>
    </row>
    <row r="168" spans="1:18" ht="22.15" customHeight="1" thickTop="1" thickBot="1">
      <c r="A168" s="279" t="s">
        <v>6</v>
      </c>
      <c r="B168" s="295"/>
      <c r="C168" s="295"/>
      <c r="D168" s="295"/>
      <c r="E168" s="295"/>
      <c r="F168" s="296"/>
      <c r="G168" s="32">
        <v>46030</v>
      </c>
      <c r="H168" s="278" t="s">
        <v>7</v>
      </c>
      <c r="I168" s="295"/>
      <c r="J168" s="295"/>
      <c r="K168" s="295"/>
      <c r="L168" s="295"/>
      <c r="M168" s="295"/>
      <c r="N168" s="295"/>
      <c r="O168" s="295"/>
      <c r="P168" s="295"/>
      <c r="Q168" s="295"/>
      <c r="R168" s="296"/>
    </row>
    <row r="169" spans="1:18" ht="24" customHeight="1">
      <c r="A169" s="33" t="s">
        <v>8</v>
      </c>
      <c r="B169" s="33" t="s">
        <v>9</v>
      </c>
      <c r="C169" s="34" t="s">
        <v>10</v>
      </c>
      <c r="D169" s="33" t="s">
        <v>11</v>
      </c>
      <c r="E169" s="33" t="s">
        <v>12</v>
      </c>
      <c r="F169" s="35" t="s">
        <v>13</v>
      </c>
      <c r="G169" s="36" t="s">
        <v>14</v>
      </c>
      <c r="H169" s="33" t="s">
        <v>15</v>
      </c>
      <c r="I169" s="37" t="s">
        <v>16</v>
      </c>
      <c r="J169" s="38" t="s">
        <v>17</v>
      </c>
      <c r="K169" s="39" t="s">
        <v>18</v>
      </c>
      <c r="L169" s="38" t="s">
        <v>19</v>
      </c>
      <c r="M169" s="38" t="s">
        <v>20</v>
      </c>
      <c r="N169" s="38" t="s">
        <v>21</v>
      </c>
      <c r="O169" s="33" t="s">
        <v>22</v>
      </c>
      <c r="P169" s="34" t="s">
        <v>23</v>
      </c>
      <c r="Q169" s="38" t="s">
        <v>24</v>
      </c>
      <c r="R169" s="33" t="s">
        <v>25</v>
      </c>
    </row>
    <row r="170" spans="1:18" ht="15" customHeight="1">
      <c r="A170" s="8" t="s">
        <v>38</v>
      </c>
      <c r="B170" s="8" t="s">
        <v>39</v>
      </c>
      <c r="C170" s="9">
        <v>0.22916666666666671</v>
      </c>
      <c r="D170" s="8" t="s">
        <v>40</v>
      </c>
      <c r="E170" s="8" t="s">
        <v>80</v>
      </c>
      <c r="F170" s="8" t="s">
        <v>78</v>
      </c>
      <c r="G170" s="297"/>
      <c r="H170" s="10"/>
      <c r="I170" s="11"/>
      <c r="J170" s="11"/>
      <c r="K170" s="11"/>
      <c r="L170" s="11"/>
      <c r="M170" s="11"/>
      <c r="N170" s="11"/>
      <c r="O170" s="12"/>
      <c r="P170" s="11"/>
      <c r="Q170" s="13"/>
      <c r="R170" s="14"/>
    </row>
    <row r="171" spans="1:18" ht="15" customHeight="1">
      <c r="A171" s="15" t="s">
        <v>38</v>
      </c>
      <c r="B171" s="15" t="s">
        <v>39</v>
      </c>
      <c r="C171" s="16">
        <v>0.22916666666666671</v>
      </c>
      <c r="D171" s="15" t="s">
        <v>43</v>
      </c>
      <c r="E171" s="15" t="s">
        <v>82</v>
      </c>
      <c r="F171" s="15" t="s">
        <v>79</v>
      </c>
      <c r="G171" s="298"/>
      <c r="H171" s="10"/>
      <c r="I171" s="11"/>
      <c r="J171" s="11"/>
      <c r="K171" s="11"/>
      <c r="L171" s="11"/>
      <c r="M171" s="11"/>
      <c r="N171" s="11"/>
      <c r="O171" s="12"/>
      <c r="P171" s="11"/>
      <c r="Q171" s="13"/>
      <c r="R171" s="14"/>
    </row>
    <row r="172" spans="1:18" ht="15" customHeight="1">
      <c r="A172" s="15" t="s">
        <v>38</v>
      </c>
      <c r="B172" s="15" t="s">
        <v>39</v>
      </c>
      <c r="C172" s="16">
        <v>0.22916666666666671</v>
      </c>
      <c r="D172" s="15" t="s">
        <v>46</v>
      </c>
      <c r="E172" s="15" t="s">
        <v>82</v>
      </c>
      <c r="F172" s="15" t="s">
        <v>47</v>
      </c>
      <c r="G172" s="298"/>
      <c r="H172" s="10"/>
      <c r="I172" s="11"/>
      <c r="J172" s="11"/>
      <c r="K172" s="11"/>
      <c r="L172" s="11"/>
      <c r="M172" s="11"/>
      <c r="N172" s="11"/>
      <c r="O172" s="12"/>
      <c r="P172" s="11"/>
      <c r="Q172" s="13"/>
      <c r="R172" s="14"/>
    </row>
    <row r="173" spans="1:18" ht="15" customHeight="1">
      <c r="A173" s="17" t="s">
        <v>38</v>
      </c>
      <c r="B173" s="17" t="s">
        <v>87</v>
      </c>
      <c r="C173" s="18">
        <v>6.25E-2</v>
      </c>
      <c r="D173" s="17" t="s">
        <v>40</v>
      </c>
      <c r="E173" s="17" t="s">
        <v>125</v>
      </c>
      <c r="F173" s="17" t="s">
        <v>78</v>
      </c>
      <c r="G173" s="298"/>
      <c r="H173" s="10"/>
      <c r="I173" s="11"/>
      <c r="J173" s="11"/>
      <c r="K173" s="11"/>
      <c r="L173" s="11"/>
      <c r="M173" s="11"/>
      <c r="N173" s="11"/>
      <c r="O173" s="12"/>
      <c r="P173" s="11"/>
      <c r="Q173" s="13"/>
      <c r="R173" s="14"/>
    </row>
    <row r="174" spans="1:18" ht="15" customHeight="1">
      <c r="A174" s="15" t="s">
        <v>38</v>
      </c>
      <c r="B174" s="15" t="s">
        <v>87</v>
      </c>
      <c r="C174" s="16">
        <v>6.25E-2</v>
      </c>
      <c r="D174" s="15" t="s">
        <v>43</v>
      </c>
      <c r="E174" s="15" t="s">
        <v>44</v>
      </c>
      <c r="F174" s="15" t="s">
        <v>79</v>
      </c>
      <c r="G174" s="298"/>
      <c r="H174" s="10"/>
      <c r="I174" s="11"/>
      <c r="J174" s="11"/>
      <c r="K174" s="11"/>
      <c r="L174" s="11"/>
      <c r="M174" s="11"/>
      <c r="N174" s="11"/>
      <c r="O174" s="12"/>
      <c r="P174" s="11"/>
      <c r="Q174" s="13"/>
      <c r="R174" s="14"/>
    </row>
    <row r="175" spans="1:18" ht="15" customHeight="1">
      <c r="A175" s="15" t="s">
        <v>38</v>
      </c>
      <c r="B175" s="15" t="s">
        <v>87</v>
      </c>
      <c r="C175" s="16">
        <v>6.25E-2</v>
      </c>
      <c r="D175" s="15" t="s">
        <v>46</v>
      </c>
      <c r="E175" s="15" t="s">
        <v>44</v>
      </c>
      <c r="F175" s="15" t="s">
        <v>47</v>
      </c>
      <c r="G175" s="298"/>
      <c r="H175" s="10"/>
      <c r="I175" s="11"/>
      <c r="J175" s="11"/>
      <c r="K175" s="11"/>
      <c r="L175" s="11"/>
      <c r="M175" s="11"/>
      <c r="N175" s="11"/>
      <c r="O175" s="12"/>
      <c r="P175" s="11"/>
      <c r="Q175" s="13"/>
      <c r="R175" s="14"/>
    </row>
    <row r="176" spans="1:18" ht="15" customHeight="1">
      <c r="A176" s="19" t="s">
        <v>26</v>
      </c>
      <c r="B176" s="19" t="s">
        <v>27</v>
      </c>
      <c r="C176" s="20">
        <v>0.60763888888888895</v>
      </c>
      <c r="D176" s="19" t="s">
        <v>28</v>
      </c>
      <c r="E176" s="19" t="s">
        <v>126</v>
      </c>
      <c r="F176" s="19" t="s">
        <v>81</v>
      </c>
      <c r="G176" s="298"/>
      <c r="H176" s="10"/>
      <c r="I176" s="11"/>
      <c r="J176" s="11"/>
      <c r="K176" s="11"/>
      <c r="L176" s="11"/>
      <c r="M176" s="11"/>
      <c r="N176" s="11"/>
      <c r="O176" s="12"/>
      <c r="P176" s="11"/>
      <c r="Q176" s="13"/>
      <c r="R176" s="14"/>
    </row>
    <row r="177" spans="1:18" ht="15" customHeight="1">
      <c r="A177" s="15" t="s">
        <v>26</v>
      </c>
      <c r="B177" s="15" t="s">
        <v>27</v>
      </c>
      <c r="C177" s="16">
        <v>0.60763888888888895</v>
      </c>
      <c r="D177" s="15" t="s">
        <v>31</v>
      </c>
      <c r="E177" s="15" t="s">
        <v>127</v>
      </c>
      <c r="F177" s="15" t="s">
        <v>83</v>
      </c>
      <c r="G177" s="298"/>
      <c r="H177" s="10"/>
      <c r="I177" s="11"/>
      <c r="J177" s="11"/>
      <c r="K177" s="11"/>
      <c r="L177" s="11"/>
      <c r="M177" s="11"/>
      <c r="N177" s="11"/>
      <c r="O177" s="12"/>
      <c r="P177" s="11"/>
      <c r="Q177" s="13"/>
      <c r="R177" s="14"/>
    </row>
    <row r="178" spans="1:18" ht="15" customHeight="1">
      <c r="A178" s="15" t="s">
        <v>26</v>
      </c>
      <c r="B178" s="15" t="s">
        <v>27</v>
      </c>
      <c r="C178" s="16">
        <v>0.60763888888888895</v>
      </c>
      <c r="D178" s="15" t="s">
        <v>34</v>
      </c>
      <c r="E178" s="15" t="s">
        <v>127</v>
      </c>
      <c r="F178" s="15" t="s">
        <v>45</v>
      </c>
      <c r="G178" s="298"/>
      <c r="H178" s="10"/>
      <c r="I178" s="11"/>
      <c r="J178" s="11"/>
      <c r="K178" s="11"/>
      <c r="L178" s="11"/>
      <c r="M178" s="11"/>
      <c r="N178" s="11"/>
      <c r="O178" s="12"/>
      <c r="P178" s="11"/>
      <c r="Q178" s="13"/>
      <c r="R178" s="14"/>
    </row>
    <row r="179" spans="1:18" ht="15" customHeight="1">
      <c r="A179" s="17" t="s">
        <v>26</v>
      </c>
      <c r="B179" s="17" t="s">
        <v>36</v>
      </c>
      <c r="C179" s="18">
        <v>0.43402777777777768</v>
      </c>
      <c r="D179" s="17" t="s">
        <v>28</v>
      </c>
      <c r="E179" s="17" t="s">
        <v>90</v>
      </c>
      <c r="F179" s="17" t="s">
        <v>104</v>
      </c>
      <c r="G179" s="298"/>
      <c r="H179" s="10"/>
      <c r="I179" s="11"/>
      <c r="J179" s="11"/>
      <c r="K179" s="11"/>
      <c r="L179" s="11"/>
      <c r="M179" s="11"/>
      <c r="N179" s="11"/>
      <c r="O179" s="12"/>
      <c r="P179" s="11"/>
      <c r="Q179" s="13"/>
      <c r="R179" s="14"/>
    </row>
    <row r="180" spans="1:18" ht="15" customHeight="1">
      <c r="A180" s="15" t="s">
        <v>26</v>
      </c>
      <c r="B180" s="15" t="s">
        <v>36</v>
      </c>
      <c r="C180" s="16">
        <v>0.43402777777777768</v>
      </c>
      <c r="D180" s="15" t="s">
        <v>31</v>
      </c>
      <c r="E180" s="15" t="s">
        <v>82</v>
      </c>
      <c r="F180" s="15" t="s">
        <v>105</v>
      </c>
      <c r="G180" s="298"/>
      <c r="H180" s="10"/>
      <c r="I180" s="11"/>
      <c r="J180" s="11"/>
      <c r="K180" s="11"/>
      <c r="L180" s="11"/>
      <c r="M180" s="11"/>
      <c r="N180" s="11"/>
      <c r="O180" s="12"/>
      <c r="P180" s="11"/>
      <c r="Q180" s="13"/>
      <c r="R180" s="14"/>
    </row>
    <row r="181" spans="1:18" ht="15" customHeight="1">
      <c r="A181" s="15" t="s">
        <v>26</v>
      </c>
      <c r="B181" s="15" t="s">
        <v>36</v>
      </c>
      <c r="C181" s="16">
        <v>0.43402777777777768</v>
      </c>
      <c r="D181" s="15" t="s">
        <v>34</v>
      </c>
      <c r="E181" s="15" t="s">
        <v>82</v>
      </c>
      <c r="F181" s="15" t="s">
        <v>106</v>
      </c>
      <c r="G181" s="298"/>
      <c r="H181" s="10"/>
      <c r="I181" s="11"/>
      <c r="J181" s="11"/>
      <c r="K181" s="11"/>
      <c r="L181" s="11"/>
      <c r="M181" s="11"/>
      <c r="N181" s="11"/>
      <c r="O181" s="12"/>
      <c r="P181" s="11"/>
      <c r="Q181" s="13"/>
      <c r="R181" s="14"/>
    </row>
    <row r="182" spans="1:18" ht="15" customHeight="1">
      <c r="A182" s="58" t="s">
        <v>61</v>
      </c>
      <c r="B182" s="58" t="s">
        <v>62</v>
      </c>
      <c r="C182" s="59">
        <v>0.38194444444444442</v>
      </c>
      <c r="D182" s="58" t="s">
        <v>63</v>
      </c>
      <c r="E182" s="58" t="s">
        <v>51</v>
      </c>
      <c r="F182" s="58" t="s">
        <v>64</v>
      </c>
      <c r="G182" s="298"/>
      <c r="H182" s="60" t="s">
        <v>65</v>
      </c>
      <c r="I182" s="61">
        <v>5.5999999999999999E-3</v>
      </c>
      <c r="J182" s="62">
        <v>1</v>
      </c>
      <c r="K182" s="63">
        <v>46337</v>
      </c>
      <c r="L182" s="62">
        <v>1</v>
      </c>
      <c r="M182" s="62">
        <v>0</v>
      </c>
      <c r="N182" s="62">
        <v>0</v>
      </c>
      <c r="O182" s="64" t="s">
        <v>67</v>
      </c>
      <c r="P182" s="65">
        <v>0.38194444444444442</v>
      </c>
      <c r="Q182" s="62">
        <v>180</v>
      </c>
      <c r="R182" s="66" t="s">
        <v>128</v>
      </c>
    </row>
    <row r="183" spans="1:18" ht="15" customHeight="1">
      <c r="A183" s="19" t="s">
        <v>48</v>
      </c>
      <c r="B183" s="19" t="s">
        <v>56</v>
      </c>
      <c r="C183" s="20">
        <v>0.89583333333333337</v>
      </c>
      <c r="D183" s="19" t="s">
        <v>50</v>
      </c>
      <c r="E183" s="19" t="s">
        <v>51</v>
      </c>
      <c r="F183" s="19" t="s">
        <v>109</v>
      </c>
      <c r="G183" s="298"/>
      <c r="H183" s="10"/>
      <c r="I183" s="11"/>
      <c r="J183" s="11"/>
      <c r="K183" s="11"/>
      <c r="L183" s="11"/>
      <c r="M183" s="11"/>
      <c r="N183" s="11"/>
      <c r="O183" s="12"/>
      <c r="P183" s="11"/>
      <c r="Q183" s="13"/>
      <c r="R183" s="14"/>
    </row>
    <row r="184" spans="1:18" ht="15" customHeight="1">
      <c r="A184" s="15" t="s">
        <v>48</v>
      </c>
      <c r="B184" s="15" t="s">
        <v>56</v>
      </c>
      <c r="C184" s="16">
        <v>0.89583333333333337</v>
      </c>
      <c r="D184" s="15" t="s">
        <v>53</v>
      </c>
      <c r="E184" s="15" t="s">
        <v>54</v>
      </c>
      <c r="F184" s="15" t="s">
        <v>110</v>
      </c>
      <c r="G184" s="298"/>
      <c r="H184" s="10"/>
      <c r="I184" s="11"/>
      <c r="J184" s="11"/>
      <c r="K184" s="11"/>
      <c r="L184" s="11"/>
      <c r="M184" s="11"/>
      <c r="N184" s="11"/>
      <c r="O184" s="12"/>
      <c r="P184" s="11"/>
      <c r="Q184" s="13"/>
      <c r="R184" s="14"/>
    </row>
    <row r="185" spans="1:18" ht="15" customHeight="1">
      <c r="A185" s="17" t="s">
        <v>48</v>
      </c>
      <c r="B185" s="17" t="s">
        <v>58</v>
      </c>
      <c r="C185" s="18">
        <v>0.18402777777777779</v>
      </c>
      <c r="D185" s="17" t="s">
        <v>50</v>
      </c>
      <c r="E185" s="17" t="s">
        <v>57</v>
      </c>
      <c r="F185" s="17" t="s">
        <v>109</v>
      </c>
      <c r="G185" s="298"/>
      <c r="H185" s="10"/>
      <c r="I185" s="11"/>
      <c r="J185" s="11"/>
      <c r="K185" s="11"/>
      <c r="L185" s="11"/>
      <c r="M185" s="11"/>
      <c r="N185" s="11"/>
      <c r="O185" s="12"/>
      <c r="P185" s="11"/>
      <c r="Q185" s="13"/>
      <c r="R185" s="14"/>
    </row>
    <row r="186" spans="1:18" ht="15" customHeight="1">
      <c r="A186" s="15" t="s">
        <v>48</v>
      </c>
      <c r="B186" s="15" t="s">
        <v>58</v>
      </c>
      <c r="C186" s="16">
        <v>0.18402777777777779</v>
      </c>
      <c r="D186" s="15" t="s">
        <v>53</v>
      </c>
      <c r="E186" s="15" t="s">
        <v>54</v>
      </c>
      <c r="F186" s="15" t="s">
        <v>110</v>
      </c>
      <c r="G186" s="298"/>
      <c r="H186" s="10"/>
      <c r="I186" s="11"/>
      <c r="J186" s="11"/>
      <c r="K186" s="11"/>
      <c r="L186" s="11"/>
      <c r="M186" s="11"/>
      <c r="N186" s="11"/>
      <c r="O186" s="12"/>
      <c r="P186" s="11"/>
      <c r="Q186" s="13"/>
      <c r="R186" s="14"/>
    </row>
    <row r="187" spans="1:18" ht="15" customHeight="1">
      <c r="A187" s="17" t="s">
        <v>48</v>
      </c>
      <c r="B187" s="17" t="s">
        <v>59</v>
      </c>
      <c r="C187" s="18">
        <v>0.22916666666666671</v>
      </c>
      <c r="D187" s="17" t="s">
        <v>53</v>
      </c>
      <c r="E187" s="17" t="s">
        <v>37</v>
      </c>
      <c r="F187" s="17" t="s">
        <v>93</v>
      </c>
      <c r="G187" s="298"/>
      <c r="H187" s="10"/>
      <c r="I187" s="11"/>
      <c r="J187" s="11"/>
      <c r="K187" s="11"/>
      <c r="L187" s="11"/>
      <c r="M187" s="11"/>
      <c r="N187" s="11"/>
      <c r="O187" s="12"/>
      <c r="P187" s="11"/>
      <c r="Q187" s="13"/>
      <c r="R187" s="14"/>
    </row>
    <row r="188" spans="1:18" ht="15" customHeight="1">
      <c r="A188" s="17" t="s">
        <v>48</v>
      </c>
      <c r="B188" s="17" t="s">
        <v>49</v>
      </c>
      <c r="C188" s="18">
        <v>0.35416666666666669</v>
      </c>
      <c r="D188" s="17" t="s">
        <v>53</v>
      </c>
      <c r="E188" s="17" t="s">
        <v>57</v>
      </c>
      <c r="F188" s="17" t="s">
        <v>60</v>
      </c>
      <c r="G188" s="298"/>
      <c r="H188" s="10"/>
      <c r="I188" s="11"/>
      <c r="J188" s="11"/>
      <c r="K188" s="11"/>
      <c r="L188" s="11"/>
      <c r="M188" s="11"/>
      <c r="N188" s="11"/>
      <c r="O188" s="12"/>
      <c r="P188" s="11"/>
      <c r="Q188" s="13"/>
      <c r="R188" s="14"/>
    </row>
    <row r="189" spans="1:18" ht="15" customHeight="1">
      <c r="A189" s="19" t="s">
        <v>68</v>
      </c>
      <c r="B189" s="19" t="s">
        <v>69</v>
      </c>
      <c r="C189" s="20">
        <v>0.94097222222222221</v>
      </c>
      <c r="D189" s="19" t="s">
        <v>70</v>
      </c>
      <c r="E189" s="19" t="s">
        <v>51</v>
      </c>
      <c r="F189" s="19" t="s">
        <v>71</v>
      </c>
      <c r="G189" s="298"/>
      <c r="H189" s="10"/>
      <c r="I189" s="11"/>
      <c r="J189" s="11"/>
      <c r="K189" s="11"/>
      <c r="L189" s="11"/>
      <c r="M189" s="11"/>
      <c r="N189" s="11"/>
      <c r="O189" s="12"/>
      <c r="P189" s="11"/>
      <c r="Q189" s="13"/>
      <c r="R189" s="14"/>
    </row>
    <row r="190" spans="1:18" ht="15" customHeight="1">
      <c r="A190" s="17" t="s">
        <v>68</v>
      </c>
      <c r="B190" s="17" t="s">
        <v>72</v>
      </c>
      <c r="C190" s="18">
        <v>6.5972222222222224E-2</v>
      </c>
      <c r="D190" s="17" t="s">
        <v>70</v>
      </c>
      <c r="E190" s="17" t="s">
        <v>57</v>
      </c>
      <c r="F190" s="17" t="s">
        <v>71</v>
      </c>
      <c r="G190" s="298"/>
      <c r="H190" s="10"/>
      <c r="I190" s="11"/>
      <c r="J190" s="11"/>
      <c r="K190" s="11"/>
      <c r="L190" s="11"/>
      <c r="M190" s="11"/>
      <c r="N190" s="11"/>
      <c r="O190" s="12"/>
      <c r="P190" s="11"/>
      <c r="Q190" s="13"/>
      <c r="R190" s="14"/>
    </row>
    <row r="191" spans="1:18" ht="15" customHeight="1">
      <c r="A191" s="17" t="s">
        <v>68</v>
      </c>
      <c r="B191" s="17" t="s">
        <v>73</v>
      </c>
      <c r="C191" s="18">
        <v>0.28819444444444448</v>
      </c>
      <c r="D191" s="17" t="s">
        <v>70</v>
      </c>
      <c r="E191" s="17" t="s">
        <v>57</v>
      </c>
      <c r="F191" s="17" t="s">
        <v>71</v>
      </c>
      <c r="G191" s="298"/>
      <c r="H191" s="10"/>
      <c r="I191" s="11"/>
      <c r="J191" s="11"/>
      <c r="K191" s="11"/>
      <c r="L191" s="11"/>
      <c r="M191" s="11"/>
      <c r="N191" s="11"/>
      <c r="O191" s="12"/>
      <c r="P191" s="11"/>
      <c r="Q191" s="13"/>
      <c r="R191" s="14"/>
    </row>
    <row r="192" spans="1:18" ht="15" customHeight="1">
      <c r="A192" s="17" t="s">
        <v>68</v>
      </c>
      <c r="B192" s="17" t="s">
        <v>76</v>
      </c>
      <c r="C192" s="18">
        <v>0.69791666666666663</v>
      </c>
      <c r="D192" s="17" t="s">
        <v>70</v>
      </c>
      <c r="E192" s="17" t="s">
        <v>57</v>
      </c>
      <c r="F192" s="17" t="s">
        <v>129</v>
      </c>
      <c r="G192" s="298"/>
      <c r="H192" s="10"/>
      <c r="I192" s="11"/>
      <c r="J192" s="11"/>
      <c r="K192" s="11"/>
      <c r="L192" s="11"/>
      <c r="M192" s="11"/>
      <c r="N192" s="11"/>
      <c r="O192" s="12"/>
      <c r="P192" s="11"/>
      <c r="Q192" s="13"/>
      <c r="R192" s="14"/>
    </row>
    <row r="193" spans="1:18" ht="15" customHeight="1" thickBot="1">
      <c r="A193" s="30" t="s">
        <v>68</v>
      </c>
      <c r="B193" s="30" t="s">
        <v>74</v>
      </c>
      <c r="C193" s="31">
        <v>0.33680555555555558</v>
      </c>
      <c r="D193" s="30" t="s">
        <v>70</v>
      </c>
      <c r="E193" s="30" t="s">
        <v>57</v>
      </c>
      <c r="F193" s="30" t="s">
        <v>77</v>
      </c>
      <c r="G193" s="299"/>
      <c r="H193" s="300"/>
      <c r="I193" s="140"/>
      <c r="J193" s="140"/>
      <c r="K193" s="140"/>
      <c r="L193" s="140"/>
      <c r="M193" s="140"/>
      <c r="N193" s="140"/>
      <c r="O193" s="141"/>
      <c r="P193" s="140"/>
      <c r="Q193" s="142"/>
      <c r="R193" s="301"/>
    </row>
    <row r="194" spans="1:18" ht="17.45" customHeight="1" thickBot="1">
      <c r="A194" s="283"/>
      <c r="B194" s="284"/>
      <c r="C194" s="284"/>
      <c r="D194" s="284"/>
      <c r="E194" s="284"/>
      <c r="F194" s="284"/>
      <c r="G194" s="284"/>
      <c r="H194" s="284"/>
      <c r="I194" s="284"/>
      <c r="J194" s="284"/>
      <c r="K194" s="284"/>
      <c r="L194" s="284"/>
      <c r="M194" s="284"/>
      <c r="N194" s="284"/>
      <c r="O194" s="284"/>
      <c r="P194" s="284"/>
      <c r="Q194" s="284"/>
      <c r="R194" s="285"/>
    </row>
    <row r="195" spans="1:18" ht="22.15" customHeight="1" thickTop="1" thickBot="1">
      <c r="A195" s="279" t="s">
        <v>6</v>
      </c>
      <c r="B195" s="295"/>
      <c r="C195" s="295"/>
      <c r="D195" s="295"/>
      <c r="E195" s="295"/>
      <c r="F195" s="296"/>
      <c r="G195" s="32">
        <v>46031</v>
      </c>
      <c r="H195" s="278" t="s">
        <v>7</v>
      </c>
      <c r="I195" s="295"/>
      <c r="J195" s="295"/>
      <c r="K195" s="295"/>
      <c r="L195" s="295"/>
      <c r="M195" s="295"/>
      <c r="N195" s="295"/>
      <c r="O195" s="295"/>
      <c r="P195" s="295"/>
      <c r="Q195" s="295"/>
      <c r="R195" s="296"/>
    </row>
    <row r="196" spans="1:18" ht="24" customHeight="1">
      <c r="A196" s="33" t="s">
        <v>8</v>
      </c>
      <c r="B196" s="33" t="s">
        <v>9</v>
      </c>
      <c r="C196" s="34" t="s">
        <v>10</v>
      </c>
      <c r="D196" s="33" t="s">
        <v>11</v>
      </c>
      <c r="E196" s="33" t="s">
        <v>12</v>
      </c>
      <c r="F196" s="35" t="s">
        <v>13</v>
      </c>
      <c r="G196" s="36" t="s">
        <v>14</v>
      </c>
      <c r="H196" s="33" t="s">
        <v>15</v>
      </c>
      <c r="I196" s="37" t="s">
        <v>16</v>
      </c>
      <c r="J196" s="38" t="s">
        <v>17</v>
      </c>
      <c r="K196" s="39" t="s">
        <v>18</v>
      </c>
      <c r="L196" s="38" t="s">
        <v>19</v>
      </c>
      <c r="M196" s="38" t="s">
        <v>20</v>
      </c>
      <c r="N196" s="38" t="s">
        <v>21</v>
      </c>
      <c r="O196" s="33" t="s">
        <v>22</v>
      </c>
      <c r="P196" s="34" t="s">
        <v>23</v>
      </c>
      <c r="Q196" s="38" t="s">
        <v>24</v>
      </c>
      <c r="R196" s="33" t="s">
        <v>25</v>
      </c>
    </row>
    <row r="197" spans="1:18" ht="15" customHeight="1">
      <c r="A197" s="8" t="s">
        <v>38</v>
      </c>
      <c r="B197" s="8" t="s">
        <v>39</v>
      </c>
      <c r="C197" s="9">
        <v>0.22916666666666671</v>
      </c>
      <c r="D197" s="8" t="s">
        <v>40</v>
      </c>
      <c r="E197" s="8" t="s">
        <v>130</v>
      </c>
      <c r="F197" s="8" t="s">
        <v>131</v>
      </c>
      <c r="G197" s="297"/>
      <c r="H197" s="10"/>
      <c r="I197" s="11"/>
      <c r="J197" s="11"/>
      <c r="K197" s="11"/>
      <c r="L197" s="11"/>
      <c r="M197" s="11"/>
      <c r="N197" s="11"/>
      <c r="O197" s="12"/>
      <c r="P197" s="11"/>
      <c r="Q197" s="13"/>
      <c r="R197" s="14"/>
    </row>
    <row r="198" spans="1:18" ht="15" customHeight="1">
      <c r="A198" s="15" t="s">
        <v>38</v>
      </c>
      <c r="B198" s="15" t="s">
        <v>39</v>
      </c>
      <c r="C198" s="16">
        <v>0.22916666666666671</v>
      </c>
      <c r="D198" s="15" t="s">
        <v>43</v>
      </c>
      <c r="E198" s="15" t="s">
        <v>132</v>
      </c>
      <c r="F198" s="15" t="s">
        <v>133</v>
      </c>
      <c r="G198" s="298"/>
      <c r="H198" s="10"/>
      <c r="I198" s="11"/>
      <c r="J198" s="11"/>
      <c r="K198" s="11"/>
      <c r="L198" s="11"/>
      <c r="M198" s="11"/>
      <c r="N198" s="11"/>
      <c r="O198" s="12"/>
      <c r="P198" s="11"/>
      <c r="Q198" s="13"/>
      <c r="R198" s="14"/>
    </row>
    <row r="199" spans="1:18" ht="15" customHeight="1">
      <c r="A199" s="15" t="s">
        <v>38</v>
      </c>
      <c r="B199" s="15" t="s">
        <v>39</v>
      </c>
      <c r="C199" s="16">
        <v>0.22916666666666671</v>
      </c>
      <c r="D199" s="15" t="s">
        <v>46</v>
      </c>
      <c r="E199" s="15" t="s">
        <v>132</v>
      </c>
      <c r="F199" s="15" t="s">
        <v>47</v>
      </c>
      <c r="G199" s="298"/>
      <c r="H199" s="10"/>
      <c r="I199" s="11"/>
      <c r="J199" s="11"/>
      <c r="K199" s="11"/>
      <c r="L199" s="11"/>
      <c r="M199" s="11"/>
      <c r="N199" s="11"/>
      <c r="O199" s="12"/>
      <c r="P199" s="11"/>
      <c r="Q199" s="13"/>
      <c r="R199" s="14"/>
    </row>
    <row r="200" spans="1:18" ht="15" customHeight="1">
      <c r="A200" s="19" t="s">
        <v>48</v>
      </c>
      <c r="B200" s="19" t="s">
        <v>56</v>
      </c>
      <c r="C200" s="20">
        <v>0.89583333333333337</v>
      </c>
      <c r="D200" s="19" t="s">
        <v>50</v>
      </c>
      <c r="E200" s="19" t="s">
        <v>51</v>
      </c>
      <c r="F200" s="19" t="s">
        <v>96</v>
      </c>
      <c r="G200" s="298"/>
      <c r="H200" s="10"/>
      <c r="I200" s="11"/>
      <c r="J200" s="11"/>
      <c r="K200" s="11"/>
      <c r="L200" s="11"/>
      <c r="M200" s="11"/>
      <c r="N200" s="11"/>
      <c r="O200" s="12"/>
      <c r="P200" s="11"/>
      <c r="Q200" s="13"/>
      <c r="R200" s="14"/>
    </row>
    <row r="201" spans="1:18" ht="15" customHeight="1">
      <c r="A201" s="15" t="s">
        <v>48</v>
      </c>
      <c r="B201" s="15" t="s">
        <v>56</v>
      </c>
      <c r="C201" s="16">
        <v>0.89583333333333337</v>
      </c>
      <c r="D201" s="15" t="s">
        <v>53</v>
      </c>
      <c r="E201" s="15" t="s">
        <v>54</v>
      </c>
      <c r="F201" s="15" t="s">
        <v>97</v>
      </c>
      <c r="G201" s="298"/>
      <c r="H201" s="10"/>
      <c r="I201" s="11"/>
      <c r="J201" s="11"/>
      <c r="K201" s="11"/>
      <c r="L201" s="11"/>
      <c r="M201" s="11"/>
      <c r="N201" s="11"/>
      <c r="O201" s="12"/>
      <c r="P201" s="11"/>
      <c r="Q201" s="13"/>
      <c r="R201" s="14"/>
    </row>
    <row r="202" spans="1:18" ht="15" customHeight="1">
      <c r="A202" s="17" t="s">
        <v>48</v>
      </c>
      <c r="B202" s="17" t="s">
        <v>58</v>
      </c>
      <c r="C202" s="18">
        <v>0.18402777777777779</v>
      </c>
      <c r="D202" s="17" t="s">
        <v>50</v>
      </c>
      <c r="E202" s="17" t="s">
        <v>134</v>
      </c>
      <c r="F202" s="17" t="s">
        <v>96</v>
      </c>
      <c r="G202" s="298"/>
      <c r="H202" s="10"/>
      <c r="I202" s="11"/>
      <c r="J202" s="11"/>
      <c r="K202" s="11"/>
      <c r="L202" s="11"/>
      <c r="M202" s="11"/>
      <c r="N202" s="11"/>
      <c r="O202" s="12"/>
      <c r="P202" s="11"/>
      <c r="Q202" s="13"/>
      <c r="R202" s="14"/>
    </row>
    <row r="203" spans="1:18" ht="15" customHeight="1">
      <c r="A203" s="15" t="s">
        <v>48</v>
      </c>
      <c r="B203" s="15" t="s">
        <v>58</v>
      </c>
      <c r="C203" s="16">
        <v>0.18402777777777779</v>
      </c>
      <c r="D203" s="15" t="s">
        <v>53</v>
      </c>
      <c r="E203" s="15" t="s">
        <v>135</v>
      </c>
      <c r="F203" s="15" t="s">
        <v>97</v>
      </c>
      <c r="G203" s="298"/>
      <c r="H203" s="10"/>
      <c r="I203" s="11"/>
      <c r="J203" s="11"/>
      <c r="K203" s="11"/>
      <c r="L203" s="11"/>
      <c r="M203" s="11"/>
      <c r="N203" s="11"/>
      <c r="O203" s="12"/>
      <c r="P203" s="11"/>
      <c r="Q203" s="13"/>
      <c r="R203" s="14"/>
    </row>
    <row r="204" spans="1:18" ht="15" customHeight="1">
      <c r="A204" s="17" t="s">
        <v>48</v>
      </c>
      <c r="B204" s="17" t="s">
        <v>49</v>
      </c>
      <c r="C204" s="18">
        <v>0.35069444444444442</v>
      </c>
      <c r="D204" s="17" t="s">
        <v>50</v>
      </c>
      <c r="E204" s="17" t="s">
        <v>57</v>
      </c>
      <c r="F204" s="17" t="s">
        <v>52</v>
      </c>
      <c r="G204" s="298"/>
      <c r="H204" s="10"/>
      <c r="I204" s="11"/>
      <c r="J204" s="11"/>
      <c r="K204" s="11"/>
      <c r="L204" s="11"/>
      <c r="M204" s="11"/>
      <c r="N204" s="11"/>
      <c r="O204" s="12"/>
      <c r="P204" s="11"/>
      <c r="Q204" s="13"/>
      <c r="R204" s="14"/>
    </row>
    <row r="205" spans="1:18" ht="15" customHeight="1">
      <c r="A205" s="15" t="s">
        <v>48</v>
      </c>
      <c r="B205" s="15" t="s">
        <v>49</v>
      </c>
      <c r="C205" s="16">
        <v>0.35069444444444442</v>
      </c>
      <c r="D205" s="15" t="s">
        <v>53</v>
      </c>
      <c r="E205" s="15" t="s">
        <v>54</v>
      </c>
      <c r="F205" s="15" t="s">
        <v>55</v>
      </c>
      <c r="G205" s="298"/>
      <c r="H205" s="10"/>
      <c r="I205" s="11"/>
      <c r="J205" s="11"/>
      <c r="K205" s="11"/>
      <c r="L205" s="11"/>
      <c r="M205" s="11"/>
      <c r="N205" s="11"/>
      <c r="O205" s="12"/>
      <c r="P205" s="11"/>
      <c r="Q205" s="13"/>
      <c r="R205" s="14"/>
    </row>
    <row r="206" spans="1:18" ht="15" customHeight="1">
      <c r="A206" s="17" t="s">
        <v>48</v>
      </c>
      <c r="B206" s="17" t="s">
        <v>59</v>
      </c>
      <c r="C206" s="18">
        <v>0.22916666666666671</v>
      </c>
      <c r="D206" s="17" t="s">
        <v>53</v>
      </c>
      <c r="E206" s="17" t="s">
        <v>37</v>
      </c>
      <c r="F206" s="17" t="s">
        <v>60</v>
      </c>
      <c r="G206" s="298"/>
      <c r="H206" s="10"/>
      <c r="I206" s="11"/>
      <c r="J206" s="11"/>
      <c r="K206" s="11"/>
      <c r="L206" s="11"/>
      <c r="M206" s="11"/>
      <c r="N206" s="11"/>
      <c r="O206" s="12"/>
      <c r="P206" s="11"/>
      <c r="Q206" s="13"/>
      <c r="R206" s="14"/>
    </row>
    <row r="207" spans="1:18" ht="15" customHeight="1">
      <c r="A207" s="19" t="s">
        <v>68</v>
      </c>
      <c r="B207" s="19" t="s">
        <v>74</v>
      </c>
      <c r="C207" s="20">
        <v>0.33680555555555558</v>
      </c>
      <c r="D207" s="19" t="s">
        <v>70</v>
      </c>
      <c r="E207" s="19" t="s">
        <v>51</v>
      </c>
      <c r="F207" s="19" t="s">
        <v>71</v>
      </c>
      <c r="G207" s="298"/>
      <c r="H207" s="10"/>
      <c r="I207" s="11"/>
      <c r="J207" s="11"/>
      <c r="K207" s="11"/>
      <c r="L207" s="11"/>
      <c r="M207" s="11"/>
      <c r="N207" s="11"/>
      <c r="O207" s="12"/>
      <c r="P207" s="11"/>
      <c r="Q207" s="13"/>
      <c r="R207" s="14"/>
    </row>
    <row r="208" spans="1:18" ht="15" customHeight="1">
      <c r="A208" s="17" t="s">
        <v>68</v>
      </c>
      <c r="B208" s="17" t="s">
        <v>69</v>
      </c>
      <c r="C208" s="18">
        <v>0.94097222222222221</v>
      </c>
      <c r="D208" s="17" t="s">
        <v>70</v>
      </c>
      <c r="E208" s="17" t="s">
        <v>57</v>
      </c>
      <c r="F208" s="17" t="s">
        <v>71</v>
      </c>
      <c r="G208" s="298"/>
      <c r="H208" s="10"/>
      <c r="I208" s="11"/>
      <c r="J208" s="11"/>
      <c r="K208" s="11"/>
      <c r="L208" s="11"/>
      <c r="M208" s="11"/>
      <c r="N208" s="11"/>
      <c r="O208" s="12"/>
      <c r="P208" s="11"/>
      <c r="Q208" s="13"/>
      <c r="R208" s="14"/>
    </row>
    <row r="209" spans="1:18" ht="15" customHeight="1">
      <c r="A209" s="17" t="s">
        <v>68</v>
      </c>
      <c r="B209" s="17" t="s">
        <v>76</v>
      </c>
      <c r="C209" s="18">
        <v>0.69791666666666663</v>
      </c>
      <c r="D209" s="17" t="s">
        <v>70</v>
      </c>
      <c r="E209" s="17" t="s">
        <v>57</v>
      </c>
      <c r="F209" s="17" t="s">
        <v>71</v>
      </c>
      <c r="G209" s="298"/>
      <c r="H209" s="10"/>
      <c r="I209" s="11"/>
      <c r="J209" s="11"/>
      <c r="K209" s="11"/>
      <c r="L209" s="11"/>
      <c r="M209" s="11"/>
      <c r="N209" s="11"/>
      <c r="O209" s="12"/>
      <c r="P209" s="11"/>
      <c r="Q209" s="13"/>
      <c r="R209" s="14"/>
    </row>
    <row r="210" spans="1:18" ht="15" customHeight="1">
      <c r="A210" s="17" t="s">
        <v>68</v>
      </c>
      <c r="B210" s="17" t="s">
        <v>72</v>
      </c>
      <c r="C210" s="18">
        <v>6.5972222222222224E-2</v>
      </c>
      <c r="D210" s="17" t="s">
        <v>70</v>
      </c>
      <c r="E210" s="17" t="s">
        <v>57</v>
      </c>
      <c r="F210" s="17" t="s">
        <v>71</v>
      </c>
      <c r="G210" s="298"/>
      <c r="H210" s="10"/>
      <c r="I210" s="11"/>
      <c r="J210" s="11"/>
      <c r="K210" s="11"/>
      <c r="L210" s="11"/>
      <c r="M210" s="11"/>
      <c r="N210" s="11"/>
      <c r="O210" s="12"/>
      <c r="P210" s="11"/>
      <c r="Q210" s="13"/>
      <c r="R210" s="14"/>
    </row>
    <row r="211" spans="1:18" ht="15" customHeight="1">
      <c r="A211" s="17" t="s">
        <v>68</v>
      </c>
      <c r="B211" s="17" t="s">
        <v>73</v>
      </c>
      <c r="C211" s="18">
        <v>0.28819444444444448</v>
      </c>
      <c r="D211" s="17" t="s">
        <v>70</v>
      </c>
      <c r="E211" s="17" t="s">
        <v>57</v>
      </c>
      <c r="F211" s="17" t="s">
        <v>71</v>
      </c>
      <c r="G211" s="298"/>
      <c r="H211" s="10"/>
      <c r="I211" s="11"/>
      <c r="J211" s="11"/>
      <c r="K211" s="11"/>
      <c r="L211" s="11"/>
      <c r="M211" s="11"/>
      <c r="N211" s="11"/>
      <c r="O211" s="12"/>
      <c r="P211" s="11"/>
      <c r="Q211" s="13"/>
      <c r="R211" s="14"/>
    </row>
    <row r="212" spans="1:18" ht="15" customHeight="1">
      <c r="A212" s="19" t="s">
        <v>26</v>
      </c>
      <c r="B212" s="19" t="s">
        <v>27</v>
      </c>
      <c r="C212" s="20">
        <v>0.60763888888888895</v>
      </c>
      <c r="D212" s="19" t="s">
        <v>28</v>
      </c>
      <c r="E212" s="19" t="s">
        <v>80</v>
      </c>
      <c r="F212" s="19" t="s">
        <v>104</v>
      </c>
      <c r="G212" s="298"/>
      <c r="H212" s="10"/>
      <c r="I212" s="11"/>
      <c r="J212" s="11"/>
      <c r="K212" s="11"/>
      <c r="L212" s="11"/>
      <c r="M212" s="11"/>
      <c r="N212" s="11"/>
      <c r="O212" s="12"/>
      <c r="P212" s="11"/>
      <c r="Q212" s="13"/>
      <c r="R212" s="14"/>
    </row>
    <row r="213" spans="1:18" ht="15" customHeight="1">
      <c r="A213" s="15" t="s">
        <v>26</v>
      </c>
      <c r="B213" s="15" t="s">
        <v>27</v>
      </c>
      <c r="C213" s="16">
        <v>0.60763888888888895</v>
      </c>
      <c r="D213" s="15" t="s">
        <v>31</v>
      </c>
      <c r="E213" s="15" t="s">
        <v>82</v>
      </c>
      <c r="F213" s="15" t="s">
        <v>105</v>
      </c>
      <c r="G213" s="298"/>
      <c r="H213" s="10"/>
      <c r="I213" s="11"/>
      <c r="J213" s="11"/>
      <c r="K213" s="11"/>
      <c r="L213" s="11"/>
      <c r="M213" s="11"/>
      <c r="N213" s="11"/>
      <c r="O213" s="12"/>
      <c r="P213" s="11"/>
      <c r="Q213" s="13"/>
      <c r="R213" s="14"/>
    </row>
    <row r="214" spans="1:18" ht="15" customHeight="1" thickBot="1">
      <c r="A214" s="76" t="s">
        <v>26</v>
      </c>
      <c r="B214" s="76" t="s">
        <v>27</v>
      </c>
      <c r="C214" s="77">
        <v>0.60763888888888895</v>
      </c>
      <c r="D214" s="76" t="s">
        <v>34</v>
      </c>
      <c r="E214" s="76" t="s">
        <v>82</v>
      </c>
      <c r="F214" s="76" t="s">
        <v>106</v>
      </c>
      <c r="G214" s="299"/>
      <c r="H214" s="300"/>
      <c r="I214" s="140"/>
      <c r="J214" s="140"/>
      <c r="K214" s="140"/>
      <c r="L214" s="140"/>
      <c r="M214" s="140"/>
      <c r="N214" s="140"/>
      <c r="O214" s="141"/>
      <c r="P214" s="140"/>
      <c r="Q214" s="142"/>
      <c r="R214" s="301"/>
    </row>
    <row r="215" spans="1:18" ht="17.45" customHeight="1" thickBot="1">
      <c r="A215" s="283"/>
      <c r="B215" s="284"/>
      <c r="C215" s="284"/>
      <c r="D215" s="284"/>
      <c r="E215" s="284"/>
      <c r="F215" s="284"/>
      <c r="G215" s="284"/>
      <c r="H215" s="284"/>
      <c r="I215" s="284"/>
      <c r="J215" s="284"/>
      <c r="K215" s="284"/>
      <c r="L215" s="284"/>
      <c r="M215" s="284"/>
      <c r="N215" s="284"/>
      <c r="O215" s="284"/>
      <c r="P215" s="284"/>
      <c r="Q215" s="284"/>
      <c r="R215" s="285"/>
    </row>
    <row r="216" spans="1:18" ht="22.15" customHeight="1" thickTop="1" thickBot="1">
      <c r="A216" s="279" t="s">
        <v>6</v>
      </c>
      <c r="B216" s="295"/>
      <c r="C216" s="295"/>
      <c r="D216" s="295"/>
      <c r="E216" s="295"/>
      <c r="F216" s="296"/>
      <c r="G216" s="32">
        <v>46032</v>
      </c>
      <c r="H216" s="278" t="s">
        <v>7</v>
      </c>
      <c r="I216" s="295"/>
      <c r="J216" s="295"/>
      <c r="K216" s="295"/>
      <c r="L216" s="295"/>
      <c r="M216" s="295"/>
      <c r="N216" s="295"/>
      <c r="O216" s="295"/>
      <c r="P216" s="295"/>
      <c r="Q216" s="295"/>
      <c r="R216" s="296"/>
    </row>
    <row r="217" spans="1:18" ht="24" customHeight="1">
      <c r="A217" s="33" t="s">
        <v>8</v>
      </c>
      <c r="B217" s="33" t="s">
        <v>9</v>
      </c>
      <c r="C217" s="34" t="s">
        <v>10</v>
      </c>
      <c r="D217" s="33" t="s">
        <v>11</v>
      </c>
      <c r="E217" s="33" t="s">
        <v>12</v>
      </c>
      <c r="F217" s="35" t="s">
        <v>13</v>
      </c>
      <c r="G217" s="36" t="s">
        <v>14</v>
      </c>
      <c r="H217" s="33" t="s">
        <v>15</v>
      </c>
      <c r="I217" s="37" t="s">
        <v>16</v>
      </c>
      <c r="J217" s="38" t="s">
        <v>17</v>
      </c>
      <c r="K217" s="39" t="s">
        <v>18</v>
      </c>
      <c r="L217" s="38" t="s">
        <v>19</v>
      </c>
      <c r="M217" s="38" t="s">
        <v>20</v>
      </c>
      <c r="N217" s="38" t="s">
        <v>21</v>
      </c>
      <c r="O217" s="33" t="s">
        <v>22</v>
      </c>
      <c r="P217" s="34" t="s">
        <v>23</v>
      </c>
      <c r="Q217" s="38" t="s">
        <v>24</v>
      </c>
      <c r="R217" s="33" t="s">
        <v>25</v>
      </c>
    </row>
    <row r="218" spans="1:18" ht="15" customHeight="1">
      <c r="A218" s="8" t="s">
        <v>38</v>
      </c>
      <c r="B218" s="8" t="s">
        <v>87</v>
      </c>
      <c r="C218" s="9">
        <v>6.25E-2</v>
      </c>
      <c r="D218" s="8" t="s">
        <v>40</v>
      </c>
      <c r="E218" s="8" t="s">
        <v>41</v>
      </c>
      <c r="F218" s="8" t="s">
        <v>88</v>
      </c>
      <c r="G218" s="297"/>
      <c r="H218" s="10"/>
      <c r="I218" s="11"/>
      <c r="J218" s="11"/>
      <c r="K218" s="11"/>
      <c r="L218" s="11"/>
      <c r="M218" s="11"/>
      <c r="N218" s="11"/>
      <c r="O218" s="12"/>
      <c r="P218" s="11"/>
      <c r="Q218" s="13"/>
      <c r="R218" s="14"/>
    </row>
    <row r="219" spans="1:18" ht="15" customHeight="1">
      <c r="A219" s="15" t="s">
        <v>38</v>
      </c>
      <c r="B219" s="15" t="s">
        <v>87</v>
      </c>
      <c r="C219" s="16">
        <v>6.25E-2</v>
      </c>
      <c r="D219" s="15" t="s">
        <v>43</v>
      </c>
      <c r="E219" s="15" t="s">
        <v>44</v>
      </c>
      <c r="F219" s="15" t="s">
        <v>89</v>
      </c>
      <c r="G219" s="298"/>
      <c r="H219" s="10"/>
      <c r="I219" s="11"/>
      <c r="J219" s="11"/>
      <c r="K219" s="11"/>
      <c r="L219" s="11"/>
      <c r="M219" s="11"/>
      <c r="N219" s="11"/>
      <c r="O219" s="12"/>
      <c r="P219" s="11"/>
      <c r="Q219" s="13"/>
      <c r="R219" s="14"/>
    </row>
    <row r="220" spans="1:18" ht="15" customHeight="1">
      <c r="A220" s="15" t="s">
        <v>38</v>
      </c>
      <c r="B220" s="15" t="s">
        <v>87</v>
      </c>
      <c r="C220" s="16">
        <v>6.25E-2</v>
      </c>
      <c r="D220" s="15" t="s">
        <v>46</v>
      </c>
      <c r="E220" s="15" t="s">
        <v>44</v>
      </c>
      <c r="F220" s="15" t="s">
        <v>47</v>
      </c>
      <c r="G220" s="298"/>
      <c r="H220" s="10"/>
      <c r="I220" s="11"/>
      <c r="J220" s="11"/>
      <c r="K220" s="11"/>
      <c r="L220" s="11"/>
      <c r="M220" s="11"/>
      <c r="N220" s="11"/>
      <c r="O220" s="12"/>
      <c r="P220" s="11"/>
      <c r="Q220" s="13"/>
      <c r="R220" s="14"/>
    </row>
    <row r="221" spans="1:18" ht="15" customHeight="1">
      <c r="A221" s="17" t="s">
        <v>38</v>
      </c>
      <c r="B221" s="17" t="s">
        <v>39</v>
      </c>
      <c r="C221" s="18">
        <v>0.22916666666666671</v>
      </c>
      <c r="D221" s="17" t="s">
        <v>40</v>
      </c>
      <c r="E221" s="17" t="s">
        <v>136</v>
      </c>
      <c r="F221" s="17" t="s">
        <v>78</v>
      </c>
      <c r="G221" s="298"/>
      <c r="H221" s="10"/>
      <c r="I221" s="11"/>
      <c r="J221" s="11"/>
      <c r="K221" s="11"/>
      <c r="L221" s="11"/>
      <c r="M221" s="11"/>
      <c r="N221" s="11"/>
      <c r="O221" s="12"/>
      <c r="P221" s="11"/>
      <c r="Q221" s="13"/>
      <c r="R221" s="14"/>
    </row>
    <row r="222" spans="1:18" ht="15" customHeight="1">
      <c r="A222" s="15" t="s">
        <v>38</v>
      </c>
      <c r="B222" s="15" t="s">
        <v>39</v>
      </c>
      <c r="C222" s="16">
        <v>0.22916666666666671</v>
      </c>
      <c r="D222" s="15" t="s">
        <v>43</v>
      </c>
      <c r="E222" s="15" t="s">
        <v>137</v>
      </c>
      <c r="F222" s="15" t="s">
        <v>79</v>
      </c>
      <c r="G222" s="298"/>
      <c r="H222" s="10"/>
      <c r="I222" s="11"/>
      <c r="J222" s="11"/>
      <c r="K222" s="11"/>
      <c r="L222" s="11"/>
      <c r="M222" s="11"/>
      <c r="N222" s="11"/>
      <c r="O222" s="12"/>
      <c r="P222" s="11"/>
      <c r="Q222" s="13"/>
      <c r="R222" s="14"/>
    </row>
    <row r="223" spans="1:18" ht="15" customHeight="1">
      <c r="A223" s="15" t="s">
        <v>38</v>
      </c>
      <c r="B223" s="15" t="s">
        <v>39</v>
      </c>
      <c r="C223" s="16">
        <v>0.22916666666666671</v>
      </c>
      <c r="D223" s="15" t="s">
        <v>46</v>
      </c>
      <c r="E223" s="15" t="s">
        <v>137</v>
      </c>
      <c r="F223" s="15" t="s">
        <v>47</v>
      </c>
      <c r="G223" s="298"/>
      <c r="H223" s="10"/>
      <c r="I223" s="11"/>
      <c r="J223" s="11"/>
      <c r="K223" s="11"/>
      <c r="L223" s="11"/>
      <c r="M223" s="11"/>
      <c r="N223" s="11"/>
      <c r="O223" s="12"/>
      <c r="P223" s="11"/>
      <c r="Q223" s="13"/>
      <c r="R223" s="14"/>
    </row>
    <row r="224" spans="1:18" ht="15" customHeight="1">
      <c r="A224" s="19" t="s">
        <v>48</v>
      </c>
      <c r="B224" s="19" t="s">
        <v>58</v>
      </c>
      <c r="C224" s="20">
        <v>0.18402777777777779</v>
      </c>
      <c r="D224" s="19" t="s">
        <v>50</v>
      </c>
      <c r="E224" s="19" t="s">
        <v>51</v>
      </c>
      <c r="F224" s="19" t="s">
        <v>96</v>
      </c>
      <c r="G224" s="298"/>
      <c r="H224" s="10"/>
      <c r="I224" s="11"/>
      <c r="J224" s="11"/>
      <c r="K224" s="11"/>
      <c r="L224" s="11"/>
      <c r="M224" s="11"/>
      <c r="N224" s="11"/>
      <c r="O224" s="12"/>
      <c r="P224" s="11"/>
      <c r="Q224" s="13"/>
      <c r="R224" s="14"/>
    </row>
    <row r="225" spans="1:18" ht="15" customHeight="1">
      <c r="A225" s="15" t="s">
        <v>48</v>
      </c>
      <c r="B225" s="15" t="s">
        <v>58</v>
      </c>
      <c r="C225" s="16">
        <v>0.18402777777777779</v>
      </c>
      <c r="D225" s="15" t="s">
        <v>53</v>
      </c>
      <c r="E225" s="15" t="s">
        <v>54</v>
      </c>
      <c r="F225" s="15" t="s">
        <v>97</v>
      </c>
      <c r="G225" s="298"/>
      <c r="H225" s="10"/>
      <c r="I225" s="11"/>
      <c r="J225" s="11"/>
      <c r="K225" s="11"/>
      <c r="L225" s="11"/>
      <c r="M225" s="11"/>
      <c r="N225" s="11"/>
      <c r="O225" s="12"/>
      <c r="P225" s="11"/>
      <c r="Q225" s="13"/>
      <c r="R225" s="14"/>
    </row>
    <row r="226" spans="1:18" ht="15" customHeight="1">
      <c r="A226" s="17" t="s">
        <v>48</v>
      </c>
      <c r="B226" s="17" t="s">
        <v>49</v>
      </c>
      <c r="C226" s="18">
        <v>0.35416666666666669</v>
      </c>
      <c r="D226" s="17" t="s">
        <v>50</v>
      </c>
      <c r="E226" s="17" t="s">
        <v>57</v>
      </c>
      <c r="F226" s="17" t="s">
        <v>109</v>
      </c>
      <c r="G226" s="298"/>
      <c r="H226" s="10"/>
      <c r="I226" s="11"/>
      <c r="J226" s="11"/>
      <c r="K226" s="11"/>
      <c r="L226" s="11"/>
      <c r="M226" s="11"/>
      <c r="N226" s="11"/>
      <c r="O226" s="12"/>
      <c r="P226" s="11"/>
      <c r="Q226" s="13"/>
      <c r="R226" s="14"/>
    </row>
    <row r="227" spans="1:18" ht="15" customHeight="1">
      <c r="A227" s="15" t="s">
        <v>48</v>
      </c>
      <c r="B227" s="15" t="s">
        <v>49</v>
      </c>
      <c r="C227" s="16">
        <v>0.35416666666666669</v>
      </c>
      <c r="D227" s="15" t="s">
        <v>53</v>
      </c>
      <c r="E227" s="15" t="s">
        <v>54</v>
      </c>
      <c r="F227" s="15" t="s">
        <v>110</v>
      </c>
      <c r="G227" s="298"/>
      <c r="H227" s="10"/>
      <c r="I227" s="11"/>
      <c r="J227" s="11"/>
      <c r="K227" s="11"/>
      <c r="L227" s="11"/>
      <c r="M227" s="11"/>
      <c r="N227" s="11"/>
      <c r="O227" s="12"/>
      <c r="P227" s="11"/>
      <c r="Q227" s="13"/>
      <c r="R227" s="14"/>
    </row>
    <row r="228" spans="1:18" ht="15" customHeight="1">
      <c r="A228" s="17" t="s">
        <v>48</v>
      </c>
      <c r="B228" s="17" t="s">
        <v>56</v>
      </c>
      <c r="C228" s="18">
        <v>0.89583333333333337</v>
      </c>
      <c r="D228" s="17" t="s">
        <v>50</v>
      </c>
      <c r="E228" s="17" t="s">
        <v>134</v>
      </c>
      <c r="F228" s="17" t="s">
        <v>116</v>
      </c>
      <c r="G228" s="298"/>
      <c r="H228" s="10"/>
      <c r="I228" s="11"/>
      <c r="J228" s="11"/>
      <c r="K228" s="11"/>
      <c r="L228" s="11"/>
      <c r="M228" s="11"/>
      <c r="N228" s="11"/>
      <c r="O228" s="12"/>
      <c r="P228" s="11"/>
      <c r="Q228" s="13"/>
      <c r="R228" s="14"/>
    </row>
    <row r="229" spans="1:18" ht="15" customHeight="1">
      <c r="A229" s="15" t="s">
        <v>48</v>
      </c>
      <c r="B229" s="15" t="s">
        <v>56</v>
      </c>
      <c r="C229" s="16">
        <v>0.89583333333333337</v>
      </c>
      <c r="D229" s="15" t="s">
        <v>53</v>
      </c>
      <c r="E229" s="15" t="s">
        <v>135</v>
      </c>
      <c r="F229" s="15" t="s">
        <v>117</v>
      </c>
      <c r="G229" s="298"/>
      <c r="H229" s="10"/>
      <c r="I229" s="11"/>
      <c r="J229" s="11"/>
      <c r="K229" s="11"/>
      <c r="L229" s="11"/>
      <c r="M229" s="11"/>
      <c r="N229" s="11"/>
      <c r="O229" s="12"/>
      <c r="P229" s="11"/>
      <c r="Q229" s="13"/>
      <c r="R229" s="14"/>
    </row>
    <row r="230" spans="1:18" ht="15" customHeight="1">
      <c r="A230" s="17" t="s">
        <v>48</v>
      </c>
      <c r="B230" s="17" t="s">
        <v>59</v>
      </c>
      <c r="C230" s="18">
        <v>0.22916666666666671</v>
      </c>
      <c r="D230" s="17" t="s">
        <v>53</v>
      </c>
      <c r="E230" s="17" t="s">
        <v>37</v>
      </c>
      <c r="F230" s="17" t="s">
        <v>93</v>
      </c>
      <c r="G230" s="298"/>
      <c r="H230" s="10"/>
      <c r="I230" s="11"/>
      <c r="J230" s="11"/>
      <c r="K230" s="11"/>
      <c r="L230" s="11"/>
      <c r="M230" s="11"/>
      <c r="N230" s="11"/>
      <c r="O230" s="12"/>
      <c r="P230" s="11"/>
      <c r="Q230" s="13"/>
      <c r="R230" s="14"/>
    </row>
    <row r="231" spans="1:18" ht="15" customHeight="1">
      <c r="A231" s="19" t="s">
        <v>26</v>
      </c>
      <c r="B231" s="19" t="s">
        <v>27</v>
      </c>
      <c r="C231" s="20">
        <v>0.60763888888888895</v>
      </c>
      <c r="D231" s="19" t="s">
        <v>28</v>
      </c>
      <c r="E231" s="19" t="s">
        <v>80</v>
      </c>
      <c r="F231" s="19" t="s">
        <v>89</v>
      </c>
      <c r="G231" s="298"/>
      <c r="H231" s="10"/>
      <c r="I231" s="11"/>
      <c r="J231" s="11"/>
      <c r="K231" s="11"/>
      <c r="L231" s="11"/>
      <c r="M231" s="11"/>
      <c r="N231" s="11"/>
      <c r="O231" s="12"/>
      <c r="P231" s="11"/>
      <c r="Q231" s="13"/>
      <c r="R231" s="14"/>
    </row>
    <row r="232" spans="1:18" ht="15" customHeight="1">
      <c r="A232" s="15" t="s">
        <v>26</v>
      </c>
      <c r="B232" s="15" t="s">
        <v>27</v>
      </c>
      <c r="C232" s="16">
        <v>0.60763888888888895</v>
      </c>
      <c r="D232" s="15" t="s">
        <v>31</v>
      </c>
      <c r="E232" s="15" t="s">
        <v>82</v>
      </c>
      <c r="F232" s="15" t="s">
        <v>138</v>
      </c>
      <c r="G232" s="298"/>
      <c r="H232" s="10"/>
      <c r="I232" s="11"/>
      <c r="J232" s="11"/>
      <c r="K232" s="11"/>
      <c r="L232" s="11"/>
      <c r="M232" s="11"/>
      <c r="N232" s="11"/>
      <c r="O232" s="12"/>
      <c r="P232" s="11"/>
      <c r="Q232" s="13"/>
      <c r="R232" s="14"/>
    </row>
    <row r="233" spans="1:18" ht="15" customHeight="1">
      <c r="A233" s="15" t="s">
        <v>26</v>
      </c>
      <c r="B233" s="15" t="s">
        <v>27</v>
      </c>
      <c r="C233" s="16">
        <v>0.60763888888888895</v>
      </c>
      <c r="D233" s="15" t="s">
        <v>34</v>
      </c>
      <c r="E233" s="15" t="s">
        <v>82</v>
      </c>
      <c r="F233" s="15" t="s">
        <v>139</v>
      </c>
      <c r="G233" s="298"/>
      <c r="H233" s="10"/>
      <c r="I233" s="11"/>
      <c r="J233" s="11"/>
      <c r="K233" s="11"/>
      <c r="L233" s="11"/>
      <c r="M233" s="11"/>
      <c r="N233" s="11"/>
      <c r="O233" s="12"/>
      <c r="P233" s="11"/>
      <c r="Q233" s="13"/>
      <c r="R233" s="14"/>
    </row>
    <row r="234" spans="1:18" ht="15" customHeight="1">
      <c r="A234" s="17" t="s">
        <v>26</v>
      </c>
      <c r="B234" s="17" t="s">
        <v>36</v>
      </c>
      <c r="C234" s="18">
        <v>0.43402777777777768</v>
      </c>
      <c r="D234" s="17" t="s">
        <v>28</v>
      </c>
      <c r="E234" s="17" t="s">
        <v>90</v>
      </c>
      <c r="F234" s="17" t="s">
        <v>104</v>
      </c>
      <c r="G234" s="298"/>
      <c r="H234" s="10"/>
      <c r="I234" s="11"/>
      <c r="J234" s="11"/>
      <c r="K234" s="11"/>
      <c r="L234" s="11"/>
      <c r="M234" s="11"/>
      <c r="N234" s="11"/>
      <c r="O234" s="12"/>
      <c r="P234" s="11"/>
      <c r="Q234" s="13"/>
      <c r="R234" s="14"/>
    </row>
    <row r="235" spans="1:18" ht="15" customHeight="1">
      <c r="A235" s="15" t="s">
        <v>26</v>
      </c>
      <c r="B235" s="15" t="s">
        <v>36</v>
      </c>
      <c r="C235" s="16">
        <v>0.43402777777777768</v>
      </c>
      <c r="D235" s="15" t="s">
        <v>31</v>
      </c>
      <c r="E235" s="15" t="s">
        <v>82</v>
      </c>
      <c r="F235" s="15" t="s">
        <v>105</v>
      </c>
      <c r="G235" s="298"/>
      <c r="H235" s="10"/>
      <c r="I235" s="11"/>
      <c r="J235" s="11"/>
      <c r="K235" s="11"/>
      <c r="L235" s="11"/>
      <c r="M235" s="11"/>
      <c r="N235" s="11"/>
      <c r="O235" s="12"/>
      <c r="P235" s="11"/>
      <c r="Q235" s="13"/>
      <c r="R235" s="14"/>
    </row>
    <row r="236" spans="1:18" ht="15" customHeight="1">
      <c r="A236" s="15" t="s">
        <v>26</v>
      </c>
      <c r="B236" s="15" t="s">
        <v>36</v>
      </c>
      <c r="C236" s="16">
        <v>0.43402777777777768</v>
      </c>
      <c r="D236" s="15" t="s">
        <v>34</v>
      </c>
      <c r="E236" s="15" t="s">
        <v>82</v>
      </c>
      <c r="F236" s="15" t="s">
        <v>106</v>
      </c>
      <c r="G236" s="298"/>
      <c r="H236" s="10"/>
      <c r="I236" s="11"/>
      <c r="J236" s="11"/>
      <c r="K236" s="11"/>
      <c r="L236" s="11"/>
      <c r="M236" s="11"/>
      <c r="N236" s="11"/>
      <c r="O236" s="12"/>
      <c r="P236" s="11"/>
      <c r="Q236" s="13"/>
      <c r="R236" s="14"/>
    </row>
    <row r="237" spans="1:18" ht="15" customHeight="1">
      <c r="A237" s="78" t="s">
        <v>61</v>
      </c>
      <c r="B237" s="78" t="s">
        <v>62</v>
      </c>
      <c r="C237" s="79">
        <v>0.2361111111111111</v>
      </c>
      <c r="D237" s="78" t="s">
        <v>63</v>
      </c>
      <c r="E237" s="78" t="s">
        <v>51</v>
      </c>
      <c r="F237" s="78" t="s">
        <v>64</v>
      </c>
      <c r="G237" s="298"/>
      <c r="H237" s="80" t="s">
        <v>65</v>
      </c>
      <c r="I237" s="81">
        <v>5.5999999999999999E-3</v>
      </c>
      <c r="J237" s="82">
        <v>1</v>
      </c>
      <c r="K237" s="83">
        <v>46302</v>
      </c>
      <c r="L237" s="82">
        <v>1</v>
      </c>
      <c r="M237" s="82">
        <v>0</v>
      </c>
      <c r="N237" s="82">
        <v>0</v>
      </c>
      <c r="O237" s="84" t="s">
        <v>67</v>
      </c>
      <c r="P237" s="85">
        <v>0.2361111111111111</v>
      </c>
      <c r="Q237" s="82">
        <v>180</v>
      </c>
      <c r="R237" s="86" t="s">
        <v>128</v>
      </c>
    </row>
    <row r="238" spans="1:18" ht="15" customHeight="1">
      <c r="A238" s="19" t="s">
        <v>68</v>
      </c>
      <c r="B238" s="19" t="s">
        <v>74</v>
      </c>
      <c r="C238" s="20">
        <v>0.33680555555555558</v>
      </c>
      <c r="D238" s="19" t="s">
        <v>70</v>
      </c>
      <c r="E238" s="19" t="s">
        <v>51</v>
      </c>
      <c r="F238" s="19" t="s">
        <v>71</v>
      </c>
      <c r="G238" s="298"/>
      <c r="H238" s="10"/>
      <c r="I238" s="11"/>
      <c r="J238" s="11"/>
      <c r="K238" s="11"/>
      <c r="L238" s="11"/>
      <c r="M238" s="11"/>
      <c r="N238" s="11"/>
      <c r="O238" s="12"/>
      <c r="P238" s="11"/>
      <c r="Q238" s="13"/>
      <c r="R238" s="14"/>
    </row>
    <row r="239" spans="1:18" ht="15" customHeight="1">
      <c r="A239" s="17" t="s">
        <v>68</v>
      </c>
      <c r="B239" s="17" t="s">
        <v>69</v>
      </c>
      <c r="C239" s="18">
        <v>0.94097222222222221</v>
      </c>
      <c r="D239" s="17" t="s">
        <v>70</v>
      </c>
      <c r="E239" s="17" t="s">
        <v>57</v>
      </c>
      <c r="F239" s="17" t="s">
        <v>71</v>
      </c>
      <c r="G239" s="298"/>
      <c r="H239" s="10"/>
      <c r="I239" s="11"/>
      <c r="J239" s="11"/>
      <c r="K239" s="11"/>
      <c r="L239" s="11"/>
      <c r="M239" s="11"/>
      <c r="N239" s="11"/>
      <c r="O239" s="12"/>
      <c r="P239" s="11"/>
      <c r="Q239" s="13"/>
      <c r="R239" s="14"/>
    </row>
    <row r="240" spans="1:18" ht="15" customHeight="1">
      <c r="A240" s="17" t="s">
        <v>68</v>
      </c>
      <c r="B240" s="17" t="s">
        <v>76</v>
      </c>
      <c r="C240" s="18">
        <v>0.69791666666666663</v>
      </c>
      <c r="D240" s="17" t="s">
        <v>70</v>
      </c>
      <c r="E240" s="17" t="s">
        <v>57</v>
      </c>
      <c r="F240" s="17" t="s">
        <v>71</v>
      </c>
      <c r="G240" s="298"/>
      <c r="H240" s="10"/>
      <c r="I240" s="11"/>
      <c r="J240" s="11"/>
      <c r="K240" s="11"/>
      <c r="L240" s="11"/>
      <c r="M240" s="11"/>
      <c r="N240" s="11"/>
      <c r="O240" s="12"/>
      <c r="P240" s="11"/>
      <c r="Q240" s="13"/>
      <c r="R240" s="14"/>
    </row>
    <row r="241" spans="1:18" ht="15" customHeight="1">
      <c r="A241" s="17" t="s">
        <v>68</v>
      </c>
      <c r="B241" s="17" t="s">
        <v>72</v>
      </c>
      <c r="C241" s="18">
        <v>6.5972222222222224E-2</v>
      </c>
      <c r="D241" s="17" t="s">
        <v>70</v>
      </c>
      <c r="E241" s="17" t="s">
        <v>57</v>
      </c>
      <c r="F241" s="17" t="s">
        <v>71</v>
      </c>
      <c r="G241" s="298"/>
      <c r="H241" s="10"/>
      <c r="I241" s="11"/>
      <c r="J241" s="11"/>
      <c r="K241" s="11"/>
      <c r="L241" s="11"/>
      <c r="M241" s="11"/>
      <c r="N241" s="11"/>
      <c r="O241" s="12"/>
      <c r="P241" s="11"/>
      <c r="Q241" s="13"/>
      <c r="R241" s="14"/>
    </row>
    <row r="242" spans="1:18" ht="15" customHeight="1" thickBot="1">
      <c r="A242" s="30" t="s">
        <v>68</v>
      </c>
      <c r="B242" s="30" t="s">
        <v>73</v>
      </c>
      <c r="C242" s="31">
        <v>0.28819444444444448</v>
      </c>
      <c r="D242" s="30" t="s">
        <v>70</v>
      </c>
      <c r="E242" s="30" t="s">
        <v>57</v>
      </c>
      <c r="F242" s="30" t="s">
        <v>71</v>
      </c>
      <c r="G242" s="299"/>
      <c r="H242" s="300"/>
      <c r="I242" s="140"/>
      <c r="J242" s="140"/>
      <c r="K242" s="140"/>
      <c r="L242" s="140"/>
      <c r="M242" s="140"/>
      <c r="N242" s="140"/>
      <c r="O242" s="141"/>
      <c r="P242" s="140"/>
      <c r="Q242" s="142"/>
      <c r="R242" s="301"/>
    </row>
    <row r="243" spans="1:18" ht="17.45" customHeight="1" thickBot="1">
      <c r="A243" s="283"/>
      <c r="B243" s="284"/>
      <c r="C243" s="284"/>
      <c r="D243" s="284"/>
      <c r="E243" s="284"/>
      <c r="F243" s="284"/>
      <c r="G243" s="284"/>
      <c r="H243" s="284"/>
      <c r="I243" s="284"/>
      <c r="J243" s="284"/>
      <c r="K243" s="284"/>
      <c r="L243" s="284"/>
      <c r="M243" s="284"/>
      <c r="N243" s="284"/>
      <c r="O243" s="284"/>
      <c r="P243" s="284"/>
      <c r="Q243" s="284"/>
      <c r="R243" s="285"/>
    </row>
    <row r="244" spans="1:18" ht="22.15" customHeight="1" thickTop="1" thickBot="1">
      <c r="A244" s="279" t="s">
        <v>6</v>
      </c>
      <c r="B244" s="295"/>
      <c r="C244" s="295"/>
      <c r="D244" s="295"/>
      <c r="E244" s="295"/>
      <c r="F244" s="296"/>
      <c r="G244" s="32">
        <v>46033</v>
      </c>
      <c r="H244" s="278" t="s">
        <v>7</v>
      </c>
      <c r="I244" s="295"/>
      <c r="J244" s="295"/>
      <c r="K244" s="295"/>
      <c r="L244" s="295"/>
      <c r="M244" s="295"/>
      <c r="N244" s="295"/>
      <c r="O244" s="295"/>
      <c r="P244" s="295"/>
      <c r="Q244" s="295"/>
      <c r="R244" s="296"/>
    </row>
    <row r="245" spans="1:18" ht="24" customHeight="1">
      <c r="A245" s="33" t="s">
        <v>8</v>
      </c>
      <c r="B245" s="33" t="s">
        <v>9</v>
      </c>
      <c r="C245" s="34" t="s">
        <v>10</v>
      </c>
      <c r="D245" s="33" t="s">
        <v>11</v>
      </c>
      <c r="E245" s="33" t="s">
        <v>12</v>
      </c>
      <c r="F245" s="35" t="s">
        <v>13</v>
      </c>
      <c r="G245" s="36" t="s">
        <v>14</v>
      </c>
      <c r="H245" s="33" t="s">
        <v>15</v>
      </c>
      <c r="I245" s="37" t="s">
        <v>16</v>
      </c>
      <c r="J245" s="38" t="s">
        <v>17</v>
      </c>
      <c r="K245" s="39" t="s">
        <v>18</v>
      </c>
      <c r="L245" s="38" t="s">
        <v>19</v>
      </c>
      <c r="M245" s="38" t="s">
        <v>20</v>
      </c>
      <c r="N245" s="38" t="s">
        <v>21</v>
      </c>
      <c r="O245" s="33" t="s">
        <v>22</v>
      </c>
      <c r="P245" s="34" t="s">
        <v>23</v>
      </c>
      <c r="Q245" s="38" t="s">
        <v>24</v>
      </c>
      <c r="R245" s="33" t="s">
        <v>25</v>
      </c>
    </row>
    <row r="246" spans="1:18" ht="15" customHeight="1">
      <c r="A246" s="8" t="s">
        <v>38</v>
      </c>
      <c r="B246" s="8" t="s">
        <v>39</v>
      </c>
      <c r="C246" s="9">
        <v>0.22916666666666671</v>
      </c>
      <c r="D246" s="8" t="s">
        <v>40</v>
      </c>
      <c r="E246" s="8" t="s">
        <v>140</v>
      </c>
      <c r="F246" s="8" t="s">
        <v>78</v>
      </c>
      <c r="G246" s="297"/>
      <c r="H246" s="10"/>
      <c r="I246" s="11"/>
      <c r="J246" s="11"/>
      <c r="K246" s="11"/>
      <c r="L246" s="11"/>
      <c r="M246" s="11"/>
      <c r="N246" s="11"/>
      <c r="O246" s="12"/>
      <c r="P246" s="11"/>
      <c r="Q246" s="13"/>
      <c r="R246" s="14"/>
    </row>
    <row r="247" spans="1:18" ht="15" customHeight="1">
      <c r="A247" s="15" t="s">
        <v>38</v>
      </c>
      <c r="B247" s="15" t="s">
        <v>39</v>
      </c>
      <c r="C247" s="16">
        <v>0.22916666666666671</v>
      </c>
      <c r="D247" s="15" t="s">
        <v>43</v>
      </c>
      <c r="E247" s="15" t="s">
        <v>141</v>
      </c>
      <c r="F247" s="15" t="s">
        <v>79</v>
      </c>
      <c r="G247" s="298"/>
      <c r="H247" s="10"/>
      <c r="I247" s="11"/>
      <c r="J247" s="11"/>
      <c r="K247" s="11"/>
      <c r="L247" s="11"/>
      <c r="M247" s="11"/>
      <c r="N247" s="11"/>
      <c r="O247" s="12"/>
      <c r="P247" s="11"/>
      <c r="Q247" s="13"/>
      <c r="R247" s="14"/>
    </row>
    <row r="248" spans="1:18" ht="15" customHeight="1">
      <c r="A248" s="15" t="s">
        <v>38</v>
      </c>
      <c r="B248" s="15" t="s">
        <v>39</v>
      </c>
      <c r="C248" s="16">
        <v>0.22916666666666671</v>
      </c>
      <c r="D248" s="15" t="s">
        <v>46</v>
      </c>
      <c r="E248" s="15" t="s">
        <v>141</v>
      </c>
      <c r="F248" s="15" t="s">
        <v>47</v>
      </c>
      <c r="G248" s="298"/>
      <c r="H248" s="10"/>
      <c r="I248" s="11"/>
      <c r="J248" s="11"/>
      <c r="K248" s="11"/>
      <c r="L248" s="11"/>
      <c r="M248" s="11"/>
      <c r="N248" s="11"/>
      <c r="O248" s="12"/>
      <c r="P248" s="11"/>
      <c r="Q248" s="13"/>
      <c r="R248" s="14"/>
    </row>
    <row r="249" spans="1:18" ht="15" customHeight="1">
      <c r="A249" s="58" t="s">
        <v>61</v>
      </c>
      <c r="B249" s="58" t="s">
        <v>62</v>
      </c>
      <c r="C249" s="59">
        <v>0.74305555555555547</v>
      </c>
      <c r="D249" s="58" t="s">
        <v>63</v>
      </c>
      <c r="E249" s="58" t="s">
        <v>51</v>
      </c>
      <c r="F249" s="58" t="s">
        <v>64</v>
      </c>
      <c r="G249" s="298"/>
      <c r="H249" s="60" t="s">
        <v>65</v>
      </c>
      <c r="I249" s="61">
        <v>0.27779999999999999</v>
      </c>
      <c r="J249" s="62">
        <v>50</v>
      </c>
      <c r="K249" s="63">
        <v>46339</v>
      </c>
      <c r="L249" s="62">
        <v>1</v>
      </c>
      <c r="M249" s="62">
        <v>0</v>
      </c>
      <c r="N249" s="62">
        <v>0</v>
      </c>
      <c r="O249" s="64" t="s">
        <v>67</v>
      </c>
      <c r="P249" s="65">
        <v>0.74305555555555547</v>
      </c>
      <c r="Q249" s="62">
        <v>180</v>
      </c>
      <c r="R249" s="66" t="s">
        <v>142</v>
      </c>
    </row>
    <row r="250" spans="1:18" ht="15" customHeight="1">
      <c r="A250" s="19" t="s">
        <v>48</v>
      </c>
      <c r="B250" s="19" t="s">
        <v>56</v>
      </c>
      <c r="C250" s="20">
        <v>0.89583333333333337</v>
      </c>
      <c r="D250" s="19" t="s">
        <v>50</v>
      </c>
      <c r="E250" s="19" t="s">
        <v>51</v>
      </c>
      <c r="F250" s="19" t="s">
        <v>109</v>
      </c>
      <c r="G250" s="298"/>
      <c r="H250" s="10"/>
      <c r="I250" s="11"/>
      <c r="J250" s="11"/>
      <c r="K250" s="11"/>
      <c r="L250" s="11"/>
      <c r="M250" s="11"/>
      <c r="N250" s="11"/>
      <c r="O250" s="12"/>
      <c r="P250" s="11"/>
      <c r="Q250" s="13"/>
      <c r="R250" s="14"/>
    </row>
    <row r="251" spans="1:18" ht="15" customHeight="1">
      <c r="A251" s="15" t="s">
        <v>48</v>
      </c>
      <c r="B251" s="15" t="s">
        <v>56</v>
      </c>
      <c r="C251" s="16">
        <v>0.89583333333333337</v>
      </c>
      <c r="D251" s="15" t="s">
        <v>53</v>
      </c>
      <c r="E251" s="15" t="s">
        <v>54</v>
      </c>
      <c r="F251" s="15" t="s">
        <v>110</v>
      </c>
      <c r="G251" s="298"/>
      <c r="H251" s="10"/>
      <c r="I251" s="11"/>
      <c r="J251" s="11"/>
      <c r="K251" s="11"/>
      <c r="L251" s="11"/>
      <c r="M251" s="11"/>
      <c r="N251" s="11"/>
      <c r="O251" s="12"/>
      <c r="P251" s="11"/>
      <c r="Q251" s="13"/>
      <c r="R251" s="14"/>
    </row>
    <row r="252" spans="1:18" ht="15" customHeight="1">
      <c r="A252" s="17" t="s">
        <v>48</v>
      </c>
      <c r="B252" s="17" t="s">
        <v>58</v>
      </c>
      <c r="C252" s="18">
        <v>0.18402777777777779</v>
      </c>
      <c r="D252" s="17" t="s">
        <v>50</v>
      </c>
      <c r="E252" s="17" t="s">
        <v>57</v>
      </c>
      <c r="F252" s="17" t="s">
        <v>109</v>
      </c>
      <c r="G252" s="298"/>
      <c r="H252" s="10"/>
      <c r="I252" s="11"/>
      <c r="J252" s="11"/>
      <c r="K252" s="11"/>
      <c r="L252" s="11"/>
      <c r="M252" s="11"/>
      <c r="N252" s="11"/>
      <c r="O252" s="12"/>
      <c r="P252" s="11"/>
      <c r="Q252" s="13"/>
      <c r="R252" s="14"/>
    </row>
    <row r="253" spans="1:18" ht="15" customHeight="1">
      <c r="A253" s="15" t="s">
        <v>48</v>
      </c>
      <c r="B253" s="15" t="s">
        <v>58</v>
      </c>
      <c r="C253" s="16">
        <v>0.18402777777777779</v>
      </c>
      <c r="D253" s="15" t="s">
        <v>53</v>
      </c>
      <c r="E253" s="15" t="s">
        <v>54</v>
      </c>
      <c r="F253" s="15" t="s">
        <v>110</v>
      </c>
      <c r="G253" s="298"/>
      <c r="H253" s="10"/>
      <c r="I253" s="11"/>
      <c r="J253" s="11"/>
      <c r="K253" s="11"/>
      <c r="L253" s="11"/>
      <c r="M253" s="11"/>
      <c r="N253" s="11"/>
      <c r="O253" s="12"/>
      <c r="P253" s="11"/>
      <c r="Q253" s="13"/>
      <c r="R253" s="14"/>
    </row>
    <row r="254" spans="1:18" ht="15" customHeight="1">
      <c r="A254" s="17" t="s">
        <v>48</v>
      </c>
      <c r="B254" s="17" t="s">
        <v>49</v>
      </c>
      <c r="C254" s="18">
        <v>0.35069444444444442</v>
      </c>
      <c r="D254" s="17" t="s">
        <v>50</v>
      </c>
      <c r="E254" s="17" t="s">
        <v>57</v>
      </c>
      <c r="F254" s="17" t="s">
        <v>116</v>
      </c>
      <c r="G254" s="298"/>
      <c r="H254" s="10"/>
      <c r="I254" s="11"/>
      <c r="J254" s="11"/>
      <c r="K254" s="11"/>
      <c r="L254" s="11"/>
      <c r="M254" s="11"/>
      <c r="N254" s="11"/>
      <c r="O254" s="12"/>
      <c r="P254" s="11"/>
      <c r="Q254" s="13"/>
      <c r="R254" s="14"/>
    </row>
    <row r="255" spans="1:18" ht="15" customHeight="1">
      <c r="A255" s="15" t="s">
        <v>48</v>
      </c>
      <c r="B255" s="15" t="s">
        <v>49</v>
      </c>
      <c r="C255" s="16">
        <v>0.35069444444444442</v>
      </c>
      <c r="D255" s="15" t="s">
        <v>53</v>
      </c>
      <c r="E255" s="15" t="s">
        <v>54</v>
      </c>
      <c r="F255" s="15" t="s">
        <v>117</v>
      </c>
      <c r="G255" s="298"/>
      <c r="H255" s="10"/>
      <c r="I255" s="11"/>
      <c r="J255" s="11"/>
      <c r="K255" s="11"/>
      <c r="L255" s="11"/>
      <c r="M255" s="11"/>
      <c r="N255" s="11"/>
      <c r="O255" s="12"/>
      <c r="P255" s="11"/>
      <c r="Q255" s="13"/>
      <c r="R255" s="14"/>
    </row>
    <row r="256" spans="1:18" ht="15" customHeight="1">
      <c r="A256" s="17" t="s">
        <v>48</v>
      </c>
      <c r="B256" s="17" t="s">
        <v>59</v>
      </c>
      <c r="C256" s="18">
        <v>0.22916666666666671</v>
      </c>
      <c r="D256" s="17" t="s">
        <v>53</v>
      </c>
      <c r="E256" s="17" t="s">
        <v>37</v>
      </c>
      <c r="F256" s="17" t="s">
        <v>93</v>
      </c>
      <c r="G256" s="298"/>
      <c r="H256" s="10"/>
      <c r="I256" s="11"/>
      <c r="J256" s="11"/>
      <c r="K256" s="11"/>
      <c r="L256" s="11"/>
      <c r="M256" s="11"/>
      <c r="N256" s="11"/>
      <c r="O256" s="12"/>
      <c r="P256" s="11"/>
      <c r="Q256" s="13"/>
      <c r="R256" s="14"/>
    </row>
    <row r="257" spans="1:18" ht="15" customHeight="1">
      <c r="A257" s="19" t="s">
        <v>68</v>
      </c>
      <c r="B257" s="19" t="s">
        <v>74</v>
      </c>
      <c r="C257" s="20">
        <v>0.33680555555555558</v>
      </c>
      <c r="D257" s="19" t="s">
        <v>70</v>
      </c>
      <c r="E257" s="19" t="s">
        <v>51</v>
      </c>
      <c r="F257" s="19" t="s">
        <v>71</v>
      </c>
      <c r="G257" s="298"/>
      <c r="H257" s="10"/>
      <c r="I257" s="11"/>
      <c r="J257" s="11"/>
      <c r="K257" s="11"/>
      <c r="L257" s="11"/>
      <c r="M257" s="11"/>
      <c r="N257" s="11"/>
      <c r="O257" s="12"/>
      <c r="P257" s="11"/>
      <c r="Q257" s="13"/>
      <c r="R257" s="14"/>
    </row>
    <row r="258" spans="1:18" ht="15" customHeight="1">
      <c r="A258" s="17" t="s">
        <v>68</v>
      </c>
      <c r="B258" s="17" t="s">
        <v>69</v>
      </c>
      <c r="C258" s="18">
        <v>0.94097222222222221</v>
      </c>
      <c r="D258" s="17" t="s">
        <v>70</v>
      </c>
      <c r="E258" s="17" t="s">
        <v>57</v>
      </c>
      <c r="F258" s="17" t="s">
        <v>71</v>
      </c>
      <c r="G258" s="298"/>
      <c r="H258" s="10"/>
      <c r="I258" s="11"/>
      <c r="J258" s="11"/>
      <c r="K258" s="11"/>
      <c r="L258" s="11"/>
      <c r="M258" s="11"/>
      <c r="N258" s="11"/>
      <c r="O258" s="12"/>
      <c r="P258" s="11"/>
      <c r="Q258" s="13"/>
      <c r="R258" s="14"/>
    </row>
    <row r="259" spans="1:18" ht="15" customHeight="1">
      <c r="A259" s="17" t="s">
        <v>68</v>
      </c>
      <c r="B259" s="17" t="s">
        <v>76</v>
      </c>
      <c r="C259" s="18">
        <v>0.69791666666666663</v>
      </c>
      <c r="D259" s="17" t="s">
        <v>70</v>
      </c>
      <c r="E259" s="17" t="s">
        <v>57</v>
      </c>
      <c r="F259" s="17" t="s">
        <v>71</v>
      </c>
      <c r="G259" s="298"/>
      <c r="H259" s="10"/>
      <c r="I259" s="11"/>
      <c r="J259" s="11"/>
      <c r="K259" s="11"/>
      <c r="L259" s="11"/>
      <c r="M259" s="11"/>
      <c r="N259" s="11"/>
      <c r="O259" s="12"/>
      <c r="P259" s="11"/>
      <c r="Q259" s="13"/>
      <c r="R259" s="14"/>
    </row>
    <row r="260" spans="1:18" ht="15" customHeight="1">
      <c r="A260" s="17" t="s">
        <v>68</v>
      </c>
      <c r="B260" s="17" t="s">
        <v>72</v>
      </c>
      <c r="C260" s="18">
        <v>6.5972222222222224E-2</v>
      </c>
      <c r="D260" s="17" t="s">
        <v>70</v>
      </c>
      <c r="E260" s="17" t="s">
        <v>57</v>
      </c>
      <c r="F260" s="17" t="s">
        <v>71</v>
      </c>
      <c r="G260" s="298"/>
      <c r="H260" s="10"/>
      <c r="I260" s="11"/>
      <c r="J260" s="11"/>
      <c r="K260" s="11"/>
      <c r="L260" s="11"/>
      <c r="M260" s="11"/>
      <c r="N260" s="11"/>
      <c r="O260" s="12"/>
      <c r="P260" s="11"/>
      <c r="Q260" s="13"/>
      <c r="R260" s="14"/>
    </row>
    <row r="261" spans="1:18" ht="15" customHeight="1">
      <c r="A261" s="17" t="s">
        <v>68</v>
      </c>
      <c r="B261" s="17" t="s">
        <v>73</v>
      </c>
      <c r="C261" s="18">
        <v>0.28819444444444448</v>
      </c>
      <c r="D261" s="17" t="s">
        <v>70</v>
      </c>
      <c r="E261" s="17" t="s">
        <v>57</v>
      </c>
      <c r="F261" s="17" t="s">
        <v>75</v>
      </c>
      <c r="G261" s="298"/>
      <c r="H261" s="10"/>
      <c r="I261" s="11"/>
      <c r="J261" s="11"/>
      <c r="K261" s="11"/>
      <c r="L261" s="11"/>
      <c r="M261" s="11"/>
      <c r="N261" s="11"/>
      <c r="O261" s="12"/>
      <c r="P261" s="11"/>
      <c r="Q261" s="13"/>
      <c r="R261" s="14"/>
    </row>
    <row r="262" spans="1:18" ht="15" customHeight="1">
      <c r="A262" s="19" t="s">
        <v>26</v>
      </c>
      <c r="B262" s="19" t="s">
        <v>27</v>
      </c>
      <c r="C262" s="20">
        <v>0.60763888888888895</v>
      </c>
      <c r="D262" s="19" t="s">
        <v>34</v>
      </c>
      <c r="E262" s="19" t="s">
        <v>143</v>
      </c>
      <c r="F262" s="19" t="s">
        <v>144</v>
      </c>
      <c r="G262" s="298"/>
      <c r="H262" s="10"/>
      <c r="I262" s="11"/>
      <c r="J262" s="11"/>
      <c r="K262" s="11"/>
      <c r="L262" s="11"/>
      <c r="M262" s="11"/>
      <c r="N262" s="11"/>
      <c r="O262" s="12"/>
      <c r="P262" s="11"/>
      <c r="Q262" s="13"/>
      <c r="R262" s="14"/>
    </row>
    <row r="263" spans="1:18" ht="15" customHeight="1">
      <c r="A263" s="15" t="s">
        <v>26</v>
      </c>
      <c r="B263" s="15" t="s">
        <v>27</v>
      </c>
      <c r="C263" s="16">
        <v>0.60763888888888895</v>
      </c>
      <c r="D263" s="15" t="s">
        <v>28</v>
      </c>
      <c r="E263" s="15" t="s">
        <v>92</v>
      </c>
      <c r="F263" s="15" t="s">
        <v>145</v>
      </c>
      <c r="G263" s="298"/>
      <c r="H263" s="10"/>
      <c r="I263" s="11"/>
      <c r="J263" s="11"/>
      <c r="K263" s="11"/>
      <c r="L263" s="11"/>
      <c r="M263" s="11"/>
      <c r="N263" s="11"/>
      <c r="O263" s="12"/>
      <c r="P263" s="11"/>
      <c r="Q263" s="13"/>
      <c r="R263" s="14"/>
    </row>
    <row r="264" spans="1:18" ht="15" customHeight="1" thickBot="1">
      <c r="A264" s="76" t="s">
        <v>26</v>
      </c>
      <c r="B264" s="76" t="s">
        <v>27</v>
      </c>
      <c r="C264" s="77">
        <v>0.60763888888888895</v>
      </c>
      <c r="D264" s="76" t="s">
        <v>31</v>
      </c>
      <c r="E264" s="76" t="s">
        <v>92</v>
      </c>
      <c r="F264" s="76" t="s">
        <v>146</v>
      </c>
      <c r="G264" s="299"/>
      <c r="H264" s="300"/>
      <c r="I264" s="140"/>
      <c r="J264" s="140"/>
      <c r="K264" s="140"/>
      <c r="L264" s="140"/>
      <c r="M264" s="140"/>
      <c r="N264" s="140"/>
      <c r="O264" s="141"/>
      <c r="P264" s="140"/>
      <c r="Q264" s="142"/>
      <c r="R264" s="301"/>
    </row>
    <row r="265" spans="1:18" ht="17.45" customHeight="1" thickBot="1">
      <c r="A265" s="283"/>
      <c r="B265" s="284"/>
      <c r="C265" s="284"/>
      <c r="D265" s="284"/>
      <c r="E265" s="284"/>
      <c r="F265" s="284"/>
      <c r="G265" s="284"/>
      <c r="H265" s="284"/>
      <c r="I265" s="284"/>
      <c r="J265" s="284"/>
      <c r="K265" s="284"/>
      <c r="L265" s="284"/>
      <c r="M265" s="284"/>
      <c r="N265" s="284"/>
      <c r="O265" s="284"/>
      <c r="P265" s="284"/>
      <c r="Q265" s="284"/>
      <c r="R265" s="285"/>
    </row>
    <row r="266" spans="1:18" ht="22.15" customHeight="1" thickTop="1" thickBot="1">
      <c r="A266" s="279" t="s">
        <v>6</v>
      </c>
      <c r="B266" s="295"/>
      <c r="C266" s="295"/>
      <c r="D266" s="295"/>
      <c r="E266" s="295"/>
      <c r="F266" s="296"/>
      <c r="G266" s="32">
        <v>46034</v>
      </c>
      <c r="H266" s="278" t="s">
        <v>7</v>
      </c>
      <c r="I266" s="295"/>
      <c r="J266" s="295"/>
      <c r="K266" s="295"/>
      <c r="L266" s="295"/>
      <c r="M266" s="295"/>
      <c r="N266" s="295"/>
      <c r="O266" s="295"/>
      <c r="P266" s="295"/>
      <c r="Q266" s="295"/>
      <c r="R266" s="296"/>
    </row>
    <row r="267" spans="1:18" ht="24" customHeight="1">
      <c r="A267" s="33" t="s">
        <v>8</v>
      </c>
      <c r="B267" s="33" t="s">
        <v>9</v>
      </c>
      <c r="C267" s="34" t="s">
        <v>10</v>
      </c>
      <c r="D267" s="33" t="s">
        <v>11</v>
      </c>
      <c r="E267" s="33" t="s">
        <v>12</v>
      </c>
      <c r="F267" s="35" t="s">
        <v>13</v>
      </c>
      <c r="G267" s="36" t="s">
        <v>14</v>
      </c>
      <c r="H267" s="33" t="s">
        <v>15</v>
      </c>
      <c r="I267" s="37" t="s">
        <v>16</v>
      </c>
      <c r="J267" s="38" t="s">
        <v>17</v>
      </c>
      <c r="K267" s="39" t="s">
        <v>18</v>
      </c>
      <c r="L267" s="38" t="s">
        <v>19</v>
      </c>
      <c r="M267" s="38" t="s">
        <v>20</v>
      </c>
      <c r="N267" s="38" t="s">
        <v>21</v>
      </c>
      <c r="O267" s="33" t="s">
        <v>22</v>
      </c>
      <c r="P267" s="34" t="s">
        <v>23</v>
      </c>
      <c r="Q267" s="38" t="s">
        <v>24</v>
      </c>
      <c r="R267" s="33" t="s">
        <v>25</v>
      </c>
    </row>
    <row r="268" spans="1:18" ht="15" customHeight="1">
      <c r="A268" s="8" t="s">
        <v>38</v>
      </c>
      <c r="B268" s="8" t="s">
        <v>39</v>
      </c>
      <c r="C268" s="9">
        <v>0.22916666666666671</v>
      </c>
      <c r="D268" s="8" t="s">
        <v>40</v>
      </c>
      <c r="E268" s="8" t="s">
        <v>147</v>
      </c>
      <c r="F268" s="8" t="s">
        <v>78</v>
      </c>
      <c r="G268" s="297"/>
      <c r="H268" s="10"/>
      <c r="I268" s="11"/>
      <c r="J268" s="11"/>
      <c r="K268" s="11"/>
      <c r="L268" s="11"/>
      <c r="M268" s="11"/>
      <c r="N268" s="11"/>
      <c r="O268" s="12"/>
      <c r="P268" s="11"/>
      <c r="Q268" s="13"/>
      <c r="R268" s="14"/>
    </row>
    <row r="269" spans="1:18" ht="15" customHeight="1">
      <c r="A269" s="15" t="s">
        <v>38</v>
      </c>
      <c r="B269" s="15" t="s">
        <v>39</v>
      </c>
      <c r="C269" s="16">
        <v>0.22916666666666671</v>
      </c>
      <c r="D269" s="15" t="s">
        <v>43</v>
      </c>
      <c r="E269" s="15" t="s">
        <v>148</v>
      </c>
      <c r="F269" s="15" t="s">
        <v>79</v>
      </c>
      <c r="G269" s="298"/>
      <c r="H269" s="10"/>
      <c r="I269" s="11"/>
      <c r="J269" s="11"/>
      <c r="K269" s="11"/>
      <c r="L269" s="11"/>
      <c r="M269" s="11"/>
      <c r="N269" s="11"/>
      <c r="O269" s="12"/>
      <c r="P269" s="11"/>
      <c r="Q269" s="13"/>
      <c r="R269" s="14"/>
    </row>
    <row r="270" spans="1:18" ht="15" customHeight="1">
      <c r="A270" s="15" t="s">
        <v>38</v>
      </c>
      <c r="B270" s="15" t="s">
        <v>39</v>
      </c>
      <c r="C270" s="16">
        <v>0.22916666666666671</v>
      </c>
      <c r="D270" s="15" t="s">
        <v>46</v>
      </c>
      <c r="E270" s="15" t="s">
        <v>148</v>
      </c>
      <c r="F270" s="15" t="s">
        <v>47</v>
      </c>
      <c r="G270" s="298"/>
      <c r="H270" s="10"/>
      <c r="I270" s="11"/>
      <c r="J270" s="11"/>
      <c r="K270" s="11"/>
      <c r="L270" s="11"/>
      <c r="M270" s="11"/>
      <c r="N270" s="11"/>
      <c r="O270" s="12"/>
      <c r="P270" s="11"/>
      <c r="Q270" s="13"/>
      <c r="R270" s="14"/>
    </row>
    <row r="271" spans="1:18" ht="15" customHeight="1">
      <c r="A271" s="17" t="s">
        <v>38</v>
      </c>
      <c r="B271" s="17" t="s">
        <v>87</v>
      </c>
      <c r="C271" s="18">
        <v>6.25E-2</v>
      </c>
      <c r="D271" s="17" t="s">
        <v>40</v>
      </c>
      <c r="E271" s="17" t="s">
        <v>125</v>
      </c>
      <c r="F271" s="17" t="s">
        <v>78</v>
      </c>
      <c r="G271" s="298"/>
      <c r="H271" s="10"/>
      <c r="I271" s="11"/>
      <c r="J271" s="11"/>
      <c r="K271" s="11"/>
      <c r="L271" s="11"/>
      <c r="M271" s="11"/>
      <c r="N271" s="11"/>
      <c r="O271" s="12"/>
      <c r="P271" s="11"/>
      <c r="Q271" s="13"/>
      <c r="R271" s="14"/>
    </row>
    <row r="272" spans="1:18" ht="15" customHeight="1">
      <c r="A272" s="15" t="s">
        <v>38</v>
      </c>
      <c r="B272" s="15" t="s">
        <v>87</v>
      </c>
      <c r="C272" s="16">
        <v>6.25E-2</v>
      </c>
      <c r="D272" s="15" t="s">
        <v>43</v>
      </c>
      <c r="E272" s="15" t="s">
        <v>44</v>
      </c>
      <c r="F272" s="15" t="s">
        <v>79</v>
      </c>
      <c r="G272" s="298"/>
      <c r="H272" s="10"/>
      <c r="I272" s="11"/>
      <c r="J272" s="11"/>
      <c r="K272" s="11"/>
      <c r="L272" s="11"/>
      <c r="M272" s="11"/>
      <c r="N272" s="11"/>
      <c r="O272" s="12"/>
      <c r="P272" s="11"/>
      <c r="Q272" s="13"/>
      <c r="R272" s="14"/>
    </row>
    <row r="273" spans="1:18" ht="15" customHeight="1">
      <c r="A273" s="15" t="s">
        <v>38</v>
      </c>
      <c r="B273" s="15" t="s">
        <v>87</v>
      </c>
      <c r="C273" s="16">
        <v>6.25E-2</v>
      </c>
      <c r="D273" s="15" t="s">
        <v>46</v>
      </c>
      <c r="E273" s="15" t="s">
        <v>44</v>
      </c>
      <c r="F273" s="15" t="s">
        <v>47</v>
      </c>
      <c r="G273" s="298"/>
      <c r="H273" s="10"/>
      <c r="I273" s="11"/>
      <c r="J273" s="11"/>
      <c r="K273" s="11"/>
      <c r="L273" s="11"/>
      <c r="M273" s="11"/>
      <c r="N273" s="11"/>
      <c r="O273" s="12"/>
      <c r="P273" s="11"/>
      <c r="Q273" s="13"/>
      <c r="R273" s="14"/>
    </row>
    <row r="274" spans="1:18" ht="15" customHeight="1">
      <c r="A274" s="19" t="s">
        <v>26</v>
      </c>
      <c r="B274" s="19" t="s">
        <v>27</v>
      </c>
      <c r="C274" s="20">
        <v>0.60763888888888895</v>
      </c>
      <c r="D274" s="19" t="s">
        <v>28</v>
      </c>
      <c r="E274" s="19" t="s">
        <v>80</v>
      </c>
      <c r="F274" s="19" t="s">
        <v>149</v>
      </c>
      <c r="G274" s="298"/>
      <c r="H274" s="10"/>
      <c r="I274" s="11"/>
      <c r="J274" s="11"/>
      <c r="K274" s="11"/>
      <c r="L274" s="11"/>
      <c r="M274" s="11"/>
      <c r="N274" s="11"/>
      <c r="O274" s="12"/>
      <c r="P274" s="11"/>
      <c r="Q274" s="13"/>
      <c r="R274" s="14"/>
    </row>
    <row r="275" spans="1:18" ht="15" customHeight="1">
      <c r="A275" s="15" t="s">
        <v>26</v>
      </c>
      <c r="B275" s="15" t="s">
        <v>27</v>
      </c>
      <c r="C275" s="16">
        <v>0.60763888888888895</v>
      </c>
      <c r="D275" s="15" t="s">
        <v>31</v>
      </c>
      <c r="E275" s="15" t="s">
        <v>82</v>
      </c>
      <c r="F275" s="15" t="s">
        <v>133</v>
      </c>
      <c r="G275" s="298"/>
      <c r="H275" s="10"/>
      <c r="I275" s="11"/>
      <c r="J275" s="11"/>
      <c r="K275" s="11"/>
      <c r="L275" s="11"/>
      <c r="M275" s="11"/>
      <c r="N275" s="11"/>
      <c r="O275" s="12"/>
      <c r="P275" s="11"/>
      <c r="Q275" s="13"/>
      <c r="R275" s="14"/>
    </row>
    <row r="276" spans="1:18" ht="15" customHeight="1">
      <c r="A276" s="15" t="s">
        <v>26</v>
      </c>
      <c r="B276" s="15" t="s">
        <v>27</v>
      </c>
      <c r="C276" s="16">
        <v>0.60763888888888895</v>
      </c>
      <c r="D276" s="15" t="s">
        <v>34</v>
      </c>
      <c r="E276" s="15" t="s">
        <v>82</v>
      </c>
      <c r="F276" s="15" t="s">
        <v>150</v>
      </c>
      <c r="G276" s="298"/>
      <c r="H276" s="10"/>
      <c r="I276" s="11"/>
      <c r="J276" s="11"/>
      <c r="K276" s="11"/>
      <c r="L276" s="11"/>
      <c r="M276" s="11"/>
      <c r="N276" s="11"/>
      <c r="O276" s="12"/>
      <c r="P276" s="11"/>
      <c r="Q276" s="13"/>
      <c r="R276" s="14"/>
    </row>
    <row r="277" spans="1:18" ht="15" customHeight="1">
      <c r="A277" s="17" t="s">
        <v>26</v>
      </c>
      <c r="B277" s="17" t="s">
        <v>36</v>
      </c>
      <c r="C277" s="18">
        <v>0.43402777777777768</v>
      </c>
      <c r="D277" s="17" t="s">
        <v>28</v>
      </c>
      <c r="E277" s="17" t="s">
        <v>90</v>
      </c>
      <c r="F277" s="17" t="s">
        <v>104</v>
      </c>
      <c r="G277" s="298"/>
      <c r="H277" s="10"/>
      <c r="I277" s="11"/>
      <c r="J277" s="11"/>
      <c r="K277" s="11"/>
      <c r="L277" s="11"/>
      <c r="M277" s="11"/>
      <c r="N277" s="11"/>
      <c r="O277" s="12"/>
      <c r="P277" s="11"/>
      <c r="Q277" s="13"/>
      <c r="R277" s="14"/>
    </row>
    <row r="278" spans="1:18" ht="15" customHeight="1">
      <c r="A278" s="15" t="s">
        <v>26</v>
      </c>
      <c r="B278" s="15" t="s">
        <v>36</v>
      </c>
      <c r="C278" s="16">
        <v>0.43402777777777768</v>
      </c>
      <c r="D278" s="15" t="s">
        <v>31</v>
      </c>
      <c r="E278" s="15" t="s">
        <v>82</v>
      </c>
      <c r="F278" s="15" t="s">
        <v>105</v>
      </c>
      <c r="G278" s="298"/>
      <c r="H278" s="10"/>
      <c r="I278" s="11"/>
      <c r="J278" s="11"/>
      <c r="K278" s="11"/>
      <c r="L278" s="11"/>
      <c r="M278" s="11"/>
      <c r="N278" s="11"/>
      <c r="O278" s="12"/>
      <c r="P278" s="11"/>
      <c r="Q278" s="13"/>
      <c r="R278" s="14"/>
    </row>
    <row r="279" spans="1:18" ht="15" customHeight="1">
      <c r="A279" s="15" t="s">
        <v>26</v>
      </c>
      <c r="B279" s="15" t="s">
        <v>36</v>
      </c>
      <c r="C279" s="16">
        <v>0.43402777777777768</v>
      </c>
      <c r="D279" s="15" t="s">
        <v>34</v>
      </c>
      <c r="E279" s="15" t="s">
        <v>82</v>
      </c>
      <c r="F279" s="15" t="s">
        <v>106</v>
      </c>
      <c r="G279" s="298"/>
      <c r="H279" s="10"/>
      <c r="I279" s="11"/>
      <c r="J279" s="11"/>
      <c r="K279" s="11"/>
      <c r="L279" s="11"/>
      <c r="M279" s="11"/>
      <c r="N279" s="11"/>
      <c r="O279" s="12"/>
      <c r="P279" s="11"/>
      <c r="Q279" s="13"/>
      <c r="R279" s="14"/>
    </row>
    <row r="280" spans="1:18" ht="15" customHeight="1">
      <c r="A280" s="21" t="s">
        <v>61</v>
      </c>
      <c r="B280" s="21" t="s">
        <v>111</v>
      </c>
      <c r="C280" s="22">
        <v>0.86805555555555547</v>
      </c>
      <c r="D280" s="21" t="s">
        <v>63</v>
      </c>
      <c r="E280" s="21" t="s">
        <v>51</v>
      </c>
      <c r="F280" s="21" t="s">
        <v>64</v>
      </c>
      <c r="G280" s="298"/>
      <c r="H280" s="23" t="s">
        <v>112</v>
      </c>
      <c r="I280" s="24">
        <v>0</v>
      </c>
      <c r="J280" s="25">
        <v>0</v>
      </c>
      <c r="K280" s="26" t="s">
        <v>66</v>
      </c>
      <c r="L280" s="25">
        <v>0</v>
      </c>
      <c r="M280" s="25">
        <v>0</v>
      </c>
      <c r="N280" s="25">
        <v>0</v>
      </c>
      <c r="O280" s="27" t="s">
        <v>67</v>
      </c>
      <c r="P280" s="28">
        <v>0.86805555555555547</v>
      </c>
      <c r="Q280" s="25">
        <v>180</v>
      </c>
      <c r="R280" s="29" t="s">
        <v>66</v>
      </c>
    </row>
    <row r="281" spans="1:18" ht="15" customHeight="1">
      <c r="A281" s="19" t="s">
        <v>68</v>
      </c>
      <c r="B281" s="19" t="s">
        <v>74</v>
      </c>
      <c r="C281" s="20">
        <v>0.33680555555555558</v>
      </c>
      <c r="D281" s="19" t="s">
        <v>70</v>
      </c>
      <c r="E281" s="19" t="s">
        <v>51</v>
      </c>
      <c r="F281" s="19" t="s">
        <v>71</v>
      </c>
      <c r="G281" s="298"/>
      <c r="H281" s="10"/>
      <c r="I281" s="11"/>
      <c r="J281" s="11"/>
      <c r="K281" s="11"/>
      <c r="L281" s="11"/>
      <c r="M281" s="11"/>
      <c r="N281" s="11"/>
      <c r="O281" s="12"/>
      <c r="P281" s="11"/>
      <c r="Q281" s="13"/>
      <c r="R281" s="14"/>
    </row>
    <row r="282" spans="1:18" ht="15" customHeight="1">
      <c r="A282" s="17" t="s">
        <v>68</v>
      </c>
      <c r="B282" s="17" t="s">
        <v>69</v>
      </c>
      <c r="C282" s="18">
        <v>0.94097222222222221</v>
      </c>
      <c r="D282" s="17" t="s">
        <v>70</v>
      </c>
      <c r="E282" s="17" t="s">
        <v>57</v>
      </c>
      <c r="F282" s="17" t="s">
        <v>71</v>
      </c>
      <c r="G282" s="298"/>
      <c r="H282" s="10"/>
      <c r="I282" s="11"/>
      <c r="J282" s="11"/>
      <c r="K282" s="11"/>
      <c r="L282" s="11"/>
      <c r="M282" s="11"/>
      <c r="N282" s="11"/>
      <c r="O282" s="12"/>
      <c r="P282" s="11"/>
      <c r="Q282" s="13"/>
      <c r="R282" s="14"/>
    </row>
    <row r="283" spans="1:18" ht="15" customHeight="1">
      <c r="A283" s="17" t="s">
        <v>68</v>
      </c>
      <c r="B283" s="17" t="s">
        <v>72</v>
      </c>
      <c r="C283" s="18">
        <v>6.5972222222222224E-2</v>
      </c>
      <c r="D283" s="17" t="s">
        <v>70</v>
      </c>
      <c r="E283" s="17" t="s">
        <v>57</v>
      </c>
      <c r="F283" s="17" t="s">
        <v>71</v>
      </c>
      <c r="G283" s="298"/>
      <c r="H283" s="10"/>
      <c r="I283" s="11"/>
      <c r="J283" s="11"/>
      <c r="K283" s="11"/>
      <c r="L283" s="11"/>
      <c r="M283" s="11"/>
      <c r="N283" s="11"/>
      <c r="O283" s="12"/>
      <c r="P283" s="11"/>
      <c r="Q283" s="13"/>
      <c r="R283" s="14"/>
    </row>
    <row r="284" spans="1:18" ht="15" customHeight="1">
      <c r="A284" s="17" t="s">
        <v>68</v>
      </c>
      <c r="B284" s="17" t="s">
        <v>73</v>
      </c>
      <c r="C284" s="18">
        <v>0.28819444444444448</v>
      </c>
      <c r="D284" s="17" t="s">
        <v>70</v>
      </c>
      <c r="E284" s="17" t="s">
        <v>57</v>
      </c>
      <c r="F284" s="17" t="s">
        <v>71</v>
      </c>
      <c r="G284" s="298"/>
      <c r="H284" s="10"/>
      <c r="I284" s="11"/>
      <c r="J284" s="11"/>
      <c r="K284" s="11"/>
      <c r="L284" s="11"/>
      <c r="M284" s="11"/>
      <c r="N284" s="11"/>
      <c r="O284" s="12"/>
      <c r="P284" s="11"/>
      <c r="Q284" s="13"/>
      <c r="R284" s="14"/>
    </row>
    <row r="285" spans="1:18" ht="15" customHeight="1">
      <c r="A285" s="17" t="s">
        <v>68</v>
      </c>
      <c r="B285" s="17" t="s">
        <v>76</v>
      </c>
      <c r="C285" s="18">
        <v>0.69791666666666663</v>
      </c>
      <c r="D285" s="17" t="s">
        <v>70</v>
      </c>
      <c r="E285" s="17" t="s">
        <v>57</v>
      </c>
      <c r="F285" s="17" t="s">
        <v>129</v>
      </c>
      <c r="G285" s="298"/>
      <c r="H285" s="10"/>
      <c r="I285" s="11"/>
      <c r="J285" s="11"/>
      <c r="K285" s="11"/>
      <c r="L285" s="11"/>
      <c r="M285" s="11"/>
      <c r="N285" s="11"/>
      <c r="O285" s="12"/>
      <c r="P285" s="11"/>
      <c r="Q285" s="13"/>
      <c r="R285" s="14"/>
    </row>
    <row r="286" spans="1:18" ht="15" customHeight="1">
      <c r="A286" s="19" t="s">
        <v>48</v>
      </c>
      <c r="B286" s="19" t="s">
        <v>56</v>
      </c>
      <c r="C286" s="20">
        <v>0.89583333333333337</v>
      </c>
      <c r="D286" s="19" t="s">
        <v>50</v>
      </c>
      <c r="E286" s="19" t="s">
        <v>51</v>
      </c>
      <c r="F286" s="19" t="s">
        <v>116</v>
      </c>
      <c r="G286" s="298"/>
      <c r="H286" s="10"/>
      <c r="I286" s="11"/>
      <c r="J286" s="11"/>
      <c r="K286" s="11"/>
      <c r="L286" s="11"/>
      <c r="M286" s="11"/>
      <c r="N286" s="11"/>
      <c r="O286" s="12"/>
      <c r="P286" s="11"/>
      <c r="Q286" s="13"/>
      <c r="R286" s="14"/>
    </row>
    <row r="287" spans="1:18" ht="15" customHeight="1">
      <c r="A287" s="15" t="s">
        <v>48</v>
      </c>
      <c r="B287" s="15" t="s">
        <v>56</v>
      </c>
      <c r="C287" s="16">
        <v>0.89583333333333337</v>
      </c>
      <c r="D287" s="15" t="s">
        <v>53</v>
      </c>
      <c r="E287" s="15" t="s">
        <v>54</v>
      </c>
      <c r="F287" s="15" t="s">
        <v>117</v>
      </c>
      <c r="G287" s="298"/>
      <c r="H287" s="10"/>
      <c r="I287" s="11"/>
      <c r="J287" s="11"/>
      <c r="K287" s="11"/>
      <c r="L287" s="11"/>
      <c r="M287" s="11"/>
      <c r="N287" s="11"/>
      <c r="O287" s="12"/>
      <c r="P287" s="11"/>
      <c r="Q287" s="13"/>
      <c r="R287" s="14"/>
    </row>
    <row r="288" spans="1:18" ht="15" customHeight="1">
      <c r="A288" s="17" t="s">
        <v>48</v>
      </c>
      <c r="B288" s="17" t="s">
        <v>58</v>
      </c>
      <c r="C288" s="18">
        <v>0.18402777777777779</v>
      </c>
      <c r="D288" s="17" t="s">
        <v>50</v>
      </c>
      <c r="E288" s="17" t="s">
        <v>57</v>
      </c>
      <c r="F288" s="17" t="s">
        <v>116</v>
      </c>
      <c r="G288" s="298"/>
      <c r="H288" s="10"/>
      <c r="I288" s="11"/>
      <c r="J288" s="11"/>
      <c r="K288" s="11"/>
      <c r="L288" s="11"/>
      <c r="M288" s="11"/>
      <c r="N288" s="11"/>
      <c r="O288" s="12"/>
      <c r="P288" s="11"/>
      <c r="Q288" s="13"/>
      <c r="R288" s="14"/>
    </row>
    <row r="289" spans="1:18" ht="15" customHeight="1">
      <c r="A289" s="15" t="s">
        <v>48</v>
      </c>
      <c r="B289" s="15" t="s">
        <v>58</v>
      </c>
      <c r="C289" s="16">
        <v>0.18402777777777779</v>
      </c>
      <c r="D289" s="15" t="s">
        <v>53</v>
      </c>
      <c r="E289" s="15" t="s">
        <v>54</v>
      </c>
      <c r="F289" s="15" t="s">
        <v>117</v>
      </c>
      <c r="G289" s="298"/>
      <c r="H289" s="10"/>
      <c r="I289" s="11"/>
      <c r="J289" s="11"/>
      <c r="K289" s="11"/>
      <c r="L289" s="11"/>
      <c r="M289" s="11"/>
      <c r="N289" s="11"/>
      <c r="O289" s="12"/>
      <c r="P289" s="11"/>
      <c r="Q289" s="13"/>
      <c r="R289" s="14"/>
    </row>
    <row r="290" spans="1:18" ht="15" customHeight="1">
      <c r="A290" s="17" t="s">
        <v>48</v>
      </c>
      <c r="B290" s="17" t="s">
        <v>59</v>
      </c>
      <c r="C290" s="18">
        <v>0.22916666666666671</v>
      </c>
      <c r="D290" s="17" t="s">
        <v>53</v>
      </c>
      <c r="E290" s="17" t="s">
        <v>37</v>
      </c>
      <c r="F290" s="17" t="s">
        <v>93</v>
      </c>
      <c r="G290" s="298"/>
      <c r="H290" s="10"/>
      <c r="I290" s="11"/>
      <c r="J290" s="11"/>
      <c r="K290" s="11"/>
      <c r="L290" s="11"/>
      <c r="M290" s="11"/>
      <c r="N290" s="11"/>
      <c r="O290" s="12"/>
      <c r="P290" s="11"/>
      <c r="Q290" s="13"/>
      <c r="R290" s="14"/>
    </row>
    <row r="291" spans="1:18" ht="15" customHeight="1" thickBot="1">
      <c r="A291" s="30" t="s">
        <v>48</v>
      </c>
      <c r="B291" s="30" t="s">
        <v>49</v>
      </c>
      <c r="C291" s="31">
        <v>0.35069444444444442</v>
      </c>
      <c r="D291" s="30" t="s">
        <v>53</v>
      </c>
      <c r="E291" s="30" t="s">
        <v>57</v>
      </c>
      <c r="F291" s="30" t="s">
        <v>60</v>
      </c>
      <c r="G291" s="299"/>
      <c r="H291" s="300"/>
      <c r="I291" s="140"/>
      <c r="J291" s="140"/>
      <c r="K291" s="140"/>
      <c r="L291" s="140"/>
      <c r="M291" s="140"/>
      <c r="N291" s="140"/>
      <c r="O291" s="141"/>
      <c r="P291" s="140"/>
      <c r="Q291" s="142"/>
      <c r="R291" s="301"/>
    </row>
    <row r="292" spans="1:18" ht="17.45" customHeight="1" thickBot="1">
      <c r="A292" s="283"/>
      <c r="B292" s="284"/>
      <c r="C292" s="284"/>
      <c r="D292" s="284"/>
      <c r="E292" s="284"/>
      <c r="F292" s="284"/>
      <c r="G292" s="284"/>
      <c r="H292" s="284"/>
      <c r="I292" s="284"/>
      <c r="J292" s="284"/>
      <c r="K292" s="284"/>
      <c r="L292" s="284"/>
      <c r="M292" s="284"/>
      <c r="N292" s="284"/>
      <c r="O292" s="284"/>
      <c r="P292" s="284"/>
      <c r="Q292" s="284"/>
      <c r="R292" s="285"/>
    </row>
    <row r="293" spans="1:18" ht="22.15" customHeight="1" thickTop="1" thickBot="1">
      <c r="A293" s="279" t="s">
        <v>6</v>
      </c>
      <c r="B293" s="295"/>
      <c r="C293" s="295"/>
      <c r="D293" s="295"/>
      <c r="E293" s="295"/>
      <c r="F293" s="296"/>
      <c r="G293" s="32">
        <v>46035</v>
      </c>
      <c r="H293" s="278" t="s">
        <v>7</v>
      </c>
      <c r="I293" s="295"/>
      <c r="J293" s="295"/>
      <c r="K293" s="295"/>
      <c r="L293" s="295"/>
      <c r="M293" s="295"/>
      <c r="N293" s="295"/>
      <c r="O293" s="295"/>
      <c r="P293" s="295"/>
      <c r="Q293" s="295"/>
      <c r="R293" s="296"/>
    </row>
    <row r="294" spans="1:18" ht="24" customHeight="1">
      <c r="A294" s="33" t="s">
        <v>8</v>
      </c>
      <c r="B294" s="33" t="s">
        <v>9</v>
      </c>
      <c r="C294" s="34" t="s">
        <v>10</v>
      </c>
      <c r="D294" s="33" t="s">
        <v>11</v>
      </c>
      <c r="E294" s="33" t="s">
        <v>12</v>
      </c>
      <c r="F294" s="35" t="s">
        <v>13</v>
      </c>
      <c r="G294" s="36" t="s">
        <v>14</v>
      </c>
      <c r="H294" s="33" t="s">
        <v>15</v>
      </c>
      <c r="I294" s="37" t="s">
        <v>16</v>
      </c>
      <c r="J294" s="38" t="s">
        <v>17</v>
      </c>
      <c r="K294" s="39" t="s">
        <v>18</v>
      </c>
      <c r="L294" s="38" t="s">
        <v>19</v>
      </c>
      <c r="M294" s="38" t="s">
        <v>20</v>
      </c>
      <c r="N294" s="38" t="s">
        <v>21</v>
      </c>
      <c r="O294" s="33" t="s">
        <v>22</v>
      </c>
      <c r="P294" s="34" t="s">
        <v>23</v>
      </c>
      <c r="Q294" s="38" t="s">
        <v>24</v>
      </c>
      <c r="R294" s="33" t="s">
        <v>25</v>
      </c>
    </row>
    <row r="295" spans="1:18" ht="15" customHeight="1">
      <c r="A295" s="8" t="s">
        <v>38</v>
      </c>
      <c r="B295" s="8" t="s">
        <v>87</v>
      </c>
      <c r="C295" s="9">
        <v>6.25E-2</v>
      </c>
      <c r="D295" s="8" t="s">
        <v>40</v>
      </c>
      <c r="E295" s="8" t="s">
        <v>151</v>
      </c>
      <c r="F295" s="8" t="s">
        <v>78</v>
      </c>
      <c r="G295" s="297"/>
      <c r="H295" s="10"/>
      <c r="I295" s="11"/>
      <c r="J295" s="11"/>
      <c r="K295" s="11"/>
      <c r="L295" s="11"/>
      <c r="M295" s="11"/>
      <c r="N295" s="11"/>
      <c r="O295" s="12"/>
      <c r="P295" s="11"/>
      <c r="Q295" s="13"/>
      <c r="R295" s="14"/>
    </row>
    <row r="296" spans="1:18" ht="15" customHeight="1">
      <c r="A296" s="15" t="s">
        <v>38</v>
      </c>
      <c r="B296" s="15" t="s">
        <v>87</v>
      </c>
      <c r="C296" s="16">
        <v>6.25E-2</v>
      </c>
      <c r="D296" s="15" t="s">
        <v>43</v>
      </c>
      <c r="E296" s="15" t="s">
        <v>152</v>
      </c>
      <c r="F296" s="15" t="s">
        <v>79</v>
      </c>
      <c r="G296" s="298"/>
      <c r="H296" s="10"/>
      <c r="I296" s="11"/>
      <c r="J296" s="11"/>
      <c r="K296" s="11"/>
      <c r="L296" s="11"/>
      <c r="M296" s="11"/>
      <c r="N296" s="11"/>
      <c r="O296" s="12"/>
      <c r="P296" s="11"/>
      <c r="Q296" s="13"/>
      <c r="R296" s="14"/>
    </row>
    <row r="297" spans="1:18" ht="15" customHeight="1">
      <c r="A297" s="15" t="s">
        <v>38</v>
      </c>
      <c r="B297" s="15" t="s">
        <v>87</v>
      </c>
      <c r="C297" s="16">
        <v>6.25E-2</v>
      </c>
      <c r="D297" s="15" t="s">
        <v>46</v>
      </c>
      <c r="E297" s="15" t="s">
        <v>152</v>
      </c>
      <c r="F297" s="15" t="s">
        <v>47</v>
      </c>
      <c r="G297" s="298"/>
      <c r="H297" s="10"/>
      <c r="I297" s="11"/>
      <c r="J297" s="11"/>
      <c r="K297" s="11"/>
      <c r="L297" s="11"/>
      <c r="M297" s="11"/>
      <c r="N297" s="11"/>
      <c r="O297" s="12"/>
      <c r="P297" s="11"/>
      <c r="Q297" s="13"/>
      <c r="R297" s="14"/>
    </row>
    <row r="298" spans="1:18" ht="15" customHeight="1">
      <c r="A298" s="17" t="s">
        <v>38</v>
      </c>
      <c r="B298" s="17" t="s">
        <v>39</v>
      </c>
      <c r="C298" s="18">
        <v>0.22916666666666671</v>
      </c>
      <c r="D298" s="17" t="s">
        <v>40</v>
      </c>
      <c r="E298" s="17" t="s">
        <v>91</v>
      </c>
      <c r="F298" s="17" t="s">
        <v>131</v>
      </c>
      <c r="G298" s="298"/>
      <c r="H298" s="10"/>
      <c r="I298" s="11"/>
      <c r="J298" s="11"/>
      <c r="K298" s="11"/>
      <c r="L298" s="11"/>
      <c r="M298" s="11"/>
      <c r="N298" s="11"/>
      <c r="O298" s="12"/>
      <c r="P298" s="11"/>
      <c r="Q298" s="13"/>
      <c r="R298" s="14"/>
    </row>
    <row r="299" spans="1:18" ht="15" customHeight="1">
      <c r="A299" s="15" t="s">
        <v>38</v>
      </c>
      <c r="B299" s="15" t="s">
        <v>39</v>
      </c>
      <c r="C299" s="16">
        <v>0.22916666666666671</v>
      </c>
      <c r="D299" s="15" t="s">
        <v>43</v>
      </c>
      <c r="E299" s="15" t="s">
        <v>92</v>
      </c>
      <c r="F299" s="15" t="s">
        <v>133</v>
      </c>
      <c r="G299" s="298"/>
      <c r="H299" s="10"/>
      <c r="I299" s="11"/>
      <c r="J299" s="11"/>
      <c r="K299" s="11"/>
      <c r="L299" s="11"/>
      <c r="M299" s="11"/>
      <c r="N299" s="11"/>
      <c r="O299" s="12"/>
      <c r="P299" s="11"/>
      <c r="Q299" s="13"/>
      <c r="R299" s="14"/>
    </row>
    <row r="300" spans="1:18" ht="15" customHeight="1">
      <c r="A300" s="15" t="s">
        <v>38</v>
      </c>
      <c r="B300" s="15" t="s">
        <v>39</v>
      </c>
      <c r="C300" s="16">
        <v>0.22916666666666671</v>
      </c>
      <c r="D300" s="15" t="s">
        <v>46</v>
      </c>
      <c r="E300" s="15" t="s">
        <v>92</v>
      </c>
      <c r="F300" s="15" t="s">
        <v>47</v>
      </c>
      <c r="G300" s="298"/>
      <c r="H300" s="10"/>
      <c r="I300" s="11"/>
      <c r="J300" s="11"/>
      <c r="K300" s="11"/>
      <c r="L300" s="11"/>
      <c r="M300" s="11"/>
      <c r="N300" s="11"/>
      <c r="O300" s="12"/>
      <c r="P300" s="11"/>
      <c r="Q300" s="13"/>
      <c r="R300" s="14"/>
    </row>
    <row r="301" spans="1:18" ht="15" customHeight="1">
      <c r="A301" s="19" t="s">
        <v>26</v>
      </c>
      <c r="B301" s="19" t="s">
        <v>27</v>
      </c>
      <c r="C301" s="20">
        <v>0.60763888888888895</v>
      </c>
      <c r="D301" s="19" t="s">
        <v>28</v>
      </c>
      <c r="E301" s="19" t="s">
        <v>80</v>
      </c>
      <c r="F301" s="19" t="s">
        <v>149</v>
      </c>
      <c r="G301" s="298"/>
      <c r="H301" s="10"/>
      <c r="I301" s="11"/>
      <c r="J301" s="11"/>
      <c r="K301" s="11"/>
      <c r="L301" s="11"/>
      <c r="M301" s="11"/>
      <c r="N301" s="11"/>
      <c r="O301" s="12"/>
      <c r="P301" s="11"/>
      <c r="Q301" s="13"/>
      <c r="R301" s="14"/>
    </row>
    <row r="302" spans="1:18" ht="15" customHeight="1">
      <c r="A302" s="15" t="s">
        <v>26</v>
      </c>
      <c r="B302" s="15" t="s">
        <v>27</v>
      </c>
      <c r="C302" s="16">
        <v>0.60763888888888895</v>
      </c>
      <c r="D302" s="15" t="s">
        <v>31</v>
      </c>
      <c r="E302" s="15" t="s">
        <v>82</v>
      </c>
      <c r="F302" s="15" t="s">
        <v>133</v>
      </c>
      <c r="G302" s="298"/>
      <c r="H302" s="10"/>
      <c r="I302" s="11"/>
      <c r="J302" s="11"/>
      <c r="K302" s="11"/>
      <c r="L302" s="11"/>
      <c r="M302" s="11"/>
      <c r="N302" s="11"/>
      <c r="O302" s="12"/>
      <c r="P302" s="11"/>
      <c r="Q302" s="13"/>
      <c r="R302" s="14"/>
    </row>
    <row r="303" spans="1:18" ht="15" customHeight="1">
      <c r="A303" s="15" t="s">
        <v>26</v>
      </c>
      <c r="B303" s="15" t="s">
        <v>27</v>
      </c>
      <c r="C303" s="16">
        <v>0.60763888888888895</v>
      </c>
      <c r="D303" s="15" t="s">
        <v>34</v>
      </c>
      <c r="E303" s="15" t="s">
        <v>82</v>
      </c>
      <c r="F303" s="15" t="s">
        <v>150</v>
      </c>
      <c r="G303" s="298"/>
      <c r="H303" s="10"/>
      <c r="I303" s="11"/>
      <c r="J303" s="11"/>
      <c r="K303" s="11"/>
      <c r="L303" s="11"/>
      <c r="M303" s="11"/>
      <c r="N303" s="11"/>
      <c r="O303" s="12"/>
      <c r="P303" s="11"/>
      <c r="Q303" s="13"/>
      <c r="R303" s="14"/>
    </row>
    <row r="304" spans="1:18" ht="15" customHeight="1">
      <c r="A304" s="40" t="s">
        <v>61</v>
      </c>
      <c r="B304" s="40" t="s">
        <v>62</v>
      </c>
      <c r="C304" s="41">
        <v>0.81944444444444453</v>
      </c>
      <c r="D304" s="40" t="s">
        <v>63</v>
      </c>
      <c r="E304" s="40" t="s">
        <v>100</v>
      </c>
      <c r="F304" s="40" t="s">
        <v>64</v>
      </c>
      <c r="G304" s="298"/>
      <c r="H304" s="42" t="s">
        <v>65</v>
      </c>
      <c r="I304" s="43">
        <v>0.28889999999999999</v>
      </c>
      <c r="J304" s="44">
        <v>52</v>
      </c>
      <c r="K304" s="45">
        <v>46342</v>
      </c>
      <c r="L304" s="44">
        <v>4</v>
      </c>
      <c r="M304" s="44">
        <v>0</v>
      </c>
      <c r="N304" s="44">
        <v>0</v>
      </c>
      <c r="O304" s="46" t="s">
        <v>101</v>
      </c>
      <c r="P304" s="47">
        <v>0.81944444444444453</v>
      </c>
      <c r="Q304" s="44">
        <v>180</v>
      </c>
      <c r="R304" s="48" t="s">
        <v>153</v>
      </c>
    </row>
    <row r="305" spans="1:18" ht="15" customHeight="1">
      <c r="A305" s="19" t="s">
        <v>48</v>
      </c>
      <c r="B305" s="19" t="s">
        <v>58</v>
      </c>
      <c r="C305" s="20">
        <v>0.18402777777777779</v>
      </c>
      <c r="D305" s="19" t="s">
        <v>50</v>
      </c>
      <c r="E305" s="19" t="s">
        <v>51</v>
      </c>
      <c r="F305" s="19" t="s">
        <v>109</v>
      </c>
      <c r="G305" s="298"/>
      <c r="H305" s="10"/>
      <c r="I305" s="11"/>
      <c r="J305" s="11"/>
      <c r="K305" s="11"/>
      <c r="L305" s="11"/>
      <c r="M305" s="11"/>
      <c r="N305" s="11"/>
      <c r="O305" s="12"/>
      <c r="P305" s="11"/>
      <c r="Q305" s="13"/>
      <c r="R305" s="14"/>
    </row>
    <row r="306" spans="1:18" ht="15" customHeight="1">
      <c r="A306" s="15" t="s">
        <v>48</v>
      </c>
      <c r="B306" s="15" t="s">
        <v>58</v>
      </c>
      <c r="C306" s="16">
        <v>0.18402777777777779</v>
      </c>
      <c r="D306" s="15" t="s">
        <v>53</v>
      </c>
      <c r="E306" s="15" t="s">
        <v>54</v>
      </c>
      <c r="F306" s="15" t="s">
        <v>110</v>
      </c>
      <c r="G306" s="298"/>
      <c r="H306" s="10"/>
      <c r="I306" s="11"/>
      <c r="J306" s="11"/>
      <c r="K306" s="11"/>
      <c r="L306" s="11"/>
      <c r="M306" s="11"/>
      <c r="N306" s="11"/>
      <c r="O306" s="12"/>
      <c r="P306" s="11"/>
      <c r="Q306" s="13"/>
      <c r="R306" s="14"/>
    </row>
    <row r="307" spans="1:18" ht="15" customHeight="1">
      <c r="A307" s="17" t="s">
        <v>48</v>
      </c>
      <c r="B307" s="17" t="s">
        <v>56</v>
      </c>
      <c r="C307" s="18">
        <v>0.89583333333333337</v>
      </c>
      <c r="D307" s="17" t="s">
        <v>50</v>
      </c>
      <c r="E307" s="17" t="s">
        <v>57</v>
      </c>
      <c r="F307" s="17" t="s">
        <v>116</v>
      </c>
      <c r="G307" s="298"/>
      <c r="H307" s="10"/>
      <c r="I307" s="11"/>
      <c r="J307" s="11"/>
      <c r="K307" s="11"/>
      <c r="L307" s="11"/>
      <c r="M307" s="11"/>
      <c r="N307" s="11"/>
      <c r="O307" s="12"/>
      <c r="P307" s="11"/>
      <c r="Q307" s="13"/>
      <c r="R307" s="14"/>
    </row>
    <row r="308" spans="1:18" ht="15" customHeight="1">
      <c r="A308" s="15" t="s">
        <v>48</v>
      </c>
      <c r="B308" s="15" t="s">
        <v>56</v>
      </c>
      <c r="C308" s="16">
        <v>0.89583333333333337</v>
      </c>
      <c r="D308" s="15" t="s">
        <v>53</v>
      </c>
      <c r="E308" s="15" t="s">
        <v>54</v>
      </c>
      <c r="F308" s="15" t="s">
        <v>117</v>
      </c>
      <c r="G308" s="298"/>
      <c r="H308" s="10"/>
      <c r="I308" s="11"/>
      <c r="J308" s="11"/>
      <c r="K308" s="11"/>
      <c r="L308" s="11"/>
      <c r="M308" s="11"/>
      <c r="N308" s="11"/>
      <c r="O308" s="12"/>
      <c r="P308" s="11"/>
      <c r="Q308" s="13"/>
      <c r="R308" s="14"/>
    </row>
    <row r="309" spans="1:18" ht="15" customHeight="1">
      <c r="A309" s="17" t="s">
        <v>48</v>
      </c>
      <c r="B309" s="17" t="s">
        <v>49</v>
      </c>
      <c r="C309" s="18">
        <v>0.35069444444444442</v>
      </c>
      <c r="D309" s="17" t="s">
        <v>53</v>
      </c>
      <c r="E309" s="17" t="s">
        <v>57</v>
      </c>
      <c r="F309" s="17" t="s">
        <v>60</v>
      </c>
      <c r="G309" s="298"/>
      <c r="H309" s="10"/>
      <c r="I309" s="11"/>
      <c r="J309" s="11"/>
      <c r="K309" s="11"/>
      <c r="L309" s="11"/>
      <c r="M309" s="11"/>
      <c r="N309" s="11"/>
      <c r="O309" s="12"/>
      <c r="P309" s="11"/>
      <c r="Q309" s="13"/>
      <c r="R309" s="14"/>
    </row>
    <row r="310" spans="1:18" ht="15" customHeight="1">
      <c r="A310" s="17" t="s">
        <v>48</v>
      </c>
      <c r="B310" s="17" t="s">
        <v>59</v>
      </c>
      <c r="C310" s="18">
        <v>0.22916666666666671</v>
      </c>
      <c r="D310" s="17" t="s">
        <v>53</v>
      </c>
      <c r="E310" s="17" t="s">
        <v>37</v>
      </c>
      <c r="F310" s="17" t="s">
        <v>60</v>
      </c>
      <c r="G310" s="298"/>
      <c r="H310" s="10"/>
      <c r="I310" s="11"/>
      <c r="J310" s="11"/>
      <c r="K310" s="11"/>
      <c r="L310" s="11"/>
      <c r="M310" s="11"/>
      <c r="N310" s="11"/>
      <c r="O310" s="12"/>
      <c r="P310" s="11"/>
      <c r="Q310" s="13"/>
      <c r="R310" s="14"/>
    </row>
    <row r="311" spans="1:18" ht="15" customHeight="1">
      <c r="A311" s="19" t="s">
        <v>68</v>
      </c>
      <c r="B311" s="19" t="s">
        <v>74</v>
      </c>
      <c r="C311" s="20">
        <v>0.33680555555555558</v>
      </c>
      <c r="D311" s="19" t="s">
        <v>70</v>
      </c>
      <c r="E311" s="19" t="s">
        <v>51</v>
      </c>
      <c r="F311" s="19" t="s">
        <v>71</v>
      </c>
      <c r="G311" s="298"/>
      <c r="H311" s="10"/>
      <c r="I311" s="11"/>
      <c r="J311" s="11"/>
      <c r="K311" s="11"/>
      <c r="L311" s="11"/>
      <c r="M311" s="11"/>
      <c r="N311" s="11"/>
      <c r="O311" s="12"/>
      <c r="P311" s="11"/>
      <c r="Q311" s="13"/>
      <c r="R311" s="14"/>
    </row>
    <row r="312" spans="1:18" ht="15" customHeight="1">
      <c r="A312" s="17" t="s">
        <v>68</v>
      </c>
      <c r="B312" s="17" t="s">
        <v>69</v>
      </c>
      <c r="C312" s="18">
        <v>0.94097222222222221</v>
      </c>
      <c r="D312" s="17" t="s">
        <v>70</v>
      </c>
      <c r="E312" s="17" t="s">
        <v>57</v>
      </c>
      <c r="F312" s="17" t="s">
        <v>71</v>
      </c>
      <c r="G312" s="298"/>
      <c r="H312" s="10"/>
      <c r="I312" s="11"/>
      <c r="J312" s="11"/>
      <c r="K312" s="11"/>
      <c r="L312" s="11"/>
      <c r="M312" s="11"/>
      <c r="N312" s="11"/>
      <c r="O312" s="12"/>
      <c r="P312" s="11"/>
      <c r="Q312" s="13"/>
      <c r="R312" s="14"/>
    </row>
    <row r="313" spans="1:18" ht="15" customHeight="1">
      <c r="A313" s="17" t="s">
        <v>68</v>
      </c>
      <c r="B313" s="17" t="s">
        <v>76</v>
      </c>
      <c r="C313" s="18">
        <v>0.69791666666666663</v>
      </c>
      <c r="D313" s="17" t="s">
        <v>70</v>
      </c>
      <c r="E313" s="17" t="s">
        <v>57</v>
      </c>
      <c r="F313" s="17" t="s">
        <v>71</v>
      </c>
      <c r="G313" s="298"/>
      <c r="H313" s="10"/>
      <c r="I313" s="11"/>
      <c r="J313" s="11"/>
      <c r="K313" s="11"/>
      <c r="L313" s="11"/>
      <c r="M313" s="11"/>
      <c r="N313" s="11"/>
      <c r="O313" s="12"/>
      <c r="P313" s="11"/>
      <c r="Q313" s="13"/>
      <c r="R313" s="14"/>
    </row>
    <row r="314" spans="1:18" ht="15" customHeight="1">
      <c r="A314" s="17" t="s">
        <v>68</v>
      </c>
      <c r="B314" s="17" t="s">
        <v>72</v>
      </c>
      <c r="C314" s="18">
        <v>6.5972222222222224E-2</v>
      </c>
      <c r="D314" s="17" t="s">
        <v>70</v>
      </c>
      <c r="E314" s="17" t="s">
        <v>57</v>
      </c>
      <c r="F314" s="17" t="s">
        <v>71</v>
      </c>
      <c r="G314" s="298"/>
      <c r="H314" s="10"/>
      <c r="I314" s="11"/>
      <c r="J314" s="11"/>
      <c r="K314" s="11"/>
      <c r="L314" s="11"/>
      <c r="M314" s="11"/>
      <c r="N314" s="11"/>
      <c r="O314" s="12"/>
      <c r="P314" s="11"/>
      <c r="Q314" s="13"/>
      <c r="R314" s="14"/>
    </row>
    <row r="315" spans="1:18" ht="15" customHeight="1" thickBot="1">
      <c r="A315" s="30" t="s">
        <v>68</v>
      </c>
      <c r="B315" s="30" t="s">
        <v>73</v>
      </c>
      <c r="C315" s="31">
        <v>0.28819444444444448</v>
      </c>
      <c r="D315" s="30" t="s">
        <v>70</v>
      </c>
      <c r="E315" s="30" t="s">
        <v>57</v>
      </c>
      <c r="F315" s="30" t="s">
        <v>71</v>
      </c>
      <c r="G315" s="299"/>
      <c r="H315" s="300"/>
      <c r="I315" s="140"/>
      <c r="J315" s="140"/>
      <c r="K315" s="140"/>
      <c r="L315" s="140"/>
      <c r="M315" s="140"/>
      <c r="N315" s="140"/>
      <c r="O315" s="141"/>
      <c r="P315" s="140"/>
      <c r="Q315" s="142"/>
      <c r="R315" s="301"/>
    </row>
    <row r="316" spans="1:18" ht="17.45" customHeight="1" thickBot="1">
      <c r="A316" s="283"/>
      <c r="B316" s="284"/>
      <c r="C316" s="284"/>
      <c r="D316" s="284"/>
      <c r="E316" s="284"/>
      <c r="F316" s="284"/>
      <c r="G316" s="284"/>
      <c r="H316" s="284"/>
      <c r="I316" s="284"/>
      <c r="J316" s="284"/>
      <c r="K316" s="284"/>
      <c r="L316" s="284"/>
      <c r="M316" s="284"/>
      <c r="N316" s="284"/>
      <c r="O316" s="284"/>
      <c r="P316" s="284"/>
      <c r="Q316" s="284"/>
      <c r="R316" s="285"/>
    </row>
    <row r="317" spans="1:18" ht="22.15" customHeight="1" thickTop="1" thickBot="1">
      <c r="A317" s="279" t="s">
        <v>6</v>
      </c>
      <c r="B317" s="295"/>
      <c r="C317" s="295"/>
      <c r="D317" s="295"/>
      <c r="E317" s="295"/>
      <c r="F317" s="296"/>
      <c r="G317" s="32">
        <v>46036</v>
      </c>
      <c r="H317" s="278" t="s">
        <v>7</v>
      </c>
      <c r="I317" s="295"/>
      <c r="J317" s="295"/>
      <c r="K317" s="295"/>
      <c r="L317" s="295"/>
      <c r="M317" s="295"/>
      <c r="N317" s="295"/>
      <c r="O317" s="295"/>
      <c r="P317" s="295"/>
      <c r="Q317" s="295"/>
      <c r="R317" s="296"/>
    </row>
    <row r="318" spans="1:18" ht="24" customHeight="1">
      <c r="A318" s="33" t="s">
        <v>8</v>
      </c>
      <c r="B318" s="33" t="s">
        <v>9</v>
      </c>
      <c r="C318" s="34" t="s">
        <v>10</v>
      </c>
      <c r="D318" s="33" t="s">
        <v>11</v>
      </c>
      <c r="E318" s="33" t="s">
        <v>12</v>
      </c>
      <c r="F318" s="35" t="s">
        <v>13</v>
      </c>
      <c r="G318" s="36" t="s">
        <v>14</v>
      </c>
      <c r="H318" s="33" t="s">
        <v>15</v>
      </c>
      <c r="I318" s="37" t="s">
        <v>16</v>
      </c>
      <c r="J318" s="38" t="s">
        <v>17</v>
      </c>
      <c r="K318" s="39" t="s">
        <v>18</v>
      </c>
      <c r="L318" s="38" t="s">
        <v>19</v>
      </c>
      <c r="M318" s="38" t="s">
        <v>20</v>
      </c>
      <c r="N318" s="38" t="s">
        <v>21</v>
      </c>
      <c r="O318" s="33" t="s">
        <v>22</v>
      </c>
      <c r="P318" s="34" t="s">
        <v>23</v>
      </c>
      <c r="Q318" s="38" t="s">
        <v>24</v>
      </c>
      <c r="R318" s="33" t="s">
        <v>25</v>
      </c>
    </row>
    <row r="319" spans="1:18" ht="15" customHeight="1">
      <c r="A319" s="8" t="s">
        <v>38</v>
      </c>
      <c r="B319" s="8" t="s">
        <v>39</v>
      </c>
      <c r="C319" s="9">
        <v>0.22916666666666671</v>
      </c>
      <c r="D319" s="8" t="s">
        <v>40</v>
      </c>
      <c r="E319" s="8" t="s">
        <v>154</v>
      </c>
      <c r="F319" s="8" t="s">
        <v>131</v>
      </c>
      <c r="G319" s="297"/>
      <c r="H319" s="10"/>
      <c r="I319" s="11"/>
      <c r="J319" s="11"/>
      <c r="K319" s="11"/>
      <c r="L319" s="11"/>
      <c r="M319" s="11"/>
      <c r="N319" s="11"/>
      <c r="O319" s="12"/>
      <c r="P319" s="11"/>
      <c r="Q319" s="13"/>
      <c r="R319" s="14"/>
    </row>
    <row r="320" spans="1:18" ht="15" customHeight="1">
      <c r="A320" s="15" t="s">
        <v>38</v>
      </c>
      <c r="B320" s="15" t="s">
        <v>39</v>
      </c>
      <c r="C320" s="16">
        <v>0.22916666666666671</v>
      </c>
      <c r="D320" s="15" t="s">
        <v>43</v>
      </c>
      <c r="E320" s="15" t="s">
        <v>155</v>
      </c>
      <c r="F320" s="15" t="s">
        <v>133</v>
      </c>
      <c r="G320" s="298"/>
      <c r="H320" s="10"/>
      <c r="I320" s="11"/>
      <c r="J320" s="11"/>
      <c r="K320" s="11"/>
      <c r="L320" s="11"/>
      <c r="M320" s="11"/>
      <c r="N320" s="11"/>
      <c r="O320" s="12"/>
      <c r="P320" s="11"/>
      <c r="Q320" s="13"/>
      <c r="R320" s="14"/>
    </row>
    <row r="321" spans="1:18" ht="15" customHeight="1">
      <c r="A321" s="15" t="s">
        <v>38</v>
      </c>
      <c r="B321" s="15" t="s">
        <v>39</v>
      </c>
      <c r="C321" s="16">
        <v>0.22916666666666671</v>
      </c>
      <c r="D321" s="15" t="s">
        <v>46</v>
      </c>
      <c r="E321" s="15" t="s">
        <v>155</v>
      </c>
      <c r="F321" s="15" t="s">
        <v>47</v>
      </c>
      <c r="G321" s="298"/>
      <c r="H321" s="10"/>
      <c r="I321" s="11"/>
      <c r="J321" s="11"/>
      <c r="K321" s="11"/>
      <c r="L321" s="11"/>
      <c r="M321" s="11"/>
      <c r="N321" s="11"/>
      <c r="O321" s="12"/>
      <c r="P321" s="11"/>
      <c r="Q321" s="13"/>
      <c r="R321" s="14"/>
    </row>
    <row r="322" spans="1:18" ht="15" customHeight="1">
      <c r="A322" s="19" t="s">
        <v>26</v>
      </c>
      <c r="B322" s="19" t="s">
        <v>27</v>
      </c>
      <c r="C322" s="20">
        <v>0.60763888888888895</v>
      </c>
      <c r="D322" s="19" t="s">
        <v>28</v>
      </c>
      <c r="E322" s="19" t="s">
        <v>80</v>
      </c>
      <c r="F322" s="19" t="s">
        <v>149</v>
      </c>
      <c r="G322" s="298"/>
      <c r="H322" s="10"/>
      <c r="I322" s="11"/>
      <c r="J322" s="11"/>
      <c r="K322" s="11"/>
      <c r="L322" s="11"/>
      <c r="M322" s="11"/>
      <c r="N322" s="11"/>
      <c r="O322" s="12"/>
      <c r="P322" s="11"/>
      <c r="Q322" s="13"/>
      <c r="R322" s="14"/>
    </row>
    <row r="323" spans="1:18" ht="15" customHeight="1">
      <c r="A323" s="15" t="s">
        <v>26</v>
      </c>
      <c r="B323" s="15" t="s">
        <v>27</v>
      </c>
      <c r="C323" s="16">
        <v>0.60763888888888895</v>
      </c>
      <c r="D323" s="15" t="s">
        <v>31</v>
      </c>
      <c r="E323" s="15" t="s">
        <v>82</v>
      </c>
      <c r="F323" s="15" t="s">
        <v>133</v>
      </c>
      <c r="G323" s="298"/>
      <c r="H323" s="10"/>
      <c r="I323" s="11"/>
      <c r="J323" s="11"/>
      <c r="K323" s="11"/>
      <c r="L323" s="11"/>
      <c r="M323" s="11"/>
      <c r="N323" s="11"/>
      <c r="O323" s="12"/>
      <c r="P323" s="11"/>
      <c r="Q323" s="13"/>
      <c r="R323" s="14"/>
    </row>
    <row r="324" spans="1:18" ht="15" customHeight="1">
      <c r="A324" s="15" t="s">
        <v>26</v>
      </c>
      <c r="B324" s="15" t="s">
        <v>27</v>
      </c>
      <c r="C324" s="16">
        <v>0.60763888888888895</v>
      </c>
      <c r="D324" s="15" t="s">
        <v>34</v>
      </c>
      <c r="E324" s="15" t="s">
        <v>82</v>
      </c>
      <c r="F324" s="15" t="s">
        <v>150</v>
      </c>
      <c r="G324" s="298"/>
      <c r="H324" s="10"/>
      <c r="I324" s="11"/>
      <c r="J324" s="11"/>
      <c r="K324" s="11"/>
      <c r="L324" s="11"/>
      <c r="M324" s="11"/>
      <c r="N324" s="11"/>
      <c r="O324" s="12"/>
      <c r="P324" s="11"/>
      <c r="Q324" s="13"/>
      <c r="R324" s="14"/>
    </row>
    <row r="325" spans="1:18" ht="15" customHeight="1">
      <c r="A325" s="19" t="s">
        <v>48</v>
      </c>
      <c r="B325" s="19" t="s">
        <v>49</v>
      </c>
      <c r="C325" s="20">
        <v>0.35069444444444442</v>
      </c>
      <c r="D325" s="19" t="s">
        <v>50</v>
      </c>
      <c r="E325" s="19" t="s">
        <v>156</v>
      </c>
      <c r="F325" s="19" t="s">
        <v>96</v>
      </c>
      <c r="G325" s="298"/>
      <c r="H325" s="10"/>
      <c r="I325" s="11"/>
      <c r="J325" s="11"/>
      <c r="K325" s="11"/>
      <c r="L325" s="11"/>
      <c r="M325" s="11"/>
      <c r="N325" s="11"/>
      <c r="O325" s="12"/>
      <c r="P325" s="11"/>
      <c r="Q325" s="13"/>
      <c r="R325" s="14"/>
    </row>
    <row r="326" spans="1:18" ht="15" customHeight="1">
      <c r="A326" s="15" t="s">
        <v>48</v>
      </c>
      <c r="B326" s="15" t="s">
        <v>49</v>
      </c>
      <c r="C326" s="16">
        <v>0.35069444444444442</v>
      </c>
      <c r="D326" s="15" t="s">
        <v>53</v>
      </c>
      <c r="E326" s="15" t="s">
        <v>135</v>
      </c>
      <c r="F326" s="15" t="s">
        <v>97</v>
      </c>
      <c r="G326" s="298"/>
      <c r="H326" s="10"/>
      <c r="I326" s="11"/>
      <c r="J326" s="11"/>
      <c r="K326" s="11"/>
      <c r="L326" s="11"/>
      <c r="M326" s="11"/>
      <c r="N326" s="11"/>
      <c r="O326" s="12"/>
      <c r="P326" s="11"/>
      <c r="Q326" s="13"/>
      <c r="R326" s="14"/>
    </row>
    <row r="327" spans="1:18" ht="15" customHeight="1">
      <c r="A327" s="17" t="s">
        <v>48</v>
      </c>
      <c r="B327" s="17" t="s">
        <v>56</v>
      </c>
      <c r="C327" s="18">
        <v>0.89583333333333337</v>
      </c>
      <c r="D327" s="17" t="s">
        <v>50</v>
      </c>
      <c r="E327" s="17" t="s">
        <v>57</v>
      </c>
      <c r="F327" s="17" t="s">
        <v>116</v>
      </c>
      <c r="G327" s="298"/>
      <c r="H327" s="10"/>
      <c r="I327" s="11"/>
      <c r="J327" s="11"/>
      <c r="K327" s="11"/>
      <c r="L327" s="11"/>
      <c r="M327" s="11"/>
      <c r="N327" s="11"/>
      <c r="O327" s="12"/>
      <c r="P327" s="11"/>
      <c r="Q327" s="13"/>
      <c r="R327" s="14"/>
    </row>
    <row r="328" spans="1:18" ht="15" customHeight="1">
      <c r="A328" s="15" t="s">
        <v>48</v>
      </c>
      <c r="B328" s="15" t="s">
        <v>56</v>
      </c>
      <c r="C328" s="16">
        <v>0.89583333333333337</v>
      </c>
      <c r="D328" s="15" t="s">
        <v>53</v>
      </c>
      <c r="E328" s="15" t="s">
        <v>54</v>
      </c>
      <c r="F328" s="15" t="s">
        <v>117</v>
      </c>
      <c r="G328" s="298"/>
      <c r="H328" s="10"/>
      <c r="I328" s="11"/>
      <c r="J328" s="11"/>
      <c r="K328" s="11"/>
      <c r="L328" s="11"/>
      <c r="M328" s="11"/>
      <c r="N328" s="11"/>
      <c r="O328" s="12"/>
      <c r="P328" s="11"/>
      <c r="Q328" s="13"/>
      <c r="R328" s="14"/>
    </row>
    <row r="329" spans="1:18" ht="15" customHeight="1">
      <c r="A329" s="17" t="s">
        <v>48</v>
      </c>
      <c r="B329" s="17" t="s">
        <v>59</v>
      </c>
      <c r="C329" s="18">
        <v>0.22916666666666671</v>
      </c>
      <c r="D329" s="17" t="s">
        <v>53</v>
      </c>
      <c r="E329" s="17" t="s">
        <v>37</v>
      </c>
      <c r="F329" s="17" t="s">
        <v>85</v>
      </c>
      <c r="G329" s="298"/>
      <c r="H329" s="10"/>
      <c r="I329" s="11"/>
      <c r="J329" s="11"/>
      <c r="K329" s="11"/>
      <c r="L329" s="11"/>
      <c r="M329" s="11"/>
      <c r="N329" s="11"/>
      <c r="O329" s="12"/>
      <c r="P329" s="11"/>
      <c r="Q329" s="13"/>
      <c r="R329" s="14"/>
    </row>
    <row r="330" spans="1:18" ht="15" customHeight="1">
      <c r="A330" s="17" t="s">
        <v>48</v>
      </c>
      <c r="B330" s="17" t="s">
        <v>58</v>
      </c>
      <c r="C330" s="18">
        <v>0.18402777777777779</v>
      </c>
      <c r="D330" s="17" t="s">
        <v>53</v>
      </c>
      <c r="E330" s="17" t="s">
        <v>57</v>
      </c>
      <c r="F330" s="17" t="s">
        <v>60</v>
      </c>
      <c r="G330" s="298"/>
      <c r="H330" s="10"/>
      <c r="I330" s="11"/>
      <c r="J330" s="11"/>
      <c r="K330" s="11"/>
      <c r="L330" s="11"/>
      <c r="M330" s="11"/>
      <c r="N330" s="11"/>
      <c r="O330" s="12"/>
      <c r="P330" s="11"/>
      <c r="Q330" s="13"/>
      <c r="R330" s="14"/>
    </row>
    <row r="331" spans="1:18" ht="15" customHeight="1">
      <c r="A331" s="19" t="s">
        <v>68</v>
      </c>
      <c r="B331" s="19" t="s">
        <v>69</v>
      </c>
      <c r="C331" s="20">
        <v>0.94097222222222221</v>
      </c>
      <c r="D331" s="19" t="s">
        <v>70</v>
      </c>
      <c r="E331" s="19" t="s">
        <v>51</v>
      </c>
      <c r="F331" s="19" t="s">
        <v>71</v>
      </c>
      <c r="G331" s="298"/>
      <c r="H331" s="10"/>
      <c r="I331" s="11"/>
      <c r="J331" s="11"/>
      <c r="K331" s="11"/>
      <c r="L331" s="11"/>
      <c r="M331" s="11"/>
      <c r="N331" s="11"/>
      <c r="O331" s="12"/>
      <c r="P331" s="11"/>
      <c r="Q331" s="13"/>
      <c r="R331" s="14"/>
    </row>
    <row r="332" spans="1:18" ht="15" customHeight="1">
      <c r="A332" s="17" t="s">
        <v>68</v>
      </c>
      <c r="B332" s="17" t="s">
        <v>76</v>
      </c>
      <c r="C332" s="18">
        <v>0.69791666666666663</v>
      </c>
      <c r="D332" s="17" t="s">
        <v>70</v>
      </c>
      <c r="E332" s="17" t="s">
        <v>57</v>
      </c>
      <c r="F332" s="17" t="s">
        <v>71</v>
      </c>
      <c r="G332" s="298"/>
      <c r="H332" s="10"/>
      <c r="I332" s="11"/>
      <c r="J332" s="11"/>
      <c r="K332" s="11"/>
      <c r="L332" s="11"/>
      <c r="M332" s="11"/>
      <c r="N332" s="11"/>
      <c r="O332" s="12"/>
      <c r="P332" s="11"/>
      <c r="Q332" s="13"/>
      <c r="R332" s="14"/>
    </row>
    <row r="333" spans="1:18" ht="15" customHeight="1">
      <c r="A333" s="17" t="s">
        <v>68</v>
      </c>
      <c r="B333" s="17" t="s">
        <v>72</v>
      </c>
      <c r="C333" s="18">
        <v>6.5972222222222224E-2</v>
      </c>
      <c r="D333" s="17" t="s">
        <v>70</v>
      </c>
      <c r="E333" s="17" t="s">
        <v>57</v>
      </c>
      <c r="F333" s="17" t="s">
        <v>71</v>
      </c>
      <c r="G333" s="298"/>
      <c r="H333" s="10"/>
      <c r="I333" s="11"/>
      <c r="J333" s="11"/>
      <c r="K333" s="11"/>
      <c r="L333" s="11"/>
      <c r="M333" s="11"/>
      <c r="N333" s="11"/>
      <c r="O333" s="12"/>
      <c r="P333" s="11"/>
      <c r="Q333" s="13"/>
      <c r="R333" s="14"/>
    </row>
    <row r="334" spans="1:18" ht="15" customHeight="1">
      <c r="A334" s="17" t="s">
        <v>68</v>
      </c>
      <c r="B334" s="17" t="s">
        <v>73</v>
      </c>
      <c r="C334" s="18">
        <v>0.28819444444444448</v>
      </c>
      <c r="D334" s="17" t="s">
        <v>70</v>
      </c>
      <c r="E334" s="17" t="s">
        <v>57</v>
      </c>
      <c r="F334" s="17" t="s">
        <v>71</v>
      </c>
      <c r="G334" s="298"/>
      <c r="H334" s="10"/>
      <c r="I334" s="11"/>
      <c r="J334" s="11"/>
      <c r="K334" s="11"/>
      <c r="L334" s="11"/>
      <c r="M334" s="11"/>
      <c r="N334" s="11"/>
      <c r="O334" s="12"/>
      <c r="P334" s="11"/>
      <c r="Q334" s="13"/>
      <c r="R334" s="14"/>
    </row>
    <row r="335" spans="1:18" ht="15" customHeight="1" thickBot="1">
      <c r="A335" s="30" t="s">
        <v>68</v>
      </c>
      <c r="B335" s="30" t="s">
        <v>74</v>
      </c>
      <c r="C335" s="31">
        <v>0.33680555555555558</v>
      </c>
      <c r="D335" s="30" t="s">
        <v>70</v>
      </c>
      <c r="E335" s="30" t="s">
        <v>57</v>
      </c>
      <c r="F335" s="30" t="s">
        <v>157</v>
      </c>
      <c r="G335" s="299"/>
      <c r="H335" s="300"/>
      <c r="I335" s="140"/>
      <c r="J335" s="140"/>
      <c r="K335" s="140"/>
      <c r="L335" s="140"/>
      <c r="M335" s="140"/>
      <c r="N335" s="140"/>
      <c r="O335" s="141"/>
      <c r="P335" s="140"/>
      <c r="Q335" s="142"/>
      <c r="R335" s="301"/>
    </row>
    <row r="336" spans="1:18" ht="17.45" customHeight="1" thickBot="1">
      <c r="A336" s="283"/>
      <c r="B336" s="284"/>
      <c r="C336" s="284"/>
      <c r="D336" s="284"/>
      <c r="E336" s="284"/>
      <c r="F336" s="284"/>
      <c r="G336" s="284"/>
      <c r="H336" s="284"/>
      <c r="I336" s="284"/>
      <c r="J336" s="284"/>
      <c r="K336" s="284"/>
      <c r="L336" s="284"/>
      <c r="M336" s="284"/>
      <c r="N336" s="284"/>
      <c r="O336" s="284"/>
      <c r="P336" s="284"/>
      <c r="Q336" s="284"/>
      <c r="R336" s="285"/>
    </row>
    <row r="337" spans="1:18" ht="22.15" customHeight="1" thickTop="1" thickBot="1">
      <c r="A337" s="279" t="s">
        <v>6</v>
      </c>
      <c r="B337" s="295"/>
      <c r="C337" s="295"/>
      <c r="D337" s="295"/>
      <c r="E337" s="295"/>
      <c r="F337" s="296"/>
      <c r="G337" s="32">
        <v>46037</v>
      </c>
      <c r="H337" s="278" t="s">
        <v>7</v>
      </c>
      <c r="I337" s="295"/>
      <c r="J337" s="295"/>
      <c r="K337" s="295"/>
      <c r="L337" s="295"/>
      <c r="M337" s="295"/>
      <c r="N337" s="295"/>
      <c r="O337" s="295"/>
      <c r="P337" s="295"/>
      <c r="Q337" s="295"/>
      <c r="R337" s="296"/>
    </row>
    <row r="338" spans="1:18" ht="24" customHeight="1">
      <c r="A338" s="33" t="s">
        <v>8</v>
      </c>
      <c r="B338" s="33" t="s">
        <v>9</v>
      </c>
      <c r="C338" s="34" t="s">
        <v>10</v>
      </c>
      <c r="D338" s="33" t="s">
        <v>11</v>
      </c>
      <c r="E338" s="33" t="s">
        <v>12</v>
      </c>
      <c r="F338" s="35" t="s">
        <v>13</v>
      </c>
      <c r="G338" s="36" t="s">
        <v>14</v>
      </c>
      <c r="H338" s="33" t="s">
        <v>15</v>
      </c>
      <c r="I338" s="37" t="s">
        <v>16</v>
      </c>
      <c r="J338" s="38" t="s">
        <v>17</v>
      </c>
      <c r="K338" s="39" t="s">
        <v>18</v>
      </c>
      <c r="L338" s="38" t="s">
        <v>19</v>
      </c>
      <c r="M338" s="38" t="s">
        <v>20</v>
      </c>
      <c r="N338" s="38" t="s">
        <v>21</v>
      </c>
      <c r="O338" s="33" t="s">
        <v>22</v>
      </c>
      <c r="P338" s="34" t="s">
        <v>23</v>
      </c>
      <c r="Q338" s="38" t="s">
        <v>24</v>
      </c>
      <c r="R338" s="33" t="s">
        <v>25</v>
      </c>
    </row>
    <row r="339" spans="1:18" ht="15" customHeight="1">
      <c r="A339" s="8" t="s">
        <v>38</v>
      </c>
      <c r="B339" s="8" t="s">
        <v>39</v>
      </c>
      <c r="C339" s="9">
        <v>0.22916666666666671</v>
      </c>
      <c r="D339" s="8" t="s">
        <v>40</v>
      </c>
      <c r="E339" s="8" t="s">
        <v>143</v>
      </c>
      <c r="F339" s="8" t="s">
        <v>78</v>
      </c>
      <c r="G339" s="297"/>
      <c r="H339" s="10"/>
      <c r="I339" s="11"/>
      <c r="J339" s="11"/>
      <c r="K339" s="11"/>
      <c r="L339" s="11"/>
      <c r="M339" s="11"/>
      <c r="N339" s="11"/>
      <c r="O339" s="12"/>
      <c r="P339" s="11"/>
      <c r="Q339" s="13"/>
      <c r="R339" s="14"/>
    </row>
    <row r="340" spans="1:18" ht="15" customHeight="1">
      <c r="A340" s="15" t="s">
        <v>38</v>
      </c>
      <c r="B340" s="15" t="s">
        <v>39</v>
      </c>
      <c r="C340" s="16">
        <v>0.22916666666666671</v>
      </c>
      <c r="D340" s="15" t="s">
        <v>43</v>
      </c>
      <c r="E340" s="15" t="s">
        <v>92</v>
      </c>
      <c r="F340" s="15" t="s">
        <v>79</v>
      </c>
      <c r="G340" s="298"/>
      <c r="H340" s="10"/>
      <c r="I340" s="11"/>
      <c r="J340" s="11"/>
      <c r="K340" s="11"/>
      <c r="L340" s="11"/>
      <c r="M340" s="11"/>
      <c r="N340" s="11"/>
      <c r="O340" s="12"/>
      <c r="P340" s="11"/>
      <c r="Q340" s="13"/>
      <c r="R340" s="14"/>
    </row>
    <row r="341" spans="1:18" ht="15" customHeight="1">
      <c r="A341" s="15" t="s">
        <v>38</v>
      </c>
      <c r="B341" s="15" t="s">
        <v>39</v>
      </c>
      <c r="C341" s="16">
        <v>0.22916666666666671</v>
      </c>
      <c r="D341" s="15" t="s">
        <v>46</v>
      </c>
      <c r="E341" s="15" t="s">
        <v>92</v>
      </c>
      <c r="F341" s="15" t="s">
        <v>47</v>
      </c>
      <c r="G341" s="298"/>
      <c r="H341" s="10"/>
      <c r="I341" s="11"/>
      <c r="J341" s="11"/>
      <c r="K341" s="11"/>
      <c r="L341" s="11"/>
      <c r="M341" s="11"/>
      <c r="N341" s="11"/>
      <c r="O341" s="12"/>
      <c r="P341" s="11"/>
      <c r="Q341" s="13"/>
      <c r="R341" s="14"/>
    </row>
    <row r="342" spans="1:18" ht="15" customHeight="1">
      <c r="A342" s="17" t="s">
        <v>38</v>
      </c>
      <c r="B342" s="17" t="s">
        <v>87</v>
      </c>
      <c r="C342" s="18">
        <v>6.25E-2</v>
      </c>
      <c r="D342" s="17" t="s">
        <v>40</v>
      </c>
      <c r="E342" s="17" t="s">
        <v>125</v>
      </c>
      <c r="F342" s="17" t="s">
        <v>78</v>
      </c>
      <c r="G342" s="298"/>
      <c r="H342" s="10"/>
      <c r="I342" s="11"/>
      <c r="J342" s="11"/>
      <c r="K342" s="11"/>
      <c r="L342" s="11"/>
      <c r="M342" s="11"/>
      <c r="N342" s="11"/>
      <c r="O342" s="12"/>
      <c r="P342" s="11"/>
      <c r="Q342" s="13"/>
      <c r="R342" s="14"/>
    </row>
    <row r="343" spans="1:18" ht="15" customHeight="1">
      <c r="A343" s="15" t="s">
        <v>38</v>
      </c>
      <c r="B343" s="15" t="s">
        <v>87</v>
      </c>
      <c r="C343" s="16">
        <v>6.25E-2</v>
      </c>
      <c r="D343" s="15" t="s">
        <v>43</v>
      </c>
      <c r="E343" s="15" t="s">
        <v>44</v>
      </c>
      <c r="F343" s="15" t="s">
        <v>79</v>
      </c>
      <c r="G343" s="298"/>
      <c r="H343" s="10"/>
      <c r="I343" s="11"/>
      <c r="J343" s="11"/>
      <c r="K343" s="11"/>
      <c r="L343" s="11"/>
      <c r="M343" s="11"/>
      <c r="N343" s="11"/>
      <c r="O343" s="12"/>
      <c r="P343" s="11"/>
      <c r="Q343" s="13"/>
      <c r="R343" s="14"/>
    </row>
    <row r="344" spans="1:18" ht="15" customHeight="1">
      <c r="A344" s="15" t="s">
        <v>38</v>
      </c>
      <c r="B344" s="15" t="s">
        <v>87</v>
      </c>
      <c r="C344" s="16">
        <v>6.25E-2</v>
      </c>
      <c r="D344" s="15" t="s">
        <v>46</v>
      </c>
      <c r="E344" s="15" t="s">
        <v>44</v>
      </c>
      <c r="F344" s="15" t="s">
        <v>47</v>
      </c>
      <c r="G344" s="298"/>
      <c r="H344" s="10"/>
      <c r="I344" s="11"/>
      <c r="J344" s="11"/>
      <c r="K344" s="11"/>
      <c r="L344" s="11"/>
      <c r="M344" s="11"/>
      <c r="N344" s="11"/>
      <c r="O344" s="12"/>
      <c r="P344" s="11"/>
      <c r="Q344" s="13"/>
      <c r="R344" s="14"/>
    </row>
    <row r="345" spans="1:18" ht="15" customHeight="1">
      <c r="A345" s="19" t="s">
        <v>26</v>
      </c>
      <c r="B345" s="19" t="s">
        <v>27</v>
      </c>
      <c r="C345" s="20">
        <v>0.60763888888888895</v>
      </c>
      <c r="D345" s="19" t="s">
        <v>28</v>
      </c>
      <c r="E345" s="19" t="s">
        <v>80</v>
      </c>
      <c r="F345" s="19" t="s">
        <v>89</v>
      </c>
      <c r="G345" s="298"/>
      <c r="H345" s="10"/>
      <c r="I345" s="11"/>
      <c r="J345" s="11"/>
      <c r="K345" s="11"/>
      <c r="L345" s="11"/>
      <c r="M345" s="11"/>
      <c r="N345" s="11"/>
      <c r="O345" s="12"/>
      <c r="P345" s="11"/>
      <c r="Q345" s="13"/>
      <c r="R345" s="14"/>
    </row>
    <row r="346" spans="1:18" ht="15" customHeight="1">
      <c r="A346" s="15" t="s">
        <v>26</v>
      </c>
      <c r="B346" s="15" t="s">
        <v>27</v>
      </c>
      <c r="C346" s="16">
        <v>0.60763888888888895</v>
      </c>
      <c r="D346" s="15" t="s">
        <v>31</v>
      </c>
      <c r="E346" s="15" t="s">
        <v>82</v>
      </c>
      <c r="F346" s="15" t="s">
        <v>138</v>
      </c>
      <c r="G346" s="298"/>
      <c r="H346" s="10"/>
      <c r="I346" s="11"/>
      <c r="J346" s="11"/>
      <c r="K346" s="11"/>
      <c r="L346" s="11"/>
      <c r="M346" s="11"/>
      <c r="N346" s="11"/>
      <c r="O346" s="12"/>
      <c r="P346" s="11"/>
      <c r="Q346" s="13"/>
      <c r="R346" s="14"/>
    </row>
    <row r="347" spans="1:18" ht="15" customHeight="1">
      <c r="A347" s="15" t="s">
        <v>26</v>
      </c>
      <c r="B347" s="15" t="s">
        <v>27</v>
      </c>
      <c r="C347" s="16">
        <v>0.60763888888888895</v>
      </c>
      <c r="D347" s="15" t="s">
        <v>34</v>
      </c>
      <c r="E347" s="15" t="s">
        <v>82</v>
      </c>
      <c r="F347" s="15" t="s">
        <v>139</v>
      </c>
      <c r="G347" s="298"/>
      <c r="H347" s="10"/>
      <c r="I347" s="11"/>
      <c r="J347" s="11"/>
      <c r="K347" s="11"/>
      <c r="L347" s="11"/>
      <c r="M347" s="11"/>
      <c r="N347" s="11"/>
      <c r="O347" s="12"/>
      <c r="P347" s="11"/>
      <c r="Q347" s="13"/>
      <c r="R347" s="14"/>
    </row>
    <row r="348" spans="1:18" ht="15" customHeight="1">
      <c r="A348" s="17" t="s">
        <v>26</v>
      </c>
      <c r="B348" s="17" t="s">
        <v>36</v>
      </c>
      <c r="C348" s="18">
        <v>0.43402777777777768</v>
      </c>
      <c r="D348" s="17" t="s">
        <v>28</v>
      </c>
      <c r="E348" s="17" t="s">
        <v>90</v>
      </c>
      <c r="F348" s="17" t="s">
        <v>89</v>
      </c>
      <c r="G348" s="298"/>
      <c r="H348" s="10"/>
      <c r="I348" s="11"/>
      <c r="J348" s="11"/>
      <c r="K348" s="11"/>
      <c r="L348" s="11"/>
      <c r="M348" s="11"/>
      <c r="N348" s="11"/>
      <c r="O348" s="12"/>
      <c r="P348" s="11"/>
      <c r="Q348" s="13"/>
      <c r="R348" s="14"/>
    </row>
    <row r="349" spans="1:18" ht="15" customHeight="1">
      <c r="A349" s="15" t="s">
        <v>26</v>
      </c>
      <c r="B349" s="15" t="s">
        <v>36</v>
      </c>
      <c r="C349" s="16">
        <v>0.43402777777777768</v>
      </c>
      <c r="D349" s="15" t="s">
        <v>31</v>
      </c>
      <c r="E349" s="15" t="s">
        <v>82</v>
      </c>
      <c r="F349" s="15" t="s">
        <v>138</v>
      </c>
      <c r="G349" s="298"/>
      <c r="H349" s="10"/>
      <c r="I349" s="11"/>
      <c r="J349" s="11"/>
      <c r="K349" s="11"/>
      <c r="L349" s="11"/>
      <c r="M349" s="11"/>
      <c r="N349" s="11"/>
      <c r="O349" s="12"/>
      <c r="P349" s="11"/>
      <c r="Q349" s="13"/>
      <c r="R349" s="14"/>
    </row>
    <row r="350" spans="1:18" ht="15" customHeight="1">
      <c r="A350" s="15" t="s">
        <v>26</v>
      </c>
      <c r="B350" s="15" t="s">
        <v>36</v>
      </c>
      <c r="C350" s="16">
        <v>0.43402777777777768</v>
      </c>
      <c r="D350" s="15" t="s">
        <v>34</v>
      </c>
      <c r="E350" s="15" t="s">
        <v>82</v>
      </c>
      <c r="F350" s="15" t="s">
        <v>139</v>
      </c>
      <c r="G350" s="298"/>
      <c r="H350" s="10"/>
      <c r="I350" s="11"/>
      <c r="J350" s="11"/>
      <c r="K350" s="11"/>
      <c r="L350" s="11"/>
      <c r="M350" s="11"/>
      <c r="N350" s="11"/>
      <c r="O350" s="12"/>
      <c r="P350" s="11"/>
      <c r="Q350" s="13"/>
      <c r="R350" s="14"/>
    </row>
    <row r="351" spans="1:18" ht="15" customHeight="1">
      <c r="A351" s="58" t="s">
        <v>61</v>
      </c>
      <c r="B351" s="58" t="s">
        <v>62</v>
      </c>
      <c r="C351" s="59">
        <v>0.38194444444444442</v>
      </c>
      <c r="D351" s="58" t="s">
        <v>63</v>
      </c>
      <c r="E351" s="58" t="s">
        <v>51</v>
      </c>
      <c r="F351" s="58" t="s">
        <v>64</v>
      </c>
      <c r="G351" s="298"/>
      <c r="H351" s="60" t="s">
        <v>65</v>
      </c>
      <c r="I351" s="61">
        <v>2.7799999999999998E-2</v>
      </c>
      <c r="J351" s="62">
        <v>5</v>
      </c>
      <c r="K351" s="63">
        <v>46342</v>
      </c>
      <c r="L351" s="62">
        <v>5</v>
      </c>
      <c r="M351" s="62">
        <v>0</v>
      </c>
      <c r="N351" s="62">
        <v>0</v>
      </c>
      <c r="O351" s="64" t="s">
        <v>67</v>
      </c>
      <c r="P351" s="65">
        <v>0.38194444444444442</v>
      </c>
      <c r="Q351" s="62">
        <v>180</v>
      </c>
      <c r="R351" s="66" t="s">
        <v>158</v>
      </c>
    </row>
    <row r="352" spans="1:18" ht="15" customHeight="1">
      <c r="A352" s="19" t="s">
        <v>48</v>
      </c>
      <c r="B352" s="19" t="s">
        <v>49</v>
      </c>
      <c r="C352" s="20">
        <v>0.35416666666666669</v>
      </c>
      <c r="D352" s="19" t="s">
        <v>50</v>
      </c>
      <c r="E352" s="19" t="s">
        <v>51</v>
      </c>
      <c r="F352" s="19" t="s">
        <v>109</v>
      </c>
      <c r="G352" s="298"/>
      <c r="H352" s="10"/>
      <c r="I352" s="11"/>
      <c r="J352" s="11"/>
      <c r="K352" s="11"/>
      <c r="L352" s="11"/>
      <c r="M352" s="11"/>
      <c r="N352" s="11"/>
      <c r="O352" s="12"/>
      <c r="P352" s="11"/>
      <c r="Q352" s="13"/>
      <c r="R352" s="14"/>
    </row>
    <row r="353" spans="1:18" ht="15" customHeight="1">
      <c r="A353" s="15" t="s">
        <v>48</v>
      </c>
      <c r="B353" s="15" t="s">
        <v>49</v>
      </c>
      <c r="C353" s="16">
        <v>0.35416666666666669</v>
      </c>
      <c r="D353" s="15" t="s">
        <v>53</v>
      </c>
      <c r="E353" s="15" t="s">
        <v>54</v>
      </c>
      <c r="F353" s="15" t="s">
        <v>110</v>
      </c>
      <c r="G353" s="298"/>
      <c r="H353" s="10"/>
      <c r="I353" s="11"/>
      <c r="J353" s="11"/>
      <c r="K353" s="11"/>
      <c r="L353" s="11"/>
      <c r="M353" s="11"/>
      <c r="N353" s="11"/>
      <c r="O353" s="12"/>
      <c r="P353" s="11"/>
      <c r="Q353" s="13"/>
      <c r="R353" s="14"/>
    </row>
    <row r="354" spans="1:18" ht="15" customHeight="1">
      <c r="A354" s="17" t="s">
        <v>48</v>
      </c>
      <c r="B354" s="17" t="s">
        <v>56</v>
      </c>
      <c r="C354" s="18">
        <v>0.89583333333333337</v>
      </c>
      <c r="D354" s="17" t="s">
        <v>50</v>
      </c>
      <c r="E354" s="17" t="s">
        <v>57</v>
      </c>
      <c r="F354" s="17" t="s">
        <v>109</v>
      </c>
      <c r="G354" s="298"/>
      <c r="H354" s="10"/>
      <c r="I354" s="11"/>
      <c r="J354" s="11"/>
      <c r="K354" s="11"/>
      <c r="L354" s="11"/>
      <c r="M354" s="11"/>
      <c r="N354" s="11"/>
      <c r="O354" s="12"/>
      <c r="P354" s="11"/>
      <c r="Q354" s="13"/>
      <c r="R354" s="14"/>
    </row>
    <row r="355" spans="1:18" ht="15" customHeight="1">
      <c r="A355" s="15" t="s">
        <v>48</v>
      </c>
      <c r="B355" s="15" t="s">
        <v>56</v>
      </c>
      <c r="C355" s="16">
        <v>0.89583333333333337</v>
      </c>
      <c r="D355" s="15" t="s">
        <v>53</v>
      </c>
      <c r="E355" s="15" t="s">
        <v>54</v>
      </c>
      <c r="F355" s="15" t="s">
        <v>110</v>
      </c>
      <c r="G355" s="298"/>
      <c r="H355" s="10"/>
      <c r="I355" s="11"/>
      <c r="J355" s="11"/>
      <c r="K355" s="11"/>
      <c r="L355" s="11"/>
      <c r="M355" s="11"/>
      <c r="N355" s="11"/>
      <c r="O355" s="12"/>
      <c r="P355" s="11"/>
      <c r="Q355" s="13"/>
      <c r="R355" s="14"/>
    </row>
    <row r="356" spans="1:18" ht="15" customHeight="1">
      <c r="A356" s="17" t="s">
        <v>48</v>
      </c>
      <c r="B356" s="17" t="s">
        <v>58</v>
      </c>
      <c r="C356" s="18">
        <v>0.18402777777777779</v>
      </c>
      <c r="D356" s="17" t="s">
        <v>50</v>
      </c>
      <c r="E356" s="17" t="s">
        <v>57</v>
      </c>
      <c r="F356" s="17" t="s">
        <v>109</v>
      </c>
      <c r="G356" s="298"/>
      <c r="H356" s="10"/>
      <c r="I356" s="11"/>
      <c r="J356" s="11"/>
      <c r="K356" s="11"/>
      <c r="L356" s="11"/>
      <c r="M356" s="11"/>
      <c r="N356" s="11"/>
      <c r="O356" s="12"/>
      <c r="P356" s="11"/>
      <c r="Q356" s="13"/>
      <c r="R356" s="14"/>
    </row>
    <row r="357" spans="1:18" ht="15" customHeight="1">
      <c r="A357" s="15" t="s">
        <v>48</v>
      </c>
      <c r="B357" s="15" t="s">
        <v>58</v>
      </c>
      <c r="C357" s="16">
        <v>0.18402777777777779</v>
      </c>
      <c r="D357" s="15" t="s">
        <v>53</v>
      </c>
      <c r="E357" s="15" t="s">
        <v>54</v>
      </c>
      <c r="F357" s="15" t="s">
        <v>110</v>
      </c>
      <c r="G357" s="298"/>
      <c r="H357" s="10"/>
      <c r="I357" s="11"/>
      <c r="J357" s="11"/>
      <c r="K357" s="11"/>
      <c r="L357" s="11"/>
      <c r="M357" s="11"/>
      <c r="N357" s="11"/>
      <c r="O357" s="12"/>
      <c r="P357" s="11"/>
      <c r="Q357" s="13"/>
      <c r="R357" s="14"/>
    </row>
    <row r="358" spans="1:18" ht="15" customHeight="1">
      <c r="A358" s="17" t="s">
        <v>48</v>
      </c>
      <c r="B358" s="17" t="s">
        <v>59</v>
      </c>
      <c r="C358" s="18">
        <v>0.22916666666666671</v>
      </c>
      <c r="D358" s="17" t="s">
        <v>53</v>
      </c>
      <c r="E358" s="17" t="s">
        <v>37</v>
      </c>
      <c r="F358" s="17" t="s">
        <v>85</v>
      </c>
      <c r="G358" s="298"/>
      <c r="H358" s="10"/>
      <c r="I358" s="11"/>
      <c r="J358" s="11"/>
      <c r="K358" s="11"/>
      <c r="L358" s="11"/>
      <c r="M358" s="11"/>
      <c r="N358" s="11"/>
      <c r="O358" s="12"/>
      <c r="P358" s="11"/>
      <c r="Q358" s="13"/>
      <c r="R358" s="14"/>
    </row>
    <row r="359" spans="1:18" ht="15" customHeight="1">
      <c r="A359" s="19" t="s">
        <v>68</v>
      </c>
      <c r="B359" s="19" t="s">
        <v>69</v>
      </c>
      <c r="C359" s="20">
        <v>0.94097222222222221</v>
      </c>
      <c r="D359" s="19" t="s">
        <v>70</v>
      </c>
      <c r="E359" s="19" t="s">
        <v>51</v>
      </c>
      <c r="F359" s="19" t="s">
        <v>71</v>
      </c>
      <c r="G359" s="298"/>
      <c r="H359" s="10"/>
      <c r="I359" s="11"/>
      <c r="J359" s="11"/>
      <c r="K359" s="11"/>
      <c r="L359" s="11"/>
      <c r="M359" s="11"/>
      <c r="N359" s="11"/>
      <c r="O359" s="12"/>
      <c r="P359" s="11"/>
      <c r="Q359" s="13"/>
      <c r="R359" s="14"/>
    </row>
    <row r="360" spans="1:18" ht="15" customHeight="1">
      <c r="A360" s="17" t="s">
        <v>68</v>
      </c>
      <c r="B360" s="17" t="s">
        <v>76</v>
      </c>
      <c r="C360" s="18">
        <v>0.69791666666666663</v>
      </c>
      <c r="D360" s="17" t="s">
        <v>70</v>
      </c>
      <c r="E360" s="17" t="s">
        <v>57</v>
      </c>
      <c r="F360" s="17" t="s">
        <v>71</v>
      </c>
      <c r="G360" s="298"/>
      <c r="H360" s="10"/>
      <c r="I360" s="11"/>
      <c r="J360" s="11"/>
      <c r="K360" s="11"/>
      <c r="L360" s="11"/>
      <c r="M360" s="11"/>
      <c r="N360" s="11"/>
      <c r="O360" s="12"/>
      <c r="P360" s="11"/>
      <c r="Q360" s="13"/>
      <c r="R360" s="14"/>
    </row>
    <row r="361" spans="1:18" ht="15" customHeight="1">
      <c r="A361" s="17" t="s">
        <v>68</v>
      </c>
      <c r="B361" s="17" t="s">
        <v>72</v>
      </c>
      <c r="C361" s="18">
        <v>6.5972222222222224E-2</v>
      </c>
      <c r="D361" s="17" t="s">
        <v>70</v>
      </c>
      <c r="E361" s="17" t="s">
        <v>57</v>
      </c>
      <c r="F361" s="17" t="s">
        <v>71</v>
      </c>
      <c r="G361" s="298"/>
      <c r="H361" s="10"/>
      <c r="I361" s="11"/>
      <c r="J361" s="11"/>
      <c r="K361" s="11"/>
      <c r="L361" s="11"/>
      <c r="M361" s="11"/>
      <c r="N361" s="11"/>
      <c r="O361" s="12"/>
      <c r="P361" s="11"/>
      <c r="Q361" s="13"/>
      <c r="R361" s="14"/>
    </row>
    <row r="362" spans="1:18" ht="15" customHeight="1">
      <c r="A362" s="17" t="s">
        <v>68</v>
      </c>
      <c r="B362" s="17" t="s">
        <v>73</v>
      </c>
      <c r="C362" s="18">
        <v>0.28819444444444448</v>
      </c>
      <c r="D362" s="17" t="s">
        <v>70</v>
      </c>
      <c r="E362" s="17" t="s">
        <v>57</v>
      </c>
      <c r="F362" s="17" t="s">
        <v>71</v>
      </c>
      <c r="G362" s="298"/>
      <c r="H362" s="10"/>
      <c r="I362" s="11"/>
      <c r="J362" s="11"/>
      <c r="K362" s="11"/>
      <c r="L362" s="11"/>
      <c r="M362" s="11"/>
      <c r="N362" s="11"/>
      <c r="O362" s="12"/>
      <c r="P362" s="11"/>
      <c r="Q362" s="13"/>
      <c r="R362" s="14"/>
    </row>
    <row r="363" spans="1:18" ht="15" customHeight="1" thickBot="1">
      <c r="A363" s="30" t="s">
        <v>68</v>
      </c>
      <c r="B363" s="30" t="s">
        <v>74</v>
      </c>
      <c r="C363" s="31">
        <v>0.33680555555555558</v>
      </c>
      <c r="D363" s="30" t="s">
        <v>70</v>
      </c>
      <c r="E363" s="30" t="s">
        <v>57</v>
      </c>
      <c r="F363" s="30" t="s">
        <v>75</v>
      </c>
      <c r="G363" s="299"/>
      <c r="H363" s="300"/>
      <c r="I363" s="140"/>
      <c r="J363" s="140"/>
      <c r="K363" s="140"/>
      <c r="L363" s="140"/>
      <c r="M363" s="140"/>
      <c r="N363" s="140"/>
      <c r="O363" s="141"/>
      <c r="P363" s="140"/>
      <c r="Q363" s="142"/>
      <c r="R363" s="301"/>
    </row>
    <row r="364" spans="1:18" ht="17.45" customHeight="1" thickBot="1">
      <c r="A364" s="283"/>
      <c r="B364" s="284"/>
      <c r="C364" s="284"/>
      <c r="D364" s="284"/>
      <c r="E364" s="284"/>
      <c r="F364" s="284"/>
      <c r="G364" s="284"/>
      <c r="H364" s="284"/>
      <c r="I364" s="284"/>
      <c r="J364" s="284"/>
      <c r="K364" s="284"/>
      <c r="L364" s="284"/>
      <c r="M364" s="284"/>
      <c r="N364" s="284"/>
      <c r="O364" s="284"/>
      <c r="P364" s="284"/>
      <c r="Q364" s="284"/>
      <c r="R364" s="285"/>
    </row>
    <row r="365" spans="1:18" ht="22.15" customHeight="1" thickTop="1" thickBot="1">
      <c r="A365" s="279" t="s">
        <v>6</v>
      </c>
      <c r="B365" s="295"/>
      <c r="C365" s="295"/>
      <c r="D365" s="295"/>
      <c r="E365" s="295"/>
      <c r="F365" s="296"/>
      <c r="G365" s="32">
        <v>46038</v>
      </c>
      <c r="H365" s="278" t="s">
        <v>7</v>
      </c>
      <c r="I365" s="295"/>
      <c r="J365" s="295"/>
      <c r="K365" s="295"/>
      <c r="L365" s="295"/>
      <c r="M365" s="295"/>
      <c r="N365" s="295"/>
      <c r="O365" s="295"/>
      <c r="P365" s="295"/>
      <c r="Q365" s="295"/>
      <c r="R365" s="296"/>
    </row>
    <row r="366" spans="1:18" ht="24" customHeight="1">
      <c r="A366" s="33" t="s">
        <v>8</v>
      </c>
      <c r="B366" s="33" t="s">
        <v>9</v>
      </c>
      <c r="C366" s="34" t="s">
        <v>10</v>
      </c>
      <c r="D366" s="33" t="s">
        <v>11</v>
      </c>
      <c r="E366" s="33" t="s">
        <v>12</v>
      </c>
      <c r="F366" s="35" t="s">
        <v>13</v>
      </c>
      <c r="G366" s="36" t="s">
        <v>14</v>
      </c>
      <c r="H366" s="33" t="s">
        <v>15</v>
      </c>
      <c r="I366" s="37" t="s">
        <v>16</v>
      </c>
      <c r="J366" s="38" t="s">
        <v>17</v>
      </c>
      <c r="K366" s="39" t="s">
        <v>18</v>
      </c>
      <c r="L366" s="38" t="s">
        <v>19</v>
      </c>
      <c r="M366" s="38" t="s">
        <v>20</v>
      </c>
      <c r="N366" s="38" t="s">
        <v>21</v>
      </c>
      <c r="O366" s="33" t="s">
        <v>22</v>
      </c>
      <c r="P366" s="34" t="s">
        <v>23</v>
      </c>
      <c r="Q366" s="38" t="s">
        <v>24</v>
      </c>
      <c r="R366" s="33" t="s">
        <v>25</v>
      </c>
    </row>
    <row r="367" spans="1:18" ht="15" customHeight="1">
      <c r="A367" s="8" t="s">
        <v>38</v>
      </c>
      <c r="B367" s="8" t="s">
        <v>39</v>
      </c>
      <c r="C367" s="9">
        <v>0.22916666666666671</v>
      </c>
      <c r="D367" s="8" t="s">
        <v>40</v>
      </c>
      <c r="E367" s="8" t="s">
        <v>41</v>
      </c>
      <c r="F367" s="8" t="s">
        <v>121</v>
      </c>
      <c r="G367" s="297"/>
      <c r="H367" s="10"/>
      <c r="I367" s="11"/>
      <c r="J367" s="11"/>
      <c r="K367" s="11"/>
      <c r="L367" s="11"/>
      <c r="M367" s="11"/>
      <c r="N367" s="11"/>
      <c r="O367" s="12"/>
      <c r="P367" s="11"/>
      <c r="Q367" s="13"/>
      <c r="R367" s="14"/>
    </row>
    <row r="368" spans="1:18" ht="15" customHeight="1">
      <c r="A368" s="15" t="s">
        <v>38</v>
      </c>
      <c r="B368" s="15" t="s">
        <v>39</v>
      </c>
      <c r="C368" s="16">
        <v>0.22916666666666671</v>
      </c>
      <c r="D368" s="15" t="s">
        <v>43</v>
      </c>
      <c r="E368" s="15" t="s">
        <v>44</v>
      </c>
      <c r="F368" s="15" t="s">
        <v>123</v>
      </c>
      <c r="G368" s="298"/>
      <c r="H368" s="10"/>
      <c r="I368" s="11"/>
      <c r="J368" s="11"/>
      <c r="K368" s="11"/>
      <c r="L368" s="11"/>
      <c r="M368" s="11"/>
      <c r="N368" s="11"/>
      <c r="O368" s="12"/>
      <c r="P368" s="11"/>
      <c r="Q368" s="13"/>
      <c r="R368" s="14"/>
    </row>
    <row r="369" spans="1:18" ht="15" customHeight="1">
      <c r="A369" s="15" t="s">
        <v>38</v>
      </c>
      <c r="B369" s="15" t="s">
        <v>39</v>
      </c>
      <c r="C369" s="16">
        <v>0.22916666666666671</v>
      </c>
      <c r="D369" s="15" t="s">
        <v>46</v>
      </c>
      <c r="E369" s="15" t="s">
        <v>44</v>
      </c>
      <c r="F369" s="15" t="s">
        <v>47</v>
      </c>
      <c r="G369" s="298"/>
      <c r="H369" s="10"/>
      <c r="I369" s="11"/>
      <c r="J369" s="11"/>
      <c r="K369" s="11"/>
      <c r="L369" s="11"/>
      <c r="M369" s="11"/>
      <c r="N369" s="11"/>
      <c r="O369" s="12"/>
      <c r="P369" s="11"/>
      <c r="Q369" s="13"/>
      <c r="R369" s="14"/>
    </row>
    <row r="370" spans="1:18" ht="15" customHeight="1">
      <c r="A370" s="19" t="s">
        <v>26</v>
      </c>
      <c r="B370" s="19" t="s">
        <v>27</v>
      </c>
      <c r="C370" s="20">
        <v>0.60763888888888895</v>
      </c>
      <c r="D370" s="19" t="s">
        <v>28</v>
      </c>
      <c r="E370" s="19" t="s">
        <v>80</v>
      </c>
      <c r="F370" s="19" t="s">
        <v>159</v>
      </c>
      <c r="G370" s="298"/>
      <c r="H370" s="10"/>
      <c r="I370" s="11"/>
      <c r="J370" s="11"/>
      <c r="K370" s="11"/>
      <c r="L370" s="11"/>
      <c r="M370" s="11"/>
      <c r="N370" s="11"/>
      <c r="O370" s="12"/>
      <c r="P370" s="11"/>
      <c r="Q370" s="13"/>
      <c r="R370" s="14"/>
    </row>
    <row r="371" spans="1:18" ht="15" customHeight="1">
      <c r="A371" s="15" t="s">
        <v>26</v>
      </c>
      <c r="B371" s="15" t="s">
        <v>27</v>
      </c>
      <c r="C371" s="16">
        <v>0.60763888888888895</v>
      </c>
      <c r="D371" s="15" t="s">
        <v>31</v>
      </c>
      <c r="E371" s="15" t="s">
        <v>82</v>
      </c>
      <c r="F371" s="15" t="s">
        <v>139</v>
      </c>
      <c r="G371" s="298"/>
      <c r="H371" s="10"/>
      <c r="I371" s="11"/>
      <c r="J371" s="11"/>
      <c r="K371" s="11"/>
      <c r="L371" s="11"/>
      <c r="M371" s="11"/>
      <c r="N371" s="11"/>
      <c r="O371" s="12"/>
      <c r="P371" s="11"/>
      <c r="Q371" s="13"/>
      <c r="R371" s="14"/>
    </row>
    <row r="372" spans="1:18" ht="15" customHeight="1">
      <c r="A372" s="15" t="s">
        <v>26</v>
      </c>
      <c r="B372" s="15" t="s">
        <v>27</v>
      </c>
      <c r="C372" s="16">
        <v>0.60763888888888895</v>
      </c>
      <c r="D372" s="15" t="s">
        <v>34</v>
      </c>
      <c r="E372" s="15" t="s">
        <v>82</v>
      </c>
      <c r="F372" s="15" t="s">
        <v>160</v>
      </c>
      <c r="G372" s="298"/>
      <c r="H372" s="10"/>
      <c r="I372" s="11"/>
      <c r="J372" s="11"/>
      <c r="K372" s="11"/>
      <c r="L372" s="11"/>
      <c r="M372" s="11"/>
      <c r="N372" s="11"/>
      <c r="O372" s="12"/>
      <c r="P372" s="11"/>
      <c r="Q372" s="13"/>
      <c r="R372" s="14"/>
    </row>
    <row r="373" spans="1:18" ht="15" customHeight="1">
      <c r="A373" s="19" t="s">
        <v>68</v>
      </c>
      <c r="B373" s="19" t="s">
        <v>74</v>
      </c>
      <c r="C373" s="20">
        <v>0.33680555555555558</v>
      </c>
      <c r="D373" s="19" t="s">
        <v>70</v>
      </c>
      <c r="E373" s="19" t="s">
        <v>51</v>
      </c>
      <c r="F373" s="19" t="s">
        <v>75</v>
      </c>
      <c r="G373" s="298"/>
      <c r="H373" s="10"/>
      <c r="I373" s="11"/>
      <c r="J373" s="11"/>
      <c r="K373" s="11"/>
      <c r="L373" s="11"/>
      <c r="M373" s="11"/>
      <c r="N373" s="11"/>
      <c r="O373" s="12"/>
      <c r="P373" s="11"/>
      <c r="Q373" s="13"/>
      <c r="R373" s="14"/>
    </row>
    <row r="374" spans="1:18" ht="15" customHeight="1">
      <c r="A374" s="17" t="s">
        <v>68</v>
      </c>
      <c r="B374" s="17" t="s">
        <v>69</v>
      </c>
      <c r="C374" s="18">
        <v>0.94097222222222221</v>
      </c>
      <c r="D374" s="17" t="s">
        <v>70</v>
      </c>
      <c r="E374" s="17" t="s">
        <v>57</v>
      </c>
      <c r="F374" s="17" t="s">
        <v>75</v>
      </c>
      <c r="G374" s="298"/>
      <c r="H374" s="10"/>
      <c r="I374" s="11"/>
      <c r="J374" s="11"/>
      <c r="K374" s="11"/>
      <c r="L374" s="11"/>
      <c r="M374" s="11"/>
      <c r="N374" s="11"/>
      <c r="O374" s="12"/>
      <c r="P374" s="11"/>
      <c r="Q374" s="13"/>
      <c r="R374" s="14"/>
    </row>
    <row r="375" spans="1:18" ht="15" customHeight="1">
      <c r="A375" s="17" t="s">
        <v>68</v>
      </c>
      <c r="B375" s="17" t="s">
        <v>76</v>
      </c>
      <c r="C375" s="18">
        <v>0.69791666666666663</v>
      </c>
      <c r="D375" s="17" t="s">
        <v>70</v>
      </c>
      <c r="E375" s="17" t="s">
        <v>57</v>
      </c>
      <c r="F375" s="17" t="s">
        <v>75</v>
      </c>
      <c r="G375" s="298"/>
      <c r="H375" s="10"/>
      <c r="I375" s="11"/>
      <c r="J375" s="11"/>
      <c r="K375" s="11"/>
      <c r="L375" s="11"/>
      <c r="M375" s="11"/>
      <c r="N375" s="11"/>
      <c r="O375" s="12"/>
      <c r="P375" s="11"/>
      <c r="Q375" s="13"/>
      <c r="R375" s="14"/>
    </row>
    <row r="376" spans="1:18" ht="15" customHeight="1">
      <c r="A376" s="17" t="s">
        <v>68</v>
      </c>
      <c r="B376" s="17" t="s">
        <v>72</v>
      </c>
      <c r="C376" s="18">
        <v>6.5972222222222224E-2</v>
      </c>
      <c r="D376" s="17" t="s">
        <v>70</v>
      </c>
      <c r="E376" s="17" t="s">
        <v>57</v>
      </c>
      <c r="F376" s="17" t="s">
        <v>75</v>
      </c>
      <c r="G376" s="298"/>
      <c r="H376" s="10"/>
      <c r="I376" s="11"/>
      <c r="J376" s="11"/>
      <c r="K376" s="11"/>
      <c r="L376" s="11"/>
      <c r="M376" s="11"/>
      <c r="N376" s="11"/>
      <c r="O376" s="12"/>
      <c r="P376" s="11"/>
      <c r="Q376" s="13"/>
      <c r="R376" s="14"/>
    </row>
    <row r="377" spans="1:18" ht="15" customHeight="1">
      <c r="A377" s="17" t="s">
        <v>68</v>
      </c>
      <c r="B377" s="17" t="s">
        <v>73</v>
      </c>
      <c r="C377" s="18">
        <v>0.28819444444444448</v>
      </c>
      <c r="D377" s="17" t="s">
        <v>70</v>
      </c>
      <c r="E377" s="17" t="s">
        <v>57</v>
      </c>
      <c r="F377" s="17" t="s">
        <v>75</v>
      </c>
      <c r="G377" s="298"/>
      <c r="H377" s="10"/>
      <c r="I377" s="11"/>
      <c r="J377" s="11"/>
      <c r="K377" s="11"/>
      <c r="L377" s="11"/>
      <c r="M377" s="11"/>
      <c r="N377" s="11"/>
      <c r="O377" s="12"/>
      <c r="P377" s="11"/>
      <c r="Q377" s="13"/>
      <c r="R377" s="14"/>
    </row>
    <row r="378" spans="1:18" ht="15" customHeight="1">
      <c r="A378" s="19" t="s">
        <v>48</v>
      </c>
      <c r="B378" s="19" t="s">
        <v>59</v>
      </c>
      <c r="C378" s="20">
        <v>0.22916666666666671</v>
      </c>
      <c r="D378" s="19" t="s">
        <v>53</v>
      </c>
      <c r="E378" s="19" t="s">
        <v>29</v>
      </c>
      <c r="F378" s="19" t="s">
        <v>124</v>
      </c>
      <c r="G378" s="298"/>
      <c r="H378" s="10"/>
      <c r="I378" s="11"/>
      <c r="J378" s="11"/>
      <c r="K378" s="11"/>
      <c r="L378" s="11"/>
      <c r="M378" s="11"/>
      <c r="N378" s="11"/>
      <c r="O378" s="12"/>
      <c r="P378" s="11"/>
      <c r="Q378" s="13"/>
      <c r="R378" s="14"/>
    </row>
    <row r="379" spans="1:18" ht="15" customHeight="1">
      <c r="A379" s="17" t="s">
        <v>48</v>
      </c>
      <c r="B379" s="17" t="s">
        <v>49</v>
      </c>
      <c r="C379" s="18">
        <v>0.35069444444444442</v>
      </c>
      <c r="D379" s="17" t="s">
        <v>53</v>
      </c>
      <c r="E379" s="17" t="s">
        <v>57</v>
      </c>
      <c r="F379" s="17" t="s">
        <v>86</v>
      </c>
      <c r="G379" s="298"/>
      <c r="H379" s="10"/>
      <c r="I379" s="11"/>
      <c r="J379" s="11"/>
      <c r="K379" s="11"/>
      <c r="L379" s="11"/>
      <c r="M379" s="11"/>
      <c r="N379" s="11"/>
      <c r="O379" s="12"/>
      <c r="P379" s="11"/>
      <c r="Q379" s="13"/>
      <c r="R379" s="14"/>
    </row>
    <row r="380" spans="1:18" ht="15" customHeight="1">
      <c r="A380" s="17" t="s">
        <v>48</v>
      </c>
      <c r="B380" s="17" t="s">
        <v>56</v>
      </c>
      <c r="C380" s="18">
        <v>0.89583333333333337</v>
      </c>
      <c r="D380" s="17" t="s">
        <v>53</v>
      </c>
      <c r="E380" s="17" t="s">
        <v>57</v>
      </c>
      <c r="F380" s="17" t="s">
        <v>86</v>
      </c>
      <c r="G380" s="298"/>
      <c r="H380" s="10"/>
      <c r="I380" s="11"/>
      <c r="J380" s="11"/>
      <c r="K380" s="11"/>
      <c r="L380" s="11"/>
      <c r="M380" s="11"/>
      <c r="N380" s="11"/>
      <c r="O380" s="12"/>
      <c r="P380" s="11"/>
      <c r="Q380" s="13"/>
      <c r="R380" s="14"/>
    </row>
    <row r="381" spans="1:18" ht="15" customHeight="1" thickBot="1">
      <c r="A381" s="30" t="s">
        <v>48</v>
      </c>
      <c r="B381" s="30" t="s">
        <v>58</v>
      </c>
      <c r="C381" s="31">
        <v>0.18402777777777779</v>
      </c>
      <c r="D381" s="30" t="s">
        <v>53</v>
      </c>
      <c r="E381" s="30" t="s">
        <v>57</v>
      </c>
      <c r="F381" s="30" t="s">
        <v>86</v>
      </c>
      <c r="G381" s="299"/>
      <c r="H381" s="300"/>
      <c r="I381" s="140"/>
      <c r="J381" s="140"/>
      <c r="K381" s="140"/>
      <c r="L381" s="140"/>
      <c r="M381" s="140"/>
      <c r="N381" s="140"/>
      <c r="O381" s="141"/>
      <c r="P381" s="140"/>
      <c r="Q381" s="142"/>
      <c r="R381" s="301"/>
    </row>
    <row r="382" spans="1:18" ht="17.45" customHeight="1" thickBot="1">
      <c r="A382" s="283"/>
      <c r="B382" s="284"/>
      <c r="C382" s="284"/>
      <c r="D382" s="284"/>
      <c r="E382" s="284"/>
      <c r="F382" s="284"/>
      <c r="G382" s="284"/>
      <c r="H382" s="284"/>
      <c r="I382" s="284"/>
      <c r="J382" s="284"/>
      <c r="K382" s="284"/>
      <c r="L382" s="284"/>
      <c r="M382" s="284"/>
      <c r="N382" s="284"/>
      <c r="O382" s="284"/>
      <c r="P382" s="284"/>
      <c r="Q382" s="284"/>
      <c r="R382" s="285"/>
    </row>
    <row r="383" spans="1:18" ht="22.15" customHeight="1" thickTop="1" thickBot="1">
      <c r="A383" s="279" t="s">
        <v>6</v>
      </c>
      <c r="B383" s="295"/>
      <c r="C383" s="295"/>
      <c r="D383" s="295"/>
      <c r="E383" s="295"/>
      <c r="F383" s="296"/>
      <c r="G383" s="32">
        <v>46039</v>
      </c>
      <c r="H383" s="278" t="s">
        <v>7</v>
      </c>
      <c r="I383" s="295"/>
      <c r="J383" s="295"/>
      <c r="K383" s="295"/>
      <c r="L383" s="295"/>
      <c r="M383" s="295"/>
      <c r="N383" s="295"/>
      <c r="O383" s="295"/>
      <c r="P383" s="295"/>
      <c r="Q383" s="295"/>
      <c r="R383" s="296"/>
    </row>
    <row r="384" spans="1:18" ht="24" customHeight="1">
      <c r="A384" s="33" t="s">
        <v>8</v>
      </c>
      <c r="B384" s="33" t="s">
        <v>9</v>
      </c>
      <c r="C384" s="34" t="s">
        <v>10</v>
      </c>
      <c r="D384" s="33" t="s">
        <v>11</v>
      </c>
      <c r="E384" s="33" t="s">
        <v>12</v>
      </c>
      <c r="F384" s="35" t="s">
        <v>13</v>
      </c>
      <c r="G384" s="36" t="s">
        <v>14</v>
      </c>
      <c r="H384" s="33" t="s">
        <v>15</v>
      </c>
      <c r="I384" s="37" t="s">
        <v>16</v>
      </c>
      <c r="J384" s="38" t="s">
        <v>17</v>
      </c>
      <c r="K384" s="39" t="s">
        <v>18</v>
      </c>
      <c r="L384" s="38" t="s">
        <v>19</v>
      </c>
      <c r="M384" s="38" t="s">
        <v>20</v>
      </c>
      <c r="N384" s="38" t="s">
        <v>21</v>
      </c>
      <c r="O384" s="33" t="s">
        <v>22</v>
      </c>
      <c r="P384" s="34" t="s">
        <v>23</v>
      </c>
      <c r="Q384" s="38" t="s">
        <v>24</v>
      </c>
      <c r="R384" s="33" t="s">
        <v>25</v>
      </c>
    </row>
    <row r="385" spans="1:18" ht="15" customHeight="1">
      <c r="A385" s="8" t="s">
        <v>38</v>
      </c>
      <c r="B385" s="8" t="s">
        <v>39</v>
      </c>
      <c r="C385" s="9">
        <v>0.22916666666666671</v>
      </c>
      <c r="D385" s="8" t="s">
        <v>40</v>
      </c>
      <c r="E385" s="8" t="s">
        <v>130</v>
      </c>
      <c r="F385" s="8" t="s">
        <v>131</v>
      </c>
      <c r="G385" s="297"/>
      <c r="H385" s="10"/>
      <c r="I385" s="11"/>
      <c r="J385" s="11"/>
      <c r="K385" s="11"/>
      <c r="L385" s="11"/>
      <c r="M385" s="11"/>
      <c r="N385" s="11"/>
      <c r="O385" s="12"/>
      <c r="P385" s="11"/>
      <c r="Q385" s="13"/>
      <c r="R385" s="14"/>
    </row>
    <row r="386" spans="1:18" ht="15" customHeight="1">
      <c r="A386" s="15" t="s">
        <v>38</v>
      </c>
      <c r="B386" s="15" t="s">
        <v>39</v>
      </c>
      <c r="C386" s="16">
        <v>0.22916666666666671</v>
      </c>
      <c r="D386" s="15" t="s">
        <v>43</v>
      </c>
      <c r="E386" s="15" t="s">
        <v>132</v>
      </c>
      <c r="F386" s="15" t="s">
        <v>133</v>
      </c>
      <c r="G386" s="298"/>
      <c r="H386" s="10"/>
      <c r="I386" s="11"/>
      <c r="J386" s="11"/>
      <c r="K386" s="11"/>
      <c r="L386" s="11"/>
      <c r="M386" s="11"/>
      <c r="N386" s="11"/>
      <c r="O386" s="12"/>
      <c r="P386" s="11"/>
      <c r="Q386" s="13"/>
      <c r="R386" s="14"/>
    </row>
    <row r="387" spans="1:18" ht="15" customHeight="1">
      <c r="A387" s="15" t="s">
        <v>38</v>
      </c>
      <c r="B387" s="15" t="s">
        <v>39</v>
      </c>
      <c r="C387" s="16">
        <v>0.22916666666666671</v>
      </c>
      <c r="D387" s="15" t="s">
        <v>46</v>
      </c>
      <c r="E387" s="15" t="s">
        <v>132</v>
      </c>
      <c r="F387" s="15" t="s">
        <v>47</v>
      </c>
      <c r="G387" s="298"/>
      <c r="H387" s="10"/>
      <c r="I387" s="11"/>
      <c r="J387" s="11"/>
      <c r="K387" s="11"/>
      <c r="L387" s="11"/>
      <c r="M387" s="11"/>
      <c r="N387" s="11"/>
      <c r="O387" s="12"/>
      <c r="P387" s="11"/>
      <c r="Q387" s="13"/>
      <c r="R387" s="14"/>
    </row>
    <row r="388" spans="1:18" ht="15" customHeight="1">
      <c r="A388" s="17" t="s">
        <v>38</v>
      </c>
      <c r="B388" s="17" t="s">
        <v>87</v>
      </c>
      <c r="C388" s="18">
        <v>6.25E-2</v>
      </c>
      <c r="D388" s="17" t="s">
        <v>40</v>
      </c>
      <c r="E388" s="17" t="s">
        <v>125</v>
      </c>
      <c r="F388" s="17" t="s">
        <v>42</v>
      </c>
      <c r="G388" s="298"/>
      <c r="H388" s="10"/>
      <c r="I388" s="11"/>
      <c r="J388" s="11"/>
      <c r="K388" s="11"/>
      <c r="L388" s="11"/>
      <c r="M388" s="11"/>
      <c r="N388" s="11"/>
      <c r="O388" s="12"/>
      <c r="P388" s="11"/>
      <c r="Q388" s="13"/>
      <c r="R388" s="14"/>
    </row>
    <row r="389" spans="1:18" ht="15" customHeight="1">
      <c r="A389" s="15" t="s">
        <v>38</v>
      </c>
      <c r="B389" s="15" t="s">
        <v>87</v>
      </c>
      <c r="C389" s="16">
        <v>6.25E-2</v>
      </c>
      <c r="D389" s="15" t="s">
        <v>43</v>
      </c>
      <c r="E389" s="15" t="s">
        <v>44</v>
      </c>
      <c r="F389" s="15" t="s">
        <v>45</v>
      </c>
      <c r="G389" s="298"/>
      <c r="H389" s="10"/>
      <c r="I389" s="11"/>
      <c r="J389" s="11"/>
      <c r="K389" s="11"/>
      <c r="L389" s="11"/>
      <c r="M389" s="11"/>
      <c r="N389" s="11"/>
      <c r="O389" s="12"/>
      <c r="P389" s="11"/>
      <c r="Q389" s="13"/>
      <c r="R389" s="14"/>
    </row>
    <row r="390" spans="1:18" ht="15" customHeight="1">
      <c r="A390" s="15" t="s">
        <v>38</v>
      </c>
      <c r="B390" s="15" t="s">
        <v>87</v>
      </c>
      <c r="C390" s="16">
        <v>6.25E-2</v>
      </c>
      <c r="D390" s="15" t="s">
        <v>46</v>
      </c>
      <c r="E390" s="15" t="s">
        <v>44</v>
      </c>
      <c r="F390" s="15" t="s">
        <v>47</v>
      </c>
      <c r="G390" s="298"/>
      <c r="H390" s="10"/>
      <c r="I390" s="11"/>
      <c r="J390" s="11"/>
      <c r="K390" s="11"/>
      <c r="L390" s="11"/>
      <c r="M390" s="11"/>
      <c r="N390" s="11"/>
      <c r="O390" s="12"/>
      <c r="P390" s="11"/>
      <c r="Q390" s="13"/>
      <c r="R390" s="14"/>
    </row>
    <row r="391" spans="1:18" ht="15" customHeight="1">
      <c r="A391" s="19" t="s">
        <v>26</v>
      </c>
      <c r="B391" s="19" t="s">
        <v>36</v>
      </c>
      <c r="C391" s="20">
        <v>0.43402777777777768</v>
      </c>
      <c r="D391" s="19" t="s">
        <v>28</v>
      </c>
      <c r="E391" s="19" t="s">
        <v>80</v>
      </c>
      <c r="F391" s="19" t="s">
        <v>149</v>
      </c>
      <c r="G391" s="298"/>
      <c r="H391" s="10"/>
      <c r="I391" s="11"/>
      <c r="J391" s="11"/>
      <c r="K391" s="11"/>
      <c r="L391" s="11"/>
      <c r="M391" s="11"/>
      <c r="N391" s="11"/>
      <c r="O391" s="12"/>
      <c r="P391" s="11"/>
      <c r="Q391" s="13"/>
      <c r="R391" s="14"/>
    </row>
    <row r="392" spans="1:18" ht="15" customHeight="1">
      <c r="A392" s="15" t="s">
        <v>26</v>
      </c>
      <c r="B392" s="15" t="s">
        <v>36</v>
      </c>
      <c r="C392" s="16">
        <v>0.43402777777777768</v>
      </c>
      <c r="D392" s="15" t="s">
        <v>31</v>
      </c>
      <c r="E392" s="15" t="s">
        <v>82</v>
      </c>
      <c r="F392" s="15" t="s">
        <v>133</v>
      </c>
      <c r="G392" s="298"/>
      <c r="H392" s="10"/>
      <c r="I392" s="11"/>
      <c r="J392" s="11"/>
      <c r="K392" s="11"/>
      <c r="L392" s="11"/>
      <c r="M392" s="11"/>
      <c r="N392" s="11"/>
      <c r="O392" s="12"/>
      <c r="P392" s="11"/>
      <c r="Q392" s="13"/>
      <c r="R392" s="14"/>
    </row>
    <row r="393" spans="1:18" ht="15" customHeight="1">
      <c r="A393" s="15" t="s">
        <v>26</v>
      </c>
      <c r="B393" s="15" t="s">
        <v>36</v>
      </c>
      <c r="C393" s="16">
        <v>0.43402777777777768</v>
      </c>
      <c r="D393" s="15" t="s">
        <v>34</v>
      </c>
      <c r="E393" s="15" t="s">
        <v>82</v>
      </c>
      <c r="F393" s="15" t="s">
        <v>150</v>
      </c>
      <c r="G393" s="298"/>
      <c r="H393" s="10"/>
      <c r="I393" s="11"/>
      <c r="J393" s="11"/>
      <c r="K393" s="11"/>
      <c r="L393" s="11"/>
      <c r="M393" s="11"/>
      <c r="N393" s="11"/>
      <c r="O393" s="12"/>
      <c r="P393" s="11"/>
      <c r="Q393" s="13"/>
      <c r="R393" s="14"/>
    </row>
    <row r="394" spans="1:18" ht="15" customHeight="1">
      <c r="A394" s="17" t="s">
        <v>26</v>
      </c>
      <c r="B394" s="17" t="s">
        <v>27</v>
      </c>
      <c r="C394" s="18">
        <v>0.60763888888888895</v>
      </c>
      <c r="D394" s="17" t="s">
        <v>28</v>
      </c>
      <c r="E394" s="17" t="s">
        <v>90</v>
      </c>
      <c r="F394" s="17" t="s">
        <v>161</v>
      </c>
      <c r="G394" s="298"/>
      <c r="H394" s="10"/>
      <c r="I394" s="11"/>
      <c r="J394" s="11"/>
      <c r="K394" s="11"/>
      <c r="L394" s="11"/>
      <c r="M394" s="11"/>
      <c r="N394" s="11"/>
      <c r="O394" s="12"/>
      <c r="P394" s="11"/>
      <c r="Q394" s="13"/>
      <c r="R394" s="14"/>
    </row>
    <row r="395" spans="1:18" ht="15" customHeight="1">
      <c r="A395" s="15" t="s">
        <v>26</v>
      </c>
      <c r="B395" s="15" t="s">
        <v>27</v>
      </c>
      <c r="C395" s="16">
        <v>0.60763888888888895</v>
      </c>
      <c r="D395" s="15" t="s">
        <v>31</v>
      </c>
      <c r="E395" s="15" t="s">
        <v>82</v>
      </c>
      <c r="F395" s="15" t="s">
        <v>162</v>
      </c>
      <c r="G395" s="298"/>
      <c r="H395" s="10"/>
      <c r="I395" s="11"/>
      <c r="J395" s="11"/>
      <c r="K395" s="11"/>
      <c r="L395" s="11"/>
      <c r="M395" s="11"/>
      <c r="N395" s="11"/>
      <c r="O395" s="12"/>
      <c r="P395" s="11"/>
      <c r="Q395" s="13"/>
      <c r="R395" s="14"/>
    </row>
    <row r="396" spans="1:18" ht="15" customHeight="1">
      <c r="A396" s="15" t="s">
        <v>26</v>
      </c>
      <c r="B396" s="15" t="s">
        <v>27</v>
      </c>
      <c r="C396" s="16">
        <v>0.60763888888888895</v>
      </c>
      <c r="D396" s="15" t="s">
        <v>34</v>
      </c>
      <c r="E396" s="15" t="s">
        <v>82</v>
      </c>
      <c r="F396" s="15" t="s">
        <v>163</v>
      </c>
      <c r="G396" s="298"/>
      <c r="H396" s="10"/>
      <c r="I396" s="11"/>
      <c r="J396" s="11"/>
      <c r="K396" s="11"/>
      <c r="L396" s="11"/>
      <c r="M396" s="11"/>
      <c r="N396" s="11"/>
      <c r="O396" s="12"/>
      <c r="P396" s="11"/>
      <c r="Q396" s="13"/>
      <c r="R396" s="14"/>
    </row>
    <row r="397" spans="1:18" ht="15" customHeight="1">
      <c r="A397" s="87" t="s">
        <v>61</v>
      </c>
      <c r="B397" s="87" t="s">
        <v>62</v>
      </c>
      <c r="C397" s="88">
        <v>0.2361111111111111</v>
      </c>
      <c r="D397" s="87" t="s">
        <v>63</v>
      </c>
      <c r="E397" s="87" t="s">
        <v>100</v>
      </c>
      <c r="F397" s="87" t="s">
        <v>64</v>
      </c>
      <c r="G397" s="298"/>
      <c r="H397" s="89" t="s">
        <v>65</v>
      </c>
      <c r="I397" s="90">
        <v>1.11E-2</v>
      </c>
      <c r="J397" s="91">
        <v>2</v>
      </c>
      <c r="K397" s="92">
        <v>46334</v>
      </c>
      <c r="L397" s="91">
        <v>2</v>
      </c>
      <c r="M397" s="91">
        <v>0</v>
      </c>
      <c r="N397" s="91">
        <v>0</v>
      </c>
      <c r="O397" s="93" t="s">
        <v>101</v>
      </c>
      <c r="P397" s="94">
        <v>0.2361111111111111</v>
      </c>
      <c r="Q397" s="91">
        <v>180</v>
      </c>
      <c r="R397" s="95" t="s">
        <v>164</v>
      </c>
    </row>
    <row r="398" spans="1:18" ht="15" customHeight="1">
      <c r="A398" s="19" t="s">
        <v>68</v>
      </c>
      <c r="B398" s="19" t="s">
        <v>69</v>
      </c>
      <c r="C398" s="20">
        <v>0.94097222222222221</v>
      </c>
      <c r="D398" s="19" t="s">
        <v>70</v>
      </c>
      <c r="E398" s="19" t="s">
        <v>51</v>
      </c>
      <c r="F398" s="19" t="s">
        <v>75</v>
      </c>
      <c r="G398" s="298"/>
      <c r="H398" s="10"/>
      <c r="I398" s="11"/>
      <c r="J398" s="11"/>
      <c r="K398" s="11"/>
      <c r="L398" s="11"/>
      <c r="M398" s="11"/>
      <c r="N398" s="11"/>
      <c r="O398" s="12"/>
      <c r="P398" s="11"/>
      <c r="Q398" s="13"/>
      <c r="R398" s="14"/>
    </row>
    <row r="399" spans="1:18" ht="15" customHeight="1">
      <c r="A399" s="17" t="s">
        <v>68</v>
      </c>
      <c r="B399" s="17" t="s">
        <v>76</v>
      </c>
      <c r="C399" s="18">
        <v>0.69791666666666663</v>
      </c>
      <c r="D399" s="17" t="s">
        <v>70</v>
      </c>
      <c r="E399" s="17" t="s">
        <v>57</v>
      </c>
      <c r="F399" s="17" t="s">
        <v>75</v>
      </c>
      <c r="G399" s="298"/>
      <c r="H399" s="10"/>
      <c r="I399" s="11"/>
      <c r="J399" s="11"/>
      <c r="K399" s="11"/>
      <c r="L399" s="11"/>
      <c r="M399" s="11"/>
      <c r="N399" s="11"/>
      <c r="O399" s="12"/>
      <c r="P399" s="11"/>
      <c r="Q399" s="13"/>
      <c r="R399" s="14"/>
    </row>
    <row r="400" spans="1:18" ht="15" customHeight="1">
      <c r="A400" s="17" t="s">
        <v>68</v>
      </c>
      <c r="B400" s="17" t="s">
        <v>72</v>
      </c>
      <c r="C400" s="18">
        <v>6.5972222222222224E-2</v>
      </c>
      <c r="D400" s="17" t="s">
        <v>70</v>
      </c>
      <c r="E400" s="17" t="s">
        <v>57</v>
      </c>
      <c r="F400" s="17" t="s">
        <v>75</v>
      </c>
      <c r="G400" s="298"/>
      <c r="H400" s="10"/>
      <c r="I400" s="11"/>
      <c r="J400" s="11"/>
      <c r="K400" s="11"/>
      <c r="L400" s="11"/>
      <c r="M400" s="11"/>
      <c r="N400" s="11"/>
      <c r="O400" s="12"/>
      <c r="P400" s="11"/>
      <c r="Q400" s="13"/>
      <c r="R400" s="14"/>
    </row>
    <row r="401" spans="1:18" ht="15" customHeight="1">
      <c r="A401" s="17" t="s">
        <v>68</v>
      </c>
      <c r="B401" s="17" t="s">
        <v>73</v>
      </c>
      <c r="C401" s="18">
        <v>0.28819444444444448</v>
      </c>
      <c r="D401" s="17" t="s">
        <v>70</v>
      </c>
      <c r="E401" s="17" t="s">
        <v>57</v>
      </c>
      <c r="F401" s="17" t="s">
        <v>75</v>
      </c>
      <c r="G401" s="298"/>
      <c r="H401" s="10"/>
      <c r="I401" s="11"/>
      <c r="J401" s="11"/>
      <c r="K401" s="11"/>
      <c r="L401" s="11"/>
      <c r="M401" s="11"/>
      <c r="N401" s="11"/>
      <c r="O401" s="12"/>
      <c r="P401" s="11"/>
      <c r="Q401" s="13"/>
      <c r="R401" s="14"/>
    </row>
    <row r="402" spans="1:18" ht="15" customHeight="1">
      <c r="A402" s="17" t="s">
        <v>68</v>
      </c>
      <c r="B402" s="17" t="s">
        <v>74</v>
      </c>
      <c r="C402" s="18">
        <v>0.33680555555555558</v>
      </c>
      <c r="D402" s="17" t="s">
        <v>70</v>
      </c>
      <c r="E402" s="17" t="s">
        <v>57</v>
      </c>
      <c r="F402" s="17" t="s">
        <v>129</v>
      </c>
      <c r="G402" s="298"/>
      <c r="H402" s="10"/>
      <c r="I402" s="11"/>
      <c r="J402" s="11"/>
      <c r="K402" s="11"/>
      <c r="L402" s="11"/>
      <c r="M402" s="11"/>
      <c r="N402" s="11"/>
      <c r="O402" s="12"/>
      <c r="P402" s="11"/>
      <c r="Q402" s="13"/>
      <c r="R402" s="14"/>
    </row>
    <row r="403" spans="1:18" ht="15" customHeight="1">
      <c r="A403" s="19" t="s">
        <v>48</v>
      </c>
      <c r="B403" s="19" t="s">
        <v>59</v>
      </c>
      <c r="C403" s="20">
        <v>0.22916666666666671</v>
      </c>
      <c r="D403" s="19" t="s">
        <v>53</v>
      </c>
      <c r="E403" s="19" t="s">
        <v>29</v>
      </c>
      <c r="F403" s="19" t="s">
        <v>85</v>
      </c>
      <c r="G403" s="298"/>
      <c r="H403" s="10"/>
      <c r="I403" s="11"/>
      <c r="J403" s="11"/>
      <c r="K403" s="11"/>
      <c r="L403" s="11"/>
      <c r="M403" s="11"/>
      <c r="N403" s="11"/>
      <c r="O403" s="12"/>
      <c r="P403" s="11"/>
      <c r="Q403" s="13"/>
      <c r="R403" s="14"/>
    </row>
    <row r="404" spans="1:18" ht="15" customHeight="1">
      <c r="A404" s="17" t="s">
        <v>48</v>
      </c>
      <c r="B404" s="17" t="s">
        <v>49</v>
      </c>
      <c r="C404" s="18">
        <v>0.35416666666666669</v>
      </c>
      <c r="D404" s="17" t="s">
        <v>53</v>
      </c>
      <c r="E404" s="17" t="s">
        <v>57</v>
      </c>
      <c r="F404" s="17" t="s">
        <v>86</v>
      </c>
      <c r="G404" s="298"/>
      <c r="H404" s="10"/>
      <c r="I404" s="11"/>
      <c r="J404" s="11"/>
      <c r="K404" s="11"/>
      <c r="L404" s="11"/>
      <c r="M404" s="11"/>
      <c r="N404" s="11"/>
      <c r="O404" s="12"/>
      <c r="P404" s="11"/>
      <c r="Q404" s="13"/>
      <c r="R404" s="14"/>
    </row>
    <row r="405" spans="1:18" ht="15" customHeight="1">
      <c r="A405" s="17" t="s">
        <v>48</v>
      </c>
      <c r="B405" s="17" t="s">
        <v>56</v>
      </c>
      <c r="C405" s="18">
        <v>0.89583333333333337</v>
      </c>
      <c r="D405" s="17" t="s">
        <v>53</v>
      </c>
      <c r="E405" s="17" t="s">
        <v>57</v>
      </c>
      <c r="F405" s="17" t="s">
        <v>86</v>
      </c>
      <c r="G405" s="298"/>
      <c r="H405" s="10"/>
      <c r="I405" s="11"/>
      <c r="J405" s="11"/>
      <c r="K405" s="11"/>
      <c r="L405" s="11"/>
      <c r="M405" s="11"/>
      <c r="N405" s="11"/>
      <c r="O405" s="12"/>
      <c r="P405" s="11"/>
      <c r="Q405" s="13"/>
      <c r="R405" s="14"/>
    </row>
    <row r="406" spans="1:18" ht="15" customHeight="1" thickBot="1">
      <c r="A406" s="30" t="s">
        <v>48</v>
      </c>
      <c r="B406" s="30" t="s">
        <v>58</v>
      </c>
      <c r="C406" s="31">
        <v>0.18402777777777779</v>
      </c>
      <c r="D406" s="30" t="s">
        <v>53</v>
      </c>
      <c r="E406" s="30" t="s">
        <v>57</v>
      </c>
      <c r="F406" s="30" t="s">
        <v>86</v>
      </c>
      <c r="G406" s="299"/>
      <c r="H406" s="300"/>
      <c r="I406" s="140"/>
      <c r="J406" s="140"/>
      <c r="K406" s="140"/>
      <c r="L406" s="140"/>
      <c r="M406" s="140"/>
      <c r="N406" s="140"/>
      <c r="O406" s="141"/>
      <c r="P406" s="140"/>
      <c r="Q406" s="142"/>
      <c r="R406" s="301"/>
    </row>
    <row r="407" spans="1:18" ht="17.45" customHeight="1" thickBot="1">
      <c r="A407" s="283"/>
      <c r="B407" s="284"/>
      <c r="C407" s="284"/>
      <c r="D407" s="284"/>
      <c r="E407" s="284"/>
      <c r="F407" s="284"/>
      <c r="G407" s="284"/>
      <c r="H407" s="284"/>
      <c r="I407" s="284"/>
      <c r="J407" s="284"/>
      <c r="K407" s="284"/>
      <c r="L407" s="284"/>
      <c r="M407" s="284"/>
      <c r="N407" s="284"/>
      <c r="O407" s="284"/>
      <c r="P407" s="284"/>
      <c r="Q407" s="284"/>
      <c r="R407" s="285"/>
    </row>
    <row r="408" spans="1:18" ht="22.15" customHeight="1" thickTop="1" thickBot="1">
      <c r="A408" s="279" t="s">
        <v>6</v>
      </c>
      <c r="B408" s="295"/>
      <c r="C408" s="295"/>
      <c r="D408" s="295"/>
      <c r="E408" s="295"/>
      <c r="F408" s="296"/>
      <c r="G408" s="32">
        <v>46040</v>
      </c>
      <c r="H408" s="278" t="s">
        <v>7</v>
      </c>
      <c r="I408" s="295"/>
      <c r="J408" s="295"/>
      <c r="K408" s="295"/>
      <c r="L408" s="295"/>
      <c r="M408" s="295"/>
      <c r="N408" s="295"/>
      <c r="O408" s="295"/>
      <c r="P408" s="295"/>
      <c r="Q408" s="295"/>
      <c r="R408" s="296"/>
    </row>
    <row r="409" spans="1:18" ht="24" customHeight="1">
      <c r="A409" s="33" t="s">
        <v>8</v>
      </c>
      <c r="B409" s="33" t="s">
        <v>9</v>
      </c>
      <c r="C409" s="34" t="s">
        <v>10</v>
      </c>
      <c r="D409" s="33" t="s">
        <v>11</v>
      </c>
      <c r="E409" s="33" t="s">
        <v>12</v>
      </c>
      <c r="F409" s="35" t="s">
        <v>13</v>
      </c>
      <c r="G409" s="36" t="s">
        <v>14</v>
      </c>
      <c r="H409" s="33" t="s">
        <v>15</v>
      </c>
      <c r="I409" s="37" t="s">
        <v>16</v>
      </c>
      <c r="J409" s="38" t="s">
        <v>17</v>
      </c>
      <c r="K409" s="39" t="s">
        <v>18</v>
      </c>
      <c r="L409" s="38" t="s">
        <v>19</v>
      </c>
      <c r="M409" s="38" t="s">
        <v>20</v>
      </c>
      <c r="N409" s="38" t="s">
        <v>21</v>
      </c>
      <c r="O409" s="33" t="s">
        <v>22</v>
      </c>
      <c r="P409" s="34" t="s">
        <v>23</v>
      </c>
      <c r="Q409" s="38" t="s">
        <v>24</v>
      </c>
      <c r="R409" s="33" t="s">
        <v>25</v>
      </c>
    </row>
    <row r="410" spans="1:18" ht="15" customHeight="1">
      <c r="A410" s="8" t="s">
        <v>38</v>
      </c>
      <c r="B410" s="8" t="s">
        <v>39</v>
      </c>
      <c r="C410" s="9">
        <v>0.22916666666666671</v>
      </c>
      <c r="D410" s="8" t="s">
        <v>40</v>
      </c>
      <c r="E410" s="8" t="s">
        <v>156</v>
      </c>
      <c r="F410" s="8" t="s">
        <v>78</v>
      </c>
      <c r="G410" s="297"/>
      <c r="H410" s="10"/>
      <c r="I410" s="11"/>
      <c r="J410" s="11"/>
      <c r="K410" s="11"/>
      <c r="L410" s="11"/>
      <c r="M410" s="11"/>
      <c r="N410" s="11"/>
      <c r="O410" s="12"/>
      <c r="P410" s="11"/>
      <c r="Q410" s="13"/>
      <c r="R410" s="14"/>
    </row>
    <row r="411" spans="1:18" ht="15" customHeight="1">
      <c r="A411" s="15" t="s">
        <v>38</v>
      </c>
      <c r="B411" s="15" t="s">
        <v>39</v>
      </c>
      <c r="C411" s="16">
        <v>0.22916666666666671</v>
      </c>
      <c r="D411" s="15" t="s">
        <v>43</v>
      </c>
      <c r="E411" s="15" t="s">
        <v>135</v>
      </c>
      <c r="F411" s="15" t="s">
        <v>79</v>
      </c>
      <c r="G411" s="298"/>
      <c r="H411" s="10"/>
      <c r="I411" s="11"/>
      <c r="J411" s="11"/>
      <c r="K411" s="11"/>
      <c r="L411" s="11"/>
      <c r="M411" s="11"/>
      <c r="N411" s="11"/>
      <c r="O411" s="12"/>
      <c r="P411" s="11"/>
      <c r="Q411" s="13"/>
      <c r="R411" s="14"/>
    </row>
    <row r="412" spans="1:18" ht="15" customHeight="1">
      <c r="A412" s="15" t="s">
        <v>38</v>
      </c>
      <c r="B412" s="15" t="s">
        <v>39</v>
      </c>
      <c r="C412" s="16">
        <v>0.22916666666666671</v>
      </c>
      <c r="D412" s="15" t="s">
        <v>46</v>
      </c>
      <c r="E412" s="15" t="s">
        <v>135</v>
      </c>
      <c r="F412" s="15" t="s">
        <v>47</v>
      </c>
      <c r="G412" s="298"/>
      <c r="H412" s="10"/>
      <c r="I412" s="11"/>
      <c r="J412" s="11"/>
      <c r="K412" s="11"/>
      <c r="L412" s="11"/>
      <c r="M412" s="11"/>
      <c r="N412" s="11"/>
      <c r="O412" s="12"/>
      <c r="P412" s="11"/>
      <c r="Q412" s="13"/>
      <c r="R412" s="14"/>
    </row>
    <row r="413" spans="1:18" ht="15" customHeight="1">
      <c r="A413" s="19" t="s">
        <v>26</v>
      </c>
      <c r="B413" s="19" t="s">
        <v>27</v>
      </c>
      <c r="C413" s="20">
        <v>0.60763888888888895</v>
      </c>
      <c r="D413" s="19" t="s">
        <v>28</v>
      </c>
      <c r="E413" s="19" t="s">
        <v>103</v>
      </c>
      <c r="F413" s="19" t="s">
        <v>159</v>
      </c>
      <c r="G413" s="298"/>
      <c r="H413" s="10"/>
      <c r="I413" s="11"/>
      <c r="J413" s="11"/>
      <c r="K413" s="11"/>
      <c r="L413" s="11"/>
      <c r="M413" s="11"/>
      <c r="N413" s="11"/>
      <c r="O413" s="12"/>
      <c r="P413" s="11"/>
      <c r="Q413" s="13"/>
      <c r="R413" s="14"/>
    </row>
    <row r="414" spans="1:18" ht="15" customHeight="1">
      <c r="A414" s="15" t="s">
        <v>26</v>
      </c>
      <c r="B414" s="15" t="s">
        <v>27</v>
      </c>
      <c r="C414" s="16">
        <v>0.60763888888888895</v>
      </c>
      <c r="D414" s="15" t="s">
        <v>31</v>
      </c>
      <c r="E414" s="15" t="s">
        <v>99</v>
      </c>
      <c r="F414" s="15" t="s">
        <v>139</v>
      </c>
      <c r="G414" s="298"/>
      <c r="H414" s="10"/>
      <c r="I414" s="11"/>
      <c r="J414" s="11"/>
      <c r="K414" s="11"/>
      <c r="L414" s="11"/>
      <c r="M414" s="11"/>
      <c r="N414" s="11"/>
      <c r="O414" s="12"/>
      <c r="P414" s="11"/>
      <c r="Q414" s="13"/>
      <c r="R414" s="14"/>
    </row>
    <row r="415" spans="1:18" ht="15" customHeight="1">
      <c r="A415" s="15" t="s">
        <v>26</v>
      </c>
      <c r="B415" s="15" t="s">
        <v>27</v>
      </c>
      <c r="C415" s="16">
        <v>0.60763888888888895</v>
      </c>
      <c r="D415" s="15" t="s">
        <v>34</v>
      </c>
      <c r="E415" s="15" t="s">
        <v>99</v>
      </c>
      <c r="F415" s="15" t="s">
        <v>160</v>
      </c>
      <c r="G415" s="298"/>
      <c r="H415" s="10"/>
      <c r="I415" s="11"/>
      <c r="J415" s="11"/>
      <c r="K415" s="11"/>
      <c r="L415" s="11"/>
      <c r="M415" s="11"/>
      <c r="N415" s="11"/>
      <c r="O415" s="12"/>
      <c r="P415" s="11"/>
      <c r="Q415" s="13"/>
      <c r="R415" s="14"/>
    </row>
    <row r="416" spans="1:18" ht="15" customHeight="1">
      <c r="A416" s="40" t="s">
        <v>61</v>
      </c>
      <c r="B416" s="40" t="s">
        <v>62</v>
      </c>
      <c r="C416" s="41">
        <v>0.74305555555555547</v>
      </c>
      <c r="D416" s="40" t="s">
        <v>63</v>
      </c>
      <c r="E416" s="40" t="s">
        <v>51</v>
      </c>
      <c r="F416" s="40" t="s">
        <v>64</v>
      </c>
      <c r="G416" s="298"/>
      <c r="H416" s="42" t="s">
        <v>65</v>
      </c>
      <c r="I416" s="43">
        <v>0.36109999999999998</v>
      </c>
      <c r="J416" s="44">
        <v>65</v>
      </c>
      <c r="K416" s="45">
        <v>46204</v>
      </c>
      <c r="L416" s="44">
        <v>2</v>
      </c>
      <c r="M416" s="44">
        <v>0</v>
      </c>
      <c r="N416" s="44">
        <v>0</v>
      </c>
      <c r="O416" s="46" t="s">
        <v>67</v>
      </c>
      <c r="P416" s="47">
        <v>0.74305555555555547</v>
      </c>
      <c r="Q416" s="44">
        <v>180</v>
      </c>
      <c r="R416" s="48" t="s">
        <v>165</v>
      </c>
    </row>
    <row r="417" spans="1:18" ht="15" customHeight="1">
      <c r="A417" s="19" t="s">
        <v>68</v>
      </c>
      <c r="B417" s="19" t="s">
        <v>74</v>
      </c>
      <c r="C417" s="20">
        <v>0.33680555555555558</v>
      </c>
      <c r="D417" s="19" t="s">
        <v>70</v>
      </c>
      <c r="E417" s="19" t="s">
        <v>51</v>
      </c>
      <c r="F417" s="19" t="s">
        <v>75</v>
      </c>
      <c r="G417" s="298"/>
      <c r="H417" s="10"/>
      <c r="I417" s="11"/>
      <c r="J417" s="11"/>
      <c r="K417" s="11"/>
      <c r="L417" s="11"/>
      <c r="M417" s="11"/>
      <c r="N417" s="11"/>
      <c r="O417" s="12"/>
      <c r="P417" s="11"/>
      <c r="Q417" s="13"/>
      <c r="R417" s="14"/>
    </row>
    <row r="418" spans="1:18" ht="15" customHeight="1">
      <c r="A418" s="17" t="s">
        <v>68</v>
      </c>
      <c r="B418" s="17" t="s">
        <v>69</v>
      </c>
      <c r="C418" s="18">
        <v>0.94097222222222221</v>
      </c>
      <c r="D418" s="17" t="s">
        <v>70</v>
      </c>
      <c r="E418" s="17" t="s">
        <v>57</v>
      </c>
      <c r="F418" s="17" t="s">
        <v>75</v>
      </c>
      <c r="G418" s="298"/>
      <c r="H418" s="10"/>
      <c r="I418" s="11"/>
      <c r="J418" s="11"/>
      <c r="K418" s="11"/>
      <c r="L418" s="11"/>
      <c r="M418" s="11"/>
      <c r="N418" s="11"/>
      <c r="O418" s="12"/>
      <c r="P418" s="11"/>
      <c r="Q418" s="13"/>
      <c r="R418" s="14"/>
    </row>
    <row r="419" spans="1:18" ht="15" customHeight="1">
      <c r="A419" s="17" t="s">
        <v>68</v>
      </c>
      <c r="B419" s="17" t="s">
        <v>76</v>
      </c>
      <c r="C419" s="18">
        <v>0.69791666666666663</v>
      </c>
      <c r="D419" s="17" t="s">
        <v>70</v>
      </c>
      <c r="E419" s="17" t="s">
        <v>57</v>
      </c>
      <c r="F419" s="17" t="s">
        <v>75</v>
      </c>
      <c r="G419" s="298"/>
      <c r="H419" s="10"/>
      <c r="I419" s="11"/>
      <c r="J419" s="11"/>
      <c r="K419" s="11"/>
      <c r="L419" s="11"/>
      <c r="M419" s="11"/>
      <c r="N419" s="11"/>
      <c r="O419" s="12"/>
      <c r="P419" s="11"/>
      <c r="Q419" s="13"/>
      <c r="R419" s="14"/>
    </row>
    <row r="420" spans="1:18" ht="15" customHeight="1">
      <c r="A420" s="17" t="s">
        <v>68</v>
      </c>
      <c r="B420" s="17" t="s">
        <v>72</v>
      </c>
      <c r="C420" s="18">
        <v>6.5972222222222224E-2</v>
      </c>
      <c r="D420" s="17" t="s">
        <v>70</v>
      </c>
      <c r="E420" s="17" t="s">
        <v>57</v>
      </c>
      <c r="F420" s="17" t="s">
        <v>75</v>
      </c>
      <c r="G420" s="298"/>
      <c r="H420" s="10"/>
      <c r="I420" s="11"/>
      <c r="J420" s="11"/>
      <c r="K420" s="11"/>
      <c r="L420" s="11"/>
      <c r="M420" s="11"/>
      <c r="N420" s="11"/>
      <c r="O420" s="12"/>
      <c r="P420" s="11"/>
      <c r="Q420" s="13"/>
      <c r="R420" s="14"/>
    </row>
    <row r="421" spans="1:18" ht="15" customHeight="1">
      <c r="A421" s="17" t="s">
        <v>68</v>
      </c>
      <c r="B421" s="17" t="s">
        <v>73</v>
      </c>
      <c r="C421" s="18">
        <v>0.28819444444444448</v>
      </c>
      <c r="D421" s="17" t="s">
        <v>70</v>
      </c>
      <c r="E421" s="17" t="s">
        <v>57</v>
      </c>
      <c r="F421" s="17" t="s">
        <v>75</v>
      </c>
      <c r="G421" s="298"/>
      <c r="H421" s="10"/>
      <c r="I421" s="11"/>
      <c r="J421" s="11"/>
      <c r="K421" s="11"/>
      <c r="L421" s="11"/>
      <c r="M421" s="11"/>
      <c r="N421" s="11"/>
      <c r="O421" s="12"/>
      <c r="P421" s="11"/>
      <c r="Q421" s="13"/>
      <c r="R421" s="14"/>
    </row>
    <row r="422" spans="1:18" ht="15" customHeight="1">
      <c r="A422" s="19" t="s">
        <v>48</v>
      </c>
      <c r="B422" s="19" t="s">
        <v>59</v>
      </c>
      <c r="C422" s="20">
        <v>0.22916666666666671</v>
      </c>
      <c r="D422" s="19" t="s">
        <v>53</v>
      </c>
      <c r="E422" s="19" t="s">
        <v>29</v>
      </c>
      <c r="F422" s="19" t="s">
        <v>93</v>
      </c>
      <c r="G422" s="298"/>
      <c r="H422" s="10"/>
      <c r="I422" s="11"/>
      <c r="J422" s="11"/>
      <c r="K422" s="11"/>
      <c r="L422" s="11"/>
      <c r="M422" s="11"/>
      <c r="N422" s="11"/>
      <c r="O422" s="12"/>
      <c r="P422" s="11"/>
      <c r="Q422" s="13"/>
      <c r="R422" s="14"/>
    </row>
    <row r="423" spans="1:18" ht="15" customHeight="1">
      <c r="A423" s="17" t="s">
        <v>48</v>
      </c>
      <c r="B423" s="17" t="s">
        <v>49</v>
      </c>
      <c r="C423" s="18">
        <v>0.35069444444444442</v>
      </c>
      <c r="D423" s="17" t="s">
        <v>53</v>
      </c>
      <c r="E423" s="17" t="s">
        <v>57</v>
      </c>
      <c r="F423" s="17" t="s">
        <v>86</v>
      </c>
      <c r="G423" s="298"/>
      <c r="H423" s="10"/>
      <c r="I423" s="11"/>
      <c r="J423" s="11"/>
      <c r="K423" s="11"/>
      <c r="L423" s="11"/>
      <c r="M423" s="11"/>
      <c r="N423" s="11"/>
      <c r="O423" s="12"/>
      <c r="P423" s="11"/>
      <c r="Q423" s="13"/>
      <c r="R423" s="14"/>
    </row>
    <row r="424" spans="1:18" ht="15" customHeight="1">
      <c r="A424" s="17" t="s">
        <v>48</v>
      </c>
      <c r="B424" s="17" t="s">
        <v>56</v>
      </c>
      <c r="C424" s="18">
        <v>0.89583333333333337</v>
      </c>
      <c r="D424" s="17" t="s">
        <v>53</v>
      </c>
      <c r="E424" s="17" t="s">
        <v>57</v>
      </c>
      <c r="F424" s="17" t="s">
        <v>86</v>
      </c>
      <c r="G424" s="298"/>
      <c r="H424" s="10"/>
      <c r="I424" s="11"/>
      <c r="J424" s="11"/>
      <c r="K424" s="11"/>
      <c r="L424" s="11"/>
      <c r="M424" s="11"/>
      <c r="N424" s="11"/>
      <c r="O424" s="12"/>
      <c r="P424" s="11"/>
      <c r="Q424" s="13"/>
      <c r="R424" s="14"/>
    </row>
    <row r="425" spans="1:18" ht="15" customHeight="1" thickBot="1">
      <c r="A425" s="30" t="s">
        <v>48</v>
      </c>
      <c r="B425" s="30" t="s">
        <v>58</v>
      </c>
      <c r="C425" s="31">
        <v>0.18402777777777779</v>
      </c>
      <c r="D425" s="30" t="s">
        <v>53</v>
      </c>
      <c r="E425" s="30" t="s">
        <v>57</v>
      </c>
      <c r="F425" s="30" t="s">
        <v>86</v>
      </c>
      <c r="G425" s="299"/>
      <c r="H425" s="300"/>
      <c r="I425" s="140"/>
      <c r="J425" s="140"/>
      <c r="K425" s="140"/>
      <c r="L425" s="140"/>
      <c r="M425" s="140"/>
      <c r="N425" s="140"/>
      <c r="O425" s="141"/>
      <c r="P425" s="140"/>
      <c r="Q425" s="142"/>
      <c r="R425" s="301"/>
    </row>
    <row r="426" spans="1:18" ht="17.45" customHeight="1" thickBot="1">
      <c r="A426" s="283"/>
      <c r="B426" s="284"/>
      <c r="C426" s="284"/>
      <c r="D426" s="284"/>
      <c r="E426" s="284"/>
      <c r="F426" s="284"/>
      <c r="G426" s="284"/>
      <c r="H426" s="284"/>
      <c r="I426" s="284"/>
      <c r="J426" s="284"/>
      <c r="K426" s="284"/>
      <c r="L426" s="284"/>
      <c r="M426" s="284"/>
      <c r="N426" s="284"/>
      <c r="O426" s="284"/>
      <c r="P426" s="284"/>
      <c r="Q426" s="284"/>
      <c r="R426" s="285"/>
    </row>
    <row r="427" spans="1:18" ht="22.15" customHeight="1" thickTop="1" thickBot="1">
      <c r="A427" s="279" t="s">
        <v>6</v>
      </c>
      <c r="B427" s="295"/>
      <c r="C427" s="295"/>
      <c r="D427" s="295"/>
      <c r="E427" s="295"/>
      <c r="F427" s="296"/>
      <c r="G427" s="32">
        <v>46041</v>
      </c>
      <c r="H427" s="278" t="s">
        <v>7</v>
      </c>
      <c r="I427" s="295"/>
      <c r="J427" s="295"/>
      <c r="K427" s="295"/>
      <c r="L427" s="295"/>
      <c r="M427" s="295"/>
      <c r="N427" s="295"/>
      <c r="O427" s="295"/>
      <c r="P427" s="295"/>
      <c r="Q427" s="295"/>
      <c r="R427" s="296"/>
    </row>
    <row r="428" spans="1:18" ht="24" customHeight="1">
      <c r="A428" s="33" t="s">
        <v>8</v>
      </c>
      <c r="B428" s="33" t="s">
        <v>9</v>
      </c>
      <c r="C428" s="34" t="s">
        <v>10</v>
      </c>
      <c r="D428" s="33" t="s">
        <v>11</v>
      </c>
      <c r="E428" s="33" t="s">
        <v>12</v>
      </c>
      <c r="F428" s="35" t="s">
        <v>13</v>
      </c>
      <c r="G428" s="36" t="s">
        <v>14</v>
      </c>
      <c r="H428" s="33" t="s">
        <v>15</v>
      </c>
      <c r="I428" s="37" t="s">
        <v>16</v>
      </c>
      <c r="J428" s="38" t="s">
        <v>17</v>
      </c>
      <c r="K428" s="39" t="s">
        <v>18</v>
      </c>
      <c r="L428" s="38" t="s">
        <v>19</v>
      </c>
      <c r="M428" s="38" t="s">
        <v>20</v>
      </c>
      <c r="N428" s="38" t="s">
        <v>21</v>
      </c>
      <c r="O428" s="33" t="s">
        <v>22</v>
      </c>
      <c r="P428" s="34" t="s">
        <v>23</v>
      </c>
      <c r="Q428" s="38" t="s">
        <v>24</v>
      </c>
      <c r="R428" s="33" t="s">
        <v>25</v>
      </c>
    </row>
    <row r="429" spans="1:18" ht="15" customHeight="1">
      <c r="A429" s="8" t="s">
        <v>38</v>
      </c>
      <c r="B429" s="8" t="s">
        <v>39</v>
      </c>
      <c r="C429" s="9">
        <v>0.22916666666666671</v>
      </c>
      <c r="D429" s="8" t="s">
        <v>40</v>
      </c>
      <c r="E429" s="8" t="s">
        <v>100</v>
      </c>
      <c r="F429" s="8" t="s">
        <v>78</v>
      </c>
      <c r="G429" s="297"/>
      <c r="H429" s="10"/>
      <c r="I429" s="11"/>
      <c r="J429" s="11"/>
      <c r="K429" s="11"/>
      <c r="L429" s="11"/>
      <c r="M429" s="11"/>
      <c r="N429" s="11"/>
      <c r="O429" s="12"/>
      <c r="P429" s="11"/>
      <c r="Q429" s="13"/>
      <c r="R429" s="14"/>
    </row>
    <row r="430" spans="1:18" ht="15" customHeight="1">
      <c r="A430" s="15" t="s">
        <v>38</v>
      </c>
      <c r="B430" s="15" t="s">
        <v>39</v>
      </c>
      <c r="C430" s="16">
        <v>0.22916666666666671</v>
      </c>
      <c r="D430" s="15" t="s">
        <v>43</v>
      </c>
      <c r="E430" s="15" t="s">
        <v>115</v>
      </c>
      <c r="F430" s="15" t="s">
        <v>79</v>
      </c>
      <c r="G430" s="298"/>
      <c r="H430" s="10"/>
      <c r="I430" s="11"/>
      <c r="J430" s="11"/>
      <c r="K430" s="11"/>
      <c r="L430" s="11"/>
      <c r="M430" s="11"/>
      <c r="N430" s="11"/>
      <c r="O430" s="12"/>
      <c r="P430" s="11"/>
      <c r="Q430" s="13"/>
      <c r="R430" s="14"/>
    </row>
    <row r="431" spans="1:18" ht="15" customHeight="1">
      <c r="A431" s="15" t="s">
        <v>38</v>
      </c>
      <c r="B431" s="15" t="s">
        <v>39</v>
      </c>
      <c r="C431" s="16">
        <v>0.22916666666666671</v>
      </c>
      <c r="D431" s="15" t="s">
        <v>46</v>
      </c>
      <c r="E431" s="15" t="s">
        <v>115</v>
      </c>
      <c r="F431" s="15" t="s">
        <v>47</v>
      </c>
      <c r="G431" s="298"/>
      <c r="H431" s="10"/>
      <c r="I431" s="11"/>
      <c r="J431" s="11"/>
      <c r="K431" s="11"/>
      <c r="L431" s="11"/>
      <c r="M431" s="11"/>
      <c r="N431" s="11"/>
      <c r="O431" s="12"/>
      <c r="P431" s="11"/>
      <c r="Q431" s="13"/>
      <c r="R431" s="14"/>
    </row>
    <row r="432" spans="1:18" ht="15" customHeight="1">
      <c r="A432" s="17" t="s">
        <v>38</v>
      </c>
      <c r="B432" s="17" t="s">
        <v>87</v>
      </c>
      <c r="C432" s="18">
        <v>6.25E-2</v>
      </c>
      <c r="D432" s="17" t="s">
        <v>40</v>
      </c>
      <c r="E432" s="17" t="s">
        <v>125</v>
      </c>
      <c r="F432" s="17" t="s">
        <v>78</v>
      </c>
      <c r="G432" s="298"/>
      <c r="H432" s="10"/>
      <c r="I432" s="11"/>
      <c r="J432" s="11"/>
      <c r="K432" s="11"/>
      <c r="L432" s="11"/>
      <c r="M432" s="11"/>
      <c r="N432" s="11"/>
      <c r="O432" s="12"/>
      <c r="P432" s="11"/>
      <c r="Q432" s="13"/>
      <c r="R432" s="14"/>
    </row>
    <row r="433" spans="1:18" ht="15" customHeight="1">
      <c r="A433" s="15" t="s">
        <v>38</v>
      </c>
      <c r="B433" s="15" t="s">
        <v>87</v>
      </c>
      <c r="C433" s="16">
        <v>6.25E-2</v>
      </c>
      <c r="D433" s="15" t="s">
        <v>43</v>
      </c>
      <c r="E433" s="15" t="s">
        <v>44</v>
      </c>
      <c r="F433" s="15" t="s">
        <v>79</v>
      </c>
      <c r="G433" s="298"/>
      <c r="H433" s="10"/>
      <c r="I433" s="11"/>
      <c r="J433" s="11"/>
      <c r="K433" s="11"/>
      <c r="L433" s="11"/>
      <c r="M433" s="11"/>
      <c r="N433" s="11"/>
      <c r="O433" s="12"/>
      <c r="P433" s="11"/>
      <c r="Q433" s="13"/>
      <c r="R433" s="14"/>
    </row>
    <row r="434" spans="1:18" ht="15" customHeight="1">
      <c r="A434" s="15" t="s">
        <v>38</v>
      </c>
      <c r="B434" s="15" t="s">
        <v>87</v>
      </c>
      <c r="C434" s="16">
        <v>6.25E-2</v>
      </c>
      <c r="D434" s="15" t="s">
        <v>46</v>
      </c>
      <c r="E434" s="15" t="s">
        <v>44</v>
      </c>
      <c r="F434" s="15" t="s">
        <v>47</v>
      </c>
      <c r="G434" s="298"/>
      <c r="H434" s="10"/>
      <c r="I434" s="11"/>
      <c r="J434" s="11"/>
      <c r="K434" s="11"/>
      <c r="L434" s="11"/>
      <c r="M434" s="11"/>
      <c r="N434" s="11"/>
      <c r="O434" s="12"/>
      <c r="P434" s="11"/>
      <c r="Q434" s="13"/>
      <c r="R434" s="14"/>
    </row>
    <row r="435" spans="1:18" ht="15" customHeight="1">
      <c r="A435" s="19" t="s">
        <v>48</v>
      </c>
      <c r="B435" s="19" t="s">
        <v>56</v>
      </c>
      <c r="C435" s="20">
        <v>0.89583333333333337</v>
      </c>
      <c r="D435" s="19" t="s">
        <v>50</v>
      </c>
      <c r="E435" s="19" t="s">
        <v>51</v>
      </c>
      <c r="F435" s="19" t="s">
        <v>96</v>
      </c>
      <c r="G435" s="298"/>
      <c r="H435" s="10"/>
      <c r="I435" s="11"/>
      <c r="J435" s="11"/>
      <c r="K435" s="11"/>
      <c r="L435" s="11"/>
      <c r="M435" s="11"/>
      <c r="N435" s="11"/>
      <c r="O435" s="12"/>
      <c r="P435" s="11"/>
      <c r="Q435" s="13"/>
      <c r="R435" s="14"/>
    </row>
    <row r="436" spans="1:18" ht="15" customHeight="1">
      <c r="A436" s="15" t="s">
        <v>48</v>
      </c>
      <c r="B436" s="15" t="s">
        <v>56</v>
      </c>
      <c r="C436" s="16">
        <v>0.89583333333333337</v>
      </c>
      <c r="D436" s="15" t="s">
        <v>53</v>
      </c>
      <c r="E436" s="15" t="s">
        <v>54</v>
      </c>
      <c r="F436" s="15" t="s">
        <v>97</v>
      </c>
      <c r="G436" s="298"/>
      <c r="H436" s="10"/>
      <c r="I436" s="11"/>
      <c r="J436" s="11"/>
      <c r="K436" s="11"/>
      <c r="L436" s="11"/>
      <c r="M436" s="11"/>
      <c r="N436" s="11"/>
      <c r="O436" s="12"/>
      <c r="P436" s="11"/>
      <c r="Q436" s="13"/>
      <c r="R436" s="14"/>
    </row>
    <row r="437" spans="1:18" ht="15" customHeight="1">
      <c r="A437" s="17" t="s">
        <v>48</v>
      </c>
      <c r="B437" s="17" t="s">
        <v>58</v>
      </c>
      <c r="C437" s="18">
        <v>0.18402777777777779</v>
      </c>
      <c r="D437" s="17" t="s">
        <v>50</v>
      </c>
      <c r="E437" s="17" t="s">
        <v>57</v>
      </c>
      <c r="F437" s="17" t="s">
        <v>109</v>
      </c>
      <c r="G437" s="298"/>
      <c r="H437" s="10"/>
      <c r="I437" s="11"/>
      <c r="J437" s="11"/>
      <c r="K437" s="11"/>
      <c r="L437" s="11"/>
      <c r="M437" s="11"/>
      <c r="N437" s="11"/>
      <c r="O437" s="12"/>
      <c r="P437" s="11"/>
      <c r="Q437" s="13"/>
      <c r="R437" s="14"/>
    </row>
    <row r="438" spans="1:18" ht="15" customHeight="1">
      <c r="A438" s="15" t="s">
        <v>48</v>
      </c>
      <c r="B438" s="15" t="s">
        <v>58</v>
      </c>
      <c r="C438" s="16">
        <v>0.18402777777777779</v>
      </c>
      <c r="D438" s="15" t="s">
        <v>53</v>
      </c>
      <c r="E438" s="15" t="s">
        <v>54</v>
      </c>
      <c r="F438" s="15" t="s">
        <v>110</v>
      </c>
      <c r="G438" s="298"/>
      <c r="H438" s="10"/>
      <c r="I438" s="11"/>
      <c r="J438" s="11"/>
      <c r="K438" s="11"/>
      <c r="L438" s="11"/>
      <c r="M438" s="11"/>
      <c r="N438" s="11"/>
      <c r="O438" s="12"/>
      <c r="P438" s="11"/>
      <c r="Q438" s="13"/>
      <c r="R438" s="14"/>
    </row>
    <row r="439" spans="1:18" ht="15" customHeight="1">
      <c r="A439" s="17" t="s">
        <v>48</v>
      </c>
      <c r="B439" s="17" t="s">
        <v>59</v>
      </c>
      <c r="C439" s="18">
        <v>0.22916666666666671</v>
      </c>
      <c r="D439" s="17" t="s">
        <v>53</v>
      </c>
      <c r="E439" s="17" t="s">
        <v>37</v>
      </c>
      <c r="F439" s="17" t="s">
        <v>93</v>
      </c>
      <c r="G439" s="298"/>
      <c r="H439" s="10"/>
      <c r="I439" s="11"/>
      <c r="J439" s="11"/>
      <c r="K439" s="11"/>
      <c r="L439" s="11"/>
      <c r="M439" s="11"/>
      <c r="N439" s="11"/>
      <c r="O439" s="12"/>
      <c r="P439" s="11"/>
      <c r="Q439" s="13"/>
      <c r="R439" s="14"/>
    </row>
    <row r="440" spans="1:18" ht="15" customHeight="1">
      <c r="A440" s="17" t="s">
        <v>48</v>
      </c>
      <c r="B440" s="17" t="s">
        <v>49</v>
      </c>
      <c r="C440" s="18">
        <v>0.35069444444444442</v>
      </c>
      <c r="D440" s="17" t="s">
        <v>53</v>
      </c>
      <c r="E440" s="17" t="s">
        <v>57</v>
      </c>
      <c r="F440" s="17" t="s">
        <v>60</v>
      </c>
      <c r="G440" s="298"/>
      <c r="H440" s="10"/>
      <c r="I440" s="11"/>
      <c r="J440" s="11"/>
      <c r="K440" s="11"/>
      <c r="L440" s="11"/>
      <c r="M440" s="11"/>
      <c r="N440" s="11"/>
      <c r="O440" s="12"/>
      <c r="P440" s="11"/>
      <c r="Q440" s="13"/>
      <c r="R440" s="14"/>
    </row>
    <row r="441" spans="1:18" ht="15" customHeight="1">
      <c r="A441" s="19" t="s">
        <v>26</v>
      </c>
      <c r="B441" s="19" t="s">
        <v>27</v>
      </c>
      <c r="C441" s="20">
        <v>0.60763888888888895</v>
      </c>
      <c r="D441" s="19" t="s">
        <v>28</v>
      </c>
      <c r="E441" s="19" t="s">
        <v>103</v>
      </c>
      <c r="F441" s="19" t="s">
        <v>161</v>
      </c>
      <c r="G441" s="298"/>
      <c r="H441" s="10"/>
      <c r="I441" s="11"/>
      <c r="J441" s="11"/>
      <c r="K441" s="11"/>
      <c r="L441" s="11"/>
      <c r="M441" s="11"/>
      <c r="N441" s="11"/>
      <c r="O441" s="12"/>
      <c r="P441" s="11"/>
      <c r="Q441" s="13"/>
      <c r="R441" s="14"/>
    </row>
    <row r="442" spans="1:18" ht="15" customHeight="1">
      <c r="A442" s="15" t="s">
        <v>26</v>
      </c>
      <c r="B442" s="15" t="s">
        <v>27</v>
      </c>
      <c r="C442" s="16">
        <v>0.60763888888888895</v>
      </c>
      <c r="D442" s="15" t="s">
        <v>31</v>
      </c>
      <c r="E442" s="15" t="s">
        <v>99</v>
      </c>
      <c r="F442" s="15" t="s">
        <v>162</v>
      </c>
      <c r="G442" s="298"/>
      <c r="H442" s="10"/>
      <c r="I442" s="11"/>
      <c r="J442" s="11"/>
      <c r="K442" s="11"/>
      <c r="L442" s="11"/>
      <c r="M442" s="11"/>
      <c r="N442" s="11"/>
      <c r="O442" s="12"/>
      <c r="P442" s="11"/>
      <c r="Q442" s="13"/>
      <c r="R442" s="14"/>
    </row>
    <row r="443" spans="1:18" ht="15" customHeight="1">
      <c r="A443" s="15" t="s">
        <v>26</v>
      </c>
      <c r="B443" s="15" t="s">
        <v>27</v>
      </c>
      <c r="C443" s="16">
        <v>0.60763888888888895</v>
      </c>
      <c r="D443" s="15" t="s">
        <v>34</v>
      </c>
      <c r="E443" s="15" t="s">
        <v>99</v>
      </c>
      <c r="F443" s="15" t="s">
        <v>163</v>
      </c>
      <c r="G443" s="298"/>
      <c r="H443" s="10"/>
      <c r="I443" s="11"/>
      <c r="J443" s="11"/>
      <c r="K443" s="11"/>
      <c r="L443" s="11"/>
      <c r="M443" s="11"/>
      <c r="N443" s="11"/>
      <c r="O443" s="12"/>
      <c r="P443" s="11"/>
      <c r="Q443" s="13"/>
      <c r="R443" s="14"/>
    </row>
    <row r="444" spans="1:18" ht="15" customHeight="1">
      <c r="A444" s="17" t="s">
        <v>26</v>
      </c>
      <c r="B444" s="17" t="s">
        <v>36</v>
      </c>
      <c r="C444" s="18">
        <v>0.43402777777777768</v>
      </c>
      <c r="D444" s="17" t="s">
        <v>28</v>
      </c>
      <c r="E444" s="17" t="s">
        <v>98</v>
      </c>
      <c r="F444" s="17" t="s">
        <v>161</v>
      </c>
      <c r="G444" s="298"/>
      <c r="H444" s="10"/>
      <c r="I444" s="11"/>
      <c r="J444" s="11"/>
      <c r="K444" s="11"/>
      <c r="L444" s="11"/>
      <c r="M444" s="11"/>
      <c r="N444" s="11"/>
      <c r="O444" s="12"/>
      <c r="P444" s="11"/>
      <c r="Q444" s="13"/>
      <c r="R444" s="14"/>
    </row>
    <row r="445" spans="1:18" ht="15" customHeight="1">
      <c r="A445" s="15" t="s">
        <v>26</v>
      </c>
      <c r="B445" s="15" t="s">
        <v>36</v>
      </c>
      <c r="C445" s="16">
        <v>0.43402777777777768</v>
      </c>
      <c r="D445" s="15" t="s">
        <v>31</v>
      </c>
      <c r="E445" s="15" t="s">
        <v>99</v>
      </c>
      <c r="F445" s="15" t="s">
        <v>162</v>
      </c>
      <c r="G445" s="298"/>
      <c r="H445" s="10"/>
      <c r="I445" s="11"/>
      <c r="J445" s="11"/>
      <c r="K445" s="11"/>
      <c r="L445" s="11"/>
      <c r="M445" s="11"/>
      <c r="N445" s="11"/>
      <c r="O445" s="12"/>
      <c r="P445" s="11"/>
      <c r="Q445" s="13"/>
      <c r="R445" s="14"/>
    </row>
    <row r="446" spans="1:18" ht="15" customHeight="1">
      <c r="A446" s="15" t="s">
        <v>26</v>
      </c>
      <c r="B446" s="15" t="s">
        <v>36</v>
      </c>
      <c r="C446" s="16">
        <v>0.43402777777777768</v>
      </c>
      <c r="D446" s="15" t="s">
        <v>34</v>
      </c>
      <c r="E446" s="15" t="s">
        <v>99</v>
      </c>
      <c r="F446" s="15" t="s">
        <v>163</v>
      </c>
      <c r="G446" s="298"/>
      <c r="H446" s="10"/>
      <c r="I446" s="11"/>
      <c r="J446" s="11"/>
      <c r="K446" s="11"/>
      <c r="L446" s="11"/>
      <c r="M446" s="11"/>
      <c r="N446" s="11"/>
      <c r="O446" s="12"/>
      <c r="P446" s="11"/>
      <c r="Q446" s="13"/>
      <c r="R446" s="14"/>
    </row>
    <row r="447" spans="1:18" ht="15" customHeight="1">
      <c r="A447" s="87" t="s">
        <v>61</v>
      </c>
      <c r="B447" s="87" t="s">
        <v>111</v>
      </c>
      <c r="C447" s="88">
        <v>0.86805555555555547</v>
      </c>
      <c r="D447" s="87" t="s">
        <v>63</v>
      </c>
      <c r="E447" s="87" t="s">
        <v>51</v>
      </c>
      <c r="F447" s="87" t="s">
        <v>64</v>
      </c>
      <c r="G447" s="298"/>
      <c r="H447" s="89" t="s">
        <v>112</v>
      </c>
      <c r="I447" s="90">
        <v>0.25559999999999999</v>
      </c>
      <c r="J447" s="91">
        <v>46</v>
      </c>
      <c r="K447" s="92">
        <v>46324</v>
      </c>
      <c r="L447" s="91">
        <v>3</v>
      </c>
      <c r="M447" s="91">
        <v>0</v>
      </c>
      <c r="N447" s="91">
        <v>0</v>
      </c>
      <c r="O447" s="93" t="s">
        <v>67</v>
      </c>
      <c r="P447" s="94">
        <v>0.86805555555555547</v>
      </c>
      <c r="Q447" s="91">
        <v>180</v>
      </c>
      <c r="R447" s="95" t="s">
        <v>166</v>
      </c>
    </row>
    <row r="448" spans="1:18" ht="15" customHeight="1">
      <c r="A448" s="19" t="s">
        <v>68</v>
      </c>
      <c r="B448" s="19" t="s">
        <v>74</v>
      </c>
      <c r="C448" s="20">
        <v>0.33680555555555558</v>
      </c>
      <c r="D448" s="19" t="s">
        <v>70</v>
      </c>
      <c r="E448" s="19" t="s">
        <v>51</v>
      </c>
      <c r="F448" s="19" t="s">
        <v>71</v>
      </c>
      <c r="G448" s="298"/>
      <c r="H448" s="10"/>
      <c r="I448" s="11"/>
      <c r="J448" s="11"/>
      <c r="K448" s="11"/>
      <c r="L448" s="11"/>
      <c r="M448" s="11"/>
      <c r="N448" s="11"/>
      <c r="O448" s="12"/>
      <c r="P448" s="11"/>
      <c r="Q448" s="13"/>
      <c r="R448" s="14"/>
    </row>
    <row r="449" spans="1:18" ht="15" customHeight="1">
      <c r="A449" s="17" t="s">
        <v>68</v>
      </c>
      <c r="B449" s="17" t="s">
        <v>69</v>
      </c>
      <c r="C449" s="18">
        <v>0.94097222222222221</v>
      </c>
      <c r="D449" s="17" t="s">
        <v>70</v>
      </c>
      <c r="E449" s="17" t="s">
        <v>57</v>
      </c>
      <c r="F449" s="17" t="s">
        <v>71</v>
      </c>
      <c r="G449" s="298"/>
      <c r="H449" s="10"/>
      <c r="I449" s="11"/>
      <c r="J449" s="11"/>
      <c r="K449" s="11"/>
      <c r="L449" s="11"/>
      <c r="M449" s="11"/>
      <c r="N449" s="11"/>
      <c r="O449" s="12"/>
      <c r="P449" s="11"/>
      <c r="Q449" s="13"/>
      <c r="R449" s="14"/>
    </row>
    <row r="450" spans="1:18" ht="15" customHeight="1">
      <c r="A450" s="17" t="s">
        <v>68</v>
      </c>
      <c r="B450" s="17" t="s">
        <v>76</v>
      </c>
      <c r="C450" s="18">
        <v>0.69791666666666663</v>
      </c>
      <c r="D450" s="17" t="s">
        <v>70</v>
      </c>
      <c r="E450" s="17" t="s">
        <v>57</v>
      </c>
      <c r="F450" s="17" t="s">
        <v>71</v>
      </c>
      <c r="G450" s="298"/>
      <c r="H450" s="10"/>
      <c r="I450" s="11"/>
      <c r="J450" s="11"/>
      <c r="K450" s="11"/>
      <c r="L450" s="11"/>
      <c r="M450" s="11"/>
      <c r="N450" s="11"/>
      <c r="O450" s="12"/>
      <c r="P450" s="11"/>
      <c r="Q450" s="13"/>
      <c r="R450" s="14"/>
    </row>
    <row r="451" spans="1:18" ht="15" customHeight="1">
      <c r="A451" s="17" t="s">
        <v>68</v>
      </c>
      <c r="B451" s="17" t="s">
        <v>72</v>
      </c>
      <c r="C451" s="18">
        <v>6.5972222222222224E-2</v>
      </c>
      <c r="D451" s="17" t="s">
        <v>70</v>
      </c>
      <c r="E451" s="17" t="s">
        <v>57</v>
      </c>
      <c r="F451" s="17" t="s">
        <v>71</v>
      </c>
      <c r="G451" s="298"/>
      <c r="H451" s="10"/>
      <c r="I451" s="11"/>
      <c r="J451" s="11"/>
      <c r="K451" s="11"/>
      <c r="L451" s="11"/>
      <c r="M451" s="11"/>
      <c r="N451" s="11"/>
      <c r="O451" s="12"/>
      <c r="P451" s="11"/>
      <c r="Q451" s="13"/>
      <c r="R451" s="14"/>
    </row>
    <row r="452" spans="1:18" ht="15" customHeight="1" thickBot="1">
      <c r="A452" s="30" t="s">
        <v>68</v>
      </c>
      <c r="B452" s="30" t="s">
        <v>73</v>
      </c>
      <c r="C452" s="31">
        <v>0.28819444444444448</v>
      </c>
      <c r="D452" s="30" t="s">
        <v>70</v>
      </c>
      <c r="E452" s="30" t="s">
        <v>57</v>
      </c>
      <c r="F452" s="30" t="s">
        <v>71</v>
      </c>
      <c r="G452" s="299"/>
      <c r="H452" s="300"/>
      <c r="I452" s="140"/>
      <c r="J452" s="140"/>
      <c r="K452" s="140"/>
      <c r="L452" s="140"/>
      <c r="M452" s="140"/>
      <c r="N452" s="140"/>
      <c r="O452" s="141"/>
      <c r="P452" s="140"/>
      <c r="Q452" s="142"/>
      <c r="R452" s="301"/>
    </row>
    <row r="453" spans="1:18" ht="17.45" customHeight="1" thickBot="1">
      <c r="A453" s="283"/>
      <c r="B453" s="284"/>
      <c r="C453" s="284"/>
      <c r="D453" s="284"/>
      <c r="E453" s="284"/>
      <c r="F453" s="284"/>
      <c r="G453" s="284"/>
      <c r="H453" s="284"/>
      <c r="I453" s="284"/>
      <c r="J453" s="284"/>
      <c r="K453" s="284"/>
      <c r="L453" s="284"/>
      <c r="M453" s="284"/>
      <c r="N453" s="284"/>
      <c r="O453" s="284"/>
      <c r="P453" s="284"/>
      <c r="Q453" s="284"/>
      <c r="R453" s="285"/>
    </row>
    <row r="454" spans="1:18" ht="22.15" customHeight="1" thickTop="1" thickBot="1">
      <c r="A454" s="279" t="s">
        <v>6</v>
      </c>
      <c r="B454" s="295"/>
      <c r="C454" s="295"/>
      <c r="D454" s="295"/>
      <c r="E454" s="295"/>
      <c r="F454" s="296"/>
      <c r="G454" s="32">
        <v>46042</v>
      </c>
      <c r="H454" s="278" t="s">
        <v>7</v>
      </c>
      <c r="I454" s="295"/>
      <c r="J454" s="295"/>
      <c r="K454" s="295"/>
      <c r="L454" s="295"/>
      <c r="M454" s="295"/>
      <c r="N454" s="295"/>
      <c r="O454" s="295"/>
      <c r="P454" s="295"/>
      <c r="Q454" s="295"/>
      <c r="R454" s="296"/>
    </row>
    <row r="455" spans="1:18" ht="24" customHeight="1">
      <c r="A455" s="33" t="s">
        <v>8</v>
      </c>
      <c r="B455" s="33" t="s">
        <v>9</v>
      </c>
      <c r="C455" s="34" t="s">
        <v>10</v>
      </c>
      <c r="D455" s="33" t="s">
        <v>11</v>
      </c>
      <c r="E455" s="33" t="s">
        <v>12</v>
      </c>
      <c r="F455" s="35" t="s">
        <v>13</v>
      </c>
      <c r="G455" s="36" t="s">
        <v>14</v>
      </c>
      <c r="H455" s="33" t="s">
        <v>15</v>
      </c>
      <c r="I455" s="37" t="s">
        <v>16</v>
      </c>
      <c r="J455" s="38" t="s">
        <v>17</v>
      </c>
      <c r="K455" s="39" t="s">
        <v>18</v>
      </c>
      <c r="L455" s="38" t="s">
        <v>19</v>
      </c>
      <c r="M455" s="38" t="s">
        <v>20</v>
      </c>
      <c r="N455" s="38" t="s">
        <v>21</v>
      </c>
      <c r="O455" s="33" t="s">
        <v>22</v>
      </c>
      <c r="P455" s="34" t="s">
        <v>23</v>
      </c>
      <c r="Q455" s="38" t="s">
        <v>24</v>
      </c>
      <c r="R455" s="33" t="s">
        <v>25</v>
      </c>
    </row>
    <row r="456" spans="1:18" ht="15" customHeight="1">
      <c r="A456" s="8" t="s">
        <v>38</v>
      </c>
      <c r="B456" s="8" t="s">
        <v>87</v>
      </c>
      <c r="C456" s="9">
        <v>6.25E-2</v>
      </c>
      <c r="D456" s="8" t="s">
        <v>40</v>
      </c>
      <c r="E456" s="8" t="s">
        <v>41</v>
      </c>
      <c r="F456" s="8" t="s">
        <v>78</v>
      </c>
      <c r="G456" s="302"/>
      <c r="H456" s="10"/>
      <c r="I456" s="11"/>
      <c r="J456" s="11"/>
      <c r="K456" s="11"/>
      <c r="L456" s="11"/>
      <c r="M456" s="11"/>
      <c r="N456" s="11"/>
      <c r="O456" s="12"/>
      <c r="P456" s="11"/>
      <c r="Q456" s="13"/>
      <c r="R456" s="14"/>
    </row>
    <row r="457" spans="1:18" ht="15" customHeight="1">
      <c r="A457" s="15" t="s">
        <v>38</v>
      </c>
      <c r="B457" s="15" t="s">
        <v>87</v>
      </c>
      <c r="C457" s="16">
        <v>6.25E-2</v>
      </c>
      <c r="D457" s="15" t="s">
        <v>43</v>
      </c>
      <c r="E457" s="15" t="s">
        <v>44</v>
      </c>
      <c r="F457" s="15" t="s">
        <v>79</v>
      </c>
      <c r="G457" s="298"/>
      <c r="H457" s="10"/>
      <c r="I457" s="11"/>
      <c r="J457" s="11"/>
      <c r="K457" s="11"/>
      <c r="L457" s="11"/>
      <c r="M457" s="11"/>
      <c r="N457" s="11"/>
      <c r="O457" s="12"/>
      <c r="P457" s="11"/>
      <c r="Q457" s="13"/>
      <c r="R457" s="14"/>
    </row>
    <row r="458" spans="1:18" ht="15" customHeight="1">
      <c r="A458" s="15" t="s">
        <v>38</v>
      </c>
      <c r="B458" s="15" t="s">
        <v>87</v>
      </c>
      <c r="C458" s="16">
        <v>6.25E-2</v>
      </c>
      <c r="D458" s="15" t="s">
        <v>46</v>
      </c>
      <c r="E458" s="15" t="s">
        <v>44</v>
      </c>
      <c r="F458" s="15" t="s">
        <v>47</v>
      </c>
      <c r="G458" s="298"/>
      <c r="H458" s="10"/>
      <c r="I458" s="11"/>
      <c r="J458" s="11"/>
      <c r="K458" s="11"/>
      <c r="L458" s="11"/>
      <c r="M458" s="11"/>
      <c r="N458" s="11"/>
      <c r="O458" s="12"/>
      <c r="P458" s="11"/>
      <c r="Q458" s="13"/>
      <c r="R458" s="14"/>
    </row>
    <row r="459" spans="1:18" ht="15" customHeight="1">
      <c r="A459" s="17" t="s">
        <v>38</v>
      </c>
      <c r="B459" s="17" t="s">
        <v>39</v>
      </c>
      <c r="C459" s="18">
        <v>0.22916666666666671</v>
      </c>
      <c r="D459" s="17" t="s">
        <v>40</v>
      </c>
      <c r="E459" s="17" t="s">
        <v>91</v>
      </c>
      <c r="F459" s="17" t="s">
        <v>131</v>
      </c>
      <c r="G459" s="298"/>
      <c r="H459" s="10"/>
      <c r="I459" s="11"/>
      <c r="J459" s="11"/>
      <c r="K459" s="11"/>
      <c r="L459" s="11"/>
      <c r="M459" s="11"/>
      <c r="N459" s="11"/>
      <c r="O459" s="12"/>
      <c r="P459" s="11"/>
      <c r="Q459" s="13"/>
      <c r="R459" s="14"/>
    </row>
    <row r="460" spans="1:18" ht="15" customHeight="1">
      <c r="A460" s="15" t="s">
        <v>38</v>
      </c>
      <c r="B460" s="15" t="s">
        <v>39</v>
      </c>
      <c r="C460" s="16">
        <v>0.22916666666666671</v>
      </c>
      <c r="D460" s="15" t="s">
        <v>43</v>
      </c>
      <c r="E460" s="15" t="s">
        <v>92</v>
      </c>
      <c r="F460" s="15" t="s">
        <v>133</v>
      </c>
      <c r="G460" s="298"/>
      <c r="H460" s="10"/>
      <c r="I460" s="11"/>
      <c r="J460" s="11"/>
      <c r="K460" s="11"/>
      <c r="L460" s="11"/>
      <c r="M460" s="11"/>
      <c r="N460" s="11"/>
      <c r="O460" s="12"/>
      <c r="P460" s="11"/>
      <c r="Q460" s="13"/>
      <c r="R460" s="14"/>
    </row>
    <row r="461" spans="1:18" ht="15" customHeight="1">
      <c r="A461" s="15" t="s">
        <v>38</v>
      </c>
      <c r="B461" s="15" t="s">
        <v>39</v>
      </c>
      <c r="C461" s="16">
        <v>0.22916666666666671</v>
      </c>
      <c r="D461" s="15" t="s">
        <v>46</v>
      </c>
      <c r="E461" s="15" t="s">
        <v>92</v>
      </c>
      <c r="F461" s="15" t="s">
        <v>47</v>
      </c>
      <c r="G461" s="298"/>
      <c r="H461" s="10"/>
      <c r="I461" s="11"/>
      <c r="J461" s="11"/>
      <c r="K461" s="11"/>
      <c r="L461" s="11"/>
      <c r="M461" s="11"/>
      <c r="N461" s="11"/>
      <c r="O461" s="12"/>
      <c r="P461" s="11"/>
      <c r="Q461" s="13"/>
      <c r="R461" s="14"/>
    </row>
    <row r="462" spans="1:18" ht="15" customHeight="1">
      <c r="A462" s="19" t="s">
        <v>48</v>
      </c>
      <c r="B462" s="19" t="s">
        <v>56</v>
      </c>
      <c r="C462" s="20">
        <v>0.89583333333333337</v>
      </c>
      <c r="D462" s="19" t="s">
        <v>50</v>
      </c>
      <c r="E462" s="19" t="s">
        <v>126</v>
      </c>
      <c r="F462" s="19" t="s">
        <v>96</v>
      </c>
      <c r="G462" s="298"/>
      <c r="H462" s="10"/>
      <c r="I462" s="11"/>
      <c r="J462" s="11"/>
      <c r="K462" s="11"/>
      <c r="L462" s="11"/>
      <c r="M462" s="11"/>
      <c r="N462" s="11"/>
      <c r="O462" s="12"/>
      <c r="P462" s="11"/>
      <c r="Q462" s="13"/>
      <c r="R462" s="14"/>
    </row>
    <row r="463" spans="1:18" ht="15" customHeight="1">
      <c r="A463" s="15" t="s">
        <v>48</v>
      </c>
      <c r="B463" s="15" t="s">
        <v>56</v>
      </c>
      <c r="C463" s="16">
        <v>0.89583333333333337</v>
      </c>
      <c r="D463" s="15" t="s">
        <v>53</v>
      </c>
      <c r="E463" s="15" t="s">
        <v>127</v>
      </c>
      <c r="F463" s="15" t="s">
        <v>97</v>
      </c>
      <c r="G463" s="298"/>
      <c r="H463" s="10"/>
      <c r="I463" s="11"/>
      <c r="J463" s="11"/>
      <c r="K463" s="11"/>
      <c r="L463" s="11"/>
      <c r="M463" s="11"/>
      <c r="N463" s="11"/>
      <c r="O463" s="12"/>
      <c r="P463" s="11"/>
      <c r="Q463" s="13"/>
      <c r="R463" s="14"/>
    </row>
    <row r="464" spans="1:18" ht="15" customHeight="1">
      <c r="A464" s="17" t="s">
        <v>48</v>
      </c>
      <c r="B464" s="17" t="s">
        <v>49</v>
      </c>
      <c r="C464" s="18">
        <v>0.35069444444444442</v>
      </c>
      <c r="D464" s="17" t="s">
        <v>50</v>
      </c>
      <c r="E464" s="17" t="s">
        <v>57</v>
      </c>
      <c r="F464" s="17" t="s">
        <v>52</v>
      </c>
      <c r="G464" s="298"/>
      <c r="H464" s="10"/>
      <c r="I464" s="11"/>
      <c r="J464" s="11"/>
      <c r="K464" s="11"/>
      <c r="L464" s="11"/>
      <c r="M464" s="11"/>
      <c r="N464" s="11"/>
      <c r="O464" s="12"/>
      <c r="P464" s="11"/>
      <c r="Q464" s="13"/>
      <c r="R464" s="14"/>
    </row>
    <row r="465" spans="1:18" ht="15" customHeight="1">
      <c r="A465" s="15" t="s">
        <v>48</v>
      </c>
      <c r="B465" s="15" t="s">
        <v>49</v>
      </c>
      <c r="C465" s="16">
        <v>0.35069444444444442</v>
      </c>
      <c r="D465" s="15" t="s">
        <v>53</v>
      </c>
      <c r="E465" s="15" t="s">
        <v>54</v>
      </c>
      <c r="F465" s="15" t="s">
        <v>55</v>
      </c>
      <c r="G465" s="298"/>
      <c r="H465" s="10"/>
      <c r="I465" s="11"/>
      <c r="J465" s="11"/>
      <c r="K465" s="11"/>
      <c r="L465" s="11"/>
      <c r="M465" s="11"/>
      <c r="N465" s="11"/>
      <c r="O465" s="12"/>
      <c r="P465" s="11"/>
      <c r="Q465" s="13"/>
      <c r="R465" s="14"/>
    </row>
    <row r="466" spans="1:18" ht="15" customHeight="1">
      <c r="A466" s="17" t="s">
        <v>48</v>
      </c>
      <c r="B466" s="17" t="s">
        <v>58</v>
      </c>
      <c r="C466" s="18">
        <v>0.18402777777777779</v>
      </c>
      <c r="D466" s="17" t="s">
        <v>50</v>
      </c>
      <c r="E466" s="17" t="s">
        <v>57</v>
      </c>
      <c r="F466" s="17" t="s">
        <v>52</v>
      </c>
      <c r="G466" s="298"/>
      <c r="H466" s="10"/>
      <c r="I466" s="11"/>
      <c r="J466" s="11"/>
      <c r="K466" s="11"/>
      <c r="L466" s="11"/>
      <c r="M466" s="11"/>
      <c r="N466" s="11"/>
      <c r="O466" s="12"/>
      <c r="P466" s="11"/>
      <c r="Q466" s="13"/>
      <c r="R466" s="14"/>
    </row>
    <row r="467" spans="1:18" ht="15" customHeight="1">
      <c r="A467" s="15" t="s">
        <v>48</v>
      </c>
      <c r="B467" s="15" t="s">
        <v>58</v>
      </c>
      <c r="C467" s="16">
        <v>0.18402777777777779</v>
      </c>
      <c r="D467" s="15" t="s">
        <v>53</v>
      </c>
      <c r="E467" s="15" t="s">
        <v>54</v>
      </c>
      <c r="F467" s="15" t="s">
        <v>55</v>
      </c>
      <c r="G467" s="298"/>
      <c r="H467" s="10"/>
      <c r="I467" s="11"/>
      <c r="J467" s="11"/>
      <c r="K467" s="11"/>
      <c r="L467" s="11"/>
      <c r="M467" s="11"/>
      <c r="N467" s="11"/>
      <c r="O467" s="12"/>
      <c r="P467" s="11"/>
      <c r="Q467" s="13"/>
      <c r="R467" s="14"/>
    </row>
    <row r="468" spans="1:18" ht="15" customHeight="1">
      <c r="A468" s="17" t="s">
        <v>48</v>
      </c>
      <c r="B468" s="17" t="s">
        <v>59</v>
      </c>
      <c r="C468" s="18">
        <v>0.22916666666666671</v>
      </c>
      <c r="D468" s="17" t="s">
        <v>53</v>
      </c>
      <c r="E468" s="17" t="s">
        <v>37</v>
      </c>
      <c r="F468" s="17" t="s">
        <v>60</v>
      </c>
      <c r="G468" s="298"/>
      <c r="H468" s="10"/>
      <c r="I468" s="11"/>
      <c r="J468" s="11"/>
      <c r="K468" s="11"/>
      <c r="L468" s="11"/>
      <c r="M468" s="11"/>
      <c r="N468" s="11"/>
      <c r="O468" s="12"/>
      <c r="P468" s="11"/>
      <c r="Q468" s="13"/>
      <c r="R468" s="14"/>
    </row>
    <row r="469" spans="1:18" ht="15" customHeight="1">
      <c r="A469" s="19" t="s">
        <v>26</v>
      </c>
      <c r="B469" s="19" t="s">
        <v>27</v>
      </c>
      <c r="C469" s="20">
        <v>0.60763888888888895</v>
      </c>
      <c r="D469" s="19" t="s">
        <v>28</v>
      </c>
      <c r="E469" s="19" t="s">
        <v>29</v>
      </c>
      <c r="F469" s="19" t="s">
        <v>89</v>
      </c>
      <c r="G469" s="298"/>
      <c r="H469" s="10"/>
      <c r="I469" s="11"/>
      <c r="J469" s="11"/>
      <c r="K469" s="11"/>
      <c r="L469" s="11"/>
      <c r="M469" s="11"/>
      <c r="N469" s="11"/>
      <c r="O469" s="12"/>
      <c r="P469" s="11"/>
      <c r="Q469" s="13"/>
      <c r="R469" s="14"/>
    </row>
    <row r="470" spans="1:18" ht="15" customHeight="1">
      <c r="A470" s="15" t="s">
        <v>26</v>
      </c>
      <c r="B470" s="15" t="s">
        <v>27</v>
      </c>
      <c r="C470" s="16">
        <v>0.60763888888888895</v>
      </c>
      <c r="D470" s="15" t="s">
        <v>31</v>
      </c>
      <c r="E470" s="15" t="s">
        <v>32</v>
      </c>
      <c r="F470" s="15" t="s">
        <v>138</v>
      </c>
      <c r="G470" s="298"/>
      <c r="H470" s="10"/>
      <c r="I470" s="11"/>
      <c r="J470" s="11"/>
      <c r="K470" s="11"/>
      <c r="L470" s="11"/>
      <c r="M470" s="11"/>
      <c r="N470" s="11"/>
      <c r="O470" s="12"/>
      <c r="P470" s="11"/>
      <c r="Q470" s="13"/>
      <c r="R470" s="14"/>
    </row>
    <row r="471" spans="1:18" ht="15" customHeight="1">
      <c r="A471" s="15" t="s">
        <v>26</v>
      </c>
      <c r="B471" s="15" t="s">
        <v>27</v>
      </c>
      <c r="C471" s="16">
        <v>0.60763888888888895</v>
      </c>
      <c r="D471" s="15" t="s">
        <v>34</v>
      </c>
      <c r="E471" s="15" t="s">
        <v>32</v>
      </c>
      <c r="F471" s="15" t="s">
        <v>139</v>
      </c>
      <c r="G471" s="298"/>
      <c r="H471" s="10"/>
      <c r="I471" s="11"/>
      <c r="J471" s="11"/>
      <c r="K471" s="11"/>
      <c r="L471" s="11"/>
      <c r="M471" s="11"/>
      <c r="N471" s="11"/>
      <c r="O471" s="12"/>
      <c r="P471" s="11"/>
      <c r="Q471" s="13"/>
      <c r="R471" s="14"/>
    </row>
    <row r="472" spans="1:18" ht="15" customHeight="1">
      <c r="A472" s="40" t="s">
        <v>61</v>
      </c>
      <c r="B472" s="40" t="s">
        <v>62</v>
      </c>
      <c r="C472" s="41">
        <v>0.81944444444444453</v>
      </c>
      <c r="D472" s="40" t="s">
        <v>63</v>
      </c>
      <c r="E472" s="40" t="s">
        <v>100</v>
      </c>
      <c r="F472" s="40" t="s">
        <v>64</v>
      </c>
      <c r="G472" s="298"/>
      <c r="H472" s="42" t="s">
        <v>65</v>
      </c>
      <c r="I472" s="43">
        <v>0.15</v>
      </c>
      <c r="J472" s="44">
        <v>27</v>
      </c>
      <c r="K472" s="45">
        <v>46245</v>
      </c>
      <c r="L472" s="44">
        <v>3</v>
      </c>
      <c r="M472" s="44">
        <v>0</v>
      </c>
      <c r="N472" s="44">
        <v>0</v>
      </c>
      <c r="O472" s="46" t="s">
        <v>101</v>
      </c>
      <c r="P472" s="47">
        <v>0.81944444444444453</v>
      </c>
      <c r="Q472" s="44">
        <v>180</v>
      </c>
      <c r="R472" s="48" t="s">
        <v>167</v>
      </c>
    </row>
    <row r="473" spans="1:18" ht="15" customHeight="1">
      <c r="A473" s="19" t="s">
        <v>68</v>
      </c>
      <c r="B473" s="19" t="s">
        <v>74</v>
      </c>
      <c r="C473" s="20">
        <v>0.33680555555555558</v>
      </c>
      <c r="D473" s="19" t="s">
        <v>70</v>
      </c>
      <c r="E473" s="19" t="s">
        <v>51</v>
      </c>
      <c r="F473" s="19" t="s">
        <v>71</v>
      </c>
      <c r="G473" s="298"/>
      <c r="H473" s="10"/>
      <c r="I473" s="11"/>
      <c r="J473" s="11"/>
      <c r="K473" s="11"/>
      <c r="L473" s="11"/>
      <c r="M473" s="11"/>
      <c r="N473" s="11"/>
      <c r="O473" s="12"/>
      <c r="P473" s="11"/>
      <c r="Q473" s="13"/>
      <c r="R473" s="14"/>
    </row>
    <row r="474" spans="1:18" ht="15" customHeight="1">
      <c r="A474" s="17" t="s">
        <v>68</v>
      </c>
      <c r="B474" s="17" t="s">
        <v>69</v>
      </c>
      <c r="C474" s="18">
        <v>0.94097222222222221</v>
      </c>
      <c r="D474" s="17" t="s">
        <v>70</v>
      </c>
      <c r="E474" s="17" t="s">
        <v>57</v>
      </c>
      <c r="F474" s="17" t="s">
        <v>71</v>
      </c>
      <c r="G474" s="298"/>
      <c r="H474" s="10"/>
      <c r="I474" s="11"/>
      <c r="J474" s="11"/>
      <c r="K474" s="11"/>
      <c r="L474" s="11"/>
      <c r="M474" s="11"/>
      <c r="N474" s="11"/>
      <c r="O474" s="12"/>
      <c r="P474" s="11"/>
      <c r="Q474" s="13"/>
      <c r="R474" s="14"/>
    </row>
    <row r="475" spans="1:18" ht="15" customHeight="1">
      <c r="A475" s="17" t="s">
        <v>68</v>
      </c>
      <c r="B475" s="17" t="s">
        <v>76</v>
      </c>
      <c r="C475" s="18">
        <v>0.69791666666666663</v>
      </c>
      <c r="D475" s="17" t="s">
        <v>70</v>
      </c>
      <c r="E475" s="17" t="s">
        <v>57</v>
      </c>
      <c r="F475" s="17" t="s">
        <v>71</v>
      </c>
      <c r="G475" s="298"/>
      <c r="H475" s="10"/>
      <c r="I475" s="11"/>
      <c r="J475" s="11"/>
      <c r="K475" s="11"/>
      <c r="L475" s="11"/>
      <c r="M475" s="11"/>
      <c r="N475" s="11"/>
      <c r="O475" s="12"/>
      <c r="P475" s="11"/>
      <c r="Q475" s="13"/>
      <c r="R475" s="14"/>
    </row>
    <row r="476" spans="1:18" ht="15" customHeight="1">
      <c r="A476" s="17" t="s">
        <v>68</v>
      </c>
      <c r="B476" s="17" t="s">
        <v>72</v>
      </c>
      <c r="C476" s="18">
        <v>6.5972222222222224E-2</v>
      </c>
      <c r="D476" s="17" t="s">
        <v>70</v>
      </c>
      <c r="E476" s="17" t="s">
        <v>57</v>
      </c>
      <c r="F476" s="17" t="s">
        <v>71</v>
      </c>
      <c r="G476" s="298"/>
      <c r="H476" s="10"/>
      <c r="I476" s="11"/>
      <c r="J476" s="11"/>
      <c r="K476" s="11"/>
      <c r="L476" s="11"/>
      <c r="M476" s="11"/>
      <c r="N476" s="11"/>
      <c r="O476" s="12"/>
      <c r="P476" s="11"/>
      <c r="Q476" s="13"/>
      <c r="R476" s="14"/>
    </row>
    <row r="477" spans="1:18" ht="15" customHeight="1" thickBot="1">
      <c r="A477" s="30" t="s">
        <v>68</v>
      </c>
      <c r="B477" s="30" t="s">
        <v>73</v>
      </c>
      <c r="C477" s="31">
        <v>0.28819444444444448</v>
      </c>
      <c r="D477" s="30" t="s">
        <v>70</v>
      </c>
      <c r="E477" s="30" t="s">
        <v>57</v>
      </c>
      <c r="F477" s="30" t="s">
        <v>71</v>
      </c>
      <c r="G477" s="299"/>
      <c r="H477" s="300"/>
      <c r="I477" s="140"/>
      <c r="J477" s="140"/>
      <c r="K477" s="140"/>
      <c r="L477" s="140"/>
      <c r="M477" s="140"/>
      <c r="N477" s="140"/>
      <c r="O477" s="141"/>
      <c r="P477" s="140"/>
      <c r="Q477" s="142"/>
      <c r="R477" s="301"/>
    </row>
    <row r="478" spans="1:18" ht="17.45" customHeight="1" thickBot="1">
      <c r="A478" s="283"/>
      <c r="B478" s="284"/>
      <c r="C478" s="284"/>
      <c r="D478" s="284"/>
      <c r="E478" s="284"/>
      <c r="F478" s="284"/>
      <c r="G478" s="284"/>
      <c r="H478" s="284"/>
      <c r="I478" s="284"/>
      <c r="J478" s="284"/>
      <c r="K478" s="284"/>
      <c r="L478" s="284"/>
      <c r="M478" s="284"/>
      <c r="N478" s="284"/>
      <c r="O478" s="284"/>
      <c r="P478" s="284"/>
      <c r="Q478" s="284"/>
      <c r="R478" s="285"/>
    </row>
    <row r="479" spans="1:18" ht="22.15" customHeight="1" thickTop="1" thickBot="1">
      <c r="A479" s="279" t="s">
        <v>6</v>
      </c>
      <c r="B479" s="295"/>
      <c r="C479" s="295"/>
      <c r="D479" s="295"/>
      <c r="E479" s="295"/>
      <c r="F479" s="296"/>
      <c r="G479" s="32">
        <v>46043</v>
      </c>
      <c r="H479" s="278" t="s">
        <v>7</v>
      </c>
      <c r="I479" s="295"/>
      <c r="J479" s="295"/>
      <c r="K479" s="295"/>
      <c r="L479" s="295"/>
      <c r="M479" s="295"/>
      <c r="N479" s="295"/>
      <c r="O479" s="295"/>
      <c r="P479" s="295"/>
      <c r="Q479" s="295"/>
      <c r="R479" s="296"/>
    </row>
    <row r="480" spans="1:18" ht="24" customHeight="1">
      <c r="A480" s="33" t="s">
        <v>8</v>
      </c>
      <c r="B480" s="33" t="s">
        <v>9</v>
      </c>
      <c r="C480" s="34" t="s">
        <v>10</v>
      </c>
      <c r="D480" s="33" t="s">
        <v>11</v>
      </c>
      <c r="E480" s="33" t="s">
        <v>12</v>
      </c>
      <c r="F480" s="35" t="s">
        <v>13</v>
      </c>
      <c r="G480" s="36" t="s">
        <v>14</v>
      </c>
      <c r="H480" s="33" t="s">
        <v>15</v>
      </c>
      <c r="I480" s="37" t="s">
        <v>16</v>
      </c>
      <c r="J480" s="38" t="s">
        <v>17</v>
      </c>
      <c r="K480" s="39" t="s">
        <v>18</v>
      </c>
      <c r="L480" s="38" t="s">
        <v>19</v>
      </c>
      <c r="M480" s="38" t="s">
        <v>20</v>
      </c>
      <c r="N480" s="38" t="s">
        <v>21</v>
      </c>
      <c r="O480" s="33" t="s">
        <v>22</v>
      </c>
      <c r="P480" s="34" t="s">
        <v>23</v>
      </c>
      <c r="Q480" s="38" t="s">
        <v>24</v>
      </c>
      <c r="R480" s="33" t="s">
        <v>25</v>
      </c>
    </row>
    <row r="481" spans="1:18" ht="15" customHeight="1">
      <c r="A481" s="8" t="s">
        <v>38</v>
      </c>
      <c r="B481" s="8" t="s">
        <v>39</v>
      </c>
      <c r="C481" s="9">
        <v>0.22916666666666671</v>
      </c>
      <c r="D481" s="8" t="s">
        <v>40</v>
      </c>
      <c r="E481" s="8" t="s">
        <v>168</v>
      </c>
      <c r="F481" s="8" t="s">
        <v>78</v>
      </c>
      <c r="G481" s="302"/>
      <c r="H481" s="10"/>
      <c r="I481" s="11"/>
      <c r="J481" s="11"/>
      <c r="K481" s="11"/>
      <c r="L481" s="11"/>
      <c r="M481" s="11"/>
      <c r="N481" s="11"/>
      <c r="O481" s="12"/>
      <c r="P481" s="11"/>
      <c r="Q481" s="13"/>
      <c r="R481" s="14"/>
    </row>
    <row r="482" spans="1:18" ht="15" customHeight="1">
      <c r="A482" s="15" t="s">
        <v>38</v>
      </c>
      <c r="B482" s="15" t="s">
        <v>39</v>
      </c>
      <c r="C482" s="16">
        <v>0.22916666666666671</v>
      </c>
      <c r="D482" s="15" t="s">
        <v>43</v>
      </c>
      <c r="E482" s="15" t="s">
        <v>114</v>
      </c>
      <c r="F482" s="15" t="s">
        <v>79</v>
      </c>
      <c r="G482" s="298"/>
      <c r="H482" s="10"/>
      <c r="I482" s="11"/>
      <c r="J482" s="11"/>
      <c r="K482" s="11"/>
      <c r="L482" s="11"/>
      <c r="M482" s="11"/>
      <c r="N482" s="11"/>
      <c r="O482" s="12"/>
      <c r="P482" s="11"/>
      <c r="Q482" s="13"/>
      <c r="R482" s="14"/>
    </row>
    <row r="483" spans="1:18" ht="15" customHeight="1">
      <c r="A483" s="15" t="s">
        <v>38</v>
      </c>
      <c r="B483" s="15" t="s">
        <v>39</v>
      </c>
      <c r="C483" s="16">
        <v>0.22916666666666671</v>
      </c>
      <c r="D483" s="15" t="s">
        <v>46</v>
      </c>
      <c r="E483" s="15" t="s">
        <v>114</v>
      </c>
      <c r="F483" s="15" t="s">
        <v>47</v>
      </c>
      <c r="G483" s="298"/>
      <c r="H483" s="10"/>
      <c r="I483" s="11"/>
      <c r="J483" s="11"/>
      <c r="K483" s="11"/>
      <c r="L483" s="11"/>
      <c r="M483" s="11"/>
      <c r="N483" s="11"/>
      <c r="O483" s="12"/>
      <c r="P483" s="11"/>
      <c r="Q483" s="13"/>
      <c r="R483" s="14"/>
    </row>
    <row r="484" spans="1:18" ht="15" customHeight="1">
      <c r="A484" s="19" t="s">
        <v>48</v>
      </c>
      <c r="B484" s="19" t="s">
        <v>56</v>
      </c>
      <c r="C484" s="20">
        <v>0.89583333333333337</v>
      </c>
      <c r="D484" s="19" t="s">
        <v>50</v>
      </c>
      <c r="E484" s="19" t="s">
        <v>156</v>
      </c>
      <c r="F484" s="19" t="s">
        <v>96</v>
      </c>
      <c r="G484" s="298"/>
      <c r="H484" s="10"/>
      <c r="I484" s="11"/>
      <c r="J484" s="11"/>
      <c r="K484" s="11"/>
      <c r="L484" s="11"/>
      <c r="M484" s="11"/>
      <c r="N484" s="11"/>
      <c r="O484" s="12"/>
      <c r="P484" s="11"/>
      <c r="Q484" s="13"/>
      <c r="R484" s="14"/>
    </row>
    <row r="485" spans="1:18" ht="15" customHeight="1">
      <c r="A485" s="15" t="s">
        <v>48</v>
      </c>
      <c r="B485" s="15" t="s">
        <v>56</v>
      </c>
      <c r="C485" s="16">
        <v>0.89583333333333337</v>
      </c>
      <c r="D485" s="15" t="s">
        <v>53</v>
      </c>
      <c r="E485" s="15" t="s">
        <v>135</v>
      </c>
      <c r="F485" s="15" t="s">
        <v>97</v>
      </c>
      <c r="G485" s="298"/>
      <c r="H485" s="10"/>
      <c r="I485" s="11"/>
      <c r="J485" s="11"/>
      <c r="K485" s="11"/>
      <c r="L485" s="11"/>
      <c r="M485" s="11"/>
      <c r="N485" s="11"/>
      <c r="O485" s="12"/>
      <c r="P485" s="11"/>
      <c r="Q485" s="13"/>
      <c r="R485" s="14"/>
    </row>
    <row r="486" spans="1:18" ht="15" customHeight="1">
      <c r="A486" s="17" t="s">
        <v>48</v>
      </c>
      <c r="B486" s="17" t="s">
        <v>58</v>
      </c>
      <c r="C486" s="18">
        <v>0.18402777777777779</v>
      </c>
      <c r="D486" s="17" t="s">
        <v>50</v>
      </c>
      <c r="E486" s="17" t="s">
        <v>57</v>
      </c>
      <c r="F486" s="17" t="s">
        <v>96</v>
      </c>
      <c r="G486" s="298"/>
      <c r="H486" s="10"/>
      <c r="I486" s="11"/>
      <c r="J486" s="11"/>
      <c r="K486" s="11"/>
      <c r="L486" s="11"/>
      <c r="M486" s="11"/>
      <c r="N486" s="11"/>
      <c r="O486" s="12"/>
      <c r="P486" s="11"/>
      <c r="Q486" s="13"/>
      <c r="R486" s="14"/>
    </row>
    <row r="487" spans="1:18" ht="15" customHeight="1">
      <c r="A487" s="15" t="s">
        <v>48</v>
      </c>
      <c r="B487" s="15" t="s">
        <v>58</v>
      </c>
      <c r="C487" s="16">
        <v>0.18402777777777779</v>
      </c>
      <c r="D487" s="15" t="s">
        <v>53</v>
      </c>
      <c r="E487" s="15" t="s">
        <v>54</v>
      </c>
      <c r="F487" s="15" t="s">
        <v>97</v>
      </c>
      <c r="G487" s="298"/>
      <c r="H487" s="10"/>
      <c r="I487" s="11"/>
      <c r="J487" s="11"/>
      <c r="K487" s="11"/>
      <c r="L487" s="11"/>
      <c r="M487" s="11"/>
      <c r="N487" s="11"/>
      <c r="O487" s="12"/>
      <c r="P487" s="11"/>
      <c r="Q487" s="13"/>
      <c r="R487" s="14"/>
    </row>
    <row r="488" spans="1:18" ht="15" customHeight="1">
      <c r="A488" s="17" t="s">
        <v>48</v>
      </c>
      <c r="B488" s="17" t="s">
        <v>49</v>
      </c>
      <c r="C488" s="18">
        <v>0.35069444444444442</v>
      </c>
      <c r="D488" s="17" t="s">
        <v>50</v>
      </c>
      <c r="E488" s="17" t="s">
        <v>57</v>
      </c>
      <c r="F488" s="17" t="s">
        <v>52</v>
      </c>
      <c r="G488" s="298"/>
      <c r="H488" s="10"/>
      <c r="I488" s="11"/>
      <c r="J488" s="11"/>
      <c r="K488" s="11"/>
      <c r="L488" s="11"/>
      <c r="M488" s="11"/>
      <c r="N488" s="11"/>
      <c r="O488" s="12"/>
      <c r="P488" s="11"/>
      <c r="Q488" s="13"/>
      <c r="R488" s="14"/>
    </row>
    <row r="489" spans="1:18" ht="15" customHeight="1">
      <c r="A489" s="15" t="s">
        <v>48</v>
      </c>
      <c r="B489" s="15" t="s">
        <v>49</v>
      </c>
      <c r="C489" s="16">
        <v>0.35069444444444442</v>
      </c>
      <c r="D489" s="15" t="s">
        <v>53</v>
      </c>
      <c r="E489" s="15" t="s">
        <v>54</v>
      </c>
      <c r="F489" s="15" t="s">
        <v>55</v>
      </c>
      <c r="G489" s="298"/>
      <c r="H489" s="10"/>
      <c r="I489" s="11"/>
      <c r="J489" s="11"/>
      <c r="K489" s="11"/>
      <c r="L489" s="11"/>
      <c r="M489" s="11"/>
      <c r="N489" s="11"/>
      <c r="O489" s="12"/>
      <c r="P489" s="11"/>
      <c r="Q489" s="13"/>
      <c r="R489" s="14"/>
    </row>
    <row r="490" spans="1:18" ht="15" customHeight="1">
      <c r="A490" s="17" t="s">
        <v>48</v>
      </c>
      <c r="B490" s="17" t="s">
        <v>59</v>
      </c>
      <c r="C490" s="18">
        <v>0.22916666666666671</v>
      </c>
      <c r="D490" s="17" t="s">
        <v>53</v>
      </c>
      <c r="E490" s="17" t="s">
        <v>37</v>
      </c>
      <c r="F490" s="17" t="s">
        <v>93</v>
      </c>
      <c r="G490" s="298"/>
      <c r="H490" s="10"/>
      <c r="I490" s="11"/>
      <c r="J490" s="11"/>
      <c r="K490" s="11"/>
      <c r="L490" s="11"/>
      <c r="M490" s="11"/>
      <c r="N490" s="11"/>
      <c r="O490" s="12"/>
      <c r="P490" s="11"/>
      <c r="Q490" s="13"/>
      <c r="R490" s="14"/>
    </row>
    <row r="491" spans="1:18" ht="15" customHeight="1">
      <c r="A491" s="19" t="s">
        <v>26</v>
      </c>
      <c r="B491" s="19" t="s">
        <v>27</v>
      </c>
      <c r="C491" s="20">
        <v>0.60763888888888895</v>
      </c>
      <c r="D491" s="19" t="s">
        <v>28</v>
      </c>
      <c r="E491" s="19" t="s">
        <v>29</v>
      </c>
      <c r="F491" s="19" t="s">
        <v>161</v>
      </c>
      <c r="G491" s="298"/>
      <c r="H491" s="10"/>
      <c r="I491" s="11"/>
      <c r="J491" s="11"/>
      <c r="K491" s="11"/>
      <c r="L491" s="11"/>
      <c r="M491" s="11"/>
      <c r="N491" s="11"/>
      <c r="O491" s="12"/>
      <c r="P491" s="11"/>
      <c r="Q491" s="13"/>
      <c r="R491" s="14"/>
    </row>
    <row r="492" spans="1:18" ht="15" customHeight="1">
      <c r="A492" s="15" t="s">
        <v>26</v>
      </c>
      <c r="B492" s="15" t="s">
        <v>27</v>
      </c>
      <c r="C492" s="16">
        <v>0.60763888888888895</v>
      </c>
      <c r="D492" s="15" t="s">
        <v>31</v>
      </c>
      <c r="E492" s="15" t="s">
        <v>32</v>
      </c>
      <c r="F492" s="15" t="s">
        <v>162</v>
      </c>
      <c r="G492" s="298"/>
      <c r="H492" s="10"/>
      <c r="I492" s="11"/>
      <c r="J492" s="11"/>
      <c r="K492" s="11"/>
      <c r="L492" s="11"/>
      <c r="M492" s="11"/>
      <c r="N492" s="11"/>
      <c r="O492" s="12"/>
      <c r="P492" s="11"/>
      <c r="Q492" s="13"/>
      <c r="R492" s="14"/>
    </row>
    <row r="493" spans="1:18" ht="15" customHeight="1">
      <c r="A493" s="15" t="s">
        <v>26</v>
      </c>
      <c r="B493" s="15" t="s">
        <v>27</v>
      </c>
      <c r="C493" s="16">
        <v>0.60763888888888895</v>
      </c>
      <c r="D493" s="15" t="s">
        <v>34</v>
      </c>
      <c r="E493" s="15" t="s">
        <v>32</v>
      </c>
      <c r="F493" s="15" t="s">
        <v>163</v>
      </c>
      <c r="G493" s="298"/>
      <c r="H493" s="10"/>
      <c r="I493" s="11"/>
      <c r="J493" s="11"/>
      <c r="K493" s="11"/>
      <c r="L493" s="11"/>
      <c r="M493" s="11"/>
      <c r="N493" s="11"/>
      <c r="O493" s="12"/>
      <c r="P493" s="11"/>
      <c r="Q493" s="13"/>
      <c r="R493" s="14"/>
    </row>
    <row r="494" spans="1:18" ht="15" customHeight="1" thickBot="1">
      <c r="A494" s="96" t="s">
        <v>68</v>
      </c>
      <c r="B494" s="96" t="s">
        <v>72</v>
      </c>
      <c r="C494" s="97">
        <v>6.5972222222222224E-2</v>
      </c>
      <c r="D494" s="96" t="s">
        <v>70</v>
      </c>
      <c r="E494" s="96" t="s">
        <v>51</v>
      </c>
      <c r="F494" s="96" t="s">
        <v>169</v>
      </c>
      <c r="G494" s="299"/>
      <c r="H494" s="300"/>
      <c r="I494" s="140"/>
      <c r="J494" s="140"/>
      <c r="K494" s="140"/>
      <c r="L494" s="140"/>
      <c r="M494" s="140"/>
      <c r="N494" s="140"/>
      <c r="O494" s="141"/>
      <c r="P494" s="140"/>
      <c r="Q494" s="142"/>
      <c r="R494" s="301"/>
    </row>
    <row r="495" spans="1:18" ht="17.45" customHeight="1" thickBot="1">
      <c r="A495" s="283"/>
      <c r="B495" s="284"/>
      <c r="C495" s="284"/>
      <c r="D495" s="284"/>
      <c r="E495" s="284"/>
      <c r="F495" s="284"/>
      <c r="G495" s="284"/>
      <c r="H495" s="284"/>
      <c r="I495" s="284"/>
      <c r="J495" s="284"/>
      <c r="K495" s="284"/>
      <c r="L495" s="284"/>
      <c r="M495" s="284"/>
      <c r="N495" s="284"/>
      <c r="O495" s="284"/>
      <c r="P495" s="284"/>
      <c r="Q495" s="284"/>
      <c r="R495" s="285"/>
    </row>
    <row r="496" spans="1:18" ht="22.15" customHeight="1" thickTop="1" thickBot="1">
      <c r="A496" s="279" t="s">
        <v>6</v>
      </c>
      <c r="B496" s="295"/>
      <c r="C496" s="295"/>
      <c r="D496" s="295"/>
      <c r="E496" s="295"/>
      <c r="F496" s="296"/>
      <c r="G496" s="32">
        <v>46044</v>
      </c>
      <c r="H496" s="278" t="s">
        <v>7</v>
      </c>
      <c r="I496" s="295"/>
      <c r="J496" s="295"/>
      <c r="K496" s="295"/>
      <c r="L496" s="295"/>
      <c r="M496" s="295"/>
      <c r="N496" s="295"/>
      <c r="O496" s="295"/>
      <c r="P496" s="295"/>
      <c r="Q496" s="295"/>
      <c r="R496" s="296"/>
    </row>
    <row r="497" spans="1:18" ht="24" customHeight="1">
      <c r="A497" s="33" t="s">
        <v>8</v>
      </c>
      <c r="B497" s="33" t="s">
        <v>9</v>
      </c>
      <c r="C497" s="34" t="s">
        <v>10</v>
      </c>
      <c r="D497" s="33" t="s">
        <v>11</v>
      </c>
      <c r="E497" s="33" t="s">
        <v>12</v>
      </c>
      <c r="F497" s="35" t="s">
        <v>13</v>
      </c>
      <c r="G497" s="36" t="s">
        <v>14</v>
      </c>
      <c r="H497" s="33" t="s">
        <v>15</v>
      </c>
      <c r="I497" s="37" t="s">
        <v>16</v>
      </c>
      <c r="J497" s="38" t="s">
        <v>17</v>
      </c>
      <c r="K497" s="39" t="s">
        <v>18</v>
      </c>
      <c r="L497" s="38" t="s">
        <v>19</v>
      </c>
      <c r="M497" s="38" t="s">
        <v>20</v>
      </c>
      <c r="N497" s="38" t="s">
        <v>21</v>
      </c>
      <c r="O497" s="33" t="s">
        <v>22</v>
      </c>
      <c r="P497" s="34" t="s">
        <v>23</v>
      </c>
      <c r="Q497" s="38" t="s">
        <v>24</v>
      </c>
      <c r="R497" s="33" t="s">
        <v>25</v>
      </c>
    </row>
    <row r="498" spans="1:18" ht="15" customHeight="1">
      <c r="A498" s="8" t="s">
        <v>38</v>
      </c>
      <c r="B498" s="8" t="s">
        <v>39</v>
      </c>
      <c r="C498" s="9">
        <v>0.22916666666666671</v>
      </c>
      <c r="D498" s="8" t="s">
        <v>40</v>
      </c>
      <c r="E498" s="8" t="s">
        <v>156</v>
      </c>
      <c r="F498" s="8" t="s">
        <v>78</v>
      </c>
      <c r="G498" s="297"/>
      <c r="H498" s="10"/>
      <c r="I498" s="11"/>
      <c r="J498" s="11"/>
      <c r="K498" s="11"/>
      <c r="L498" s="11"/>
      <c r="M498" s="11"/>
      <c r="N498" s="11"/>
      <c r="O498" s="12"/>
      <c r="P498" s="11"/>
      <c r="Q498" s="13"/>
      <c r="R498" s="14"/>
    </row>
    <row r="499" spans="1:18" ht="15" customHeight="1">
      <c r="A499" s="15" t="s">
        <v>38</v>
      </c>
      <c r="B499" s="15" t="s">
        <v>39</v>
      </c>
      <c r="C499" s="16">
        <v>0.22916666666666671</v>
      </c>
      <c r="D499" s="15" t="s">
        <v>43</v>
      </c>
      <c r="E499" s="15" t="s">
        <v>135</v>
      </c>
      <c r="F499" s="15" t="s">
        <v>79</v>
      </c>
      <c r="G499" s="298"/>
      <c r="H499" s="10"/>
      <c r="I499" s="11"/>
      <c r="J499" s="11"/>
      <c r="K499" s="11"/>
      <c r="L499" s="11"/>
      <c r="M499" s="11"/>
      <c r="N499" s="11"/>
      <c r="O499" s="12"/>
      <c r="P499" s="11"/>
      <c r="Q499" s="13"/>
      <c r="R499" s="14"/>
    </row>
    <row r="500" spans="1:18" ht="15" customHeight="1">
      <c r="A500" s="15" t="s">
        <v>38</v>
      </c>
      <c r="B500" s="15" t="s">
        <v>39</v>
      </c>
      <c r="C500" s="16">
        <v>0.22916666666666671</v>
      </c>
      <c r="D500" s="15" t="s">
        <v>46</v>
      </c>
      <c r="E500" s="15" t="s">
        <v>135</v>
      </c>
      <c r="F500" s="15" t="s">
        <v>47</v>
      </c>
      <c r="G500" s="298"/>
      <c r="H500" s="10"/>
      <c r="I500" s="11"/>
      <c r="J500" s="11"/>
      <c r="K500" s="11"/>
      <c r="L500" s="11"/>
      <c r="M500" s="11"/>
      <c r="N500" s="11"/>
      <c r="O500" s="12"/>
      <c r="P500" s="11"/>
      <c r="Q500" s="13"/>
      <c r="R500" s="14"/>
    </row>
    <row r="501" spans="1:18" ht="15" customHeight="1">
      <c r="A501" s="17" t="s">
        <v>38</v>
      </c>
      <c r="B501" s="17" t="s">
        <v>87</v>
      </c>
      <c r="C501" s="18">
        <v>6.25E-2</v>
      </c>
      <c r="D501" s="17" t="s">
        <v>40</v>
      </c>
      <c r="E501" s="17" t="s">
        <v>170</v>
      </c>
      <c r="F501" s="17" t="s">
        <v>78</v>
      </c>
      <c r="G501" s="298"/>
      <c r="H501" s="10"/>
      <c r="I501" s="11"/>
      <c r="J501" s="11"/>
      <c r="K501" s="11"/>
      <c r="L501" s="11"/>
      <c r="M501" s="11"/>
      <c r="N501" s="11"/>
      <c r="O501" s="12"/>
      <c r="P501" s="11"/>
      <c r="Q501" s="13"/>
      <c r="R501" s="14"/>
    </row>
    <row r="502" spans="1:18" ht="15" customHeight="1">
      <c r="A502" s="15" t="s">
        <v>38</v>
      </c>
      <c r="B502" s="15" t="s">
        <v>87</v>
      </c>
      <c r="C502" s="16">
        <v>6.25E-2</v>
      </c>
      <c r="D502" s="15" t="s">
        <v>43</v>
      </c>
      <c r="E502" s="15" t="s">
        <v>152</v>
      </c>
      <c r="F502" s="15" t="s">
        <v>79</v>
      </c>
      <c r="G502" s="298"/>
      <c r="H502" s="10"/>
      <c r="I502" s="11"/>
      <c r="J502" s="11"/>
      <c r="K502" s="11"/>
      <c r="L502" s="11"/>
      <c r="M502" s="11"/>
      <c r="N502" s="11"/>
      <c r="O502" s="12"/>
      <c r="P502" s="11"/>
      <c r="Q502" s="13"/>
      <c r="R502" s="14"/>
    </row>
    <row r="503" spans="1:18" ht="15" customHeight="1">
      <c r="A503" s="15" t="s">
        <v>38</v>
      </c>
      <c r="B503" s="15" t="s">
        <v>87</v>
      </c>
      <c r="C503" s="16">
        <v>6.25E-2</v>
      </c>
      <c r="D503" s="15" t="s">
        <v>46</v>
      </c>
      <c r="E503" s="15" t="s">
        <v>152</v>
      </c>
      <c r="F503" s="15" t="s">
        <v>47</v>
      </c>
      <c r="G503" s="298"/>
      <c r="H503" s="10"/>
      <c r="I503" s="11"/>
      <c r="J503" s="11"/>
      <c r="K503" s="11"/>
      <c r="L503" s="11"/>
      <c r="M503" s="11"/>
      <c r="N503" s="11"/>
      <c r="O503" s="12"/>
      <c r="P503" s="11"/>
      <c r="Q503" s="13"/>
      <c r="R503" s="14"/>
    </row>
    <row r="504" spans="1:18" ht="15" customHeight="1">
      <c r="A504" s="19" t="s">
        <v>26</v>
      </c>
      <c r="B504" s="19" t="s">
        <v>27</v>
      </c>
      <c r="C504" s="20">
        <v>0.60763888888888895</v>
      </c>
      <c r="D504" s="19" t="s">
        <v>28</v>
      </c>
      <c r="E504" s="19" t="s">
        <v>29</v>
      </c>
      <c r="F504" s="19" t="s">
        <v>159</v>
      </c>
      <c r="G504" s="298"/>
      <c r="H504" s="10"/>
      <c r="I504" s="11"/>
      <c r="J504" s="11"/>
      <c r="K504" s="11"/>
      <c r="L504" s="11"/>
      <c r="M504" s="11"/>
      <c r="N504" s="11"/>
      <c r="O504" s="12"/>
      <c r="P504" s="11"/>
      <c r="Q504" s="13"/>
      <c r="R504" s="14"/>
    </row>
    <row r="505" spans="1:18" ht="15" customHeight="1">
      <c r="A505" s="15" t="s">
        <v>26</v>
      </c>
      <c r="B505" s="15" t="s">
        <v>27</v>
      </c>
      <c r="C505" s="16">
        <v>0.60763888888888895</v>
      </c>
      <c r="D505" s="15" t="s">
        <v>31</v>
      </c>
      <c r="E505" s="15" t="s">
        <v>32</v>
      </c>
      <c r="F505" s="15" t="s">
        <v>139</v>
      </c>
      <c r="G505" s="298"/>
      <c r="H505" s="10"/>
      <c r="I505" s="11"/>
      <c r="J505" s="11"/>
      <c r="K505" s="11"/>
      <c r="L505" s="11"/>
      <c r="M505" s="11"/>
      <c r="N505" s="11"/>
      <c r="O505" s="12"/>
      <c r="P505" s="11"/>
      <c r="Q505" s="13"/>
      <c r="R505" s="14"/>
    </row>
    <row r="506" spans="1:18" ht="15" customHeight="1">
      <c r="A506" s="15" t="s">
        <v>26</v>
      </c>
      <c r="B506" s="15" t="s">
        <v>27</v>
      </c>
      <c r="C506" s="16">
        <v>0.60763888888888895</v>
      </c>
      <c r="D506" s="15" t="s">
        <v>34</v>
      </c>
      <c r="E506" s="15" t="s">
        <v>32</v>
      </c>
      <c r="F506" s="15" t="s">
        <v>160</v>
      </c>
      <c r="G506" s="298"/>
      <c r="H506" s="10"/>
      <c r="I506" s="11"/>
      <c r="J506" s="11"/>
      <c r="K506" s="11"/>
      <c r="L506" s="11"/>
      <c r="M506" s="11"/>
      <c r="N506" s="11"/>
      <c r="O506" s="12"/>
      <c r="P506" s="11"/>
      <c r="Q506" s="13"/>
      <c r="R506" s="14"/>
    </row>
    <row r="507" spans="1:18" ht="15" customHeight="1">
      <c r="A507" s="17" t="s">
        <v>26</v>
      </c>
      <c r="B507" s="17" t="s">
        <v>36</v>
      </c>
      <c r="C507" s="18">
        <v>0.43402777777777768</v>
      </c>
      <c r="D507" s="17" t="s">
        <v>28</v>
      </c>
      <c r="E507" s="17" t="s">
        <v>134</v>
      </c>
      <c r="F507" s="17" t="s">
        <v>105</v>
      </c>
      <c r="G507" s="298"/>
      <c r="H507" s="10"/>
      <c r="I507" s="11"/>
      <c r="J507" s="11"/>
      <c r="K507" s="11"/>
      <c r="L507" s="11"/>
      <c r="M507" s="11"/>
      <c r="N507" s="11"/>
      <c r="O507" s="12"/>
      <c r="P507" s="11"/>
      <c r="Q507" s="13"/>
      <c r="R507" s="14"/>
    </row>
    <row r="508" spans="1:18" ht="15" customHeight="1">
      <c r="A508" s="15" t="s">
        <v>26</v>
      </c>
      <c r="B508" s="15" t="s">
        <v>36</v>
      </c>
      <c r="C508" s="16">
        <v>0.43402777777777768</v>
      </c>
      <c r="D508" s="15" t="s">
        <v>31</v>
      </c>
      <c r="E508" s="15" t="s">
        <v>135</v>
      </c>
      <c r="F508" s="15" t="s">
        <v>171</v>
      </c>
      <c r="G508" s="298"/>
      <c r="H508" s="10"/>
      <c r="I508" s="11"/>
      <c r="J508" s="11"/>
      <c r="K508" s="11"/>
      <c r="L508" s="11"/>
      <c r="M508" s="11"/>
      <c r="N508" s="11"/>
      <c r="O508" s="12"/>
      <c r="P508" s="11"/>
      <c r="Q508" s="13"/>
      <c r="R508" s="14"/>
    </row>
    <row r="509" spans="1:18" ht="15" customHeight="1">
      <c r="A509" s="15" t="s">
        <v>26</v>
      </c>
      <c r="B509" s="15" t="s">
        <v>36</v>
      </c>
      <c r="C509" s="16">
        <v>0.43402777777777768</v>
      </c>
      <c r="D509" s="15" t="s">
        <v>34</v>
      </c>
      <c r="E509" s="15" t="s">
        <v>135</v>
      </c>
      <c r="F509" s="15" t="s">
        <v>172</v>
      </c>
      <c r="G509" s="298"/>
      <c r="H509" s="10"/>
      <c r="I509" s="11"/>
      <c r="J509" s="11"/>
      <c r="K509" s="11"/>
      <c r="L509" s="11"/>
      <c r="M509" s="11"/>
      <c r="N509" s="11"/>
      <c r="O509" s="12"/>
      <c r="P509" s="11"/>
      <c r="Q509" s="13"/>
      <c r="R509" s="14"/>
    </row>
    <row r="510" spans="1:18" ht="15" customHeight="1">
      <c r="A510" s="40" t="s">
        <v>61</v>
      </c>
      <c r="B510" s="40" t="s">
        <v>62</v>
      </c>
      <c r="C510" s="41">
        <v>0.38194444444444442</v>
      </c>
      <c r="D510" s="40" t="s">
        <v>63</v>
      </c>
      <c r="E510" s="40" t="s">
        <v>156</v>
      </c>
      <c r="F510" s="40" t="s">
        <v>173</v>
      </c>
      <c r="G510" s="298"/>
      <c r="H510" s="42" t="s">
        <v>65</v>
      </c>
      <c r="I510" s="43">
        <v>0.24440000000000001</v>
      </c>
      <c r="J510" s="44">
        <v>44</v>
      </c>
      <c r="K510" s="45">
        <v>46332</v>
      </c>
      <c r="L510" s="44">
        <v>44</v>
      </c>
      <c r="M510" s="44">
        <v>0</v>
      </c>
      <c r="N510" s="44">
        <v>0</v>
      </c>
      <c r="O510" s="46" t="s">
        <v>174</v>
      </c>
      <c r="P510" s="47">
        <v>0.38194444444444442</v>
      </c>
      <c r="Q510" s="44">
        <v>180</v>
      </c>
      <c r="R510" s="48" t="s">
        <v>175</v>
      </c>
    </row>
    <row r="511" spans="1:18" ht="15" customHeight="1">
      <c r="A511" s="19" t="s">
        <v>48</v>
      </c>
      <c r="B511" s="19" t="s">
        <v>59</v>
      </c>
      <c r="C511" s="20">
        <v>0.22916666666666671</v>
      </c>
      <c r="D511" s="19" t="s">
        <v>53</v>
      </c>
      <c r="E511" s="19" t="s">
        <v>29</v>
      </c>
      <c r="F511" s="19" t="s">
        <v>85</v>
      </c>
      <c r="G511" s="298"/>
      <c r="H511" s="10"/>
      <c r="I511" s="11"/>
      <c r="J511" s="11"/>
      <c r="K511" s="11"/>
      <c r="L511" s="11"/>
      <c r="M511" s="11"/>
      <c r="N511" s="11"/>
      <c r="O511" s="12"/>
      <c r="P511" s="11"/>
      <c r="Q511" s="13"/>
      <c r="R511" s="14"/>
    </row>
    <row r="512" spans="1:18" ht="15" customHeight="1">
      <c r="A512" s="17" t="s">
        <v>48</v>
      </c>
      <c r="B512" s="17" t="s">
        <v>49</v>
      </c>
      <c r="C512" s="18">
        <v>0.35416666666666669</v>
      </c>
      <c r="D512" s="17" t="s">
        <v>53</v>
      </c>
      <c r="E512" s="17" t="s">
        <v>57</v>
      </c>
      <c r="F512" s="17" t="s">
        <v>176</v>
      </c>
      <c r="G512" s="298"/>
      <c r="H512" s="10"/>
      <c r="I512" s="11"/>
      <c r="J512" s="11"/>
      <c r="K512" s="11"/>
      <c r="L512" s="11"/>
      <c r="M512" s="11"/>
      <c r="N512" s="11"/>
      <c r="O512" s="12"/>
      <c r="P512" s="11"/>
      <c r="Q512" s="13"/>
      <c r="R512" s="14"/>
    </row>
    <row r="513" spans="1:18" ht="15" customHeight="1">
      <c r="A513" s="17" t="s">
        <v>48</v>
      </c>
      <c r="B513" s="17" t="s">
        <v>56</v>
      </c>
      <c r="C513" s="18">
        <v>0.89583333333333337</v>
      </c>
      <c r="D513" s="17" t="s">
        <v>53</v>
      </c>
      <c r="E513" s="17" t="s">
        <v>57</v>
      </c>
      <c r="F513" s="17" t="s">
        <v>176</v>
      </c>
      <c r="G513" s="298"/>
      <c r="H513" s="10"/>
      <c r="I513" s="11"/>
      <c r="J513" s="11"/>
      <c r="K513" s="11"/>
      <c r="L513" s="11"/>
      <c r="M513" s="11"/>
      <c r="N513" s="11"/>
      <c r="O513" s="12"/>
      <c r="P513" s="11"/>
      <c r="Q513" s="13"/>
      <c r="R513" s="14"/>
    </row>
    <row r="514" spans="1:18" ht="15" customHeight="1">
      <c r="A514" s="17" t="s">
        <v>48</v>
      </c>
      <c r="B514" s="17" t="s">
        <v>58</v>
      </c>
      <c r="C514" s="18">
        <v>0.18402777777777779</v>
      </c>
      <c r="D514" s="17" t="s">
        <v>53</v>
      </c>
      <c r="E514" s="17" t="s">
        <v>57</v>
      </c>
      <c r="F514" s="17" t="s">
        <v>176</v>
      </c>
      <c r="G514" s="298"/>
      <c r="H514" s="10"/>
      <c r="I514" s="11"/>
      <c r="J514" s="11"/>
      <c r="K514" s="11"/>
      <c r="L514" s="11"/>
      <c r="M514" s="11"/>
      <c r="N514" s="11"/>
      <c r="O514" s="12"/>
      <c r="P514" s="11"/>
      <c r="Q514" s="13"/>
      <c r="R514" s="14"/>
    </row>
    <row r="515" spans="1:18" ht="15" customHeight="1" thickBot="1">
      <c r="A515" s="96" t="s">
        <v>68</v>
      </c>
      <c r="B515" s="96" t="s">
        <v>74</v>
      </c>
      <c r="C515" s="97">
        <v>0.33680555555555558</v>
      </c>
      <c r="D515" s="96" t="s">
        <v>70</v>
      </c>
      <c r="E515" s="96" t="s">
        <v>177</v>
      </c>
      <c r="F515" s="96" t="s">
        <v>157</v>
      </c>
      <c r="G515" s="299"/>
      <c r="H515" s="300"/>
      <c r="I515" s="140"/>
      <c r="J515" s="140"/>
      <c r="K515" s="140"/>
      <c r="L515" s="140"/>
      <c r="M515" s="140"/>
      <c r="N515" s="140"/>
      <c r="O515" s="141"/>
      <c r="P515" s="140"/>
      <c r="Q515" s="142"/>
      <c r="R515" s="301"/>
    </row>
    <row r="516" spans="1:18" ht="17.45" customHeight="1" thickBot="1">
      <c r="A516" s="283"/>
      <c r="B516" s="284"/>
      <c r="C516" s="284"/>
      <c r="D516" s="284"/>
      <c r="E516" s="284"/>
      <c r="F516" s="284"/>
      <c r="G516" s="284"/>
      <c r="H516" s="284"/>
      <c r="I516" s="284"/>
      <c r="J516" s="284"/>
      <c r="K516" s="284"/>
      <c r="L516" s="284"/>
      <c r="M516" s="284"/>
      <c r="N516" s="284"/>
      <c r="O516" s="284"/>
      <c r="P516" s="284"/>
      <c r="Q516" s="284"/>
      <c r="R516" s="285"/>
    </row>
    <row r="517" spans="1:18" ht="22.15" customHeight="1" thickTop="1" thickBot="1">
      <c r="A517" s="279" t="s">
        <v>6</v>
      </c>
      <c r="B517" s="295"/>
      <c r="C517" s="295"/>
      <c r="D517" s="295"/>
      <c r="E517" s="295"/>
      <c r="F517" s="296"/>
      <c r="G517" s="32">
        <v>46045</v>
      </c>
      <c r="H517" s="278" t="s">
        <v>7</v>
      </c>
      <c r="I517" s="295"/>
      <c r="J517" s="295"/>
      <c r="K517" s="295"/>
      <c r="L517" s="295"/>
      <c r="M517" s="295"/>
      <c r="N517" s="295"/>
      <c r="O517" s="295"/>
      <c r="P517" s="295"/>
      <c r="Q517" s="295"/>
      <c r="R517" s="296"/>
    </row>
    <row r="518" spans="1:18" ht="24" customHeight="1">
      <c r="A518" s="33" t="s">
        <v>8</v>
      </c>
      <c r="B518" s="33" t="s">
        <v>9</v>
      </c>
      <c r="C518" s="34" t="s">
        <v>10</v>
      </c>
      <c r="D518" s="33" t="s">
        <v>11</v>
      </c>
      <c r="E518" s="33" t="s">
        <v>12</v>
      </c>
      <c r="F518" s="35" t="s">
        <v>13</v>
      </c>
      <c r="G518" s="36" t="s">
        <v>14</v>
      </c>
      <c r="H518" s="33" t="s">
        <v>15</v>
      </c>
      <c r="I518" s="37" t="s">
        <v>16</v>
      </c>
      <c r="J518" s="38" t="s">
        <v>17</v>
      </c>
      <c r="K518" s="39" t="s">
        <v>18</v>
      </c>
      <c r="L518" s="38" t="s">
        <v>19</v>
      </c>
      <c r="M518" s="38" t="s">
        <v>20</v>
      </c>
      <c r="N518" s="38" t="s">
        <v>21</v>
      </c>
      <c r="O518" s="33" t="s">
        <v>22</v>
      </c>
      <c r="P518" s="34" t="s">
        <v>23</v>
      </c>
      <c r="Q518" s="38" t="s">
        <v>24</v>
      </c>
      <c r="R518" s="33" t="s">
        <v>25</v>
      </c>
    </row>
    <row r="519" spans="1:18" ht="15" customHeight="1">
      <c r="A519" s="8" t="s">
        <v>38</v>
      </c>
      <c r="B519" s="8" t="s">
        <v>39</v>
      </c>
      <c r="C519" s="9">
        <v>0.22916666666666671</v>
      </c>
      <c r="D519" s="8" t="s">
        <v>40</v>
      </c>
      <c r="E519" s="8" t="s">
        <v>151</v>
      </c>
      <c r="F519" s="8" t="s">
        <v>121</v>
      </c>
      <c r="G519" s="297"/>
      <c r="H519" s="10"/>
      <c r="I519" s="11"/>
      <c r="J519" s="11"/>
      <c r="K519" s="11"/>
      <c r="L519" s="11"/>
      <c r="M519" s="11"/>
      <c r="N519" s="11"/>
      <c r="O519" s="12"/>
      <c r="P519" s="11"/>
      <c r="Q519" s="13"/>
      <c r="R519" s="14"/>
    </row>
    <row r="520" spans="1:18" ht="15" customHeight="1">
      <c r="A520" s="15" t="s">
        <v>38</v>
      </c>
      <c r="B520" s="15" t="s">
        <v>39</v>
      </c>
      <c r="C520" s="16">
        <v>0.22916666666666671</v>
      </c>
      <c r="D520" s="15" t="s">
        <v>43</v>
      </c>
      <c r="E520" s="15" t="s">
        <v>152</v>
      </c>
      <c r="F520" s="15" t="s">
        <v>123</v>
      </c>
      <c r="G520" s="298"/>
      <c r="H520" s="10"/>
      <c r="I520" s="11"/>
      <c r="J520" s="11"/>
      <c r="K520" s="11"/>
      <c r="L520" s="11"/>
      <c r="M520" s="11"/>
      <c r="N520" s="11"/>
      <c r="O520" s="12"/>
      <c r="P520" s="11"/>
      <c r="Q520" s="13"/>
      <c r="R520" s="14"/>
    </row>
    <row r="521" spans="1:18" ht="15" customHeight="1">
      <c r="A521" s="15" t="s">
        <v>38</v>
      </c>
      <c r="B521" s="15" t="s">
        <v>39</v>
      </c>
      <c r="C521" s="16">
        <v>0.22916666666666671</v>
      </c>
      <c r="D521" s="15" t="s">
        <v>46</v>
      </c>
      <c r="E521" s="15" t="s">
        <v>152</v>
      </c>
      <c r="F521" s="15" t="s">
        <v>47</v>
      </c>
      <c r="G521" s="298"/>
      <c r="H521" s="10"/>
      <c r="I521" s="11"/>
      <c r="J521" s="11"/>
      <c r="K521" s="11"/>
      <c r="L521" s="11"/>
      <c r="M521" s="11"/>
      <c r="N521" s="11"/>
      <c r="O521" s="12"/>
      <c r="P521" s="11"/>
      <c r="Q521" s="13"/>
      <c r="R521" s="14"/>
    </row>
    <row r="522" spans="1:18" ht="15" customHeight="1">
      <c r="A522" s="19" t="s">
        <v>26</v>
      </c>
      <c r="B522" s="19" t="s">
        <v>27</v>
      </c>
      <c r="C522" s="20">
        <v>0.60763888888888895</v>
      </c>
      <c r="D522" s="19" t="s">
        <v>28</v>
      </c>
      <c r="E522" s="19" t="s">
        <v>126</v>
      </c>
      <c r="F522" s="19" t="s">
        <v>162</v>
      </c>
      <c r="G522" s="298"/>
      <c r="H522" s="10"/>
      <c r="I522" s="11"/>
      <c r="J522" s="11"/>
      <c r="K522" s="11"/>
      <c r="L522" s="11"/>
      <c r="M522" s="11"/>
      <c r="N522" s="11"/>
      <c r="O522" s="12"/>
      <c r="P522" s="11"/>
      <c r="Q522" s="13"/>
      <c r="R522" s="14"/>
    </row>
    <row r="523" spans="1:18" ht="15" customHeight="1">
      <c r="A523" s="15" t="s">
        <v>26</v>
      </c>
      <c r="B523" s="15" t="s">
        <v>27</v>
      </c>
      <c r="C523" s="16">
        <v>0.60763888888888895</v>
      </c>
      <c r="D523" s="15" t="s">
        <v>31</v>
      </c>
      <c r="E523" s="15" t="s">
        <v>127</v>
      </c>
      <c r="F523" s="15" t="s">
        <v>178</v>
      </c>
      <c r="G523" s="298"/>
      <c r="H523" s="10"/>
      <c r="I523" s="11"/>
      <c r="J523" s="11"/>
      <c r="K523" s="11"/>
      <c r="L523" s="11"/>
      <c r="M523" s="11"/>
      <c r="N523" s="11"/>
      <c r="O523" s="12"/>
      <c r="P523" s="11"/>
      <c r="Q523" s="13"/>
      <c r="R523" s="14"/>
    </row>
    <row r="524" spans="1:18" ht="15" customHeight="1">
      <c r="A524" s="15" t="s">
        <v>26</v>
      </c>
      <c r="B524" s="15" t="s">
        <v>27</v>
      </c>
      <c r="C524" s="16">
        <v>0.60763888888888895</v>
      </c>
      <c r="D524" s="15" t="s">
        <v>34</v>
      </c>
      <c r="E524" s="15" t="s">
        <v>127</v>
      </c>
      <c r="F524" s="15" t="s">
        <v>179</v>
      </c>
      <c r="G524" s="298"/>
      <c r="H524" s="10"/>
      <c r="I524" s="11"/>
      <c r="J524" s="11"/>
      <c r="K524" s="11"/>
      <c r="L524" s="11"/>
      <c r="M524" s="11"/>
      <c r="N524" s="11"/>
      <c r="O524" s="12"/>
      <c r="P524" s="11"/>
      <c r="Q524" s="13"/>
      <c r="R524" s="14"/>
    </row>
    <row r="525" spans="1:18" ht="15" customHeight="1">
      <c r="A525" s="19" t="s">
        <v>68</v>
      </c>
      <c r="B525" s="19" t="s">
        <v>69</v>
      </c>
      <c r="C525" s="20">
        <v>0.94097222222222221</v>
      </c>
      <c r="D525" s="19" t="s">
        <v>70</v>
      </c>
      <c r="E525" s="19" t="s">
        <v>51</v>
      </c>
      <c r="F525" s="19" t="s">
        <v>71</v>
      </c>
      <c r="G525" s="298"/>
      <c r="H525" s="10"/>
      <c r="I525" s="11"/>
      <c r="J525" s="11"/>
      <c r="K525" s="11"/>
      <c r="L525" s="11"/>
      <c r="M525" s="11"/>
      <c r="N525" s="11"/>
      <c r="O525" s="12"/>
      <c r="P525" s="11"/>
      <c r="Q525" s="13"/>
      <c r="R525" s="14"/>
    </row>
    <row r="526" spans="1:18" ht="15" customHeight="1">
      <c r="A526" s="17" t="s">
        <v>68</v>
      </c>
      <c r="B526" s="17" t="s">
        <v>76</v>
      </c>
      <c r="C526" s="18">
        <v>0.69791666666666663</v>
      </c>
      <c r="D526" s="17" t="s">
        <v>70</v>
      </c>
      <c r="E526" s="17" t="s">
        <v>57</v>
      </c>
      <c r="F526" s="17" t="s">
        <v>71</v>
      </c>
      <c r="G526" s="298"/>
      <c r="H526" s="10"/>
      <c r="I526" s="11"/>
      <c r="J526" s="11"/>
      <c r="K526" s="11"/>
      <c r="L526" s="11"/>
      <c r="M526" s="11"/>
      <c r="N526" s="11"/>
      <c r="O526" s="12"/>
      <c r="P526" s="11"/>
      <c r="Q526" s="13"/>
      <c r="R526" s="14"/>
    </row>
    <row r="527" spans="1:18" ht="15" customHeight="1">
      <c r="A527" s="17" t="s">
        <v>68</v>
      </c>
      <c r="B527" s="17" t="s">
        <v>74</v>
      </c>
      <c r="C527" s="18">
        <v>0.33680555555555558</v>
      </c>
      <c r="D527" s="17" t="s">
        <v>70</v>
      </c>
      <c r="E527" s="17" t="s">
        <v>57</v>
      </c>
      <c r="F527" s="17" t="s">
        <v>75</v>
      </c>
      <c r="G527" s="298"/>
      <c r="H527" s="10"/>
      <c r="I527" s="11"/>
      <c r="J527" s="11"/>
      <c r="K527" s="11"/>
      <c r="L527" s="11"/>
      <c r="M527" s="11"/>
      <c r="N527" s="11"/>
      <c r="O527" s="12"/>
      <c r="P527" s="11"/>
      <c r="Q527" s="13"/>
      <c r="R527" s="14"/>
    </row>
    <row r="528" spans="1:18" ht="15" customHeight="1">
      <c r="A528" s="17" t="s">
        <v>68</v>
      </c>
      <c r="B528" s="17" t="s">
        <v>72</v>
      </c>
      <c r="C528" s="18">
        <v>6.5972222222222224E-2</v>
      </c>
      <c r="D528" s="17" t="s">
        <v>70</v>
      </c>
      <c r="E528" s="17" t="s">
        <v>57</v>
      </c>
      <c r="F528" s="17" t="s">
        <v>180</v>
      </c>
      <c r="G528" s="298"/>
      <c r="H528" s="10"/>
      <c r="I528" s="11"/>
      <c r="J528" s="11"/>
      <c r="K528" s="11"/>
      <c r="L528" s="11"/>
      <c r="M528" s="11"/>
      <c r="N528" s="11"/>
      <c r="O528" s="12"/>
      <c r="P528" s="11"/>
      <c r="Q528" s="13"/>
      <c r="R528" s="14"/>
    </row>
    <row r="529" spans="1:18" ht="15" customHeight="1">
      <c r="A529" s="19" t="s">
        <v>48</v>
      </c>
      <c r="B529" s="19" t="s">
        <v>59</v>
      </c>
      <c r="C529" s="20">
        <v>0.22916666666666671</v>
      </c>
      <c r="D529" s="19" t="s">
        <v>53</v>
      </c>
      <c r="E529" s="19" t="s">
        <v>29</v>
      </c>
      <c r="F529" s="19" t="s">
        <v>124</v>
      </c>
      <c r="G529" s="298"/>
      <c r="H529" s="10"/>
      <c r="I529" s="11"/>
      <c r="J529" s="11"/>
      <c r="K529" s="11"/>
      <c r="L529" s="11"/>
      <c r="M529" s="11"/>
      <c r="N529" s="11"/>
      <c r="O529" s="12"/>
      <c r="P529" s="11"/>
      <c r="Q529" s="13"/>
      <c r="R529" s="14"/>
    </row>
    <row r="530" spans="1:18" ht="15" customHeight="1">
      <c r="A530" s="17" t="s">
        <v>48</v>
      </c>
      <c r="B530" s="17" t="s">
        <v>49</v>
      </c>
      <c r="C530" s="18">
        <v>0.35069444444444442</v>
      </c>
      <c r="D530" s="17" t="s">
        <v>53</v>
      </c>
      <c r="E530" s="17" t="s">
        <v>57</v>
      </c>
      <c r="F530" s="17" t="s">
        <v>176</v>
      </c>
      <c r="G530" s="298"/>
      <c r="H530" s="10"/>
      <c r="I530" s="11"/>
      <c r="J530" s="11"/>
      <c r="K530" s="11"/>
      <c r="L530" s="11"/>
      <c r="M530" s="11"/>
      <c r="N530" s="11"/>
      <c r="O530" s="12"/>
      <c r="P530" s="11"/>
      <c r="Q530" s="13"/>
      <c r="R530" s="14"/>
    </row>
    <row r="531" spans="1:18" ht="15" customHeight="1">
      <c r="A531" s="17" t="s">
        <v>48</v>
      </c>
      <c r="B531" s="17" t="s">
        <v>56</v>
      </c>
      <c r="C531" s="18">
        <v>0.89583333333333337</v>
      </c>
      <c r="D531" s="17" t="s">
        <v>53</v>
      </c>
      <c r="E531" s="17" t="s">
        <v>57</v>
      </c>
      <c r="F531" s="17" t="s">
        <v>176</v>
      </c>
      <c r="G531" s="298"/>
      <c r="H531" s="10"/>
      <c r="I531" s="11"/>
      <c r="J531" s="11"/>
      <c r="K531" s="11"/>
      <c r="L531" s="11"/>
      <c r="M531" s="11"/>
      <c r="N531" s="11"/>
      <c r="O531" s="12"/>
      <c r="P531" s="11"/>
      <c r="Q531" s="13"/>
      <c r="R531" s="14"/>
    </row>
    <row r="532" spans="1:18" ht="15" customHeight="1" thickBot="1">
      <c r="A532" s="30" t="s">
        <v>48</v>
      </c>
      <c r="B532" s="30" t="s">
        <v>58</v>
      </c>
      <c r="C532" s="31">
        <v>0.18402777777777779</v>
      </c>
      <c r="D532" s="30" t="s">
        <v>53</v>
      </c>
      <c r="E532" s="30" t="s">
        <v>57</v>
      </c>
      <c r="F532" s="30" t="s">
        <v>176</v>
      </c>
      <c r="G532" s="299"/>
      <c r="H532" s="300"/>
      <c r="I532" s="140"/>
      <c r="J532" s="140"/>
      <c r="K532" s="140"/>
      <c r="L532" s="140"/>
      <c r="M532" s="140"/>
      <c r="N532" s="140"/>
      <c r="O532" s="141"/>
      <c r="P532" s="140"/>
      <c r="Q532" s="142"/>
      <c r="R532" s="301"/>
    </row>
    <row r="533" spans="1:18" ht="17.45" customHeight="1" thickBot="1">
      <c r="A533" s="283"/>
      <c r="B533" s="284"/>
      <c r="C533" s="284"/>
      <c r="D533" s="284"/>
      <c r="E533" s="284"/>
      <c r="F533" s="284"/>
      <c r="G533" s="284"/>
      <c r="H533" s="284"/>
      <c r="I533" s="284"/>
      <c r="J533" s="284"/>
      <c r="K533" s="284"/>
      <c r="L533" s="284"/>
      <c r="M533" s="284"/>
      <c r="N533" s="284"/>
      <c r="O533" s="284"/>
      <c r="P533" s="284"/>
      <c r="Q533" s="284"/>
      <c r="R533" s="285"/>
    </row>
    <row r="534" spans="1:18" ht="22.15" customHeight="1" thickTop="1" thickBot="1">
      <c r="A534" s="279" t="s">
        <v>6</v>
      </c>
      <c r="B534" s="295"/>
      <c r="C534" s="295"/>
      <c r="D534" s="295"/>
      <c r="E534" s="295"/>
      <c r="F534" s="296"/>
      <c r="G534" s="32">
        <v>46046</v>
      </c>
      <c r="H534" s="278" t="s">
        <v>7</v>
      </c>
      <c r="I534" s="295"/>
      <c r="J534" s="295"/>
      <c r="K534" s="295"/>
      <c r="L534" s="295"/>
      <c r="M534" s="295"/>
      <c r="N534" s="295"/>
      <c r="O534" s="295"/>
      <c r="P534" s="295"/>
      <c r="Q534" s="295"/>
      <c r="R534" s="296"/>
    </row>
    <row r="535" spans="1:18" ht="24" customHeight="1">
      <c r="A535" s="33" t="s">
        <v>8</v>
      </c>
      <c r="B535" s="33" t="s">
        <v>9</v>
      </c>
      <c r="C535" s="34" t="s">
        <v>10</v>
      </c>
      <c r="D535" s="33" t="s">
        <v>11</v>
      </c>
      <c r="E535" s="33" t="s">
        <v>12</v>
      </c>
      <c r="F535" s="35" t="s">
        <v>13</v>
      </c>
      <c r="G535" s="36" t="s">
        <v>14</v>
      </c>
      <c r="H535" s="33" t="s">
        <v>15</v>
      </c>
      <c r="I535" s="37" t="s">
        <v>16</v>
      </c>
      <c r="J535" s="38" t="s">
        <v>17</v>
      </c>
      <c r="K535" s="39" t="s">
        <v>18</v>
      </c>
      <c r="L535" s="38" t="s">
        <v>19</v>
      </c>
      <c r="M535" s="38" t="s">
        <v>20</v>
      </c>
      <c r="N535" s="38" t="s">
        <v>21</v>
      </c>
      <c r="O535" s="33" t="s">
        <v>22</v>
      </c>
      <c r="P535" s="34" t="s">
        <v>23</v>
      </c>
      <c r="Q535" s="38" t="s">
        <v>24</v>
      </c>
      <c r="R535" s="33" t="s">
        <v>25</v>
      </c>
    </row>
    <row r="536" spans="1:18" ht="15" customHeight="1">
      <c r="A536" s="8" t="s">
        <v>38</v>
      </c>
      <c r="B536" s="8" t="s">
        <v>39</v>
      </c>
      <c r="C536" s="9">
        <v>0.22916666666666671</v>
      </c>
      <c r="D536" s="8" t="s">
        <v>40</v>
      </c>
      <c r="E536" s="8" t="s">
        <v>181</v>
      </c>
      <c r="F536" s="8" t="s">
        <v>42</v>
      </c>
      <c r="G536" s="297"/>
      <c r="H536" s="10"/>
      <c r="I536" s="11"/>
      <c r="J536" s="11"/>
      <c r="K536" s="11"/>
      <c r="L536" s="11"/>
      <c r="M536" s="11"/>
      <c r="N536" s="11"/>
      <c r="O536" s="12"/>
      <c r="P536" s="11"/>
      <c r="Q536" s="13"/>
      <c r="R536" s="14"/>
    </row>
    <row r="537" spans="1:18" ht="15" customHeight="1">
      <c r="A537" s="15" t="s">
        <v>38</v>
      </c>
      <c r="B537" s="15" t="s">
        <v>39</v>
      </c>
      <c r="C537" s="16">
        <v>0.22916666666666671</v>
      </c>
      <c r="D537" s="15" t="s">
        <v>43</v>
      </c>
      <c r="E537" s="15" t="s">
        <v>182</v>
      </c>
      <c r="F537" s="15" t="s">
        <v>45</v>
      </c>
      <c r="G537" s="298"/>
      <c r="H537" s="10"/>
      <c r="I537" s="11"/>
      <c r="J537" s="11"/>
      <c r="K537" s="11"/>
      <c r="L537" s="11"/>
      <c r="M537" s="11"/>
      <c r="N537" s="11"/>
      <c r="O537" s="12"/>
      <c r="P537" s="11"/>
      <c r="Q537" s="13"/>
      <c r="R537" s="14"/>
    </row>
    <row r="538" spans="1:18" ht="15" customHeight="1">
      <c r="A538" s="15" t="s">
        <v>38</v>
      </c>
      <c r="B538" s="15" t="s">
        <v>39</v>
      </c>
      <c r="C538" s="16">
        <v>0.22916666666666671</v>
      </c>
      <c r="D538" s="15" t="s">
        <v>46</v>
      </c>
      <c r="E538" s="15" t="s">
        <v>182</v>
      </c>
      <c r="F538" s="15" t="s">
        <v>47</v>
      </c>
      <c r="G538" s="298"/>
      <c r="H538" s="10"/>
      <c r="I538" s="11"/>
      <c r="J538" s="11"/>
      <c r="K538" s="11"/>
      <c r="L538" s="11"/>
      <c r="M538" s="11"/>
      <c r="N538" s="11"/>
      <c r="O538" s="12"/>
      <c r="P538" s="11"/>
      <c r="Q538" s="13"/>
      <c r="R538" s="14"/>
    </row>
    <row r="539" spans="1:18" ht="15" customHeight="1">
      <c r="A539" s="17" t="s">
        <v>38</v>
      </c>
      <c r="B539" s="17" t="s">
        <v>87</v>
      </c>
      <c r="C539" s="18">
        <v>6.25E-2</v>
      </c>
      <c r="D539" s="17" t="s">
        <v>40</v>
      </c>
      <c r="E539" s="17" t="s">
        <v>125</v>
      </c>
      <c r="F539" s="17" t="s">
        <v>121</v>
      </c>
      <c r="G539" s="298"/>
      <c r="H539" s="10"/>
      <c r="I539" s="11"/>
      <c r="J539" s="11"/>
      <c r="K539" s="11"/>
      <c r="L539" s="11"/>
      <c r="M539" s="11"/>
      <c r="N539" s="11"/>
      <c r="O539" s="12"/>
      <c r="P539" s="11"/>
      <c r="Q539" s="13"/>
      <c r="R539" s="14"/>
    </row>
    <row r="540" spans="1:18" ht="15" customHeight="1">
      <c r="A540" s="15" t="s">
        <v>38</v>
      </c>
      <c r="B540" s="15" t="s">
        <v>87</v>
      </c>
      <c r="C540" s="16">
        <v>6.25E-2</v>
      </c>
      <c r="D540" s="15" t="s">
        <v>43</v>
      </c>
      <c r="E540" s="15" t="s">
        <v>44</v>
      </c>
      <c r="F540" s="15" t="s">
        <v>123</v>
      </c>
      <c r="G540" s="298"/>
      <c r="H540" s="10"/>
      <c r="I540" s="11"/>
      <c r="J540" s="11"/>
      <c r="K540" s="11"/>
      <c r="L540" s="11"/>
      <c r="M540" s="11"/>
      <c r="N540" s="11"/>
      <c r="O540" s="12"/>
      <c r="P540" s="11"/>
      <c r="Q540" s="13"/>
      <c r="R540" s="14"/>
    </row>
    <row r="541" spans="1:18" ht="15" customHeight="1">
      <c r="A541" s="15" t="s">
        <v>38</v>
      </c>
      <c r="B541" s="15" t="s">
        <v>87</v>
      </c>
      <c r="C541" s="16">
        <v>6.25E-2</v>
      </c>
      <c r="D541" s="15" t="s">
        <v>46</v>
      </c>
      <c r="E541" s="15" t="s">
        <v>44</v>
      </c>
      <c r="F541" s="15" t="s">
        <v>47</v>
      </c>
      <c r="G541" s="298"/>
      <c r="H541" s="10"/>
      <c r="I541" s="11"/>
      <c r="J541" s="11"/>
      <c r="K541" s="11"/>
      <c r="L541" s="11"/>
      <c r="M541" s="11"/>
      <c r="N541" s="11"/>
      <c r="O541" s="12"/>
      <c r="P541" s="11"/>
      <c r="Q541" s="13"/>
      <c r="R541" s="14"/>
    </row>
    <row r="542" spans="1:18" ht="15" customHeight="1">
      <c r="A542" s="19" t="s">
        <v>26</v>
      </c>
      <c r="B542" s="19" t="s">
        <v>36</v>
      </c>
      <c r="C542" s="20">
        <v>0.43402777777777768</v>
      </c>
      <c r="D542" s="19" t="s">
        <v>28</v>
      </c>
      <c r="E542" s="19" t="s">
        <v>126</v>
      </c>
      <c r="F542" s="19" t="s">
        <v>162</v>
      </c>
      <c r="G542" s="298"/>
      <c r="H542" s="10"/>
      <c r="I542" s="11"/>
      <c r="J542" s="11"/>
      <c r="K542" s="11"/>
      <c r="L542" s="11"/>
      <c r="M542" s="11"/>
      <c r="N542" s="11"/>
      <c r="O542" s="12"/>
      <c r="P542" s="11"/>
      <c r="Q542" s="13"/>
      <c r="R542" s="14"/>
    </row>
    <row r="543" spans="1:18" ht="15" customHeight="1">
      <c r="A543" s="15" t="s">
        <v>26</v>
      </c>
      <c r="B543" s="15" t="s">
        <v>36</v>
      </c>
      <c r="C543" s="16">
        <v>0.43402777777777768</v>
      </c>
      <c r="D543" s="15" t="s">
        <v>31</v>
      </c>
      <c r="E543" s="15" t="s">
        <v>127</v>
      </c>
      <c r="F543" s="15" t="s">
        <v>178</v>
      </c>
      <c r="G543" s="298"/>
      <c r="H543" s="10"/>
      <c r="I543" s="11"/>
      <c r="J543" s="11"/>
      <c r="K543" s="11"/>
      <c r="L543" s="11"/>
      <c r="M543" s="11"/>
      <c r="N543" s="11"/>
      <c r="O543" s="12"/>
      <c r="P543" s="11"/>
      <c r="Q543" s="13"/>
      <c r="R543" s="14"/>
    </row>
    <row r="544" spans="1:18" ht="15" customHeight="1">
      <c r="A544" s="15" t="s">
        <v>26</v>
      </c>
      <c r="B544" s="15" t="s">
        <v>36</v>
      </c>
      <c r="C544" s="16">
        <v>0.43402777777777768</v>
      </c>
      <c r="D544" s="15" t="s">
        <v>34</v>
      </c>
      <c r="E544" s="15" t="s">
        <v>127</v>
      </c>
      <c r="F544" s="15" t="s">
        <v>179</v>
      </c>
      <c r="G544" s="298"/>
      <c r="H544" s="10"/>
      <c r="I544" s="11"/>
      <c r="J544" s="11"/>
      <c r="K544" s="11"/>
      <c r="L544" s="11"/>
      <c r="M544" s="11"/>
      <c r="N544" s="11"/>
      <c r="O544" s="12"/>
      <c r="P544" s="11"/>
      <c r="Q544" s="13"/>
      <c r="R544" s="14"/>
    </row>
    <row r="545" spans="1:18" ht="15" customHeight="1">
      <c r="A545" s="17" t="s">
        <v>26</v>
      </c>
      <c r="B545" s="17" t="s">
        <v>27</v>
      </c>
      <c r="C545" s="18">
        <v>0.60763888888888895</v>
      </c>
      <c r="D545" s="17" t="s">
        <v>28</v>
      </c>
      <c r="E545" s="17" t="s">
        <v>91</v>
      </c>
      <c r="F545" s="17" t="s">
        <v>105</v>
      </c>
      <c r="G545" s="298"/>
      <c r="H545" s="10"/>
      <c r="I545" s="11"/>
      <c r="J545" s="11"/>
      <c r="K545" s="11"/>
      <c r="L545" s="11"/>
      <c r="M545" s="11"/>
      <c r="N545" s="11"/>
      <c r="O545" s="12"/>
      <c r="P545" s="11"/>
      <c r="Q545" s="13"/>
      <c r="R545" s="14"/>
    </row>
    <row r="546" spans="1:18" ht="15" customHeight="1">
      <c r="A546" s="15" t="s">
        <v>26</v>
      </c>
      <c r="B546" s="15" t="s">
        <v>27</v>
      </c>
      <c r="C546" s="16">
        <v>0.60763888888888895</v>
      </c>
      <c r="D546" s="15" t="s">
        <v>31</v>
      </c>
      <c r="E546" s="15" t="s">
        <v>92</v>
      </c>
      <c r="F546" s="15" t="s">
        <v>171</v>
      </c>
      <c r="G546" s="298"/>
      <c r="H546" s="10"/>
      <c r="I546" s="11"/>
      <c r="J546" s="11"/>
      <c r="K546" s="11"/>
      <c r="L546" s="11"/>
      <c r="M546" s="11"/>
      <c r="N546" s="11"/>
      <c r="O546" s="12"/>
      <c r="P546" s="11"/>
      <c r="Q546" s="13"/>
      <c r="R546" s="14"/>
    </row>
    <row r="547" spans="1:18" ht="15" customHeight="1">
      <c r="A547" s="15" t="s">
        <v>26</v>
      </c>
      <c r="B547" s="15" t="s">
        <v>27</v>
      </c>
      <c r="C547" s="16">
        <v>0.60763888888888895</v>
      </c>
      <c r="D547" s="15" t="s">
        <v>34</v>
      </c>
      <c r="E547" s="15" t="s">
        <v>92</v>
      </c>
      <c r="F547" s="15" t="s">
        <v>172</v>
      </c>
      <c r="G547" s="298"/>
      <c r="H547" s="10"/>
      <c r="I547" s="11"/>
      <c r="J547" s="11"/>
      <c r="K547" s="11"/>
      <c r="L547" s="11"/>
      <c r="M547" s="11"/>
      <c r="N547" s="11"/>
      <c r="O547" s="12"/>
      <c r="P547" s="11"/>
      <c r="Q547" s="13"/>
      <c r="R547" s="14"/>
    </row>
    <row r="548" spans="1:18" ht="15" customHeight="1">
      <c r="A548" s="78" t="s">
        <v>61</v>
      </c>
      <c r="B548" s="78" t="s">
        <v>62</v>
      </c>
      <c r="C548" s="79">
        <v>0.2361111111111111</v>
      </c>
      <c r="D548" s="78" t="s">
        <v>63</v>
      </c>
      <c r="E548" s="78" t="s">
        <v>107</v>
      </c>
      <c r="F548" s="78" t="s">
        <v>64</v>
      </c>
      <c r="G548" s="298"/>
      <c r="H548" s="80" t="s">
        <v>65</v>
      </c>
      <c r="I548" s="81">
        <v>1.67E-2</v>
      </c>
      <c r="J548" s="82">
        <v>3</v>
      </c>
      <c r="K548" s="83">
        <v>46323</v>
      </c>
      <c r="L548" s="82">
        <v>3</v>
      </c>
      <c r="M548" s="82">
        <v>0</v>
      </c>
      <c r="N548" s="82">
        <v>0</v>
      </c>
      <c r="O548" s="84" t="s">
        <v>183</v>
      </c>
      <c r="P548" s="85">
        <v>0.2361111111111111</v>
      </c>
      <c r="Q548" s="82">
        <v>180</v>
      </c>
      <c r="R548" s="86" t="s">
        <v>184</v>
      </c>
    </row>
    <row r="549" spans="1:18" ht="15" customHeight="1">
      <c r="A549" s="19" t="s">
        <v>68</v>
      </c>
      <c r="B549" s="19" t="s">
        <v>76</v>
      </c>
      <c r="C549" s="20">
        <v>0.69791666666666663</v>
      </c>
      <c r="D549" s="19" t="s">
        <v>70</v>
      </c>
      <c r="E549" s="19" t="s">
        <v>51</v>
      </c>
      <c r="F549" s="19" t="s">
        <v>185</v>
      </c>
      <c r="G549" s="298"/>
      <c r="H549" s="10"/>
      <c r="I549" s="11"/>
      <c r="J549" s="11"/>
      <c r="K549" s="11"/>
      <c r="L549" s="11"/>
      <c r="M549" s="11"/>
      <c r="N549" s="11"/>
      <c r="O549" s="12"/>
      <c r="P549" s="11"/>
      <c r="Q549" s="13"/>
      <c r="R549" s="14"/>
    </row>
    <row r="550" spans="1:18" ht="15" customHeight="1">
      <c r="A550" s="17" t="s">
        <v>68</v>
      </c>
      <c r="B550" s="17" t="s">
        <v>69</v>
      </c>
      <c r="C550" s="18">
        <v>0.94097222222222221</v>
      </c>
      <c r="D550" s="17" t="s">
        <v>70</v>
      </c>
      <c r="E550" s="17" t="s">
        <v>57</v>
      </c>
      <c r="F550" s="17" t="s">
        <v>169</v>
      </c>
      <c r="G550" s="298"/>
      <c r="H550" s="10"/>
      <c r="I550" s="11"/>
      <c r="J550" s="11"/>
      <c r="K550" s="11"/>
      <c r="L550" s="11"/>
      <c r="M550" s="11"/>
      <c r="N550" s="11"/>
      <c r="O550" s="12"/>
      <c r="P550" s="11"/>
      <c r="Q550" s="13"/>
      <c r="R550" s="14"/>
    </row>
    <row r="551" spans="1:18" ht="15" customHeight="1">
      <c r="A551" s="17" t="s">
        <v>68</v>
      </c>
      <c r="B551" s="17" t="s">
        <v>73</v>
      </c>
      <c r="C551" s="18">
        <v>0.28819444444444448</v>
      </c>
      <c r="D551" s="17" t="s">
        <v>70</v>
      </c>
      <c r="E551" s="17" t="s">
        <v>57</v>
      </c>
      <c r="F551" s="17" t="s">
        <v>180</v>
      </c>
      <c r="G551" s="298"/>
      <c r="H551" s="10"/>
      <c r="I551" s="11"/>
      <c r="J551" s="11"/>
      <c r="K551" s="11"/>
      <c r="L551" s="11"/>
      <c r="M551" s="11"/>
      <c r="N551" s="11"/>
      <c r="O551" s="12"/>
      <c r="P551" s="11"/>
      <c r="Q551" s="13"/>
      <c r="R551" s="14"/>
    </row>
    <row r="552" spans="1:18" ht="15" customHeight="1">
      <c r="A552" s="17" t="s">
        <v>68</v>
      </c>
      <c r="B552" s="17" t="s">
        <v>72</v>
      </c>
      <c r="C552" s="18">
        <v>6.5972222222222224E-2</v>
      </c>
      <c r="D552" s="17" t="s">
        <v>70</v>
      </c>
      <c r="E552" s="17" t="s">
        <v>57</v>
      </c>
      <c r="F552" s="17" t="s">
        <v>157</v>
      </c>
      <c r="G552" s="298"/>
      <c r="H552" s="10"/>
      <c r="I552" s="11"/>
      <c r="J552" s="11"/>
      <c r="K552" s="11"/>
      <c r="L552" s="11"/>
      <c r="M552" s="11"/>
      <c r="N552" s="11"/>
      <c r="O552" s="12"/>
      <c r="P552" s="11"/>
      <c r="Q552" s="13"/>
      <c r="R552" s="14"/>
    </row>
    <row r="553" spans="1:18" ht="15" customHeight="1">
      <c r="A553" s="19" t="s">
        <v>48</v>
      </c>
      <c r="B553" s="19" t="s">
        <v>59</v>
      </c>
      <c r="C553" s="20">
        <v>0.22916666666666671</v>
      </c>
      <c r="D553" s="19" t="s">
        <v>53</v>
      </c>
      <c r="E553" s="19" t="s">
        <v>29</v>
      </c>
      <c r="F553" s="19" t="s">
        <v>60</v>
      </c>
      <c r="G553" s="298"/>
      <c r="H553" s="10"/>
      <c r="I553" s="11"/>
      <c r="J553" s="11"/>
      <c r="K553" s="11"/>
      <c r="L553" s="11"/>
      <c r="M553" s="11"/>
      <c r="N553" s="11"/>
      <c r="O553" s="12"/>
      <c r="P553" s="11"/>
      <c r="Q553" s="13"/>
      <c r="R553" s="14"/>
    </row>
    <row r="554" spans="1:18" ht="15" customHeight="1">
      <c r="A554" s="17" t="s">
        <v>48</v>
      </c>
      <c r="B554" s="17" t="s">
        <v>49</v>
      </c>
      <c r="C554" s="18">
        <v>0.35416666666666669</v>
      </c>
      <c r="D554" s="17" t="s">
        <v>53</v>
      </c>
      <c r="E554" s="17" t="s">
        <v>57</v>
      </c>
      <c r="F554" s="17" t="s">
        <v>176</v>
      </c>
      <c r="G554" s="298"/>
      <c r="H554" s="10"/>
      <c r="I554" s="11"/>
      <c r="J554" s="11"/>
      <c r="K554" s="11"/>
      <c r="L554" s="11"/>
      <c r="M554" s="11"/>
      <c r="N554" s="11"/>
      <c r="O554" s="12"/>
      <c r="P554" s="11"/>
      <c r="Q554" s="13"/>
      <c r="R554" s="14"/>
    </row>
    <row r="555" spans="1:18" ht="15" customHeight="1">
      <c r="A555" s="17" t="s">
        <v>48</v>
      </c>
      <c r="B555" s="17" t="s">
        <v>56</v>
      </c>
      <c r="C555" s="18">
        <v>0.89583333333333337</v>
      </c>
      <c r="D555" s="17" t="s">
        <v>53</v>
      </c>
      <c r="E555" s="17" t="s">
        <v>57</v>
      </c>
      <c r="F555" s="17" t="s">
        <v>176</v>
      </c>
      <c r="G555" s="298"/>
      <c r="H555" s="10"/>
      <c r="I555" s="11"/>
      <c r="J555" s="11"/>
      <c r="K555" s="11"/>
      <c r="L555" s="11"/>
      <c r="M555" s="11"/>
      <c r="N555" s="11"/>
      <c r="O555" s="12"/>
      <c r="P555" s="11"/>
      <c r="Q555" s="13"/>
      <c r="R555" s="14"/>
    </row>
    <row r="556" spans="1:18" ht="15" customHeight="1" thickBot="1">
      <c r="A556" s="30" t="s">
        <v>48</v>
      </c>
      <c r="B556" s="30" t="s">
        <v>58</v>
      </c>
      <c r="C556" s="31">
        <v>0.18402777777777779</v>
      </c>
      <c r="D556" s="30" t="s">
        <v>53</v>
      </c>
      <c r="E556" s="30" t="s">
        <v>57</v>
      </c>
      <c r="F556" s="30" t="s">
        <v>176</v>
      </c>
      <c r="G556" s="299"/>
      <c r="H556" s="300"/>
      <c r="I556" s="140"/>
      <c r="J556" s="140"/>
      <c r="K556" s="140"/>
      <c r="L556" s="140"/>
      <c r="M556" s="140"/>
      <c r="N556" s="140"/>
      <c r="O556" s="141"/>
      <c r="P556" s="140"/>
      <c r="Q556" s="142"/>
      <c r="R556" s="301"/>
    </row>
    <row r="557" spans="1:18" ht="17.45" customHeight="1" thickBot="1">
      <c r="A557" s="283"/>
      <c r="B557" s="284"/>
      <c r="C557" s="284"/>
      <c r="D557" s="284"/>
      <c r="E557" s="284"/>
      <c r="F557" s="284"/>
      <c r="G557" s="284"/>
      <c r="H557" s="284"/>
      <c r="I557" s="284"/>
      <c r="J557" s="284"/>
      <c r="K557" s="284"/>
      <c r="L557" s="284"/>
      <c r="M557" s="284"/>
      <c r="N557" s="284"/>
      <c r="O557" s="284"/>
      <c r="P557" s="284"/>
      <c r="Q557" s="284"/>
      <c r="R557" s="285"/>
    </row>
    <row r="558" spans="1:18" ht="22.15" customHeight="1" thickTop="1" thickBot="1">
      <c r="A558" s="279" t="s">
        <v>6</v>
      </c>
      <c r="B558" s="295"/>
      <c r="C558" s="295"/>
      <c r="D558" s="295"/>
      <c r="E558" s="295"/>
      <c r="F558" s="296"/>
      <c r="G558" s="32">
        <v>46047</v>
      </c>
      <c r="H558" s="278" t="s">
        <v>7</v>
      </c>
      <c r="I558" s="295"/>
      <c r="J558" s="295"/>
      <c r="K558" s="295"/>
      <c r="L558" s="295"/>
      <c r="M558" s="295"/>
      <c r="N558" s="295"/>
      <c r="O558" s="295"/>
      <c r="P558" s="295"/>
      <c r="Q558" s="295"/>
      <c r="R558" s="296"/>
    </row>
    <row r="559" spans="1:18" ht="24" customHeight="1">
      <c r="A559" s="33" t="s">
        <v>8</v>
      </c>
      <c r="B559" s="33" t="s">
        <v>9</v>
      </c>
      <c r="C559" s="34" t="s">
        <v>10</v>
      </c>
      <c r="D559" s="33" t="s">
        <v>11</v>
      </c>
      <c r="E559" s="33" t="s">
        <v>12</v>
      </c>
      <c r="F559" s="35" t="s">
        <v>13</v>
      </c>
      <c r="G559" s="36" t="s">
        <v>14</v>
      </c>
      <c r="H559" s="33" t="s">
        <v>15</v>
      </c>
      <c r="I559" s="37" t="s">
        <v>16</v>
      </c>
      <c r="J559" s="38" t="s">
        <v>17</v>
      </c>
      <c r="K559" s="39" t="s">
        <v>18</v>
      </c>
      <c r="L559" s="38" t="s">
        <v>19</v>
      </c>
      <c r="M559" s="38" t="s">
        <v>20</v>
      </c>
      <c r="N559" s="38" t="s">
        <v>21</v>
      </c>
      <c r="O559" s="33" t="s">
        <v>22</v>
      </c>
      <c r="P559" s="34" t="s">
        <v>23</v>
      </c>
      <c r="Q559" s="38" t="s">
        <v>24</v>
      </c>
      <c r="R559" s="33" t="s">
        <v>25</v>
      </c>
    </row>
    <row r="560" spans="1:18" ht="15" customHeight="1">
      <c r="A560" s="8" t="s">
        <v>38</v>
      </c>
      <c r="B560" s="8" t="s">
        <v>39</v>
      </c>
      <c r="C560" s="9">
        <v>0.22916666666666671</v>
      </c>
      <c r="D560" s="8" t="s">
        <v>40</v>
      </c>
      <c r="E560" s="8" t="s">
        <v>107</v>
      </c>
      <c r="F560" s="8" t="s">
        <v>131</v>
      </c>
      <c r="G560" s="297"/>
      <c r="H560" s="10"/>
      <c r="I560" s="11"/>
      <c r="J560" s="11"/>
      <c r="K560" s="11"/>
      <c r="L560" s="11"/>
      <c r="M560" s="11"/>
      <c r="N560" s="11"/>
      <c r="O560" s="12"/>
      <c r="P560" s="11"/>
      <c r="Q560" s="13"/>
      <c r="R560" s="14"/>
    </row>
    <row r="561" spans="1:18" ht="15" customHeight="1">
      <c r="A561" s="15" t="s">
        <v>38</v>
      </c>
      <c r="B561" s="15" t="s">
        <v>39</v>
      </c>
      <c r="C561" s="16">
        <v>0.22916666666666671</v>
      </c>
      <c r="D561" s="15" t="s">
        <v>43</v>
      </c>
      <c r="E561" s="15" t="s">
        <v>108</v>
      </c>
      <c r="F561" s="15" t="s">
        <v>133</v>
      </c>
      <c r="G561" s="298"/>
      <c r="H561" s="10"/>
      <c r="I561" s="11"/>
      <c r="J561" s="11"/>
      <c r="K561" s="11"/>
      <c r="L561" s="11"/>
      <c r="M561" s="11"/>
      <c r="N561" s="11"/>
      <c r="O561" s="12"/>
      <c r="P561" s="11"/>
      <c r="Q561" s="13"/>
      <c r="R561" s="14"/>
    </row>
    <row r="562" spans="1:18" ht="15" customHeight="1">
      <c r="A562" s="15" t="s">
        <v>38</v>
      </c>
      <c r="B562" s="15" t="s">
        <v>39</v>
      </c>
      <c r="C562" s="16">
        <v>0.22916666666666671</v>
      </c>
      <c r="D562" s="15" t="s">
        <v>46</v>
      </c>
      <c r="E562" s="15" t="s">
        <v>108</v>
      </c>
      <c r="F562" s="15" t="s">
        <v>47</v>
      </c>
      <c r="G562" s="298"/>
      <c r="H562" s="10"/>
      <c r="I562" s="11"/>
      <c r="J562" s="11"/>
      <c r="K562" s="11"/>
      <c r="L562" s="11"/>
      <c r="M562" s="11"/>
      <c r="N562" s="11"/>
      <c r="O562" s="12"/>
      <c r="P562" s="11"/>
      <c r="Q562" s="13"/>
      <c r="R562" s="14"/>
    </row>
    <row r="563" spans="1:18" ht="15" customHeight="1">
      <c r="A563" s="49" t="s">
        <v>61</v>
      </c>
      <c r="B563" s="49" t="s">
        <v>62</v>
      </c>
      <c r="C563" s="50">
        <v>0.74305555555555547</v>
      </c>
      <c r="D563" s="49" t="s">
        <v>63</v>
      </c>
      <c r="E563" s="49" t="s">
        <v>51</v>
      </c>
      <c r="F563" s="49" t="s">
        <v>64</v>
      </c>
      <c r="G563" s="298"/>
      <c r="H563" s="51" t="s">
        <v>65</v>
      </c>
      <c r="I563" s="52">
        <v>5.5999999999999999E-3</v>
      </c>
      <c r="J563" s="53">
        <v>1</v>
      </c>
      <c r="K563" s="54">
        <v>46332</v>
      </c>
      <c r="L563" s="53">
        <v>1</v>
      </c>
      <c r="M563" s="53">
        <v>0</v>
      </c>
      <c r="N563" s="53">
        <v>0</v>
      </c>
      <c r="O563" s="55" t="s">
        <v>67</v>
      </c>
      <c r="P563" s="56">
        <v>0.74305555555555547</v>
      </c>
      <c r="Q563" s="53">
        <v>180</v>
      </c>
      <c r="R563" s="57" t="s">
        <v>128</v>
      </c>
    </row>
    <row r="564" spans="1:18" ht="15" customHeight="1">
      <c r="A564" s="19" t="s">
        <v>68</v>
      </c>
      <c r="B564" s="19" t="s">
        <v>69</v>
      </c>
      <c r="C564" s="20">
        <v>0.94097222222222221</v>
      </c>
      <c r="D564" s="19" t="s">
        <v>70</v>
      </c>
      <c r="E564" s="19" t="s">
        <v>51</v>
      </c>
      <c r="F564" s="19" t="s">
        <v>84</v>
      </c>
      <c r="G564" s="298"/>
      <c r="H564" s="10"/>
      <c r="I564" s="11"/>
      <c r="J564" s="11"/>
      <c r="K564" s="11"/>
      <c r="L564" s="11"/>
      <c r="M564" s="11"/>
      <c r="N564" s="11"/>
      <c r="O564" s="12"/>
      <c r="P564" s="11"/>
      <c r="Q564" s="13"/>
      <c r="R564" s="14"/>
    </row>
    <row r="565" spans="1:18" ht="15" customHeight="1">
      <c r="A565" s="17" t="s">
        <v>68</v>
      </c>
      <c r="B565" s="17" t="s">
        <v>76</v>
      </c>
      <c r="C565" s="18">
        <v>0.69791666666666663</v>
      </c>
      <c r="D565" s="17" t="s">
        <v>70</v>
      </c>
      <c r="E565" s="17" t="s">
        <v>57</v>
      </c>
      <c r="F565" s="17" t="s">
        <v>77</v>
      </c>
      <c r="G565" s="298"/>
      <c r="H565" s="10"/>
      <c r="I565" s="11"/>
      <c r="J565" s="11"/>
      <c r="K565" s="11"/>
      <c r="L565" s="11"/>
      <c r="M565" s="11"/>
      <c r="N565" s="11"/>
      <c r="O565" s="12"/>
      <c r="P565" s="11"/>
      <c r="Q565" s="13"/>
      <c r="R565" s="14"/>
    </row>
    <row r="566" spans="1:18" ht="15" customHeight="1">
      <c r="A566" s="17" t="s">
        <v>68</v>
      </c>
      <c r="B566" s="17" t="s">
        <v>72</v>
      </c>
      <c r="C566" s="18">
        <v>6.5972222222222224E-2</v>
      </c>
      <c r="D566" s="17" t="s">
        <v>70</v>
      </c>
      <c r="E566" s="17" t="s">
        <v>57</v>
      </c>
      <c r="F566" s="17" t="s">
        <v>169</v>
      </c>
      <c r="G566" s="298"/>
      <c r="H566" s="10"/>
      <c r="I566" s="11"/>
      <c r="J566" s="11"/>
      <c r="K566" s="11"/>
      <c r="L566" s="11"/>
      <c r="M566" s="11"/>
      <c r="N566" s="11"/>
      <c r="O566" s="12"/>
      <c r="P566" s="11"/>
      <c r="Q566" s="13"/>
      <c r="R566" s="14"/>
    </row>
    <row r="567" spans="1:18" ht="15" customHeight="1">
      <c r="A567" s="17" t="s">
        <v>68</v>
      </c>
      <c r="B567" s="17" t="s">
        <v>73</v>
      </c>
      <c r="C567" s="18">
        <v>0.28819444444444448</v>
      </c>
      <c r="D567" s="17" t="s">
        <v>70</v>
      </c>
      <c r="E567" s="17" t="s">
        <v>57</v>
      </c>
      <c r="F567" s="17" t="s">
        <v>157</v>
      </c>
      <c r="G567" s="298"/>
      <c r="H567" s="10"/>
      <c r="I567" s="11"/>
      <c r="J567" s="11"/>
      <c r="K567" s="11"/>
      <c r="L567" s="11"/>
      <c r="M567" s="11"/>
      <c r="N567" s="11"/>
      <c r="O567" s="12"/>
      <c r="P567" s="11"/>
      <c r="Q567" s="13"/>
      <c r="R567" s="14"/>
    </row>
    <row r="568" spans="1:18" ht="15" customHeight="1">
      <c r="A568" s="19" t="s">
        <v>48</v>
      </c>
      <c r="B568" s="19" t="s">
        <v>59</v>
      </c>
      <c r="C568" s="20">
        <v>0.22916666666666671</v>
      </c>
      <c r="D568" s="19" t="s">
        <v>53</v>
      </c>
      <c r="E568" s="19" t="s">
        <v>29</v>
      </c>
      <c r="F568" s="19" t="s">
        <v>85</v>
      </c>
      <c r="G568" s="298"/>
      <c r="H568" s="10"/>
      <c r="I568" s="11"/>
      <c r="J568" s="11"/>
      <c r="K568" s="11"/>
      <c r="L568" s="11"/>
      <c r="M568" s="11"/>
      <c r="N568" s="11"/>
      <c r="O568" s="12"/>
      <c r="P568" s="11"/>
      <c r="Q568" s="13"/>
      <c r="R568" s="14"/>
    </row>
    <row r="569" spans="1:18" ht="15" customHeight="1">
      <c r="A569" s="17" t="s">
        <v>48</v>
      </c>
      <c r="B569" s="17" t="s">
        <v>49</v>
      </c>
      <c r="C569" s="18">
        <v>0.35069444444444442</v>
      </c>
      <c r="D569" s="17" t="s">
        <v>70</v>
      </c>
      <c r="E569" s="17" t="s">
        <v>57</v>
      </c>
      <c r="F569" s="17" t="s">
        <v>176</v>
      </c>
      <c r="G569" s="298"/>
      <c r="H569" s="10"/>
      <c r="I569" s="11"/>
      <c r="J569" s="11"/>
      <c r="K569" s="11"/>
      <c r="L569" s="11"/>
      <c r="M569" s="11"/>
      <c r="N569" s="11"/>
      <c r="O569" s="12"/>
      <c r="P569" s="11"/>
      <c r="Q569" s="13"/>
      <c r="R569" s="14"/>
    </row>
    <row r="570" spans="1:18" ht="15" customHeight="1">
      <c r="A570" s="15" t="s">
        <v>48</v>
      </c>
      <c r="B570" s="15" t="s">
        <v>49</v>
      </c>
      <c r="C570" s="16">
        <v>0.35069444444444442</v>
      </c>
      <c r="D570" s="15" t="s">
        <v>53</v>
      </c>
      <c r="E570" s="15" t="s">
        <v>54</v>
      </c>
      <c r="F570" s="15" t="s">
        <v>176</v>
      </c>
      <c r="G570" s="298"/>
      <c r="H570" s="10"/>
      <c r="I570" s="11"/>
      <c r="J570" s="11"/>
      <c r="K570" s="11"/>
      <c r="L570" s="11"/>
      <c r="M570" s="11"/>
      <c r="N570" s="11"/>
      <c r="O570" s="12"/>
      <c r="P570" s="11"/>
      <c r="Q570" s="13"/>
      <c r="R570" s="14"/>
    </row>
    <row r="571" spans="1:18" ht="15" customHeight="1">
      <c r="A571" s="17" t="s">
        <v>48</v>
      </c>
      <c r="B571" s="17" t="s">
        <v>56</v>
      </c>
      <c r="C571" s="18">
        <v>0.89583333333333337</v>
      </c>
      <c r="D571" s="17" t="s">
        <v>53</v>
      </c>
      <c r="E571" s="17" t="s">
        <v>57</v>
      </c>
      <c r="F571" s="17" t="s">
        <v>176</v>
      </c>
      <c r="G571" s="298"/>
      <c r="H571" s="10"/>
      <c r="I571" s="11"/>
      <c r="J571" s="11"/>
      <c r="K571" s="11"/>
      <c r="L571" s="11"/>
      <c r="M571" s="11"/>
      <c r="N571" s="11"/>
      <c r="O571" s="12"/>
      <c r="P571" s="11"/>
      <c r="Q571" s="13"/>
      <c r="R571" s="14"/>
    </row>
    <row r="572" spans="1:18" ht="15" customHeight="1">
      <c r="A572" s="17" t="s">
        <v>48</v>
      </c>
      <c r="B572" s="17" t="s">
        <v>58</v>
      </c>
      <c r="C572" s="18">
        <v>0.18402777777777779</v>
      </c>
      <c r="D572" s="17" t="s">
        <v>53</v>
      </c>
      <c r="E572" s="17" t="s">
        <v>57</v>
      </c>
      <c r="F572" s="17" t="s">
        <v>176</v>
      </c>
      <c r="G572" s="298"/>
      <c r="H572" s="10"/>
      <c r="I572" s="11"/>
      <c r="J572" s="11"/>
      <c r="K572" s="11"/>
      <c r="L572" s="11"/>
      <c r="M572" s="11"/>
      <c r="N572" s="11"/>
      <c r="O572" s="12"/>
      <c r="P572" s="11"/>
      <c r="Q572" s="13"/>
      <c r="R572" s="14"/>
    </row>
    <row r="573" spans="1:18" ht="15" customHeight="1">
      <c r="A573" s="19" t="s">
        <v>26</v>
      </c>
      <c r="B573" s="19" t="s">
        <v>27</v>
      </c>
      <c r="C573" s="20">
        <v>0.60763888888888895</v>
      </c>
      <c r="D573" s="19" t="s">
        <v>28</v>
      </c>
      <c r="E573" s="19" t="s">
        <v>80</v>
      </c>
      <c r="F573" s="19" t="s">
        <v>186</v>
      </c>
      <c r="G573" s="298"/>
      <c r="H573" s="10"/>
      <c r="I573" s="11"/>
      <c r="J573" s="11"/>
      <c r="K573" s="11"/>
      <c r="L573" s="11"/>
      <c r="M573" s="11"/>
      <c r="N573" s="11"/>
      <c r="O573" s="12"/>
      <c r="P573" s="11"/>
      <c r="Q573" s="13"/>
      <c r="R573" s="14"/>
    </row>
    <row r="574" spans="1:18" ht="15" customHeight="1">
      <c r="A574" s="15" t="s">
        <v>26</v>
      </c>
      <c r="B574" s="15" t="s">
        <v>27</v>
      </c>
      <c r="C574" s="16">
        <v>0.60763888888888895</v>
      </c>
      <c r="D574" s="15" t="s">
        <v>31</v>
      </c>
      <c r="E574" s="15" t="s">
        <v>82</v>
      </c>
      <c r="F574" s="15" t="s">
        <v>187</v>
      </c>
      <c r="G574" s="298"/>
      <c r="H574" s="10"/>
      <c r="I574" s="11"/>
      <c r="J574" s="11"/>
      <c r="K574" s="11"/>
      <c r="L574" s="11"/>
      <c r="M574" s="11"/>
      <c r="N574" s="11"/>
      <c r="O574" s="12"/>
      <c r="P574" s="11"/>
      <c r="Q574" s="13"/>
      <c r="R574" s="14"/>
    </row>
    <row r="575" spans="1:18" ht="15" customHeight="1" thickBot="1">
      <c r="A575" s="76" t="s">
        <v>26</v>
      </c>
      <c r="B575" s="76" t="s">
        <v>27</v>
      </c>
      <c r="C575" s="77">
        <v>0.60763888888888895</v>
      </c>
      <c r="D575" s="76" t="s">
        <v>34</v>
      </c>
      <c r="E575" s="76" t="s">
        <v>82</v>
      </c>
      <c r="F575" s="76" t="s">
        <v>188</v>
      </c>
      <c r="G575" s="299"/>
      <c r="H575" s="300"/>
      <c r="I575" s="140"/>
      <c r="J575" s="140"/>
      <c r="K575" s="140"/>
      <c r="L575" s="140"/>
      <c r="M575" s="140"/>
      <c r="N575" s="140"/>
      <c r="O575" s="141"/>
      <c r="P575" s="140"/>
      <c r="Q575" s="142"/>
      <c r="R575" s="301"/>
    </row>
    <row r="576" spans="1:18" ht="17.45" customHeight="1" thickBot="1">
      <c r="A576" s="283"/>
      <c r="B576" s="284"/>
      <c r="C576" s="284"/>
      <c r="D576" s="284"/>
      <c r="E576" s="284"/>
      <c r="F576" s="284"/>
      <c r="G576" s="284"/>
      <c r="H576" s="284"/>
      <c r="I576" s="284"/>
      <c r="J576" s="284"/>
      <c r="K576" s="284"/>
      <c r="L576" s="284"/>
      <c r="M576" s="284"/>
      <c r="N576" s="284"/>
      <c r="O576" s="284"/>
      <c r="P576" s="284"/>
      <c r="Q576" s="284"/>
      <c r="R576" s="285"/>
    </row>
    <row r="577" spans="1:18" ht="22.15" customHeight="1" thickTop="1" thickBot="1">
      <c r="A577" s="279" t="s">
        <v>6</v>
      </c>
      <c r="B577" s="295"/>
      <c r="C577" s="295"/>
      <c r="D577" s="295"/>
      <c r="E577" s="295"/>
      <c r="F577" s="296"/>
      <c r="G577" s="32">
        <v>46048</v>
      </c>
      <c r="H577" s="278" t="s">
        <v>7</v>
      </c>
      <c r="I577" s="295"/>
      <c r="J577" s="295"/>
      <c r="K577" s="295"/>
      <c r="L577" s="295"/>
      <c r="M577" s="295"/>
      <c r="N577" s="295"/>
      <c r="O577" s="295"/>
      <c r="P577" s="295"/>
      <c r="Q577" s="295"/>
      <c r="R577" s="296"/>
    </row>
    <row r="578" spans="1:18" ht="24" customHeight="1">
      <c r="A578" s="33" t="s">
        <v>8</v>
      </c>
      <c r="B578" s="33" t="s">
        <v>9</v>
      </c>
      <c r="C578" s="34" t="s">
        <v>10</v>
      </c>
      <c r="D578" s="33" t="s">
        <v>11</v>
      </c>
      <c r="E578" s="33" t="s">
        <v>12</v>
      </c>
      <c r="F578" s="35" t="s">
        <v>13</v>
      </c>
      <c r="G578" s="36" t="s">
        <v>14</v>
      </c>
      <c r="H578" s="33" t="s">
        <v>15</v>
      </c>
      <c r="I578" s="37" t="s">
        <v>16</v>
      </c>
      <c r="J578" s="38" t="s">
        <v>17</v>
      </c>
      <c r="K578" s="39" t="s">
        <v>18</v>
      </c>
      <c r="L578" s="38" t="s">
        <v>19</v>
      </c>
      <c r="M578" s="38" t="s">
        <v>20</v>
      </c>
      <c r="N578" s="38" t="s">
        <v>21</v>
      </c>
      <c r="O578" s="33" t="s">
        <v>22</v>
      </c>
      <c r="P578" s="34" t="s">
        <v>23</v>
      </c>
      <c r="Q578" s="38" t="s">
        <v>24</v>
      </c>
      <c r="R578" s="33" t="s">
        <v>25</v>
      </c>
    </row>
    <row r="579" spans="1:18" ht="15" customHeight="1">
      <c r="A579" s="8" t="s">
        <v>38</v>
      </c>
      <c r="B579" s="8" t="s">
        <v>39</v>
      </c>
      <c r="C579" s="9">
        <v>0.22916666666666671</v>
      </c>
      <c r="D579" s="8" t="s">
        <v>40</v>
      </c>
      <c r="E579" s="8" t="s">
        <v>126</v>
      </c>
      <c r="F579" s="8" t="s">
        <v>78</v>
      </c>
      <c r="G579" s="297"/>
      <c r="H579" s="10"/>
      <c r="I579" s="11"/>
      <c r="J579" s="11"/>
      <c r="K579" s="11"/>
      <c r="L579" s="11"/>
      <c r="M579" s="11"/>
      <c r="N579" s="11"/>
      <c r="O579" s="12"/>
      <c r="P579" s="11"/>
      <c r="Q579" s="13"/>
      <c r="R579" s="14"/>
    </row>
    <row r="580" spans="1:18" ht="15" customHeight="1">
      <c r="A580" s="15" t="s">
        <v>38</v>
      </c>
      <c r="B580" s="15" t="s">
        <v>39</v>
      </c>
      <c r="C580" s="16">
        <v>0.22916666666666671</v>
      </c>
      <c r="D580" s="15" t="s">
        <v>43</v>
      </c>
      <c r="E580" s="15" t="s">
        <v>127</v>
      </c>
      <c r="F580" s="15" t="s">
        <v>79</v>
      </c>
      <c r="G580" s="298"/>
      <c r="H580" s="10"/>
      <c r="I580" s="11"/>
      <c r="J580" s="11"/>
      <c r="K580" s="11"/>
      <c r="L580" s="11"/>
      <c r="M580" s="11"/>
      <c r="N580" s="11"/>
      <c r="O580" s="12"/>
      <c r="P580" s="11"/>
      <c r="Q580" s="13"/>
      <c r="R580" s="14"/>
    </row>
    <row r="581" spans="1:18" ht="15" customHeight="1">
      <c r="A581" s="15" t="s">
        <v>38</v>
      </c>
      <c r="B581" s="15" t="s">
        <v>39</v>
      </c>
      <c r="C581" s="16">
        <v>0.22916666666666671</v>
      </c>
      <c r="D581" s="15" t="s">
        <v>46</v>
      </c>
      <c r="E581" s="15" t="s">
        <v>127</v>
      </c>
      <c r="F581" s="15" t="s">
        <v>47</v>
      </c>
      <c r="G581" s="298"/>
      <c r="H581" s="10"/>
      <c r="I581" s="11"/>
      <c r="J581" s="11"/>
      <c r="K581" s="11"/>
      <c r="L581" s="11"/>
      <c r="M581" s="11"/>
      <c r="N581" s="11"/>
      <c r="O581" s="12"/>
      <c r="P581" s="11"/>
      <c r="Q581" s="13"/>
      <c r="R581" s="14"/>
    </row>
    <row r="582" spans="1:18" ht="15" customHeight="1">
      <c r="A582" s="17" t="s">
        <v>38</v>
      </c>
      <c r="B582" s="17" t="s">
        <v>87</v>
      </c>
      <c r="C582" s="18">
        <v>6.25E-2</v>
      </c>
      <c r="D582" s="17" t="s">
        <v>40</v>
      </c>
      <c r="E582" s="17" t="s">
        <v>125</v>
      </c>
      <c r="F582" s="17" t="s">
        <v>121</v>
      </c>
      <c r="G582" s="298"/>
      <c r="H582" s="10"/>
      <c r="I582" s="11"/>
      <c r="J582" s="11"/>
      <c r="K582" s="11"/>
      <c r="L582" s="11"/>
      <c r="M582" s="11"/>
      <c r="N582" s="11"/>
      <c r="O582" s="12"/>
      <c r="P582" s="11"/>
      <c r="Q582" s="13"/>
      <c r="R582" s="14"/>
    </row>
    <row r="583" spans="1:18" ht="15" customHeight="1">
      <c r="A583" s="15" t="s">
        <v>38</v>
      </c>
      <c r="B583" s="15" t="s">
        <v>87</v>
      </c>
      <c r="C583" s="16">
        <v>6.25E-2</v>
      </c>
      <c r="D583" s="15" t="s">
        <v>43</v>
      </c>
      <c r="E583" s="15" t="s">
        <v>44</v>
      </c>
      <c r="F583" s="15" t="s">
        <v>123</v>
      </c>
      <c r="G583" s="298"/>
      <c r="H583" s="10"/>
      <c r="I583" s="11"/>
      <c r="J583" s="11"/>
      <c r="K583" s="11"/>
      <c r="L583" s="11"/>
      <c r="M583" s="11"/>
      <c r="N583" s="11"/>
      <c r="O583" s="12"/>
      <c r="P583" s="11"/>
      <c r="Q583" s="13"/>
      <c r="R583" s="14"/>
    </row>
    <row r="584" spans="1:18" ht="15" customHeight="1">
      <c r="A584" s="15" t="s">
        <v>38</v>
      </c>
      <c r="B584" s="15" t="s">
        <v>87</v>
      </c>
      <c r="C584" s="16">
        <v>6.25E-2</v>
      </c>
      <c r="D584" s="15" t="s">
        <v>46</v>
      </c>
      <c r="E584" s="15" t="s">
        <v>44</v>
      </c>
      <c r="F584" s="15" t="s">
        <v>47</v>
      </c>
      <c r="G584" s="298"/>
      <c r="H584" s="10"/>
      <c r="I584" s="11"/>
      <c r="J584" s="11"/>
      <c r="K584" s="11"/>
      <c r="L584" s="11"/>
      <c r="M584" s="11"/>
      <c r="N584" s="11"/>
      <c r="O584" s="12"/>
      <c r="P584" s="11"/>
      <c r="Q584" s="13"/>
      <c r="R584" s="14"/>
    </row>
    <row r="585" spans="1:18" ht="15" customHeight="1">
      <c r="A585" s="19" t="s">
        <v>26</v>
      </c>
      <c r="B585" s="19" t="s">
        <v>27</v>
      </c>
      <c r="C585" s="20">
        <v>0.60763888888888895</v>
      </c>
      <c r="D585" s="19" t="s">
        <v>28</v>
      </c>
      <c r="E585" s="19" t="s">
        <v>103</v>
      </c>
      <c r="F585" s="19" t="s">
        <v>89</v>
      </c>
      <c r="G585" s="298"/>
      <c r="H585" s="10"/>
      <c r="I585" s="11"/>
      <c r="J585" s="11"/>
      <c r="K585" s="11"/>
      <c r="L585" s="11"/>
      <c r="M585" s="11"/>
      <c r="N585" s="11"/>
      <c r="O585" s="12"/>
      <c r="P585" s="11"/>
      <c r="Q585" s="13"/>
      <c r="R585" s="14"/>
    </row>
    <row r="586" spans="1:18" ht="15" customHeight="1">
      <c r="A586" s="15" t="s">
        <v>26</v>
      </c>
      <c r="B586" s="15" t="s">
        <v>27</v>
      </c>
      <c r="C586" s="16">
        <v>0.60763888888888895</v>
      </c>
      <c r="D586" s="15" t="s">
        <v>31</v>
      </c>
      <c r="E586" s="15" t="s">
        <v>99</v>
      </c>
      <c r="F586" s="15" t="s">
        <v>138</v>
      </c>
      <c r="G586" s="298"/>
      <c r="H586" s="10"/>
      <c r="I586" s="11"/>
      <c r="J586" s="11"/>
      <c r="K586" s="11"/>
      <c r="L586" s="11"/>
      <c r="M586" s="11"/>
      <c r="N586" s="11"/>
      <c r="O586" s="12"/>
      <c r="P586" s="11"/>
      <c r="Q586" s="13"/>
      <c r="R586" s="14"/>
    </row>
    <row r="587" spans="1:18" ht="15" customHeight="1">
      <c r="A587" s="15" t="s">
        <v>26</v>
      </c>
      <c r="B587" s="15" t="s">
        <v>27</v>
      </c>
      <c r="C587" s="16">
        <v>0.60763888888888895</v>
      </c>
      <c r="D587" s="15" t="s">
        <v>34</v>
      </c>
      <c r="E587" s="15" t="s">
        <v>99</v>
      </c>
      <c r="F587" s="15" t="s">
        <v>139</v>
      </c>
      <c r="G587" s="298"/>
      <c r="H587" s="10"/>
      <c r="I587" s="11"/>
      <c r="J587" s="11"/>
      <c r="K587" s="11"/>
      <c r="L587" s="11"/>
      <c r="M587" s="11"/>
      <c r="N587" s="11"/>
      <c r="O587" s="12"/>
      <c r="P587" s="11"/>
      <c r="Q587" s="13"/>
      <c r="R587" s="14"/>
    </row>
    <row r="588" spans="1:18" ht="15" customHeight="1">
      <c r="A588" s="17" t="s">
        <v>26</v>
      </c>
      <c r="B588" s="17" t="s">
        <v>36</v>
      </c>
      <c r="C588" s="18">
        <v>0.43402777777777768</v>
      </c>
      <c r="D588" s="17" t="s">
        <v>28</v>
      </c>
      <c r="E588" s="17" t="s">
        <v>134</v>
      </c>
      <c r="F588" s="17" t="s">
        <v>159</v>
      </c>
      <c r="G588" s="298"/>
      <c r="H588" s="10"/>
      <c r="I588" s="11"/>
      <c r="J588" s="11"/>
      <c r="K588" s="11"/>
      <c r="L588" s="11"/>
      <c r="M588" s="11"/>
      <c r="N588" s="11"/>
      <c r="O588" s="12"/>
      <c r="P588" s="11"/>
      <c r="Q588" s="13"/>
      <c r="R588" s="14"/>
    </row>
    <row r="589" spans="1:18" ht="15" customHeight="1">
      <c r="A589" s="15" t="s">
        <v>26</v>
      </c>
      <c r="B589" s="15" t="s">
        <v>36</v>
      </c>
      <c r="C589" s="16">
        <v>0.43402777777777768</v>
      </c>
      <c r="D589" s="15" t="s">
        <v>31</v>
      </c>
      <c r="E589" s="15" t="s">
        <v>135</v>
      </c>
      <c r="F589" s="15" t="s">
        <v>139</v>
      </c>
      <c r="G589" s="298"/>
      <c r="H589" s="10"/>
      <c r="I589" s="11"/>
      <c r="J589" s="11"/>
      <c r="K589" s="11"/>
      <c r="L589" s="11"/>
      <c r="M589" s="11"/>
      <c r="N589" s="11"/>
      <c r="O589" s="12"/>
      <c r="P589" s="11"/>
      <c r="Q589" s="13"/>
      <c r="R589" s="14"/>
    </row>
    <row r="590" spans="1:18" ht="15" customHeight="1">
      <c r="A590" s="15" t="s">
        <v>26</v>
      </c>
      <c r="B590" s="15" t="s">
        <v>36</v>
      </c>
      <c r="C590" s="16">
        <v>0.43402777777777768</v>
      </c>
      <c r="D590" s="15" t="s">
        <v>34</v>
      </c>
      <c r="E590" s="15" t="s">
        <v>135</v>
      </c>
      <c r="F590" s="15" t="s">
        <v>160</v>
      </c>
      <c r="G590" s="298"/>
      <c r="H590" s="10"/>
      <c r="I590" s="11"/>
      <c r="J590" s="11"/>
      <c r="K590" s="11"/>
      <c r="L590" s="11"/>
      <c r="M590" s="11"/>
      <c r="N590" s="11"/>
      <c r="O590" s="12"/>
      <c r="P590" s="11"/>
      <c r="Q590" s="13"/>
      <c r="R590" s="14"/>
    </row>
    <row r="591" spans="1:18" ht="15" customHeight="1">
      <c r="A591" s="49" t="s">
        <v>61</v>
      </c>
      <c r="B591" s="49" t="s">
        <v>111</v>
      </c>
      <c r="C591" s="50">
        <v>0.86805555555555547</v>
      </c>
      <c r="D591" s="49" t="s">
        <v>63</v>
      </c>
      <c r="E591" s="49" t="s">
        <v>51</v>
      </c>
      <c r="F591" s="49" t="s">
        <v>64</v>
      </c>
      <c r="G591" s="298"/>
      <c r="H591" s="51" t="s">
        <v>112</v>
      </c>
      <c r="I591" s="52">
        <v>0</v>
      </c>
      <c r="J591" s="53">
        <v>0</v>
      </c>
      <c r="K591" s="54" t="s">
        <v>66</v>
      </c>
      <c r="L591" s="53">
        <v>0</v>
      </c>
      <c r="M591" s="53">
        <v>0</v>
      </c>
      <c r="N591" s="53">
        <v>0</v>
      </c>
      <c r="O591" s="55" t="s">
        <v>67</v>
      </c>
      <c r="P591" s="56">
        <v>0.86805555555555547</v>
      </c>
      <c r="Q591" s="53">
        <v>180</v>
      </c>
      <c r="R591" s="57" t="s">
        <v>66</v>
      </c>
    </row>
    <row r="592" spans="1:18" ht="15" customHeight="1">
      <c r="A592" s="19" t="s">
        <v>68</v>
      </c>
      <c r="B592" s="19" t="s">
        <v>76</v>
      </c>
      <c r="C592" s="20">
        <v>0.69791666666666663</v>
      </c>
      <c r="D592" s="19" t="s">
        <v>70</v>
      </c>
      <c r="E592" s="19" t="s">
        <v>51</v>
      </c>
      <c r="F592" s="19" t="s">
        <v>129</v>
      </c>
      <c r="G592" s="298"/>
      <c r="H592" s="10"/>
      <c r="I592" s="11"/>
      <c r="J592" s="11"/>
      <c r="K592" s="11"/>
      <c r="L592" s="11"/>
      <c r="M592" s="11"/>
      <c r="N592" s="11"/>
      <c r="O592" s="12"/>
      <c r="P592" s="11"/>
      <c r="Q592" s="13"/>
      <c r="R592" s="14"/>
    </row>
    <row r="593" spans="1:18" ht="15" customHeight="1">
      <c r="A593" s="17" t="s">
        <v>68</v>
      </c>
      <c r="B593" s="17" t="s">
        <v>69</v>
      </c>
      <c r="C593" s="18">
        <v>0.94097222222222221</v>
      </c>
      <c r="D593" s="17" t="s">
        <v>70</v>
      </c>
      <c r="E593" s="17" t="s">
        <v>57</v>
      </c>
      <c r="F593" s="17" t="s">
        <v>185</v>
      </c>
      <c r="G593" s="298"/>
      <c r="H593" s="10"/>
      <c r="I593" s="11"/>
      <c r="J593" s="11"/>
      <c r="K593" s="11"/>
      <c r="L593" s="11"/>
      <c r="M593" s="11"/>
      <c r="N593" s="11"/>
      <c r="O593" s="12"/>
      <c r="P593" s="11"/>
      <c r="Q593" s="13"/>
      <c r="R593" s="14"/>
    </row>
    <row r="594" spans="1:18" ht="15" customHeight="1">
      <c r="A594" s="17" t="s">
        <v>68</v>
      </c>
      <c r="B594" s="17" t="s">
        <v>73</v>
      </c>
      <c r="C594" s="18">
        <v>0.28819444444444448</v>
      </c>
      <c r="D594" s="17" t="s">
        <v>70</v>
      </c>
      <c r="E594" s="17" t="s">
        <v>57</v>
      </c>
      <c r="F594" s="17" t="s">
        <v>185</v>
      </c>
      <c r="G594" s="298"/>
      <c r="H594" s="10"/>
      <c r="I594" s="11"/>
      <c r="J594" s="11"/>
      <c r="K594" s="11"/>
      <c r="L594" s="11"/>
      <c r="M594" s="11"/>
      <c r="N594" s="11"/>
      <c r="O594" s="12"/>
      <c r="P594" s="11"/>
      <c r="Q594" s="13"/>
      <c r="R594" s="14"/>
    </row>
    <row r="595" spans="1:18" ht="15" customHeight="1">
      <c r="A595" s="17" t="s">
        <v>68</v>
      </c>
      <c r="B595" s="17" t="s">
        <v>74</v>
      </c>
      <c r="C595" s="18">
        <v>0.33680555555555558</v>
      </c>
      <c r="D595" s="17" t="s">
        <v>70</v>
      </c>
      <c r="E595" s="17" t="s">
        <v>57</v>
      </c>
      <c r="F595" s="17" t="s">
        <v>169</v>
      </c>
      <c r="G595" s="298"/>
      <c r="H595" s="10"/>
      <c r="I595" s="11"/>
      <c r="J595" s="11"/>
      <c r="K595" s="11"/>
      <c r="L595" s="11"/>
      <c r="M595" s="11"/>
      <c r="N595" s="11"/>
      <c r="O595" s="12"/>
      <c r="P595" s="11"/>
      <c r="Q595" s="13"/>
      <c r="R595" s="14"/>
    </row>
    <row r="596" spans="1:18" ht="15" customHeight="1">
      <c r="A596" s="17" t="s">
        <v>68</v>
      </c>
      <c r="B596" s="17" t="s">
        <v>72</v>
      </c>
      <c r="C596" s="18">
        <v>6.5972222222222224E-2</v>
      </c>
      <c r="D596" s="17" t="s">
        <v>70</v>
      </c>
      <c r="E596" s="17" t="s">
        <v>57</v>
      </c>
      <c r="F596" s="17" t="s">
        <v>169</v>
      </c>
      <c r="G596" s="298"/>
      <c r="H596" s="10"/>
      <c r="I596" s="11"/>
      <c r="J596" s="11"/>
      <c r="K596" s="11"/>
      <c r="L596" s="11"/>
      <c r="M596" s="11"/>
      <c r="N596" s="11"/>
      <c r="O596" s="12"/>
      <c r="P596" s="11"/>
      <c r="Q596" s="13"/>
      <c r="R596" s="14"/>
    </row>
    <row r="597" spans="1:18" ht="15" customHeight="1">
      <c r="A597" s="19" t="s">
        <v>48</v>
      </c>
      <c r="B597" s="19" t="s">
        <v>59</v>
      </c>
      <c r="C597" s="20">
        <v>0.22916666666666671</v>
      </c>
      <c r="D597" s="19" t="s">
        <v>53</v>
      </c>
      <c r="E597" s="19" t="s">
        <v>29</v>
      </c>
      <c r="F597" s="19" t="s">
        <v>85</v>
      </c>
      <c r="G597" s="298"/>
      <c r="H597" s="10"/>
      <c r="I597" s="11"/>
      <c r="J597" s="11"/>
      <c r="K597" s="11"/>
      <c r="L597" s="11"/>
      <c r="M597" s="11"/>
      <c r="N597" s="11"/>
      <c r="O597" s="12"/>
      <c r="P597" s="11"/>
      <c r="Q597" s="13"/>
      <c r="R597" s="14"/>
    </row>
    <row r="598" spans="1:18" ht="15" customHeight="1">
      <c r="A598" s="17" t="s">
        <v>48</v>
      </c>
      <c r="B598" s="17" t="s">
        <v>49</v>
      </c>
      <c r="C598" s="18">
        <v>0.35069444444444442</v>
      </c>
      <c r="D598" s="17" t="s">
        <v>53</v>
      </c>
      <c r="E598" s="17" t="s">
        <v>57</v>
      </c>
      <c r="F598" s="17" t="s">
        <v>176</v>
      </c>
      <c r="G598" s="298"/>
      <c r="H598" s="10"/>
      <c r="I598" s="11"/>
      <c r="J598" s="11"/>
      <c r="K598" s="11"/>
      <c r="L598" s="11"/>
      <c r="M598" s="11"/>
      <c r="N598" s="11"/>
      <c r="O598" s="12"/>
      <c r="P598" s="11"/>
      <c r="Q598" s="13"/>
      <c r="R598" s="14"/>
    </row>
    <row r="599" spans="1:18" ht="15" customHeight="1">
      <c r="A599" s="17" t="s">
        <v>48</v>
      </c>
      <c r="B599" s="17" t="s">
        <v>56</v>
      </c>
      <c r="C599" s="18">
        <v>0.89583333333333337</v>
      </c>
      <c r="D599" s="17" t="s">
        <v>53</v>
      </c>
      <c r="E599" s="17" t="s">
        <v>57</v>
      </c>
      <c r="F599" s="17" t="s">
        <v>176</v>
      </c>
      <c r="G599" s="298"/>
      <c r="H599" s="10"/>
      <c r="I599" s="11"/>
      <c r="J599" s="11"/>
      <c r="K599" s="11"/>
      <c r="L599" s="11"/>
      <c r="M599" s="11"/>
      <c r="N599" s="11"/>
      <c r="O599" s="12"/>
      <c r="P599" s="11"/>
      <c r="Q599" s="13"/>
      <c r="R599" s="14"/>
    </row>
    <row r="600" spans="1:18" ht="15" customHeight="1" thickBot="1">
      <c r="A600" s="30" t="s">
        <v>48</v>
      </c>
      <c r="B600" s="30" t="s">
        <v>58</v>
      </c>
      <c r="C600" s="31">
        <v>0.18402777777777779</v>
      </c>
      <c r="D600" s="30" t="s">
        <v>53</v>
      </c>
      <c r="E600" s="30" t="s">
        <v>57</v>
      </c>
      <c r="F600" s="30" t="s">
        <v>176</v>
      </c>
      <c r="G600" s="299"/>
      <c r="H600" s="300"/>
      <c r="I600" s="140"/>
      <c r="J600" s="140"/>
      <c r="K600" s="140"/>
      <c r="L600" s="140"/>
      <c r="M600" s="140"/>
      <c r="N600" s="140"/>
      <c r="O600" s="141"/>
      <c r="P600" s="140"/>
      <c r="Q600" s="142"/>
      <c r="R600" s="301"/>
    </row>
    <row r="601" spans="1:18" ht="17.45" customHeight="1" thickBot="1">
      <c r="A601" s="283"/>
      <c r="B601" s="284"/>
      <c r="C601" s="284"/>
      <c r="D601" s="284"/>
      <c r="E601" s="284"/>
      <c r="F601" s="284"/>
      <c r="G601" s="284"/>
      <c r="H601" s="284"/>
      <c r="I601" s="284"/>
      <c r="J601" s="284"/>
      <c r="K601" s="284"/>
      <c r="L601" s="284"/>
      <c r="M601" s="284"/>
      <c r="N601" s="284"/>
      <c r="O601" s="284"/>
      <c r="P601" s="284"/>
      <c r="Q601" s="284"/>
      <c r="R601" s="285"/>
    </row>
    <row r="602" spans="1:18" ht="22.15" customHeight="1" thickTop="1" thickBot="1">
      <c r="A602" s="279" t="s">
        <v>6</v>
      </c>
      <c r="B602" s="295"/>
      <c r="C602" s="295"/>
      <c r="D602" s="295"/>
      <c r="E602" s="295"/>
      <c r="F602" s="296"/>
      <c r="G602" s="32">
        <v>46049</v>
      </c>
      <c r="H602" s="278" t="s">
        <v>7</v>
      </c>
      <c r="I602" s="295"/>
      <c r="J602" s="295"/>
      <c r="K602" s="295"/>
      <c r="L602" s="295"/>
      <c r="M602" s="295"/>
      <c r="N602" s="295"/>
      <c r="O602" s="295"/>
      <c r="P602" s="295"/>
      <c r="Q602" s="295"/>
      <c r="R602" s="296"/>
    </row>
    <row r="603" spans="1:18" ht="24" customHeight="1">
      <c r="A603" s="33" t="s">
        <v>8</v>
      </c>
      <c r="B603" s="33" t="s">
        <v>9</v>
      </c>
      <c r="C603" s="34" t="s">
        <v>10</v>
      </c>
      <c r="D603" s="33" t="s">
        <v>11</v>
      </c>
      <c r="E603" s="33" t="s">
        <v>12</v>
      </c>
      <c r="F603" s="35" t="s">
        <v>13</v>
      </c>
      <c r="G603" s="36" t="s">
        <v>14</v>
      </c>
      <c r="H603" s="33" t="s">
        <v>15</v>
      </c>
      <c r="I603" s="37" t="s">
        <v>16</v>
      </c>
      <c r="J603" s="38" t="s">
        <v>17</v>
      </c>
      <c r="K603" s="39" t="s">
        <v>18</v>
      </c>
      <c r="L603" s="38" t="s">
        <v>19</v>
      </c>
      <c r="M603" s="38" t="s">
        <v>20</v>
      </c>
      <c r="N603" s="38" t="s">
        <v>21</v>
      </c>
      <c r="O603" s="33" t="s">
        <v>22</v>
      </c>
      <c r="P603" s="34" t="s">
        <v>23</v>
      </c>
      <c r="Q603" s="38" t="s">
        <v>24</v>
      </c>
      <c r="R603" s="33" t="s">
        <v>25</v>
      </c>
    </row>
    <row r="604" spans="1:18" ht="15" customHeight="1">
      <c r="A604" s="8" t="s">
        <v>38</v>
      </c>
      <c r="B604" s="8" t="s">
        <v>39</v>
      </c>
      <c r="C604" s="9">
        <v>0.22916666666666671</v>
      </c>
      <c r="D604" s="8" t="s">
        <v>40</v>
      </c>
      <c r="E604" s="8" t="s">
        <v>80</v>
      </c>
      <c r="F604" s="8" t="s">
        <v>78</v>
      </c>
      <c r="G604" s="302"/>
      <c r="H604" s="10"/>
      <c r="I604" s="11"/>
      <c r="J604" s="11"/>
      <c r="K604" s="11"/>
      <c r="L604" s="11"/>
      <c r="M604" s="11"/>
      <c r="N604" s="11"/>
      <c r="O604" s="12"/>
      <c r="P604" s="11"/>
      <c r="Q604" s="13"/>
      <c r="R604" s="14"/>
    </row>
    <row r="605" spans="1:18" ht="15" customHeight="1">
      <c r="A605" s="15" t="s">
        <v>38</v>
      </c>
      <c r="B605" s="15" t="s">
        <v>39</v>
      </c>
      <c r="C605" s="16">
        <v>0.22916666666666671</v>
      </c>
      <c r="D605" s="15" t="s">
        <v>43</v>
      </c>
      <c r="E605" s="15" t="s">
        <v>82</v>
      </c>
      <c r="F605" s="15" t="s">
        <v>79</v>
      </c>
      <c r="G605" s="298"/>
      <c r="H605" s="10"/>
      <c r="I605" s="11"/>
      <c r="J605" s="11"/>
      <c r="K605" s="11"/>
      <c r="L605" s="11"/>
      <c r="M605" s="11"/>
      <c r="N605" s="11"/>
      <c r="O605" s="12"/>
      <c r="P605" s="11"/>
      <c r="Q605" s="13"/>
      <c r="R605" s="14"/>
    </row>
    <row r="606" spans="1:18" ht="15" customHeight="1">
      <c r="A606" s="15" t="s">
        <v>38</v>
      </c>
      <c r="B606" s="15" t="s">
        <v>39</v>
      </c>
      <c r="C606" s="16">
        <v>0.22916666666666671</v>
      </c>
      <c r="D606" s="15" t="s">
        <v>46</v>
      </c>
      <c r="E606" s="15" t="s">
        <v>82</v>
      </c>
      <c r="F606" s="15" t="s">
        <v>47</v>
      </c>
      <c r="G606" s="298"/>
      <c r="H606" s="10"/>
      <c r="I606" s="11"/>
      <c r="J606" s="11"/>
      <c r="K606" s="11"/>
      <c r="L606" s="11"/>
      <c r="M606" s="11"/>
      <c r="N606" s="11"/>
      <c r="O606" s="12"/>
      <c r="P606" s="11"/>
      <c r="Q606" s="13"/>
      <c r="R606" s="14"/>
    </row>
    <row r="607" spans="1:18" ht="15" customHeight="1">
      <c r="A607" s="17" t="s">
        <v>38</v>
      </c>
      <c r="B607" s="17" t="s">
        <v>87</v>
      </c>
      <c r="C607" s="18">
        <v>6.25E-2</v>
      </c>
      <c r="D607" s="17" t="s">
        <v>40</v>
      </c>
      <c r="E607" s="17" t="s">
        <v>125</v>
      </c>
      <c r="F607" s="17" t="s">
        <v>78</v>
      </c>
      <c r="G607" s="298"/>
      <c r="H607" s="10"/>
      <c r="I607" s="11"/>
      <c r="J607" s="11"/>
      <c r="K607" s="11"/>
      <c r="L607" s="11"/>
      <c r="M607" s="11"/>
      <c r="N607" s="11"/>
      <c r="O607" s="12"/>
      <c r="P607" s="11"/>
      <c r="Q607" s="13"/>
      <c r="R607" s="14"/>
    </row>
    <row r="608" spans="1:18" ht="15" customHeight="1">
      <c r="A608" s="15" t="s">
        <v>38</v>
      </c>
      <c r="B608" s="15" t="s">
        <v>87</v>
      </c>
      <c r="C608" s="16">
        <v>6.25E-2</v>
      </c>
      <c r="D608" s="15" t="s">
        <v>43</v>
      </c>
      <c r="E608" s="15" t="s">
        <v>44</v>
      </c>
      <c r="F608" s="15" t="s">
        <v>79</v>
      </c>
      <c r="G608" s="298"/>
      <c r="H608" s="10"/>
      <c r="I608" s="11"/>
      <c r="J608" s="11"/>
      <c r="K608" s="11"/>
      <c r="L608" s="11"/>
      <c r="M608" s="11"/>
      <c r="N608" s="11"/>
      <c r="O608" s="12"/>
      <c r="P608" s="11"/>
      <c r="Q608" s="13"/>
      <c r="R608" s="14"/>
    </row>
    <row r="609" spans="1:18" ht="15" customHeight="1">
      <c r="A609" s="15" t="s">
        <v>38</v>
      </c>
      <c r="B609" s="15" t="s">
        <v>87</v>
      </c>
      <c r="C609" s="16">
        <v>6.25E-2</v>
      </c>
      <c r="D609" s="15" t="s">
        <v>46</v>
      </c>
      <c r="E609" s="15" t="s">
        <v>44</v>
      </c>
      <c r="F609" s="15" t="s">
        <v>47</v>
      </c>
      <c r="G609" s="298"/>
      <c r="H609" s="10"/>
      <c r="I609" s="11"/>
      <c r="J609" s="11"/>
      <c r="K609" s="11"/>
      <c r="L609" s="11"/>
      <c r="M609" s="11"/>
      <c r="N609" s="11"/>
      <c r="O609" s="12"/>
      <c r="P609" s="11"/>
      <c r="Q609" s="13"/>
      <c r="R609" s="14"/>
    </row>
    <row r="610" spans="1:18" ht="15" customHeight="1">
      <c r="A610" s="98" t="s">
        <v>61</v>
      </c>
      <c r="B610" s="98" t="s">
        <v>62</v>
      </c>
      <c r="C610" s="99">
        <v>0.81944444444444453</v>
      </c>
      <c r="D610" s="98" t="s">
        <v>63</v>
      </c>
      <c r="E610" s="98" t="s">
        <v>51</v>
      </c>
      <c r="F610" s="98" t="s">
        <v>64</v>
      </c>
      <c r="G610" s="298"/>
      <c r="H610" s="100" t="s">
        <v>65</v>
      </c>
      <c r="I610" s="101">
        <v>0</v>
      </c>
      <c r="J610" s="102">
        <v>0</v>
      </c>
      <c r="K610" s="103" t="s">
        <v>66</v>
      </c>
      <c r="L610" s="102">
        <v>0</v>
      </c>
      <c r="M610" s="102">
        <v>0</v>
      </c>
      <c r="N610" s="102">
        <v>0</v>
      </c>
      <c r="O610" s="104" t="s">
        <v>67</v>
      </c>
      <c r="P610" s="105">
        <v>0.81944444444444453</v>
      </c>
      <c r="Q610" s="102">
        <v>180</v>
      </c>
      <c r="R610" s="106" t="s">
        <v>66</v>
      </c>
    </row>
    <row r="611" spans="1:18" ht="15" customHeight="1">
      <c r="A611" s="19" t="s">
        <v>26</v>
      </c>
      <c r="B611" s="19" t="s">
        <v>27</v>
      </c>
      <c r="C611" s="20">
        <v>0.60763888888888895</v>
      </c>
      <c r="D611" s="19" t="s">
        <v>28</v>
      </c>
      <c r="E611" s="19" t="s">
        <v>80</v>
      </c>
      <c r="F611" s="19" t="s">
        <v>189</v>
      </c>
      <c r="G611" s="298"/>
      <c r="H611" s="10"/>
      <c r="I611" s="11"/>
      <c r="J611" s="11"/>
      <c r="K611" s="11"/>
      <c r="L611" s="11"/>
      <c r="M611" s="11"/>
      <c r="N611" s="11"/>
      <c r="O611" s="12"/>
      <c r="P611" s="11"/>
      <c r="Q611" s="13"/>
      <c r="R611" s="14"/>
    </row>
    <row r="612" spans="1:18" ht="15" customHeight="1">
      <c r="A612" s="15" t="s">
        <v>26</v>
      </c>
      <c r="B612" s="15" t="s">
        <v>27</v>
      </c>
      <c r="C612" s="16">
        <v>0.60763888888888895</v>
      </c>
      <c r="D612" s="15" t="s">
        <v>31</v>
      </c>
      <c r="E612" s="15" t="s">
        <v>82</v>
      </c>
      <c r="F612" s="15" t="s">
        <v>190</v>
      </c>
      <c r="G612" s="298"/>
      <c r="H612" s="10"/>
      <c r="I612" s="11"/>
      <c r="J612" s="11"/>
      <c r="K612" s="11"/>
      <c r="L612" s="11"/>
      <c r="M612" s="11"/>
      <c r="N612" s="11"/>
      <c r="O612" s="12"/>
      <c r="P612" s="11"/>
      <c r="Q612" s="13"/>
      <c r="R612" s="14"/>
    </row>
    <row r="613" spans="1:18" ht="15" customHeight="1">
      <c r="A613" s="15" t="s">
        <v>26</v>
      </c>
      <c r="B613" s="15" t="s">
        <v>27</v>
      </c>
      <c r="C613" s="16">
        <v>0.60763888888888895</v>
      </c>
      <c r="D613" s="15" t="s">
        <v>34</v>
      </c>
      <c r="E613" s="15" t="s">
        <v>82</v>
      </c>
      <c r="F613" s="15" t="s">
        <v>191</v>
      </c>
      <c r="G613" s="298"/>
      <c r="H613" s="10"/>
      <c r="I613" s="11"/>
      <c r="J613" s="11"/>
      <c r="K613" s="11"/>
      <c r="L613" s="11"/>
      <c r="M613" s="11"/>
      <c r="N613" s="11"/>
      <c r="O613" s="12"/>
      <c r="P613" s="11"/>
      <c r="Q613" s="13"/>
      <c r="R613" s="14"/>
    </row>
    <row r="614" spans="1:18" ht="15" customHeight="1">
      <c r="A614" s="19" t="s">
        <v>48</v>
      </c>
      <c r="B614" s="19" t="s">
        <v>59</v>
      </c>
      <c r="C614" s="20">
        <v>0.22916666666666671</v>
      </c>
      <c r="D614" s="19" t="s">
        <v>53</v>
      </c>
      <c r="E614" s="19" t="s">
        <v>29</v>
      </c>
      <c r="F614" s="19" t="s">
        <v>93</v>
      </c>
      <c r="G614" s="298"/>
      <c r="H614" s="10"/>
      <c r="I614" s="11"/>
      <c r="J614" s="11"/>
      <c r="K614" s="11"/>
      <c r="L614" s="11"/>
      <c r="M614" s="11"/>
      <c r="N614" s="11"/>
      <c r="O614" s="12"/>
      <c r="P614" s="11"/>
      <c r="Q614" s="13"/>
      <c r="R614" s="14"/>
    </row>
    <row r="615" spans="1:18" ht="15" customHeight="1">
      <c r="A615" s="17" t="s">
        <v>48</v>
      </c>
      <c r="B615" s="17" t="s">
        <v>49</v>
      </c>
      <c r="C615" s="18">
        <v>0.35069444444444442</v>
      </c>
      <c r="D615" s="17" t="s">
        <v>53</v>
      </c>
      <c r="E615" s="17" t="s">
        <v>57</v>
      </c>
      <c r="F615" s="17" t="s">
        <v>176</v>
      </c>
      <c r="G615" s="298"/>
      <c r="H615" s="10"/>
      <c r="I615" s="11"/>
      <c r="J615" s="11"/>
      <c r="K615" s="11"/>
      <c r="L615" s="11"/>
      <c r="M615" s="11"/>
      <c r="N615" s="11"/>
      <c r="O615" s="12"/>
      <c r="P615" s="11"/>
      <c r="Q615" s="13"/>
      <c r="R615" s="14"/>
    </row>
    <row r="616" spans="1:18" ht="15" customHeight="1">
      <c r="A616" s="17" t="s">
        <v>48</v>
      </c>
      <c r="B616" s="17" t="s">
        <v>56</v>
      </c>
      <c r="C616" s="18">
        <v>0.89583333333333337</v>
      </c>
      <c r="D616" s="17" t="s">
        <v>53</v>
      </c>
      <c r="E616" s="17" t="s">
        <v>57</v>
      </c>
      <c r="F616" s="17" t="s">
        <v>176</v>
      </c>
      <c r="G616" s="298"/>
      <c r="H616" s="10"/>
      <c r="I616" s="11"/>
      <c r="J616" s="11"/>
      <c r="K616" s="11"/>
      <c r="L616" s="11"/>
      <c r="M616" s="11"/>
      <c r="N616" s="11"/>
      <c r="O616" s="12"/>
      <c r="P616" s="11"/>
      <c r="Q616" s="13"/>
      <c r="R616" s="14"/>
    </row>
    <row r="617" spans="1:18" ht="15" customHeight="1">
      <c r="A617" s="17" t="s">
        <v>48</v>
      </c>
      <c r="B617" s="17" t="s">
        <v>58</v>
      </c>
      <c r="C617" s="18">
        <v>0.18402777777777779</v>
      </c>
      <c r="D617" s="17" t="s">
        <v>53</v>
      </c>
      <c r="E617" s="17" t="s">
        <v>57</v>
      </c>
      <c r="F617" s="17" t="s">
        <v>176</v>
      </c>
      <c r="G617" s="298"/>
      <c r="H617" s="10"/>
      <c r="I617" s="11"/>
      <c r="J617" s="11"/>
      <c r="K617" s="11"/>
      <c r="L617" s="11"/>
      <c r="M617" s="11"/>
      <c r="N617" s="11"/>
      <c r="O617" s="12"/>
      <c r="P617" s="11"/>
      <c r="Q617" s="13"/>
      <c r="R617" s="14"/>
    </row>
    <row r="618" spans="1:18" ht="15" customHeight="1">
      <c r="A618" s="19" t="s">
        <v>68</v>
      </c>
      <c r="B618" s="19" t="s">
        <v>74</v>
      </c>
      <c r="C618" s="20">
        <v>0.33680555555555558</v>
      </c>
      <c r="D618" s="19" t="s">
        <v>70</v>
      </c>
      <c r="E618" s="19" t="s">
        <v>51</v>
      </c>
      <c r="F618" s="19" t="s">
        <v>77</v>
      </c>
      <c r="G618" s="298"/>
      <c r="H618" s="10"/>
      <c r="I618" s="11"/>
      <c r="J618" s="11"/>
      <c r="K618" s="11"/>
      <c r="L618" s="11"/>
      <c r="M618" s="11"/>
      <c r="N618" s="11"/>
      <c r="O618" s="12"/>
      <c r="P618" s="11"/>
      <c r="Q618" s="13"/>
      <c r="R618" s="14"/>
    </row>
    <row r="619" spans="1:18" ht="15" customHeight="1">
      <c r="A619" s="17" t="s">
        <v>68</v>
      </c>
      <c r="B619" s="17" t="s">
        <v>73</v>
      </c>
      <c r="C619" s="18">
        <v>0.28819444444444448</v>
      </c>
      <c r="D619" s="17" t="s">
        <v>70</v>
      </c>
      <c r="E619" s="17" t="s">
        <v>57</v>
      </c>
      <c r="F619" s="17" t="s">
        <v>77</v>
      </c>
      <c r="G619" s="298"/>
      <c r="H619" s="10"/>
      <c r="I619" s="11"/>
      <c r="J619" s="11"/>
      <c r="K619" s="11"/>
      <c r="L619" s="11"/>
      <c r="M619" s="11"/>
      <c r="N619" s="11"/>
      <c r="O619" s="12"/>
      <c r="P619" s="11"/>
      <c r="Q619" s="13"/>
      <c r="R619" s="14"/>
    </row>
    <row r="620" spans="1:18" ht="15" customHeight="1">
      <c r="A620" s="17" t="s">
        <v>68</v>
      </c>
      <c r="B620" s="17" t="s">
        <v>69</v>
      </c>
      <c r="C620" s="18">
        <v>0.94097222222222221</v>
      </c>
      <c r="D620" s="17" t="s">
        <v>70</v>
      </c>
      <c r="E620" s="17" t="s">
        <v>57</v>
      </c>
      <c r="F620" s="17" t="s">
        <v>169</v>
      </c>
      <c r="G620" s="298"/>
      <c r="H620" s="10"/>
      <c r="I620" s="11"/>
      <c r="J620" s="11"/>
      <c r="K620" s="11"/>
      <c r="L620" s="11"/>
      <c r="M620" s="11"/>
      <c r="N620" s="11"/>
      <c r="O620" s="12"/>
      <c r="P620" s="11"/>
      <c r="Q620" s="13"/>
      <c r="R620" s="14"/>
    </row>
    <row r="621" spans="1:18" ht="15" customHeight="1">
      <c r="A621" s="17" t="s">
        <v>68</v>
      </c>
      <c r="B621" s="17" t="s">
        <v>72</v>
      </c>
      <c r="C621" s="18">
        <v>6.5972222222222224E-2</v>
      </c>
      <c r="D621" s="17" t="s">
        <v>70</v>
      </c>
      <c r="E621" s="17" t="s">
        <v>57</v>
      </c>
      <c r="F621" s="17" t="s">
        <v>169</v>
      </c>
      <c r="G621" s="298"/>
      <c r="H621" s="10"/>
      <c r="I621" s="11"/>
      <c r="J621" s="11"/>
      <c r="K621" s="11"/>
      <c r="L621" s="11"/>
      <c r="M621" s="11"/>
      <c r="N621" s="11"/>
      <c r="O621" s="12"/>
      <c r="P621" s="11"/>
      <c r="Q621" s="13"/>
      <c r="R621" s="14"/>
    </row>
    <row r="622" spans="1:18" ht="15" customHeight="1" thickBot="1">
      <c r="A622" s="30" t="s">
        <v>68</v>
      </c>
      <c r="B622" s="30" t="s">
        <v>76</v>
      </c>
      <c r="C622" s="31">
        <v>0.69791666666666663</v>
      </c>
      <c r="D622" s="30" t="s">
        <v>70</v>
      </c>
      <c r="E622" s="30" t="s">
        <v>57</v>
      </c>
      <c r="F622" s="30" t="s">
        <v>180</v>
      </c>
      <c r="G622" s="299"/>
      <c r="H622" s="300"/>
      <c r="I622" s="140"/>
      <c r="J622" s="140"/>
      <c r="K622" s="140"/>
      <c r="L622" s="140"/>
      <c r="M622" s="140"/>
      <c r="N622" s="140"/>
      <c r="O622" s="141"/>
      <c r="P622" s="140"/>
      <c r="Q622" s="142"/>
      <c r="R622" s="301"/>
    </row>
    <row r="623" spans="1:18" ht="17.45" customHeight="1" thickBot="1">
      <c r="A623" s="283"/>
      <c r="B623" s="284"/>
      <c r="C623" s="284"/>
      <c r="D623" s="284"/>
      <c r="E623" s="284"/>
      <c r="F623" s="284"/>
      <c r="G623" s="284"/>
      <c r="H623" s="284"/>
      <c r="I623" s="284"/>
      <c r="J623" s="284"/>
      <c r="K623" s="284"/>
      <c r="L623" s="284"/>
      <c r="M623" s="284"/>
      <c r="N623" s="284"/>
      <c r="O623" s="284"/>
      <c r="P623" s="284"/>
      <c r="Q623" s="284"/>
      <c r="R623" s="285"/>
    </row>
    <row r="624" spans="1:18" ht="22.15" customHeight="1" thickTop="1" thickBot="1">
      <c r="A624" s="279" t="s">
        <v>6</v>
      </c>
      <c r="B624" s="295"/>
      <c r="C624" s="295"/>
      <c r="D624" s="295"/>
      <c r="E624" s="295"/>
      <c r="F624" s="296"/>
      <c r="G624" s="32">
        <v>46050</v>
      </c>
      <c r="H624" s="278" t="s">
        <v>7</v>
      </c>
      <c r="I624" s="295"/>
      <c r="J624" s="295"/>
      <c r="K624" s="295"/>
      <c r="L624" s="295"/>
      <c r="M624" s="295"/>
      <c r="N624" s="295"/>
      <c r="O624" s="295"/>
      <c r="P624" s="295"/>
      <c r="Q624" s="295"/>
      <c r="R624" s="296"/>
    </row>
    <row r="625" spans="1:18" ht="24" customHeight="1">
      <c r="A625" s="33" t="s">
        <v>8</v>
      </c>
      <c r="B625" s="33" t="s">
        <v>9</v>
      </c>
      <c r="C625" s="34" t="s">
        <v>10</v>
      </c>
      <c r="D625" s="33" t="s">
        <v>11</v>
      </c>
      <c r="E625" s="33" t="s">
        <v>12</v>
      </c>
      <c r="F625" s="35" t="s">
        <v>13</v>
      </c>
      <c r="G625" s="36" t="s">
        <v>14</v>
      </c>
      <c r="H625" s="33" t="s">
        <v>15</v>
      </c>
      <c r="I625" s="37" t="s">
        <v>16</v>
      </c>
      <c r="J625" s="38" t="s">
        <v>17</v>
      </c>
      <c r="K625" s="39" t="s">
        <v>18</v>
      </c>
      <c r="L625" s="38" t="s">
        <v>19</v>
      </c>
      <c r="M625" s="38" t="s">
        <v>20</v>
      </c>
      <c r="N625" s="38" t="s">
        <v>21</v>
      </c>
      <c r="O625" s="33" t="s">
        <v>22</v>
      </c>
      <c r="P625" s="34" t="s">
        <v>23</v>
      </c>
      <c r="Q625" s="38" t="s">
        <v>24</v>
      </c>
      <c r="R625" s="33" t="s">
        <v>25</v>
      </c>
    </row>
    <row r="626" spans="1:18" ht="15" customHeight="1">
      <c r="A626" s="8" t="s">
        <v>38</v>
      </c>
      <c r="B626" s="8" t="s">
        <v>39</v>
      </c>
      <c r="C626" s="9">
        <v>0.22916666666666671</v>
      </c>
      <c r="D626" s="8" t="s">
        <v>40</v>
      </c>
      <c r="E626" s="8" t="s">
        <v>192</v>
      </c>
      <c r="F626" s="8" t="s">
        <v>78</v>
      </c>
      <c r="G626" s="297"/>
      <c r="H626" s="10"/>
      <c r="I626" s="11"/>
      <c r="J626" s="11"/>
      <c r="K626" s="11"/>
      <c r="L626" s="11"/>
      <c r="M626" s="11"/>
      <c r="N626" s="11"/>
      <c r="O626" s="12"/>
      <c r="P626" s="11"/>
      <c r="Q626" s="13"/>
      <c r="R626" s="14"/>
    </row>
    <row r="627" spans="1:18" ht="15" customHeight="1">
      <c r="A627" s="15" t="s">
        <v>38</v>
      </c>
      <c r="B627" s="15" t="s">
        <v>39</v>
      </c>
      <c r="C627" s="16">
        <v>0.22916666666666671</v>
      </c>
      <c r="D627" s="15" t="s">
        <v>43</v>
      </c>
      <c r="E627" s="15" t="s">
        <v>193</v>
      </c>
      <c r="F627" s="15" t="s">
        <v>79</v>
      </c>
      <c r="G627" s="298"/>
      <c r="H627" s="10"/>
      <c r="I627" s="11"/>
      <c r="J627" s="11"/>
      <c r="K627" s="11"/>
      <c r="L627" s="11"/>
      <c r="M627" s="11"/>
      <c r="N627" s="11"/>
      <c r="O627" s="12"/>
      <c r="P627" s="11"/>
      <c r="Q627" s="13"/>
      <c r="R627" s="14"/>
    </row>
    <row r="628" spans="1:18" ht="15" customHeight="1">
      <c r="A628" s="15" t="s">
        <v>38</v>
      </c>
      <c r="B628" s="15" t="s">
        <v>39</v>
      </c>
      <c r="C628" s="16">
        <v>0.22916666666666671</v>
      </c>
      <c r="D628" s="15" t="s">
        <v>46</v>
      </c>
      <c r="E628" s="15" t="s">
        <v>193</v>
      </c>
      <c r="F628" s="15" t="s">
        <v>47</v>
      </c>
      <c r="G628" s="298"/>
      <c r="H628" s="10"/>
      <c r="I628" s="11"/>
      <c r="J628" s="11"/>
      <c r="K628" s="11"/>
      <c r="L628" s="11"/>
      <c r="M628" s="11"/>
      <c r="N628" s="11"/>
      <c r="O628" s="12"/>
      <c r="P628" s="11"/>
      <c r="Q628" s="13"/>
      <c r="R628" s="14"/>
    </row>
    <row r="629" spans="1:18" ht="15" customHeight="1">
      <c r="A629" s="19" t="s">
        <v>26</v>
      </c>
      <c r="B629" s="19" t="s">
        <v>27</v>
      </c>
      <c r="C629" s="20">
        <v>0.60763888888888895</v>
      </c>
      <c r="D629" s="19" t="s">
        <v>28</v>
      </c>
      <c r="E629" s="19" t="s">
        <v>143</v>
      </c>
      <c r="F629" s="19" t="s">
        <v>89</v>
      </c>
      <c r="G629" s="298"/>
      <c r="H629" s="10"/>
      <c r="I629" s="11"/>
      <c r="J629" s="11"/>
      <c r="K629" s="11"/>
      <c r="L629" s="11"/>
      <c r="M629" s="11"/>
      <c r="N629" s="11"/>
      <c r="O629" s="12"/>
      <c r="P629" s="11"/>
      <c r="Q629" s="13"/>
      <c r="R629" s="14"/>
    </row>
    <row r="630" spans="1:18" ht="15" customHeight="1">
      <c r="A630" s="15" t="s">
        <v>26</v>
      </c>
      <c r="B630" s="15" t="s">
        <v>27</v>
      </c>
      <c r="C630" s="16">
        <v>0.60763888888888895</v>
      </c>
      <c r="D630" s="15" t="s">
        <v>31</v>
      </c>
      <c r="E630" s="15" t="s">
        <v>92</v>
      </c>
      <c r="F630" s="15" t="s">
        <v>138</v>
      </c>
      <c r="G630" s="298"/>
      <c r="H630" s="10"/>
      <c r="I630" s="11"/>
      <c r="J630" s="11"/>
      <c r="K630" s="11"/>
      <c r="L630" s="11"/>
      <c r="M630" s="11"/>
      <c r="N630" s="11"/>
      <c r="O630" s="12"/>
      <c r="P630" s="11"/>
      <c r="Q630" s="13"/>
      <c r="R630" s="14"/>
    </row>
    <row r="631" spans="1:18" ht="15" customHeight="1">
      <c r="A631" s="15" t="s">
        <v>26</v>
      </c>
      <c r="B631" s="15" t="s">
        <v>27</v>
      </c>
      <c r="C631" s="16">
        <v>0.60763888888888895</v>
      </c>
      <c r="D631" s="15" t="s">
        <v>34</v>
      </c>
      <c r="E631" s="15" t="s">
        <v>92</v>
      </c>
      <c r="F631" s="15" t="s">
        <v>139</v>
      </c>
      <c r="G631" s="298"/>
      <c r="H631" s="10"/>
      <c r="I631" s="11"/>
      <c r="J631" s="11"/>
      <c r="K631" s="11"/>
      <c r="L631" s="11"/>
      <c r="M631" s="11"/>
      <c r="N631" s="11"/>
      <c r="O631" s="12"/>
      <c r="P631" s="11"/>
      <c r="Q631" s="13"/>
      <c r="R631" s="14"/>
    </row>
    <row r="632" spans="1:18" ht="15" customHeight="1">
      <c r="A632" s="19" t="s">
        <v>48</v>
      </c>
      <c r="B632" s="19" t="s">
        <v>59</v>
      </c>
      <c r="C632" s="20">
        <v>0.22916666666666671</v>
      </c>
      <c r="D632" s="19" t="s">
        <v>53</v>
      </c>
      <c r="E632" s="19" t="s">
        <v>29</v>
      </c>
      <c r="F632" s="19" t="s">
        <v>93</v>
      </c>
      <c r="G632" s="298"/>
      <c r="H632" s="10"/>
      <c r="I632" s="11"/>
      <c r="J632" s="11"/>
      <c r="K632" s="11"/>
      <c r="L632" s="11"/>
      <c r="M632" s="11"/>
      <c r="N632" s="11"/>
      <c r="O632" s="12"/>
      <c r="P632" s="11"/>
      <c r="Q632" s="13"/>
      <c r="R632" s="14"/>
    </row>
    <row r="633" spans="1:18" ht="15" customHeight="1">
      <c r="A633" s="17" t="s">
        <v>48</v>
      </c>
      <c r="B633" s="17" t="s">
        <v>49</v>
      </c>
      <c r="C633" s="18">
        <v>0.35069444444444442</v>
      </c>
      <c r="D633" s="17" t="s">
        <v>53</v>
      </c>
      <c r="E633" s="17" t="s">
        <v>57</v>
      </c>
      <c r="F633" s="17" t="s">
        <v>176</v>
      </c>
      <c r="G633" s="298"/>
      <c r="H633" s="10"/>
      <c r="I633" s="11"/>
      <c r="J633" s="11"/>
      <c r="K633" s="11"/>
      <c r="L633" s="11"/>
      <c r="M633" s="11"/>
      <c r="N633" s="11"/>
      <c r="O633" s="12"/>
      <c r="P633" s="11"/>
      <c r="Q633" s="13"/>
      <c r="R633" s="14"/>
    </row>
    <row r="634" spans="1:18" ht="15" customHeight="1">
      <c r="A634" s="17" t="s">
        <v>48</v>
      </c>
      <c r="B634" s="17" t="s">
        <v>56</v>
      </c>
      <c r="C634" s="18">
        <v>0.89583333333333337</v>
      </c>
      <c r="D634" s="17" t="s">
        <v>53</v>
      </c>
      <c r="E634" s="17" t="s">
        <v>57</v>
      </c>
      <c r="F634" s="17" t="s">
        <v>176</v>
      </c>
      <c r="G634" s="298"/>
      <c r="H634" s="10"/>
      <c r="I634" s="11"/>
      <c r="J634" s="11"/>
      <c r="K634" s="11"/>
      <c r="L634" s="11"/>
      <c r="M634" s="11"/>
      <c r="N634" s="11"/>
      <c r="O634" s="12"/>
      <c r="P634" s="11"/>
      <c r="Q634" s="13"/>
      <c r="R634" s="14"/>
    </row>
    <row r="635" spans="1:18" ht="15" customHeight="1">
      <c r="A635" s="17" t="s">
        <v>48</v>
      </c>
      <c r="B635" s="17" t="s">
        <v>58</v>
      </c>
      <c r="C635" s="18">
        <v>0.18402777777777779</v>
      </c>
      <c r="D635" s="17" t="s">
        <v>53</v>
      </c>
      <c r="E635" s="17" t="s">
        <v>57</v>
      </c>
      <c r="F635" s="17" t="s">
        <v>176</v>
      </c>
      <c r="G635" s="298"/>
      <c r="H635" s="10"/>
      <c r="I635" s="11"/>
      <c r="J635" s="11"/>
      <c r="K635" s="11"/>
      <c r="L635" s="11"/>
      <c r="M635" s="11"/>
      <c r="N635" s="11"/>
      <c r="O635" s="12"/>
      <c r="P635" s="11"/>
      <c r="Q635" s="13"/>
      <c r="R635" s="14"/>
    </row>
    <row r="636" spans="1:18" ht="15" customHeight="1">
      <c r="A636" s="19" t="s">
        <v>68</v>
      </c>
      <c r="B636" s="19" t="s">
        <v>74</v>
      </c>
      <c r="C636" s="20">
        <v>0.33680555555555558</v>
      </c>
      <c r="D636" s="19" t="s">
        <v>70</v>
      </c>
      <c r="E636" s="19" t="s">
        <v>51</v>
      </c>
      <c r="F636" s="19" t="s">
        <v>169</v>
      </c>
      <c r="G636" s="298"/>
      <c r="H636" s="10"/>
      <c r="I636" s="11"/>
      <c r="J636" s="11"/>
      <c r="K636" s="11"/>
      <c r="L636" s="11"/>
      <c r="M636" s="11"/>
      <c r="N636" s="11"/>
      <c r="O636" s="12"/>
      <c r="P636" s="11"/>
      <c r="Q636" s="13"/>
      <c r="R636" s="14"/>
    </row>
    <row r="637" spans="1:18" ht="15" customHeight="1">
      <c r="A637" s="17" t="s">
        <v>68</v>
      </c>
      <c r="B637" s="17" t="s">
        <v>76</v>
      </c>
      <c r="C637" s="18">
        <v>0.69791666666666663</v>
      </c>
      <c r="D637" s="17" t="s">
        <v>70</v>
      </c>
      <c r="E637" s="17" t="s">
        <v>57</v>
      </c>
      <c r="F637" s="17" t="s">
        <v>169</v>
      </c>
      <c r="G637" s="298"/>
      <c r="H637" s="10"/>
      <c r="I637" s="11"/>
      <c r="J637" s="11"/>
      <c r="K637" s="11"/>
      <c r="L637" s="11"/>
      <c r="M637" s="11"/>
      <c r="N637" s="11"/>
      <c r="O637" s="12"/>
      <c r="P637" s="11"/>
      <c r="Q637" s="13"/>
      <c r="R637" s="14"/>
    </row>
    <row r="638" spans="1:18" ht="15" customHeight="1">
      <c r="A638" s="17" t="s">
        <v>68</v>
      </c>
      <c r="B638" s="17" t="s">
        <v>73</v>
      </c>
      <c r="C638" s="18">
        <v>0.28819444444444448</v>
      </c>
      <c r="D638" s="17" t="s">
        <v>70</v>
      </c>
      <c r="E638" s="17" t="s">
        <v>57</v>
      </c>
      <c r="F638" s="17" t="s">
        <v>169</v>
      </c>
      <c r="G638" s="298"/>
      <c r="H638" s="10"/>
      <c r="I638" s="11"/>
      <c r="J638" s="11"/>
      <c r="K638" s="11"/>
      <c r="L638" s="11"/>
      <c r="M638" s="11"/>
      <c r="N638" s="11"/>
      <c r="O638" s="12"/>
      <c r="P638" s="11"/>
      <c r="Q638" s="13"/>
      <c r="R638" s="14"/>
    </row>
    <row r="639" spans="1:18" ht="15" customHeight="1">
      <c r="A639" s="17" t="s">
        <v>68</v>
      </c>
      <c r="B639" s="17" t="s">
        <v>72</v>
      </c>
      <c r="C639" s="18">
        <v>6.5972222222222224E-2</v>
      </c>
      <c r="D639" s="17" t="s">
        <v>70</v>
      </c>
      <c r="E639" s="17" t="s">
        <v>57</v>
      </c>
      <c r="F639" s="17" t="s">
        <v>180</v>
      </c>
      <c r="G639" s="298"/>
      <c r="H639" s="10"/>
      <c r="I639" s="11"/>
      <c r="J639" s="11"/>
      <c r="K639" s="11"/>
      <c r="L639" s="11"/>
      <c r="M639" s="11"/>
      <c r="N639" s="11"/>
      <c r="O639" s="12"/>
      <c r="P639" s="11"/>
      <c r="Q639" s="13"/>
      <c r="R639" s="14"/>
    </row>
    <row r="640" spans="1:18" ht="15" customHeight="1" thickBot="1">
      <c r="A640" s="30" t="s">
        <v>68</v>
      </c>
      <c r="B640" s="30" t="s">
        <v>69</v>
      </c>
      <c r="C640" s="31">
        <v>0.94097222222222221</v>
      </c>
      <c r="D640" s="30" t="s">
        <v>70</v>
      </c>
      <c r="E640" s="30" t="s">
        <v>57</v>
      </c>
      <c r="F640" s="30" t="s">
        <v>157</v>
      </c>
      <c r="G640" s="299"/>
      <c r="H640" s="300"/>
      <c r="I640" s="140"/>
      <c r="J640" s="140"/>
      <c r="K640" s="140"/>
      <c r="L640" s="140"/>
      <c r="M640" s="140"/>
      <c r="N640" s="140"/>
      <c r="O640" s="141"/>
      <c r="P640" s="140"/>
      <c r="Q640" s="142"/>
      <c r="R640" s="301"/>
    </row>
    <row r="641" spans="1:18" ht="17.45" customHeight="1" thickBot="1">
      <c r="A641" s="283"/>
      <c r="B641" s="284"/>
      <c r="C641" s="284"/>
      <c r="D641" s="284"/>
      <c r="E641" s="284"/>
      <c r="F641" s="284"/>
      <c r="G641" s="284"/>
      <c r="H641" s="284"/>
      <c r="I641" s="284"/>
      <c r="J641" s="284"/>
      <c r="K641" s="284"/>
      <c r="L641" s="284"/>
      <c r="M641" s="284"/>
      <c r="N641" s="284"/>
      <c r="O641" s="284"/>
      <c r="P641" s="284"/>
      <c r="Q641" s="284"/>
      <c r="R641" s="285"/>
    </row>
    <row r="642" spans="1:18" ht="22.15" customHeight="1" thickTop="1" thickBot="1">
      <c r="A642" s="279" t="s">
        <v>6</v>
      </c>
      <c r="B642" s="295"/>
      <c r="C642" s="295"/>
      <c r="D642" s="295"/>
      <c r="E642" s="295"/>
      <c r="F642" s="296"/>
      <c r="G642" s="32">
        <v>46051</v>
      </c>
      <c r="H642" s="278" t="s">
        <v>7</v>
      </c>
      <c r="I642" s="295"/>
      <c r="J642" s="295"/>
      <c r="K642" s="295"/>
      <c r="L642" s="295"/>
      <c r="M642" s="295"/>
      <c r="N642" s="295"/>
      <c r="O642" s="295"/>
      <c r="P642" s="295"/>
      <c r="Q642" s="295"/>
      <c r="R642" s="296"/>
    </row>
    <row r="643" spans="1:18" ht="24" customHeight="1">
      <c r="A643" s="33" t="s">
        <v>8</v>
      </c>
      <c r="B643" s="33" t="s">
        <v>9</v>
      </c>
      <c r="C643" s="34" t="s">
        <v>10</v>
      </c>
      <c r="D643" s="33" t="s">
        <v>11</v>
      </c>
      <c r="E643" s="33" t="s">
        <v>12</v>
      </c>
      <c r="F643" s="35" t="s">
        <v>13</v>
      </c>
      <c r="G643" s="36" t="s">
        <v>14</v>
      </c>
      <c r="H643" s="33" t="s">
        <v>15</v>
      </c>
      <c r="I643" s="37" t="s">
        <v>16</v>
      </c>
      <c r="J643" s="38" t="s">
        <v>17</v>
      </c>
      <c r="K643" s="39" t="s">
        <v>18</v>
      </c>
      <c r="L643" s="38" t="s">
        <v>19</v>
      </c>
      <c r="M643" s="38" t="s">
        <v>20</v>
      </c>
      <c r="N643" s="38" t="s">
        <v>21</v>
      </c>
      <c r="O643" s="33" t="s">
        <v>22</v>
      </c>
      <c r="P643" s="34" t="s">
        <v>23</v>
      </c>
      <c r="Q643" s="38" t="s">
        <v>24</v>
      </c>
      <c r="R643" s="33" t="s">
        <v>25</v>
      </c>
    </row>
    <row r="644" spans="1:18" ht="15" customHeight="1">
      <c r="A644" s="8" t="s">
        <v>38</v>
      </c>
      <c r="B644" s="8" t="s">
        <v>39</v>
      </c>
      <c r="C644" s="9">
        <v>0.22916666666666671</v>
      </c>
      <c r="D644" s="8" t="s">
        <v>40</v>
      </c>
      <c r="E644" s="8" t="s">
        <v>107</v>
      </c>
      <c r="F644" s="8" t="s">
        <v>78</v>
      </c>
      <c r="G644" s="297"/>
      <c r="H644" s="10"/>
      <c r="I644" s="11"/>
      <c r="J644" s="11"/>
      <c r="K644" s="11"/>
      <c r="L644" s="11"/>
      <c r="M644" s="11"/>
      <c r="N644" s="11"/>
      <c r="O644" s="12"/>
      <c r="P644" s="11"/>
      <c r="Q644" s="13"/>
      <c r="R644" s="14"/>
    </row>
    <row r="645" spans="1:18" ht="15" customHeight="1">
      <c r="A645" s="15" t="s">
        <v>38</v>
      </c>
      <c r="B645" s="15" t="s">
        <v>39</v>
      </c>
      <c r="C645" s="16">
        <v>0.22916666666666671</v>
      </c>
      <c r="D645" s="15" t="s">
        <v>43</v>
      </c>
      <c r="E645" s="15" t="s">
        <v>108</v>
      </c>
      <c r="F645" s="15" t="s">
        <v>79</v>
      </c>
      <c r="G645" s="298"/>
      <c r="H645" s="10"/>
      <c r="I645" s="11"/>
      <c r="J645" s="11"/>
      <c r="K645" s="11"/>
      <c r="L645" s="11"/>
      <c r="M645" s="11"/>
      <c r="N645" s="11"/>
      <c r="O645" s="12"/>
      <c r="P645" s="11"/>
      <c r="Q645" s="13"/>
      <c r="R645" s="14"/>
    </row>
    <row r="646" spans="1:18" ht="15" customHeight="1">
      <c r="A646" s="15" t="s">
        <v>38</v>
      </c>
      <c r="B646" s="15" t="s">
        <v>39</v>
      </c>
      <c r="C646" s="16">
        <v>0.22916666666666671</v>
      </c>
      <c r="D646" s="15" t="s">
        <v>46</v>
      </c>
      <c r="E646" s="15" t="s">
        <v>108</v>
      </c>
      <c r="F646" s="15" t="s">
        <v>47</v>
      </c>
      <c r="G646" s="298"/>
      <c r="H646" s="10"/>
      <c r="I646" s="11"/>
      <c r="J646" s="11"/>
      <c r="K646" s="11"/>
      <c r="L646" s="11"/>
      <c r="M646" s="11"/>
      <c r="N646" s="11"/>
      <c r="O646" s="12"/>
      <c r="P646" s="11"/>
      <c r="Q646" s="13"/>
      <c r="R646" s="14"/>
    </row>
    <row r="647" spans="1:18" ht="15" customHeight="1">
      <c r="A647" s="17" t="s">
        <v>38</v>
      </c>
      <c r="B647" s="17" t="s">
        <v>87</v>
      </c>
      <c r="C647" s="18">
        <v>6.25E-2</v>
      </c>
      <c r="D647" s="17" t="s">
        <v>40</v>
      </c>
      <c r="E647" s="17" t="s">
        <v>194</v>
      </c>
      <c r="F647" s="17" t="s">
        <v>78</v>
      </c>
      <c r="G647" s="298"/>
      <c r="H647" s="10"/>
      <c r="I647" s="11"/>
      <c r="J647" s="11"/>
      <c r="K647" s="11"/>
      <c r="L647" s="11"/>
      <c r="M647" s="11"/>
      <c r="N647" s="11"/>
      <c r="O647" s="12"/>
      <c r="P647" s="11"/>
      <c r="Q647" s="13"/>
      <c r="R647" s="14"/>
    </row>
    <row r="648" spans="1:18" ht="15" customHeight="1">
      <c r="A648" s="15" t="s">
        <v>38</v>
      </c>
      <c r="B648" s="15" t="s">
        <v>87</v>
      </c>
      <c r="C648" s="16">
        <v>6.25E-2</v>
      </c>
      <c r="D648" s="15" t="s">
        <v>43</v>
      </c>
      <c r="E648" s="15" t="s">
        <v>195</v>
      </c>
      <c r="F648" s="15" t="s">
        <v>79</v>
      </c>
      <c r="G648" s="298"/>
      <c r="H648" s="10"/>
      <c r="I648" s="11"/>
      <c r="J648" s="11"/>
      <c r="K648" s="11"/>
      <c r="L648" s="11"/>
      <c r="M648" s="11"/>
      <c r="N648" s="11"/>
      <c r="O648" s="12"/>
      <c r="P648" s="11"/>
      <c r="Q648" s="13"/>
      <c r="R648" s="14"/>
    </row>
    <row r="649" spans="1:18" ht="15" customHeight="1">
      <c r="A649" s="15" t="s">
        <v>38</v>
      </c>
      <c r="B649" s="15" t="s">
        <v>87</v>
      </c>
      <c r="C649" s="16">
        <v>6.25E-2</v>
      </c>
      <c r="D649" s="15" t="s">
        <v>46</v>
      </c>
      <c r="E649" s="15" t="s">
        <v>195</v>
      </c>
      <c r="F649" s="15" t="s">
        <v>47</v>
      </c>
      <c r="G649" s="298"/>
      <c r="H649" s="10"/>
      <c r="I649" s="11"/>
      <c r="J649" s="11"/>
      <c r="K649" s="11"/>
      <c r="L649" s="11"/>
      <c r="M649" s="11"/>
      <c r="N649" s="11"/>
      <c r="O649" s="12"/>
      <c r="P649" s="11"/>
      <c r="Q649" s="13"/>
      <c r="R649" s="14"/>
    </row>
    <row r="650" spans="1:18" ht="15" customHeight="1">
      <c r="A650" s="19" t="s">
        <v>26</v>
      </c>
      <c r="B650" s="19" t="s">
        <v>27</v>
      </c>
      <c r="C650" s="20">
        <v>0.60763888888888895</v>
      </c>
      <c r="D650" s="19" t="s">
        <v>28</v>
      </c>
      <c r="E650" s="19" t="s">
        <v>103</v>
      </c>
      <c r="F650" s="19" t="s">
        <v>89</v>
      </c>
      <c r="G650" s="298"/>
      <c r="H650" s="10"/>
      <c r="I650" s="11"/>
      <c r="J650" s="11"/>
      <c r="K650" s="11"/>
      <c r="L650" s="11"/>
      <c r="M650" s="11"/>
      <c r="N650" s="11"/>
      <c r="O650" s="12"/>
      <c r="P650" s="11"/>
      <c r="Q650" s="13"/>
      <c r="R650" s="14"/>
    </row>
    <row r="651" spans="1:18" ht="15" customHeight="1">
      <c r="A651" s="15" t="s">
        <v>26</v>
      </c>
      <c r="B651" s="15" t="s">
        <v>27</v>
      </c>
      <c r="C651" s="16">
        <v>0.60763888888888895</v>
      </c>
      <c r="D651" s="15" t="s">
        <v>31</v>
      </c>
      <c r="E651" s="15" t="s">
        <v>99</v>
      </c>
      <c r="F651" s="15" t="s">
        <v>138</v>
      </c>
      <c r="G651" s="298"/>
      <c r="H651" s="10"/>
      <c r="I651" s="11"/>
      <c r="J651" s="11"/>
      <c r="K651" s="11"/>
      <c r="L651" s="11"/>
      <c r="M651" s="11"/>
      <c r="N651" s="11"/>
      <c r="O651" s="12"/>
      <c r="P651" s="11"/>
      <c r="Q651" s="13"/>
      <c r="R651" s="14"/>
    </row>
    <row r="652" spans="1:18" ht="15" customHeight="1">
      <c r="A652" s="15" t="s">
        <v>26</v>
      </c>
      <c r="B652" s="15" t="s">
        <v>27</v>
      </c>
      <c r="C652" s="16">
        <v>0.60763888888888895</v>
      </c>
      <c r="D652" s="15" t="s">
        <v>34</v>
      </c>
      <c r="E652" s="15" t="s">
        <v>99</v>
      </c>
      <c r="F652" s="15" t="s">
        <v>139</v>
      </c>
      <c r="G652" s="298"/>
      <c r="H652" s="10"/>
      <c r="I652" s="11"/>
      <c r="J652" s="11"/>
      <c r="K652" s="11"/>
      <c r="L652" s="11"/>
      <c r="M652" s="11"/>
      <c r="N652" s="11"/>
      <c r="O652" s="12"/>
      <c r="P652" s="11"/>
      <c r="Q652" s="13"/>
      <c r="R652" s="14"/>
    </row>
    <row r="653" spans="1:18" ht="15" customHeight="1">
      <c r="A653" s="17" t="s">
        <v>26</v>
      </c>
      <c r="B653" s="17" t="s">
        <v>36</v>
      </c>
      <c r="C653" s="18">
        <v>0.43402777777777768</v>
      </c>
      <c r="D653" s="17" t="s">
        <v>28</v>
      </c>
      <c r="E653" s="17" t="s">
        <v>37</v>
      </c>
      <c r="F653" s="17" t="s">
        <v>162</v>
      </c>
      <c r="G653" s="298"/>
      <c r="H653" s="10"/>
      <c r="I653" s="11"/>
      <c r="J653" s="11"/>
      <c r="K653" s="11"/>
      <c r="L653" s="11"/>
      <c r="M653" s="11"/>
      <c r="N653" s="11"/>
      <c r="O653" s="12"/>
      <c r="P653" s="11"/>
      <c r="Q653" s="13"/>
      <c r="R653" s="14"/>
    </row>
    <row r="654" spans="1:18" ht="15" customHeight="1">
      <c r="A654" s="15" t="s">
        <v>26</v>
      </c>
      <c r="B654" s="15" t="s">
        <v>36</v>
      </c>
      <c r="C654" s="16">
        <v>0.43402777777777768</v>
      </c>
      <c r="D654" s="15" t="s">
        <v>31</v>
      </c>
      <c r="E654" s="15" t="s">
        <v>32</v>
      </c>
      <c r="F654" s="15" t="s">
        <v>178</v>
      </c>
      <c r="G654" s="298"/>
      <c r="H654" s="10"/>
      <c r="I654" s="11"/>
      <c r="J654" s="11"/>
      <c r="K654" s="11"/>
      <c r="L654" s="11"/>
      <c r="M654" s="11"/>
      <c r="N654" s="11"/>
      <c r="O654" s="12"/>
      <c r="P654" s="11"/>
      <c r="Q654" s="13"/>
      <c r="R654" s="14"/>
    </row>
    <row r="655" spans="1:18" ht="15" customHeight="1">
      <c r="A655" s="15" t="s">
        <v>26</v>
      </c>
      <c r="B655" s="15" t="s">
        <v>36</v>
      </c>
      <c r="C655" s="16">
        <v>0.43402777777777768</v>
      </c>
      <c r="D655" s="15" t="s">
        <v>34</v>
      </c>
      <c r="E655" s="15" t="s">
        <v>32</v>
      </c>
      <c r="F655" s="15" t="s">
        <v>179</v>
      </c>
      <c r="G655" s="298"/>
      <c r="H655" s="10"/>
      <c r="I655" s="11"/>
      <c r="J655" s="11"/>
      <c r="K655" s="11"/>
      <c r="L655" s="11"/>
      <c r="M655" s="11"/>
      <c r="N655" s="11"/>
      <c r="O655" s="12"/>
      <c r="P655" s="11"/>
      <c r="Q655" s="13"/>
      <c r="R655" s="14"/>
    </row>
    <row r="656" spans="1:18" ht="15" customHeight="1">
      <c r="A656" s="21" t="s">
        <v>61</v>
      </c>
      <c r="B656" s="21" t="s">
        <v>62</v>
      </c>
      <c r="C656" s="22">
        <v>0.38194444444444442</v>
      </c>
      <c r="D656" s="21" t="s">
        <v>63</v>
      </c>
      <c r="E656" s="21" t="s">
        <v>51</v>
      </c>
      <c r="F656" s="21" t="s">
        <v>64</v>
      </c>
      <c r="G656" s="298"/>
      <c r="H656" s="23" t="s">
        <v>65</v>
      </c>
      <c r="I656" s="24">
        <v>0</v>
      </c>
      <c r="J656" s="25">
        <v>0</v>
      </c>
      <c r="K656" s="26" t="s">
        <v>66</v>
      </c>
      <c r="L656" s="25">
        <v>0</v>
      </c>
      <c r="M656" s="25">
        <v>0</v>
      </c>
      <c r="N656" s="25">
        <v>0</v>
      </c>
      <c r="O656" s="27" t="s">
        <v>67</v>
      </c>
      <c r="P656" s="28">
        <v>0.38194444444444442</v>
      </c>
      <c r="Q656" s="25">
        <v>180</v>
      </c>
      <c r="R656" s="29" t="s">
        <v>66</v>
      </c>
    </row>
    <row r="657" spans="1:18" ht="15" customHeight="1">
      <c r="A657" s="19" t="s">
        <v>48</v>
      </c>
      <c r="B657" s="19" t="s">
        <v>59</v>
      </c>
      <c r="C657" s="20">
        <v>0.22916666666666671</v>
      </c>
      <c r="D657" s="19" t="s">
        <v>53</v>
      </c>
      <c r="E657" s="19" t="s">
        <v>29</v>
      </c>
      <c r="F657" s="19" t="s">
        <v>93</v>
      </c>
      <c r="G657" s="298"/>
      <c r="H657" s="10"/>
      <c r="I657" s="11"/>
      <c r="J657" s="11"/>
      <c r="K657" s="11"/>
      <c r="L657" s="11"/>
      <c r="M657" s="11"/>
      <c r="N657" s="11"/>
      <c r="O657" s="12"/>
      <c r="P657" s="11"/>
      <c r="Q657" s="13"/>
      <c r="R657" s="14"/>
    </row>
    <row r="658" spans="1:18" ht="15" customHeight="1">
      <c r="A658" s="17" t="s">
        <v>48</v>
      </c>
      <c r="B658" s="17" t="s">
        <v>49</v>
      </c>
      <c r="C658" s="18">
        <v>0.35416666666666669</v>
      </c>
      <c r="D658" s="17" t="s">
        <v>53</v>
      </c>
      <c r="E658" s="17" t="s">
        <v>57</v>
      </c>
      <c r="F658" s="17" t="s">
        <v>176</v>
      </c>
      <c r="G658" s="298"/>
      <c r="H658" s="10"/>
      <c r="I658" s="11"/>
      <c r="J658" s="11"/>
      <c r="K658" s="11"/>
      <c r="L658" s="11"/>
      <c r="M658" s="11"/>
      <c r="N658" s="11"/>
      <c r="O658" s="12"/>
      <c r="P658" s="11"/>
      <c r="Q658" s="13"/>
      <c r="R658" s="14"/>
    </row>
    <row r="659" spans="1:18" ht="15" customHeight="1">
      <c r="A659" s="17" t="s">
        <v>48</v>
      </c>
      <c r="B659" s="17" t="s">
        <v>56</v>
      </c>
      <c r="C659" s="18">
        <v>0.89583333333333337</v>
      </c>
      <c r="D659" s="17" t="s">
        <v>53</v>
      </c>
      <c r="E659" s="17" t="s">
        <v>57</v>
      </c>
      <c r="F659" s="17" t="s">
        <v>176</v>
      </c>
      <c r="G659" s="298"/>
      <c r="H659" s="10"/>
      <c r="I659" s="11"/>
      <c r="J659" s="11"/>
      <c r="K659" s="11"/>
      <c r="L659" s="11"/>
      <c r="M659" s="11"/>
      <c r="N659" s="11"/>
      <c r="O659" s="12"/>
      <c r="P659" s="11"/>
      <c r="Q659" s="13"/>
      <c r="R659" s="14"/>
    </row>
    <row r="660" spans="1:18" ht="15" customHeight="1" thickBot="1">
      <c r="A660" s="30" t="s">
        <v>48</v>
      </c>
      <c r="B660" s="30" t="s">
        <v>58</v>
      </c>
      <c r="C660" s="31">
        <v>0.18402777777777779</v>
      </c>
      <c r="D660" s="30" t="s">
        <v>53</v>
      </c>
      <c r="E660" s="30" t="s">
        <v>57</v>
      </c>
      <c r="F660" s="30" t="s">
        <v>176</v>
      </c>
      <c r="G660" s="299"/>
      <c r="H660" s="300"/>
      <c r="I660" s="140"/>
      <c r="J660" s="140"/>
      <c r="K660" s="140"/>
      <c r="L660" s="140"/>
      <c r="M660" s="140"/>
      <c r="N660" s="140"/>
      <c r="O660" s="141"/>
      <c r="P660" s="140"/>
      <c r="Q660" s="142"/>
      <c r="R660" s="301"/>
    </row>
    <row r="661" spans="1:18" ht="17.45" customHeight="1" thickBot="1">
      <c r="A661" s="283"/>
      <c r="B661" s="284"/>
      <c r="C661" s="284"/>
      <c r="D661" s="284"/>
      <c r="E661" s="284"/>
      <c r="F661" s="284"/>
      <c r="G661" s="284"/>
      <c r="H661" s="284"/>
      <c r="I661" s="284"/>
      <c r="J661" s="284"/>
      <c r="K661" s="284"/>
      <c r="L661" s="284"/>
      <c r="M661" s="284"/>
      <c r="N661" s="284"/>
      <c r="O661" s="284"/>
      <c r="P661" s="284"/>
      <c r="Q661" s="284"/>
      <c r="R661" s="285"/>
    </row>
    <row r="662" spans="1:18" ht="22.15" customHeight="1" thickTop="1" thickBot="1">
      <c r="A662" s="279" t="s">
        <v>6</v>
      </c>
      <c r="B662" s="295"/>
      <c r="C662" s="295"/>
      <c r="D662" s="295"/>
      <c r="E662" s="295"/>
      <c r="F662" s="296"/>
      <c r="G662" s="32">
        <v>46052</v>
      </c>
      <c r="H662" s="278" t="s">
        <v>7</v>
      </c>
      <c r="I662" s="295"/>
      <c r="J662" s="295"/>
      <c r="K662" s="295"/>
      <c r="L662" s="295"/>
      <c r="M662" s="295"/>
      <c r="N662" s="295"/>
      <c r="O662" s="295"/>
      <c r="P662" s="295"/>
      <c r="Q662" s="295"/>
      <c r="R662" s="296"/>
    </row>
    <row r="663" spans="1:18" ht="24" customHeight="1">
      <c r="A663" s="33" t="s">
        <v>8</v>
      </c>
      <c r="B663" s="33" t="s">
        <v>9</v>
      </c>
      <c r="C663" s="34" t="s">
        <v>10</v>
      </c>
      <c r="D663" s="33" t="s">
        <v>11</v>
      </c>
      <c r="E663" s="33" t="s">
        <v>12</v>
      </c>
      <c r="F663" s="35" t="s">
        <v>13</v>
      </c>
      <c r="G663" s="36" t="s">
        <v>14</v>
      </c>
      <c r="H663" s="33" t="s">
        <v>15</v>
      </c>
      <c r="I663" s="37" t="s">
        <v>16</v>
      </c>
      <c r="J663" s="38" t="s">
        <v>17</v>
      </c>
      <c r="K663" s="39" t="s">
        <v>18</v>
      </c>
      <c r="L663" s="38" t="s">
        <v>19</v>
      </c>
      <c r="M663" s="38" t="s">
        <v>20</v>
      </c>
      <c r="N663" s="38" t="s">
        <v>21</v>
      </c>
      <c r="O663" s="33" t="s">
        <v>22</v>
      </c>
      <c r="P663" s="34" t="s">
        <v>23</v>
      </c>
      <c r="Q663" s="38" t="s">
        <v>24</v>
      </c>
      <c r="R663" s="33" t="s">
        <v>25</v>
      </c>
    </row>
    <row r="664" spans="1:18" ht="15" customHeight="1">
      <c r="A664" s="8" t="s">
        <v>38</v>
      </c>
      <c r="B664" s="8" t="s">
        <v>39</v>
      </c>
      <c r="C664" s="9">
        <v>0.22916666666666671</v>
      </c>
      <c r="D664" s="8" t="s">
        <v>40</v>
      </c>
      <c r="E664" s="8" t="s">
        <v>196</v>
      </c>
      <c r="F664" s="8" t="s">
        <v>121</v>
      </c>
      <c r="G664" s="302"/>
      <c r="H664" s="10"/>
      <c r="I664" s="11"/>
      <c r="J664" s="11"/>
      <c r="K664" s="11"/>
      <c r="L664" s="11"/>
      <c r="M664" s="11"/>
      <c r="N664" s="11"/>
      <c r="O664" s="12"/>
      <c r="P664" s="11"/>
      <c r="Q664" s="13"/>
      <c r="R664" s="14"/>
    </row>
    <row r="665" spans="1:18" ht="15" customHeight="1">
      <c r="A665" s="15" t="s">
        <v>38</v>
      </c>
      <c r="B665" s="15" t="s">
        <v>39</v>
      </c>
      <c r="C665" s="16">
        <v>0.22916666666666671</v>
      </c>
      <c r="D665" s="15" t="s">
        <v>43</v>
      </c>
      <c r="E665" s="15" t="s">
        <v>197</v>
      </c>
      <c r="F665" s="15" t="s">
        <v>123</v>
      </c>
      <c r="G665" s="298"/>
      <c r="H665" s="10"/>
      <c r="I665" s="11"/>
      <c r="J665" s="11"/>
      <c r="K665" s="11"/>
      <c r="L665" s="11"/>
      <c r="M665" s="11"/>
      <c r="N665" s="11"/>
      <c r="O665" s="12"/>
      <c r="P665" s="11"/>
      <c r="Q665" s="13"/>
      <c r="R665" s="14"/>
    </row>
    <row r="666" spans="1:18" ht="15" customHeight="1">
      <c r="A666" s="15" t="s">
        <v>38</v>
      </c>
      <c r="B666" s="15" t="s">
        <v>39</v>
      </c>
      <c r="C666" s="16">
        <v>0.22916666666666671</v>
      </c>
      <c r="D666" s="15" t="s">
        <v>46</v>
      </c>
      <c r="E666" s="15" t="s">
        <v>197</v>
      </c>
      <c r="F666" s="15" t="s">
        <v>47</v>
      </c>
      <c r="G666" s="298"/>
      <c r="H666" s="10"/>
      <c r="I666" s="11"/>
      <c r="J666" s="11"/>
      <c r="K666" s="11"/>
      <c r="L666" s="11"/>
      <c r="M666" s="11"/>
      <c r="N666" s="11"/>
      <c r="O666" s="12"/>
      <c r="P666" s="11"/>
      <c r="Q666" s="13"/>
      <c r="R666" s="14"/>
    </row>
    <row r="667" spans="1:18" ht="15" customHeight="1">
      <c r="A667" s="19" t="s">
        <v>26</v>
      </c>
      <c r="B667" s="19" t="s">
        <v>27</v>
      </c>
      <c r="C667" s="20">
        <v>0.60763888888888895</v>
      </c>
      <c r="D667" s="19" t="s">
        <v>28</v>
      </c>
      <c r="E667" s="19" t="s">
        <v>103</v>
      </c>
      <c r="F667" s="19" t="s">
        <v>161</v>
      </c>
      <c r="G667" s="298"/>
      <c r="H667" s="10"/>
      <c r="I667" s="11"/>
      <c r="J667" s="11"/>
      <c r="K667" s="11"/>
      <c r="L667" s="11"/>
      <c r="M667" s="11"/>
      <c r="N667" s="11"/>
      <c r="O667" s="12"/>
      <c r="P667" s="11"/>
      <c r="Q667" s="13"/>
      <c r="R667" s="14"/>
    </row>
    <row r="668" spans="1:18" ht="15" customHeight="1">
      <c r="A668" s="15" t="s">
        <v>26</v>
      </c>
      <c r="B668" s="15" t="s">
        <v>27</v>
      </c>
      <c r="C668" s="16">
        <v>0.60763888888888895</v>
      </c>
      <c r="D668" s="15" t="s">
        <v>31</v>
      </c>
      <c r="E668" s="15" t="s">
        <v>99</v>
      </c>
      <c r="F668" s="15" t="s">
        <v>162</v>
      </c>
      <c r="G668" s="298"/>
      <c r="H668" s="10"/>
      <c r="I668" s="11"/>
      <c r="J668" s="11"/>
      <c r="K668" s="11"/>
      <c r="L668" s="11"/>
      <c r="M668" s="11"/>
      <c r="N668" s="11"/>
      <c r="O668" s="12"/>
      <c r="P668" s="11"/>
      <c r="Q668" s="13"/>
      <c r="R668" s="14"/>
    </row>
    <row r="669" spans="1:18" ht="15" customHeight="1">
      <c r="A669" s="15" t="s">
        <v>26</v>
      </c>
      <c r="B669" s="15" t="s">
        <v>27</v>
      </c>
      <c r="C669" s="16">
        <v>0.60763888888888895</v>
      </c>
      <c r="D669" s="15" t="s">
        <v>34</v>
      </c>
      <c r="E669" s="15" t="s">
        <v>99</v>
      </c>
      <c r="F669" s="15" t="s">
        <v>163</v>
      </c>
      <c r="G669" s="298"/>
      <c r="H669" s="10"/>
      <c r="I669" s="11"/>
      <c r="J669" s="11"/>
      <c r="K669" s="11"/>
      <c r="L669" s="11"/>
      <c r="M669" s="11"/>
      <c r="N669" s="11"/>
      <c r="O669" s="12"/>
      <c r="P669" s="11"/>
      <c r="Q669" s="13"/>
      <c r="R669" s="14"/>
    </row>
    <row r="670" spans="1:18" ht="15" customHeight="1">
      <c r="A670" s="19" t="s">
        <v>68</v>
      </c>
      <c r="B670" s="19" t="s">
        <v>74</v>
      </c>
      <c r="C670" s="20">
        <v>0.33680555555555558</v>
      </c>
      <c r="D670" s="19" t="s">
        <v>70</v>
      </c>
      <c r="E670" s="19" t="s">
        <v>51</v>
      </c>
      <c r="F670" s="19" t="s">
        <v>71</v>
      </c>
      <c r="G670" s="298"/>
      <c r="H670" s="10"/>
      <c r="I670" s="11"/>
      <c r="J670" s="11"/>
      <c r="K670" s="11"/>
      <c r="L670" s="11"/>
      <c r="M670" s="11"/>
      <c r="N670" s="11"/>
      <c r="O670" s="12"/>
      <c r="P670" s="11"/>
      <c r="Q670" s="13"/>
      <c r="R670" s="14"/>
    </row>
    <row r="671" spans="1:18" ht="15" customHeight="1">
      <c r="A671" s="17" t="s">
        <v>68</v>
      </c>
      <c r="B671" s="17" t="s">
        <v>69</v>
      </c>
      <c r="C671" s="18">
        <v>0.94097222222222221</v>
      </c>
      <c r="D671" s="17" t="s">
        <v>70</v>
      </c>
      <c r="E671" s="17" t="s">
        <v>57</v>
      </c>
      <c r="F671" s="17" t="s">
        <v>71</v>
      </c>
      <c r="G671" s="298"/>
      <c r="H671" s="10"/>
      <c r="I671" s="11"/>
      <c r="J671" s="11"/>
      <c r="K671" s="11"/>
      <c r="L671" s="11"/>
      <c r="M671" s="11"/>
      <c r="N671" s="11"/>
      <c r="O671" s="12"/>
      <c r="P671" s="11"/>
      <c r="Q671" s="13"/>
      <c r="R671" s="14"/>
    </row>
    <row r="672" spans="1:18" ht="15" customHeight="1">
      <c r="A672" s="17" t="s">
        <v>68</v>
      </c>
      <c r="B672" s="17" t="s">
        <v>76</v>
      </c>
      <c r="C672" s="18">
        <v>0.69791666666666663</v>
      </c>
      <c r="D672" s="17" t="s">
        <v>70</v>
      </c>
      <c r="E672" s="17" t="s">
        <v>57</v>
      </c>
      <c r="F672" s="17" t="s">
        <v>185</v>
      </c>
      <c r="G672" s="298"/>
      <c r="H672" s="10"/>
      <c r="I672" s="11"/>
      <c r="J672" s="11"/>
      <c r="K672" s="11"/>
      <c r="L672" s="11"/>
      <c r="M672" s="11"/>
      <c r="N672" s="11"/>
      <c r="O672" s="12"/>
      <c r="P672" s="11"/>
      <c r="Q672" s="13"/>
      <c r="R672" s="14"/>
    </row>
    <row r="673" spans="1:18" ht="15" customHeight="1">
      <c r="A673" s="17" t="s">
        <v>68</v>
      </c>
      <c r="B673" s="17" t="s">
        <v>73</v>
      </c>
      <c r="C673" s="18">
        <v>0.28819444444444448</v>
      </c>
      <c r="D673" s="17" t="s">
        <v>70</v>
      </c>
      <c r="E673" s="17" t="s">
        <v>57</v>
      </c>
      <c r="F673" s="17" t="s">
        <v>185</v>
      </c>
      <c r="G673" s="298"/>
      <c r="H673" s="10"/>
      <c r="I673" s="11"/>
      <c r="J673" s="11"/>
      <c r="K673" s="11"/>
      <c r="L673" s="11"/>
      <c r="M673" s="11"/>
      <c r="N673" s="11"/>
      <c r="O673" s="12"/>
      <c r="P673" s="11"/>
      <c r="Q673" s="13"/>
      <c r="R673" s="14"/>
    </row>
    <row r="674" spans="1:18" ht="15" customHeight="1">
      <c r="A674" s="17" t="s">
        <v>68</v>
      </c>
      <c r="B674" s="17" t="s">
        <v>72</v>
      </c>
      <c r="C674" s="18">
        <v>6.5972222222222224E-2</v>
      </c>
      <c r="D674" s="17" t="s">
        <v>70</v>
      </c>
      <c r="E674" s="17" t="s">
        <v>57</v>
      </c>
      <c r="F674" s="17" t="s">
        <v>169</v>
      </c>
      <c r="G674" s="298"/>
      <c r="H674" s="10"/>
      <c r="I674" s="11"/>
      <c r="J674" s="11"/>
      <c r="K674" s="11"/>
      <c r="L674" s="11"/>
      <c r="M674" s="11"/>
      <c r="N674" s="11"/>
      <c r="O674" s="12"/>
      <c r="P674" s="11"/>
      <c r="Q674" s="13"/>
      <c r="R674" s="14"/>
    </row>
    <row r="675" spans="1:18" ht="15" customHeight="1">
      <c r="A675" s="19" t="s">
        <v>48</v>
      </c>
      <c r="B675" s="19" t="s">
        <v>59</v>
      </c>
      <c r="C675" s="20">
        <v>0.22916666666666671</v>
      </c>
      <c r="D675" s="19" t="s">
        <v>53</v>
      </c>
      <c r="E675" s="19" t="s">
        <v>29</v>
      </c>
      <c r="F675" s="19" t="s">
        <v>124</v>
      </c>
      <c r="G675" s="298"/>
      <c r="H675" s="10"/>
      <c r="I675" s="11"/>
      <c r="J675" s="11"/>
      <c r="K675" s="11"/>
      <c r="L675" s="11"/>
      <c r="M675" s="11"/>
      <c r="N675" s="11"/>
      <c r="O675" s="12"/>
      <c r="P675" s="11"/>
      <c r="Q675" s="13"/>
      <c r="R675" s="14"/>
    </row>
    <row r="676" spans="1:18" ht="15" customHeight="1">
      <c r="A676" s="17" t="s">
        <v>48</v>
      </c>
      <c r="B676" s="17" t="s">
        <v>49</v>
      </c>
      <c r="C676" s="18">
        <v>0.35069444444444442</v>
      </c>
      <c r="D676" s="17" t="s">
        <v>53</v>
      </c>
      <c r="E676" s="17" t="s">
        <v>57</v>
      </c>
      <c r="F676" s="17" t="s">
        <v>176</v>
      </c>
      <c r="G676" s="298"/>
      <c r="H676" s="10"/>
      <c r="I676" s="11"/>
      <c r="J676" s="11"/>
      <c r="K676" s="11"/>
      <c r="L676" s="11"/>
      <c r="M676" s="11"/>
      <c r="N676" s="11"/>
      <c r="O676" s="12"/>
      <c r="P676" s="11"/>
      <c r="Q676" s="13"/>
      <c r="R676" s="14"/>
    </row>
    <row r="677" spans="1:18" ht="15" customHeight="1">
      <c r="A677" s="17" t="s">
        <v>48</v>
      </c>
      <c r="B677" s="17" t="s">
        <v>56</v>
      </c>
      <c r="C677" s="18">
        <v>0.89583333333333337</v>
      </c>
      <c r="D677" s="17" t="s">
        <v>53</v>
      </c>
      <c r="E677" s="17" t="s">
        <v>57</v>
      </c>
      <c r="F677" s="17" t="s">
        <v>176</v>
      </c>
      <c r="G677" s="298"/>
      <c r="H677" s="10"/>
      <c r="I677" s="11"/>
      <c r="J677" s="11"/>
      <c r="K677" s="11"/>
      <c r="L677" s="11"/>
      <c r="M677" s="11"/>
      <c r="N677" s="11"/>
      <c r="O677" s="12"/>
      <c r="P677" s="11"/>
      <c r="Q677" s="13"/>
      <c r="R677" s="14"/>
    </row>
    <row r="678" spans="1:18" ht="15" customHeight="1" thickBot="1">
      <c r="A678" s="30" t="s">
        <v>48</v>
      </c>
      <c r="B678" s="30" t="s">
        <v>58</v>
      </c>
      <c r="C678" s="31">
        <v>0.18402777777777779</v>
      </c>
      <c r="D678" s="30" t="s">
        <v>53</v>
      </c>
      <c r="E678" s="30" t="s">
        <v>57</v>
      </c>
      <c r="F678" s="30" t="s">
        <v>176</v>
      </c>
      <c r="G678" s="299"/>
      <c r="H678" s="300"/>
      <c r="I678" s="140"/>
      <c r="J678" s="140"/>
      <c r="K678" s="140"/>
      <c r="L678" s="140"/>
      <c r="M678" s="140"/>
      <c r="N678" s="140"/>
      <c r="O678" s="141"/>
      <c r="P678" s="140"/>
      <c r="Q678" s="142"/>
      <c r="R678" s="301"/>
    </row>
    <row r="679" spans="1:18" ht="17.45" customHeight="1" thickBot="1">
      <c r="A679" s="283"/>
      <c r="B679" s="284"/>
      <c r="C679" s="284"/>
      <c r="D679" s="284"/>
      <c r="E679" s="284"/>
      <c r="F679" s="284"/>
      <c r="G679" s="284"/>
      <c r="H679" s="284"/>
      <c r="I679" s="284"/>
      <c r="J679" s="284"/>
      <c r="K679" s="284"/>
      <c r="L679" s="284"/>
      <c r="M679" s="284"/>
      <c r="N679" s="284"/>
      <c r="O679" s="284"/>
      <c r="P679" s="284"/>
      <c r="Q679" s="284"/>
      <c r="R679" s="285"/>
    </row>
    <row r="680" spans="1:18" ht="22.15" customHeight="1" thickTop="1" thickBot="1">
      <c r="A680" s="279" t="s">
        <v>6</v>
      </c>
      <c r="B680" s="295"/>
      <c r="C680" s="295"/>
      <c r="D680" s="295"/>
      <c r="E680" s="295"/>
      <c r="F680" s="296"/>
      <c r="G680" s="32">
        <v>46053</v>
      </c>
      <c r="H680" s="278" t="s">
        <v>7</v>
      </c>
      <c r="I680" s="295"/>
      <c r="J680" s="295"/>
      <c r="K680" s="295"/>
      <c r="L680" s="295"/>
      <c r="M680" s="295"/>
      <c r="N680" s="295"/>
      <c r="O680" s="295"/>
      <c r="P680" s="295"/>
      <c r="Q680" s="295"/>
      <c r="R680" s="296"/>
    </row>
    <row r="681" spans="1:18" ht="24" customHeight="1">
      <c r="A681" s="33" t="s">
        <v>8</v>
      </c>
      <c r="B681" s="33" t="s">
        <v>9</v>
      </c>
      <c r="C681" s="34" t="s">
        <v>10</v>
      </c>
      <c r="D681" s="33" t="s">
        <v>11</v>
      </c>
      <c r="E681" s="33" t="s">
        <v>12</v>
      </c>
      <c r="F681" s="35" t="s">
        <v>13</v>
      </c>
      <c r="G681" s="36" t="s">
        <v>14</v>
      </c>
      <c r="H681" s="33" t="s">
        <v>15</v>
      </c>
      <c r="I681" s="37" t="s">
        <v>16</v>
      </c>
      <c r="J681" s="38" t="s">
        <v>17</v>
      </c>
      <c r="K681" s="39" t="s">
        <v>18</v>
      </c>
      <c r="L681" s="38" t="s">
        <v>19</v>
      </c>
      <c r="M681" s="38" t="s">
        <v>20</v>
      </c>
      <c r="N681" s="38" t="s">
        <v>21</v>
      </c>
      <c r="O681" s="33" t="s">
        <v>22</v>
      </c>
      <c r="P681" s="34" t="s">
        <v>23</v>
      </c>
      <c r="Q681" s="38" t="s">
        <v>24</v>
      </c>
      <c r="R681" s="33" t="s">
        <v>25</v>
      </c>
    </row>
    <row r="682" spans="1:18" ht="15" customHeight="1">
      <c r="A682" s="8" t="s">
        <v>38</v>
      </c>
      <c r="B682" s="8" t="s">
        <v>39</v>
      </c>
      <c r="C682" s="9">
        <v>0.22916666666666671</v>
      </c>
      <c r="D682" s="8" t="s">
        <v>40</v>
      </c>
      <c r="E682" s="8" t="s">
        <v>198</v>
      </c>
      <c r="F682" s="8" t="s">
        <v>78</v>
      </c>
      <c r="G682" s="302"/>
      <c r="H682" s="10"/>
      <c r="I682" s="11"/>
      <c r="J682" s="11"/>
      <c r="K682" s="11"/>
      <c r="L682" s="11"/>
      <c r="M682" s="11"/>
      <c r="N682" s="11"/>
      <c r="O682" s="12"/>
      <c r="P682" s="11"/>
      <c r="Q682" s="13"/>
      <c r="R682" s="14"/>
    </row>
    <row r="683" spans="1:18" ht="15" customHeight="1">
      <c r="A683" s="15" t="s">
        <v>38</v>
      </c>
      <c r="B683" s="15" t="s">
        <v>39</v>
      </c>
      <c r="C683" s="16">
        <v>0.22916666666666671</v>
      </c>
      <c r="D683" s="15" t="s">
        <v>43</v>
      </c>
      <c r="E683" s="15" t="s">
        <v>199</v>
      </c>
      <c r="F683" s="15" t="s">
        <v>79</v>
      </c>
      <c r="G683" s="298"/>
      <c r="H683" s="10"/>
      <c r="I683" s="11"/>
      <c r="J683" s="11"/>
      <c r="K683" s="11"/>
      <c r="L683" s="11"/>
      <c r="M683" s="11"/>
      <c r="N683" s="11"/>
      <c r="O683" s="12"/>
      <c r="P683" s="11"/>
      <c r="Q683" s="13"/>
      <c r="R683" s="14"/>
    </row>
    <row r="684" spans="1:18" ht="15" customHeight="1">
      <c r="A684" s="15" t="s">
        <v>38</v>
      </c>
      <c r="B684" s="15" t="s">
        <v>39</v>
      </c>
      <c r="C684" s="16">
        <v>0.22916666666666671</v>
      </c>
      <c r="D684" s="15" t="s">
        <v>46</v>
      </c>
      <c r="E684" s="15" t="s">
        <v>199</v>
      </c>
      <c r="F684" s="15" t="s">
        <v>47</v>
      </c>
      <c r="G684" s="298"/>
      <c r="H684" s="10"/>
      <c r="I684" s="11"/>
      <c r="J684" s="11"/>
      <c r="K684" s="11"/>
      <c r="L684" s="11"/>
      <c r="M684" s="11"/>
      <c r="N684" s="11"/>
      <c r="O684" s="12"/>
      <c r="P684" s="11"/>
      <c r="Q684" s="13"/>
      <c r="R684" s="14"/>
    </row>
    <row r="685" spans="1:18" ht="15" customHeight="1">
      <c r="A685" s="17" t="s">
        <v>38</v>
      </c>
      <c r="B685" s="17" t="s">
        <v>87</v>
      </c>
      <c r="C685" s="18">
        <v>6.25E-2</v>
      </c>
      <c r="D685" s="17" t="s">
        <v>40</v>
      </c>
      <c r="E685" s="17" t="s">
        <v>125</v>
      </c>
      <c r="F685" s="17" t="s">
        <v>78</v>
      </c>
      <c r="G685" s="298"/>
      <c r="H685" s="10"/>
      <c r="I685" s="11"/>
      <c r="J685" s="11"/>
      <c r="K685" s="11"/>
      <c r="L685" s="11"/>
      <c r="M685" s="11"/>
      <c r="N685" s="11"/>
      <c r="O685" s="12"/>
      <c r="P685" s="11"/>
      <c r="Q685" s="13"/>
      <c r="R685" s="14"/>
    </row>
    <row r="686" spans="1:18" ht="15" customHeight="1">
      <c r="A686" s="15" t="s">
        <v>38</v>
      </c>
      <c r="B686" s="15" t="s">
        <v>87</v>
      </c>
      <c r="C686" s="16">
        <v>6.25E-2</v>
      </c>
      <c r="D686" s="15" t="s">
        <v>43</v>
      </c>
      <c r="E686" s="15" t="s">
        <v>44</v>
      </c>
      <c r="F686" s="15" t="s">
        <v>79</v>
      </c>
      <c r="G686" s="298"/>
      <c r="H686" s="10"/>
      <c r="I686" s="11"/>
      <c r="J686" s="11"/>
      <c r="K686" s="11"/>
      <c r="L686" s="11"/>
      <c r="M686" s="11"/>
      <c r="N686" s="11"/>
      <c r="O686" s="12"/>
      <c r="P686" s="11"/>
      <c r="Q686" s="13"/>
      <c r="R686" s="14"/>
    </row>
    <row r="687" spans="1:18" ht="15" customHeight="1">
      <c r="A687" s="15" t="s">
        <v>38</v>
      </c>
      <c r="B687" s="15" t="s">
        <v>87</v>
      </c>
      <c r="C687" s="16">
        <v>6.25E-2</v>
      </c>
      <c r="D687" s="15" t="s">
        <v>46</v>
      </c>
      <c r="E687" s="15" t="s">
        <v>44</v>
      </c>
      <c r="F687" s="15" t="s">
        <v>47</v>
      </c>
      <c r="G687" s="298"/>
      <c r="H687" s="10"/>
      <c r="I687" s="11"/>
      <c r="J687" s="11"/>
      <c r="K687" s="11"/>
      <c r="L687" s="11"/>
      <c r="M687" s="11"/>
      <c r="N687" s="11"/>
      <c r="O687" s="12"/>
      <c r="P687" s="11"/>
      <c r="Q687" s="13"/>
      <c r="R687" s="14"/>
    </row>
    <row r="688" spans="1:18" ht="15" customHeight="1">
      <c r="A688" s="19" t="s">
        <v>26</v>
      </c>
      <c r="B688" s="19" t="s">
        <v>27</v>
      </c>
      <c r="C688" s="20">
        <v>0.60763888888888895</v>
      </c>
      <c r="D688" s="19" t="s">
        <v>28</v>
      </c>
      <c r="E688" s="19" t="s">
        <v>29</v>
      </c>
      <c r="F688" s="19" t="s">
        <v>89</v>
      </c>
      <c r="G688" s="298"/>
      <c r="H688" s="10"/>
      <c r="I688" s="11"/>
      <c r="J688" s="11"/>
      <c r="K688" s="11"/>
      <c r="L688" s="11"/>
      <c r="M688" s="11"/>
      <c r="N688" s="11"/>
      <c r="O688" s="12"/>
      <c r="P688" s="11"/>
      <c r="Q688" s="13"/>
      <c r="R688" s="14"/>
    </row>
    <row r="689" spans="1:18" ht="15" customHeight="1">
      <c r="A689" s="15" t="s">
        <v>26</v>
      </c>
      <c r="B689" s="15" t="s">
        <v>27</v>
      </c>
      <c r="C689" s="16">
        <v>0.60763888888888895</v>
      </c>
      <c r="D689" s="15" t="s">
        <v>31</v>
      </c>
      <c r="E689" s="15" t="s">
        <v>32</v>
      </c>
      <c r="F689" s="15" t="s">
        <v>138</v>
      </c>
      <c r="G689" s="298"/>
      <c r="H689" s="10"/>
      <c r="I689" s="11"/>
      <c r="J689" s="11"/>
      <c r="K689" s="11"/>
      <c r="L689" s="11"/>
      <c r="M689" s="11"/>
      <c r="N689" s="11"/>
      <c r="O689" s="12"/>
      <c r="P689" s="11"/>
      <c r="Q689" s="13"/>
      <c r="R689" s="14"/>
    </row>
    <row r="690" spans="1:18" ht="15" customHeight="1">
      <c r="A690" s="15" t="s">
        <v>26</v>
      </c>
      <c r="B690" s="15" t="s">
        <v>27</v>
      </c>
      <c r="C690" s="16">
        <v>0.60763888888888895</v>
      </c>
      <c r="D690" s="15" t="s">
        <v>34</v>
      </c>
      <c r="E690" s="15" t="s">
        <v>32</v>
      </c>
      <c r="F690" s="15" t="s">
        <v>139</v>
      </c>
      <c r="G690" s="298"/>
      <c r="H690" s="10"/>
      <c r="I690" s="11"/>
      <c r="J690" s="11"/>
      <c r="K690" s="11"/>
      <c r="L690" s="11"/>
      <c r="M690" s="11"/>
      <c r="N690" s="11"/>
      <c r="O690" s="12"/>
      <c r="P690" s="11"/>
      <c r="Q690" s="13"/>
      <c r="R690" s="14"/>
    </row>
    <row r="691" spans="1:18" ht="15" customHeight="1">
      <c r="A691" s="17" t="s">
        <v>26</v>
      </c>
      <c r="B691" s="17" t="s">
        <v>36</v>
      </c>
      <c r="C691" s="18">
        <v>0.43402777777777768</v>
      </c>
      <c r="D691" s="17" t="s">
        <v>28</v>
      </c>
      <c r="E691" s="17" t="s">
        <v>200</v>
      </c>
      <c r="F691" s="17" t="s">
        <v>89</v>
      </c>
      <c r="G691" s="298"/>
      <c r="H691" s="10"/>
      <c r="I691" s="11"/>
      <c r="J691" s="11"/>
      <c r="K691" s="11"/>
      <c r="L691" s="11"/>
      <c r="M691" s="11"/>
      <c r="N691" s="11"/>
      <c r="O691" s="12"/>
      <c r="P691" s="11"/>
      <c r="Q691" s="13"/>
      <c r="R691" s="14"/>
    </row>
    <row r="692" spans="1:18" ht="15" customHeight="1">
      <c r="A692" s="15" t="s">
        <v>26</v>
      </c>
      <c r="B692" s="15" t="s">
        <v>36</v>
      </c>
      <c r="C692" s="16">
        <v>0.43402777777777768</v>
      </c>
      <c r="D692" s="15" t="s">
        <v>31</v>
      </c>
      <c r="E692" s="15" t="s">
        <v>127</v>
      </c>
      <c r="F692" s="15" t="s">
        <v>138</v>
      </c>
      <c r="G692" s="298"/>
      <c r="H692" s="10"/>
      <c r="I692" s="11"/>
      <c r="J692" s="11"/>
      <c r="K692" s="11"/>
      <c r="L692" s="11"/>
      <c r="M692" s="11"/>
      <c r="N692" s="11"/>
      <c r="O692" s="12"/>
      <c r="P692" s="11"/>
      <c r="Q692" s="13"/>
      <c r="R692" s="14"/>
    </row>
    <row r="693" spans="1:18" ht="15" customHeight="1">
      <c r="A693" s="15" t="s">
        <v>26</v>
      </c>
      <c r="B693" s="15" t="s">
        <v>36</v>
      </c>
      <c r="C693" s="16">
        <v>0.43402777777777768</v>
      </c>
      <c r="D693" s="15" t="s">
        <v>34</v>
      </c>
      <c r="E693" s="15" t="s">
        <v>127</v>
      </c>
      <c r="F693" s="15" t="s">
        <v>139</v>
      </c>
      <c r="G693" s="298"/>
      <c r="H693" s="10"/>
      <c r="I693" s="11"/>
      <c r="J693" s="11"/>
      <c r="K693" s="11"/>
      <c r="L693" s="11"/>
      <c r="M693" s="11"/>
      <c r="N693" s="11"/>
      <c r="O693" s="12"/>
      <c r="P693" s="11"/>
      <c r="Q693" s="13"/>
      <c r="R693" s="14"/>
    </row>
    <row r="694" spans="1:18" ht="15" customHeight="1">
      <c r="A694" s="87" t="s">
        <v>61</v>
      </c>
      <c r="B694" s="87" t="s">
        <v>62</v>
      </c>
      <c r="C694" s="88">
        <v>0.2361111111111111</v>
      </c>
      <c r="D694" s="87" t="s">
        <v>63</v>
      </c>
      <c r="E694" s="87" t="s">
        <v>51</v>
      </c>
      <c r="F694" s="87" t="s">
        <v>64</v>
      </c>
      <c r="G694" s="298"/>
      <c r="H694" s="89" t="s">
        <v>65</v>
      </c>
      <c r="I694" s="90">
        <v>0</v>
      </c>
      <c r="J694" s="91">
        <v>0</v>
      </c>
      <c r="K694" s="92" t="s">
        <v>66</v>
      </c>
      <c r="L694" s="91">
        <v>0</v>
      </c>
      <c r="M694" s="91">
        <v>0</v>
      </c>
      <c r="N694" s="91">
        <v>0</v>
      </c>
      <c r="O694" s="93" t="s">
        <v>67</v>
      </c>
      <c r="P694" s="94">
        <v>0.2361111111111111</v>
      </c>
      <c r="Q694" s="91">
        <v>180</v>
      </c>
      <c r="R694" s="95" t="s">
        <v>66</v>
      </c>
    </row>
    <row r="695" spans="1:18" ht="15" customHeight="1">
      <c r="A695" s="19" t="s">
        <v>68</v>
      </c>
      <c r="B695" s="19" t="s">
        <v>69</v>
      </c>
      <c r="C695" s="20">
        <v>0.94097222222222221</v>
      </c>
      <c r="D695" s="19" t="s">
        <v>70</v>
      </c>
      <c r="E695" s="19" t="s">
        <v>51</v>
      </c>
      <c r="F695" s="19" t="s">
        <v>71</v>
      </c>
      <c r="G695" s="298"/>
      <c r="H695" s="10"/>
      <c r="I695" s="11"/>
      <c r="J695" s="11"/>
      <c r="K695" s="11"/>
      <c r="L695" s="11"/>
      <c r="M695" s="11"/>
      <c r="N695" s="11"/>
      <c r="O695" s="12"/>
      <c r="P695" s="11"/>
      <c r="Q695" s="13"/>
      <c r="R695" s="14"/>
    </row>
    <row r="696" spans="1:18" ht="15" customHeight="1">
      <c r="A696" s="17" t="s">
        <v>68</v>
      </c>
      <c r="B696" s="17" t="s">
        <v>76</v>
      </c>
      <c r="C696" s="18">
        <v>0.69791666666666663</v>
      </c>
      <c r="D696" s="17" t="s">
        <v>70</v>
      </c>
      <c r="E696" s="17" t="s">
        <v>57</v>
      </c>
      <c r="F696" s="17" t="s">
        <v>71</v>
      </c>
      <c r="G696" s="298"/>
      <c r="H696" s="10"/>
      <c r="I696" s="11"/>
      <c r="J696" s="11"/>
      <c r="K696" s="11"/>
      <c r="L696" s="11"/>
      <c r="M696" s="11"/>
      <c r="N696" s="11"/>
      <c r="O696" s="12"/>
      <c r="P696" s="11"/>
      <c r="Q696" s="13"/>
      <c r="R696" s="14"/>
    </row>
    <row r="697" spans="1:18" ht="15" customHeight="1">
      <c r="A697" s="17" t="s">
        <v>68</v>
      </c>
      <c r="B697" s="17" t="s">
        <v>72</v>
      </c>
      <c r="C697" s="18">
        <v>6.5972222222222224E-2</v>
      </c>
      <c r="D697" s="17" t="s">
        <v>70</v>
      </c>
      <c r="E697" s="17" t="s">
        <v>57</v>
      </c>
      <c r="F697" s="17" t="s">
        <v>71</v>
      </c>
      <c r="G697" s="298"/>
      <c r="H697" s="10"/>
      <c r="I697" s="11"/>
      <c r="J697" s="11"/>
      <c r="K697" s="11"/>
      <c r="L697" s="11"/>
      <c r="M697" s="11"/>
      <c r="N697" s="11"/>
      <c r="O697" s="12"/>
      <c r="P697" s="11"/>
      <c r="Q697" s="13"/>
      <c r="R697" s="14"/>
    </row>
    <row r="698" spans="1:18" ht="15" customHeight="1">
      <c r="A698" s="17" t="s">
        <v>68</v>
      </c>
      <c r="B698" s="17" t="s">
        <v>73</v>
      </c>
      <c r="C698" s="18">
        <v>0.28819444444444448</v>
      </c>
      <c r="D698" s="17" t="s">
        <v>70</v>
      </c>
      <c r="E698" s="17" t="s">
        <v>57</v>
      </c>
      <c r="F698" s="17" t="s">
        <v>71</v>
      </c>
      <c r="G698" s="298"/>
      <c r="H698" s="10"/>
      <c r="I698" s="11"/>
      <c r="J698" s="11"/>
      <c r="K698" s="11"/>
      <c r="L698" s="11"/>
      <c r="M698" s="11"/>
      <c r="N698" s="11"/>
      <c r="O698" s="12"/>
      <c r="P698" s="11"/>
      <c r="Q698" s="13"/>
      <c r="R698" s="14"/>
    </row>
    <row r="699" spans="1:18" ht="15" customHeight="1">
      <c r="A699" s="17" t="s">
        <v>68</v>
      </c>
      <c r="B699" s="17" t="s">
        <v>74</v>
      </c>
      <c r="C699" s="18">
        <v>0.33680555555555558</v>
      </c>
      <c r="D699" s="17" t="s">
        <v>70</v>
      </c>
      <c r="E699" s="17" t="s">
        <v>57</v>
      </c>
      <c r="F699" s="17" t="s">
        <v>180</v>
      </c>
      <c r="G699" s="298"/>
      <c r="H699" s="10"/>
      <c r="I699" s="11"/>
      <c r="J699" s="11"/>
      <c r="K699" s="11"/>
      <c r="L699" s="11"/>
      <c r="M699" s="11"/>
      <c r="N699" s="11"/>
      <c r="O699" s="12"/>
      <c r="P699" s="11"/>
      <c r="Q699" s="13"/>
      <c r="R699" s="14"/>
    </row>
    <row r="700" spans="1:18" ht="15" customHeight="1">
      <c r="A700" s="19" t="s">
        <v>48</v>
      </c>
      <c r="B700" s="19" t="s">
        <v>59</v>
      </c>
      <c r="C700" s="20">
        <v>0.22916666666666671</v>
      </c>
      <c r="D700" s="19" t="s">
        <v>53</v>
      </c>
      <c r="E700" s="19" t="s">
        <v>29</v>
      </c>
      <c r="F700" s="19" t="s">
        <v>93</v>
      </c>
      <c r="G700" s="298"/>
      <c r="H700" s="10"/>
      <c r="I700" s="11"/>
      <c r="J700" s="11"/>
      <c r="K700" s="11"/>
      <c r="L700" s="11"/>
      <c r="M700" s="11"/>
      <c r="N700" s="11"/>
      <c r="O700" s="12"/>
      <c r="P700" s="11"/>
      <c r="Q700" s="13"/>
      <c r="R700" s="14"/>
    </row>
    <row r="701" spans="1:18" ht="15" customHeight="1">
      <c r="A701" s="17" t="s">
        <v>48</v>
      </c>
      <c r="B701" s="17" t="s">
        <v>49</v>
      </c>
      <c r="C701" s="18">
        <v>0.35416666666666669</v>
      </c>
      <c r="D701" s="17" t="s">
        <v>53</v>
      </c>
      <c r="E701" s="17" t="s">
        <v>57</v>
      </c>
      <c r="F701" s="17" t="s">
        <v>176</v>
      </c>
      <c r="G701" s="298"/>
      <c r="H701" s="10"/>
      <c r="I701" s="11"/>
      <c r="J701" s="11"/>
      <c r="K701" s="11"/>
      <c r="L701" s="11"/>
      <c r="M701" s="11"/>
      <c r="N701" s="11"/>
      <c r="O701" s="12"/>
      <c r="P701" s="11"/>
      <c r="Q701" s="13"/>
      <c r="R701" s="14"/>
    </row>
    <row r="702" spans="1:18" ht="15" customHeight="1">
      <c r="A702" s="17" t="s">
        <v>48</v>
      </c>
      <c r="B702" s="17" t="s">
        <v>56</v>
      </c>
      <c r="C702" s="18">
        <v>0.89583333333333337</v>
      </c>
      <c r="D702" s="17" t="s">
        <v>53</v>
      </c>
      <c r="E702" s="17" t="s">
        <v>57</v>
      </c>
      <c r="F702" s="17" t="s">
        <v>176</v>
      </c>
      <c r="G702" s="298"/>
      <c r="H702" s="10"/>
      <c r="I702" s="11"/>
      <c r="J702" s="11"/>
      <c r="K702" s="11"/>
      <c r="L702" s="11"/>
      <c r="M702" s="11"/>
      <c r="N702" s="11"/>
      <c r="O702" s="12"/>
      <c r="P702" s="11"/>
      <c r="Q702" s="13"/>
      <c r="R702" s="14"/>
    </row>
    <row r="703" spans="1:18" ht="15" customHeight="1">
      <c r="A703" s="30" t="s">
        <v>48</v>
      </c>
      <c r="B703" s="30" t="s">
        <v>58</v>
      </c>
      <c r="C703" s="31">
        <v>0.18402777777777779</v>
      </c>
      <c r="D703" s="30" t="s">
        <v>53</v>
      </c>
      <c r="E703" s="30" t="s">
        <v>57</v>
      </c>
      <c r="F703" s="30" t="s">
        <v>176</v>
      </c>
      <c r="G703" s="299"/>
      <c r="H703" s="300"/>
      <c r="I703" s="140"/>
      <c r="J703" s="140"/>
      <c r="K703" s="140"/>
      <c r="L703" s="140"/>
      <c r="M703" s="140"/>
      <c r="N703" s="140"/>
      <c r="O703" s="141"/>
      <c r="P703" s="140"/>
      <c r="Q703" s="142"/>
      <c r="R703" s="301"/>
    </row>
  </sheetData>
  <mergeCells count="130">
    <mergeCell ref="G682:G703"/>
    <mergeCell ref="A292:R292"/>
    <mergeCell ref="A317:F317"/>
    <mergeCell ref="H1:L1"/>
    <mergeCell ref="A1:E1"/>
    <mergeCell ref="H168:R168"/>
    <mergeCell ref="G6:G27"/>
    <mergeCell ref="H624:R624"/>
    <mergeCell ref="A47:F47"/>
    <mergeCell ref="A72:F72"/>
    <mergeCell ref="A29:F29"/>
    <mergeCell ref="A495:R495"/>
    <mergeCell ref="H365:R365"/>
    <mergeCell ref="A215:R215"/>
    <mergeCell ref="H266:R266"/>
    <mergeCell ref="A28:R28"/>
    <mergeCell ref="G74:G92"/>
    <mergeCell ref="H72:R72"/>
    <mergeCell ref="A534:F534"/>
    <mergeCell ref="A167:R167"/>
    <mergeCell ref="A266:F266"/>
    <mergeCell ref="G31:G45"/>
    <mergeCell ref="H558:R558"/>
    <mergeCell ref="A516:R516"/>
    <mergeCell ref="A316:R316"/>
    <mergeCell ref="H244:R244"/>
    <mergeCell ref="A46:R46"/>
    <mergeCell ref="A557:R557"/>
    <mergeCell ref="A453:R453"/>
    <mergeCell ref="A577:F577"/>
    <mergeCell ref="A195:F195"/>
    <mergeCell ref="G295:G315"/>
    <mergeCell ref="A426:R426"/>
    <mergeCell ref="G218:G242"/>
    <mergeCell ref="A364:R364"/>
    <mergeCell ref="H454:R454"/>
    <mergeCell ref="G367:G381"/>
    <mergeCell ref="A478:R478"/>
    <mergeCell ref="H337:R337"/>
    <mergeCell ref="A243:R243"/>
    <mergeCell ref="G2:J2"/>
    <mergeCell ref="A244:F244"/>
    <mergeCell ref="A2:F2"/>
    <mergeCell ref="G124:G145"/>
    <mergeCell ref="A679:R679"/>
    <mergeCell ref="A71:R71"/>
    <mergeCell ref="A194:R194"/>
    <mergeCell ref="H577:R577"/>
    <mergeCell ref="A641:R641"/>
    <mergeCell ref="A122:F122"/>
    <mergeCell ref="H496:R496"/>
    <mergeCell ref="H383:R383"/>
    <mergeCell ref="H94:R94"/>
    <mergeCell ref="A662:F662"/>
    <mergeCell ref="A336:R336"/>
    <mergeCell ref="A407:R407"/>
    <mergeCell ref="A93:R93"/>
    <mergeCell ref="A661:R661"/>
    <mergeCell ref="H317:R317"/>
    <mergeCell ref="H602:R602"/>
    <mergeCell ref="A216:F216"/>
    <mergeCell ref="G481:G494"/>
    <mergeCell ref="A576:R576"/>
    <mergeCell ref="H216:R216"/>
    <mergeCell ref="N1:R1"/>
    <mergeCell ref="H408:R408"/>
    <mergeCell ref="A293:F293"/>
    <mergeCell ref="H479:R479"/>
    <mergeCell ref="G410:G425"/>
    <mergeCell ref="A642:F642"/>
    <mergeCell ref="K2:R2"/>
    <mergeCell ref="A382:R382"/>
    <mergeCell ref="H293:R293"/>
    <mergeCell ref="A337:F337"/>
    <mergeCell ref="A496:F496"/>
    <mergeCell ref="A383:F383"/>
    <mergeCell ref="A94:F94"/>
    <mergeCell ref="G385:G406"/>
    <mergeCell ref="G604:G622"/>
    <mergeCell ref="A168:F168"/>
    <mergeCell ref="A146:R146"/>
    <mergeCell ref="A427:F427"/>
    <mergeCell ref="G268:G291"/>
    <mergeCell ref="G49:G70"/>
    <mergeCell ref="G456:G477"/>
    <mergeCell ref="A533:R533"/>
    <mergeCell ref="A558:F558"/>
    <mergeCell ref="A479:F479"/>
    <mergeCell ref="H29:R29"/>
    <mergeCell ref="A602:F602"/>
    <mergeCell ref="A365:F365"/>
    <mergeCell ref="H4:R4"/>
    <mergeCell ref="H122:R122"/>
    <mergeCell ref="A3:R3"/>
    <mergeCell ref="G197:G214"/>
    <mergeCell ref="G626:G640"/>
    <mergeCell ref="G560:G575"/>
    <mergeCell ref="A4:F4"/>
    <mergeCell ref="A147:F147"/>
    <mergeCell ref="A601:R601"/>
    <mergeCell ref="A454:F454"/>
    <mergeCell ref="H517:R517"/>
    <mergeCell ref="G149:G166"/>
    <mergeCell ref="A265:R265"/>
    <mergeCell ref="A121:R121"/>
    <mergeCell ref="G96:G120"/>
    <mergeCell ref="A624:F624"/>
    <mergeCell ref="H147:R147"/>
    <mergeCell ref="G339:G363"/>
    <mergeCell ref="H47:R47"/>
    <mergeCell ref="G319:G335"/>
    <mergeCell ref="H534:R534"/>
    <mergeCell ref="H680:R680"/>
    <mergeCell ref="A680:F680"/>
    <mergeCell ref="G519:G532"/>
    <mergeCell ref="G429:G452"/>
    <mergeCell ref="G644:G660"/>
    <mergeCell ref="G246:G264"/>
    <mergeCell ref="H195:R195"/>
    <mergeCell ref="A408:F408"/>
    <mergeCell ref="G170:G193"/>
    <mergeCell ref="H427:R427"/>
    <mergeCell ref="G664:G678"/>
    <mergeCell ref="G579:G600"/>
    <mergeCell ref="H662:R662"/>
    <mergeCell ref="H642:R642"/>
    <mergeCell ref="G498:G515"/>
    <mergeCell ref="A517:F517"/>
    <mergeCell ref="A623:R623"/>
    <mergeCell ref="G536:G55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24"/>
  <sheetViews>
    <sheetView workbookViewId="0"/>
  </sheetViews>
  <sheetFormatPr defaultColWidth="8.85546875" defaultRowHeight="15.6" outlineLevelCol="1"/>
  <cols>
    <col min="1" max="1" width="9.85546875" style="266" bestFit="1" customWidth="1"/>
    <col min="2" max="2" width="9.7109375" style="266" bestFit="1" customWidth="1"/>
    <col min="3" max="3" width="6.7109375" style="266" bestFit="1" customWidth="1"/>
    <col min="4" max="4" width="5.5703125" style="266" bestFit="1" customWidth="1"/>
    <col min="5" max="5" width="8.5703125" style="266" bestFit="1" customWidth="1"/>
    <col min="6" max="6" width="4.28515625" style="266" bestFit="1" customWidth="1"/>
    <col min="7" max="7" width="8.42578125" style="266" bestFit="1" customWidth="1"/>
    <col min="8" max="8" width="8.5703125" style="266" bestFit="1" customWidth="1"/>
    <col min="9"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5" width="3.85546875" style="266" bestFit="1" customWidth="1"/>
    <col min="26" max="26" width="4.140625" style="266" bestFit="1" customWidth="1"/>
    <col min="27" max="27" width="5" style="266" bestFit="1" customWidth="1"/>
    <col min="28" max="28" width="4.28515625" style="266" bestFit="1" customWidth="1"/>
    <col min="29" max="32" width="3.85546875" style="266" bestFit="1" customWidth="1"/>
    <col min="33" max="33" width="4.28515625" style="266" bestFit="1" customWidth="1"/>
    <col min="34" max="34" width="3.85546875" style="266" bestFit="1" customWidth="1"/>
    <col min="35" max="35" width="4.28515625" style="266" bestFit="1" customWidth="1"/>
    <col min="36"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230</v>
      </c>
      <c r="B2" s="268">
        <v>46023</v>
      </c>
      <c r="C2" s="269" t="s">
        <v>65</v>
      </c>
      <c r="D2" s="270" t="s">
        <v>231</v>
      </c>
      <c r="E2" s="269" t="s">
        <v>1</v>
      </c>
      <c r="F2" s="269" t="s">
        <v>232</v>
      </c>
      <c r="G2" s="271">
        <v>0</v>
      </c>
      <c r="H2" s="272">
        <v>180</v>
      </c>
      <c r="I2" s="272">
        <v>0</v>
      </c>
      <c r="J2" s="272">
        <v>0</v>
      </c>
      <c r="K2" s="269" t="s">
        <v>233</v>
      </c>
      <c r="L2" s="273" t="s">
        <v>66</v>
      </c>
      <c r="M2" s="272">
        <v>0</v>
      </c>
      <c r="N2" s="272">
        <v>0</v>
      </c>
      <c r="O2" s="272">
        <v>0</v>
      </c>
      <c r="P2" s="269" t="s">
        <v>67</v>
      </c>
      <c r="Q2" s="265"/>
      <c r="R2" s="265"/>
      <c r="S2" s="265"/>
      <c r="T2" s="265"/>
      <c r="U2" s="265"/>
      <c r="V2" s="265"/>
      <c r="W2" s="265"/>
      <c r="X2" s="265"/>
      <c r="Y2" s="265"/>
      <c r="Z2" s="265"/>
      <c r="AA2" s="265"/>
      <c r="AB2" s="265"/>
      <c r="AC2" s="265"/>
      <c r="AD2" s="265"/>
      <c r="AE2" s="265"/>
      <c r="AF2" s="265"/>
      <c r="AG2" s="265"/>
      <c r="AH2" s="265"/>
      <c r="AI2" s="265"/>
      <c r="AJ2" s="265"/>
    </row>
    <row r="3" spans="1:36">
      <c r="A3" s="267" t="s">
        <v>234</v>
      </c>
      <c r="B3" s="268">
        <v>46025</v>
      </c>
      <c r="C3" s="269" t="s">
        <v>65</v>
      </c>
      <c r="D3" s="270" t="s">
        <v>235</v>
      </c>
      <c r="E3" s="269" t="s">
        <v>1</v>
      </c>
      <c r="F3" s="269" t="s">
        <v>232</v>
      </c>
      <c r="G3" s="271">
        <v>0</v>
      </c>
      <c r="H3" s="272">
        <v>180</v>
      </c>
      <c r="I3" s="272">
        <v>0</v>
      </c>
      <c r="J3" s="272">
        <v>0</v>
      </c>
      <c r="K3" s="269" t="s">
        <v>233</v>
      </c>
      <c r="L3" s="273" t="s">
        <v>66</v>
      </c>
      <c r="M3" s="272">
        <v>0</v>
      </c>
      <c r="N3" s="272">
        <v>0</v>
      </c>
      <c r="O3" s="272">
        <v>0</v>
      </c>
      <c r="P3" s="269" t="s">
        <v>67</v>
      </c>
      <c r="Q3" s="265"/>
      <c r="R3" s="265"/>
      <c r="S3" s="265"/>
      <c r="T3" s="265"/>
      <c r="U3" s="265"/>
      <c r="V3" s="265"/>
      <c r="W3" s="265"/>
      <c r="X3" s="265"/>
      <c r="Y3" s="265"/>
      <c r="Z3" s="265"/>
      <c r="AA3" s="265"/>
      <c r="AB3" s="265"/>
      <c r="AC3" s="265"/>
      <c r="AD3" s="265"/>
      <c r="AE3" s="265"/>
      <c r="AF3" s="265"/>
      <c r="AG3" s="265"/>
      <c r="AH3" s="265"/>
      <c r="AI3" s="265"/>
      <c r="AJ3" s="265"/>
    </row>
    <row r="4" spans="1:36">
      <c r="A4" s="267" t="s">
        <v>236</v>
      </c>
      <c r="B4" s="268">
        <v>46026</v>
      </c>
      <c r="C4" s="269" t="s">
        <v>65</v>
      </c>
      <c r="D4" s="270" t="s">
        <v>237</v>
      </c>
      <c r="E4" s="269" t="s">
        <v>1</v>
      </c>
      <c r="F4" s="269" t="s">
        <v>232</v>
      </c>
      <c r="G4" s="271">
        <v>0.4</v>
      </c>
      <c r="H4" s="272">
        <v>180</v>
      </c>
      <c r="I4" s="272">
        <v>72</v>
      </c>
      <c r="J4" s="272">
        <v>70</v>
      </c>
      <c r="K4" s="269" t="s">
        <v>233</v>
      </c>
      <c r="L4" s="273">
        <v>46329</v>
      </c>
      <c r="M4" s="272">
        <v>0</v>
      </c>
      <c r="N4" s="272">
        <v>0</v>
      </c>
      <c r="O4" s="272">
        <v>5</v>
      </c>
      <c r="P4" s="269" t="s">
        <v>101</v>
      </c>
      <c r="Q4" s="265"/>
      <c r="R4" s="265"/>
      <c r="S4" s="265"/>
      <c r="T4" s="265"/>
      <c r="U4" s="265"/>
      <c r="V4" s="265"/>
      <c r="W4" s="265"/>
      <c r="X4" s="265"/>
      <c r="Y4" s="265"/>
      <c r="Z4" s="265"/>
      <c r="AA4" s="265"/>
      <c r="AB4" s="272" t="s">
        <v>164</v>
      </c>
      <c r="AC4" s="265"/>
      <c r="AD4" s="265"/>
      <c r="AE4" s="265"/>
      <c r="AF4" s="265"/>
      <c r="AG4" s="272" t="s">
        <v>238</v>
      </c>
      <c r="AH4" s="265"/>
      <c r="AI4" s="272" t="s">
        <v>239</v>
      </c>
      <c r="AJ4" s="265"/>
    </row>
    <row r="5" spans="1:36">
      <c r="A5" s="267" t="s">
        <v>240</v>
      </c>
      <c r="B5" s="268">
        <v>46027</v>
      </c>
      <c r="C5" s="269" t="s">
        <v>112</v>
      </c>
      <c r="D5" s="270" t="s">
        <v>241</v>
      </c>
      <c r="E5" s="269" t="s">
        <v>1</v>
      </c>
      <c r="F5" s="269" t="s">
        <v>232</v>
      </c>
      <c r="G5" s="271">
        <v>0</v>
      </c>
      <c r="H5" s="272">
        <v>180</v>
      </c>
      <c r="I5" s="272">
        <v>0</v>
      </c>
      <c r="J5" s="272">
        <v>0</v>
      </c>
      <c r="K5" s="269" t="s">
        <v>233</v>
      </c>
      <c r="L5" s="273" t="s">
        <v>66</v>
      </c>
      <c r="M5" s="272">
        <v>0</v>
      </c>
      <c r="N5" s="272">
        <v>0</v>
      </c>
      <c r="O5" s="272">
        <v>0</v>
      </c>
      <c r="P5" s="269" t="s">
        <v>67</v>
      </c>
      <c r="Q5" s="265"/>
      <c r="R5" s="265"/>
      <c r="S5" s="265"/>
      <c r="T5" s="265"/>
      <c r="U5" s="265"/>
      <c r="V5" s="265"/>
      <c r="W5" s="265"/>
      <c r="X5" s="265"/>
      <c r="Y5" s="265"/>
      <c r="Z5" s="265"/>
      <c r="AA5" s="265"/>
      <c r="AB5" s="265"/>
      <c r="AC5" s="265"/>
      <c r="AD5" s="265"/>
      <c r="AE5" s="265"/>
      <c r="AF5" s="265"/>
      <c r="AG5" s="265"/>
      <c r="AH5" s="265"/>
      <c r="AI5" s="265"/>
      <c r="AJ5" s="265"/>
    </row>
    <row r="6" spans="1:36">
      <c r="A6" s="267" t="s">
        <v>242</v>
      </c>
      <c r="B6" s="268">
        <v>46028</v>
      </c>
      <c r="C6" s="269" t="s">
        <v>65</v>
      </c>
      <c r="D6" s="270" t="s">
        <v>243</v>
      </c>
      <c r="E6" s="269" t="s">
        <v>1</v>
      </c>
      <c r="F6" s="269" t="s">
        <v>232</v>
      </c>
      <c r="G6" s="271">
        <v>0</v>
      </c>
      <c r="H6" s="272">
        <v>180</v>
      </c>
      <c r="I6" s="272">
        <v>0</v>
      </c>
      <c r="J6" s="272">
        <v>0</v>
      </c>
      <c r="K6" s="269" t="s">
        <v>233</v>
      </c>
      <c r="L6" s="273" t="s">
        <v>66</v>
      </c>
      <c r="M6" s="272">
        <v>0</v>
      </c>
      <c r="N6" s="272">
        <v>0</v>
      </c>
      <c r="O6" s="272">
        <v>0</v>
      </c>
      <c r="P6" s="269" t="s">
        <v>67</v>
      </c>
      <c r="Q6" s="265"/>
      <c r="R6" s="265"/>
      <c r="S6" s="265"/>
      <c r="T6" s="265"/>
      <c r="U6" s="265"/>
      <c r="V6" s="265"/>
      <c r="W6" s="265"/>
      <c r="X6" s="265"/>
      <c r="Y6" s="265"/>
      <c r="Z6" s="265"/>
      <c r="AA6" s="265"/>
      <c r="AB6" s="265"/>
      <c r="AC6" s="265"/>
      <c r="AD6" s="265"/>
      <c r="AE6" s="265"/>
      <c r="AF6" s="265"/>
      <c r="AG6" s="265"/>
      <c r="AH6" s="265"/>
      <c r="AI6" s="265"/>
      <c r="AJ6" s="265"/>
    </row>
    <row r="7" spans="1:36">
      <c r="A7" s="267" t="s">
        <v>230</v>
      </c>
      <c r="B7" s="268">
        <v>46030</v>
      </c>
      <c r="C7" s="269" t="s">
        <v>65</v>
      </c>
      <c r="D7" s="270" t="s">
        <v>231</v>
      </c>
      <c r="E7" s="269" t="s">
        <v>1</v>
      </c>
      <c r="F7" s="269" t="s">
        <v>232</v>
      </c>
      <c r="G7" s="271">
        <v>5.5999999999999999E-3</v>
      </c>
      <c r="H7" s="272">
        <v>180</v>
      </c>
      <c r="I7" s="272">
        <v>1</v>
      </c>
      <c r="J7" s="272">
        <v>0</v>
      </c>
      <c r="K7" s="269" t="s">
        <v>233</v>
      </c>
      <c r="L7" s="273">
        <v>46337</v>
      </c>
      <c r="M7" s="272">
        <v>0</v>
      </c>
      <c r="N7" s="272">
        <v>0</v>
      </c>
      <c r="O7" s="272">
        <v>1</v>
      </c>
      <c r="P7" s="269" t="s">
        <v>67</v>
      </c>
      <c r="Q7" s="265"/>
      <c r="R7" s="265"/>
      <c r="S7" s="265"/>
      <c r="T7" s="265"/>
      <c r="U7" s="265"/>
      <c r="V7" s="265"/>
      <c r="W7" s="265"/>
      <c r="X7" s="265"/>
      <c r="Y7" s="265"/>
      <c r="Z7" s="265"/>
      <c r="AA7" s="265"/>
      <c r="AB7" s="272" t="s">
        <v>128</v>
      </c>
      <c r="AC7" s="265"/>
      <c r="AD7" s="265"/>
      <c r="AE7" s="265"/>
      <c r="AF7" s="265"/>
      <c r="AG7" s="265"/>
      <c r="AH7" s="265"/>
      <c r="AI7" s="265"/>
      <c r="AJ7" s="265"/>
    </row>
    <row r="8" spans="1:36">
      <c r="A8" s="267" t="s">
        <v>234</v>
      </c>
      <c r="B8" s="268">
        <v>46032</v>
      </c>
      <c r="C8" s="269" t="s">
        <v>65</v>
      </c>
      <c r="D8" s="270" t="s">
        <v>235</v>
      </c>
      <c r="E8" s="269" t="s">
        <v>1</v>
      </c>
      <c r="F8" s="269" t="s">
        <v>232</v>
      </c>
      <c r="G8" s="271">
        <v>5.5999999999999999E-3</v>
      </c>
      <c r="H8" s="272">
        <v>180</v>
      </c>
      <c r="I8" s="272">
        <v>1</v>
      </c>
      <c r="J8" s="272">
        <v>0</v>
      </c>
      <c r="K8" s="269" t="s">
        <v>233</v>
      </c>
      <c r="L8" s="273">
        <v>46302</v>
      </c>
      <c r="M8" s="272">
        <v>0</v>
      </c>
      <c r="N8" s="272">
        <v>0</v>
      </c>
      <c r="O8" s="272">
        <v>1</v>
      </c>
      <c r="P8" s="269" t="s">
        <v>67</v>
      </c>
      <c r="Q8" s="265"/>
      <c r="R8" s="265"/>
      <c r="S8" s="265"/>
      <c r="T8" s="265"/>
      <c r="U8" s="265"/>
      <c r="V8" s="265"/>
      <c r="W8" s="265"/>
      <c r="X8" s="265"/>
      <c r="Y8" s="265"/>
      <c r="Z8" s="265"/>
      <c r="AA8" s="265"/>
      <c r="AB8" s="272" t="s">
        <v>128</v>
      </c>
      <c r="AC8" s="265"/>
      <c r="AD8" s="265"/>
      <c r="AE8" s="265"/>
      <c r="AF8" s="265"/>
      <c r="AG8" s="265"/>
      <c r="AH8" s="265"/>
      <c r="AI8" s="265"/>
      <c r="AJ8" s="265"/>
    </row>
    <row r="9" spans="1:36">
      <c r="A9" s="267" t="s">
        <v>236</v>
      </c>
      <c r="B9" s="268">
        <v>46033</v>
      </c>
      <c r="C9" s="269" t="s">
        <v>65</v>
      </c>
      <c r="D9" s="270" t="s">
        <v>237</v>
      </c>
      <c r="E9" s="269" t="s">
        <v>1</v>
      </c>
      <c r="F9" s="269" t="s">
        <v>232</v>
      </c>
      <c r="G9" s="271">
        <v>0.27779999999999999</v>
      </c>
      <c r="H9" s="272">
        <v>180</v>
      </c>
      <c r="I9" s="272">
        <v>50</v>
      </c>
      <c r="J9" s="272">
        <v>50</v>
      </c>
      <c r="K9" s="269" t="s">
        <v>233</v>
      </c>
      <c r="L9" s="273">
        <v>46339</v>
      </c>
      <c r="M9" s="272">
        <v>0</v>
      </c>
      <c r="N9" s="272">
        <v>0</v>
      </c>
      <c r="O9" s="272">
        <v>1</v>
      </c>
      <c r="P9" s="269" t="s">
        <v>67</v>
      </c>
      <c r="Q9" s="265"/>
      <c r="R9" s="265"/>
      <c r="S9" s="265"/>
      <c r="T9" s="265"/>
      <c r="U9" s="265"/>
      <c r="V9" s="265"/>
      <c r="W9" s="265"/>
      <c r="X9" s="265"/>
      <c r="Y9" s="265"/>
      <c r="Z9" s="265"/>
      <c r="AA9" s="265"/>
      <c r="AB9" s="265"/>
      <c r="AC9" s="265"/>
      <c r="AD9" s="265"/>
      <c r="AE9" s="265"/>
      <c r="AF9" s="265"/>
      <c r="AG9" s="272" t="s">
        <v>142</v>
      </c>
      <c r="AH9" s="265"/>
      <c r="AI9" s="265"/>
      <c r="AJ9" s="265"/>
    </row>
    <row r="10" spans="1:36">
      <c r="A10" s="267" t="s">
        <v>240</v>
      </c>
      <c r="B10" s="268">
        <v>46034</v>
      </c>
      <c r="C10" s="269" t="s">
        <v>112</v>
      </c>
      <c r="D10" s="270" t="s">
        <v>241</v>
      </c>
      <c r="E10" s="269" t="s">
        <v>1</v>
      </c>
      <c r="F10" s="269" t="s">
        <v>232</v>
      </c>
      <c r="G10" s="271">
        <v>0</v>
      </c>
      <c r="H10" s="272">
        <v>180</v>
      </c>
      <c r="I10" s="272">
        <v>0</v>
      </c>
      <c r="J10" s="272">
        <v>0</v>
      </c>
      <c r="K10" s="269" t="s">
        <v>233</v>
      </c>
      <c r="L10" s="273" t="s">
        <v>66</v>
      </c>
      <c r="M10" s="272">
        <v>0</v>
      </c>
      <c r="N10" s="272">
        <v>0</v>
      </c>
      <c r="O10" s="272">
        <v>0</v>
      </c>
      <c r="P10" s="269" t="s">
        <v>67</v>
      </c>
      <c r="Q10" s="265"/>
      <c r="R10" s="265"/>
      <c r="S10" s="265"/>
      <c r="T10" s="265"/>
      <c r="U10" s="265"/>
      <c r="V10" s="265"/>
      <c r="W10" s="265"/>
      <c r="X10" s="265"/>
      <c r="Y10" s="265"/>
      <c r="Z10" s="265"/>
      <c r="AA10" s="265"/>
      <c r="AB10" s="265"/>
      <c r="AC10" s="265"/>
      <c r="AD10" s="265"/>
      <c r="AE10" s="265"/>
      <c r="AF10" s="265"/>
      <c r="AG10" s="265"/>
      <c r="AH10" s="265"/>
      <c r="AI10" s="265"/>
      <c r="AJ10" s="265"/>
    </row>
    <row r="11" spans="1:36">
      <c r="A11" s="267" t="s">
        <v>242</v>
      </c>
      <c r="B11" s="268">
        <v>46035</v>
      </c>
      <c r="C11" s="269" t="s">
        <v>65</v>
      </c>
      <c r="D11" s="270" t="s">
        <v>243</v>
      </c>
      <c r="E11" s="269" t="s">
        <v>1</v>
      </c>
      <c r="F11" s="269" t="s">
        <v>232</v>
      </c>
      <c r="G11" s="271">
        <v>0.28889999999999999</v>
      </c>
      <c r="H11" s="272">
        <v>180</v>
      </c>
      <c r="I11" s="272">
        <v>52</v>
      </c>
      <c r="J11" s="272">
        <v>50</v>
      </c>
      <c r="K11" s="269" t="s">
        <v>233</v>
      </c>
      <c r="L11" s="273">
        <v>46342</v>
      </c>
      <c r="M11" s="272">
        <v>0</v>
      </c>
      <c r="N11" s="272">
        <v>0</v>
      </c>
      <c r="O11" s="272">
        <v>4</v>
      </c>
      <c r="P11" s="269" t="s">
        <v>101</v>
      </c>
      <c r="Q11" s="265"/>
      <c r="R11" s="265"/>
      <c r="S11" s="265"/>
      <c r="T11" s="265"/>
      <c r="U11" s="265"/>
      <c r="V11" s="265"/>
      <c r="W11" s="265"/>
      <c r="X11" s="265"/>
      <c r="Y11" s="265"/>
      <c r="Z11" s="265"/>
      <c r="AA11" s="265"/>
      <c r="AB11" s="272" t="s">
        <v>128</v>
      </c>
      <c r="AC11" s="265"/>
      <c r="AD11" s="265"/>
      <c r="AE11" s="265"/>
      <c r="AF11" s="272" t="s">
        <v>244</v>
      </c>
      <c r="AG11" s="265"/>
      <c r="AH11" s="265"/>
      <c r="AI11" s="272" t="s">
        <v>245</v>
      </c>
      <c r="AJ11" s="265"/>
    </row>
    <row r="12" spans="1:36">
      <c r="A12" s="267" t="s">
        <v>230</v>
      </c>
      <c r="B12" s="268">
        <v>46037</v>
      </c>
      <c r="C12" s="269" t="s">
        <v>65</v>
      </c>
      <c r="D12" s="270" t="s">
        <v>231</v>
      </c>
      <c r="E12" s="269" t="s">
        <v>1</v>
      </c>
      <c r="F12" s="269" t="s">
        <v>232</v>
      </c>
      <c r="G12" s="271">
        <v>2.7799999999999998E-2</v>
      </c>
      <c r="H12" s="272">
        <v>180</v>
      </c>
      <c r="I12" s="272">
        <v>5</v>
      </c>
      <c r="J12" s="272">
        <v>0</v>
      </c>
      <c r="K12" s="269" t="s">
        <v>233</v>
      </c>
      <c r="L12" s="273">
        <v>46342</v>
      </c>
      <c r="M12" s="272">
        <v>0</v>
      </c>
      <c r="N12" s="272">
        <v>0</v>
      </c>
      <c r="O12" s="272">
        <v>5</v>
      </c>
      <c r="P12" s="269" t="s">
        <v>67</v>
      </c>
      <c r="Q12" s="265"/>
      <c r="R12" s="265"/>
      <c r="S12" s="265"/>
      <c r="T12" s="265"/>
      <c r="U12" s="265"/>
      <c r="V12" s="265"/>
      <c r="W12" s="265"/>
      <c r="X12" s="265"/>
      <c r="Y12" s="265"/>
      <c r="Z12" s="272" t="s">
        <v>158</v>
      </c>
      <c r="AA12" s="265"/>
      <c r="AB12" s="265"/>
      <c r="AC12" s="265"/>
      <c r="AD12" s="265"/>
      <c r="AE12" s="265"/>
      <c r="AF12" s="265"/>
      <c r="AG12" s="265"/>
      <c r="AH12" s="265"/>
      <c r="AI12" s="265"/>
      <c r="AJ12" s="265"/>
    </row>
    <row r="13" spans="1:36">
      <c r="A13" s="267" t="s">
        <v>234</v>
      </c>
      <c r="B13" s="268">
        <v>46039</v>
      </c>
      <c r="C13" s="269" t="s">
        <v>65</v>
      </c>
      <c r="D13" s="270" t="s">
        <v>235</v>
      </c>
      <c r="E13" s="269" t="s">
        <v>1</v>
      </c>
      <c r="F13" s="269" t="s">
        <v>232</v>
      </c>
      <c r="G13" s="271">
        <v>1.11E-2</v>
      </c>
      <c r="H13" s="272">
        <v>180</v>
      </c>
      <c r="I13" s="272">
        <v>2</v>
      </c>
      <c r="J13" s="272">
        <v>0</v>
      </c>
      <c r="K13" s="269" t="s">
        <v>233</v>
      </c>
      <c r="L13" s="273">
        <v>46334</v>
      </c>
      <c r="M13" s="272">
        <v>0</v>
      </c>
      <c r="N13" s="272">
        <v>0</v>
      </c>
      <c r="O13" s="272">
        <v>2</v>
      </c>
      <c r="P13" s="269" t="s">
        <v>101</v>
      </c>
      <c r="Q13" s="265"/>
      <c r="R13" s="265"/>
      <c r="S13" s="265"/>
      <c r="T13" s="265"/>
      <c r="U13" s="265"/>
      <c r="V13" s="265"/>
      <c r="W13" s="265"/>
      <c r="X13" s="265"/>
      <c r="Y13" s="265"/>
      <c r="Z13" s="265"/>
      <c r="AA13" s="265"/>
      <c r="AB13" s="272" t="s">
        <v>164</v>
      </c>
      <c r="AC13" s="265"/>
      <c r="AD13" s="265"/>
      <c r="AE13" s="265"/>
      <c r="AF13" s="265"/>
      <c r="AG13" s="265"/>
      <c r="AH13" s="265"/>
      <c r="AI13" s="265"/>
      <c r="AJ13" s="265"/>
    </row>
    <row r="14" spans="1:36">
      <c r="A14" s="267" t="s">
        <v>236</v>
      </c>
      <c r="B14" s="268">
        <v>46040</v>
      </c>
      <c r="C14" s="269" t="s">
        <v>65</v>
      </c>
      <c r="D14" s="270" t="s">
        <v>237</v>
      </c>
      <c r="E14" s="269" t="s">
        <v>1</v>
      </c>
      <c r="F14" s="269" t="s">
        <v>232</v>
      </c>
      <c r="G14" s="271">
        <v>0.36109999999999998</v>
      </c>
      <c r="H14" s="272">
        <v>180</v>
      </c>
      <c r="I14" s="272">
        <v>65</v>
      </c>
      <c r="J14" s="272">
        <v>65</v>
      </c>
      <c r="K14" s="269" t="s">
        <v>233</v>
      </c>
      <c r="L14" s="273">
        <v>46204</v>
      </c>
      <c r="M14" s="272">
        <v>0</v>
      </c>
      <c r="N14" s="272">
        <v>0</v>
      </c>
      <c r="O14" s="272">
        <v>2</v>
      </c>
      <c r="P14" s="269" t="s">
        <v>67</v>
      </c>
      <c r="Q14" s="265"/>
      <c r="R14" s="265"/>
      <c r="S14" s="265"/>
      <c r="T14" s="265"/>
      <c r="U14" s="265"/>
      <c r="V14" s="265"/>
      <c r="W14" s="265"/>
      <c r="X14" s="265"/>
      <c r="Y14" s="265"/>
      <c r="Z14" s="265"/>
      <c r="AA14" s="265"/>
      <c r="AB14" s="265"/>
      <c r="AC14" s="265"/>
      <c r="AD14" s="265"/>
      <c r="AE14" s="265"/>
      <c r="AF14" s="265"/>
      <c r="AG14" s="272" t="s">
        <v>165</v>
      </c>
      <c r="AH14" s="265"/>
      <c r="AI14" s="265"/>
      <c r="AJ14" s="265"/>
    </row>
    <row r="15" spans="1:36">
      <c r="A15" s="267" t="s">
        <v>240</v>
      </c>
      <c r="B15" s="268">
        <v>46041</v>
      </c>
      <c r="C15" s="269" t="s">
        <v>112</v>
      </c>
      <c r="D15" s="270" t="s">
        <v>241</v>
      </c>
      <c r="E15" s="269" t="s">
        <v>1</v>
      </c>
      <c r="F15" s="269" t="s">
        <v>232</v>
      </c>
      <c r="G15" s="271">
        <v>0.25559999999999999</v>
      </c>
      <c r="H15" s="272">
        <v>180</v>
      </c>
      <c r="I15" s="272">
        <v>46</v>
      </c>
      <c r="J15" s="272">
        <v>45</v>
      </c>
      <c r="K15" s="269" t="s">
        <v>233</v>
      </c>
      <c r="L15" s="273">
        <v>46324</v>
      </c>
      <c r="M15" s="272">
        <v>0</v>
      </c>
      <c r="N15" s="272">
        <v>0</v>
      </c>
      <c r="O15" s="272">
        <v>3</v>
      </c>
      <c r="P15" s="269" t="s">
        <v>67</v>
      </c>
      <c r="Q15" s="265"/>
      <c r="R15" s="265"/>
      <c r="S15" s="265"/>
      <c r="T15" s="265"/>
      <c r="U15" s="265"/>
      <c r="V15" s="265"/>
      <c r="W15" s="265"/>
      <c r="X15" s="265"/>
      <c r="Y15" s="265"/>
      <c r="Z15" s="265"/>
      <c r="AA15" s="265"/>
      <c r="AB15" s="272" t="s">
        <v>128</v>
      </c>
      <c r="AC15" s="265"/>
      <c r="AD15" s="265"/>
      <c r="AE15" s="265"/>
      <c r="AF15" s="265"/>
      <c r="AG15" s="272" t="s">
        <v>246</v>
      </c>
      <c r="AH15" s="265"/>
      <c r="AI15" s="265"/>
      <c r="AJ15" s="265"/>
    </row>
    <row r="16" spans="1:36">
      <c r="A16" s="267" t="s">
        <v>242</v>
      </c>
      <c r="B16" s="268">
        <v>46042</v>
      </c>
      <c r="C16" s="269" t="s">
        <v>65</v>
      </c>
      <c r="D16" s="270" t="s">
        <v>243</v>
      </c>
      <c r="E16" s="269" t="s">
        <v>1</v>
      </c>
      <c r="F16" s="269" t="s">
        <v>232</v>
      </c>
      <c r="G16" s="271">
        <v>0.15</v>
      </c>
      <c r="H16" s="272">
        <v>180</v>
      </c>
      <c r="I16" s="272">
        <v>27</v>
      </c>
      <c r="J16" s="272">
        <v>25</v>
      </c>
      <c r="K16" s="269" t="s">
        <v>233</v>
      </c>
      <c r="L16" s="273">
        <v>46245</v>
      </c>
      <c r="M16" s="272">
        <v>0</v>
      </c>
      <c r="N16" s="272">
        <v>0</v>
      </c>
      <c r="O16" s="272">
        <v>3</v>
      </c>
      <c r="P16" s="269" t="s">
        <v>101</v>
      </c>
      <c r="Q16" s="265"/>
      <c r="R16" s="265"/>
      <c r="S16" s="265"/>
      <c r="T16" s="265"/>
      <c r="U16" s="265"/>
      <c r="V16" s="265"/>
      <c r="W16" s="265"/>
      <c r="X16" s="265"/>
      <c r="Y16" s="265"/>
      <c r="Z16" s="265"/>
      <c r="AA16" s="265"/>
      <c r="AB16" s="272" t="s">
        <v>164</v>
      </c>
      <c r="AC16" s="265"/>
      <c r="AD16" s="265"/>
      <c r="AE16" s="265"/>
      <c r="AF16" s="265"/>
      <c r="AG16" s="272" t="s">
        <v>238</v>
      </c>
      <c r="AH16" s="265"/>
      <c r="AI16" s="265"/>
      <c r="AJ16" s="265"/>
    </row>
    <row r="17" spans="1:36">
      <c r="A17" s="267" t="s">
        <v>230</v>
      </c>
      <c r="B17" s="268">
        <v>46044</v>
      </c>
      <c r="C17" s="269" t="s">
        <v>65</v>
      </c>
      <c r="D17" s="270" t="s">
        <v>231</v>
      </c>
      <c r="E17" s="269" t="s">
        <v>1</v>
      </c>
      <c r="F17" s="269" t="s">
        <v>232</v>
      </c>
      <c r="G17" s="271">
        <v>0.24440000000000001</v>
      </c>
      <c r="H17" s="272">
        <v>180</v>
      </c>
      <c r="I17" s="272">
        <v>44</v>
      </c>
      <c r="J17" s="272">
        <v>0</v>
      </c>
      <c r="K17" s="269" t="s">
        <v>233</v>
      </c>
      <c r="L17" s="273">
        <v>46332</v>
      </c>
      <c r="M17" s="272">
        <v>0</v>
      </c>
      <c r="N17" s="272">
        <v>0</v>
      </c>
      <c r="O17" s="272">
        <v>44</v>
      </c>
      <c r="P17" s="269" t="s">
        <v>174</v>
      </c>
      <c r="Q17" s="265"/>
      <c r="R17" s="265"/>
      <c r="S17" s="265"/>
      <c r="T17" s="265"/>
      <c r="U17" s="265"/>
      <c r="V17" s="265"/>
      <c r="W17" s="265"/>
      <c r="X17" s="265"/>
      <c r="Y17" s="272" t="s">
        <v>247</v>
      </c>
      <c r="Z17" s="272" t="s">
        <v>248</v>
      </c>
      <c r="AA17" s="272" t="s">
        <v>249</v>
      </c>
      <c r="AB17" s="272" t="s">
        <v>250</v>
      </c>
      <c r="AC17" s="265"/>
      <c r="AD17" s="265"/>
      <c r="AE17" s="265"/>
      <c r="AF17" s="265"/>
      <c r="AG17" s="265"/>
      <c r="AH17" s="265"/>
      <c r="AI17" s="265"/>
      <c r="AJ17" s="265"/>
    </row>
    <row r="18" spans="1:36">
      <c r="A18" s="267" t="s">
        <v>234</v>
      </c>
      <c r="B18" s="268">
        <v>46046</v>
      </c>
      <c r="C18" s="269" t="s">
        <v>65</v>
      </c>
      <c r="D18" s="270" t="s">
        <v>235</v>
      </c>
      <c r="E18" s="269" t="s">
        <v>1</v>
      </c>
      <c r="F18" s="269" t="s">
        <v>232</v>
      </c>
      <c r="G18" s="271">
        <v>1.67E-2</v>
      </c>
      <c r="H18" s="272">
        <v>180</v>
      </c>
      <c r="I18" s="272">
        <v>3</v>
      </c>
      <c r="J18" s="272">
        <v>0</v>
      </c>
      <c r="K18" s="269" t="s">
        <v>233</v>
      </c>
      <c r="L18" s="273">
        <v>46323</v>
      </c>
      <c r="M18" s="272">
        <v>0</v>
      </c>
      <c r="N18" s="272">
        <v>0</v>
      </c>
      <c r="O18" s="272">
        <v>3</v>
      </c>
      <c r="P18" s="269" t="s">
        <v>183</v>
      </c>
      <c r="Q18" s="265"/>
      <c r="R18" s="265"/>
      <c r="S18" s="265"/>
      <c r="T18" s="265"/>
      <c r="U18" s="265"/>
      <c r="V18" s="265"/>
      <c r="W18" s="265"/>
      <c r="X18" s="265"/>
      <c r="Y18" s="265"/>
      <c r="Z18" s="265"/>
      <c r="AA18" s="265"/>
      <c r="AB18" s="272" t="s">
        <v>184</v>
      </c>
      <c r="AC18" s="265"/>
      <c r="AD18" s="265"/>
      <c r="AE18" s="265"/>
      <c r="AF18" s="265"/>
      <c r="AG18" s="265"/>
      <c r="AH18" s="265"/>
      <c r="AI18" s="265"/>
      <c r="AJ18" s="265"/>
    </row>
    <row r="19" spans="1:36">
      <c r="A19" s="267" t="s">
        <v>236</v>
      </c>
      <c r="B19" s="268">
        <v>46047</v>
      </c>
      <c r="C19" s="269" t="s">
        <v>65</v>
      </c>
      <c r="D19" s="270" t="s">
        <v>237</v>
      </c>
      <c r="E19" s="269" t="s">
        <v>1</v>
      </c>
      <c r="F19" s="269" t="s">
        <v>232</v>
      </c>
      <c r="G19" s="271">
        <v>5.5999999999999999E-3</v>
      </c>
      <c r="H19" s="272">
        <v>180</v>
      </c>
      <c r="I19" s="272">
        <v>1</v>
      </c>
      <c r="J19" s="272">
        <v>0</v>
      </c>
      <c r="K19" s="269" t="s">
        <v>233</v>
      </c>
      <c r="L19" s="273">
        <v>46332</v>
      </c>
      <c r="M19" s="272">
        <v>0</v>
      </c>
      <c r="N19" s="272">
        <v>0</v>
      </c>
      <c r="O19" s="272">
        <v>1</v>
      </c>
      <c r="P19" s="269" t="s">
        <v>67</v>
      </c>
      <c r="Q19" s="265"/>
      <c r="R19" s="265"/>
      <c r="S19" s="265"/>
      <c r="T19" s="265"/>
      <c r="U19" s="265"/>
      <c r="V19" s="265"/>
      <c r="W19" s="265"/>
      <c r="X19" s="265"/>
      <c r="Y19" s="265"/>
      <c r="Z19" s="265"/>
      <c r="AA19" s="265"/>
      <c r="AB19" s="272" t="s">
        <v>128</v>
      </c>
      <c r="AC19" s="265"/>
      <c r="AD19" s="265"/>
      <c r="AE19" s="265"/>
      <c r="AF19" s="265"/>
      <c r="AG19" s="265"/>
      <c r="AH19" s="265"/>
      <c r="AI19" s="265"/>
      <c r="AJ19" s="265"/>
    </row>
    <row r="20" spans="1:36">
      <c r="A20" s="267" t="s">
        <v>240</v>
      </c>
      <c r="B20" s="268">
        <v>46048</v>
      </c>
      <c r="C20" s="269" t="s">
        <v>112</v>
      </c>
      <c r="D20" s="270" t="s">
        <v>241</v>
      </c>
      <c r="E20" s="269" t="s">
        <v>1</v>
      </c>
      <c r="F20" s="269" t="s">
        <v>232</v>
      </c>
      <c r="G20" s="271">
        <v>0</v>
      </c>
      <c r="H20" s="272">
        <v>180</v>
      </c>
      <c r="I20" s="272">
        <v>0</v>
      </c>
      <c r="J20" s="272">
        <v>0</v>
      </c>
      <c r="K20" s="269" t="s">
        <v>233</v>
      </c>
      <c r="L20" s="273" t="s">
        <v>66</v>
      </c>
      <c r="M20" s="272">
        <v>0</v>
      </c>
      <c r="N20" s="272">
        <v>0</v>
      </c>
      <c r="O20" s="272">
        <v>0</v>
      </c>
      <c r="P20" s="269" t="s">
        <v>67</v>
      </c>
      <c r="Q20" s="265"/>
      <c r="R20" s="265"/>
      <c r="S20" s="265"/>
      <c r="T20" s="265"/>
      <c r="U20" s="265"/>
      <c r="V20" s="265"/>
      <c r="W20" s="265"/>
      <c r="X20" s="265"/>
      <c r="Y20" s="265"/>
      <c r="Z20" s="265"/>
      <c r="AA20" s="265"/>
      <c r="AB20" s="265"/>
      <c r="AC20" s="265"/>
      <c r="AD20" s="265"/>
      <c r="AE20" s="265"/>
      <c r="AF20" s="265"/>
      <c r="AG20" s="265"/>
      <c r="AH20" s="265"/>
      <c r="AI20" s="265"/>
      <c r="AJ20" s="265"/>
    </row>
    <row r="21" spans="1:36">
      <c r="A21" s="267" t="s">
        <v>242</v>
      </c>
      <c r="B21" s="268">
        <v>46049</v>
      </c>
      <c r="C21" s="269" t="s">
        <v>65</v>
      </c>
      <c r="D21" s="270" t="s">
        <v>243</v>
      </c>
      <c r="E21" s="269" t="s">
        <v>1</v>
      </c>
      <c r="F21" s="269" t="s">
        <v>232</v>
      </c>
      <c r="G21" s="271">
        <v>0</v>
      </c>
      <c r="H21" s="272">
        <v>180</v>
      </c>
      <c r="I21" s="272">
        <v>0</v>
      </c>
      <c r="J21" s="272">
        <v>0</v>
      </c>
      <c r="K21" s="269" t="s">
        <v>233</v>
      </c>
      <c r="L21" s="273" t="s">
        <v>66</v>
      </c>
      <c r="M21" s="272">
        <v>0</v>
      </c>
      <c r="N21" s="272">
        <v>0</v>
      </c>
      <c r="O21" s="272">
        <v>0</v>
      </c>
      <c r="P21" s="269" t="s">
        <v>67</v>
      </c>
      <c r="Q21" s="265"/>
      <c r="R21" s="265"/>
      <c r="S21" s="265"/>
      <c r="T21" s="265"/>
      <c r="U21" s="265"/>
      <c r="V21" s="265"/>
      <c r="W21" s="265"/>
      <c r="X21" s="265"/>
      <c r="Y21" s="265"/>
      <c r="Z21" s="265"/>
      <c r="AA21" s="265"/>
      <c r="AB21" s="265"/>
      <c r="AC21" s="265"/>
      <c r="AD21" s="265"/>
      <c r="AE21" s="265"/>
      <c r="AF21" s="265"/>
      <c r="AG21" s="265"/>
      <c r="AH21" s="265"/>
      <c r="AI21" s="265"/>
      <c r="AJ21" s="265"/>
    </row>
    <row r="22" spans="1:36">
      <c r="A22" s="267" t="s">
        <v>230</v>
      </c>
      <c r="B22" s="268">
        <v>46051</v>
      </c>
      <c r="C22" s="269" t="s">
        <v>65</v>
      </c>
      <c r="D22" s="270" t="s">
        <v>231</v>
      </c>
      <c r="E22" s="269" t="s">
        <v>1</v>
      </c>
      <c r="F22" s="269" t="s">
        <v>232</v>
      </c>
      <c r="G22" s="271">
        <v>0</v>
      </c>
      <c r="H22" s="272">
        <v>180</v>
      </c>
      <c r="I22" s="272">
        <v>0</v>
      </c>
      <c r="J22" s="272">
        <v>0</v>
      </c>
      <c r="K22" s="269" t="s">
        <v>233</v>
      </c>
      <c r="L22" s="273" t="s">
        <v>66</v>
      </c>
      <c r="M22" s="272">
        <v>0</v>
      </c>
      <c r="N22" s="272">
        <v>0</v>
      </c>
      <c r="O22" s="272">
        <v>0</v>
      </c>
      <c r="P22" s="269" t="s">
        <v>67</v>
      </c>
      <c r="Q22" s="265"/>
      <c r="R22" s="265"/>
      <c r="S22" s="265"/>
      <c r="T22" s="265"/>
      <c r="U22" s="265"/>
      <c r="V22" s="265"/>
      <c r="W22" s="265"/>
      <c r="X22" s="265"/>
      <c r="Y22" s="265"/>
      <c r="Z22" s="265"/>
      <c r="AA22" s="265"/>
      <c r="AB22" s="265"/>
      <c r="AC22" s="265"/>
      <c r="AD22" s="265"/>
      <c r="AE22" s="265"/>
      <c r="AF22" s="265"/>
      <c r="AG22" s="265"/>
      <c r="AH22" s="265"/>
      <c r="AI22" s="265"/>
      <c r="AJ22" s="265"/>
    </row>
    <row r="23" spans="1:36">
      <c r="A23" s="267" t="s">
        <v>234</v>
      </c>
      <c r="B23" s="268">
        <v>46053</v>
      </c>
      <c r="C23" s="269" t="s">
        <v>65</v>
      </c>
      <c r="D23" s="270" t="s">
        <v>235</v>
      </c>
      <c r="E23" s="269" t="s">
        <v>1</v>
      </c>
      <c r="F23" s="269" t="s">
        <v>232</v>
      </c>
      <c r="G23" s="271">
        <v>0</v>
      </c>
      <c r="H23" s="272">
        <v>180</v>
      </c>
      <c r="I23" s="272">
        <v>0</v>
      </c>
      <c r="J23" s="272">
        <v>0</v>
      </c>
      <c r="K23" s="269" t="s">
        <v>233</v>
      </c>
      <c r="L23" s="273" t="s">
        <v>66</v>
      </c>
      <c r="M23" s="272">
        <v>0</v>
      </c>
      <c r="N23" s="272">
        <v>0</v>
      </c>
      <c r="O23" s="272">
        <v>0</v>
      </c>
      <c r="P23" s="269" t="s">
        <v>67</v>
      </c>
      <c r="Q23" s="265"/>
      <c r="R23" s="265"/>
      <c r="S23" s="265"/>
      <c r="T23" s="265"/>
      <c r="U23" s="265"/>
      <c r="V23" s="265"/>
      <c r="W23" s="265"/>
      <c r="X23" s="265"/>
      <c r="Y23" s="265"/>
      <c r="Z23" s="265"/>
      <c r="AA23" s="265"/>
      <c r="AB23" s="265"/>
      <c r="AC23" s="265"/>
      <c r="AD23" s="265"/>
      <c r="AE23" s="265"/>
      <c r="AF23" s="265"/>
      <c r="AG23" s="265"/>
      <c r="AH23" s="265"/>
      <c r="AI23" s="265"/>
      <c r="AJ23" s="265"/>
    </row>
    <row r="24" spans="1:36" ht="21">
      <c r="A24" s="274" t="s">
        <v>251</v>
      </c>
      <c r="B24" s="275"/>
      <c r="C24" s="274">
        <f>SUBTOTAL(103,CAI_MED_LF_LEGACY[Flt])</f>
        <v>22</v>
      </c>
      <c r="D24" s="274"/>
      <c r="E24" s="274">
        <f>SUBTOTAL(103,CAI_MED_LF_LEGACY[Brd-Off])</f>
        <v>22</v>
      </c>
      <c r="F24" s="274"/>
      <c r="G24" s="276">
        <f>SUBTOTAL(101,CAI_MED_LF_LEGACY[LF%])</f>
        <v>9.3190909090909102E-2</v>
      </c>
      <c r="H24" s="277">
        <f>SUBTOTAL(109,CAI_MED_LF_LEGACY[CAP])</f>
        <v>3960</v>
      </c>
      <c r="I24" s="277">
        <f>SUBTOTAL(109,CAI_MED_LF_LEGACY[BKG(Y)])</f>
        <v>369</v>
      </c>
      <c r="J24" s="277">
        <f>SUBTOTAL(109,CAI_MED_LF_LEGACY[GRP(Y)])</f>
        <v>305</v>
      </c>
      <c r="K24" s="274"/>
      <c r="L24" s="275"/>
      <c r="M24" s="277">
        <f>SUBTOTAL(109,CAI_MED_LF_LEGACY[TO-DAY])</f>
        <v>0</v>
      </c>
      <c r="N24" s="277">
        <f>SUBTOTAL(109,CAI_MED_LF_LEGACY[Y-DAY])</f>
        <v>0</v>
      </c>
      <c r="O24" s="277">
        <f>SUBTOTAL(109,CAI_MED_LF_LEGACY[WEEKLY])</f>
        <v>75</v>
      </c>
      <c r="P24" s="274"/>
      <c r="Q24" s="277">
        <f>SUBTOTAL(109,CAI_MED_LF_LEGACY[Y])</f>
        <v>0</v>
      </c>
      <c r="R24" s="277">
        <f>SUBTOTAL(109,CAI_MED_LF_LEGACY[B])</f>
        <v>0</v>
      </c>
      <c r="S24" s="277">
        <f>SUBTOTAL(109,CAI_MED_LF_LEGACY[M])</f>
        <v>0</v>
      </c>
      <c r="T24" s="277">
        <f>SUBTOTAL(109,CAI_MED_LF_LEGACY[H])</f>
        <v>0</v>
      </c>
      <c r="U24" s="277">
        <f>SUBTOTAL(109,CAI_MED_LF_LEGACY[Q])</f>
        <v>0</v>
      </c>
      <c r="V24" s="277">
        <f>SUBTOTAL(109,CAI_MED_LF_LEGACY[K])</f>
        <v>0</v>
      </c>
      <c r="W24" s="277">
        <f>SUBTOTAL(109,CAI_MED_LF_LEGACY[V])</f>
        <v>0</v>
      </c>
      <c r="X24" s="277">
        <f>SUBTOTAL(109,CAI_MED_LF_LEGACY[L])</f>
        <v>0</v>
      </c>
      <c r="Y24" s="277">
        <f>SUBTOTAL(109,CAI_MED_LF_LEGACY[G])</f>
        <v>0</v>
      </c>
      <c r="Z24" s="277">
        <f>SUBTOTAL(109,CAI_MED_LF_LEGACY[S])</f>
        <v>0</v>
      </c>
      <c r="AA24" s="277">
        <f>SUBTOTAL(109,CAI_MED_LF_LEGACY[W])</f>
        <v>0</v>
      </c>
      <c r="AB24" s="277">
        <f>SUBTOTAL(109,CAI_MED_LF_LEGACY[T])</f>
        <v>0</v>
      </c>
      <c r="AC24" s="277">
        <f>SUBTOTAL(109,CAI_MED_LF_LEGACY[X])</f>
        <v>0</v>
      </c>
      <c r="AD24" s="277">
        <f>SUBTOTAL(109,CAI_MED_LF_LEGACY[U])</f>
        <v>0</v>
      </c>
      <c r="AE24" s="277">
        <f>SUBTOTAL(109,CAI_MED_LF_LEGACY[O])</f>
        <v>0</v>
      </c>
      <c r="AF24" s="277">
        <f>SUBTOTAL(109,CAI_MED_LF_LEGACY[I])</f>
        <v>0</v>
      </c>
      <c r="AG24" s="277">
        <f>SUBTOTAL(109,CAI_MED_LF_LEGACY[E])</f>
        <v>0</v>
      </c>
      <c r="AH24" s="277">
        <f>SUBTOTAL(109,CAI_MED_LF_LEGACY[A])</f>
        <v>0</v>
      </c>
      <c r="AI24" s="277">
        <f>SUBTOTAL(109,CAI_MED_LF_LEGACY[P])</f>
        <v>0</v>
      </c>
      <c r="AJ24" s="277">
        <f>SUBTOTAL(103,CAI_MED_LF_LEGACY[N])</f>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09"/>
  <sheetViews>
    <sheetView workbookViewId="0"/>
  </sheetViews>
  <sheetFormatPr defaultRowHeight="14.45"/>
  <cols>
    <col min="1" max="1" width="11.85546875" bestFit="1" customWidth="1"/>
    <col min="2" max="2" width="13.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65.28515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1" t="s">
        <v>254</v>
      </c>
      <c r="B2" s="112" t="s">
        <v>26</v>
      </c>
      <c r="C2" s="113" t="s">
        <v>27</v>
      </c>
      <c r="D2" s="112" t="s">
        <v>1</v>
      </c>
      <c r="E2" s="112" t="s">
        <v>255</v>
      </c>
      <c r="F2" s="112" t="s">
        <v>28</v>
      </c>
      <c r="G2" s="114">
        <v>4</v>
      </c>
      <c r="H2" s="115" t="s">
        <v>30</v>
      </c>
    </row>
    <row r="3" spans="1:8" ht="19.899999999999999" customHeight="1">
      <c r="A3" s="111" t="s">
        <v>254</v>
      </c>
      <c r="B3" s="112" t="s">
        <v>26</v>
      </c>
      <c r="C3" s="113" t="s">
        <v>36</v>
      </c>
      <c r="D3" s="112" t="s">
        <v>1</v>
      </c>
      <c r="E3" s="112" t="s">
        <v>256</v>
      </c>
      <c r="F3" s="112" t="s">
        <v>28</v>
      </c>
      <c r="G3" s="114">
        <v>4</v>
      </c>
      <c r="H3" s="115" t="s">
        <v>30</v>
      </c>
    </row>
    <row r="4" spans="1:8" ht="19.899999999999999" customHeight="1">
      <c r="A4" s="111" t="s">
        <v>254</v>
      </c>
      <c r="B4" s="112" t="s">
        <v>38</v>
      </c>
      <c r="C4" s="113" t="s">
        <v>39</v>
      </c>
      <c r="D4" s="112" t="s">
        <v>1</v>
      </c>
      <c r="E4" s="112" t="s">
        <v>257</v>
      </c>
      <c r="F4" s="112" t="s">
        <v>40</v>
      </c>
      <c r="G4" s="114">
        <v>20</v>
      </c>
      <c r="H4" s="115" t="s">
        <v>42</v>
      </c>
    </row>
    <row r="5" spans="1:8" ht="19.899999999999999" customHeight="1">
      <c r="A5" s="111" t="s">
        <v>254</v>
      </c>
      <c r="B5" s="112" t="s">
        <v>26</v>
      </c>
      <c r="C5" s="113" t="s">
        <v>27</v>
      </c>
      <c r="D5" s="112" t="s">
        <v>1</v>
      </c>
      <c r="E5" s="112" t="s">
        <v>255</v>
      </c>
      <c r="F5" s="112" t="s">
        <v>31</v>
      </c>
      <c r="G5" s="114">
        <v>4</v>
      </c>
      <c r="H5" s="115" t="s">
        <v>33</v>
      </c>
    </row>
    <row r="6" spans="1:8" ht="19.899999999999999" customHeight="1">
      <c r="A6" s="111" t="s">
        <v>254</v>
      </c>
      <c r="B6" s="112" t="s">
        <v>26</v>
      </c>
      <c r="C6" s="113" t="s">
        <v>36</v>
      </c>
      <c r="D6" s="112" t="s">
        <v>1</v>
      </c>
      <c r="E6" s="112" t="s">
        <v>256</v>
      </c>
      <c r="F6" s="112" t="s">
        <v>31</v>
      </c>
      <c r="G6" s="114">
        <v>4</v>
      </c>
      <c r="H6" s="115" t="s">
        <v>33</v>
      </c>
    </row>
    <row r="7" spans="1:8" ht="19.899999999999999" customHeight="1">
      <c r="A7" s="111" t="s">
        <v>254</v>
      </c>
      <c r="B7" s="112" t="s">
        <v>48</v>
      </c>
      <c r="C7" s="113" t="s">
        <v>49</v>
      </c>
      <c r="D7" s="112" t="s">
        <v>1</v>
      </c>
      <c r="E7" s="112" t="s">
        <v>258</v>
      </c>
      <c r="F7" s="112" t="s">
        <v>50</v>
      </c>
      <c r="G7" s="114">
        <v>9</v>
      </c>
      <c r="H7" s="115" t="s">
        <v>52</v>
      </c>
    </row>
    <row r="8" spans="1:8" ht="19.899999999999999" customHeight="1">
      <c r="A8" s="111" t="s">
        <v>254</v>
      </c>
      <c r="B8" s="112" t="s">
        <v>48</v>
      </c>
      <c r="C8" s="113" t="s">
        <v>56</v>
      </c>
      <c r="D8" s="112" t="s">
        <v>1</v>
      </c>
      <c r="E8" s="112" t="s">
        <v>259</v>
      </c>
      <c r="F8" s="112" t="s">
        <v>50</v>
      </c>
      <c r="G8" s="114">
        <v>9</v>
      </c>
      <c r="H8" s="115" t="s">
        <v>52</v>
      </c>
    </row>
    <row r="9" spans="1:8" ht="19.899999999999999" customHeight="1">
      <c r="A9" s="111" t="s">
        <v>254</v>
      </c>
      <c r="B9" s="112" t="s">
        <v>48</v>
      </c>
      <c r="C9" s="113" t="s">
        <v>58</v>
      </c>
      <c r="D9" s="112" t="s">
        <v>1</v>
      </c>
      <c r="E9" s="112" t="s">
        <v>260</v>
      </c>
      <c r="F9" s="112" t="s">
        <v>50</v>
      </c>
      <c r="G9" s="114">
        <v>9</v>
      </c>
      <c r="H9" s="115" t="s">
        <v>52</v>
      </c>
    </row>
    <row r="10" spans="1:8" ht="19.899999999999999" customHeight="1">
      <c r="A10" s="111" t="s">
        <v>254</v>
      </c>
      <c r="B10" s="112" t="s">
        <v>38</v>
      </c>
      <c r="C10" s="113" t="s">
        <v>39</v>
      </c>
      <c r="D10" s="112" t="s">
        <v>1</v>
      </c>
      <c r="E10" s="112" t="s">
        <v>257</v>
      </c>
      <c r="F10" s="112" t="s">
        <v>43</v>
      </c>
      <c r="G10" s="114">
        <v>20</v>
      </c>
      <c r="H10" s="115" t="s">
        <v>45</v>
      </c>
    </row>
    <row r="11" spans="1:8" ht="19.899999999999999" customHeight="1">
      <c r="A11" s="111" t="s">
        <v>254</v>
      </c>
      <c r="B11" s="112" t="s">
        <v>26</v>
      </c>
      <c r="C11" s="113" t="s">
        <v>27</v>
      </c>
      <c r="D11" s="112" t="s">
        <v>1</v>
      </c>
      <c r="E11" s="112" t="s">
        <v>255</v>
      </c>
      <c r="F11" s="112" t="s">
        <v>34</v>
      </c>
      <c r="G11" s="114">
        <v>4</v>
      </c>
      <c r="H11" s="115" t="s">
        <v>35</v>
      </c>
    </row>
    <row r="12" spans="1:8" ht="19.899999999999999" customHeight="1">
      <c r="A12" s="111" t="s">
        <v>254</v>
      </c>
      <c r="B12" s="112" t="s">
        <v>26</v>
      </c>
      <c r="C12" s="113" t="s">
        <v>36</v>
      </c>
      <c r="D12" s="112" t="s">
        <v>1</v>
      </c>
      <c r="E12" s="112" t="s">
        <v>256</v>
      </c>
      <c r="F12" s="112" t="s">
        <v>34</v>
      </c>
      <c r="G12" s="114">
        <v>4</v>
      </c>
      <c r="H12" s="115" t="s">
        <v>35</v>
      </c>
    </row>
    <row r="13" spans="1:8" ht="19.899999999999999" customHeight="1">
      <c r="A13" s="116" t="s">
        <v>254</v>
      </c>
      <c r="B13" s="117" t="s">
        <v>61</v>
      </c>
      <c r="C13" s="118" t="s">
        <v>62</v>
      </c>
      <c r="D13" s="117" t="s">
        <v>1</v>
      </c>
      <c r="E13" s="117" t="s">
        <v>231</v>
      </c>
      <c r="F13" s="117" t="s">
        <v>63</v>
      </c>
      <c r="G13" s="119">
        <v>9</v>
      </c>
      <c r="H13" s="120" t="s">
        <v>64</v>
      </c>
    </row>
    <row r="14" spans="1:8" ht="19.899999999999999" customHeight="1">
      <c r="A14" s="121">
        <v>46023</v>
      </c>
      <c r="B14" s="112" t="s">
        <v>48</v>
      </c>
      <c r="C14" s="113" t="s">
        <v>49</v>
      </c>
      <c r="D14" s="112" t="s">
        <v>1</v>
      </c>
      <c r="E14" s="122">
        <v>1.354166666666667</v>
      </c>
      <c r="F14" s="112" t="s">
        <v>53</v>
      </c>
      <c r="G14" s="114">
        <v>9</v>
      </c>
      <c r="H14" s="115" t="s">
        <v>55</v>
      </c>
    </row>
    <row r="15" spans="1:8" ht="19.899999999999999" customHeight="1">
      <c r="A15" s="121">
        <v>46023</v>
      </c>
      <c r="B15" s="112" t="s">
        <v>48</v>
      </c>
      <c r="C15" s="113" t="s">
        <v>56</v>
      </c>
      <c r="D15" s="112" t="s">
        <v>1</v>
      </c>
      <c r="E15" s="122">
        <v>1.895833333333333</v>
      </c>
      <c r="F15" s="112" t="s">
        <v>53</v>
      </c>
      <c r="G15" s="114">
        <v>9</v>
      </c>
      <c r="H15" s="115" t="s">
        <v>55</v>
      </c>
    </row>
    <row r="16" spans="1:8" ht="19.899999999999999" customHeight="1">
      <c r="A16" s="121">
        <v>46023</v>
      </c>
      <c r="B16" s="112" t="s">
        <v>48</v>
      </c>
      <c r="C16" s="113" t="s">
        <v>58</v>
      </c>
      <c r="D16" s="112" t="s">
        <v>1</v>
      </c>
      <c r="E16" s="122">
        <v>1.1840277777777779</v>
      </c>
      <c r="F16" s="112" t="s">
        <v>53</v>
      </c>
      <c r="G16" s="114">
        <v>9</v>
      </c>
      <c r="H16" s="115" t="s">
        <v>55</v>
      </c>
    </row>
    <row r="17" spans="1:8" ht="19.899999999999999" customHeight="1">
      <c r="A17" s="121">
        <v>46023</v>
      </c>
      <c r="B17" s="112" t="s">
        <v>68</v>
      </c>
      <c r="C17" s="113" t="s">
        <v>69</v>
      </c>
      <c r="D17" s="112" t="s">
        <v>1</v>
      </c>
      <c r="E17" s="122">
        <v>1.9409722222222221</v>
      </c>
      <c r="F17" s="112" t="s">
        <v>70</v>
      </c>
      <c r="G17" s="114">
        <v>9</v>
      </c>
      <c r="H17" s="115" t="s">
        <v>71</v>
      </c>
    </row>
    <row r="18" spans="1:8" ht="19.899999999999999" customHeight="1">
      <c r="A18" s="121">
        <v>46023</v>
      </c>
      <c r="B18" s="112" t="s">
        <v>68</v>
      </c>
      <c r="C18" s="113" t="s">
        <v>72</v>
      </c>
      <c r="D18" s="112" t="s">
        <v>1</v>
      </c>
      <c r="E18" s="122">
        <v>1.0659722222222221</v>
      </c>
      <c r="F18" s="112" t="s">
        <v>70</v>
      </c>
      <c r="G18" s="114">
        <v>9</v>
      </c>
      <c r="H18" s="115" t="s">
        <v>71</v>
      </c>
    </row>
    <row r="19" spans="1:8" ht="19.899999999999999" customHeight="1">
      <c r="A19" s="121">
        <v>46023</v>
      </c>
      <c r="B19" s="112" t="s">
        <v>68</v>
      </c>
      <c r="C19" s="113" t="s">
        <v>73</v>
      </c>
      <c r="D19" s="112" t="s">
        <v>1</v>
      </c>
      <c r="E19" s="122">
        <v>1.288194444444444</v>
      </c>
      <c r="F19" s="112" t="s">
        <v>70</v>
      </c>
      <c r="G19" s="114">
        <v>9</v>
      </c>
      <c r="H19" s="115" t="s">
        <v>71</v>
      </c>
    </row>
    <row r="20" spans="1:8" ht="19.899999999999999" customHeight="1">
      <c r="A20" s="121">
        <v>46023</v>
      </c>
      <c r="B20" s="112" t="s">
        <v>38</v>
      </c>
      <c r="C20" s="113" t="s">
        <v>39</v>
      </c>
      <c r="D20" s="112" t="s">
        <v>1</v>
      </c>
      <c r="E20" s="122">
        <v>1.229166666666667</v>
      </c>
      <c r="F20" s="112" t="s">
        <v>46</v>
      </c>
      <c r="G20" s="114">
        <v>20</v>
      </c>
      <c r="H20" s="115" t="s">
        <v>47</v>
      </c>
    </row>
    <row r="21" spans="1:8" ht="19.899999999999999" customHeight="1">
      <c r="A21" s="121">
        <v>46023</v>
      </c>
      <c r="B21" s="112" t="s">
        <v>68</v>
      </c>
      <c r="C21" s="113" t="s">
        <v>74</v>
      </c>
      <c r="D21" s="112" t="s">
        <v>1</v>
      </c>
      <c r="E21" s="122">
        <v>1.336805555555556</v>
      </c>
      <c r="F21" s="112" t="s">
        <v>70</v>
      </c>
      <c r="G21" s="114">
        <v>9</v>
      </c>
      <c r="H21" s="115" t="s">
        <v>75</v>
      </c>
    </row>
    <row r="22" spans="1:8" ht="19.899999999999999" customHeight="1">
      <c r="A22" s="121">
        <v>46023</v>
      </c>
      <c r="B22" s="112" t="s">
        <v>48</v>
      </c>
      <c r="C22" s="113" t="s">
        <v>59</v>
      </c>
      <c r="D22" s="112" t="s">
        <v>1</v>
      </c>
      <c r="E22" s="122">
        <v>1.229166666666667</v>
      </c>
      <c r="F22" s="112" t="s">
        <v>53</v>
      </c>
      <c r="G22" s="114">
        <v>4</v>
      </c>
      <c r="H22" s="115" t="s">
        <v>60</v>
      </c>
    </row>
    <row r="23" spans="1:8" ht="19.899999999999999" customHeight="1">
      <c r="A23" s="123">
        <v>46023</v>
      </c>
      <c r="B23" s="124" t="s">
        <v>68</v>
      </c>
      <c r="C23" s="125" t="s">
        <v>76</v>
      </c>
      <c r="D23" s="124" t="s">
        <v>1</v>
      </c>
      <c r="E23" s="126">
        <v>1.697916666666667</v>
      </c>
      <c r="F23" s="124" t="s">
        <v>70</v>
      </c>
      <c r="G23" s="127">
        <v>9</v>
      </c>
      <c r="H23" s="128" t="s">
        <v>77</v>
      </c>
    </row>
    <row r="24" spans="1:8" ht="19.899999999999999" customHeight="1">
      <c r="A24" s="121">
        <v>46024</v>
      </c>
      <c r="B24" s="112" t="s">
        <v>38</v>
      </c>
      <c r="C24" s="113" t="s">
        <v>39</v>
      </c>
      <c r="D24" s="112" t="s">
        <v>1</v>
      </c>
      <c r="E24" s="122">
        <v>1.229166666666667</v>
      </c>
      <c r="F24" s="112" t="s">
        <v>40</v>
      </c>
      <c r="G24" s="114">
        <v>4</v>
      </c>
      <c r="H24" s="115" t="s">
        <v>78</v>
      </c>
    </row>
    <row r="25" spans="1:8" ht="19.899999999999999" customHeight="1">
      <c r="A25" s="121">
        <v>46024</v>
      </c>
      <c r="B25" s="112" t="s">
        <v>26</v>
      </c>
      <c r="C25" s="113" t="s">
        <v>27</v>
      </c>
      <c r="D25" s="112" t="s">
        <v>1</v>
      </c>
      <c r="E25" s="122">
        <v>1.6076388888888891</v>
      </c>
      <c r="F25" s="112" t="s">
        <v>28</v>
      </c>
      <c r="G25" s="114">
        <v>9</v>
      </c>
      <c r="H25" s="115" t="s">
        <v>81</v>
      </c>
    </row>
    <row r="26" spans="1:8" ht="19.899999999999999" customHeight="1">
      <c r="A26" s="121">
        <v>46024</v>
      </c>
      <c r="B26" s="112" t="s">
        <v>26</v>
      </c>
      <c r="C26" s="113" t="s">
        <v>27</v>
      </c>
      <c r="D26" s="112" t="s">
        <v>1</v>
      </c>
      <c r="E26" s="122">
        <v>1.6076388888888891</v>
      </c>
      <c r="F26" s="112" t="s">
        <v>31</v>
      </c>
      <c r="G26" s="114">
        <v>9</v>
      </c>
      <c r="H26" s="115" t="s">
        <v>83</v>
      </c>
    </row>
    <row r="27" spans="1:8" ht="19.899999999999999" customHeight="1">
      <c r="A27" s="121">
        <v>46024</v>
      </c>
      <c r="B27" s="112" t="s">
        <v>38</v>
      </c>
      <c r="C27" s="113" t="s">
        <v>39</v>
      </c>
      <c r="D27" s="112" t="s">
        <v>1</v>
      </c>
      <c r="E27" s="122">
        <v>1.229166666666667</v>
      </c>
      <c r="F27" s="112" t="s">
        <v>43</v>
      </c>
      <c r="G27" s="114">
        <v>4</v>
      </c>
      <c r="H27" s="115" t="s">
        <v>79</v>
      </c>
    </row>
    <row r="28" spans="1:8" ht="19.899999999999999" customHeight="1">
      <c r="A28" s="121">
        <v>46024</v>
      </c>
      <c r="B28" s="112" t="s">
        <v>26</v>
      </c>
      <c r="C28" s="113" t="s">
        <v>27</v>
      </c>
      <c r="D28" s="112" t="s">
        <v>1</v>
      </c>
      <c r="E28" s="122">
        <v>1.6076388888888891</v>
      </c>
      <c r="F28" s="112" t="s">
        <v>34</v>
      </c>
      <c r="G28" s="114">
        <v>9</v>
      </c>
      <c r="H28" s="115" t="s">
        <v>45</v>
      </c>
    </row>
    <row r="29" spans="1:8" ht="19.899999999999999" customHeight="1">
      <c r="A29" s="121">
        <v>46024</v>
      </c>
      <c r="B29" s="112" t="s">
        <v>68</v>
      </c>
      <c r="C29" s="113" t="s">
        <v>69</v>
      </c>
      <c r="D29" s="112" t="s">
        <v>1</v>
      </c>
      <c r="E29" s="122">
        <v>1.9409722222222221</v>
      </c>
      <c r="F29" s="112" t="s">
        <v>70</v>
      </c>
      <c r="G29" s="114">
        <v>9</v>
      </c>
      <c r="H29" s="115" t="s">
        <v>71</v>
      </c>
    </row>
    <row r="30" spans="1:8" ht="19.899999999999999" customHeight="1">
      <c r="A30" s="121">
        <v>46024</v>
      </c>
      <c r="B30" s="112" t="s">
        <v>68</v>
      </c>
      <c r="C30" s="113" t="s">
        <v>76</v>
      </c>
      <c r="D30" s="112" t="s">
        <v>1</v>
      </c>
      <c r="E30" s="122">
        <v>1.697916666666667</v>
      </c>
      <c r="F30" s="112" t="s">
        <v>70</v>
      </c>
      <c r="G30" s="114">
        <v>9</v>
      </c>
      <c r="H30" s="115" t="s">
        <v>71</v>
      </c>
    </row>
    <row r="31" spans="1:8" ht="19.899999999999999" customHeight="1">
      <c r="A31" s="121">
        <v>46024</v>
      </c>
      <c r="B31" s="112" t="s">
        <v>68</v>
      </c>
      <c r="C31" s="113" t="s">
        <v>72</v>
      </c>
      <c r="D31" s="112" t="s">
        <v>1</v>
      </c>
      <c r="E31" s="122">
        <v>1.0659722222222221</v>
      </c>
      <c r="F31" s="112" t="s">
        <v>70</v>
      </c>
      <c r="G31" s="114">
        <v>9</v>
      </c>
      <c r="H31" s="115" t="s">
        <v>71</v>
      </c>
    </row>
    <row r="32" spans="1:8" ht="19.899999999999999" customHeight="1">
      <c r="A32" s="121">
        <v>46024</v>
      </c>
      <c r="B32" s="112" t="s">
        <v>68</v>
      </c>
      <c r="C32" s="113" t="s">
        <v>73</v>
      </c>
      <c r="D32" s="112" t="s">
        <v>1</v>
      </c>
      <c r="E32" s="122">
        <v>1.288194444444444</v>
      </c>
      <c r="F32" s="112" t="s">
        <v>70</v>
      </c>
      <c r="G32" s="114">
        <v>9</v>
      </c>
      <c r="H32" s="115" t="s">
        <v>71</v>
      </c>
    </row>
    <row r="33" spans="1:8" ht="19.899999999999999" customHeight="1">
      <c r="A33" s="121">
        <v>46024</v>
      </c>
      <c r="B33" s="112" t="s">
        <v>38</v>
      </c>
      <c r="C33" s="113" t="s">
        <v>39</v>
      </c>
      <c r="D33" s="112" t="s">
        <v>1</v>
      </c>
      <c r="E33" s="122">
        <v>1.229166666666667</v>
      </c>
      <c r="F33" s="112" t="s">
        <v>46</v>
      </c>
      <c r="G33" s="114">
        <v>4</v>
      </c>
      <c r="H33" s="115" t="s">
        <v>47</v>
      </c>
    </row>
    <row r="34" spans="1:8" ht="19.899999999999999" customHeight="1">
      <c r="A34" s="121">
        <v>46024</v>
      </c>
      <c r="B34" s="112" t="s">
        <v>68</v>
      </c>
      <c r="C34" s="113" t="s">
        <v>74</v>
      </c>
      <c r="D34" s="112" t="s">
        <v>1</v>
      </c>
      <c r="E34" s="122">
        <v>1.336805555555556</v>
      </c>
      <c r="F34" s="112" t="s">
        <v>70</v>
      </c>
      <c r="G34" s="114">
        <v>9</v>
      </c>
      <c r="H34" s="115" t="s">
        <v>84</v>
      </c>
    </row>
    <row r="35" spans="1:8" ht="19.899999999999999" customHeight="1">
      <c r="A35" s="121">
        <v>46024</v>
      </c>
      <c r="B35" s="112" t="s">
        <v>48</v>
      </c>
      <c r="C35" s="113" t="s">
        <v>59</v>
      </c>
      <c r="D35" s="112" t="s">
        <v>1</v>
      </c>
      <c r="E35" s="122">
        <v>1.229166666666667</v>
      </c>
      <c r="F35" s="112" t="s">
        <v>53</v>
      </c>
      <c r="G35" s="114">
        <v>4</v>
      </c>
      <c r="H35" s="115" t="s">
        <v>85</v>
      </c>
    </row>
    <row r="36" spans="1:8" ht="19.899999999999999" customHeight="1">
      <c r="A36" s="121">
        <v>46024</v>
      </c>
      <c r="B36" s="112" t="s">
        <v>48</v>
      </c>
      <c r="C36" s="113" t="s">
        <v>49</v>
      </c>
      <c r="D36" s="112" t="s">
        <v>1</v>
      </c>
      <c r="E36" s="122">
        <v>1.350694444444444</v>
      </c>
      <c r="F36" s="112" t="s">
        <v>53</v>
      </c>
      <c r="G36" s="114">
        <v>9</v>
      </c>
      <c r="H36" s="115" t="s">
        <v>86</v>
      </c>
    </row>
    <row r="37" spans="1:8" ht="19.899999999999999" customHeight="1">
      <c r="A37" s="121">
        <v>46024</v>
      </c>
      <c r="B37" s="112" t="s">
        <v>48</v>
      </c>
      <c r="C37" s="113" t="s">
        <v>56</v>
      </c>
      <c r="D37" s="112" t="s">
        <v>1</v>
      </c>
      <c r="E37" s="122">
        <v>1.895833333333333</v>
      </c>
      <c r="F37" s="112" t="s">
        <v>53</v>
      </c>
      <c r="G37" s="114">
        <v>9</v>
      </c>
      <c r="H37" s="115" t="s">
        <v>86</v>
      </c>
    </row>
    <row r="38" spans="1:8" ht="19.899999999999999" customHeight="1">
      <c r="A38" s="123">
        <v>46024</v>
      </c>
      <c r="B38" s="124" t="s">
        <v>48</v>
      </c>
      <c r="C38" s="125" t="s">
        <v>58</v>
      </c>
      <c r="D38" s="124" t="s">
        <v>1</v>
      </c>
      <c r="E38" s="126">
        <v>1.1840277777777779</v>
      </c>
      <c r="F38" s="124" t="s">
        <v>53</v>
      </c>
      <c r="G38" s="127">
        <v>9</v>
      </c>
      <c r="H38" s="128" t="s">
        <v>86</v>
      </c>
    </row>
    <row r="39" spans="1:8" ht="19.899999999999999" customHeight="1">
      <c r="A39" s="121">
        <v>46025</v>
      </c>
      <c r="B39" s="112" t="s">
        <v>38</v>
      </c>
      <c r="C39" s="113" t="s">
        <v>87</v>
      </c>
      <c r="D39" s="112" t="s">
        <v>1</v>
      </c>
      <c r="E39" s="122">
        <v>1.0625</v>
      </c>
      <c r="F39" s="112" t="s">
        <v>40</v>
      </c>
      <c r="G39" s="114">
        <v>20</v>
      </c>
      <c r="H39" s="115" t="s">
        <v>88</v>
      </c>
    </row>
    <row r="40" spans="1:8" ht="19.899999999999999" customHeight="1">
      <c r="A40" s="121">
        <v>46025</v>
      </c>
      <c r="B40" s="112" t="s">
        <v>38</v>
      </c>
      <c r="C40" s="113" t="s">
        <v>39</v>
      </c>
      <c r="D40" s="112" t="s">
        <v>1</v>
      </c>
      <c r="E40" s="122">
        <v>1.229166666666667</v>
      </c>
      <c r="F40" s="112" t="s">
        <v>40</v>
      </c>
      <c r="G40" s="114">
        <v>9</v>
      </c>
      <c r="H40" s="115" t="s">
        <v>78</v>
      </c>
    </row>
    <row r="41" spans="1:8" ht="19.899999999999999" customHeight="1">
      <c r="A41" s="121">
        <v>46025</v>
      </c>
      <c r="B41" s="112" t="s">
        <v>26</v>
      </c>
      <c r="C41" s="113" t="s">
        <v>27</v>
      </c>
      <c r="D41" s="112" t="s">
        <v>1</v>
      </c>
      <c r="E41" s="122">
        <v>1.6076388888888891</v>
      </c>
      <c r="F41" s="112" t="s">
        <v>28</v>
      </c>
      <c r="G41" s="114">
        <v>9</v>
      </c>
      <c r="H41" s="115" t="s">
        <v>30</v>
      </c>
    </row>
    <row r="42" spans="1:8" ht="19.899999999999999" customHeight="1">
      <c r="A42" s="121">
        <v>46025</v>
      </c>
      <c r="B42" s="112" t="s">
        <v>26</v>
      </c>
      <c r="C42" s="113" t="s">
        <v>36</v>
      </c>
      <c r="D42" s="112" t="s">
        <v>1</v>
      </c>
      <c r="E42" s="122">
        <v>1.4340277777777779</v>
      </c>
      <c r="F42" s="112" t="s">
        <v>28</v>
      </c>
      <c r="G42" s="114">
        <v>2</v>
      </c>
      <c r="H42" s="115" t="s">
        <v>30</v>
      </c>
    </row>
    <row r="43" spans="1:8" ht="19.899999999999999" customHeight="1">
      <c r="A43" s="121">
        <v>46025</v>
      </c>
      <c r="B43" s="112" t="s">
        <v>38</v>
      </c>
      <c r="C43" s="113" t="s">
        <v>87</v>
      </c>
      <c r="D43" s="112" t="s">
        <v>1</v>
      </c>
      <c r="E43" s="122">
        <v>1.0625</v>
      </c>
      <c r="F43" s="112" t="s">
        <v>43</v>
      </c>
      <c r="G43" s="114">
        <v>20</v>
      </c>
      <c r="H43" s="115" t="s">
        <v>89</v>
      </c>
    </row>
    <row r="44" spans="1:8" ht="19.899999999999999" customHeight="1">
      <c r="A44" s="121">
        <v>46025</v>
      </c>
      <c r="B44" s="112" t="s">
        <v>26</v>
      </c>
      <c r="C44" s="113" t="s">
        <v>27</v>
      </c>
      <c r="D44" s="112" t="s">
        <v>1</v>
      </c>
      <c r="E44" s="122">
        <v>1.6076388888888891</v>
      </c>
      <c r="F44" s="112" t="s">
        <v>31</v>
      </c>
      <c r="G44" s="114">
        <v>9</v>
      </c>
      <c r="H44" s="115" t="s">
        <v>33</v>
      </c>
    </row>
    <row r="45" spans="1:8" ht="19.899999999999999" customHeight="1">
      <c r="A45" s="121">
        <v>46025</v>
      </c>
      <c r="B45" s="112" t="s">
        <v>26</v>
      </c>
      <c r="C45" s="113" t="s">
        <v>36</v>
      </c>
      <c r="D45" s="112" t="s">
        <v>1</v>
      </c>
      <c r="E45" s="122">
        <v>1.4340277777777779</v>
      </c>
      <c r="F45" s="112" t="s">
        <v>31</v>
      </c>
      <c r="G45" s="114">
        <v>2</v>
      </c>
      <c r="H45" s="115" t="s">
        <v>33</v>
      </c>
    </row>
    <row r="46" spans="1:8" ht="19.899999999999999" customHeight="1">
      <c r="A46" s="121">
        <v>46025</v>
      </c>
      <c r="B46" s="112" t="s">
        <v>38</v>
      </c>
      <c r="C46" s="113" t="s">
        <v>39</v>
      </c>
      <c r="D46" s="112" t="s">
        <v>1</v>
      </c>
      <c r="E46" s="122">
        <v>1.229166666666667</v>
      </c>
      <c r="F46" s="112" t="s">
        <v>43</v>
      </c>
      <c r="G46" s="114">
        <v>9</v>
      </c>
      <c r="H46" s="115" t="s">
        <v>79</v>
      </c>
    </row>
    <row r="47" spans="1:8" ht="19.899999999999999" customHeight="1">
      <c r="A47" s="121">
        <v>46025</v>
      </c>
      <c r="B47" s="112" t="s">
        <v>26</v>
      </c>
      <c r="C47" s="113" t="s">
        <v>27</v>
      </c>
      <c r="D47" s="112" t="s">
        <v>1</v>
      </c>
      <c r="E47" s="122">
        <v>1.6076388888888891</v>
      </c>
      <c r="F47" s="112" t="s">
        <v>34</v>
      </c>
      <c r="G47" s="114">
        <v>9</v>
      </c>
      <c r="H47" s="115" t="s">
        <v>35</v>
      </c>
    </row>
    <row r="48" spans="1:8" ht="19.899999999999999" customHeight="1">
      <c r="A48" s="121">
        <v>46025</v>
      </c>
      <c r="B48" s="112" t="s">
        <v>26</v>
      </c>
      <c r="C48" s="113" t="s">
        <v>36</v>
      </c>
      <c r="D48" s="112" t="s">
        <v>1</v>
      </c>
      <c r="E48" s="122">
        <v>1.4340277777777779</v>
      </c>
      <c r="F48" s="112" t="s">
        <v>34</v>
      </c>
      <c r="G48" s="114">
        <v>2</v>
      </c>
      <c r="H48" s="115" t="s">
        <v>35</v>
      </c>
    </row>
    <row r="49" spans="1:8" ht="19.899999999999999" customHeight="1">
      <c r="A49" s="129">
        <v>46025</v>
      </c>
      <c r="B49" s="117" t="s">
        <v>61</v>
      </c>
      <c r="C49" s="118" t="s">
        <v>62</v>
      </c>
      <c r="D49" s="117" t="s">
        <v>1</v>
      </c>
      <c r="E49" s="130">
        <v>1.2361111111111109</v>
      </c>
      <c r="F49" s="117" t="s">
        <v>63</v>
      </c>
      <c r="G49" s="119">
        <v>9</v>
      </c>
      <c r="H49" s="120" t="s">
        <v>64</v>
      </c>
    </row>
    <row r="50" spans="1:8" ht="19.899999999999999" customHeight="1">
      <c r="A50" s="121">
        <v>46025</v>
      </c>
      <c r="B50" s="112" t="s">
        <v>68</v>
      </c>
      <c r="C50" s="113" t="s">
        <v>69</v>
      </c>
      <c r="D50" s="112" t="s">
        <v>1</v>
      </c>
      <c r="E50" s="122">
        <v>1.9409722222222221</v>
      </c>
      <c r="F50" s="112" t="s">
        <v>70</v>
      </c>
      <c r="G50" s="114">
        <v>9</v>
      </c>
      <c r="H50" s="115" t="s">
        <v>71</v>
      </c>
    </row>
    <row r="51" spans="1:8" ht="19.899999999999999" customHeight="1">
      <c r="A51" s="121">
        <v>46025</v>
      </c>
      <c r="B51" s="112" t="s">
        <v>68</v>
      </c>
      <c r="C51" s="113" t="s">
        <v>76</v>
      </c>
      <c r="D51" s="112" t="s">
        <v>1</v>
      </c>
      <c r="E51" s="122">
        <v>1.697916666666667</v>
      </c>
      <c r="F51" s="112" t="s">
        <v>70</v>
      </c>
      <c r="G51" s="114">
        <v>9</v>
      </c>
      <c r="H51" s="115" t="s">
        <v>71</v>
      </c>
    </row>
    <row r="52" spans="1:8" ht="19.899999999999999" customHeight="1">
      <c r="A52" s="121">
        <v>46025</v>
      </c>
      <c r="B52" s="112" t="s">
        <v>68</v>
      </c>
      <c r="C52" s="113" t="s">
        <v>72</v>
      </c>
      <c r="D52" s="112" t="s">
        <v>1</v>
      </c>
      <c r="E52" s="122">
        <v>1.0659722222222221</v>
      </c>
      <c r="F52" s="112" t="s">
        <v>70</v>
      </c>
      <c r="G52" s="114">
        <v>9</v>
      </c>
      <c r="H52" s="115" t="s">
        <v>71</v>
      </c>
    </row>
    <row r="53" spans="1:8" ht="19.899999999999999" customHeight="1">
      <c r="A53" s="121">
        <v>46025</v>
      </c>
      <c r="B53" s="112" t="s">
        <v>68</v>
      </c>
      <c r="C53" s="113" t="s">
        <v>73</v>
      </c>
      <c r="D53" s="112" t="s">
        <v>1</v>
      </c>
      <c r="E53" s="122">
        <v>1.288194444444444</v>
      </c>
      <c r="F53" s="112" t="s">
        <v>70</v>
      </c>
      <c r="G53" s="114">
        <v>9</v>
      </c>
      <c r="H53" s="115" t="s">
        <v>71</v>
      </c>
    </row>
    <row r="54" spans="1:8" ht="19.899999999999999" customHeight="1">
      <c r="A54" s="121">
        <v>46025</v>
      </c>
      <c r="B54" s="112" t="s">
        <v>38</v>
      </c>
      <c r="C54" s="113" t="s">
        <v>39</v>
      </c>
      <c r="D54" s="112" t="s">
        <v>1</v>
      </c>
      <c r="E54" s="122">
        <v>1.229166666666667</v>
      </c>
      <c r="F54" s="112" t="s">
        <v>46</v>
      </c>
      <c r="G54" s="114">
        <v>9</v>
      </c>
      <c r="H54" s="115" t="s">
        <v>47</v>
      </c>
    </row>
    <row r="55" spans="1:8" ht="19.899999999999999" customHeight="1">
      <c r="A55" s="121">
        <v>46025</v>
      </c>
      <c r="B55" s="112" t="s">
        <v>38</v>
      </c>
      <c r="C55" s="113" t="s">
        <v>87</v>
      </c>
      <c r="D55" s="112" t="s">
        <v>1</v>
      </c>
      <c r="E55" s="122">
        <v>1.0625</v>
      </c>
      <c r="F55" s="112" t="s">
        <v>46</v>
      </c>
      <c r="G55" s="114">
        <v>20</v>
      </c>
      <c r="H55" s="115" t="s">
        <v>47</v>
      </c>
    </row>
    <row r="56" spans="1:8" ht="19.899999999999999" customHeight="1">
      <c r="A56" s="121">
        <v>46025</v>
      </c>
      <c r="B56" s="112" t="s">
        <v>48</v>
      </c>
      <c r="C56" s="113" t="s">
        <v>59</v>
      </c>
      <c r="D56" s="112" t="s">
        <v>1</v>
      </c>
      <c r="E56" s="122">
        <v>1.229166666666667</v>
      </c>
      <c r="F56" s="112" t="s">
        <v>53</v>
      </c>
      <c r="G56" s="114">
        <v>4</v>
      </c>
      <c r="H56" s="115" t="s">
        <v>93</v>
      </c>
    </row>
    <row r="57" spans="1:8" ht="19.899999999999999" customHeight="1">
      <c r="A57" s="121">
        <v>46025</v>
      </c>
      <c r="B57" s="112" t="s">
        <v>68</v>
      </c>
      <c r="C57" s="113" t="s">
        <v>74</v>
      </c>
      <c r="D57" s="112" t="s">
        <v>1</v>
      </c>
      <c r="E57" s="122">
        <v>1.336805555555556</v>
      </c>
      <c r="F57" s="112" t="s">
        <v>70</v>
      </c>
      <c r="G57" s="114">
        <v>9</v>
      </c>
      <c r="H57" s="115" t="s">
        <v>77</v>
      </c>
    </row>
    <row r="58" spans="1:8" ht="19.899999999999999" customHeight="1">
      <c r="A58" s="121">
        <v>46025</v>
      </c>
      <c r="B58" s="112" t="s">
        <v>48</v>
      </c>
      <c r="C58" s="113" t="s">
        <v>49</v>
      </c>
      <c r="D58" s="112" t="s">
        <v>1</v>
      </c>
      <c r="E58" s="122">
        <v>1.354166666666667</v>
      </c>
      <c r="F58" s="112" t="s">
        <v>53</v>
      </c>
      <c r="G58" s="114">
        <v>9</v>
      </c>
      <c r="H58" s="115" t="s">
        <v>86</v>
      </c>
    </row>
    <row r="59" spans="1:8" ht="19.899999999999999" customHeight="1">
      <c r="A59" s="121">
        <v>46025</v>
      </c>
      <c r="B59" s="112" t="s">
        <v>48</v>
      </c>
      <c r="C59" s="113" t="s">
        <v>56</v>
      </c>
      <c r="D59" s="112" t="s">
        <v>1</v>
      </c>
      <c r="E59" s="122">
        <v>1.895833333333333</v>
      </c>
      <c r="F59" s="112" t="s">
        <v>53</v>
      </c>
      <c r="G59" s="114">
        <v>9</v>
      </c>
      <c r="H59" s="115" t="s">
        <v>86</v>
      </c>
    </row>
    <row r="60" spans="1:8" ht="19.899999999999999" customHeight="1">
      <c r="A60" s="123">
        <v>46025</v>
      </c>
      <c r="B60" s="124" t="s">
        <v>48</v>
      </c>
      <c r="C60" s="125" t="s">
        <v>58</v>
      </c>
      <c r="D60" s="124" t="s">
        <v>1</v>
      </c>
      <c r="E60" s="126">
        <v>1.1840277777777779</v>
      </c>
      <c r="F60" s="124" t="s">
        <v>53</v>
      </c>
      <c r="G60" s="127">
        <v>9</v>
      </c>
      <c r="H60" s="128" t="s">
        <v>86</v>
      </c>
    </row>
    <row r="61" spans="1:8" ht="19.899999999999999" customHeight="1">
      <c r="A61" s="121">
        <v>46026</v>
      </c>
      <c r="B61" s="112" t="s">
        <v>38</v>
      </c>
      <c r="C61" s="113" t="s">
        <v>39</v>
      </c>
      <c r="D61" s="112" t="s">
        <v>1</v>
      </c>
      <c r="E61" s="122">
        <v>1.229166666666667</v>
      </c>
      <c r="F61" s="112" t="s">
        <v>40</v>
      </c>
      <c r="G61" s="114">
        <v>13</v>
      </c>
      <c r="H61" s="115" t="s">
        <v>78</v>
      </c>
    </row>
    <row r="62" spans="1:8" ht="19.899999999999999" customHeight="1">
      <c r="A62" s="121">
        <v>46026</v>
      </c>
      <c r="B62" s="112" t="s">
        <v>26</v>
      </c>
      <c r="C62" s="113" t="s">
        <v>27</v>
      </c>
      <c r="D62" s="112" t="s">
        <v>1</v>
      </c>
      <c r="E62" s="122">
        <v>1.6076388888888891</v>
      </c>
      <c r="F62" s="112" t="s">
        <v>28</v>
      </c>
      <c r="G62" s="114">
        <v>9</v>
      </c>
      <c r="H62" s="115" t="s">
        <v>81</v>
      </c>
    </row>
    <row r="63" spans="1:8" ht="19.899999999999999" customHeight="1">
      <c r="A63" s="121">
        <v>46026</v>
      </c>
      <c r="B63" s="112" t="s">
        <v>48</v>
      </c>
      <c r="C63" s="113" t="s">
        <v>56</v>
      </c>
      <c r="D63" s="112" t="s">
        <v>1</v>
      </c>
      <c r="E63" s="122">
        <v>1.895833333333333</v>
      </c>
      <c r="F63" s="112" t="s">
        <v>50</v>
      </c>
      <c r="G63" s="114">
        <v>4</v>
      </c>
      <c r="H63" s="115" t="s">
        <v>96</v>
      </c>
    </row>
    <row r="64" spans="1:8" ht="19.899999999999999" customHeight="1">
      <c r="A64" s="121">
        <v>46026</v>
      </c>
      <c r="B64" s="112" t="s">
        <v>26</v>
      </c>
      <c r="C64" s="113" t="s">
        <v>27</v>
      </c>
      <c r="D64" s="112" t="s">
        <v>1</v>
      </c>
      <c r="E64" s="122">
        <v>1.6076388888888891</v>
      </c>
      <c r="F64" s="112" t="s">
        <v>31</v>
      </c>
      <c r="G64" s="114">
        <v>9</v>
      </c>
      <c r="H64" s="115" t="s">
        <v>83</v>
      </c>
    </row>
    <row r="65" spans="1:8" ht="19.899999999999999" customHeight="1">
      <c r="A65" s="121">
        <v>46026</v>
      </c>
      <c r="B65" s="112" t="s">
        <v>38</v>
      </c>
      <c r="C65" s="113" t="s">
        <v>39</v>
      </c>
      <c r="D65" s="112" t="s">
        <v>1</v>
      </c>
      <c r="E65" s="122">
        <v>1.229166666666667</v>
      </c>
      <c r="F65" s="112" t="s">
        <v>43</v>
      </c>
      <c r="G65" s="114">
        <v>13</v>
      </c>
      <c r="H65" s="115" t="s">
        <v>79</v>
      </c>
    </row>
    <row r="66" spans="1:8" ht="19.899999999999999" customHeight="1">
      <c r="A66" s="121">
        <v>46026</v>
      </c>
      <c r="B66" s="112" t="s">
        <v>48</v>
      </c>
      <c r="C66" s="113" t="s">
        <v>49</v>
      </c>
      <c r="D66" s="112" t="s">
        <v>1</v>
      </c>
      <c r="E66" s="122">
        <v>1.350694444444444</v>
      </c>
      <c r="F66" s="112" t="s">
        <v>50</v>
      </c>
      <c r="G66" s="114">
        <v>9</v>
      </c>
      <c r="H66" s="115" t="s">
        <v>52</v>
      </c>
    </row>
    <row r="67" spans="1:8" ht="19.899999999999999" customHeight="1">
      <c r="A67" s="121">
        <v>46026</v>
      </c>
      <c r="B67" s="112" t="s">
        <v>48</v>
      </c>
      <c r="C67" s="113" t="s">
        <v>58</v>
      </c>
      <c r="D67" s="112" t="s">
        <v>1</v>
      </c>
      <c r="E67" s="122">
        <v>1.1840277777777779</v>
      </c>
      <c r="F67" s="112" t="s">
        <v>50</v>
      </c>
      <c r="G67" s="114">
        <v>5</v>
      </c>
      <c r="H67" s="115" t="s">
        <v>52</v>
      </c>
    </row>
    <row r="68" spans="1:8" ht="19.899999999999999" customHeight="1">
      <c r="A68" s="121">
        <v>46026</v>
      </c>
      <c r="B68" s="112" t="s">
        <v>26</v>
      </c>
      <c r="C68" s="113" t="s">
        <v>27</v>
      </c>
      <c r="D68" s="112" t="s">
        <v>1</v>
      </c>
      <c r="E68" s="122">
        <v>1.6076388888888891</v>
      </c>
      <c r="F68" s="112" t="s">
        <v>34</v>
      </c>
      <c r="G68" s="114">
        <v>9</v>
      </c>
      <c r="H68" s="115" t="s">
        <v>45</v>
      </c>
    </row>
    <row r="69" spans="1:8" ht="19.899999999999999" customHeight="1">
      <c r="A69" s="121">
        <v>46026</v>
      </c>
      <c r="B69" s="112" t="s">
        <v>48</v>
      </c>
      <c r="C69" s="113" t="s">
        <v>56</v>
      </c>
      <c r="D69" s="112" t="s">
        <v>1</v>
      </c>
      <c r="E69" s="122">
        <v>1.895833333333333</v>
      </c>
      <c r="F69" s="112" t="s">
        <v>53</v>
      </c>
      <c r="G69" s="114">
        <v>4</v>
      </c>
      <c r="H69" s="115" t="s">
        <v>97</v>
      </c>
    </row>
    <row r="70" spans="1:8" ht="19.899999999999999" customHeight="1">
      <c r="A70" s="129">
        <v>46026</v>
      </c>
      <c r="B70" s="117" t="s">
        <v>61</v>
      </c>
      <c r="C70" s="118" t="s">
        <v>62</v>
      </c>
      <c r="D70" s="117" t="s">
        <v>1</v>
      </c>
      <c r="E70" s="130">
        <v>1.743055555555556</v>
      </c>
      <c r="F70" s="117" t="s">
        <v>63</v>
      </c>
      <c r="G70" s="119">
        <v>8</v>
      </c>
      <c r="H70" s="120" t="s">
        <v>64</v>
      </c>
    </row>
    <row r="71" spans="1:8" ht="19.899999999999999" customHeight="1">
      <c r="A71" s="121">
        <v>46026</v>
      </c>
      <c r="B71" s="112" t="s">
        <v>48</v>
      </c>
      <c r="C71" s="113" t="s">
        <v>49</v>
      </c>
      <c r="D71" s="112" t="s">
        <v>1</v>
      </c>
      <c r="E71" s="122">
        <v>1.350694444444444</v>
      </c>
      <c r="F71" s="112" t="s">
        <v>53</v>
      </c>
      <c r="G71" s="114">
        <v>9</v>
      </c>
      <c r="H71" s="115" t="s">
        <v>55</v>
      </c>
    </row>
    <row r="72" spans="1:8" ht="19.899999999999999" customHeight="1">
      <c r="A72" s="121">
        <v>46026</v>
      </c>
      <c r="B72" s="112" t="s">
        <v>48</v>
      </c>
      <c r="C72" s="113" t="s">
        <v>58</v>
      </c>
      <c r="D72" s="112" t="s">
        <v>1</v>
      </c>
      <c r="E72" s="122">
        <v>1.1840277777777779</v>
      </c>
      <c r="F72" s="112" t="s">
        <v>53</v>
      </c>
      <c r="G72" s="114">
        <v>5</v>
      </c>
      <c r="H72" s="115" t="s">
        <v>55</v>
      </c>
    </row>
    <row r="73" spans="1:8" ht="19.899999999999999" customHeight="1">
      <c r="A73" s="121">
        <v>46026</v>
      </c>
      <c r="B73" s="112" t="s">
        <v>68</v>
      </c>
      <c r="C73" s="113" t="s">
        <v>74</v>
      </c>
      <c r="D73" s="112" t="s">
        <v>1</v>
      </c>
      <c r="E73" s="122">
        <v>1.336805555555556</v>
      </c>
      <c r="F73" s="112" t="s">
        <v>70</v>
      </c>
      <c r="G73" s="114">
        <v>9</v>
      </c>
      <c r="H73" s="115" t="s">
        <v>71</v>
      </c>
    </row>
    <row r="74" spans="1:8" ht="19.899999999999999" customHeight="1">
      <c r="A74" s="121">
        <v>46026</v>
      </c>
      <c r="B74" s="112" t="s">
        <v>68</v>
      </c>
      <c r="C74" s="113" t="s">
        <v>69</v>
      </c>
      <c r="D74" s="112" t="s">
        <v>1</v>
      </c>
      <c r="E74" s="122">
        <v>1.9409722222222221</v>
      </c>
      <c r="F74" s="112" t="s">
        <v>70</v>
      </c>
      <c r="G74" s="114">
        <v>9</v>
      </c>
      <c r="H74" s="115" t="s">
        <v>71</v>
      </c>
    </row>
    <row r="75" spans="1:8" ht="19.899999999999999" customHeight="1">
      <c r="A75" s="121">
        <v>46026</v>
      </c>
      <c r="B75" s="112" t="s">
        <v>68</v>
      </c>
      <c r="C75" s="113" t="s">
        <v>76</v>
      </c>
      <c r="D75" s="112" t="s">
        <v>1</v>
      </c>
      <c r="E75" s="122">
        <v>1.697916666666667</v>
      </c>
      <c r="F75" s="112" t="s">
        <v>70</v>
      </c>
      <c r="G75" s="114">
        <v>9</v>
      </c>
      <c r="H75" s="115" t="s">
        <v>71</v>
      </c>
    </row>
    <row r="76" spans="1:8" ht="19.899999999999999" customHeight="1">
      <c r="A76" s="121">
        <v>46026</v>
      </c>
      <c r="B76" s="112" t="s">
        <v>68</v>
      </c>
      <c r="C76" s="113" t="s">
        <v>72</v>
      </c>
      <c r="D76" s="112" t="s">
        <v>1</v>
      </c>
      <c r="E76" s="122">
        <v>1.0659722222222221</v>
      </c>
      <c r="F76" s="112" t="s">
        <v>70</v>
      </c>
      <c r="G76" s="114">
        <v>9</v>
      </c>
      <c r="H76" s="115" t="s">
        <v>71</v>
      </c>
    </row>
    <row r="77" spans="1:8" ht="19.899999999999999" customHeight="1">
      <c r="A77" s="121">
        <v>46026</v>
      </c>
      <c r="B77" s="112" t="s">
        <v>68</v>
      </c>
      <c r="C77" s="113" t="s">
        <v>73</v>
      </c>
      <c r="D77" s="112" t="s">
        <v>1</v>
      </c>
      <c r="E77" s="122">
        <v>1.288194444444444</v>
      </c>
      <c r="F77" s="112" t="s">
        <v>70</v>
      </c>
      <c r="G77" s="114">
        <v>9</v>
      </c>
      <c r="H77" s="115" t="s">
        <v>71</v>
      </c>
    </row>
    <row r="78" spans="1:8" ht="19.899999999999999" customHeight="1">
      <c r="A78" s="121">
        <v>46026</v>
      </c>
      <c r="B78" s="112" t="s">
        <v>38</v>
      </c>
      <c r="C78" s="113" t="s">
        <v>39</v>
      </c>
      <c r="D78" s="112" t="s">
        <v>1</v>
      </c>
      <c r="E78" s="122">
        <v>1.229166666666667</v>
      </c>
      <c r="F78" s="112" t="s">
        <v>46</v>
      </c>
      <c r="G78" s="114">
        <v>13</v>
      </c>
      <c r="H78" s="115" t="s">
        <v>47</v>
      </c>
    </row>
    <row r="79" spans="1:8" ht="19.899999999999999" customHeight="1">
      <c r="A79" s="123">
        <v>46026</v>
      </c>
      <c r="B79" s="124" t="s">
        <v>48</v>
      </c>
      <c r="C79" s="125" t="s">
        <v>59</v>
      </c>
      <c r="D79" s="124" t="s">
        <v>1</v>
      </c>
      <c r="E79" s="126">
        <v>1.229166666666667</v>
      </c>
      <c r="F79" s="124" t="s">
        <v>53</v>
      </c>
      <c r="G79" s="127">
        <v>4</v>
      </c>
      <c r="H79" s="128" t="s">
        <v>93</v>
      </c>
    </row>
    <row r="80" spans="1:8" ht="19.899999999999999" customHeight="1">
      <c r="A80" s="121">
        <v>46027</v>
      </c>
      <c r="B80" s="112" t="s">
        <v>38</v>
      </c>
      <c r="C80" s="113" t="s">
        <v>87</v>
      </c>
      <c r="D80" s="112" t="s">
        <v>1</v>
      </c>
      <c r="E80" s="122">
        <v>1.0625</v>
      </c>
      <c r="F80" s="112" t="s">
        <v>40</v>
      </c>
      <c r="G80" s="114">
        <v>20</v>
      </c>
      <c r="H80" s="115" t="s">
        <v>88</v>
      </c>
    </row>
    <row r="81" spans="1:8" ht="19.899999999999999" customHeight="1">
      <c r="A81" s="121">
        <v>46027</v>
      </c>
      <c r="B81" s="112" t="s">
        <v>38</v>
      </c>
      <c r="C81" s="113" t="s">
        <v>39</v>
      </c>
      <c r="D81" s="112" t="s">
        <v>1</v>
      </c>
      <c r="E81" s="122">
        <v>1.229166666666667</v>
      </c>
      <c r="F81" s="112" t="s">
        <v>40</v>
      </c>
      <c r="G81" s="114">
        <v>5</v>
      </c>
      <c r="H81" s="115" t="s">
        <v>78</v>
      </c>
    </row>
    <row r="82" spans="1:8" ht="19.899999999999999" customHeight="1">
      <c r="A82" s="121">
        <v>46027</v>
      </c>
      <c r="B82" s="112" t="s">
        <v>26</v>
      </c>
      <c r="C82" s="113" t="s">
        <v>27</v>
      </c>
      <c r="D82" s="112" t="s">
        <v>1</v>
      </c>
      <c r="E82" s="122">
        <v>1.6076388888888891</v>
      </c>
      <c r="F82" s="112" t="s">
        <v>28</v>
      </c>
      <c r="G82" s="114">
        <v>5</v>
      </c>
      <c r="H82" s="115" t="s">
        <v>81</v>
      </c>
    </row>
    <row r="83" spans="1:8" ht="19.899999999999999" customHeight="1">
      <c r="A83" s="121">
        <v>46027</v>
      </c>
      <c r="B83" s="112" t="s">
        <v>48</v>
      </c>
      <c r="C83" s="113" t="s">
        <v>58</v>
      </c>
      <c r="D83" s="112" t="s">
        <v>1</v>
      </c>
      <c r="E83" s="122">
        <v>1.1840277777777779</v>
      </c>
      <c r="F83" s="112" t="s">
        <v>50</v>
      </c>
      <c r="G83" s="114">
        <v>7</v>
      </c>
      <c r="H83" s="115" t="s">
        <v>96</v>
      </c>
    </row>
    <row r="84" spans="1:8" ht="19.899999999999999" customHeight="1">
      <c r="A84" s="121">
        <v>46027</v>
      </c>
      <c r="B84" s="112" t="s">
        <v>26</v>
      </c>
      <c r="C84" s="113" t="s">
        <v>27</v>
      </c>
      <c r="D84" s="112" t="s">
        <v>1</v>
      </c>
      <c r="E84" s="122">
        <v>1.6076388888888891</v>
      </c>
      <c r="F84" s="112" t="s">
        <v>31</v>
      </c>
      <c r="G84" s="114">
        <v>5</v>
      </c>
      <c r="H84" s="115" t="s">
        <v>83</v>
      </c>
    </row>
    <row r="85" spans="1:8" ht="19.899999999999999" customHeight="1">
      <c r="A85" s="121">
        <v>46027</v>
      </c>
      <c r="B85" s="112" t="s">
        <v>38</v>
      </c>
      <c r="C85" s="113" t="s">
        <v>87</v>
      </c>
      <c r="D85" s="112" t="s">
        <v>1</v>
      </c>
      <c r="E85" s="122">
        <v>1.0625</v>
      </c>
      <c r="F85" s="112" t="s">
        <v>43</v>
      </c>
      <c r="G85" s="114">
        <v>20</v>
      </c>
      <c r="H85" s="115" t="s">
        <v>89</v>
      </c>
    </row>
    <row r="86" spans="1:8" ht="19.899999999999999" customHeight="1">
      <c r="A86" s="121">
        <v>46027</v>
      </c>
      <c r="B86" s="112" t="s">
        <v>38</v>
      </c>
      <c r="C86" s="113" t="s">
        <v>39</v>
      </c>
      <c r="D86" s="112" t="s">
        <v>1</v>
      </c>
      <c r="E86" s="122">
        <v>1.229166666666667</v>
      </c>
      <c r="F86" s="112" t="s">
        <v>43</v>
      </c>
      <c r="G86" s="114">
        <v>5</v>
      </c>
      <c r="H86" s="115" t="s">
        <v>79</v>
      </c>
    </row>
    <row r="87" spans="1:8" ht="19.899999999999999" customHeight="1">
      <c r="A87" s="121">
        <v>46027</v>
      </c>
      <c r="B87" s="112" t="s">
        <v>48</v>
      </c>
      <c r="C87" s="113" t="s">
        <v>56</v>
      </c>
      <c r="D87" s="112" t="s">
        <v>1</v>
      </c>
      <c r="E87" s="122">
        <v>1.895833333333333</v>
      </c>
      <c r="F87" s="112" t="s">
        <v>50</v>
      </c>
      <c r="G87" s="114">
        <v>9</v>
      </c>
      <c r="H87" s="115" t="s">
        <v>52</v>
      </c>
    </row>
    <row r="88" spans="1:8" ht="19.899999999999999" customHeight="1">
      <c r="A88" s="121">
        <v>46027</v>
      </c>
      <c r="B88" s="112" t="s">
        <v>26</v>
      </c>
      <c r="C88" s="113" t="s">
        <v>27</v>
      </c>
      <c r="D88" s="112" t="s">
        <v>1</v>
      </c>
      <c r="E88" s="122">
        <v>1.6076388888888891</v>
      </c>
      <c r="F88" s="112" t="s">
        <v>34</v>
      </c>
      <c r="G88" s="114">
        <v>5</v>
      </c>
      <c r="H88" s="115" t="s">
        <v>45</v>
      </c>
    </row>
    <row r="89" spans="1:8" ht="19.899999999999999" customHeight="1">
      <c r="A89" s="121">
        <v>46027</v>
      </c>
      <c r="B89" s="112" t="s">
        <v>48</v>
      </c>
      <c r="C89" s="113" t="s">
        <v>58</v>
      </c>
      <c r="D89" s="112" t="s">
        <v>1</v>
      </c>
      <c r="E89" s="122">
        <v>1.1840277777777779</v>
      </c>
      <c r="F89" s="112" t="s">
        <v>53</v>
      </c>
      <c r="G89" s="114">
        <v>7</v>
      </c>
      <c r="H89" s="115" t="s">
        <v>97</v>
      </c>
    </row>
    <row r="90" spans="1:8" ht="19.899999999999999" customHeight="1">
      <c r="A90" s="129">
        <v>46027</v>
      </c>
      <c r="B90" s="117" t="s">
        <v>61</v>
      </c>
      <c r="C90" s="118" t="s">
        <v>111</v>
      </c>
      <c r="D90" s="117" t="s">
        <v>1</v>
      </c>
      <c r="E90" s="130">
        <v>1.868055555555556</v>
      </c>
      <c r="F90" s="117" t="s">
        <v>63</v>
      </c>
      <c r="G90" s="119">
        <v>9</v>
      </c>
      <c r="H90" s="120" t="s">
        <v>64</v>
      </c>
    </row>
    <row r="91" spans="1:8" ht="19.899999999999999" customHeight="1">
      <c r="A91" s="121">
        <v>46027</v>
      </c>
      <c r="B91" s="112" t="s">
        <v>48</v>
      </c>
      <c r="C91" s="113" t="s">
        <v>49</v>
      </c>
      <c r="D91" s="112" t="s">
        <v>1</v>
      </c>
      <c r="E91" s="122">
        <v>1.350694444444444</v>
      </c>
      <c r="F91" s="112" t="s">
        <v>50</v>
      </c>
      <c r="G91" s="114">
        <v>9</v>
      </c>
      <c r="H91" s="115" t="s">
        <v>109</v>
      </c>
    </row>
    <row r="92" spans="1:8" ht="19.899999999999999" customHeight="1">
      <c r="A92" s="121">
        <v>46027</v>
      </c>
      <c r="B92" s="112" t="s">
        <v>48</v>
      </c>
      <c r="C92" s="113" t="s">
        <v>56</v>
      </c>
      <c r="D92" s="112" t="s">
        <v>1</v>
      </c>
      <c r="E92" s="122">
        <v>1.895833333333333</v>
      </c>
      <c r="F92" s="112" t="s">
        <v>53</v>
      </c>
      <c r="G92" s="114">
        <v>9</v>
      </c>
      <c r="H92" s="115" t="s">
        <v>55</v>
      </c>
    </row>
    <row r="93" spans="1:8" ht="19.899999999999999" customHeight="1">
      <c r="A93" s="121">
        <v>46027</v>
      </c>
      <c r="B93" s="112" t="s">
        <v>68</v>
      </c>
      <c r="C93" s="113" t="s">
        <v>74</v>
      </c>
      <c r="D93" s="112" t="s">
        <v>1</v>
      </c>
      <c r="E93" s="122">
        <v>1.336805555555556</v>
      </c>
      <c r="F93" s="112" t="s">
        <v>70</v>
      </c>
      <c r="G93" s="114">
        <v>9</v>
      </c>
      <c r="H93" s="115" t="s">
        <v>71</v>
      </c>
    </row>
    <row r="94" spans="1:8" ht="19.899999999999999" customHeight="1">
      <c r="A94" s="121">
        <v>46027</v>
      </c>
      <c r="B94" s="112" t="s">
        <v>68</v>
      </c>
      <c r="C94" s="113" t="s">
        <v>69</v>
      </c>
      <c r="D94" s="112" t="s">
        <v>1</v>
      </c>
      <c r="E94" s="122">
        <v>1.9409722222222221</v>
      </c>
      <c r="F94" s="112" t="s">
        <v>70</v>
      </c>
      <c r="G94" s="114">
        <v>9</v>
      </c>
      <c r="H94" s="115" t="s">
        <v>71</v>
      </c>
    </row>
    <row r="95" spans="1:8" ht="19.899999999999999" customHeight="1">
      <c r="A95" s="121">
        <v>46027</v>
      </c>
      <c r="B95" s="112" t="s">
        <v>68</v>
      </c>
      <c r="C95" s="113" t="s">
        <v>72</v>
      </c>
      <c r="D95" s="112" t="s">
        <v>1</v>
      </c>
      <c r="E95" s="122">
        <v>1.0659722222222221</v>
      </c>
      <c r="F95" s="112" t="s">
        <v>70</v>
      </c>
      <c r="G95" s="114">
        <v>9</v>
      </c>
      <c r="H95" s="115" t="s">
        <v>71</v>
      </c>
    </row>
    <row r="96" spans="1:8" ht="19.899999999999999" customHeight="1">
      <c r="A96" s="121">
        <v>46027</v>
      </c>
      <c r="B96" s="112" t="s">
        <v>68</v>
      </c>
      <c r="C96" s="113" t="s">
        <v>73</v>
      </c>
      <c r="D96" s="112" t="s">
        <v>1</v>
      </c>
      <c r="E96" s="122">
        <v>1.288194444444444</v>
      </c>
      <c r="F96" s="112" t="s">
        <v>70</v>
      </c>
      <c r="G96" s="114">
        <v>9</v>
      </c>
      <c r="H96" s="115" t="s">
        <v>71</v>
      </c>
    </row>
    <row r="97" spans="1:8" ht="19.899999999999999" customHeight="1">
      <c r="A97" s="121">
        <v>46027</v>
      </c>
      <c r="B97" s="112" t="s">
        <v>48</v>
      </c>
      <c r="C97" s="113" t="s">
        <v>49</v>
      </c>
      <c r="D97" s="112" t="s">
        <v>1</v>
      </c>
      <c r="E97" s="122">
        <v>1.350694444444444</v>
      </c>
      <c r="F97" s="112" t="s">
        <v>53</v>
      </c>
      <c r="G97" s="114">
        <v>9</v>
      </c>
      <c r="H97" s="115" t="s">
        <v>110</v>
      </c>
    </row>
    <row r="98" spans="1:8" ht="19.899999999999999" customHeight="1">
      <c r="A98" s="121">
        <v>46027</v>
      </c>
      <c r="B98" s="112" t="s">
        <v>26</v>
      </c>
      <c r="C98" s="113" t="s">
        <v>36</v>
      </c>
      <c r="D98" s="112" t="s">
        <v>1</v>
      </c>
      <c r="E98" s="122">
        <v>1.4340277777777779</v>
      </c>
      <c r="F98" s="112" t="s">
        <v>28</v>
      </c>
      <c r="G98" s="114">
        <v>9</v>
      </c>
      <c r="H98" s="115" t="s">
        <v>104</v>
      </c>
    </row>
    <row r="99" spans="1:8" ht="19.899999999999999" customHeight="1">
      <c r="A99" s="121">
        <v>46027</v>
      </c>
      <c r="B99" s="112" t="s">
        <v>38</v>
      </c>
      <c r="C99" s="113" t="s">
        <v>39</v>
      </c>
      <c r="D99" s="112" t="s">
        <v>1</v>
      </c>
      <c r="E99" s="122">
        <v>1.229166666666667</v>
      </c>
      <c r="F99" s="112" t="s">
        <v>46</v>
      </c>
      <c r="G99" s="114">
        <v>5</v>
      </c>
      <c r="H99" s="115" t="s">
        <v>47</v>
      </c>
    </row>
    <row r="100" spans="1:8" ht="19.899999999999999" customHeight="1">
      <c r="A100" s="121">
        <v>46027</v>
      </c>
      <c r="B100" s="112" t="s">
        <v>38</v>
      </c>
      <c r="C100" s="113" t="s">
        <v>87</v>
      </c>
      <c r="D100" s="112" t="s">
        <v>1</v>
      </c>
      <c r="E100" s="122">
        <v>1.0625</v>
      </c>
      <c r="F100" s="112" t="s">
        <v>46</v>
      </c>
      <c r="G100" s="114">
        <v>20</v>
      </c>
      <c r="H100" s="115" t="s">
        <v>47</v>
      </c>
    </row>
    <row r="101" spans="1:8" ht="19.899999999999999" customHeight="1">
      <c r="A101" s="121">
        <v>46027</v>
      </c>
      <c r="B101" s="112" t="s">
        <v>68</v>
      </c>
      <c r="C101" s="113" t="s">
        <v>76</v>
      </c>
      <c r="D101" s="112" t="s">
        <v>1</v>
      </c>
      <c r="E101" s="122">
        <v>1.697916666666667</v>
      </c>
      <c r="F101" s="112" t="s">
        <v>70</v>
      </c>
      <c r="G101" s="114">
        <v>9</v>
      </c>
      <c r="H101" s="115" t="s">
        <v>75</v>
      </c>
    </row>
    <row r="102" spans="1:8" ht="19.899999999999999" customHeight="1">
      <c r="A102" s="121">
        <v>46027</v>
      </c>
      <c r="B102" s="112" t="s">
        <v>26</v>
      </c>
      <c r="C102" s="113" t="s">
        <v>36</v>
      </c>
      <c r="D102" s="112" t="s">
        <v>1</v>
      </c>
      <c r="E102" s="122">
        <v>1.4340277777777779</v>
      </c>
      <c r="F102" s="112" t="s">
        <v>31</v>
      </c>
      <c r="G102" s="114">
        <v>9</v>
      </c>
      <c r="H102" s="115" t="s">
        <v>105</v>
      </c>
    </row>
    <row r="103" spans="1:8" ht="19.899999999999999" customHeight="1">
      <c r="A103" s="121">
        <v>46027</v>
      </c>
      <c r="B103" s="112" t="s">
        <v>26</v>
      </c>
      <c r="C103" s="113" t="s">
        <v>36</v>
      </c>
      <c r="D103" s="112" t="s">
        <v>1</v>
      </c>
      <c r="E103" s="122">
        <v>1.4340277777777779</v>
      </c>
      <c r="F103" s="112" t="s">
        <v>34</v>
      </c>
      <c r="G103" s="114">
        <v>9</v>
      </c>
      <c r="H103" s="115" t="s">
        <v>106</v>
      </c>
    </row>
    <row r="104" spans="1:8" ht="19.899999999999999" customHeight="1">
      <c r="A104" s="123">
        <v>46027</v>
      </c>
      <c r="B104" s="124" t="s">
        <v>48</v>
      </c>
      <c r="C104" s="125" t="s">
        <v>59</v>
      </c>
      <c r="D104" s="124" t="s">
        <v>1</v>
      </c>
      <c r="E104" s="126">
        <v>1.229166666666667</v>
      </c>
      <c r="F104" s="124" t="s">
        <v>53</v>
      </c>
      <c r="G104" s="127">
        <v>4</v>
      </c>
      <c r="H104" s="128" t="s">
        <v>93</v>
      </c>
    </row>
    <row r="105" spans="1:8" ht="19.899999999999999" customHeight="1">
      <c r="A105" s="121">
        <v>46028</v>
      </c>
      <c r="B105" s="112" t="s">
        <v>38</v>
      </c>
      <c r="C105" s="113" t="s">
        <v>87</v>
      </c>
      <c r="D105" s="112" t="s">
        <v>1</v>
      </c>
      <c r="E105" s="122">
        <v>1.0625</v>
      </c>
      <c r="F105" s="112" t="s">
        <v>40</v>
      </c>
      <c r="G105" s="114">
        <v>20</v>
      </c>
      <c r="H105" s="115" t="s">
        <v>78</v>
      </c>
    </row>
    <row r="106" spans="1:8" ht="19.899999999999999" customHeight="1">
      <c r="A106" s="121">
        <v>46028</v>
      </c>
      <c r="B106" s="112" t="s">
        <v>38</v>
      </c>
      <c r="C106" s="113" t="s">
        <v>39</v>
      </c>
      <c r="D106" s="112" t="s">
        <v>1</v>
      </c>
      <c r="E106" s="122">
        <v>1.229166666666667</v>
      </c>
      <c r="F106" s="112" t="s">
        <v>40</v>
      </c>
      <c r="G106" s="114">
        <v>14</v>
      </c>
      <c r="H106" s="115" t="s">
        <v>42</v>
      </c>
    </row>
    <row r="107" spans="1:8" ht="19.899999999999999" customHeight="1">
      <c r="A107" s="121">
        <v>46028</v>
      </c>
      <c r="B107" s="112" t="s">
        <v>48</v>
      </c>
      <c r="C107" s="113" t="s">
        <v>58</v>
      </c>
      <c r="D107" s="112" t="s">
        <v>1</v>
      </c>
      <c r="E107" s="122">
        <v>1.1840277777777779</v>
      </c>
      <c r="F107" s="112" t="s">
        <v>50</v>
      </c>
      <c r="G107" s="114">
        <v>8</v>
      </c>
      <c r="H107" s="115" t="s">
        <v>96</v>
      </c>
    </row>
    <row r="108" spans="1:8" ht="19.899999999999999" customHeight="1">
      <c r="A108" s="121">
        <v>46028</v>
      </c>
      <c r="B108" s="112" t="s">
        <v>38</v>
      </c>
      <c r="C108" s="113" t="s">
        <v>87</v>
      </c>
      <c r="D108" s="112" t="s">
        <v>1</v>
      </c>
      <c r="E108" s="122">
        <v>1.0625</v>
      </c>
      <c r="F108" s="112" t="s">
        <v>43</v>
      </c>
      <c r="G108" s="114">
        <v>20</v>
      </c>
      <c r="H108" s="115" t="s">
        <v>79</v>
      </c>
    </row>
    <row r="109" spans="1:8" ht="19.899999999999999" customHeight="1">
      <c r="A109" s="121">
        <v>46028</v>
      </c>
      <c r="B109" s="112" t="s">
        <v>38</v>
      </c>
      <c r="C109" s="113" t="s">
        <v>39</v>
      </c>
      <c r="D109" s="112" t="s">
        <v>1</v>
      </c>
      <c r="E109" s="122">
        <v>1.229166666666667</v>
      </c>
      <c r="F109" s="112" t="s">
        <v>43</v>
      </c>
      <c r="G109" s="114">
        <v>14</v>
      </c>
      <c r="H109" s="115" t="s">
        <v>45</v>
      </c>
    </row>
    <row r="110" spans="1:8" ht="19.899999999999999" customHeight="1">
      <c r="A110" s="121">
        <v>46028</v>
      </c>
      <c r="B110" s="112" t="s">
        <v>48</v>
      </c>
      <c r="C110" s="113" t="s">
        <v>58</v>
      </c>
      <c r="D110" s="112" t="s">
        <v>1</v>
      </c>
      <c r="E110" s="122">
        <v>1.1840277777777779</v>
      </c>
      <c r="F110" s="112" t="s">
        <v>53</v>
      </c>
      <c r="G110" s="114">
        <v>8</v>
      </c>
      <c r="H110" s="115" t="s">
        <v>97</v>
      </c>
    </row>
    <row r="111" spans="1:8" ht="19.899999999999999" customHeight="1">
      <c r="A111" s="129">
        <v>46028</v>
      </c>
      <c r="B111" s="117" t="s">
        <v>61</v>
      </c>
      <c r="C111" s="118" t="s">
        <v>62</v>
      </c>
      <c r="D111" s="117" t="s">
        <v>1</v>
      </c>
      <c r="E111" s="130">
        <v>1.819444444444444</v>
      </c>
      <c r="F111" s="117" t="s">
        <v>63</v>
      </c>
      <c r="G111" s="119">
        <v>9</v>
      </c>
      <c r="H111" s="120" t="s">
        <v>64</v>
      </c>
    </row>
    <row r="112" spans="1:8" ht="19.899999999999999" customHeight="1">
      <c r="A112" s="121">
        <v>46028</v>
      </c>
      <c r="B112" s="112" t="s">
        <v>26</v>
      </c>
      <c r="C112" s="113" t="s">
        <v>27</v>
      </c>
      <c r="D112" s="112" t="s">
        <v>1</v>
      </c>
      <c r="E112" s="122">
        <v>1.6076388888888891</v>
      </c>
      <c r="F112" s="112" t="s">
        <v>28</v>
      </c>
      <c r="G112" s="114">
        <v>9</v>
      </c>
      <c r="H112" s="115" t="s">
        <v>118</v>
      </c>
    </row>
    <row r="113" spans="1:8" ht="19.899999999999999" customHeight="1">
      <c r="A113" s="121">
        <v>46028</v>
      </c>
      <c r="B113" s="112" t="s">
        <v>68</v>
      </c>
      <c r="C113" s="113" t="s">
        <v>74</v>
      </c>
      <c r="D113" s="112" t="s">
        <v>1</v>
      </c>
      <c r="E113" s="122">
        <v>1.336805555555556</v>
      </c>
      <c r="F113" s="112" t="s">
        <v>70</v>
      </c>
      <c r="G113" s="114">
        <v>9</v>
      </c>
      <c r="H113" s="115" t="s">
        <v>71</v>
      </c>
    </row>
    <row r="114" spans="1:8" ht="19.899999999999999" customHeight="1">
      <c r="A114" s="121">
        <v>46028</v>
      </c>
      <c r="B114" s="112" t="s">
        <v>68</v>
      </c>
      <c r="C114" s="113" t="s">
        <v>69</v>
      </c>
      <c r="D114" s="112" t="s">
        <v>1</v>
      </c>
      <c r="E114" s="122">
        <v>1.9409722222222221</v>
      </c>
      <c r="F114" s="112" t="s">
        <v>70</v>
      </c>
      <c r="G114" s="114">
        <v>9</v>
      </c>
      <c r="H114" s="115" t="s">
        <v>71</v>
      </c>
    </row>
    <row r="115" spans="1:8" ht="19.899999999999999" customHeight="1">
      <c r="A115" s="121">
        <v>46028</v>
      </c>
      <c r="B115" s="112" t="s">
        <v>68</v>
      </c>
      <c r="C115" s="113" t="s">
        <v>76</v>
      </c>
      <c r="D115" s="112" t="s">
        <v>1</v>
      </c>
      <c r="E115" s="122">
        <v>1.697916666666667</v>
      </c>
      <c r="F115" s="112" t="s">
        <v>70</v>
      </c>
      <c r="G115" s="114">
        <v>9</v>
      </c>
      <c r="H115" s="115" t="s">
        <v>71</v>
      </c>
    </row>
    <row r="116" spans="1:8" ht="19.899999999999999" customHeight="1">
      <c r="A116" s="121">
        <v>46028</v>
      </c>
      <c r="B116" s="112" t="s">
        <v>68</v>
      </c>
      <c r="C116" s="113" t="s">
        <v>72</v>
      </c>
      <c r="D116" s="112" t="s">
        <v>1</v>
      </c>
      <c r="E116" s="122">
        <v>1.0659722222222221</v>
      </c>
      <c r="F116" s="112" t="s">
        <v>70</v>
      </c>
      <c r="G116" s="114">
        <v>9</v>
      </c>
      <c r="H116" s="115" t="s">
        <v>71</v>
      </c>
    </row>
    <row r="117" spans="1:8" ht="19.899999999999999" customHeight="1">
      <c r="A117" s="121">
        <v>46028</v>
      </c>
      <c r="B117" s="112" t="s">
        <v>68</v>
      </c>
      <c r="C117" s="113" t="s">
        <v>73</v>
      </c>
      <c r="D117" s="112" t="s">
        <v>1</v>
      </c>
      <c r="E117" s="122">
        <v>1.288194444444444</v>
      </c>
      <c r="F117" s="112" t="s">
        <v>70</v>
      </c>
      <c r="G117" s="114">
        <v>9</v>
      </c>
      <c r="H117" s="115" t="s">
        <v>71</v>
      </c>
    </row>
    <row r="118" spans="1:8" ht="19.899999999999999" customHeight="1">
      <c r="A118" s="121">
        <v>46028</v>
      </c>
      <c r="B118" s="112" t="s">
        <v>26</v>
      </c>
      <c r="C118" s="113" t="s">
        <v>27</v>
      </c>
      <c r="D118" s="112" t="s">
        <v>1</v>
      </c>
      <c r="E118" s="122">
        <v>1.6076388888888891</v>
      </c>
      <c r="F118" s="112" t="s">
        <v>31</v>
      </c>
      <c r="G118" s="114">
        <v>9</v>
      </c>
      <c r="H118" s="115" t="s">
        <v>119</v>
      </c>
    </row>
    <row r="119" spans="1:8" ht="19.899999999999999" customHeight="1">
      <c r="A119" s="121">
        <v>46028</v>
      </c>
      <c r="B119" s="112" t="s">
        <v>38</v>
      </c>
      <c r="C119" s="113" t="s">
        <v>39</v>
      </c>
      <c r="D119" s="112" t="s">
        <v>1</v>
      </c>
      <c r="E119" s="122">
        <v>1.229166666666667</v>
      </c>
      <c r="F119" s="112" t="s">
        <v>46</v>
      </c>
      <c r="G119" s="114">
        <v>14</v>
      </c>
      <c r="H119" s="115" t="s">
        <v>47</v>
      </c>
    </row>
    <row r="120" spans="1:8" ht="19.899999999999999" customHeight="1">
      <c r="A120" s="121">
        <v>46028</v>
      </c>
      <c r="B120" s="112" t="s">
        <v>38</v>
      </c>
      <c r="C120" s="113" t="s">
        <v>87</v>
      </c>
      <c r="D120" s="112" t="s">
        <v>1</v>
      </c>
      <c r="E120" s="122">
        <v>1.0625</v>
      </c>
      <c r="F120" s="112" t="s">
        <v>46</v>
      </c>
      <c r="G120" s="114">
        <v>20</v>
      </c>
      <c r="H120" s="115" t="s">
        <v>47</v>
      </c>
    </row>
    <row r="121" spans="1:8" ht="19.899999999999999" customHeight="1">
      <c r="A121" s="121">
        <v>46028</v>
      </c>
      <c r="B121" s="112" t="s">
        <v>48</v>
      </c>
      <c r="C121" s="113" t="s">
        <v>49</v>
      </c>
      <c r="D121" s="112" t="s">
        <v>1</v>
      </c>
      <c r="E121" s="122">
        <v>1.350694444444444</v>
      </c>
      <c r="F121" s="112" t="s">
        <v>50</v>
      </c>
      <c r="G121" s="114">
        <v>9</v>
      </c>
      <c r="H121" s="115" t="s">
        <v>116</v>
      </c>
    </row>
    <row r="122" spans="1:8" ht="19.899999999999999" customHeight="1">
      <c r="A122" s="121">
        <v>46028</v>
      </c>
      <c r="B122" s="112" t="s">
        <v>48</v>
      </c>
      <c r="C122" s="113" t="s">
        <v>56</v>
      </c>
      <c r="D122" s="112" t="s">
        <v>1</v>
      </c>
      <c r="E122" s="122">
        <v>1.895833333333333</v>
      </c>
      <c r="F122" s="112" t="s">
        <v>50</v>
      </c>
      <c r="G122" s="114">
        <v>9</v>
      </c>
      <c r="H122" s="115" t="s">
        <v>116</v>
      </c>
    </row>
    <row r="123" spans="1:8" ht="19.899999999999999" customHeight="1">
      <c r="A123" s="121">
        <v>46028</v>
      </c>
      <c r="B123" s="112" t="s">
        <v>26</v>
      </c>
      <c r="C123" s="113" t="s">
        <v>27</v>
      </c>
      <c r="D123" s="112" t="s">
        <v>1</v>
      </c>
      <c r="E123" s="122">
        <v>1.6076388888888891</v>
      </c>
      <c r="F123" s="112" t="s">
        <v>34</v>
      </c>
      <c r="G123" s="114">
        <v>9</v>
      </c>
      <c r="H123" s="115" t="s">
        <v>105</v>
      </c>
    </row>
    <row r="124" spans="1:8" ht="19.899999999999999" customHeight="1">
      <c r="A124" s="121">
        <v>46028</v>
      </c>
      <c r="B124" s="112" t="s">
        <v>48</v>
      </c>
      <c r="C124" s="113" t="s">
        <v>49</v>
      </c>
      <c r="D124" s="112" t="s">
        <v>1</v>
      </c>
      <c r="E124" s="122">
        <v>1.350694444444444</v>
      </c>
      <c r="F124" s="112" t="s">
        <v>53</v>
      </c>
      <c r="G124" s="114">
        <v>9</v>
      </c>
      <c r="H124" s="115" t="s">
        <v>117</v>
      </c>
    </row>
    <row r="125" spans="1:8" ht="19.899999999999999" customHeight="1">
      <c r="A125" s="121">
        <v>46028</v>
      </c>
      <c r="B125" s="112" t="s">
        <v>48</v>
      </c>
      <c r="C125" s="113" t="s">
        <v>56</v>
      </c>
      <c r="D125" s="112" t="s">
        <v>1</v>
      </c>
      <c r="E125" s="122">
        <v>1.895833333333333</v>
      </c>
      <c r="F125" s="112" t="s">
        <v>53</v>
      </c>
      <c r="G125" s="114">
        <v>9</v>
      </c>
      <c r="H125" s="115" t="s">
        <v>117</v>
      </c>
    </row>
    <row r="126" spans="1:8" ht="19.899999999999999" customHeight="1">
      <c r="A126" s="123">
        <v>46028</v>
      </c>
      <c r="B126" s="124" t="s">
        <v>48</v>
      </c>
      <c r="C126" s="125" t="s">
        <v>59</v>
      </c>
      <c r="D126" s="124" t="s">
        <v>1</v>
      </c>
      <c r="E126" s="126">
        <v>1.229166666666667</v>
      </c>
      <c r="F126" s="124" t="s">
        <v>53</v>
      </c>
      <c r="G126" s="127">
        <v>4</v>
      </c>
      <c r="H126" s="128" t="s">
        <v>60</v>
      </c>
    </row>
    <row r="127" spans="1:8" ht="19.899999999999999" customHeight="1">
      <c r="A127" s="121">
        <v>46029</v>
      </c>
      <c r="B127" s="112" t="s">
        <v>38</v>
      </c>
      <c r="C127" s="113" t="s">
        <v>39</v>
      </c>
      <c r="D127" s="112" t="s">
        <v>1</v>
      </c>
      <c r="E127" s="122">
        <v>1.229166666666667</v>
      </c>
      <c r="F127" s="112" t="s">
        <v>40</v>
      </c>
      <c r="G127" s="114">
        <v>18</v>
      </c>
      <c r="H127" s="115" t="s">
        <v>121</v>
      </c>
    </row>
    <row r="128" spans="1:8" ht="19.899999999999999" customHeight="1">
      <c r="A128" s="121">
        <v>46029</v>
      </c>
      <c r="B128" s="112" t="s">
        <v>48</v>
      </c>
      <c r="C128" s="113" t="s">
        <v>49</v>
      </c>
      <c r="D128" s="112" t="s">
        <v>1</v>
      </c>
      <c r="E128" s="122">
        <v>1.350694444444444</v>
      </c>
      <c r="F128" s="112" t="s">
        <v>50</v>
      </c>
      <c r="G128" s="114">
        <v>9</v>
      </c>
      <c r="H128" s="115" t="s">
        <v>52</v>
      </c>
    </row>
    <row r="129" spans="1:8" ht="19.899999999999999" customHeight="1">
      <c r="A129" s="121">
        <v>46029</v>
      </c>
      <c r="B129" s="112" t="s">
        <v>38</v>
      </c>
      <c r="C129" s="113" t="s">
        <v>39</v>
      </c>
      <c r="D129" s="112" t="s">
        <v>1</v>
      </c>
      <c r="E129" s="122">
        <v>1.229166666666667</v>
      </c>
      <c r="F129" s="112" t="s">
        <v>43</v>
      </c>
      <c r="G129" s="114">
        <v>18</v>
      </c>
      <c r="H129" s="115" t="s">
        <v>123</v>
      </c>
    </row>
    <row r="130" spans="1:8" ht="19.899999999999999" customHeight="1">
      <c r="A130" s="121">
        <v>46029</v>
      </c>
      <c r="B130" s="112" t="s">
        <v>48</v>
      </c>
      <c r="C130" s="113" t="s">
        <v>58</v>
      </c>
      <c r="D130" s="112" t="s">
        <v>1</v>
      </c>
      <c r="E130" s="122">
        <v>1.1840277777777779</v>
      </c>
      <c r="F130" s="112" t="s">
        <v>50</v>
      </c>
      <c r="G130" s="114">
        <v>9</v>
      </c>
      <c r="H130" s="115" t="s">
        <v>109</v>
      </c>
    </row>
    <row r="131" spans="1:8" ht="19.899999999999999" customHeight="1">
      <c r="A131" s="121">
        <v>46029</v>
      </c>
      <c r="B131" s="112" t="s">
        <v>48</v>
      </c>
      <c r="C131" s="113" t="s">
        <v>49</v>
      </c>
      <c r="D131" s="112" t="s">
        <v>1</v>
      </c>
      <c r="E131" s="122">
        <v>1.350694444444444</v>
      </c>
      <c r="F131" s="112" t="s">
        <v>53</v>
      </c>
      <c r="G131" s="114">
        <v>9</v>
      </c>
      <c r="H131" s="115" t="s">
        <v>55</v>
      </c>
    </row>
    <row r="132" spans="1:8" ht="19.899999999999999" customHeight="1">
      <c r="A132" s="121">
        <v>46029</v>
      </c>
      <c r="B132" s="112" t="s">
        <v>68</v>
      </c>
      <c r="C132" s="113" t="s">
        <v>74</v>
      </c>
      <c r="D132" s="112" t="s">
        <v>1</v>
      </c>
      <c r="E132" s="122">
        <v>1.336805555555556</v>
      </c>
      <c r="F132" s="112" t="s">
        <v>70</v>
      </c>
      <c r="G132" s="114">
        <v>9</v>
      </c>
      <c r="H132" s="115" t="s">
        <v>71</v>
      </c>
    </row>
    <row r="133" spans="1:8" ht="19.899999999999999" customHeight="1">
      <c r="A133" s="121">
        <v>46029</v>
      </c>
      <c r="B133" s="112" t="s">
        <v>68</v>
      </c>
      <c r="C133" s="113" t="s">
        <v>76</v>
      </c>
      <c r="D133" s="112" t="s">
        <v>1</v>
      </c>
      <c r="E133" s="122">
        <v>1.697916666666667</v>
      </c>
      <c r="F133" s="112" t="s">
        <v>70</v>
      </c>
      <c r="G133" s="114">
        <v>9</v>
      </c>
      <c r="H133" s="115" t="s">
        <v>71</v>
      </c>
    </row>
    <row r="134" spans="1:8" ht="19.899999999999999" customHeight="1">
      <c r="A134" s="121">
        <v>46029</v>
      </c>
      <c r="B134" s="112" t="s">
        <v>68</v>
      </c>
      <c r="C134" s="113" t="s">
        <v>72</v>
      </c>
      <c r="D134" s="112" t="s">
        <v>1</v>
      </c>
      <c r="E134" s="122">
        <v>1.0659722222222221</v>
      </c>
      <c r="F134" s="112" t="s">
        <v>70</v>
      </c>
      <c r="G134" s="114">
        <v>9</v>
      </c>
      <c r="H134" s="115" t="s">
        <v>71</v>
      </c>
    </row>
    <row r="135" spans="1:8" ht="19.899999999999999" customHeight="1">
      <c r="A135" s="121">
        <v>46029</v>
      </c>
      <c r="B135" s="112" t="s">
        <v>68</v>
      </c>
      <c r="C135" s="113" t="s">
        <v>73</v>
      </c>
      <c r="D135" s="112" t="s">
        <v>1</v>
      </c>
      <c r="E135" s="122">
        <v>1.288194444444444</v>
      </c>
      <c r="F135" s="112" t="s">
        <v>70</v>
      </c>
      <c r="G135" s="114">
        <v>9</v>
      </c>
      <c r="H135" s="115" t="s">
        <v>71</v>
      </c>
    </row>
    <row r="136" spans="1:8" ht="19.899999999999999" customHeight="1">
      <c r="A136" s="121">
        <v>46029</v>
      </c>
      <c r="B136" s="112" t="s">
        <v>48</v>
      </c>
      <c r="C136" s="113" t="s">
        <v>58</v>
      </c>
      <c r="D136" s="112" t="s">
        <v>1</v>
      </c>
      <c r="E136" s="122">
        <v>1.1840277777777779</v>
      </c>
      <c r="F136" s="112" t="s">
        <v>53</v>
      </c>
      <c r="G136" s="114">
        <v>9</v>
      </c>
      <c r="H136" s="115" t="s">
        <v>110</v>
      </c>
    </row>
    <row r="137" spans="1:8" ht="19.899999999999999" customHeight="1">
      <c r="A137" s="121">
        <v>46029</v>
      </c>
      <c r="B137" s="112" t="s">
        <v>26</v>
      </c>
      <c r="C137" s="113" t="s">
        <v>27</v>
      </c>
      <c r="D137" s="112" t="s">
        <v>1</v>
      </c>
      <c r="E137" s="122">
        <v>1.6076388888888891</v>
      </c>
      <c r="F137" s="112" t="s">
        <v>28</v>
      </c>
      <c r="G137" s="114">
        <v>9</v>
      </c>
      <c r="H137" s="115" t="s">
        <v>104</v>
      </c>
    </row>
    <row r="138" spans="1:8" ht="19.899999999999999" customHeight="1">
      <c r="A138" s="121">
        <v>46029</v>
      </c>
      <c r="B138" s="112" t="s">
        <v>38</v>
      </c>
      <c r="C138" s="113" t="s">
        <v>39</v>
      </c>
      <c r="D138" s="112" t="s">
        <v>1</v>
      </c>
      <c r="E138" s="122">
        <v>1.229166666666667</v>
      </c>
      <c r="F138" s="112" t="s">
        <v>46</v>
      </c>
      <c r="G138" s="114">
        <v>18</v>
      </c>
      <c r="H138" s="115" t="s">
        <v>47</v>
      </c>
    </row>
    <row r="139" spans="1:8" ht="19.899999999999999" customHeight="1">
      <c r="A139" s="121">
        <v>46029</v>
      </c>
      <c r="B139" s="112" t="s">
        <v>48</v>
      </c>
      <c r="C139" s="113" t="s">
        <v>56</v>
      </c>
      <c r="D139" s="112" t="s">
        <v>1</v>
      </c>
      <c r="E139" s="122">
        <v>1.895833333333333</v>
      </c>
      <c r="F139" s="112" t="s">
        <v>50</v>
      </c>
      <c r="G139" s="114">
        <v>9</v>
      </c>
      <c r="H139" s="115" t="s">
        <v>116</v>
      </c>
    </row>
    <row r="140" spans="1:8" ht="19.899999999999999" customHeight="1">
      <c r="A140" s="121">
        <v>46029</v>
      </c>
      <c r="B140" s="112" t="s">
        <v>68</v>
      </c>
      <c r="C140" s="113" t="s">
        <v>69</v>
      </c>
      <c r="D140" s="112" t="s">
        <v>1</v>
      </c>
      <c r="E140" s="122">
        <v>1.9409722222222221</v>
      </c>
      <c r="F140" s="112" t="s">
        <v>70</v>
      </c>
      <c r="G140" s="114">
        <v>9</v>
      </c>
      <c r="H140" s="115" t="s">
        <v>75</v>
      </c>
    </row>
    <row r="141" spans="1:8" ht="19.899999999999999" customHeight="1">
      <c r="A141" s="121">
        <v>46029</v>
      </c>
      <c r="B141" s="112" t="s">
        <v>26</v>
      </c>
      <c r="C141" s="113" t="s">
        <v>27</v>
      </c>
      <c r="D141" s="112" t="s">
        <v>1</v>
      </c>
      <c r="E141" s="122">
        <v>1.6076388888888891</v>
      </c>
      <c r="F141" s="112" t="s">
        <v>31</v>
      </c>
      <c r="G141" s="114">
        <v>9</v>
      </c>
      <c r="H141" s="115" t="s">
        <v>105</v>
      </c>
    </row>
    <row r="142" spans="1:8" ht="19.899999999999999" customHeight="1">
      <c r="A142" s="121">
        <v>46029</v>
      </c>
      <c r="B142" s="112" t="s">
        <v>48</v>
      </c>
      <c r="C142" s="113" t="s">
        <v>56</v>
      </c>
      <c r="D142" s="112" t="s">
        <v>1</v>
      </c>
      <c r="E142" s="122">
        <v>1.895833333333333</v>
      </c>
      <c r="F142" s="112" t="s">
        <v>53</v>
      </c>
      <c r="G142" s="114">
        <v>9</v>
      </c>
      <c r="H142" s="115" t="s">
        <v>117</v>
      </c>
    </row>
    <row r="143" spans="1:8" ht="19.899999999999999" customHeight="1">
      <c r="A143" s="121">
        <v>46029</v>
      </c>
      <c r="B143" s="112" t="s">
        <v>26</v>
      </c>
      <c r="C143" s="113" t="s">
        <v>27</v>
      </c>
      <c r="D143" s="112" t="s">
        <v>1</v>
      </c>
      <c r="E143" s="122">
        <v>1.6076388888888891</v>
      </c>
      <c r="F143" s="112" t="s">
        <v>34</v>
      </c>
      <c r="G143" s="114">
        <v>9</v>
      </c>
      <c r="H143" s="115" t="s">
        <v>106</v>
      </c>
    </row>
    <row r="144" spans="1:8" ht="19.899999999999999" customHeight="1">
      <c r="A144" s="123">
        <v>46029</v>
      </c>
      <c r="B144" s="124" t="s">
        <v>48</v>
      </c>
      <c r="C144" s="125" t="s">
        <v>59</v>
      </c>
      <c r="D144" s="124" t="s">
        <v>1</v>
      </c>
      <c r="E144" s="126">
        <v>1.229166666666667</v>
      </c>
      <c r="F144" s="124" t="s">
        <v>53</v>
      </c>
      <c r="G144" s="127">
        <v>4</v>
      </c>
      <c r="H144" s="128" t="s">
        <v>124</v>
      </c>
    </row>
    <row r="145" spans="1:8" ht="19.899999999999999" customHeight="1">
      <c r="A145" s="121">
        <v>46030</v>
      </c>
      <c r="B145" s="112" t="s">
        <v>38</v>
      </c>
      <c r="C145" s="113" t="s">
        <v>39</v>
      </c>
      <c r="D145" s="112" t="s">
        <v>1</v>
      </c>
      <c r="E145" s="122">
        <v>1.229166666666667</v>
      </c>
      <c r="F145" s="112" t="s">
        <v>40</v>
      </c>
      <c r="G145" s="114">
        <v>9</v>
      </c>
      <c r="H145" s="115" t="s">
        <v>78</v>
      </c>
    </row>
    <row r="146" spans="1:8" ht="19.899999999999999" customHeight="1">
      <c r="A146" s="121">
        <v>46030</v>
      </c>
      <c r="B146" s="112" t="s">
        <v>38</v>
      </c>
      <c r="C146" s="113" t="s">
        <v>87</v>
      </c>
      <c r="D146" s="112" t="s">
        <v>1</v>
      </c>
      <c r="E146" s="122">
        <v>1.0625</v>
      </c>
      <c r="F146" s="112" t="s">
        <v>40</v>
      </c>
      <c r="G146" s="114">
        <v>20</v>
      </c>
      <c r="H146" s="115" t="s">
        <v>78</v>
      </c>
    </row>
    <row r="147" spans="1:8" ht="19.899999999999999" customHeight="1">
      <c r="A147" s="121">
        <v>46030</v>
      </c>
      <c r="B147" s="112" t="s">
        <v>26</v>
      </c>
      <c r="C147" s="113" t="s">
        <v>27</v>
      </c>
      <c r="D147" s="112" t="s">
        <v>1</v>
      </c>
      <c r="E147" s="122">
        <v>1.6076388888888891</v>
      </c>
      <c r="F147" s="112" t="s">
        <v>28</v>
      </c>
      <c r="G147" s="114">
        <v>3</v>
      </c>
      <c r="H147" s="115" t="s">
        <v>81</v>
      </c>
    </row>
    <row r="148" spans="1:8" ht="19.899999999999999" customHeight="1">
      <c r="A148" s="121">
        <v>46030</v>
      </c>
      <c r="B148" s="112" t="s">
        <v>26</v>
      </c>
      <c r="C148" s="113" t="s">
        <v>27</v>
      </c>
      <c r="D148" s="112" t="s">
        <v>1</v>
      </c>
      <c r="E148" s="122">
        <v>1.6076388888888891</v>
      </c>
      <c r="F148" s="112" t="s">
        <v>31</v>
      </c>
      <c r="G148" s="114">
        <v>3</v>
      </c>
      <c r="H148" s="115" t="s">
        <v>83</v>
      </c>
    </row>
    <row r="149" spans="1:8" ht="19.899999999999999" customHeight="1">
      <c r="A149" s="121">
        <v>46030</v>
      </c>
      <c r="B149" s="112" t="s">
        <v>38</v>
      </c>
      <c r="C149" s="113" t="s">
        <v>39</v>
      </c>
      <c r="D149" s="112" t="s">
        <v>1</v>
      </c>
      <c r="E149" s="122">
        <v>1.229166666666667</v>
      </c>
      <c r="F149" s="112" t="s">
        <v>43</v>
      </c>
      <c r="G149" s="114">
        <v>9</v>
      </c>
      <c r="H149" s="115" t="s">
        <v>79</v>
      </c>
    </row>
    <row r="150" spans="1:8" ht="19.899999999999999" customHeight="1">
      <c r="A150" s="121">
        <v>46030</v>
      </c>
      <c r="B150" s="112" t="s">
        <v>38</v>
      </c>
      <c r="C150" s="113" t="s">
        <v>87</v>
      </c>
      <c r="D150" s="112" t="s">
        <v>1</v>
      </c>
      <c r="E150" s="122">
        <v>1.0625</v>
      </c>
      <c r="F150" s="112" t="s">
        <v>43</v>
      </c>
      <c r="G150" s="114">
        <v>20</v>
      </c>
      <c r="H150" s="115" t="s">
        <v>79</v>
      </c>
    </row>
    <row r="151" spans="1:8" ht="19.899999999999999" customHeight="1">
      <c r="A151" s="121">
        <v>46030</v>
      </c>
      <c r="B151" s="112" t="s">
        <v>26</v>
      </c>
      <c r="C151" s="113" t="s">
        <v>27</v>
      </c>
      <c r="D151" s="112" t="s">
        <v>1</v>
      </c>
      <c r="E151" s="122">
        <v>1.6076388888888891</v>
      </c>
      <c r="F151" s="112" t="s">
        <v>34</v>
      </c>
      <c r="G151" s="114">
        <v>3</v>
      </c>
      <c r="H151" s="115" t="s">
        <v>45</v>
      </c>
    </row>
    <row r="152" spans="1:8" ht="19.899999999999999" customHeight="1">
      <c r="A152" s="129">
        <v>46030</v>
      </c>
      <c r="B152" s="117" t="s">
        <v>61</v>
      </c>
      <c r="C152" s="118" t="s">
        <v>62</v>
      </c>
      <c r="D152" s="117" t="s">
        <v>1</v>
      </c>
      <c r="E152" s="130">
        <v>1.381944444444444</v>
      </c>
      <c r="F152" s="117" t="s">
        <v>63</v>
      </c>
      <c r="G152" s="119">
        <v>9</v>
      </c>
      <c r="H152" s="120" t="s">
        <v>64</v>
      </c>
    </row>
    <row r="153" spans="1:8" ht="19.899999999999999" customHeight="1">
      <c r="A153" s="121">
        <v>46030</v>
      </c>
      <c r="B153" s="112" t="s">
        <v>48</v>
      </c>
      <c r="C153" s="113" t="s">
        <v>56</v>
      </c>
      <c r="D153" s="112" t="s">
        <v>1</v>
      </c>
      <c r="E153" s="122">
        <v>1.895833333333333</v>
      </c>
      <c r="F153" s="112" t="s">
        <v>50</v>
      </c>
      <c r="G153" s="114">
        <v>9</v>
      </c>
      <c r="H153" s="115" t="s">
        <v>109</v>
      </c>
    </row>
    <row r="154" spans="1:8" ht="19.899999999999999" customHeight="1">
      <c r="A154" s="121">
        <v>46030</v>
      </c>
      <c r="B154" s="112" t="s">
        <v>48</v>
      </c>
      <c r="C154" s="113" t="s">
        <v>58</v>
      </c>
      <c r="D154" s="112" t="s">
        <v>1</v>
      </c>
      <c r="E154" s="122">
        <v>1.1840277777777779</v>
      </c>
      <c r="F154" s="112" t="s">
        <v>50</v>
      </c>
      <c r="G154" s="114">
        <v>9</v>
      </c>
      <c r="H154" s="115" t="s">
        <v>109</v>
      </c>
    </row>
    <row r="155" spans="1:8" ht="19.899999999999999" customHeight="1">
      <c r="A155" s="121">
        <v>46030</v>
      </c>
      <c r="B155" s="112" t="s">
        <v>68</v>
      </c>
      <c r="C155" s="113" t="s">
        <v>69</v>
      </c>
      <c r="D155" s="112" t="s">
        <v>1</v>
      </c>
      <c r="E155" s="122">
        <v>1.9409722222222221</v>
      </c>
      <c r="F155" s="112" t="s">
        <v>70</v>
      </c>
      <c r="G155" s="114">
        <v>9</v>
      </c>
      <c r="H155" s="115" t="s">
        <v>71</v>
      </c>
    </row>
    <row r="156" spans="1:8" ht="19.899999999999999" customHeight="1">
      <c r="A156" s="121">
        <v>46030</v>
      </c>
      <c r="B156" s="112" t="s">
        <v>68</v>
      </c>
      <c r="C156" s="113" t="s">
        <v>72</v>
      </c>
      <c r="D156" s="112" t="s">
        <v>1</v>
      </c>
      <c r="E156" s="122">
        <v>1.0659722222222221</v>
      </c>
      <c r="F156" s="112" t="s">
        <v>70</v>
      </c>
      <c r="G156" s="114">
        <v>9</v>
      </c>
      <c r="H156" s="115" t="s">
        <v>71</v>
      </c>
    </row>
    <row r="157" spans="1:8" ht="19.899999999999999" customHeight="1">
      <c r="A157" s="121">
        <v>46030</v>
      </c>
      <c r="B157" s="112" t="s">
        <v>68</v>
      </c>
      <c r="C157" s="113" t="s">
        <v>73</v>
      </c>
      <c r="D157" s="112" t="s">
        <v>1</v>
      </c>
      <c r="E157" s="122">
        <v>1.288194444444444</v>
      </c>
      <c r="F157" s="112" t="s">
        <v>70</v>
      </c>
      <c r="G157" s="114">
        <v>9</v>
      </c>
      <c r="H157" s="115" t="s">
        <v>71</v>
      </c>
    </row>
    <row r="158" spans="1:8" ht="19.899999999999999" customHeight="1">
      <c r="A158" s="121">
        <v>46030</v>
      </c>
      <c r="B158" s="112" t="s">
        <v>48</v>
      </c>
      <c r="C158" s="113" t="s">
        <v>56</v>
      </c>
      <c r="D158" s="112" t="s">
        <v>1</v>
      </c>
      <c r="E158" s="122">
        <v>1.895833333333333</v>
      </c>
      <c r="F158" s="112" t="s">
        <v>53</v>
      </c>
      <c r="G158" s="114">
        <v>9</v>
      </c>
      <c r="H158" s="115" t="s">
        <v>110</v>
      </c>
    </row>
    <row r="159" spans="1:8" ht="19.899999999999999" customHeight="1">
      <c r="A159" s="121">
        <v>46030</v>
      </c>
      <c r="B159" s="112" t="s">
        <v>48</v>
      </c>
      <c r="C159" s="113" t="s">
        <v>58</v>
      </c>
      <c r="D159" s="112" t="s">
        <v>1</v>
      </c>
      <c r="E159" s="122">
        <v>1.1840277777777779</v>
      </c>
      <c r="F159" s="112" t="s">
        <v>53</v>
      </c>
      <c r="G159" s="114">
        <v>9</v>
      </c>
      <c r="H159" s="115" t="s">
        <v>110</v>
      </c>
    </row>
    <row r="160" spans="1:8" ht="19.899999999999999" customHeight="1">
      <c r="A160" s="121">
        <v>46030</v>
      </c>
      <c r="B160" s="112" t="s">
        <v>26</v>
      </c>
      <c r="C160" s="113" t="s">
        <v>36</v>
      </c>
      <c r="D160" s="112" t="s">
        <v>1</v>
      </c>
      <c r="E160" s="122">
        <v>1.4340277777777779</v>
      </c>
      <c r="F160" s="112" t="s">
        <v>28</v>
      </c>
      <c r="G160" s="114">
        <v>9</v>
      </c>
      <c r="H160" s="115" t="s">
        <v>104</v>
      </c>
    </row>
    <row r="161" spans="1:8" ht="19.899999999999999" customHeight="1">
      <c r="A161" s="121">
        <v>46030</v>
      </c>
      <c r="B161" s="112" t="s">
        <v>38</v>
      </c>
      <c r="C161" s="113" t="s">
        <v>39</v>
      </c>
      <c r="D161" s="112" t="s">
        <v>1</v>
      </c>
      <c r="E161" s="122">
        <v>1.229166666666667</v>
      </c>
      <c r="F161" s="112" t="s">
        <v>46</v>
      </c>
      <c r="G161" s="114">
        <v>9</v>
      </c>
      <c r="H161" s="115" t="s">
        <v>47</v>
      </c>
    </row>
    <row r="162" spans="1:8" ht="19.899999999999999" customHeight="1">
      <c r="A162" s="121">
        <v>46030</v>
      </c>
      <c r="B162" s="112" t="s">
        <v>38</v>
      </c>
      <c r="C162" s="113" t="s">
        <v>87</v>
      </c>
      <c r="D162" s="112" t="s">
        <v>1</v>
      </c>
      <c r="E162" s="122">
        <v>1.0625</v>
      </c>
      <c r="F162" s="112" t="s">
        <v>46</v>
      </c>
      <c r="G162" s="114">
        <v>20</v>
      </c>
      <c r="H162" s="115" t="s">
        <v>47</v>
      </c>
    </row>
    <row r="163" spans="1:8" ht="19.899999999999999" customHeight="1">
      <c r="A163" s="121">
        <v>46030</v>
      </c>
      <c r="B163" s="112" t="s">
        <v>26</v>
      </c>
      <c r="C163" s="113" t="s">
        <v>36</v>
      </c>
      <c r="D163" s="112" t="s">
        <v>1</v>
      </c>
      <c r="E163" s="122">
        <v>1.4340277777777779</v>
      </c>
      <c r="F163" s="112" t="s">
        <v>31</v>
      </c>
      <c r="G163" s="114">
        <v>9</v>
      </c>
      <c r="H163" s="115" t="s">
        <v>105</v>
      </c>
    </row>
    <row r="164" spans="1:8" ht="19.899999999999999" customHeight="1">
      <c r="A164" s="121">
        <v>46030</v>
      </c>
      <c r="B164" s="112" t="s">
        <v>68</v>
      </c>
      <c r="C164" s="113" t="s">
        <v>76</v>
      </c>
      <c r="D164" s="112" t="s">
        <v>1</v>
      </c>
      <c r="E164" s="122">
        <v>1.697916666666667</v>
      </c>
      <c r="F164" s="112" t="s">
        <v>70</v>
      </c>
      <c r="G164" s="114">
        <v>9</v>
      </c>
      <c r="H164" s="115" t="s">
        <v>129</v>
      </c>
    </row>
    <row r="165" spans="1:8" ht="19.899999999999999" customHeight="1">
      <c r="A165" s="121">
        <v>46030</v>
      </c>
      <c r="B165" s="112" t="s">
        <v>26</v>
      </c>
      <c r="C165" s="113" t="s">
        <v>36</v>
      </c>
      <c r="D165" s="112" t="s">
        <v>1</v>
      </c>
      <c r="E165" s="122">
        <v>1.4340277777777779</v>
      </c>
      <c r="F165" s="112" t="s">
        <v>34</v>
      </c>
      <c r="G165" s="114">
        <v>9</v>
      </c>
      <c r="H165" s="115" t="s">
        <v>106</v>
      </c>
    </row>
    <row r="166" spans="1:8" ht="19.899999999999999" customHeight="1">
      <c r="A166" s="121">
        <v>46030</v>
      </c>
      <c r="B166" s="112" t="s">
        <v>48</v>
      </c>
      <c r="C166" s="113" t="s">
        <v>59</v>
      </c>
      <c r="D166" s="112" t="s">
        <v>1</v>
      </c>
      <c r="E166" s="122">
        <v>1.229166666666667</v>
      </c>
      <c r="F166" s="112" t="s">
        <v>53</v>
      </c>
      <c r="G166" s="114">
        <v>4</v>
      </c>
      <c r="H166" s="115" t="s">
        <v>93</v>
      </c>
    </row>
    <row r="167" spans="1:8" ht="19.899999999999999" customHeight="1">
      <c r="A167" s="121">
        <v>46030</v>
      </c>
      <c r="B167" s="112" t="s">
        <v>48</v>
      </c>
      <c r="C167" s="113" t="s">
        <v>49</v>
      </c>
      <c r="D167" s="112" t="s">
        <v>1</v>
      </c>
      <c r="E167" s="122">
        <v>1.354166666666667</v>
      </c>
      <c r="F167" s="112" t="s">
        <v>53</v>
      </c>
      <c r="G167" s="114">
        <v>9</v>
      </c>
      <c r="H167" s="115" t="s">
        <v>60</v>
      </c>
    </row>
    <row r="168" spans="1:8" ht="19.899999999999999" customHeight="1">
      <c r="A168" s="123">
        <v>46030</v>
      </c>
      <c r="B168" s="124" t="s">
        <v>68</v>
      </c>
      <c r="C168" s="125" t="s">
        <v>74</v>
      </c>
      <c r="D168" s="124" t="s">
        <v>1</v>
      </c>
      <c r="E168" s="126">
        <v>1.336805555555556</v>
      </c>
      <c r="F168" s="124" t="s">
        <v>70</v>
      </c>
      <c r="G168" s="127">
        <v>9</v>
      </c>
      <c r="H168" s="128" t="s">
        <v>77</v>
      </c>
    </row>
    <row r="169" spans="1:8" ht="19.899999999999999" customHeight="1">
      <c r="A169" s="121">
        <v>46031</v>
      </c>
      <c r="B169" s="112" t="s">
        <v>38</v>
      </c>
      <c r="C169" s="113" t="s">
        <v>39</v>
      </c>
      <c r="D169" s="112" t="s">
        <v>1</v>
      </c>
      <c r="E169" s="122">
        <v>1.229166666666667</v>
      </c>
      <c r="F169" s="112" t="s">
        <v>40</v>
      </c>
      <c r="G169" s="114">
        <v>11</v>
      </c>
      <c r="H169" s="115" t="s">
        <v>131</v>
      </c>
    </row>
    <row r="170" spans="1:8" ht="19.899999999999999" customHeight="1">
      <c r="A170" s="121">
        <v>46031</v>
      </c>
      <c r="B170" s="112" t="s">
        <v>48</v>
      </c>
      <c r="C170" s="113" t="s">
        <v>56</v>
      </c>
      <c r="D170" s="112" t="s">
        <v>1</v>
      </c>
      <c r="E170" s="122">
        <v>1.895833333333333</v>
      </c>
      <c r="F170" s="112" t="s">
        <v>50</v>
      </c>
      <c r="G170" s="114">
        <v>9</v>
      </c>
      <c r="H170" s="115" t="s">
        <v>96</v>
      </c>
    </row>
    <row r="171" spans="1:8" ht="19.899999999999999" customHeight="1">
      <c r="A171" s="121">
        <v>46031</v>
      </c>
      <c r="B171" s="112" t="s">
        <v>48</v>
      </c>
      <c r="C171" s="113" t="s">
        <v>58</v>
      </c>
      <c r="D171" s="112" t="s">
        <v>1</v>
      </c>
      <c r="E171" s="122">
        <v>1.1840277777777779</v>
      </c>
      <c r="F171" s="112" t="s">
        <v>50</v>
      </c>
      <c r="G171" s="114">
        <v>1</v>
      </c>
      <c r="H171" s="115" t="s">
        <v>96</v>
      </c>
    </row>
    <row r="172" spans="1:8" ht="19.899999999999999" customHeight="1">
      <c r="A172" s="121">
        <v>46031</v>
      </c>
      <c r="B172" s="112" t="s">
        <v>38</v>
      </c>
      <c r="C172" s="113" t="s">
        <v>39</v>
      </c>
      <c r="D172" s="112" t="s">
        <v>1</v>
      </c>
      <c r="E172" s="122">
        <v>1.229166666666667</v>
      </c>
      <c r="F172" s="112" t="s">
        <v>43</v>
      </c>
      <c r="G172" s="114">
        <v>11</v>
      </c>
      <c r="H172" s="115" t="s">
        <v>133</v>
      </c>
    </row>
    <row r="173" spans="1:8" ht="19.899999999999999" customHeight="1">
      <c r="A173" s="121">
        <v>46031</v>
      </c>
      <c r="B173" s="112" t="s">
        <v>48</v>
      </c>
      <c r="C173" s="113" t="s">
        <v>49</v>
      </c>
      <c r="D173" s="112" t="s">
        <v>1</v>
      </c>
      <c r="E173" s="122">
        <v>1.350694444444444</v>
      </c>
      <c r="F173" s="112" t="s">
        <v>50</v>
      </c>
      <c r="G173" s="114">
        <v>9</v>
      </c>
      <c r="H173" s="115" t="s">
        <v>52</v>
      </c>
    </row>
    <row r="174" spans="1:8" ht="19.899999999999999" customHeight="1">
      <c r="A174" s="121">
        <v>46031</v>
      </c>
      <c r="B174" s="112" t="s">
        <v>48</v>
      </c>
      <c r="C174" s="113" t="s">
        <v>56</v>
      </c>
      <c r="D174" s="112" t="s">
        <v>1</v>
      </c>
      <c r="E174" s="122">
        <v>1.895833333333333</v>
      </c>
      <c r="F174" s="112" t="s">
        <v>53</v>
      </c>
      <c r="G174" s="114">
        <v>9</v>
      </c>
      <c r="H174" s="115" t="s">
        <v>97</v>
      </c>
    </row>
    <row r="175" spans="1:8" ht="19.899999999999999" customHeight="1">
      <c r="A175" s="121">
        <v>46031</v>
      </c>
      <c r="B175" s="112" t="s">
        <v>48</v>
      </c>
      <c r="C175" s="113" t="s">
        <v>58</v>
      </c>
      <c r="D175" s="112" t="s">
        <v>1</v>
      </c>
      <c r="E175" s="122">
        <v>1.1840277777777779</v>
      </c>
      <c r="F175" s="112" t="s">
        <v>53</v>
      </c>
      <c r="G175" s="114">
        <v>1</v>
      </c>
      <c r="H175" s="115" t="s">
        <v>97</v>
      </c>
    </row>
    <row r="176" spans="1:8" ht="19.899999999999999" customHeight="1">
      <c r="A176" s="121">
        <v>46031</v>
      </c>
      <c r="B176" s="112" t="s">
        <v>48</v>
      </c>
      <c r="C176" s="113" t="s">
        <v>49</v>
      </c>
      <c r="D176" s="112" t="s">
        <v>1</v>
      </c>
      <c r="E176" s="122">
        <v>1.350694444444444</v>
      </c>
      <c r="F176" s="112" t="s">
        <v>53</v>
      </c>
      <c r="G176" s="114">
        <v>9</v>
      </c>
      <c r="H176" s="115" t="s">
        <v>55</v>
      </c>
    </row>
    <row r="177" spans="1:8" ht="19.899999999999999" customHeight="1">
      <c r="A177" s="121">
        <v>46031</v>
      </c>
      <c r="B177" s="112" t="s">
        <v>68</v>
      </c>
      <c r="C177" s="113" t="s">
        <v>74</v>
      </c>
      <c r="D177" s="112" t="s">
        <v>1</v>
      </c>
      <c r="E177" s="122">
        <v>1.336805555555556</v>
      </c>
      <c r="F177" s="112" t="s">
        <v>70</v>
      </c>
      <c r="G177" s="114">
        <v>9</v>
      </c>
      <c r="H177" s="115" t="s">
        <v>71</v>
      </c>
    </row>
    <row r="178" spans="1:8" ht="19.899999999999999" customHeight="1">
      <c r="A178" s="121">
        <v>46031</v>
      </c>
      <c r="B178" s="112" t="s">
        <v>68</v>
      </c>
      <c r="C178" s="113" t="s">
        <v>69</v>
      </c>
      <c r="D178" s="112" t="s">
        <v>1</v>
      </c>
      <c r="E178" s="122">
        <v>1.9409722222222221</v>
      </c>
      <c r="F178" s="112" t="s">
        <v>70</v>
      </c>
      <c r="G178" s="114">
        <v>9</v>
      </c>
      <c r="H178" s="115" t="s">
        <v>71</v>
      </c>
    </row>
    <row r="179" spans="1:8" ht="19.899999999999999" customHeight="1">
      <c r="A179" s="121">
        <v>46031</v>
      </c>
      <c r="B179" s="112" t="s">
        <v>68</v>
      </c>
      <c r="C179" s="113" t="s">
        <v>76</v>
      </c>
      <c r="D179" s="112" t="s">
        <v>1</v>
      </c>
      <c r="E179" s="122">
        <v>1.697916666666667</v>
      </c>
      <c r="F179" s="112" t="s">
        <v>70</v>
      </c>
      <c r="G179" s="114">
        <v>9</v>
      </c>
      <c r="H179" s="115" t="s">
        <v>71</v>
      </c>
    </row>
    <row r="180" spans="1:8" ht="19.899999999999999" customHeight="1">
      <c r="A180" s="121">
        <v>46031</v>
      </c>
      <c r="B180" s="112" t="s">
        <v>68</v>
      </c>
      <c r="C180" s="113" t="s">
        <v>72</v>
      </c>
      <c r="D180" s="112" t="s">
        <v>1</v>
      </c>
      <c r="E180" s="122">
        <v>1.0659722222222221</v>
      </c>
      <c r="F180" s="112" t="s">
        <v>70</v>
      </c>
      <c r="G180" s="114">
        <v>9</v>
      </c>
      <c r="H180" s="115" t="s">
        <v>71</v>
      </c>
    </row>
    <row r="181" spans="1:8" ht="19.899999999999999" customHeight="1">
      <c r="A181" s="121">
        <v>46031</v>
      </c>
      <c r="B181" s="112" t="s">
        <v>68</v>
      </c>
      <c r="C181" s="113" t="s">
        <v>73</v>
      </c>
      <c r="D181" s="112" t="s">
        <v>1</v>
      </c>
      <c r="E181" s="122">
        <v>1.288194444444444</v>
      </c>
      <c r="F181" s="112" t="s">
        <v>70</v>
      </c>
      <c r="G181" s="114">
        <v>9</v>
      </c>
      <c r="H181" s="115" t="s">
        <v>71</v>
      </c>
    </row>
    <row r="182" spans="1:8" ht="19.899999999999999" customHeight="1">
      <c r="A182" s="121">
        <v>46031</v>
      </c>
      <c r="B182" s="112" t="s">
        <v>26</v>
      </c>
      <c r="C182" s="113" t="s">
        <v>27</v>
      </c>
      <c r="D182" s="112" t="s">
        <v>1</v>
      </c>
      <c r="E182" s="122">
        <v>1.6076388888888891</v>
      </c>
      <c r="F182" s="112" t="s">
        <v>28</v>
      </c>
      <c r="G182" s="114">
        <v>9</v>
      </c>
      <c r="H182" s="115" t="s">
        <v>104</v>
      </c>
    </row>
    <row r="183" spans="1:8" ht="19.899999999999999" customHeight="1">
      <c r="A183" s="121">
        <v>46031</v>
      </c>
      <c r="B183" s="112" t="s">
        <v>38</v>
      </c>
      <c r="C183" s="113" t="s">
        <v>39</v>
      </c>
      <c r="D183" s="112" t="s">
        <v>1</v>
      </c>
      <c r="E183" s="122">
        <v>1.229166666666667</v>
      </c>
      <c r="F183" s="112" t="s">
        <v>46</v>
      </c>
      <c r="G183" s="114">
        <v>11</v>
      </c>
      <c r="H183" s="115" t="s">
        <v>47</v>
      </c>
    </row>
    <row r="184" spans="1:8" ht="19.899999999999999" customHeight="1">
      <c r="A184" s="121">
        <v>46031</v>
      </c>
      <c r="B184" s="112" t="s">
        <v>26</v>
      </c>
      <c r="C184" s="113" t="s">
        <v>27</v>
      </c>
      <c r="D184" s="112" t="s">
        <v>1</v>
      </c>
      <c r="E184" s="122">
        <v>1.6076388888888891</v>
      </c>
      <c r="F184" s="112" t="s">
        <v>31</v>
      </c>
      <c r="G184" s="114">
        <v>9</v>
      </c>
      <c r="H184" s="115" t="s">
        <v>105</v>
      </c>
    </row>
    <row r="185" spans="1:8" ht="19.899999999999999" customHeight="1">
      <c r="A185" s="121">
        <v>46031</v>
      </c>
      <c r="B185" s="112" t="s">
        <v>26</v>
      </c>
      <c r="C185" s="113" t="s">
        <v>27</v>
      </c>
      <c r="D185" s="112" t="s">
        <v>1</v>
      </c>
      <c r="E185" s="122">
        <v>1.6076388888888891</v>
      </c>
      <c r="F185" s="112" t="s">
        <v>34</v>
      </c>
      <c r="G185" s="114">
        <v>9</v>
      </c>
      <c r="H185" s="115" t="s">
        <v>106</v>
      </c>
    </row>
    <row r="186" spans="1:8" ht="19.899999999999999" customHeight="1">
      <c r="A186" s="123">
        <v>46031</v>
      </c>
      <c r="B186" s="124" t="s">
        <v>48</v>
      </c>
      <c r="C186" s="125" t="s">
        <v>59</v>
      </c>
      <c r="D186" s="124" t="s">
        <v>1</v>
      </c>
      <c r="E186" s="126">
        <v>1.229166666666667</v>
      </c>
      <c r="F186" s="124" t="s">
        <v>53</v>
      </c>
      <c r="G186" s="127">
        <v>4</v>
      </c>
      <c r="H186" s="128" t="s">
        <v>60</v>
      </c>
    </row>
    <row r="187" spans="1:8" ht="19.899999999999999" customHeight="1">
      <c r="A187" s="121">
        <v>46032</v>
      </c>
      <c r="B187" s="112" t="s">
        <v>38</v>
      </c>
      <c r="C187" s="113" t="s">
        <v>87</v>
      </c>
      <c r="D187" s="112" t="s">
        <v>1</v>
      </c>
      <c r="E187" s="122">
        <v>1.0625</v>
      </c>
      <c r="F187" s="112" t="s">
        <v>40</v>
      </c>
      <c r="G187" s="114">
        <v>20</v>
      </c>
      <c r="H187" s="115" t="s">
        <v>88</v>
      </c>
    </row>
    <row r="188" spans="1:8" ht="19.899999999999999" customHeight="1">
      <c r="A188" s="121">
        <v>46032</v>
      </c>
      <c r="B188" s="112" t="s">
        <v>38</v>
      </c>
      <c r="C188" s="113" t="s">
        <v>39</v>
      </c>
      <c r="D188" s="112" t="s">
        <v>1</v>
      </c>
      <c r="E188" s="122">
        <v>1.229166666666667</v>
      </c>
      <c r="F188" s="112" t="s">
        <v>40</v>
      </c>
      <c r="G188" s="114">
        <v>25</v>
      </c>
      <c r="H188" s="115" t="s">
        <v>78</v>
      </c>
    </row>
    <row r="189" spans="1:8" ht="19.899999999999999" customHeight="1">
      <c r="A189" s="121">
        <v>46032</v>
      </c>
      <c r="B189" s="112" t="s">
        <v>48</v>
      </c>
      <c r="C189" s="113" t="s">
        <v>58</v>
      </c>
      <c r="D189" s="112" t="s">
        <v>1</v>
      </c>
      <c r="E189" s="122">
        <v>1.1840277777777779</v>
      </c>
      <c r="F189" s="112" t="s">
        <v>50</v>
      </c>
      <c r="G189" s="114">
        <v>9</v>
      </c>
      <c r="H189" s="115" t="s">
        <v>96</v>
      </c>
    </row>
    <row r="190" spans="1:8" ht="19.899999999999999" customHeight="1">
      <c r="A190" s="121">
        <v>46032</v>
      </c>
      <c r="B190" s="112" t="s">
        <v>38</v>
      </c>
      <c r="C190" s="113" t="s">
        <v>87</v>
      </c>
      <c r="D190" s="112" t="s">
        <v>1</v>
      </c>
      <c r="E190" s="122">
        <v>1.0625</v>
      </c>
      <c r="F190" s="112" t="s">
        <v>43</v>
      </c>
      <c r="G190" s="114">
        <v>20</v>
      </c>
      <c r="H190" s="115" t="s">
        <v>89</v>
      </c>
    </row>
    <row r="191" spans="1:8" ht="19.899999999999999" customHeight="1">
      <c r="A191" s="121">
        <v>46032</v>
      </c>
      <c r="B191" s="112" t="s">
        <v>26</v>
      </c>
      <c r="C191" s="113" t="s">
        <v>27</v>
      </c>
      <c r="D191" s="112" t="s">
        <v>1</v>
      </c>
      <c r="E191" s="122">
        <v>1.6076388888888891</v>
      </c>
      <c r="F191" s="112" t="s">
        <v>28</v>
      </c>
      <c r="G191" s="114">
        <v>9</v>
      </c>
      <c r="H191" s="115" t="s">
        <v>89</v>
      </c>
    </row>
    <row r="192" spans="1:8" ht="19.899999999999999" customHeight="1">
      <c r="A192" s="121">
        <v>46032</v>
      </c>
      <c r="B192" s="112" t="s">
        <v>38</v>
      </c>
      <c r="C192" s="113" t="s">
        <v>39</v>
      </c>
      <c r="D192" s="112" t="s">
        <v>1</v>
      </c>
      <c r="E192" s="122">
        <v>1.229166666666667</v>
      </c>
      <c r="F192" s="112" t="s">
        <v>43</v>
      </c>
      <c r="G192" s="114">
        <v>25</v>
      </c>
      <c r="H192" s="115" t="s">
        <v>79</v>
      </c>
    </row>
    <row r="193" spans="1:8" ht="19.899999999999999" customHeight="1">
      <c r="A193" s="121">
        <v>46032</v>
      </c>
      <c r="B193" s="112" t="s">
        <v>26</v>
      </c>
      <c r="C193" s="113" t="s">
        <v>27</v>
      </c>
      <c r="D193" s="112" t="s">
        <v>1</v>
      </c>
      <c r="E193" s="122">
        <v>1.6076388888888891</v>
      </c>
      <c r="F193" s="112" t="s">
        <v>31</v>
      </c>
      <c r="G193" s="114">
        <v>9</v>
      </c>
      <c r="H193" s="115" t="s">
        <v>138</v>
      </c>
    </row>
    <row r="194" spans="1:8" ht="19.899999999999999" customHeight="1">
      <c r="A194" s="121">
        <v>46032</v>
      </c>
      <c r="B194" s="112" t="s">
        <v>48</v>
      </c>
      <c r="C194" s="113" t="s">
        <v>58</v>
      </c>
      <c r="D194" s="112" t="s">
        <v>1</v>
      </c>
      <c r="E194" s="122">
        <v>1.1840277777777779</v>
      </c>
      <c r="F194" s="112" t="s">
        <v>53</v>
      </c>
      <c r="G194" s="114">
        <v>9</v>
      </c>
      <c r="H194" s="115" t="s">
        <v>97</v>
      </c>
    </row>
    <row r="195" spans="1:8" ht="19.899999999999999" customHeight="1">
      <c r="A195" s="129">
        <v>46032</v>
      </c>
      <c r="B195" s="117" t="s">
        <v>61</v>
      </c>
      <c r="C195" s="118" t="s">
        <v>62</v>
      </c>
      <c r="D195" s="117" t="s">
        <v>1</v>
      </c>
      <c r="E195" s="130">
        <v>1.2361111111111109</v>
      </c>
      <c r="F195" s="117" t="s">
        <v>63</v>
      </c>
      <c r="G195" s="119">
        <v>9</v>
      </c>
      <c r="H195" s="120" t="s">
        <v>64</v>
      </c>
    </row>
    <row r="196" spans="1:8" ht="19.899999999999999" customHeight="1">
      <c r="A196" s="121">
        <v>46032</v>
      </c>
      <c r="B196" s="112" t="s">
        <v>48</v>
      </c>
      <c r="C196" s="113" t="s">
        <v>49</v>
      </c>
      <c r="D196" s="112" t="s">
        <v>1</v>
      </c>
      <c r="E196" s="122">
        <v>1.354166666666667</v>
      </c>
      <c r="F196" s="112" t="s">
        <v>50</v>
      </c>
      <c r="G196" s="114">
        <v>9</v>
      </c>
      <c r="H196" s="115" t="s">
        <v>109</v>
      </c>
    </row>
    <row r="197" spans="1:8" ht="19.899999999999999" customHeight="1">
      <c r="A197" s="121">
        <v>46032</v>
      </c>
      <c r="B197" s="112" t="s">
        <v>26</v>
      </c>
      <c r="C197" s="113" t="s">
        <v>27</v>
      </c>
      <c r="D197" s="112" t="s">
        <v>1</v>
      </c>
      <c r="E197" s="122">
        <v>1.6076388888888891</v>
      </c>
      <c r="F197" s="112" t="s">
        <v>34</v>
      </c>
      <c r="G197" s="114">
        <v>9</v>
      </c>
      <c r="H197" s="115" t="s">
        <v>139</v>
      </c>
    </row>
    <row r="198" spans="1:8" ht="19.899999999999999" customHeight="1">
      <c r="A198" s="121">
        <v>46032</v>
      </c>
      <c r="B198" s="112" t="s">
        <v>68</v>
      </c>
      <c r="C198" s="113" t="s">
        <v>74</v>
      </c>
      <c r="D198" s="112" t="s">
        <v>1</v>
      </c>
      <c r="E198" s="122">
        <v>1.336805555555556</v>
      </c>
      <c r="F198" s="112" t="s">
        <v>70</v>
      </c>
      <c r="G198" s="114">
        <v>9</v>
      </c>
      <c r="H198" s="115" t="s">
        <v>71</v>
      </c>
    </row>
    <row r="199" spans="1:8" ht="19.899999999999999" customHeight="1">
      <c r="A199" s="121">
        <v>46032</v>
      </c>
      <c r="B199" s="112" t="s">
        <v>68</v>
      </c>
      <c r="C199" s="113" t="s">
        <v>69</v>
      </c>
      <c r="D199" s="112" t="s">
        <v>1</v>
      </c>
      <c r="E199" s="122">
        <v>1.9409722222222221</v>
      </c>
      <c r="F199" s="112" t="s">
        <v>70</v>
      </c>
      <c r="G199" s="114">
        <v>9</v>
      </c>
      <c r="H199" s="115" t="s">
        <v>71</v>
      </c>
    </row>
    <row r="200" spans="1:8" ht="19.899999999999999" customHeight="1">
      <c r="A200" s="121">
        <v>46032</v>
      </c>
      <c r="B200" s="112" t="s">
        <v>68</v>
      </c>
      <c r="C200" s="113" t="s">
        <v>76</v>
      </c>
      <c r="D200" s="112" t="s">
        <v>1</v>
      </c>
      <c r="E200" s="122">
        <v>1.697916666666667</v>
      </c>
      <c r="F200" s="112" t="s">
        <v>70</v>
      </c>
      <c r="G200" s="114">
        <v>9</v>
      </c>
      <c r="H200" s="115" t="s">
        <v>71</v>
      </c>
    </row>
    <row r="201" spans="1:8" ht="19.899999999999999" customHeight="1">
      <c r="A201" s="121">
        <v>46032</v>
      </c>
      <c r="B201" s="112" t="s">
        <v>68</v>
      </c>
      <c r="C201" s="113" t="s">
        <v>72</v>
      </c>
      <c r="D201" s="112" t="s">
        <v>1</v>
      </c>
      <c r="E201" s="122">
        <v>1.0659722222222221</v>
      </c>
      <c r="F201" s="112" t="s">
        <v>70</v>
      </c>
      <c r="G201" s="114">
        <v>9</v>
      </c>
      <c r="H201" s="115" t="s">
        <v>71</v>
      </c>
    </row>
    <row r="202" spans="1:8" ht="19.899999999999999" customHeight="1">
      <c r="A202" s="121">
        <v>46032</v>
      </c>
      <c r="B202" s="112" t="s">
        <v>68</v>
      </c>
      <c r="C202" s="113" t="s">
        <v>73</v>
      </c>
      <c r="D202" s="112" t="s">
        <v>1</v>
      </c>
      <c r="E202" s="122">
        <v>1.288194444444444</v>
      </c>
      <c r="F202" s="112" t="s">
        <v>70</v>
      </c>
      <c r="G202" s="114">
        <v>9</v>
      </c>
      <c r="H202" s="115" t="s">
        <v>71</v>
      </c>
    </row>
    <row r="203" spans="1:8" ht="19.899999999999999" customHeight="1">
      <c r="A203" s="121">
        <v>46032</v>
      </c>
      <c r="B203" s="112" t="s">
        <v>48</v>
      </c>
      <c r="C203" s="113" t="s">
        <v>49</v>
      </c>
      <c r="D203" s="112" t="s">
        <v>1</v>
      </c>
      <c r="E203" s="122">
        <v>1.354166666666667</v>
      </c>
      <c r="F203" s="112" t="s">
        <v>53</v>
      </c>
      <c r="G203" s="114">
        <v>9</v>
      </c>
      <c r="H203" s="115" t="s">
        <v>110</v>
      </c>
    </row>
    <row r="204" spans="1:8" ht="19.899999999999999" customHeight="1">
      <c r="A204" s="121">
        <v>46032</v>
      </c>
      <c r="B204" s="112" t="s">
        <v>26</v>
      </c>
      <c r="C204" s="113" t="s">
        <v>36</v>
      </c>
      <c r="D204" s="112" t="s">
        <v>1</v>
      </c>
      <c r="E204" s="122">
        <v>1.4340277777777779</v>
      </c>
      <c r="F204" s="112" t="s">
        <v>28</v>
      </c>
      <c r="G204" s="114">
        <v>9</v>
      </c>
      <c r="H204" s="115" t="s">
        <v>104</v>
      </c>
    </row>
    <row r="205" spans="1:8" ht="19.899999999999999" customHeight="1">
      <c r="A205" s="121">
        <v>46032</v>
      </c>
      <c r="B205" s="112" t="s">
        <v>38</v>
      </c>
      <c r="C205" s="113" t="s">
        <v>39</v>
      </c>
      <c r="D205" s="112" t="s">
        <v>1</v>
      </c>
      <c r="E205" s="122">
        <v>1.229166666666667</v>
      </c>
      <c r="F205" s="112" t="s">
        <v>46</v>
      </c>
      <c r="G205" s="114">
        <v>25</v>
      </c>
      <c r="H205" s="115" t="s">
        <v>47</v>
      </c>
    </row>
    <row r="206" spans="1:8" ht="19.899999999999999" customHeight="1">
      <c r="A206" s="121">
        <v>46032</v>
      </c>
      <c r="B206" s="112" t="s">
        <v>38</v>
      </c>
      <c r="C206" s="113" t="s">
        <v>87</v>
      </c>
      <c r="D206" s="112" t="s">
        <v>1</v>
      </c>
      <c r="E206" s="122">
        <v>1.0625</v>
      </c>
      <c r="F206" s="112" t="s">
        <v>46</v>
      </c>
      <c r="G206" s="114">
        <v>20</v>
      </c>
      <c r="H206" s="115" t="s">
        <v>47</v>
      </c>
    </row>
    <row r="207" spans="1:8" ht="19.899999999999999" customHeight="1">
      <c r="A207" s="121">
        <v>46032</v>
      </c>
      <c r="B207" s="112" t="s">
        <v>48</v>
      </c>
      <c r="C207" s="113" t="s">
        <v>56</v>
      </c>
      <c r="D207" s="112" t="s">
        <v>1</v>
      </c>
      <c r="E207" s="122">
        <v>1.895833333333333</v>
      </c>
      <c r="F207" s="112" t="s">
        <v>50</v>
      </c>
      <c r="G207" s="114">
        <v>1</v>
      </c>
      <c r="H207" s="115" t="s">
        <v>116</v>
      </c>
    </row>
    <row r="208" spans="1:8" ht="19.899999999999999" customHeight="1">
      <c r="A208" s="121">
        <v>46032</v>
      </c>
      <c r="B208" s="112" t="s">
        <v>26</v>
      </c>
      <c r="C208" s="113" t="s">
        <v>36</v>
      </c>
      <c r="D208" s="112" t="s">
        <v>1</v>
      </c>
      <c r="E208" s="122">
        <v>1.4340277777777779</v>
      </c>
      <c r="F208" s="112" t="s">
        <v>31</v>
      </c>
      <c r="G208" s="114">
        <v>9</v>
      </c>
      <c r="H208" s="115" t="s">
        <v>105</v>
      </c>
    </row>
    <row r="209" spans="1:8" ht="19.899999999999999" customHeight="1">
      <c r="A209" s="121">
        <v>46032</v>
      </c>
      <c r="B209" s="112" t="s">
        <v>48</v>
      </c>
      <c r="C209" s="113" t="s">
        <v>56</v>
      </c>
      <c r="D209" s="112" t="s">
        <v>1</v>
      </c>
      <c r="E209" s="122">
        <v>1.895833333333333</v>
      </c>
      <c r="F209" s="112" t="s">
        <v>53</v>
      </c>
      <c r="G209" s="114">
        <v>1</v>
      </c>
      <c r="H209" s="115" t="s">
        <v>117</v>
      </c>
    </row>
    <row r="210" spans="1:8" ht="19.899999999999999" customHeight="1">
      <c r="A210" s="121">
        <v>46032</v>
      </c>
      <c r="B210" s="112" t="s">
        <v>26</v>
      </c>
      <c r="C210" s="113" t="s">
        <v>36</v>
      </c>
      <c r="D210" s="112" t="s">
        <v>1</v>
      </c>
      <c r="E210" s="122">
        <v>1.4340277777777779</v>
      </c>
      <c r="F210" s="112" t="s">
        <v>34</v>
      </c>
      <c r="G210" s="114">
        <v>9</v>
      </c>
      <c r="H210" s="115" t="s">
        <v>106</v>
      </c>
    </row>
    <row r="211" spans="1:8" ht="19.899999999999999" customHeight="1">
      <c r="A211" s="123">
        <v>46032</v>
      </c>
      <c r="B211" s="124" t="s">
        <v>48</v>
      </c>
      <c r="C211" s="125" t="s">
        <v>59</v>
      </c>
      <c r="D211" s="124" t="s">
        <v>1</v>
      </c>
      <c r="E211" s="126">
        <v>1.229166666666667</v>
      </c>
      <c r="F211" s="124" t="s">
        <v>53</v>
      </c>
      <c r="G211" s="127">
        <v>4</v>
      </c>
      <c r="H211" s="128" t="s">
        <v>93</v>
      </c>
    </row>
    <row r="212" spans="1:8" ht="19.899999999999999" customHeight="1">
      <c r="A212" s="121">
        <v>46033</v>
      </c>
      <c r="B212" s="112" t="s">
        <v>38</v>
      </c>
      <c r="C212" s="113" t="s">
        <v>39</v>
      </c>
      <c r="D212" s="112" t="s">
        <v>1</v>
      </c>
      <c r="E212" s="122">
        <v>1.229166666666667</v>
      </c>
      <c r="F212" s="112" t="s">
        <v>40</v>
      </c>
      <c r="G212" s="114">
        <v>24</v>
      </c>
      <c r="H212" s="115" t="s">
        <v>78</v>
      </c>
    </row>
    <row r="213" spans="1:8" ht="19.899999999999999" customHeight="1">
      <c r="A213" s="121">
        <v>46033</v>
      </c>
      <c r="B213" s="112" t="s">
        <v>38</v>
      </c>
      <c r="C213" s="113" t="s">
        <v>39</v>
      </c>
      <c r="D213" s="112" t="s">
        <v>1</v>
      </c>
      <c r="E213" s="122">
        <v>1.229166666666667</v>
      </c>
      <c r="F213" s="112" t="s">
        <v>43</v>
      </c>
      <c r="G213" s="114">
        <v>24</v>
      </c>
      <c r="H213" s="115" t="s">
        <v>79</v>
      </c>
    </row>
    <row r="214" spans="1:8" ht="19.899999999999999" customHeight="1">
      <c r="A214" s="129">
        <v>46033</v>
      </c>
      <c r="B214" s="117" t="s">
        <v>61</v>
      </c>
      <c r="C214" s="118" t="s">
        <v>62</v>
      </c>
      <c r="D214" s="117" t="s">
        <v>1</v>
      </c>
      <c r="E214" s="130">
        <v>1.743055555555556</v>
      </c>
      <c r="F214" s="117" t="s">
        <v>63</v>
      </c>
      <c r="G214" s="119">
        <v>9</v>
      </c>
      <c r="H214" s="120" t="s">
        <v>64</v>
      </c>
    </row>
    <row r="215" spans="1:8" ht="19.899999999999999" customHeight="1">
      <c r="A215" s="121">
        <v>46033</v>
      </c>
      <c r="B215" s="112" t="s">
        <v>48</v>
      </c>
      <c r="C215" s="113" t="s">
        <v>56</v>
      </c>
      <c r="D215" s="112" t="s">
        <v>1</v>
      </c>
      <c r="E215" s="122">
        <v>1.895833333333333</v>
      </c>
      <c r="F215" s="112" t="s">
        <v>50</v>
      </c>
      <c r="G215" s="114">
        <v>9</v>
      </c>
      <c r="H215" s="115" t="s">
        <v>109</v>
      </c>
    </row>
    <row r="216" spans="1:8" ht="19.899999999999999" customHeight="1">
      <c r="A216" s="121">
        <v>46033</v>
      </c>
      <c r="B216" s="112" t="s">
        <v>48</v>
      </c>
      <c r="C216" s="113" t="s">
        <v>58</v>
      </c>
      <c r="D216" s="112" t="s">
        <v>1</v>
      </c>
      <c r="E216" s="122">
        <v>1.1840277777777779</v>
      </c>
      <c r="F216" s="112" t="s">
        <v>50</v>
      </c>
      <c r="G216" s="114">
        <v>9</v>
      </c>
      <c r="H216" s="115" t="s">
        <v>109</v>
      </c>
    </row>
    <row r="217" spans="1:8" ht="19.899999999999999" customHeight="1">
      <c r="A217" s="121">
        <v>46033</v>
      </c>
      <c r="B217" s="112" t="s">
        <v>68</v>
      </c>
      <c r="C217" s="113" t="s">
        <v>74</v>
      </c>
      <c r="D217" s="112" t="s">
        <v>1</v>
      </c>
      <c r="E217" s="122">
        <v>1.336805555555556</v>
      </c>
      <c r="F217" s="112" t="s">
        <v>70</v>
      </c>
      <c r="G217" s="114">
        <v>9</v>
      </c>
      <c r="H217" s="115" t="s">
        <v>71</v>
      </c>
    </row>
    <row r="218" spans="1:8" ht="19.899999999999999" customHeight="1">
      <c r="A218" s="121">
        <v>46033</v>
      </c>
      <c r="B218" s="112" t="s">
        <v>68</v>
      </c>
      <c r="C218" s="113" t="s">
        <v>69</v>
      </c>
      <c r="D218" s="112" t="s">
        <v>1</v>
      </c>
      <c r="E218" s="122">
        <v>1.9409722222222221</v>
      </c>
      <c r="F218" s="112" t="s">
        <v>70</v>
      </c>
      <c r="G218" s="114">
        <v>9</v>
      </c>
      <c r="H218" s="115" t="s">
        <v>71</v>
      </c>
    </row>
    <row r="219" spans="1:8" ht="19.899999999999999" customHeight="1">
      <c r="A219" s="121">
        <v>46033</v>
      </c>
      <c r="B219" s="112" t="s">
        <v>68</v>
      </c>
      <c r="C219" s="113" t="s">
        <v>76</v>
      </c>
      <c r="D219" s="112" t="s">
        <v>1</v>
      </c>
      <c r="E219" s="122">
        <v>1.697916666666667</v>
      </c>
      <c r="F219" s="112" t="s">
        <v>70</v>
      </c>
      <c r="G219" s="114">
        <v>9</v>
      </c>
      <c r="H219" s="115" t="s">
        <v>71</v>
      </c>
    </row>
    <row r="220" spans="1:8" ht="19.899999999999999" customHeight="1">
      <c r="A220" s="121">
        <v>46033</v>
      </c>
      <c r="B220" s="112" t="s">
        <v>68</v>
      </c>
      <c r="C220" s="113" t="s">
        <v>72</v>
      </c>
      <c r="D220" s="112" t="s">
        <v>1</v>
      </c>
      <c r="E220" s="122">
        <v>1.0659722222222221</v>
      </c>
      <c r="F220" s="112" t="s">
        <v>70</v>
      </c>
      <c r="G220" s="114">
        <v>9</v>
      </c>
      <c r="H220" s="115" t="s">
        <v>71</v>
      </c>
    </row>
    <row r="221" spans="1:8" ht="19.899999999999999" customHeight="1">
      <c r="A221" s="121">
        <v>46033</v>
      </c>
      <c r="B221" s="112" t="s">
        <v>48</v>
      </c>
      <c r="C221" s="113" t="s">
        <v>56</v>
      </c>
      <c r="D221" s="112" t="s">
        <v>1</v>
      </c>
      <c r="E221" s="122">
        <v>1.895833333333333</v>
      </c>
      <c r="F221" s="112" t="s">
        <v>53</v>
      </c>
      <c r="G221" s="114">
        <v>9</v>
      </c>
      <c r="H221" s="115" t="s">
        <v>110</v>
      </c>
    </row>
    <row r="222" spans="1:8" ht="19.899999999999999" customHeight="1">
      <c r="A222" s="121">
        <v>46033</v>
      </c>
      <c r="B222" s="112" t="s">
        <v>48</v>
      </c>
      <c r="C222" s="113" t="s">
        <v>58</v>
      </c>
      <c r="D222" s="112" t="s">
        <v>1</v>
      </c>
      <c r="E222" s="122">
        <v>1.1840277777777779</v>
      </c>
      <c r="F222" s="112" t="s">
        <v>53</v>
      </c>
      <c r="G222" s="114">
        <v>9</v>
      </c>
      <c r="H222" s="115" t="s">
        <v>110</v>
      </c>
    </row>
    <row r="223" spans="1:8" ht="19.899999999999999" customHeight="1">
      <c r="A223" s="121">
        <v>46033</v>
      </c>
      <c r="B223" s="112" t="s">
        <v>38</v>
      </c>
      <c r="C223" s="113" t="s">
        <v>39</v>
      </c>
      <c r="D223" s="112" t="s">
        <v>1</v>
      </c>
      <c r="E223" s="122">
        <v>1.229166666666667</v>
      </c>
      <c r="F223" s="112" t="s">
        <v>46</v>
      </c>
      <c r="G223" s="114">
        <v>24</v>
      </c>
      <c r="H223" s="115" t="s">
        <v>47</v>
      </c>
    </row>
    <row r="224" spans="1:8" ht="19.899999999999999" customHeight="1">
      <c r="A224" s="121">
        <v>46033</v>
      </c>
      <c r="B224" s="112" t="s">
        <v>48</v>
      </c>
      <c r="C224" s="113" t="s">
        <v>49</v>
      </c>
      <c r="D224" s="112" t="s">
        <v>1</v>
      </c>
      <c r="E224" s="122">
        <v>1.350694444444444</v>
      </c>
      <c r="F224" s="112" t="s">
        <v>50</v>
      </c>
      <c r="G224" s="114">
        <v>9</v>
      </c>
      <c r="H224" s="115" t="s">
        <v>116</v>
      </c>
    </row>
    <row r="225" spans="1:8" ht="19.899999999999999" customHeight="1">
      <c r="A225" s="121">
        <v>46033</v>
      </c>
      <c r="B225" s="112" t="s">
        <v>68</v>
      </c>
      <c r="C225" s="113" t="s">
        <v>73</v>
      </c>
      <c r="D225" s="112" t="s">
        <v>1</v>
      </c>
      <c r="E225" s="122">
        <v>1.288194444444444</v>
      </c>
      <c r="F225" s="112" t="s">
        <v>70</v>
      </c>
      <c r="G225" s="114">
        <v>9</v>
      </c>
      <c r="H225" s="115" t="s">
        <v>75</v>
      </c>
    </row>
    <row r="226" spans="1:8" ht="19.899999999999999" customHeight="1">
      <c r="A226" s="121">
        <v>46033</v>
      </c>
      <c r="B226" s="112" t="s">
        <v>48</v>
      </c>
      <c r="C226" s="113" t="s">
        <v>49</v>
      </c>
      <c r="D226" s="112" t="s">
        <v>1</v>
      </c>
      <c r="E226" s="122">
        <v>1.350694444444444</v>
      </c>
      <c r="F226" s="112" t="s">
        <v>53</v>
      </c>
      <c r="G226" s="114">
        <v>9</v>
      </c>
      <c r="H226" s="115" t="s">
        <v>117</v>
      </c>
    </row>
    <row r="227" spans="1:8" ht="19.899999999999999" customHeight="1">
      <c r="A227" s="121">
        <v>46033</v>
      </c>
      <c r="B227" s="112" t="s">
        <v>48</v>
      </c>
      <c r="C227" s="113" t="s">
        <v>59</v>
      </c>
      <c r="D227" s="112" t="s">
        <v>1</v>
      </c>
      <c r="E227" s="122">
        <v>1.229166666666667</v>
      </c>
      <c r="F227" s="112" t="s">
        <v>53</v>
      </c>
      <c r="G227" s="114">
        <v>4</v>
      </c>
      <c r="H227" s="115" t="s">
        <v>93</v>
      </c>
    </row>
    <row r="228" spans="1:8" ht="19.899999999999999" customHeight="1">
      <c r="A228" s="121">
        <v>46033</v>
      </c>
      <c r="B228" s="112" t="s">
        <v>26</v>
      </c>
      <c r="C228" s="113" t="s">
        <v>27</v>
      </c>
      <c r="D228" s="112" t="s">
        <v>1</v>
      </c>
      <c r="E228" s="122">
        <v>1.6076388888888891</v>
      </c>
      <c r="F228" s="112" t="s">
        <v>34</v>
      </c>
      <c r="G228" s="114">
        <v>2</v>
      </c>
      <c r="H228" s="115" t="s">
        <v>144</v>
      </c>
    </row>
    <row r="229" spans="1:8" ht="19.899999999999999" customHeight="1">
      <c r="A229" s="121">
        <v>46033</v>
      </c>
      <c r="B229" s="112" t="s">
        <v>26</v>
      </c>
      <c r="C229" s="113" t="s">
        <v>27</v>
      </c>
      <c r="D229" s="112" t="s">
        <v>1</v>
      </c>
      <c r="E229" s="122">
        <v>1.6076388888888891</v>
      </c>
      <c r="F229" s="112" t="s">
        <v>28</v>
      </c>
      <c r="G229" s="114">
        <v>2</v>
      </c>
      <c r="H229" s="115" t="s">
        <v>145</v>
      </c>
    </row>
    <row r="230" spans="1:8" ht="19.899999999999999" customHeight="1">
      <c r="A230" s="123">
        <v>46033</v>
      </c>
      <c r="B230" s="124" t="s">
        <v>26</v>
      </c>
      <c r="C230" s="125" t="s">
        <v>27</v>
      </c>
      <c r="D230" s="124" t="s">
        <v>1</v>
      </c>
      <c r="E230" s="126">
        <v>1.6076388888888891</v>
      </c>
      <c r="F230" s="124" t="s">
        <v>31</v>
      </c>
      <c r="G230" s="127">
        <v>2</v>
      </c>
      <c r="H230" s="128" t="s">
        <v>146</v>
      </c>
    </row>
    <row r="231" spans="1:8" ht="19.899999999999999" customHeight="1">
      <c r="A231" s="121">
        <v>46034</v>
      </c>
      <c r="B231" s="112" t="s">
        <v>38</v>
      </c>
      <c r="C231" s="113" t="s">
        <v>39</v>
      </c>
      <c r="D231" s="112" t="s">
        <v>1</v>
      </c>
      <c r="E231" s="122">
        <v>1.229166666666667</v>
      </c>
      <c r="F231" s="112" t="s">
        <v>40</v>
      </c>
      <c r="G231" s="114">
        <v>22</v>
      </c>
      <c r="H231" s="115" t="s">
        <v>78</v>
      </c>
    </row>
    <row r="232" spans="1:8" ht="19.899999999999999" customHeight="1">
      <c r="A232" s="121">
        <v>46034</v>
      </c>
      <c r="B232" s="112" t="s">
        <v>38</v>
      </c>
      <c r="C232" s="113" t="s">
        <v>87</v>
      </c>
      <c r="D232" s="112" t="s">
        <v>1</v>
      </c>
      <c r="E232" s="122">
        <v>1.0625</v>
      </c>
      <c r="F232" s="112" t="s">
        <v>40</v>
      </c>
      <c r="G232" s="114">
        <v>20</v>
      </c>
      <c r="H232" s="115" t="s">
        <v>78</v>
      </c>
    </row>
    <row r="233" spans="1:8" ht="19.899999999999999" customHeight="1">
      <c r="A233" s="121">
        <v>46034</v>
      </c>
      <c r="B233" s="112" t="s">
        <v>26</v>
      </c>
      <c r="C233" s="113" t="s">
        <v>27</v>
      </c>
      <c r="D233" s="112" t="s">
        <v>1</v>
      </c>
      <c r="E233" s="122">
        <v>1.6076388888888891</v>
      </c>
      <c r="F233" s="112" t="s">
        <v>28</v>
      </c>
      <c r="G233" s="114">
        <v>9</v>
      </c>
      <c r="H233" s="115" t="s">
        <v>149</v>
      </c>
    </row>
    <row r="234" spans="1:8" ht="19.899999999999999" customHeight="1">
      <c r="A234" s="121">
        <v>46034</v>
      </c>
      <c r="B234" s="112" t="s">
        <v>38</v>
      </c>
      <c r="C234" s="113" t="s">
        <v>39</v>
      </c>
      <c r="D234" s="112" t="s">
        <v>1</v>
      </c>
      <c r="E234" s="122">
        <v>1.229166666666667</v>
      </c>
      <c r="F234" s="112" t="s">
        <v>43</v>
      </c>
      <c r="G234" s="114">
        <v>22</v>
      </c>
      <c r="H234" s="115" t="s">
        <v>79</v>
      </c>
    </row>
    <row r="235" spans="1:8" ht="19.899999999999999" customHeight="1">
      <c r="A235" s="121">
        <v>46034</v>
      </c>
      <c r="B235" s="112" t="s">
        <v>38</v>
      </c>
      <c r="C235" s="113" t="s">
        <v>87</v>
      </c>
      <c r="D235" s="112" t="s">
        <v>1</v>
      </c>
      <c r="E235" s="122">
        <v>1.0625</v>
      </c>
      <c r="F235" s="112" t="s">
        <v>43</v>
      </c>
      <c r="G235" s="114">
        <v>20</v>
      </c>
      <c r="H235" s="115" t="s">
        <v>79</v>
      </c>
    </row>
    <row r="236" spans="1:8" ht="19.899999999999999" customHeight="1">
      <c r="A236" s="121">
        <v>46034</v>
      </c>
      <c r="B236" s="112" t="s">
        <v>26</v>
      </c>
      <c r="C236" s="113" t="s">
        <v>27</v>
      </c>
      <c r="D236" s="112" t="s">
        <v>1</v>
      </c>
      <c r="E236" s="122">
        <v>1.6076388888888891</v>
      </c>
      <c r="F236" s="112" t="s">
        <v>31</v>
      </c>
      <c r="G236" s="114">
        <v>9</v>
      </c>
      <c r="H236" s="115" t="s">
        <v>133</v>
      </c>
    </row>
    <row r="237" spans="1:8" ht="19.899999999999999" customHeight="1">
      <c r="A237" s="129">
        <v>46034</v>
      </c>
      <c r="B237" s="117" t="s">
        <v>61</v>
      </c>
      <c r="C237" s="118" t="s">
        <v>111</v>
      </c>
      <c r="D237" s="117" t="s">
        <v>1</v>
      </c>
      <c r="E237" s="130">
        <v>1.868055555555556</v>
      </c>
      <c r="F237" s="117" t="s">
        <v>63</v>
      </c>
      <c r="G237" s="119">
        <v>9</v>
      </c>
      <c r="H237" s="120" t="s">
        <v>64</v>
      </c>
    </row>
    <row r="238" spans="1:8" ht="19.899999999999999" customHeight="1">
      <c r="A238" s="121">
        <v>46034</v>
      </c>
      <c r="B238" s="112" t="s">
        <v>26</v>
      </c>
      <c r="C238" s="113" t="s">
        <v>27</v>
      </c>
      <c r="D238" s="112" t="s">
        <v>1</v>
      </c>
      <c r="E238" s="122">
        <v>1.6076388888888891</v>
      </c>
      <c r="F238" s="112" t="s">
        <v>34</v>
      </c>
      <c r="G238" s="114">
        <v>9</v>
      </c>
      <c r="H238" s="115" t="s">
        <v>150</v>
      </c>
    </row>
    <row r="239" spans="1:8" ht="19.899999999999999" customHeight="1">
      <c r="A239" s="121">
        <v>46034</v>
      </c>
      <c r="B239" s="112" t="s">
        <v>68</v>
      </c>
      <c r="C239" s="113" t="s">
        <v>74</v>
      </c>
      <c r="D239" s="112" t="s">
        <v>1</v>
      </c>
      <c r="E239" s="122">
        <v>1.336805555555556</v>
      </c>
      <c r="F239" s="112" t="s">
        <v>70</v>
      </c>
      <c r="G239" s="114">
        <v>9</v>
      </c>
      <c r="H239" s="115" t="s">
        <v>71</v>
      </c>
    </row>
    <row r="240" spans="1:8" ht="19.899999999999999" customHeight="1">
      <c r="A240" s="121">
        <v>46034</v>
      </c>
      <c r="B240" s="112" t="s">
        <v>68</v>
      </c>
      <c r="C240" s="113" t="s">
        <v>69</v>
      </c>
      <c r="D240" s="112" t="s">
        <v>1</v>
      </c>
      <c r="E240" s="122">
        <v>1.9409722222222221</v>
      </c>
      <c r="F240" s="112" t="s">
        <v>70</v>
      </c>
      <c r="G240" s="114">
        <v>9</v>
      </c>
      <c r="H240" s="115" t="s">
        <v>71</v>
      </c>
    </row>
    <row r="241" spans="1:8" ht="19.899999999999999" customHeight="1">
      <c r="A241" s="121">
        <v>46034</v>
      </c>
      <c r="B241" s="112" t="s">
        <v>68</v>
      </c>
      <c r="C241" s="113" t="s">
        <v>72</v>
      </c>
      <c r="D241" s="112" t="s">
        <v>1</v>
      </c>
      <c r="E241" s="122">
        <v>1.0659722222222221</v>
      </c>
      <c r="F241" s="112" t="s">
        <v>70</v>
      </c>
      <c r="G241" s="114">
        <v>9</v>
      </c>
      <c r="H241" s="115" t="s">
        <v>71</v>
      </c>
    </row>
    <row r="242" spans="1:8" ht="19.899999999999999" customHeight="1">
      <c r="A242" s="121">
        <v>46034</v>
      </c>
      <c r="B242" s="112" t="s">
        <v>68</v>
      </c>
      <c r="C242" s="113" t="s">
        <v>73</v>
      </c>
      <c r="D242" s="112" t="s">
        <v>1</v>
      </c>
      <c r="E242" s="122">
        <v>1.288194444444444</v>
      </c>
      <c r="F242" s="112" t="s">
        <v>70</v>
      </c>
      <c r="G242" s="114">
        <v>9</v>
      </c>
      <c r="H242" s="115" t="s">
        <v>71</v>
      </c>
    </row>
    <row r="243" spans="1:8" ht="19.899999999999999" customHeight="1">
      <c r="A243" s="121">
        <v>46034</v>
      </c>
      <c r="B243" s="112" t="s">
        <v>26</v>
      </c>
      <c r="C243" s="113" t="s">
        <v>36</v>
      </c>
      <c r="D243" s="112" t="s">
        <v>1</v>
      </c>
      <c r="E243" s="122">
        <v>1.4340277777777779</v>
      </c>
      <c r="F243" s="112" t="s">
        <v>28</v>
      </c>
      <c r="G243" s="114">
        <v>9</v>
      </c>
      <c r="H243" s="115" t="s">
        <v>104</v>
      </c>
    </row>
    <row r="244" spans="1:8" ht="19.899999999999999" customHeight="1">
      <c r="A244" s="121">
        <v>46034</v>
      </c>
      <c r="B244" s="112" t="s">
        <v>38</v>
      </c>
      <c r="C244" s="113" t="s">
        <v>39</v>
      </c>
      <c r="D244" s="112" t="s">
        <v>1</v>
      </c>
      <c r="E244" s="122">
        <v>1.229166666666667</v>
      </c>
      <c r="F244" s="112" t="s">
        <v>46</v>
      </c>
      <c r="G244" s="114">
        <v>22</v>
      </c>
      <c r="H244" s="115" t="s">
        <v>47</v>
      </c>
    </row>
    <row r="245" spans="1:8" ht="19.899999999999999" customHeight="1">
      <c r="A245" s="121">
        <v>46034</v>
      </c>
      <c r="B245" s="112" t="s">
        <v>38</v>
      </c>
      <c r="C245" s="113" t="s">
        <v>87</v>
      </c>
      <c r="D245" s="112" t="s">
        <v>1</v>
      </c>
      <c r="E245" s="122">
        <v>1.0625</v>
      </c>
      <c r="F245" s="112" t="s">
        <v>46</v>
      </c>
      <c r="G245" s="114">
        <v>20</v>
      </c>
      <c r="H245" s="115" t="s">
        <v>47</v>
      </c>
    </row>
    <row r="246" spans="1:8" ht="19.899999999999999" customHeight="1">
      <c r="A246" s="121">
        <v>46034</v>
      </c>
      <c r="B246" s="112" t="s">
        <v>48</v>
      </c>
      <c r="C246" s="113" t="s">
        <v>56</v>
      </c>
      <c r="D246" s="112" t="s">
        <v>1</v>
      </c>
      <c r="E246" s="122">
        <v>1.895833333333333</v>
      </c>
      <c r="F246" s="112" t="s">
        <v>50</v>
      </c>
      <c r="G246" s="114">
        <v>9</v>
      </c>
      <c r="H246" s="115" t="s">
        <v>116</v>
      </c>
    </row>
    <row r="247" spans="1:8" ht="19.899999999999999" customHeight="1">
      <c r="A247" s="121">
        <v>46034</v>
      </c>
      <c r="B247" s="112" t="s">
        <v>48</v>
      </c>
      <c r="C247" s="113" t="s">
        <v>58</v>
      </c>
      <c r="D247" s="112" t="s">
        <v>1</v>
      </c>
      <c r="E247" s="122">
        <v>1.1840277777777779</v>
      </c>
      <c r="F247" s="112" t="s">
        <v>50</v>
      </c>
      <c r="G247" s="114">
        <v>9</v>
      </c>
      <c r="H247" s="115" t="s">
        <v>116</v>
      </c>
    </row>
    <row r="248" spans="1:8" ht="19.899999999999999" customHeight="1">
      <c r="A248" s="121">
        <v>46034</v>
      </c>
      <c r="B248" s="112" t="s">
        <v>26</v>
      </c>
      <c r="C248" s="113" t="s">
        <v>36</v>
      </c>
      <c r="D248" s="112" t="s">
        <v>1</v>
      </c>
      <c r="E248" s="122">
        <v>1.4340277777777779</v>
      </c>
      <c r="F248" s="112" t="s">
        <v>31</v>
      </c>
      <c r="G248" s="114">
        <v>9</v>
      </c>
      <c r="H248" s="115" t="s">
        <v>105</v>
      </c>
    </row>
    <row r="249" spans="1:8" ht="19.899999999999999" customHeight="1">
      <c r="A249" s="121">
        <v>46034</v>
      </c>
      <c r="B249" s="112" t="s">
        <v>48</v>
      </c>
      <c r="C249" s="113" t="s">
        <v>56</v>
      </c>
      <c r="D249" s="112" t="s">
        <v>1</v>
      </c>
      <c r="E249" s="122">
        <v>1.895833333333333</v>
      </c>
      <c r="F249" s="112" t="s">
        <v>53</v>
      </c>
      <c r="G249" s="114">
        <v>9</v>
      </c>
      <c r="H249" s="115" t="s">
        <v>117</v>
      </c>
    </row>
    <row r="250" spans="1:8" ht="19.899999999999999" customHeight="1">
      <c r="A250" s="121">
        <v>46034</v>
      </c>
      <c r="B250" s="112" t="s">
        <v>48</v>
      </c>
      <c r="C250" s="113" t="s">
        <v>58</v>
      </c>
      <c r="D250" s="112" t="s">
        <v>1</v>
      </c>
      <c r="E250" s="122">
        <v>1.1840277777777779</v>
      </c>
      <c r="F250" s="112" t="s">
        <v>53</v>
      </c>
      <c r="G250" s="114">
        <v>9</v>
      </c>
      <c r="H250" s="115" t="s">
        <v>117</v>
      </c>
    </row>
    <row r="251" spans="1:8" ht="19.899999999999999" customHeight="1">
      <c r="A251" s="121">
        <v>46034</v>
      </c>
      <c r="B251" s="112" t="s">
        <v>68</v>
      </c>
      <c r="C251" s="113" t="s">
        <v>76</v>
      </c>
      <c r="D251" s="112" t="s">
        <v>1</v>
      </c>
      <c r="E251" s="122">
        <v>1.697916666666667</v>
      </c>
      <c r="F251" s="112" t="s">
        <v>70</v>
      </c>
      <c r="G251" s="114">
        <v>9</v>
      </c>
      <c r="H251" s="115" t="s">
        <v>129</v>
      </c>
    </row>
    <row r="252" spans="1:8" ht="19.899999999999999" customHeight="1">
      <c r="A252" s="121">
        <v>46034</v>
      </c>
      <c r="B252" s="112" t="s">
        <v>26</v>
      </c>
      <c r="C252" s="113" t="s">
        <v>36</v>
      </c>
      <c r="D252" s="112" t="s">
        <v>1</v>
      </c>
      <c r="E252" s="122">
        <v>1.4340277777777779</v>
      </c>
      <c r="F252" s="112" t="s">
        <v>34</v>
      </c>
      <c r="G252" s="114">
        <v>9</v>
      </c>
      <c r="H252" s="115" t="s">
        <v>106</v>
      </c>
    </row>
    <row r="253" spans="1:8" ht="19.899999999999999" customHeight="1">
      <c r="A253" s="121">
        <v>46034</v>
      </c>
      <c r="B253" s="112" t="s">
        <v>48</v>
      </c>
      <c r="C253" s="113" t="s">
        <v>59</v>
      </c>
      <c r="D253" s="112" t="s">
        <v>1</v>
      </c>
      <c r="E253" s="122">
        <v>1.229166666666667</v>
      </c>
      <c r="F253" s="112" t="s">
        <v>53</v>
      </c>
      <c r="G253" s="114">
        <v>4</v>
      </c>
      <c r="H253" s="115" t="s">
        <v>93</v>
      </c>
    </row>
    <row r="254" spans="1:8" ht="19.899999999999999" customHeight="1">
      <c r="A254" s="123">
        <v>46034</v>
      </c>
      <c r="B254" s="124" t="s">
        <v>48</v>
      </c>
      <c r="C254" s="125" t="s">
        <v>49</v>
      </c>
      <c r="D254" s="124" t="s">
        <v>1</v>
      </c>
      <c r="E254" s="126">
        <v>1.350694444444444</v>
      </c>
      <c r="F254" s="124" t="s">
        <v>53</v>
      </c>
      <c r="G254" s="127">
        <v>9</v>
      </c>
      <c r="H254" s="128" t="s">
        <v>60</v>
      </c>
    </row>
    <row r="255" spans="1:8" ht="19.899999999999999" customHeight="1">
      <c r="A255" s="121">
        <v>46035</v>
      </c>
      <c r="B255" s="112" t="s">
        <v>38</v>
      </c>
      <c r="C255" s="113" t="s">
        <v>87</v>
      </c>
      <c r="D255" s="112" t="s">
        <v>1</v>
      </c>
      <c r="E255" s="122">
        <v>1.0625</v>
      </c>
      <c r="F255" s="112" t="s">
        <v>40</v>
      </c>
      <c r="G255" s="114">
        <v>19</v>
      </c>
      <c r="H255" s="115" t="s">
        <v>78</v>
      </c>
    </row>
    <row r="256" spans="1:8" ht="19.899999999999999" customHeight="1">
      <c r="A256" s="121">
        <v>46035</v>
      </c>
      <c r="B256" s="112" t="s">
        <v>38</v>
      </c>
      <c r="C256" s="113" t="s">
        <v>39</v>
      </c>
      <c r="D256" s="112" t="s">
        <v>1</v>
      </c>
      <c r="E256" s="122">
        <v>1.229166666666667</v>
      </c>
      <c r="F256" s="112" t="s">
        <v>40</v>
      </c>
      <c r="G256" s="114">
        <v>2</v>
      </c>
      <c r="H256" s="115" t="s">
        <v>131</v>
      </c>
    </row>
    <row r="257" spans="1:8" ht="19.899999999999999" customHeight="1">
      <c r="A257" s="121">
        <v>46035</v>
      </c>
      <c r="B257" s="112" t="s">
        <v>26</v>
      </c>
      <c r="C257" s="113" t="s">
        <v>27</v>
      </c>
      <c r="D257" s="112" t="s">
        <v>1</v>
      </c>
      <c r="E257" s="122">
        <v>1.6076388888888891</v>
      </c>
      <c r="F257" s="112" t="s">
        <v>28</v>
      </c>
      <c r="G257" s="114">
        <v>9</v>
      </c>
      <c r="H257" s="115" t="s">
        <v>149</v>
      </c>
    </row>
    <row r="258" spans="1:8" ht="19.899999999999999" customHeight="1">
      <c r="A258" s="121">
        <v>46035</v>
      </c>
      <c r="B258" s="112" t="s">
        <v>38</v>
      </c>
      <c r="C258" s="113" t="s">
        <v>87</v>
      </c>
      <c r="D258" s="112" t="s">
        <v>1</v>
      </c>
      <c r="E258" s="122">
        <v>1.0625</v>
      </c>
      <c r="F258" s="112" t="s">
        <v>43</v>
      </c>
      <c r="G258" s="114">
        <v>19</v>
      </c>
      <c r="H258" s="115" t="s">
        <v>79</v>
      </c>
    </row>
    <row r="259" spans="1:8" ht="19.899999999999999" customHeight="1">
      <c r="A259" s="121">
        <v>46035</v>
      </c>
      <c r="B259" s="112" t="s">
        <v>38</v>
      </c>
      <c r="C259" s="113" t="s">
        <v>39</v>
      </c>
      <c r="D259" s="112" t="s">
        <v>1</v>
      </c>
      <c r="E259" s="122">
        <v>1.229166666666667</v>
      </c>
      <c r="F259" s="112" t="s">
        <v>43</v>
      </c>
      <c r="G259" s="114">
        <v>2</v>
      </c>
      <c r="H259" s="115" t="s">
        <v>133</v>
      </c>
    </row>
    <row r="260" spans="1:8" ht="19.899999999999999" customHeight="1">
      <c r="A260" s="121">
        <v>46035</v>
      </c>
      <c r="B260" s="112" t="s">
        <v>26</v>
      </c>
      <c r="C260" s="113" t="s">
        <v>27</v>
      </c>
      <c r="D260" s="112" t="s">
        <v>1</v>
      </c>
      <c r="E260" s="122">
        <v>1.6076388888888891</v>
      </c>
      <c r="F260" s="112" t="s">
        <v>31</v>
      </c>
      <c r="G260" s="114">
        <v>9</v>
      </c>
      <c r="H260" s="115" t="s">
        <v>133</v>
      </c>
    </row>
    <row r="261" spans="1:8" ht="19.899999999999999" customHeight="1">
      <c r="A261" s="129">
        <v>46035</v>
      </c>
      <c r="B261" s="117" t="s">
        <v>61</v>
      </c>
      <c r="C261" s="118" t="s">
        <v>62</v>
      </c>
      <c r="D261" s="117" t="s">
        <v>1</v>
      </c>
      <c r="E261" s="130">
        <v>1.819444444444444</v>
      </c>
      <c r="F261" s="117" t="s">
        <v>63</v>
      </c>
      <c r="G261" s="119">
        <v>8</v>
      </c>
      <c r="H261" s="120" t="s">
        <v>64</v>
      </c>
    </row>
    <row r="262" spans="1:8" ht="19.899999999999999" customHeight="1">
      <c r="A262" s="121">
        <v>46035</v>
      </c>
      <c r="B262" s="112" t="s">
        <v>26</v>
      </c>
      <c r="C262" s="113" t="s">
        <v>27</v>
      </c>
      <c r="D262" s="112" t="s">
        <v>1</v>
      </c>
      <c r="E262" s="122">
        <v>1.6076388888888891</v>
      </c>
      <c r="F262" s="112" t="s">
        <v>34</v>
      </c>
      <c r="G262" s="114">
        <v>9</v>
      </c>
      <c r="H262" s="115" t="s">
        <v>150</v>
      </c>
    </row>
    <row r="263" spans="1:8" ht="19.899999999999999" customHeight="1">
      <c r="A263" s="121">
        <v>46035</v>
      </c>
      <c r="B263" s="112" t="s">
        <v>48</v>
      </c>
      <c r="C263" s="113" t="s">
        <v>58</v>
      </c>
      <c r="D263" s="112" t="s">
        <v>1</v>
      </c>
      <c r="E263" s="122">
        <v>1.1840277777777779</v>
      </c>
      <c r="F263" s="112" t="s">
        <v>50</v>
      </c>
      <c r="G263" s="114">
        <v>9</v>
      </c>
      <c r="H263" s="115" t="s">
        <v>109</v>
      </c>
    </row>
    <row r="264" spans="1:8" ht="19.899999999999999" customHeight="1">
      <c r="A264" s="121">
        <v>46035</v>
      </c>
      <c r="B264" s="112" t="s">
        <v>68</v>
      </c>
      <c r="C264" s="113" t="s">
        <v>74</v>
      </c>
      <c r="D264" s="112" t="s">
        <v>1</v>
      </c>
      <c r="E264" s="122">
        <v>1.336805555555556</v>
      </c>
      <c r="F264" s="112" t="s">
        <v>70</v>
      </c>
      <c r="G264" s="114">
        <v>9</v>
      </c>
      <c r="H264" s="115" t="s">
        <v>71</v>
      </c>
    </row>
    <row r="265" spans="1:8" ht="19.899999999999999" customHeight="1">
      <c r="A265" s="121">
        <v>46035</v>
      </c>
      <c r="B265" s="112" t="s">
        <v>68</v>
      </c>
      <c r="C265" s="113" t="s">
        <v>69</v>
      </c>
      <c r="D265" s="112" t="s">
        <v>1</v>
      </c>
      <c r="E265" s="122">
        <v>1.9409722222222221</v>
      </c>
      <c r="F265" s="112" t="s">
        <v>70</v>
      </c>
      <c r="G265" s="114">
        <v>9</v>
      </c>
      <c r="H265" s="115" t="s">
        <v>71</v>
      </c>
    </row>
    <row r="266" spans="1:8" ht="19.899999999999999" customHeight="1">
      <c r="A266" s="121">
        <v>46035</v>
      </c>
      <c r="B266" s="112" t="s">
        <v>68</v>
      </c>
      <c r="C266" s="113" t="s">
        <v>76</v>
      </c>
      <c r="D266" s="112" t="s">
        <v>1</v>
      </c>
      <c r="E266" s="122">
        <v>1.697916666666667</v>
      </c>
      <c r="F266" s="112" t="s">
        <v>70</v>
      </c>
      <c r="G266" s="114">
        <v>9</v>
      </c>
      <c r="H266" s="115" t="s">
        <v>71</v>
      </c>
    </row>
    <row r="267" spans="1:8" ht="19.899999999999999" customHeight="1">
      <c r="A267" s="121">
        <v>46035</v>
      </c>
      <c r="B267" s="112" t="s">
        <v>68</v>
      </c>
      <c r="C267" s="113" t="s">
        <v>72</v>
      </c>
      <c r="D267" s="112" t="s">
        <v>1</v>
      </c>
      <c r="E267" s="122">
        <v>1.0659722222222221</v>
      </c>
      <c r="F267" s="112" t="s">
        <v>70</v>
      </c>
      <c r="G267" s="114">
        <v>9</v>
      </c>
      <c r="H267" s="115" t="s">
        <v>71</v>
      </c>
    </row>
    <row r="268" spans="1:8" ht="19.899999999999999" customHeight="1">
      <c r="A268" s="121">
        <v>46035</v>
      </c>
      <c r="B268" s="112" t="s">
        <v>68</v>
      </c>
      <c r="C268" s="113" t="s">
        <v>73</v>
      </c>
      <c r="D268" s="112" t="s">
        <v>1</v>
      </c>
      <c r="E268" s="122">
        <v>1.288194444444444</v>
      </c>
      <c r="F268" s="112" t="s">
        <v>70</v>
      </c>
      <c r="G268" s="114">
        <v>9</v>
      </c>
      <c r="H268" s="115" t="s">
        <v>71</v>
      </c>
    </row>
    <row r="269" spans="1:8" ht="19.899999999999999" customHeight="1">
      <c r="A269" s="121">
        <v>46035</v>
      </c>
      <c r="B269" s="112" t="s">
        <v>48</v>
      </c>
      <c r="C269" s="113" t="s">
        <v>58</v>
      </c>
      <c r="D269" s="112" t="s">
        <v>1</v>
      </c>
      <c r="E269" s="122">
        <v>1.1840277777777779</v>
      </c>
      <c r="F269" s="112" t="s">
        <v>53</v>
      </c>
      <c r="G269" s="114">
        <v>9</v>
      </c>
      <c r="H269" s="115" t="s">
        <v>110</v>
      </c>
    </row>
    <row r="270" spans="1:8" ht="19.899999999999999" customHeight="1">
      <c r="A270" s="121">
        <v>46035</v>
      </c>
      <c r="B270" s="112" t="s">
        <v>38</v>
      </c>
      <c r="C270" s="113" t="s">
        <v>39</v>
      </c>
      <c r="D270" s="112" t="s">
        <v>1</v>
      </c>
      <c r="E270" s="122">
        <v>1.229166666666667</v>
      </c>
      <c r="F270" s="112" t="s">
        <v>46</v>
      </c>
      <c r="G270" s="114">
        <v>2</v>
      </c>
      <c r="H270" s="115" t="s">
        <v>47</v>
      </c>
    </row>
    <row r="271" spans="1:8" ht="19.899999999999999" customHeight="1">
      <c r="A271" s="121">
        <v>46035</v>
      </c>
      <c r="B271" s="112" t="s">
        <v>38</v>
      </c>
      <c r="C271" s="113" t="s">
        <v>87</v>
      </c>
      <c r="D271" s="112" t="s">
        <v>1</v>
      </c>
      <c r="E271" s="122">
        <v>1.0625</v>
      </c>
      <c r="F271" s="112" t="s">
        <v>46</v>
      </c>
      <c r="G271" s="114">
        <v>19</v>
      </c>
      <c r="H271" s="115" t="s">
        <v>47</v>
      </c>
    </row>
    <row r="272" spans="1:8" ht="19.899999999999999" customHeight="1">
      <c r="A272" s="121">
        <v>46035</v>
      </c>
      <c r="B272" s="112" t="s">
        <v>48</v>
      </c>
      <c r="C272" s="113" t="s">
        <v>56</v>
      </c>
      <c r="D272" s="112" t="s">
        <v>1</v>
      </c>
      <c r="E272" s="122">
        <v>1.895833333333333</v>
      </c>
      <c r="F272" s="112" t="s">
        <v>50</v>
      </c>
      <c r="G272" s="114">
        <v>9</v>
      </c>
      <c r="H272" s="115" t="s">
        <v>116</v>
      </c>
    </row>
    <row r="273" spans="1:8" ht="19.899999999999999" customHeight="1">
      <c r="A273" s="121">
        <v>46035</v>
      </c>
      <c r="B273" s="112" t="s">
        <v>48</v>
      </c>
      <c r="C273" s="113" t="s">
        <v>56</v>
      </c>
      <c r="D273" s="112" t="s">
        <v>1</v>
      </c>
      <c r="E273" s="122">
        <v>1.895833333333333</v>
      </c>
      <c r="F273" s="112" t="s">
        <v>53</v>
      </c>
      <c r="G273" s="114">
        <v>9</v>
      </c>
      <c r="H273" s="115" t="s">
        <v>117</v>
      </c>
    </row>
    <row r="274" spans="1:8" ht="19.899999999999999" customHeight="1">
      <c r="A274" s="121">
        <v>46035</v>
      </c>
      <c r="B274" s="112" t="s">
        <v>48</v>
      </c>
      <c r="C274" s="113" t="s">
        <v>49</v>
      </c>
      <c r="D274" s="112" t="s">
        <v>1</v>
      </c>
      <c r="E274" s="122">
        <v>1.350694444444444</v>
      </c>
      <c r="F274" s="112" t="s">
        <v>53</v>
      </c>
      <c r="G274" s="114">
        <v>9</v>
      </c>
      <c r="H274" s="115" t="s">
        <v>60</v>
      </c>
    </row>
    <row r="275" spans="1:8" ht="19.899999999999999" customHeight="1">
      <c r="A275" s="123">
        <v>46035</v>
      </c>
      <c r="B275" s="124" t="s">
        <v>48</v>
      </c>
      <c r="C275" s="125" t="s">
        <v>59</v>
      </c>
      <c r="D275" s="124" t="s">
        <v>1</v>
      </c>
      <c r="E275" s="126">
        <v>1.229166666666667</v>
      </c>
      <c r="F275" s="124" t="s">
        <v>53</v>
      </c>
      <c r="G275" s="127">
        <v>4</v>
      </c>
      <c r="H275" s="128" t="s">
        <v>60</v>
      </c>
    </row>
    <row r="276" spans="1:8" ht="19.899999999999999" customHeight="1">
      <c r="A276" s="121">
        <v>46036</v>
      </c>
      <c r="B276" s="112" t="s">
        <v>38</v>
      </c>
      <c r="C276" s="113" t="s">
        <v>39</v>
      </c>
      <c r="D276" s="112" t="s">
        <v>1</v>
      </c>
      <c r="E276" s="122">
        <v>1.229166666666667</v>
      </c>
      <c r="F276" s="112" t="s">
        <v>40</v>
      </c>
      <c r="G276" s="114">
        <v>15</v>
      </c>
      <c r="H276" s="115" t="s">
        <v>131</v>
      </c>
    </row>
    <row r="277" spans="1:8" ht="19.899999999999999" customHeight="1">
      <c r="A277" s="121">
        <v>46036</v>
      </c>
      <c r="B277" s="112" t="s">
        <v>26</v>
      </c>
      <c r="C277" s="113" t="s">
        <v>27</v>
      </c>
      <c r="D277" s="112" t="s">
        <v>1</v>
      </c>
      <c r="E277" s="122">
        <v>1.6076388888888891</v>
      </c>
      <c r="F277" s="112" t="s">
        <v>28</v>
      </c>
      <c r="G277" s="114">
        <v>9</v>
      </c>
      <c r="H277" s="115" t="s">
        <v>149</v>
      </c>
    </row>
    <row r="278" spans="1:8" ht="19.899999999999999" customHeight="1">
      <c r="A278" s="121">
        <v>46036</v>
      </c>
      <c r="B278" s="112" t="s">
        <v>48</v>
      </c>
      <c r="C278" s="113" t="s">
        <v>49</v>
      </c>
      <c r="D278" s="112" t="s">
        <v>1</v>
      </c>
      <c r="E278" s="122">
        <v>1.350694444444444</v>
      </c>
      <c r="F278" s="112" t="s">
        <v>50</v>
      </c>
      <c r="G278" s="114">
        <v>1</v>
      </c>
      <c r="H278" s="115" t="s">
        <v>96</v>
      </c>
    </row>
    <row r="279" spans="1:8" ht="19.899999999999999" customHeight="1">
      <c r="A279" s="121">
        <v>46036</v>
      </c>
      <c r="B279" s="112" t="s">
        <v>38</v>
      </c>
      <c r="C279" s="113" t="s">
        <v>39</v>
      </c>
      <c r="D279" s="112" t="s">
        <v>1</v>
      </c>
      <c r="E279" s="122">
        <v>1.229166666666667</v>
      </c>
      <c r="F279" s="112" t="s">
        <v>43</v>
      </c>
      <c r="G279" s="114">
        <v>15</v>
      </c>
      <c r="H279" s="115" t="s">
        <v>133</v>
      </c>
    </row>
    <row r="280" spans="1:8" ht="19.899999999999999" customHeight="1">
      <c r="A280" s="121">
        <v>46036</v>
      </c>
      <c r="B280" s="112" t="s">
        <v>26</v>
      </c>
      <c r="C280" s="113" t="s">
        <v>27</v>
      </c>
      <c r="D280" s="112" t="s">
        <v>1</v>
      </c>
      <c r="E280" s="122">
        <v>1.6076388888888891</v>
      </c>
      <c r="F280" s="112" t="s">
        <v>31</v>
      </c>
      <c r="G280" s="114">
        <v>9</v>
      </c>
      <c r="H280" s="115" t="s">
        <v>133</v>
      </c>
    </row>
    <row r="281" spans="1:8" ht="19.899999999999999" customHeight="1">
      <c r="A281" s="121">
        <v>46036</v>
      </c>
      <c r="B281" s="112" t="s">
        <v>48</v>
      </c>
      <c r="C281" s="113" t="s">
        <v>49</v>
      </c>
      <c r="D281" s="112" t="s">
        <v>1</v>
      </c>
      <c r="E281" s="122">
        <v>1.350694444444444</v>
      </c>
      <c r="F281" s="112" t="s">
        <v>53</v>
      </c>
      <c r="G281" s="114">
        <v>1</v>
      </c>
      <c r="H281" s="115" t="s">
        <v>97</v>
      </c>
    </row>
    <row r="282" spans="1:8" ht="19.899999999999999" customHeight="1">
      <c r="A282" s="121">
        <v>46036</v>
      </c>
      <c r="B282" s="112" t="s">
        <v>26</v>
      </c>
      <c r="C282" s="113" t="s">
        <v>27</v>
      </c>
      <c r="D282" s="112" t="s">
        <v>1</v>
      </c>
      <c r="E282" s="122">
        <v>1.6076388888888891</v>
      </c>
      <c r="F282" s="112" t="s">
        <v>34</v>
      </c>
      <c r="G282" s="114">
        <v>9</v>
      </c>
      <c r="H282" s="115" t="s">
        <v>150</v>
      </c>
    </row>
    <row r="283" spans="1:8" ht="19.899999999999999" customHeight="1">
      <c r="A283" s="121">
        <v>46036</v>
      </c>
      <c r="B283" s="112" t="s">
        <v>68</v>
      </c>
      <c r="C283" s="113" t="s">
        <v>69</v>
      </c>
      <c r="D283" s="112" t="s">
        <v>1</v>
      </c>
      <c r="E283" s="122">
        <v>1.9409722222222221</v>
      </c>
      <c r="F283" s="112" t="s">
        <v>70</v>
      </c>
      <c r="G283" s="114">
        <v>9</v>
      </c>
      <c r="H283" s="115" t="s">
        <v>71</v>
      </c>
    </row>
    <row r="284" spans="1:8" ht="19.899999999999999" customHeight="1">
      <c r="A284" s="121">
        <v>46036</v>
      </c>
      <c r="B284" s="112" t="s">
        <v>68</v>
      </c>
      <c r="C284" s="113" t="s">
        <v>76</v>
      </c>
      <c r="D284" s="112" t="s">
        <v>1</v>
      </c>
      <c r="E284" s="122">
        <v>1.697916666666667</v>
      </c>
      <c r="F284" s="112" t="s">
        <v>70</v>
      </c>
      <c r="G284" s="114">
        <v>9</v>
      </c>
      <c r="H284" s="115" t="s">
        <v>71</v>
      </c>
    </row>
    <row r="285" spans="1:8" ht="19.899999999999999" customHeight="1">
      <c r="A285" s="121">
        <v>46036</v>
      </c>
      <c r="B285" s="112" t="s">
        <v>68</v>
      </c>
      <c r="C285" s="113" t="s">
        <v>72</v>
      </c>
      <c r="D285" s="112" t="s">
        <v>1</v>
      </c>
      <c r="E285" s="122">
        <v>1.0659722222222221</v>
      </c>
      <c r="F285" s="112" t="s">
        <v>70</v>
      </c>
      <c r="G285" s="114">
        <v>9</v>
      </c>
      <c r="H285" s="115" t="s">
        <v>71</v>
      </c>
    </row>
    <row r="286" spans="1:8" ht="19.899999999999999" customHeight="1">
      <c r="A286" s="121">
        <v>46036</v>
      </c>
      <c r="B286" s="112" t="s">
        <v>68</v>
      </c>
      <c r="C286" s="113" t="s">
        <v>73</v>
      </c>
      <c r="D286" s="112" t="s">
        <v>1</v>
      </c>
      <c r="E286" s="122">
        <v>1.288194444444444</v>
      </c>
      <c r="F286" s="112" t="s">
        <v>70</v>
      </c>
      <c r="G286" s="114">
        <v>9</v>
      </c>
      <c r="H286" s="115" t="s">
        <v>71</v>
      </c>
    </row>
    <row r="287" spans="1:8" ht="19.899999999999999" customHeight="1">
      <c r="A287" s="121">
        <v>46036</v>
      </c>
      <c r="B287" s="112" t="s">
        <v>38</v>
      </c>
      <c r="C287" s="113" t="s">
        <v>39</v>
      </c>
      <c r="D287" s="112" t="s">
        <v>1</v>
      </c>
      <c r="E287" s="122">
        <v>1.229166666666667</v>
      </c>
      <c r="F287" s="112" t="s">
        <v>46</v>
      </c>
      <c r="G287" s="114">
        <v>15</v>
      </c>
      <c r="H287" s="115" t="s">
        <v>47</v>
      </c>
    </row>
    <row r="288" spans="1:8" ht="19.899999999999999" customHeight="1">
      <c r="A288" s="121">
        <v>46036</v>
      </c>
      <c r="B288" s="112" t="s">
        <v>48</v>
      </c>
      <c r="C288" s="113" t="s">
        <v>56</v>
      </c>
      <c r="D288" s="112" t="s">
        <v>1</v>
      </c>
      <c r="E288" s="122">
        <v>1.895833333333333</v>
      </c>
      <c r="F288" s="112" t="s">
        <v>50</v>
      </c>
      <c r="G288" s="114">
        <v>9</v>
      </c>
      <c r="H288" s="115" t="s">
        <v>116</v>
      </c>
    </row>
    <row r="289" spans="1:8" ht="19.899999999999999" customHeight="1">
      <c r="A289" s="121">
        <v>46036</v>
      </c>
      <c r="B289" s="112" t="s">
        <v>48</v>
      </c>
      <c r="C289" s="113" t="s">
        <v>56</v>
      </c>
      <c r="D289" s="112" t="s">
        <v>1</v>
      </c>
      <c r="E289" s="122">
        <v>1.895833333333333</v>
      </c>
      <c r="F289" s="112" t="s">
        <v>53</v>
      </c>
      <c r="G289" s="114">
        <v>9</v>
      </c>
      <c r="H289" s="115" t="s">
        <v>117</v>
      </c>
    </row>
    <row r="290" spans="1:8" ht="19.899999999999999" customHeight="1">
      <c r="A290" s="121">
        <v>46036</v>
      </c>
      <c r="B290" s="112" t="s">
        <v>48</v>
      </c>
      <c r="C290" s="113" t="s">
        <v>59</v>
      </c>
      <c r="D290" s="112" t="s">
        <v>1</v>
      </c>
      <c r="E290" s="122">
        <v>1.229166666666667</v>
      </c>
      <c r="F290" s="112" t="s">
        <v>53</v>
      </c>
      <c r="G290" s="114">
        <v>4</v>
      </c>
      <c r="H290" s="115" t="s">
        <v>85</v>
      </c>
    </row>
    <row r="291" spans="1:8" ht="19.899999999999999" customHeight="1">
      <c r="A291" s="121">
        <v>46036</v>
      </c>
      <c r="B291" s="112" t="s">
        <v>48</v>
      </c>
      <c r="C291" s="113" t="s">
        <v>58</v>
      </c>
      <c r="D291" s="112" t="s">
        <v>1</v>
      </c>
      <c r="E291" s="122">
        <v>1.1840277777777779</v>
      </c>
      <c r="F291" s="112" t="s">
        <v>53</v>
      </c>
      <c r="G291" s="114">
        <v>9</v>
      </c>
      <c r="H291" s="115" t="s">
        <v>60</v>
      </c>
    </row>
    <row r="292" spans="1:8" ht="19.899999999999999" customHeight="1">
      <c r="A292" s="123">
        <v>46036</v>
      </c>
      <c r="B292" s="124" t="s">
        <v>68</v>
      </c>
      <c r="C292" s="125" t="s">
        <v>74</v>
      </c>
      <c r="D292" s="124" t="s">
        <v>1</v>
      </c>
      <c r="E292" s="126">
        <v>1.336805555555556</v>
      </c>
      <c r="F292" s="124" t="s">
        <v>70</v>
      </c>
      <c r="G292" s="127">
        <v>9</v>
      </c>
      <c r="H292" s="128" t="s">
        <v>157</v>
      </c>
    </row>
    <row r="293" spans="1:8" ht="19.899999999999999" customHeight="1">
      <c r="A293" s="121">
        <v>46037</v>
      </c>
      <c r="B293" s="112" t="s">
        <v>38</v>
      </c>
      <c r="C293" s="113" t="s">
        <v>39</v>
      </c>
      <c r="D293" s="112" t="s">
        <v>1</v>
      </c>
      <c r="E293" s="122">
        <v>1.229166666666667</v>
      </c>
      <c r="F293" s="112" t="s">
        <v>40</v>
      </c>
      <c r="G293" s="114">
        <v>2</v>
      </c>
      <c r="H293" s="115" t="s">
        <v>78</v>
      </c>
    </row>
    <row r="294" spans="1:8" ht="19.899999999999999" customHeight="1">
      <c r="A294" s="121">
        <v>46037</v>
      </c>
      <c r="B294" s="112" t="s">
        <v>38</v>
      </c>
      <c r="C294" s="113" t="s">
        <v>87</v>
      </c>
      <c r="D294" s="112" t="s">
        <v>1</v>
      </c>
      <c r="E294" s="122">
        <v>1.0625</v>
      </c>
      <c r="F294" s="112" t="s">
        <v>40</v>
      </c>
      <c r="G294" s="114">
        <v>20</v>
      </c>
      <c r="H294" s="115" t="s">
        <v>78</v>
      </c>
    </row>
    <row r="295" spans="1:8" ht="19.899999999999999" customHeight="1">
      <c r="A295" s="121">
        <v>46037</v>
      </c>
      <c r="B295" s="112" t="s">
        <v>26</v>
      </c>
      <c r="C295" s="113" t="s">
        <v>27</v>
      </c>
      <c r="D295" s="112" t="s">
        <v>1</v>
      </c>
      <c r="E295" s="122">
        <v>1.6076388888888891</v>
      </c>
      <c r="F295" s="112" t="s">
        <v>28</v>
      </c>
      <c r="G295" s="114">
        <v>9</v>
      </c>
      <c r="H295" s="115" t="s">
        <v>89</v>
      </c>
    </row>
    <row r="296" spans="1:8" ht="19.899999999999999" customHeight="1">
      <c r="A296" s="121">
        <v>46037</v>
      </c>
      <c r="B296" s="112" t="s">
        <v>26</v>
      </c>
      <c r="C296" s="113" t="s">
        <v>36</v>
      </c>
      <c r="D296" s="112" t="s">
        <v>1</v>
      </c>
      <c r="E296" s="122">
        <v>1.4340277777777779</v>
      </c>
      <c r="F296" s="112" t="s">
        <v>28</v>
      </c>
      <c r="G296" s="114">
        <v>9</v>
      </c>
      <c r="H296" s="115" t="s">
        <v>89</v>
      </c>
    </row>
    <row r="297" spans="1:8" ht="19.899999999999999" customHeight="1">
      <c r="A297" s="121">
        <v>46037</v>
      </c>
      <c r="B297" s="112" t="s">
        <v>38</v>
      </c>
      <c r="C297" s="113" t="s">
        <v>39</v>
      </c>
      <c r="D297" s="112" t="s">
        <v>1</v>
      </c>
      <c r="E297" s="122">
        <v>1.229166666666667</v>
      </c>
      <c r="F297" s="112" t="s">
        <v>43</v>
      </c>
      <c r="G297" s="114">
        <v>2</v>
      </c>
      <c r="H297" s="115" t="s">
        <v>79</v>
      </c>
    </row>
    <row r="298" spans="1:8" ht="19.899999999999999" customHeight="1">
      <c r="A298" s="121">
        <v>46037</v>
      </c>
      <c r="B298" s="112" t="s">
        <v>38</v>
      </c>
      <c r="C298" s="113" t="s">
        <v>87</v>
      </c>
      <c r="D298" s="112" t="s">
        <v>1</v>
      </c>
      <c r="E298" s="122">
        <v>1.0625</v>
      </c>
      <c r="F298" s="112" t="s">
        <v>43</v>
      </c>
      <c r="G298" s="114">
        <v>20</v>
      </c>
      <c r="H298" s="115" t="s">
        <v>79</v>
      </c>
    </row>
    <row r="299" spans="1:8" ht="19.899999999999999" customHeight="1">
      <c r="A299" s="121">
        <v>46037</v>
      </c>
      <c r="B299" s="112" t="s">
        <v>26</v>
      </c>
      <c r="C299" s="113" t="s">
        <v>27</v>
      </c>
      <c r="D299" s="112" t="s">
        <v>1</v>
      </c>
      <c r="E299" s="122">
        <v>1.6076388888888891</v>
      </c>
      <c r="F299" s="112" t="s">
        <v>31</v>
      </c>
      <c r="G299" s="114">
        <v>9</v>
      </c>
      <c r="H299" s="115" t="s">
        <v>138</v>
      </c>
    </row>
    <row r="300" spans="1:8" ht="19.899999999999999" customHeight="1">
      <c r="A300" s="121">
        <v>46037</v>
      </c>
      <c r="B300" s="112" t="s">
        <v>26</v>
      </c>
      <c r="C300" s="113" t="s">
        <v>36</v>
      </c>
      <c r="D300" s="112" t="s">
        <v>1</v>
      </c>
      <c r="E300" s="122">
        <v>1.4340277777777779</v>
      </c>
      <c r="F300" s="112" t="s">
        <v>31</v>
      </c>
      <c r="G300" s="114">
        <v>9</v>
      </c>
      <c r="H300" s="115" t="s">
        <v>138</v>
      </c>
    </row>
    <row r="301" spans="1:8" ht="19.899999999999999" customHeight="1">
      <c r="A301" s="129">
        <v>46037</v>
      </c>
      <c r="B301" s="117" t="s">
        <v>61</v>
      </c>
      <c r="C301" s="118" t="s">
        <v>62</v>
      </c>
      <c r="D301" s="117" t="s">
        <v>1</v>
      </c>
      <c r="E301" s="130">
        <v>1.381944444444444</v>
      </c>
      <c r="F301" s="117" t="s">
        <v>63</v>
      </c>
      <c r="G301" s="119">
        <v>9</v>
      </c>
      <c r="H301" s="120" t="s">
        <v>64</v>
      </c>
    </row>
    <row r="302" spans="1:8" ht="19.899999999999999" customHeight="1">
      <c r="A302" s="121">
        <v>46037</v>
      </c>
      <c r="B302" s="112" t="s">
        <v>48</v>
      </c>
      <c r="C302" s="113" t="s">
        <v>49</v>
      </c>
      <c r="D302" s="112" t="s">
        <v>1</v>
      </c>
      <c r="E302" s="122">
        <v>1.354166666666667</v>
      </c>
      <c r="F302" s="112" t="s">
        <v>50</v>
      </c>
      <c r="G302" s="114">
        <v>9</v>
      </c>
      <c r="H302" s="115" t="s">
        <v>109</v>
      </c>
    </row>
    <row r="303" spans="1:8" ht="19.899999999999999" customHeight="1">
      <c r="A303" s="121">
        <v>46037</v>
      </c>
      <c r="B303" s="112" t="s">
        <v>48</v>
      </c>
      <c r="C303" s="113" t="s">
        <v>56</v>
      </c>
      <c r="D303" s="112" t="s">
        <v>1</v>
      </c>
      <c r="E303" s="122">
        <v>1.895833333333333</v>
      </c>
      <c r="F303" s="112" t="s">
        <v>50</v>
      </c>
      <c r="G303" s="114">
        <v>9</v>
      </c>
      <c r="H303" s="115" t="s">
        <v>109</v>
      </c>
    </row>
    <row r="304" spans="1:8" ht="19.899999999999999" customHeight="1">
      <c r="A304" s="121">
        <v>46037</v>
      </c>
      <c r="B304" s="112" t="s">
        <v>48</v>
      </c>
      <c r="C304" s="113" t="s">
        <v>58</v>
      </c>
      <c r="D304" s="112" t="s">
        <v>1</v>
      </c>
      <c r="E304" s="122">
        <v>1.1840277777777779</v>
      </c>
      <c r="F304" s="112" t="s">
        <v>50</v>
      </c>
      <c r="G304" s="114">
        <v>9</v>
      </c>
      <c r="H304" s="115" t="s">
        <v>109</v>
      </c>
    </row>
    <row r="305" spans="1:8" ht="19.899999999999999" customHeight="1">
      <c r="A305" s="121">
        <v>46037</v>
      </c>
      <c r="B305" s="112" t="s">
        <v>26</v>
      </c>
      <c r="C305" s="113" t="s">
        <v>27</v>
      </c>
      <c r="D305" s="112" t="s">
        <v>1</v>
      </c>
      <c r="E305" s="122">
        <v>1.6076388888888891</v>
      </c>
      <c r="F305" s="112" t="s">
        <v>34</v>
      </c>
      <c r="G305" s="114">
        <v>9</v>
      </c>
      <c r="H305" s="115" t="s">
        <v>139</v>
      </c>
    </row>
    <row r="306" spans="1:8" ht="19.899999999999999" customHeight="1">
      <c r="A306" s="121">
        <v>46037</v>
      </c>
      <c r="B306" s="112" t="s">
        <v>26</v>
      </c>
      <c r="C306" s="113" t="s">
        <v>36</v>
      </c>
      <c r="D306" s="112" t="s">
        <v>1</v>
      </c>
      <c r="E306" s="122">
        <v>1.4340277777777779</v>
      </c>
      <c r="F306" s="112" t="s">
        <v>34</v>
      </c>
      <c r="G306" s="114">
        <v>9</v>
      </c>
      <c r="H306" s="115" t="s">
        <v>139</v>
      </c>
    </row>
    <row r="307" spans="1:8" ht="19.899999999999999" customHeight="1">
      <c r="A307" s="121">
        <v>46037</v>
      </c>
      <c r="B307" s="112" t="s">
        <v>68</v>
      </c>
      <c r="C307" s="113" t="s">
        <v>69</v>
      </c>
      <c r="D307" s="112" t="s">
        <v>1</v>
      </c>
      <c r="E307" s="122">
        <v>1.9409722222222221</v>
      </c>
      <c r="F307" s="112" t="s">
        <v>70</v>
      </c>
      <c r="G307" s="114">
        <v>9</v>
      </c>
      <c r="H307" s="115" t="s">
        <v>71</v>
      </c>
    </row>
    <row r="308" spans="1:8" ht="19.899999999999999" customHeight="1">
      <c r="A308" s="121">
        <v>46037</v>
      </c>
      <c r="B308" s="112" t="s">
        <v>68</v>
      </c>
      <c r="C308" s="113" t="s">
        <v>76</v>
      </c>
      <c r="D308" s="112" t="s">
        <v>1</v>
      </c>
      <c r="E308" s="122">
        <v>1.697916666666667</v>
      </c>
      <c r="F308" s="112" t="s">
        <v>70</v>
      </c>
      <c r="G308" s="114">
        <v>9</v>
      </c>
      <c r="H308" s="115" t="s">
        <v>71</v>
      </c>
    </row>
    <row r="309" spans="1:8" ht="19.899999999999999" customHeight="1">
      <c r="A309" s="121">
        <v>46037</v>
      </c>
      <c r="B309" s="112" t="s">
        <v>68</v>
      </c>
      <c r="C309" s="113" t="s">
        <v>72</v>
      </c>
      <c r="D309" s="112" t="s">
        <v>1</v>
      </c>
      <c r="E309" s="122">
        <v>1.0659722222222221</v>
      </c>
      <c r="F309" s="112" t="s">
        <v>70</v>
      </c>
      <c r="G309" s="114">
        <v>9</v>
      </c>
      <c r="H309" s="115" t="s">
        <v>71</v>
      </c>
    </row>
    <row r="310" spans="1:8" ht="19.899999999999999" customHeight="1">
      <c r="A310" s="121">
        <v>46037</v>
      </c>
      <c r="B310" s="112" t="s">
        <v>68</v>
      </c>
      <c r="C310" s="113" t="s">
        <v>73</v>
      </c>
      <c r="D310" s="112" t="s">
        <v>1</v>
      </c>
      <c r="E310" s="122">
        <v>1.288194444444444</v>
      </c>
      <c r="F310" s="112" t="s">
        <v>70</v>
      </c>
      <c r="G310" s="114">
        <v>9</v>
      </c>
      <c r="H310" s="115" t="s">
        <v>71</v>
      </c>
    </row>
    <row r="311" spans="1:8" ht="19.899999999999999" customHeight="1">
      <c r="A311" s="121">
        <v>46037</v>
      </c>
      <c r="B311" s="112" t="s">
        <v>48</v>
      </c>
      <c r="C311" s="113" t="s">
        <v>49</v>
      </c>
      <c r="D311" s="112" t="s">
        <v>1</v>
      </c>
      <c r="E311" s="122">
        <v>1.354166666666667</v>
      </c>
      <c r="F311" s="112" t="s">
        <v>53</v>
      </c>
      <c r="G311" s="114">
        <v>9</v>
      </c>
      <c r="H311" s="115" t="s">
        <v>110</v>
      </c>
    </row>
    <row r="312" spans="1:8" ht="19.899999999999999" customHeight="1">
      <c r="A312" s="121">
        <v>46037</v>
      </c>
      <c r="B312" s="112" t="s">
        <v>48</v>
      </c>
      <c r="C312" s="113" t="s">
        <v>56</v>
      </c>
      <c r="D312" s="112" t="s">
        <v>1</v>
      </c>
      <c r="E312" s="122">
        <v>1.895833333333333</v>
      </c>
      <c r="F312" s="112" t="s">
        <v>53</v>
      </c>
      <c r="G312" s="114">
        <v>9</v>
      </c>
      <c r="H312" s="115" t="s">
        <v>110</v>
      </c>
    </row>
    <row r="313" spans="1:8" ht="19.899999999999999" customHeight="1">
      <c r="A313" s="121">
        <v>46037</v>
      </c>
      <c r="B313" s="112" t="s">
        <v>48</v>
      </c>
      <c r="C313" s="113" t="s">
        <v>58</v>
      </c>
      <c r="D313" s="112" t="s">
        <v>1</v>
      </c>
      <c r="E313" s="122">
        <v>1.1840277777777779</v>
      </c>
      <c r="F313" s="112" t="s">
        <v>53</v>
      </c>
      <c r="G313" s="114">
        <v>9</v>
      </c>
      <c r="H313" s="115" t="s">
        <v>110</v>
      </c>
    </row>
    <row r="314" spans="1:8" ht="19.899999999999999" customHeight="1">
      <c r="A314" s="121">
        <v>46037</v>
      </c>
      <c r="B314" s="112" t="s">
        <v>38</v>
      </c>
      <c r="C314" s="113" t="s">
        <v>39</v>
      </c>
      <c r="D314" s="112" t="s">
        <v>1</v>
      </c>
      <c r="E314" s="122">
        <v>1.229166666666667</v>
      </c>
      <c r="F314" s="112" t="s">
        <v>46</v>
      </c>
      <c r="G314" s="114">
        <v>2</v>
      </c>
      <c r="H314" s="115" t="s">
        <v>47</v>
      </c>
    </row>
    <row r="315" spans="1:8" ht="19.899999999999999" customHeight="1">
      <c r="A315" s="121">
        <v>46037</v>
      </c>
      <c r="B315" s="112" t="s">
        <v>38</v>
      </c>
      <c r="C315" s="113" t="s">
        <v>87</v>
      </c>
      <c r="D315" s="112" t="s">
        <v>1</v>
      </c>
      <c r="E315" s="122">
        <v>1.0625</v>
      </c>
      <c r="F315" s="112" t="s">
        <v>46</v>
      </c>
      <c r="G315" s="114">
        <v>20</v>
      </c>
      <c r="H315" s="115" t="s">
        <v>47</v>
      </c>
    </row>
    <row r="316" spans="1:8" ht="19.899999999999999" customHeight="1">
      <c r="A316" s="121">
        <v>46037</v>
      </c>
      <c r="B316" s="112" t="s">
        <v>68</v>
      </c>
      <c r="C316" s="113" t="s">
        <v>74</v>
      </c>
      <c r="D316" s="112" t="s">
        <v>1</v>
      </c>
      <c r="E316" s="122">
        <v>1.336805555555556</v>
      </c>
      <c r="F316" s="112" t="s">
        <v>70</v>
      </c>
      <c r="G316" s="114">
        <v>9</v>
      </c>
      <c r="H316" s="115" t="s">
        <v>75</v>
      </c>
    </row>
    <row r="317" spans="1:8" ht="19.899999999999999" customHeight="1">
      <c r="A317" s="123">
        <v>46037</v>
      </c>
      <c r="B317" s="124" t="s">
        <v>48</v>
      </c>
      <c r="C317" s="125" t="s">
        <v>59</v>
      </c>
      <c r="D317" s="124" t="s">
        <v>1</v>
      </c>
      <c r="E317" s="126">
        <v>1.229166666666667</v>
      </c>
      <c r="F317" s="124" t="s">
        <v>53</v>
      </c>
      <c r="G317" s="127">
        <v>4</v>
      </c>
      <c r="H317" s="128" t="s">
        <v>85</v>
      </c>
    </row>
    <row r="318" spans="1:8" ht="19.899999999999999" customHeight="1">
      <c r="A318" s="121">
        <v>46038</v>
      </c>
      <c r="B318" s="112" t="s">
        <v>38</v>
      </c>
      <c r="C318" s="113" t="s">
        <v>39</v>
      </c>
      <c r="D318" s="112" t="s">
        <v>1</v>
      </c>
      <c r="E318" s="122">
        <v>1.229166666666667</v>
      </c>
      <c r="F318" s="112" t="s">
        <v>40</v>
      </c>
      <c r="G318" s="114">
        <v>20</v>
      </c>
      <c r="H318" s="115" t="s">
        <v>121</v>
      </c>
    </row>
    <row r="319" spans="1:8" ht="19.899999999999999" customHeight="1">
      <c r="A319" s="121">
        <v>46038</v>
      </c>
      <c r="B319" s="112" t="s">
        <v>26</v>
      </c>
      <c r="C319" s="113" t="s">
        <v>27</v>
      </c>
      <c r="D319" s="112" t="s">
        <v>1</v>
      </c>
      <c r="E319" s="122">
        <v>1.6076388888888891</v>
      </c>
      <c r="F319" s="112" t="s">
        <v>28</v>
      </c>
      <c r="G319" s="114">
        <v>9</v>
      </c>
      <c r="H319" s="115" t="s">
        <v>159</v>
      </c>
    </row>
    <row r="320" spans="1:8" ht="19.899999999999999" customHeight="1">
      <c r="A320" s="121">
        <v>46038</v>
      </c>
      <c r="B320" s="112" t="s">
        <v>38</v>
      </c>
      <c r="C320" s="113" t="s">
        <v>39</v>
      </c>
      <c r="D320" s="112" t="s">
        <v>1</v>
      </c>
      <c r="E320" s="122">
        <v>1.229166666666667</v>
      </c>
      <c r="F320" s="112" t="s">
        <v>43</v>
      </c>
      <c r="G320" s="114">
        <v>20</v>
      </c>
      <c r="H320" s="115" t="s">
        <v>123</v>
      </c>
    </row>
    <row r="321" spans="1:8" ht="19.899999999999999" customHeight="1">
      <c r="A321" s="121">
        <v>46038</v>
      </c>
      <c r="B321" s="112" t="s">
        <v>26</v>
      </c>
      <c r="C321" s="113" t="s">
        <v>27</v>
      </c>
      <c r="D321" s="112" t="s">
        <v>1</v>
      </c>
      <c r="E321" s="122">
        <v>1.6076388888888891</v>
      </c>
      <c r="F321" s="112" t="s">
        <v>31</v>
      </c>
      <c r="G321" s="114">
        <v>9</v>
      </c>
      <c r="H321" s="115" t="s">
        <v>139</v>
      </c>
    </row>
    <row r="322" spans="1:8" ht="19.899999999999999" customHeight="1">
      <c r="A322" s="121">
        <v>46038</v>
      </c>
      <c r="B322" s="112" t="s">
        <v>26</v>
      </c>
      <c r="C322" s="113" t="s">
        <v>27</v>
      </c>
      <c r="D322" s="112" t="s">
        <v>1</v>
      </c>
      <c r="E322" s="122">
        <v>1.6076388888888891</v>
      </c>
      <c r="F322" s="112" t="s">
        <v>34</v>
      </c>
      <c r="G322" s="114">
        <v>9</v>
      </c>
      <c r="H322" s="115" t="s">
        <v>160</v>
      </c>
    </row>
    <row r="323" spans="1:8" ht="19.899999999999999" customHeight="1">
      <c r="A323" s="121">
        <v>46038</v>
      </c>
      <c r="B323" s="112" t="s">
        <v>38</v>
      </c>
      <c r="C323" s="113" t="s">
        <v>39</v>
      </c>
      <c r="D323" s="112" t="s">
        <v>1</v>
      </c>
      <c r="E323" s="122">
        <v>1.229166666666667</v>
      </c>
      <c r="F323" s="112" t="s">
        <v>46</v>
      </c>
      <c r="G323" s="114">
        <v>20</v>
      </c>
      <c r="H323" s="115" t="s">
        <v>47</v>
      </c>
    </row>
    <row r="324" spans="1:8" ht="19.899999999999999" customHeight="1">
      <c r="A324" s="121">
        <v>46038</v>
      </c>
      <c r="B324" s="112" t="s">
        <v>68</v>
      </c>
      <c r="C324" s="113" t="s">
        <v>74</v>
      </c>
      <c r="D324" s="112" t="s">
        <v>1</v>
      </c>
      <c r="E324" s="122">
        <v>1.336805555555556</v>
      </c>
      <c r="F324" s="112" t="s">
        <v>70</v>
      </c>
      <c r="G324" s="114">
        <v>9</v>
      </c>
      <c r="H324" s="115" t="s">
        <v>75</v>
      </c>
    </row>
    <row r="325" spans="1:8" ht="19.899999999999999" customHeight="1">
      <c r="A325" s="121">
        <v>46038</v>
      </c>
      <c r="B325" s="112" t="s">
        <v>68</v>
      </c>
      <c r="C325" s="113" t="s">
        <v>69</v>
      </c>
      <c r="D325" s="112" t="s">
        <v>1</v>
      </c>
      <c r="E325" s="122">
        <v>1.9409722222222221</v>
      </c>
      <c r="F325" s="112" t="s">
        <v>70</v>
      </c>
      <c r="G325" s="114">
        <v>9</v>
      </c>
      <c r="H325" s="115" t="s">
        <v>75</v>
      </c>
    </row>
    <row r="326" spans="1:8" ht="19.899999999999999" customHeight="1">
      <c r="A326" s="121">
        <v>46038</v>
      </c>
      <c r="B326" s="112" t="s">
        <v>68</v>
      </c>
      <c r="C326" s="113" t="s">
        <v>76</v>
      </c>
      <c r="D326" s="112" t="s">
        <v>1</v>
      </c>
      <c r="E326" s="122">
        <v>1.697916666666667</v>
      </c>
      <c r="F326" s="112" t="s">
        <v>70</v>
      </c>
      <c r="G326" s="114">
        <v>9</v>
      </c>
      <c r="H326" s="115" t="s">
        <v>75</v>
      </c>
    </row>
    <row r="327" spans="1:8" ht="19.899999999999999" customHeight="1">
      <c r="A327" s="121">
        <v>46038</v>
      </c>
      <c r="B327" s="112" t="s">
        <v>68</v>
      </c>
      <c r="C327" s="113" t="s">
        <v>72</v>
      </c>
      <c r="D327" s="112" t="s">
        <v>1</v>
      </c>
      <c r="E327" s="122">
        <v>1.0659722222222221</v>
      </c>
      <c r="F327" s="112" t="s">
        <v>70</v>
      </c>
      <c r="G327" s="114">
        <v>9</v>
      </c>
      <c r="H327" s="115" t="s">
        <v>75</v>
      </c>
    </row>
    <row r="328" spans="1:8" ht="19.899999999999999" customHeight="1">
      <c r="A328" s="121">
        <v>46038</v>
      </c>
      <c r="B328" s="112" t="s">
        <v>68</v>
      </c>
      <c r="C328" s="113" t="s">
        <v>73</v>
      </c>
      <c r="D328" s="112" t="s">
        <v>1</v>
      </c>
      <c r="E328" s="122">
        <v>1.288194444444444</v>
      </c>
      <c r="F328" s="112" t="s">
        <v>70</v>
      </c>
      <c r="G328" s="114">
        <v>9</v>
      </c>
      <c r="H328" s="115" t="s">
        <v>75</v>
      </c>
    </row>
    <row r="329" spans="1:8" ht="19.899999999999999" customHeight="1">
      <c r="A329" s="121">
        <v>46038</v>
      </c>
      <c r="B329" s="112" t="s">
        <v>48</v>
      </c>
      <c r="C329" s="113" t="s">
        <v>59</v>
      </c>
      <c r="D329" s="112" t="s">
        <v>1</v>
      </c>
      <c r="E329" s="122">
        <v>1.229166666666667</v>
      </c>
      <c r="F329" s="112" t="s">
        <v>53</v>
      </c>
      <c r="G329" s="114">
        <v>4</v>
      </c>
      <c r="H329" s="115" t="s">
        <v>124</v>
      </c>
    </row>
    <row r="330" spans="1:8" ht="19.899999999999999" customHeight="1">
      <c r="A330" s="121">
        <v>46038</v>
      </c>
      <c r="B330" s="112" t="s">
        <v>48</v>
      </c>
      <c r="C330" s="113" t="s">
        <v>49</v>
      </c>
      <c r="D330" s="112" t="s">
        <v>1</v>
      </c>
      <c r="E330" s="122">
        <v>1.350694444444444</v>
      </c>
      <c r="F330" s="112" t="s">
        <v>53</v>
      </c>
      <c r="G330" s="114">
        <v>9</v>
      </c>
      <c r="H330" s="115" t="s">
        <v>86</v>
      </c>
    </row>
    <row r="331" spans="1:8" ht="19.899999999999999" customHeight="1">
      <c r="A331" s="121">
        <v>46038</v>
      </c>
      <c r="B331" s="112" t="s">
        <v>48</v>
      </c>
      <c r="C331" s="113" t="s">
        <v>56</v>
      </c>
      <c r="D331" s="112" t="s">
        <v>1</v>
      </c>
      <c r="E331" s="122">
        <v>1.895833333333333</v>
      </c>
      <c r="F331" s="112" t="s">
        <v>53</v>
      </c>
      <c r="G331" s="114">
        <v>9</v>
      </c>
      <c r="H331" s="115" t="s">
        <v>86</v>
      </c>
    </row>
    <row r="332" spans="1:8" ht="19.899999999999999" customHeight="1">
      <c r="A332" s="123">
        <v>46038</v>
      </c>
      <c r="B332" s="124" t="s">
        <v>48</v>
      </c>
      <c r="C332" s="125" t="s">
        <v>58</v>
      </c>
      <c r="D332" s="124" t="s">
        <v>1</v>
      </c>
      <c r="E332" s="126">
        <v>1.1840277777777779</v>
      </c>
      <c r="F332" s="124" t="s">
        <v>53</v>
      </c>
      <c r="G332" s="127">
        <v>9</v>
      </c>
      <c r="H332" s="128" t="s">
        <v>86</v>
      </c>
    </row>
    <row r="333" spans="1:8" ht="19.899999999999999" customHeight="1">
      <c r="A333" s="121">
        <v>46039</v>
      </c>
      <c r="B333" s="112" t="s">
        <v>38</v>
      </c>
      <c r="C333" s="113" t="s">
        <v>39</v>
      </c>
      <c r="D333" s="112" t="s">
        <v>1</v>
      </c>
      <c r="E333" s="122">
        <v>1.229166666666667</v>
      </c>
      <c r="F333" s="112" t="s">
        <v>40</v>
      </c>
      <c r="G333" s="114">
        <v>11</v>
      </c>
      <c r="H333" s="115" t="s">
        <v>131</v>
      </c>
    </row>
    <row r="334" spans="1:8" ht="19.899999999999999" customHeight="1">
      <c r="A334" s="121">
        <v>46039</v>
      </c>
      <c r="B334" s="112" t="s">
        <v>38</v>
      </c>
      <c r="C334" s="113" t="s">
        <v>87</v>
      </c>
      <c r="D334" s="112" t="s">
        <v>1</v>
      </c>
      <c r="E334" s="122">
        <v>1.0625</v>
      </c>
      <c r="F334" s="112" t="s">
        <v>40</v>
      </c>
      <c r="G334" s="114">
        <v>20</v>
      </c>
      <c r="H334" s="115" t="s">
        <v>42</v>
      </c>
    </row>
    <row r="335" spans="1:8" ht="19.899999999999999" customHeight="1">
      <c r="A335" s="121">
        <v>46039</v>
      </c>
      <c r="B335" s="112" t="s">
        <v>26</v>
      </c>
      <c r="C335" s="113" t="s">
        <v>36</v>
      </c>
      <c r="D335" s="112" t="s">
        <v>1</v>
      </c>
      <c r="E335" s="122">
        <v>1.4340277777777779</v>
      </c>
      <c r="F335" s="112" t="s">
        <v>28</v>
      </c>
      <c r="G335" s="114">
        <v>9</v>
      </c>
      <c r="H335" s="115" t="s">
        <v>149</v>
      </c>
    </row>
    <row r="336" spans="1:8" ht="19.899999999999999" customHeight="1">
      <c r="A336" s="121">
        <v>46039</v>
      </c>
      <c r="B336" s="112" t="s">
        <v>26</v>
      </c>
      <c r="C336" s="113" t="s">
        <v>27</v>
      </c>
      <c r="D336" s="112" t="s">
        <v>1</v>
      </c>
      <c r="E336" s="122">
        <v>1.6076388888888891</v>
      </c>
      <c r="F336" s="112" t="s">
        <v>28</v>
      </c>
      <c r="G336" s="114">
        <v>9</v>
      </c>
      <c r="H336" s="115" t="s">
        <v>161</v>
      </c>
    </row>
    <row r="337" spans="1:8" ht="19.899999999999999" customHeight="1">
      <c r="A337" s="121">
        <v>46039</v>
      </c>
      <c r="B337" s="112" t="s">
        <v>38</v>
      </c>
      <c r="C337" s="113" t="s">
        <v>39</v>
      </c>
      <c r="D337" s="112" t="s">
        <v>1</v>
      </c>
      <c r="E337" s="122">
        <v>1.229166666666667</v>
      </c>
      <c r="F337" s="112" t="s">
        <v>43</v>
      </c>
      <c r="G337" s="114">
        <v>11</v>
      </c>
      <c r="H337" s="115" t="s">
        <v>133</v>
      </c>
    </row>
    <row r="338" spans="1:8" ht="19.899999999999999" customHeight="1">
      <c r="A338" s="121">
        <v>46039</v>
      </c>
      <c r="B338" s="112" t="s">
        <v>26</v>
      </c>
      <c r="C338" s="113" t="s">
        <v>36</v>
      </c>
      <c r="D338" s="112" t="s">
        <v>1</v>
      </c>
      <c r="E338" s="122">
        <v>1.4340277777777779</v>
      </c>
      <c r="F338" s="112" t="s">
        <v>31</v>
      </c>
      <c r="G338" s="114">
        <v>9</v>
      </c>
      <c r="H338" s="115" t="s">
        <v>133</v>
      </c>
    </row>
    <row r="339" spans="1:8" ht="19.899999999999999" customHeight="1">
      <c r="A339" s="121">
        <v>46039</v>
      </c>
      <c r="B339" s="112" t="s">
        <v>38</v>
      </c>
      <c r="C339" s="113" t="s">
        <v>87</v>
      </c>
      <c r="D339" s="112" t="s">
        <v>1</v>
      </c>
      <c r="E339" s="122">
        <v>1.0625</v>
      </c>
      <c r="F339" s="112" t="s">
        <v>43</v>
      </c>
      <c r="G339" s="114">
        <v>20</v>
      </c>
      <c r="H339" s="115" t="s">
        <v>45</v>
      </c>
    </row>
    <row r="340" spans="1:8" ht="19.899999999999999" customHeight="1">
      <c r="A340" s="121">
        <v>46039</v>
      </c>
      <c r="B340" s="112" t="s">
        <v>26</v>
      </c>
      <c r="C340" s="113" t="s">
        <v>27</v>
      </c>
      <c r="D340" s="112" t="s">
        <v>1</v>
      </c>
      <c r="E340" s="122">
        <v>1.6076388888888891</v>
      </c>
      <c r="F340" s="112" t="s">
        <v>31</v>
      </c>
      <c r="G340" s="114">
        <v>9</v>
      </c>
      <c r="H340" s="115" t="s">
        <v>162</v>
      </c>
    </row>
    <row r="341" spans="1:8" ht="19.899999999999999" customHeight="1">
      <c r="A341" s="129">
        <v>46039</v>
      </c>
      <c r="B341" s="117" t="s">
        <v>61</v>
      </c>
      <c r="C341" s="118" t="s">
        <v>62</v>
      </c>
      <c r="D341" s="117" t="s">
        <v>1</v>
      </c>
      <c r="E341" s="130">
        <v>1.2361111111111109</v>
      </c>
      <c r="F341" s="117" t="s">
        <v>63</v>
      </c>
      <c r="G341" s="119">
        <v>8</v>
      </c>
      <c r="H341" s="120" t="s">
        <v>64</v>
      </c>
    </row>
    <row r="342" spans="1:8" ht="19.899999999999999" customHeight="1">
      <c r="A342" s="121">
        <v>46039</v>
      </c>
      <c r="B342" s="112" t="s">
        <v>26</v>
      </c>
      <c r="C342" s="113" t="s">
        <v>36</v>
      </c>
      <c r="D342" s="112" t="s">
        <v>1</v>
      </c>
      <c r="E342" s="122">
        <v>1.4340277777777779</v>
      </c>
      <c r="F342" s="112" t="s">
        <v>34</v>
      </c>
      <c r="G342" s="114">
        <v>9</v>
      </c>
      <c r="H342" s="115" t="s">
        <v>150</v>
      </c>
    </row>
    <row r="343" spans="1:8" ht="19.899999999999999" customHeight="1">
      <c r="A343" s="121">
        <v>46039</v>
      </c>
      <c r="B343" s="112" t="s">
        <v>26</v>
      </c>
      <c r="C343" s="113" t="s">
        <v>27</v>
      </c>
      <c r="D343" s="112" t="s">
        <v>1</v>
      </c>
      <c r="E343" s="122">
        <v>1.6076388888888891</v>
      </c>
      <c r="F343" s="112" t="s">
        <v>34</v>
      </c>
      <c r="G343" s="114">
        <v>9</v>
      </c>
      <c r="H343" s="115" t="s">
        <v>163</v>
      </c>
    </row>
    <row r="344" spans="1:8" ht="19.899999999999999" customHeight="1">
      <c r="A344" s="121">
        <v>46039</v>
      </c>
      <c r="B344" s="112" t="s">
        <v>38</v>
      </c>
      <c r="C344" s="113" t="s">
        <v>39</v>
      </c>
      <c r="D344" s="112" t="s">
        <v>1</v>
      </c>
      <c r="E344" s="122">
        <v>1.229166666666667</v>
      </c>
      <c r="F344" s="112" t="s">
        <v>46</v>
      </c>
      <c r="G344" s="114">
        <v>11</v>
      </c>
      <c r="H344" s="115" t="s">
        <v>47</v>
      </c>
    </row>
    <row r="345" spans="1:8" ht="19.899999999999999" customHeight="1">
      <c r="A345" s="121">
        <v>46039</v>
      </c>
      <c r="B345" s="112" t="s">
        <v>38</v>
      </c>
      <c r="C345" s="113" t="s">
        <v>87</v>
      </c>
      <c r="D345" s="112" t="s">
        <v>1</v>
      </c>
      <c r="E345" s="122">
        <v>1.0625</v>
      </c>
      <c r="F345" s="112" t="s">
        <v>46</v>
      </c>
      <c r="G345" s="114">
        <v>20</v>
      </c>
      <c r="H345" s="115" t="s">
        <v>47</v>
      </c>
    </row>
    <row r="346" spans="1:8" ht="19.899999999999999" customHeight="1">
      <c r="A346" s="121">
        <v>46039</v>
      </c>
      <c r="B346" s="112" t="s">
        <v>68</v>
      </c>
      <c r="C346" s="113" t="s">
        <v>69</v>
      </c>
      <c r="D346" s="112" t="s">
        <v>1</v>
      </c>
      <c r="E346" s="122">
        <v>1.9409722222222221</v>
      </c>
      <c r="F346" s="112" t="s">
        <v>70</v>
      </c>
      <c r="G346" s="114">
        <v>9</v>
      </c>
      <c r="H346" s="115" t="s">
        <v>75</v>
      </c>
    </row>
    <row r="347" spans="1:8" ht="19.899999999999999" customHeight="1">
      <c r="A347" s="121">
        <v>46039</v>
      </c>
      <c r="B347" s="112" t="s">
        <v>68</v>
      </c>
      <c r="C347" s="113" t="s">
        <v>76</v>
      </c>
      <c r="D347" s="112" t="s">
        <v>1</v>
      </c>
      <c r="E347" s="122">
        <v>1.697916666666667</v>
      </c>
      <c r="F347" s="112" t="s">
        <v>70</v>
      </c>
      <c r="G347" s="114">
        <v>9</v>
      </c>
      <c r="H347" s="115" t="s">
        <v>75</v>
      </c>
    </row>
    <row r="348" spans="1:8" ht="19.899999999999999" customHeight="1">
      <c r="A348" s="121">
        <v>46039</v>
      </c>
      <c r="B348" s="112" t="s">
        <v>68</v>
      </c>
      <c r="C348" s="113" t="s">
        <v>72</v>
      </c>
      <c r="D348" s="112" t="s">
        <v>1</v>
      </c>
      <c r="E348" s="122">
        <v>1.0659722222222221</v>
      </c>
      <c r="F348" s="112" t="s">
        <v>70</v>
      </c>
      <c r="G348" s="114">
        <v>9</v>
      </c>
      <c r="H348" s="115" t="s">
        <v>75</v>
      </c>
    </row>
    <row r="349" spans="1:8" ht="19.899999999999999" customHeight="1">
      <c r="A349" s="121">
        <v>46039</v>
      </c>
      <c r="B349" s="112" t="s">
        <v>68</v>
      </c>
      <c r="C349" s="113" t="s">
        <v>73</v>
      </c>
      <c r="D349" s="112" t="s">
        <v>1</v>
      </c>
      <c r="E349" s="122">
        <v>1.288194444444444</v>
      </c>
      <c r="F349" s="112" t="s">
        <v>70</v>
      </c>
      <c r="G349" s="114">
        <v>9</v>
      </c>
      <c r="H349" s="115" t="s">
        <v>75</v>
      </c>
    </row>
    <row r="350" spans="1:8" ht="19.899999999999999" customHeight="1">
      <c r="A350" s="121">
        <v>46039</v>
      </c>
      <c r="B350" s="112" t="s">
        <v>68</v>
      </c>
      <c r="C350" s="113" t="s">
        <v>74</v>
      </c>
      <c r="D350" s="112" t="s">
        <v>1</v>
      </c>
      <c r="E350" s="122">
        <v>1.336805555555556</v>
      </c>
      <c r="F350" s="112" t="s">
        <v>70</v>
      </c>
      <c r="G350" s="114">
        <v>9</v>
      </c>
      <c r="H350" s="115" t="s">
        <v>129</v>
      </c>
    </row>
    <row r="351" spans="1:8" ht="19.899999999999999" customHeight="1">
      <c r="A351" s="121">
        <v>46039</v>
      </c>
      <c r="B351" s="112" t="s">
        <v>48</v>
      </c>
      <c r="C351" s="113" t="s">
        <v>59</v>
      </c>
      <c r="D351" s="112" t="s">
        <v>1</v>
      </c>
      <c r="E351" s="122">
        <v>1.229166666666667</v>
      </c>
      <c r="F351" s="112" t="s">
        <v>53</v>
      </c>
      <c r="G351" s="114">
        <v>4</v>
      </c>
      <c r="H351" s="115" t="s">
        <v>85</v>
      </c>
    </row>
    <row r="352" spans="1:8" ht="19.899999999999999" customHeight="1">
      <c r="A352" s="121">
        <v>46039</v>
      </c>
      <c r="B352" s="112" t="s">
        <v>48</v>
      </c>
      <c r="C352" s="113" t="s">
        <v>49</v>
      </c>
      <c r="D352" s="112" t="s">
        <v>1</v>
      </c>
      <c r="E352" s="122">
        <v>1.354166666666667</v>
      </c>
      <c r="F352" s="112" t="s">
        <v>53</v>
      </c>
      <c r="G352" s="114">
        <v>9</v>
      </c>
      <c r="H352" s="115" t="s">
        <v>86</v>
      </c>
    </row>
    <row r="353" spans="1:8" ht="19.899999999999999" customHeight="1">
      <c r="A353" s="121">
        <v>46039</v>
      </c>
      <c r="B353" s="112" t="s">
        <v>48</v>
      </c>
      <c r="C353" s="113" t="s">
        <v>56</v>
      </c>
      <c r="D353" s="112" t="s">
        <v>1</v>
      </c>
      <c r="E353" s="122">
        <v>1.895833333333333</v>
      </c>
      <c r="F353" s="112" t="s">
        <v>53</v>
      </c>
      <c r="G353" s="114">
        <v>9</v>
      </c>
      <c r="H353" s="115" t="s">
        <v>86</v>
      </c>
    </row>
    <row r="354" spans="1:8" ht="19.899999999999999" customHeight="1">
      <c r="A354" s="123">
        <v>46039</v>
      </c>
      <c r="B354" s="124" t="s">
        <v>48</v>
      </c>
      <c r="C354" s="125" t="s">
        <v>58</v>
      </c>
      <c r="D354" s="124" t="s">
        <v>1</v>
      </c>
      <c r="E354" s="126">
        <v>1.1840277777777779</v>
      </c>
      <c r="F354" s="124" t="s">
        <v>53</v>
      </c>
      <c r="G354" s="127">
        <v>9</v>
      </c>
      <c r="H354" s="128" t="s">
        <v>86</v>
      </c>
    </row>
    <row r="355" spans="1:8" ht="19.899999999999999" customHeight="1">
      <c r="A355" s="121">
        <v>46040</v>
      </c>
      <c r="B355" s="112" t="s">
        <v>38</v>
      </c>
      <c r="C355" s="113" t="s">
        <v>39</v>
      </c>
      <c r="D355" s="112" t="s">
        <v>1</v>
      </c>
      <c r="E355" s="122">
        <v>1.229166666666667</v>
      </c>
      <c r="F355" s="112" t="s">
        <v>40</v>
      </c>
      <c r="G355" s="114">
        <v>1</v>
      </c>
      <c r="H355" s="115" t="s">
        <v>78</v>
      </c>
    </row>
    <row r="356" spans="1:8" ht="19.899999999999999" customHeight="1">
      <c r="A356" s="121">
        <v>46040</v>
      </c>
      <c r="B356" s="112" t="s">
        <v>38</v>
      </c>
      <c r="C356" s="113" t="s">
        <v>39</v>
      </c>
      <c r="D356" s="112" t="s">
        <v>1</v>
      </c>
      <c r="E356" s="122">
        <v>1.229166666666667</v>
      </c>
      <c r="F356" s="112" t="s">
        <v>43</v>
      </c>
      <c r="G356" s="114">
        <v>1</v>
      </c>
      <c r="H356" s="115" t="s">
        <v>79</v>
      </c>
    </row>
    <row r="357" spans="1:8" ht="19.899999999999999" customHeight="1">
      <c r="A357" s="121">
        <v>46040</v>
      </c>
      <c r="B357" s="112" t="s">
        <v>26</v>
      </c>
      <c r="C357" s="113" t="s">
        <v>27</v>
      </c>
      <c r="D357" s="112" t="s">
        <v>1</v>
      </c>
      <c r="E357" s="122">
        <v>1.6076388888888891</v>
      </c>
      <c r="F357" s="112" t="s">
        <v>28</v>
      </c>
      <c r="G357" s="114">
        <v>5</v>
      </c>
      <c r="H357" s="115" t="s">
        <v>159</v>
      </c>
    </row>
    <row r="358" spans="1:8" ht="19.899999999999999" customHeight="1">
      <c r="A358" s="129">
        <v>46040</v>
      </c>
      <c r="B358" s="117" t="s">
        <v>61</v>
      </c>
      <c r="C358" s="118" t="s">
        <v>62</v>
      </c>
      <c r="D358" s="117" t="s">
        <v>1</v>
      </c>
      <c r="E358" s="130">
        <v>1.743055555555556</v>
      </c>
      <c r="F358" s="117" t="s">
        <v>63</v>
      </c>
      <c r="G358" s="119">
        <v>9</v>
      </c>
      <c r="H358" s="120" t="s">
        <v>64</v>
      </c>
    </row>
    <row r="359" spans="1:8" ht="19.899999999999999" customHeight="1">
      <c r="A359" s="121">
        <v>46040</v>
      </c>
      <c r="B359" s="112" t="s">
        <v>26</v>
      </c>
      <c r="C359" s="113" t="s">
        <v>27</v>
      </c>
      <c r="D359" s="112" t="s">
        <v>1</v>
      </c>
      <c r="E359" s="122">
        <v>1.6076388888888891</v>
      </c>
      <c r="F359" s="112" t="s">
        <v>31</v>
      </c>
      <c r="G359" s="114">
        <v>5</v>
      </c>
      <c r="H359" s="115" t="s">
        <v>139</v>
      </c>
    </row>
    <row r="360" spans="1:8" ht="19.899999999999999" customHeight="1">
      <c r="A360" s="121">
        <v>46040</v>
      </c>
      <c r="B360" s="112" t="s">
        <v>26</v>
      </c>
      <c r="C360" s="113" t="s">
        <v>27</v>
      </c>
      <c r="D360" s="112" t="s">
        <v>1</v>
      </c>
      <c r="E360" s="122">
        <v>1.6076388888888891</v>
      </c>
      <c r="F360" s="112" t="s">
        <v>34</v>
      </c>
      <c r="G360" s="114">
        <v>5</v>
      </c>
      <c r="H360" s="115" t="s">
        <v>160</v>
      </c>
    </row>
    <row r="361" spans="1:8" ht="19.899999999999999" customHeight="1">
      <c r="A361" s="121">
        <v>46040</v>
      </c>
      <c r="B361" s="112" t="s">
        <v>38</v>
      </c>
      <c r="C361" s="113" t="s">
        <v>39</v>
      </c>
      <c r="D361" s="112" t="s">
        <v>1</v>
      </c>
      <c r="E361" s="122">
        <v>1.229166666666667</v>
      </c>
      <c r="F361" s="112" t="s">
        <v>46</v>
      </c>
      <c r="G361" s="114">
        <v>1</v>
      </c>
      <c r="H361" s="115" t="s">
        <v>47</v>
      </c>
    </row>
    <row r="362" spans="1:8" ht="19.899999999999999" customHeight="1">
      <c r="A362" s="121">
        <v>46040</v>
      </c>
      <c r="B362" s="112" t="s">
        <v>68</v>
      </c>
      <c r="C362" s="113" t="s">
        <v>74</v>
      </c>
      <c r="D362" s="112" t="s">
        <v>1</v>
      </c>
      <c r="E362" s="122">
        <v>1.336805555555556</v>
      </c>
      <c r="F362" s="112" t="s">
        <v>70</v>
      </c>
      <c r="G362" s="114">
        <v>9</v>
      </c>
      <c r="H362" s="115" t="s">
        <v>75</v>
      </c>
    </row>
    <row r="363" spans="1:8" ht="19.899999999999999" customHeight="1">
      <c r="A363" s="121">
        <v>46040</v>
      </c>
      <c r="B363" s="112" t="s">
        <v>68</v>
      </c>
      <c r="C363" s="113" t="s">
        <v>69</v>
      </c>
      <c r="D363" s="112" t="s">
        <v>1</v>
      </c>
      <c r="E363" s="122">
        <v>1.9409722222222221</v>
      </c>
      <c r="F363" s="112" t="s">
        <v>70</v>
      </c>
      <c r="G363" s="114">
        <v>9</v>
      </c>
      <c r="H363" s="115" t="s">
        <v>75</v>
      </c>
    </row>
    <row r="364" spans="1:8" ht="19.899999999999999" customHeight="1">
      <c r="A364" s="121">
        <v>46040</v>
      </c>
      <c r="B364" s="112" t="s">
        <v>68</v>
      </c>
      <c r="C364" s="113" t="s">
        <v>76</v>
      </c>
      <c r="D364" s="112" t="s">
        <v>1</v>
      </c>
      <c r="E364" s="122">
        <v>1.697916666666667</v>
      </c>
      <c r="F364" s="112" t="s">
        <v>70</v>
      </c>
      <c r="G364" s="114">
        <v>9</v>
      </c>
      <c r="H364" s="115" t="s">
        <v>75</v>
      </c>
    </row>
    <row r="365" spans="1:8" ht="19.899999999999999" customHeight="1">
      <c r="A365" s="121">
        <v>46040</v>
      </c>
      <c r="B365" s="112" t="s">
        <v>68</v>
      </c>
      <c r="C365" s="113" t="s">
        <v>72</v>
      </c>
      <c r="D365" s="112" t="s">
        <v>1</v>
      </c>
      <c r="E365" s="122">
        <v>1.0659722222222221</v>
      </c>
      <c r="F365" s="112" t="s">
        <v>70</v>
      </c>
      <c r="G365" s="114">
        <v>9</v>
      </c>
      <c r="H365" s="115" t="s">
        <v>75</v>
      </c>
    </row>
    <row r="366" spans="1:8" ht="19.899999999999999" customHeight="1">
      <c r="A366" s="121">
        <v>46040</v>
      </c>
      <c r="B366" s="112" t="s">
        <v>68</v>
      </c>
      <c r="C366" s="113" t="s">
        <v>73</v>
      </c>
      <c r="D366" s="112" t="s">
        <v>1</v>
      </c>
      <c r="E366" s="122">
        <v>1.288194444444444</v>
      </c>
      <c r="F366" s="112" t="s">
        <v>70</v>
      </c>
      <c r="G366" s="114">
        <v>9</v>
      </c>
      <c r="H366" s="115" t="s">
        <v>75</v>
      </c>
    </row>
    <row r="367" spans="1:8" ht="19.899999999999999" customHeight="1">
      <c r="A367" s="121">
        <v>46040</v>
      </c>
      <c r="B367" s="112" t="s">
        <v>48</v>
      </c>
      <c r="C367" s="113" t="s">
        <v>59</v>
      </c>
      <c r="D367" s="112" t="s">
        <v>1</v>
      </c>
      <c r="E367" s="122">
        <v>1.229166666666667</v>
      </c>
      <c r="F367" s="112" t="s">
        <v>53</v>
      </c>
      <c r="G367" s="114">
        <v>4</v>
      </c>
      <c r="H367" s="115" t="s">
        <v>93</v>
      </c>
    </row>
    <row r="368" spans="1:8" ht="19.899999999999999" customHeight="1">
      <c r="A368" s="121">
        <v>46040</v>
      </c>
      <c r="B368" s="112" t="s">
        <v>48</v>
      </c>
      <c r="C368" s="113" t="s">
        <v>49</v>
      </c>
      <c r="D368" s="112" t="s">
        <v>1</v>
      </c>
      <c r="E368" s="122">
        <v>1.350694444444444</v>
      </c>
      <c r="F368" s="112" t="s">
        <v>53</v>
      </c>
      <c r="G368" s="114">
        <v>9</v>
      </c>
      <c r="H368" s="115" t="s">
        <v>86</v>
      </c>
    </row>
    <row r="369" spans="1:8" ht="19.899999999999999" customHeight="1">
      <c r="A369" s="121">
        <v>46040</v>
      </c>
      <c r="B369" s="112" t="s">
        <v>48</v>
      </c>
      <c r="C369" s="113" t="s">
        <v>56</v>
      </c>
      <c r="D369" s="112" t="s">
        <v>1</v>
      </c>
      <c r="E369" s="122">
        <v>1.895833333333333</v>
      </c>
      <c r="F369" s="112" t="s">
        <v>53</v>
      </c>
      <c r="G369" s="114">
        <v>9</v>
      </c>
      <c r="H369" s="115" t="s">
        <v>86</v>
      </c>
    </row>
    <row r="370" spans="1:8" ht="19.899999999999999" customHeight="1">
      <c r="A370" s="123">
        <v>46040</v>
      </c>
      <c r="B370" s="124" t="s">
        <v>48</v>
      </c>
      <c r="C370" s="125" t="s">
        <v>58</v>
      </c>
      <c r="D370" s="124" t="s">
        <v>1</v>
      </c>
      <c r="E370" s="126">
        <v>1.1840277777777779</v>
      </c>
      <c r="F370" s="124" t="s">
        <v>53</v>
      </c>
      <c r="G370" s="127">
        <v>9</v>
      </c>
      <c r="H370" s="128" t="s">
        <v>86</v>
      </c>
    </row>
    <row r="371" spans="1:8" ht="19.899999999999999" customHeight="1">
      <c r="A371" s="121">
        <v>46041</v>
      </c>
      <c r="B371" s="112" t="s">
        <v>38</v>
      </c>
      <c r="C371" s="113" t="s">
        <v>39</v>
      </c>
      <c r="D371" s="112" t="s">
        <v>1</v>
      </c>
      <c r="E371" s="122">
        <v>1.229166666666667</v>
      </c>
      <c r="F371" s="112" t="s">
        <v>40</v>
      </c>
      <c r="G371" s="114">
        <v>8</v>
      </c>
      <c r="H371" s="115" t="s">
        <v>78</v>
      </c>
    </row>
    <row r="372" spans="1:8" ht="19.899999999999999" customHeight="1">
      <c r="A372" s="121">
        <v>46041</v>
      </c>
      <c r="B372" s="112" t="s">
        <v>38</v>
      </c>
      <c r="C372" s="113" t="s">
        <v>87</v>
      </c>
      <c r="D372" s="112" t="s">
        <v>1</v>
      </c>
      <c r="E372" s="122">
        <v>1.0625</v>
      </c>
      <c r="F372" s="112" t="s">
        <v>40</v>
      </c>
      <c r="G372" s="114">
        <v>20</v>
      </c>
      <c r="H372" s="115" t="s">
        <v>78</v>
      </c>
    </row>
    <row r="373" spans="1:8" ht="19.899999999999999" customHeight="1">
      <c r="A373" s="121">
        <v>46041</v>
      </c>
      <c r="B373" s="112" t="s">
        <v>48</v>
      </c>
      <c r="C373" s="113" t="s">
        <v>56</v>
      </c>
      <c r="D373" s="112" t="s">
        <v>1</v>
      </c>
      <c r="E373" s="122">
        <v>1.895833333333333</v>
      </c>
      <c r="F373" s="112" t="s">
        <v>50</v>
      </c>
      <c r="G373" s="114">
        <v>9</v>
      </c>
      <c r="H373" s="115" t="s">
        <v>96</v>
      </c>
    </row>
    <row r="374" spans="1:8" ht="19.899999999999999" customHeight="1">
      <c r="A374" s="121">
        <v>46041</v>
      </c>
      <c r="B374" s="112" t="s">
        <v>38</v>
      </c>
      <c r="C374" s="113" t="s">
        <v>39</v>
      </c>
      <c r="D374" s="112" t="s">
        <v>1</v>
      </c>
      <c r="E374" s="122">
        <v>1.229166666666667</v>
      </c>
      <c r="F374" s="112" t="s">
        <v>43</v>
      </c>
      <c r="G374" s="114">
        <v>8</v>
      </c>
      <c r="H374" s="115" t="s">
        <v>79</v>
      </c>
    </row>
    <row r="375" spans="1:8" ht="19.899999999999999" customHeight="1">
      <c r="A375" s="121">
        <v>46041</v>
      </c>
      <c r="B375" s="112" t="s">
        <v>38</v>
      </c>
      <c r="C375" s="113" t="s">
        <v>87</v>
      </c>
      <c r="D375" s="112" t="s">
        <v>1</v>
      </c>
      <c r="E375" s="122">
        <v>1.0625</v>
      </c>
      <c r="F375" s="112" t="s">
        <v>43</v>
      </c>
      <c r="G375" s="114">
        <v>20</v>
      </c>
      <c r="H375" s="115" t="s">
        <v>79</v>
      </c>
    </row>
    <row r="376" spans="1:8" ht="19.899999999999999" customHeight="1">
      <c r="A376" s="121">
        <v>46041</v>
      </c>
      <c r="B376" s="112" t="s">
        <v>26</v>
      </c>
      <c r="C376" s="113" t="s">
        <v>27</v>
      </c>
      <c r="D376" s="112" t="s">
        <v>1</v>
      </c>
      <c r="E376" s="122">
        <v>1.6076388888888891</v>
      </c>
      <c r="F376" s="112" t="s">
        <v>28</v>
      </c>
      <c r="G376" s="114">
        <v>5</v>
      </c>
      <c r="H376" s="115" t="s">
        <v>161</v>
      </c>
    </row>
    <row r="377" spans="1:8" ht="19.899999999999999" customHeight="1">
      <c r="A377" s="121">
        <v>46041</v>
      </c>
      <c r="B377" s="112" t="s">
        <v>26</v>
      </c>
      <c r="C377" s="113" t="s">
        <v>36</v>
      </c>
      <c r="D377" s="112" t="s">
        <v>1</v>
      </c>
      <c r="E377" s="122">
        <v>1.4340277777777779</v>
      </c>
      <c r="F377" s="112" t="s">
        <v>28</v>
      </c>
      <c r="G377" s="114">
        <v>5</v>
      </c>
      <c r="H377" s="115" t="s">
        <v>161</v>
      </c>
    </row>
    <row r="378" spans="1:8" ht="19.899999999999999" customHeight="1">
      <c r="A378" s="121">
        <v>46041</v>
      </c>
      <c r="B378" s="112" t="s">
        <v>48</v>
      </c>
      <c r="C378" s="113" t="s">
        <v>56</v>
      </c>
      <c r="D378" s="112" t="s">
        <v>1</v>
      </c>
      <c r="E378" s="122">
        <v>1.895833333333333</v>
      </c>
      <c r="F378" s="112" t="s">
        <v>53</v>
      </c>
      <c r="G378" s="114">
        <v>9</v>
      </c>
      <c r="H378" s="115" t="s">
        <v>97</v>
      </c>
    </row>
    <row r="379" spans="1:8" ht="19.899999999999999" customHeight="1">
      <c r="A379" s="121">
        <v>46041</v>
      </c>
      <c r="B379" s="112" t="s">
        <v>26</v>
      </c>
      <c r="C379" s="113" t="s">
        <v>27</v>
      </c>
      <c r="D379" s="112" t="s">
        <v>1</v>
      </c>
      <c r="E379" s="122">
        <v>1.6076388888888891</v>
      </c>
      <c r="F379" s="112" t="s">
        <v>31</v>
      </c>
      <c r="G379" s="114">
        <v>5</v>
      </c>
      <c r="H379" s="115" t="s">
        <v>162</v>
      </c>
    </row>
    <row r="380" spans="1:8" ht="19.899999999999999" customHeight="1">
      <c r="A380" s="121">
        <v>46041</v>
      </c>
      <c r="B380" s="112" t="s">
        <v>26</v>
      </c>
      <c r="C380" s="113" t="s">
        <v>36</v>
      </c>
      <c r="D380" s="112" t="s">
        <v>1</v>
      </c>
      <c r="E380" s="122">
        <v>1.4340277777777779</v>
      </c>
      <c r="F380" s="112" t="s">
        <v>31</v>
      </c>
      <c r="G380" s="114">
        <v>5</v>
      </c>
      <c r="H380" s="115" t="s">
        <v>162</v>
      </c>
    </row>
    <row r="381" spans="1:8" ht="19.899999999999999" customHeight="1">
      <c r="A381" s="129">
        <v>46041</v>
      </c>
      <c r="B381" s="117" t="s">
        <v>61</v>
      </c>
      <c r="C381" s="118" t="s">
        <v>111</v>
      </c>
      <c r="D381" s="117" t="s">
        <v>1</v>
      </c>
      <c r="E381" s="130">
        <v>1.868055555555556</v>
      </c>
      <c r="F381" s="117" t="s">
        <v>63</v>
      </c>
      <c r="G381" s="119">
        <v>9</v>
      </c>
      <c r="H381" s="120" t="s">
        <v>64</v>
      </c>
    </row>
    <row r="382" spans="1:8" ht="19.899999999999999" customHeight="1">
      <c r="A382" s="121">
        <v>46041</v>
      </c>
      <c r="B382" s="112" t="s">
        <v>48</v>
      </c>
      <c r="C382" s="113" t="s">
        <v>58</v>
      </c>
      <c r="D382" s="112" t="s">
        <v>1</v>
      </c>
      <c r="E382" s="122">
        <v>1.1840277777777779</v>
      </c>
      <c r="F382" s="112" t="s">
        <v>50</v>
      </c>
      <c r="G382" s="114">
        <v>9</v>
      </c>
      <c r="H382" s="115" t="s">
        <v>109</v>
      </c>
    </row>
    <row r="383" spans="1:8" ht="19.899999999999999" customHeight="1">
      <c r="A383" s="121">
        <v>46041</v>
      </c>
      <c r="B383" s="112" t="s">
        <v>26</v>
      </c>
      <c r="C383" s="113" t="s">
        <v>27</v>
      </c>
      <c r="D383" s="112" t="s">
        <v>1</v>
      </c>
      <c r="E383" s="122">
        <v>1.6076388888888891</v>
      </c>
      <c r="F383" s="112" t="s">
        <v>34</v>
      </c>
      <c r="G383" s="114">
        <v>5</v>
      </c>
      <c r="H383" s="115" t="s">
        <v>163</v>
      </c>
    </row>
    <row r="384" spans="1:8" ht="19.899999999999999" customHeight="1">
      <c r="A384" s="121">
        <v>46041</v>
      </c>
      <c r="B384" s="112" t="s">
        <v>26</v>
      </c>
      <c r="C384" s="113" t="s">
        <v>36</v>
      </c>
      <c r="D384" s="112" t="s">
        <v>1</v>
      </c>
      <c r="E384" s="122">
        <v>1.4340277777777779</v>
      </c>
      <c r="F384" s="112" t="s">
        <v>34</v>
      </c>
      <c r="G384" s="114">
        <v>5</v>
      </c>
      <c r="H384" s="115" t="s">
        <v>163</v>
      </c>
    </row>
    <row r="385" spans="1:8" ht="19.899999999999999" customHeight="1">
      <c r="A385" s="121">
        <v>46041</v>
      </c>
      <c r="B385" s="112" t="s">
        <v>68</v>
      </c>
      <c r="C385" s="113" t="s">
        <v>74</v>
      </c>
      <c r="D385" s="112" t="s">
        <v>1</v>
      </c>
      <c r="E385" s="122">
        <v>1.336805555555556</v>
      </c>
      <c r="F385" s="112" t="s">
        <v>70</v>
      </c>
      <c r="G385" s="114">
        <v>9</v>
      </c>
      <c r="H385" s="115" t="s">
        <v>71</v>
      </c>
    </row>
    <row r="386" spans="1:8" ht="19.899999999999999" customHeight="1">
      <c r="A386" s="121">
        <v>46041</v>
      </c>
      <c r="B386" s="112" t="s">
        <v>68</v>
      </c>
      <c r="C386" s="113" t="s">
        <v>69</v>
      </c>
      <c r="D386" s="112" t="s">
        <v>1</v>
      </c>
      <c r="E386" s="122">
        <v>1.9409722222222221</v>
      </c>
      <c r="F386" s="112" t="s">
        <v>70</v>
      </c>
      <c r="G386" s="114">
        <v>9</v>
      </c>
      <c r="H386" s="115" t="s">
        <v>71</v>
      </c>
    </row>
    <row r="387" spans="1:8" ht="19.899999999999999" customHeight="1">
      <c r="A387" s="121">
        <v>46041</v>
      </c>
      <c r="B387" s="112" t="s">
        <v>68</v>
      </c>
      <c r="C387" s="113" t="s">
        <v>76</v>
      </c>
      <c r="D387" s="112" t="s">
        <v>1</v>
      </c>
      <c r="E387" s="122">
        <v>1.697916666666667</v>
      </c>
      <c r="F387" s="112" t="s">
        <v>70</v>
      </c>
      <c r="G387" s="114">
        <v>9</v>
      </c>
      <c r="H387" s="115" t="s">
        <v>71</v>
      </c>
    </row>
    <row r="388" spans="1:8" ht="19.899999999999999" customHeight="1">
      <c r="A388" s="121">
        <v>46041</v>
      </c>
      <c r="B388" s="112" t="s">
        <v>68</v>
      </c>
      <c r="C388" s="113" t="s">
        <v>72</v>
      </c>
      <c r="D388" s="112" t="s">
        <v>1</v>
      </c>
      <c r="E388" s="122">
        <v>1.0659722222222221</v>
      </c>
      <c r="F388" s="112" t="s">
        <v>70</v>
      </c>
      <c r="G388" s="114">
        <v>9</v>
      </c>
      <c r="H388" s="115" t="s">
        <v>71</v>
      </c>
    </row>
    <row r="389" spans="1:8" ht="19.899999999999999" customHeight="1">
      <c r="A389" s="121">
        <v>46041</v>
      </c>
      <c r="B389" s="112" t="s">
        <v>68</v>
      </c>
      <c r="C389" s="113" t="s">
        <v>73</v>
      </c>
      <c r="D389" s="112" t="s">
        <v>1</v>
      </c>
      <c r="E389" s="122">
        <v>1.288194444444444</v>
      </c>
      <c r="F389" s="112" t="s">
        <v>70</v>
      </c>
      <c r="G389" s="114">
        <v>9</v>
      </c>
      <c r="H389" s="115" t="s">
        <v>71</v>
      </c>
    </row>
    <row r="390" spans="1:8" ht="19.899999999999999" customHeight="1">
      <c r="A390" s="121">
        <v>46041</v>
      </c>
      <c r="B390" s="112" t="s">
        <v>48</v>
      </c>
      <c r="C390" s="113" t="s">
        <v>58</v>
      </c>
      <c r="D390" s="112" t="s">
        <v>1</v>
      </c>
      <c r="E390" s="122">
        <v>1.1840277777777779</v>
      </c>
      <c r="F390" s="112" t="s">
        <v>53</v>
      </c>
      <c r="G390" s="114">
        <v>9</v>
      </c>
      <c r="H390" s="115" t="s">
        <v>110</v>
      </c>
    </row>
    <row r="391" spans="1:8" ht="19.899999999999999" customHeight="1">
      <c r="A391" s="121">
        <v>46041</v>
      </c>
      <c r="B391" s="112" t="s">
        <v>38</v>
      </c>
      <c r="C391" s="113" t="s">
        <v>39</v>
      </c>
      <c r="D391" s="112" t="s">
        <v>1</v>
      </c>
      <c r="E391" s="122">
        <v>1.229166666666667</v>
      </c>
      <c r="F391" s="112" t="s">
        <v>46</v>
      </c>
      <c r="G391" s="114">
        <v>8</v>
      </c>
      <c r="H391" s="115" t="s">
        <v>47</v>
      </c>
    </row>
    <row r="392" spans="1:8" ht="19.899999999999999" customHeight="1">
      <c r="A392" s="121">
        <v>46041</v>
      </c>
      <c r="B392" s="112" t="s">
        <v>38</v>
      </c>
      <c r="C392" s="113" t="s">
        <v>87</v>
      </c>
      <c r="D392" s="112" t="s">
        <v>1</v>
      </c>
      <c r="E392" s="122">
        <v>1.0625</v>
      </c>
      <c r="F392" s="112" t="s">
        <v>46</v>
      </c>
      <c r="G392" s="114">
        <v>20</v>
      </c>
      <c r="H392" s="115" t="s">
        <v>47</v>
      </c>
    </row>
    <row r="393" spans="1:8" ht="19.899999999999999" customHeight="1">
      <c r="A393" s="121">
        <v>46041</v>
      </c>
      <c r="B393" s="112" t="s">
        <v>48</v>
      </c>
      <c r="C393" s="113" t="s">
        <v>59</v>
      </c>
      <c r="D393" s="112" t="s">
        <v>1</v>
      </c>
      <c r="E393" s="122">
        <v>1.229166666666667</v>
      </c>
      <c r="F393" s="112" t="s">
        <v>53</v>
      </c>
      <c r="G393" s="114">
        <v>4</v>
      </c>
      <c r="H393" s="115" t="s">
        <v>93</v>
      </c>
    </row>
    <row r="394" spans="1:8" ht="19.899999999999999" customHeight="1">
      <c r="A394" s="123">
        <v>46041</v>
      </c>
      <c r="B394" s="124" t="s">
        <v>48</v>
      </c>
      <c r="C394" s="125" t="s">
        <v>49</v>
      </c>
      <c r="D394" s="124" t="s">
        <v>1</v>
      </c>
      <c r="E394" s="126">
        <v>1.350694444444444</v>
      </c>
      <c r="F394" s="124" t="s">
        <v>53</v>
      </c>
      <c r="G394" s="127">
        <v>9</v>
      </c>
      <c r="H394" s="128" t="s">
        <v>60</v>
      </c>
    </row>
    <row r="395" spans="1:8" ht="19.899999999999999" customHeight="1">
      <c r="A395" s="121">
        <v>46042</v>
      </c>
      <c r="B395" s="112" t="s">
        <v>38</v>
      </c>
      <c r="C395" s="113" t="s">
        <v>87</v>
      </c>
      <c r="D395" s="112" t="s">
        <v>1</v>
      </c>
      <c r="E395" s="122">
        <v>1.0625</v>
      </c>
      <c r="F395" s="112" t="s">
        <v>40</v>
      </c>
      <c r="G395" s="114">
        <v>20</v>
      </c>
      <c r="H395" s="115" t="s">
        <v>78</v>
      </c>
    </row>
    <row r="396" spans="1:8" ht="19.899999999999999" customHeight="1">
      <c r="A396" s="121">
        <v>46042</v>
      </c>
      <c r="B396" s="112" t="s">
        <v>38</v>
      </c>
      <c r="C396" s="113" t="s">
        <v>39</v>
      </c>
      <c r="D396" s="112" t="s">
        <v>1</v>
      </c>
      <c r="E396" s="122">
        <v>1.229166666666667</v>
      </c>
      <c r="F396" s="112" t="s">
        <v>40</v>
      </c>
      <c r="G396" s="114">
        <v>2</v>
      </c>
      <c r="H396" s="115" t="s">
        <v>131</v>
      </c>
    </row>
    <row r="397" spans="1:8" ht="19.899999999999999" customHeight="1">
      <c r="A397" s="121">
        <v>46042</v>
      </c>
      <c r="B397" s="112" t="s">
        <v>48</v>
      </c>
      <c r="C397" s="113" t="s">
        <v>56</v>
      </c>
      <c r="D397" s="112" t="s">
        <v>1</v>
      </c>
      <c r="E397" s="122">
        <v>1.895833333333333</v>
      </c>
      <c r="F397" s="112" t="s">
        <v>50</v>
      </c>
      <c r="G397" s="114">
        <v>3</v>
      </c>
      <c r="H397" s="115" t="s">
        <v>96</v>
      </c>
    </row>
    <row r="398" spans="1:8" ht="19.899999999999999" customHeight="1">
      <c r="A398" s="121">
        <v>46042</v>
      </c>
      <c r="B398" s="112" t="s">
        <v>26</v>
      </c>
      <c r="C398" s="113" t="s">
        <v>27</v>
      </c>
      <c r="D398" s="112" t="s">
        <v>1</v>
      </c>
      <c r="E398" s="122">
        <v>1.6076388888888891</v>
      </c>
      <c r="F398" s="112" t="s">
        <v>28</v>
      </c>
      <c r="G398" s="114">
        <v>4</v>
      </c>
      <c r="H398" s="115" t="s">
        <v>89</v>
      </c>
    </row>
    <row r="399" spans="1:8" ht="19.899999999999999" customHeight="1">
      <c r="A399" s="121">
        <v>46042</v>
      </c>
      <c r="B399" s="112" t="s">
        <v>38</v>
      </c>
      <c r="C399" s="113" t="s">
        <v>87</v>
      </c>
      <c r="D399" s="112" t="s">
        <v>1</v>
      </c>
      <c r="E399" s="122">
        <v>1.0625</v>
      </c>
      <c r="F399" s="112" t="s">
        <v>43</v>
      </c>
      <c r="G399" s="114">
        <v>20</v>
      </c>
      <c r="H399" s="115" t="s">
        <v>79</v>
      </c>
    </row>
    <row r="400" spans="1:8" ht="19.899999999999999" customHeight="1">
      <c r="A400" s="121">
        <v>46042</v>
      </c>
      <c r="B400" s="112" t="s">
        <v>38</v>
      </c>
      <c r="C400" s="113" t="s">
        <v>39</v>
      </c>
      <c r="D400" s="112" t="s">
        <v>1</v>
      </c>
      <c r="E400" s="122">
        <v>1.229166666666667</v>
      </c>
      <c r="F400" s="112" t="s">
        <v>43</v>
      </c>
      <c r="G400" s="114">
        <v>2</v>
      </c>
      <c r="H400" s="115" t="s">
        <v>133</v>
      </c>
    </row>
    <row r="401" spans="1:8" ht="19.899999999999999" customHeight="1">
      <c r="A401" s="121">
        <v>46042</v>
      </c>
      <c r="B401" s="112" t="s">
        <v>48</v>
      </c>
      <c r="C401" s="113" t="s">
        <v>49</v>
      </c>
      <c r="D401" s="112" t="s">
        <v>1</v>
      </c>
      <c r="E401" s="122">
        <v>1.350694444444444</v>
      </c>
      <c r="F401" s="112" t="s">
        <v>50</v>
      </c>
      <c r="G401" s="114">
        <v>9</v>
      </c>
      <c r="H401" s="115" t="s">
        <v>52</v>
      </c>
    </row>
    <row r="402" spans="1:8" ht="19.899999999999999" customHeight="1">
      <c r="A402" s="121">
        <v>46042</v>
      </c>
      <c r="B402" s="112" t="s">
        <v>48</v>
      </c>
      <c r="C402" s="113" t="s">
        <v>58</v>
      </c>
      <c r="D402" s="112" t="s">
        <v>1</v>
      </c>
      <c r="E402" s="122">
        <v>1.1840277777777779</v>
      </c>
      <c r="F402" s="112" t="s">
        <v>50</v>
      </c>
      <c r="G402" s="114">
        <v>9</v>
      </c>
      <c r="H402" s="115" t="s">
        <v>52</v>
      </c>
    </row>
    <row r="403" spans="1:8" ht="19.899999999999999" customHeight="1">
      <c r="A403" s="121">
        <v>46042</v>
      </c>
      <c r="B403" s="112" t="s">
        <v>26</v>
      </c>
      <c r="C403" s="113" t="s">
        <v>27</v>
      </c>
      <c r="D403" s="112" t="s">
        <v>1</v>
      </c>
      <c r="E403" s="122">
        <v>1.6076388888888891</v>
      </c>
      <c r="F403" s="112" t="s">
        <v>31</v>
      </c>
      <c r="G403" s="114">
        <v>4</v>
      </c>
      <c r="H403" s="115" t="s">
        <v>138</v>
      </c>
    </row>
    <row r="404" spans="1:8" ht="19.899999999999999" customHeight="1">
      <c r="A404" s="121">
        <v>46042</v>
      </c>
      <c r="B404" s="112" t="s">
        <v>48</v>
      </c>
      <c r="C404" s="113" t="s">
        <v>56</v>
      </c>
      <c r="D404" s="112" t="s">
        <v>1</v>
      </c>
      <c r="E404" s="122">
        <v>1.895833333333333</v>
      </c>
      <c r="F404" s="112" t="s">
        <v>53</v>
      </c>
      <c r="G404" s="114">
        <v>3</v>
      </c>
      <c r="H404" s="115" t="s">
        <v>97</v>
      </c>
    </row>
    <row r="405" spans="1:8" ht="19.899999999999999" customHeight="1">
      <c r="A405" s="129">
        <v>46042</v>
      </c>
      <c r="B405" s="117" t="s">
        <v>61</v>
      </c>
      <c r="C405" s="118" t="s">
        <v>62</v>
      </c>
      <c r="D405" s="117" t="s">
        <v>1</v>
      </c>
      <c r="E405" s="130">
        <v>1.819444444444444</v>
      </c>
      <c r="F405" s="117" t="s">
        <v>63</v>
      </c>
      <c r="G405" s="119">
        <v>8</v>
      </c>
      <c r="H405" s="120" t="s">
        <v>64</v>
      </c>
    </row>
    <row r="406" spans="1:8" ht="19.899999999999999" customHeight="1">
      <c r="A406" s="121">
        <v>46042</v>
      </c>
      <c r="B406" s="112" t="s">
        <v>26</v>
      </c>
      <c r="C406" s="113" t="s">
        <v>27</v>
      </c>
      <c r="D406" s="112" t="s">
        <v>1</v>
      </c>
      <c r="E406" s="122">
        <v>1.6076388888888891</v>
      </c>
      <c r="F406" s="112" t="s">
        <v>34</v>
      </c>
      <c r="G406" s="114">
        <v>4</v>
      </c>
      <c r="H406" s="115" t="s">
        <v>139</v>
      </c>
    </row>
    <row r="407" spans="1:8" ht="19.899999999999999" customHeight="1">
      <c r="A407" s="121">
        <v>46042</v>
      </c>
      <c r="B407" s="112" t="s">
        <v>48</v>
      </c>
      <c r="C407" s="113" t="s">
        <v>49</v>
      </c>
      <c r="D407" s="112" t="s">
        <v>1</v>
      </c>
      <c r="E407" s="122">
        <v>1.350694444444444</v>
      </c>
      <c r="F407" s="112" t="s">
        <v>53</v>
      </c>
      <c r="G407" s="114">
        <v>9</v>
      </c>
      <c r="H407" s="115" t="s">
        <v>55</v>
      </c>
    </row>
    <row r="408" spans="1:8" ht="19.899999999999999" customHeight="1">
      <c r="A408" s="121">
        <v>46042</v>
      </c>
      <c r="B408" s="112" t="s">
        <v>48</v>
      </c>
      <c r="C408" s="113" t="s">
        <v>58</v>
      </c>
      <c r="D408" s="112" t="s">
        <v>1</v>
      </c>
      <c r="E408" s="122">
        <v>1.1840277777777779</v>
      </c>
      <c r="F408" s="112" t="s">
        <v>53</v>
      </c>
      <c r="G408" s="114">
        <v>9</v>
      </c>
      <c r="H408" s="115" t="s">
        <v>55</v>
      </c>
    </row>
    <row r="409" spans="1:8" ht="19.899999999999999" customHeight="1">
      <c r="A409" s="121">
        <v>46042</v>
      </c>
      <c r="B409" s="112" t="s">
        <v>68</v>
      </c>
      <c r="C409" s="113" t="s">
        <v>74</v>
      </c>
      <c r="D409" s="112" t="s">
        <v>1</v>
      </c>
      <c r="E409" s="122">
        <v>1.336805555555556</v>
      </c>
      <c r="F409" s="112" t="s">
        <v>70</v>
      </c>
      <c r="G409" s="114">
        <v>9</v>
      </c>
      <c r="H409" s="115" t="s">
        <v>71</v>
      </c>
    </row>
    <row r="410" spans="1:8" ht="19.899999999999999" customHeight="1">
      <c r="A410" s="121">
        <v>46042</v>
      </c>
      <c r="B410" s="112" t="s">
        <v>68</v>
      </c>
      <c r="C410" s="113" t="s">
        <v>69</v>
      </c>
      <c r="D410" s="112" t="s">
        <v>1</v>
      </c>
      <c r="E410" s="122">
        <v>1.9409722222222221</v>
      </c>
      <c r="F410" s="112" t="s">
        <v>70</v>
      </c>
      <c r="G410" s="114">
        <v>9</v>
      </c>
      <c r="H410" s="115" t="s">
        <v>71</v>
      </c>
    </row>
    <row r="411" spans="1:8" ht="19.899999999999999" customHeight="1">
      <c r="A411" s="121">
        <v>46042</v>
      </c>
      <c r="B411" s="112" t="s">
        <v>68</v>
      </c>
      <c r="C411" s="113" t="s">
        <v>76</v>
      </c>
      <c r="D411" s="112" t="s">
        <v>1</v>
      </c>
      <c r="E411" s="122">
        <v>1.697916666666667</v>
      </c>
      <c r="F411" s="112" t="s">
        <v>70</v>
      </c>
      <c r="G411" s="114">
        <v>9</v>
      </c>
      <c r="H411" s="115" t="s">
        <v>71</v>
      </c>
    </row>
    <row r="412" spans="1:8" ht="19.899999999999999" customHeight="1">
      <c r="A412" s="121">
        <v>46042</v>
      </c>
      <c r="B412" s="112" t="s">
        <v>68</v>
      </c>
      <c r="C412" s="113" t="s">
        <v>72</v>
      </c>
      <c r="D412" s="112" t="s">
        <v>1</v>
      </c>
      <c r="E412" s="122">
        <v>1.0659722222222221</v>
      </c>
      <c r="F412" s="112" t="s">
        <v>70</v>
      </c>
      <c r="G412" s="114">
        <v>9</v>
      </c>
      <c r="H412" s="115" t="s">
        <v>71</v>
      </c>
    </row>
    <row r="413" spans="1:8" ht="19.899999999999999" customHeight="1">
      <c r="A413" s="121">
        <v>46042</v>
      </c>
      <c r="B413" s="112" t="s">
        <v>68</v>
      </c>
      <c r="C413" s="113" t="s">
        <v>73</v>
      </c>
      <c r="D413" s="112" t="s">
        <v>1</v>
      </c>
      <c r="E413" s="122">
        <v>1.288194444444444</v>
      </c>
      <c r="F413" s="112" t="s">
        <v>70</v>
      </c>
      <c r="G413" s="114">
        <v>9</v>
      </c>
      <c r="H413" s="115" t="s">
        <v>71</v>
      </c>
    </row>
    <row r="414" spans="1:8" ht="19.899999999999999" customHeight="1">
      <c r="A414" s="121">
        <v>46042</v>
      </c>
      <c r="B414" s="112" t="s">
        <v>38</v>
      </c>
      <c r="C414" s="113" t="s">
        <v>39</v>
      </c>
      <c r="D414" s="112" t="s">
        <v>1</v>
      </c>
      <c r="E414" s="122">
        <v>1.229166666666667</v>
      </c>
      <c r="F414" s="112" t="s">
        <v>46</v>
      </c>
      <c r="G414" s="114">
        <v>2</v>
      </c>
      <c r="H414" s="115" t="s">
        <v>47</v>
      </c>
    </row>
    <row r="415" spans="1:8" ht="19.899999999999999" customHeight="1">
      <c r="A415" s="121">
        <v>46042</v>
      </c>
      <c r="B415" s="112" t="s">
        <v>38</v>
      </c>
      <c r="C415" s="113" t="s">
        <v>87</v>
      </c>
      <c r="D415" s="112" t="s">
        <v>1</v>
      </c>
      <c r="E415" s="122">
        <v>1.0625</v>
      </c>
      <c r="F415" s="112" t="s">
        <v>46</v>
      </c>
      <c r="G415" s="114">
        <v>20</v>
      </c>
      <c r="H415" s="115" t="s">
        <v>47</v>
      </c>
    </row>
    <row r="416" spans="1:8" ht="19.899999999999999" customHeight="1">
      <c r="A416" s="123">
        <v>46042</v>
      </c>
      <c r="B416" s="124" t="s">
        <v>48</v>
      </c>
      <c r="C416" s="125" t="s">
        <v>59</v>
      </c>
      <c r="D416" s="124" t="s">
        <v>1</v>
      </c>
      <c r="E416" s="126">
        <v>1.229166666666667</v>
      </c>
      <c r="F416" s="124" t="s">
        <v>53</v>
      </c>
      <c r="G416" s="127">
        <v>4</v>
      </c>
      <c r="H416" s="128" t="s">
        <v>60</v>
      </c>
    </row>
    <row r="417" spans="1:8" ht="19.899999999999999" customHeight="1">
      <c r="A417" s="121">
        <v>46043</v>
      </c>
      <c r="B417" s="112" t="s">
        <v>38</v>
      </c>
      <c r="C417" s="113" t="s">
        <v>39</v>
      </c>
      <c r="D417" s="112" t="s">
        <v>1</v>
      </c>
      <c r="E417" s="122">
        <v>1.229166666666667</v>
      </c>
      <c r="F417" s="112" t="s">
        <v>40</v>
      </c>
      <c r="G417" s="114">
        <v>14</v>
      </c>
      <c r="H417" s="115" t="s">
        <v>78</v>
      </c>
    </row>
    <row r="418" spans="1:8" ht="19.899999999999999" customHeight="1">
      <c r="A418" s="121">
        <v>46043</v>
      </c>
      <c r="B418" s="112" t="s">
        <v>48</v>
      </c>
      <c r="C418" s="113" t="s">
        <v>56</v>
      </c>
      <c r="D418" s="112" t="s">
        <v>1</v>
      </c>
      <c r="E418" s="122">
        <v>1.895833333333333</v>
      </c>
      <c r="F418" s="112" t="s">
        <v>50</v>
      </c>
      <c r="G418" s="114">
        <v>1</v>
      </c>
      <c r="H418" s="115" t="s">
        <v>96</v>
      </c>
    </row>
    <row r="419" spans="1:8" ht="19.899999999999999" customHeight="1">
      <c r="A419" s="121">
        <v>46043</v>
      </c>
      <c r="B419" s="112" t="s">
        <v>48</v>
      </c>
      <c r="C419" s="113" t="s">
        <v>58</v>
      </c>
      <c r="D419" s="112" t="s">
        <v>1</v>
      </c>
      <c r="E419" s="122">
        <v>1.1840277777777779</v>
      </c>
      <c r="F419" s="112" t="s">
        <v>50</v>
      </c>
      <c r="G419" s="114">
        <v>9</v>
      </c>
      <c r="H419" s="115" t="s">
        <v>96</v>
      </c>
    </row>
    <row r="420" spans="1:8" ht="19.899999999999999" customHeight="1">
      <c r="A420" s="121">
        <v>46043</v>
      </c>
      <c r="B420" s="112" t="s">
        <v>38</v>
      </c>
      <c r="C420" s="113" t="s">
        <v>39</v>
      </c>
      <c r="D420" s="112" t="s">
        <v>1</v>
      </c>
      <c r="E420" s="122">
        <v>1.229166666666667</v>
      </c>
      <c r="F420" s="112" t="s">
        <v>43</v>
      </c>
      <c r="G420" s="114">
        <v>14</v>
      </c>
      <c r="H420" s="115" t="s">
        <v>79</v>
      </c>
    </row>
    <row r="421" spans="1:8" ht="19.899999999999999" customHeight="1">
      <c r="A421" s="121">
        <v>46043</v>
      </c>
      <c r="B421" s="112" t="s">
        <v>26</v>
      </c>
      <c r="C421" s="113" t="s">
        <v>27</v>
      </c>
      <c r="D421" s="112" t="s">
        <v>1</v>
      </c>
      <c r="E421" s="122">
        <v>1.6076388888888891</v>
      </c>
      <c r="F421" s="112" t="s">
        <v>28</v>
      </c>
      <c r="G421" s="114">
        <v>4</v>
      </c>
      <c r="H421" s="115" t="s">
        <v>161</v>
      </c>
    </row>
    <row r="422" spans="1:8" ht="19.899999999999999" customHeight="1">
      <c r="A422" s="121">
        <v>46043</v>
      </c>
      <c r="B422" s="112" t="s">
        <v>48</v>
      </c>
      <c r="C422" s="113" t="s">
        <v>49</v>
      </c>
      <c r="D422" s="112" t="s">
        <v>1</v>
      </c>
      <c r="E422" s="122">
        <v>1.350694444444444</v>
      </c>
      <c r="F422" s="112" t="s">
        <v>50</v>
      </c>
      <c r="G422" s="114">
        <v>9</v>
      </c>
      <c r="H422" s="115" t="s">
        <v>52</v>
      </c>
    </row>
    <row r="423" spans="1:8" ht="19.899999999999999" customHeight="1">
      <c r="A423" s="121">
        <v>46043</v>
      </c>
      <c r="B423" s="112" t="s">
        <v>48</v>
      </c>
      <c r="C423" s="113" t="s">
        <v>56</v>
      </c>
      <c r="D423" s="112" t="s">
        <v>1</v>
      </c>
      <c r="E423" s="122">
        <v>1.895833333333333</v>
      </c>
      <c r="F423" s="112" t="s">
        <v>53</v>
      </c>
      <c r="G423" s="114">
        <v>1</v>
      </c>
      <c r="H423" s="115" t="s">
        <v>97</v>
      </c>
    </row>
    <row r="424" spans="1:8" ht="19.899999999999999" customHeight="1">
      <c r="A424" s="121">
        <v>46043</v>
      </c>
      <c r="B424" s="112" t="s">
        <v>48</v>
      </c>
      <c r="C424" s="113" t="s">
        <v>58</v>
      </c>
      <c r="D424" s="112" t="s">
        <v>1</v>
      </c>
      <c r="E424" s="122">
        <v>1.1840277777777779</v>
      </c>
      <c r="F424" s="112" t="s">
        <v>53</v>
      </c>
      <c r="G424" s="114">
        <v>9</v>
      </c>
      <c r="H424" s="115" t="s">
        <v>97</v>
      </c>
    </row>
    <row r="425" spans="1:8" ht="19.899999999999999" customHeight="1">
      <c r="A425" s="121">
        <v>46043</v>
      </c>
      <c r="B425" s="112" t="s">
        <v>26</v>
      </c>
      <c r="C425" s="113" t="s">
        <v>27</v>
      </c>
      <c r="D425" s="112" t="s">
        <v>1</v>
      </c>
      <c r="E425" s="122">
        <v>1.6076388888888891</v>
      </c>
      <c r="F425" s="112" t="s">
        <v>31</v>
      </c>
      <c r="G425" s="114">
        <v>4</v>
      </c>
      <c r="H425" s="115" t="s">
        <v>162</v>
      </c>
    </row>
    <row r="426" spans="1:8" ht="19.899999999999999" customHeight="1">
      <c r="A426" s="121">
        <v>46043</v>
      </c>
      <c r="B426" s="112" t="s">
        <v>48</v>
      </c>
      <c r="C426" s="113" t="s">
        <v>49</v>
      </c>
      <c r="D426" s="112" t="s">
        <v>1</v>
      </c>
      <c r="E426" s="122">
        <v>1.350694444444444</v>
      </c>
      <c r="F426" s="112" t="s">
        <v>53</v>
      </c>
      <c r="G426" s="114">
        <v>9</v>
      </c>
      <c r="H426" s="115" t="s">
        <v>55</v>
      </c>
    </row>
    <row r="427" spans="1:8" ht="19.899999999999999" customHeight="1">
      <c r="A427" s="121">
        <v>46043</v>
      </c>
      <c r="B427" s="112" t="s">
        <v>26</v>
      </c>
      <c r="C427" s="113" t="s">
        <v>27</v>
      </c>
      <c r="D427" s="112" t="s">
        <v>1</v>
      </c>
      <c r="E427" s="122">
        <v>1.6076388888888891</v>
      </c>
      <c r="F427" s="112" t="s">
        <v>34</v>
      </c>
      <c r="G427" s="114">
        <v>4</v>
      </c>
      <c r="H427" s="115" t="s">
        <v>163</v>
      </c>
    </row>
    <row r="428" spans="1:8" ht="19.899999999999999" customHeight="1">
      <c r="A428" s="121">
        <v>46043</v>
      </c>
      <c r="B428" s="112" t="s">
        <v>38</v>
      </c>
      <c r="C428" s="113" t="s">
        <v>39</v>
      </c>
      <c r="D428" s="112" t="s">
        <v>1</v>
      </c>
      <c r="E428" s="122">
        <v>1.229166666666667</v>
      </c>
      <c r="F428" s="112" t="s">
        <v>46</v>
      </c>
      <c r="G428" s="114">
        <v>14</v>
      </c>
      <c r="H428" s="115" t="s">
        <v>47</v>
      </c>
    </row>
    <row r="429" spans="1:8" ht="19.899999999999999" customHeight="1">
      <c r="A429" s="121">
        <v>46043</v>
      </c>
      <c r="B429" s="112" t="s">
        <v>48</v>
      </c>
      <c r="C429" s="113" t="s">
        <v>59</v>
      </c>
      <c r="D429" s="112" t="s">
        <v>1</v>
      </c>
      <c r="E429" s="122">
        <v>1.229166666666667</v>
      </c>
      <c r="F429" s="112" t="s">
        <v>53</v>
      </c>
      <c r="G429" s="114">
        <v>4</v>
      </c>
      <c r="H429" s="115" t="s">
        <v>93</v>
      </c>
    </row>
    <row r="430" spans="1:8" ht="19.899999999999999" customHeight="1">
      <c r="A430" s="123">
        <v>46043</v>
      </c>
      <c r="B430" s="124" t="s">
        <v>68</v>
      </c>
      <c r="C430" s="125" t="s">
        <v>72</v>
      </c>
      <c r="D430" s="124" t="s">
        <v>1</v>
      </c>
      <c r="E430" s="126">
        <v>1.0659722222222221</v>
      </c>
      <c r="F430" s="124" t="s">
        <v>70</v>
      </c>
      <c r="G430" s="127">
        <v>9</v>
      </c>
      <c r="H430" s="128" t="s">
        <v>169</v>
      </c>
    </row>
    <row r="431" spans="1:8" ht="19.899999999999999" customHeight="1">
      <c r="A431" s="121">
        <v>46044</v>
      </c>
      <c r="B431" s="112" t="s">
        <v>38</v>
      </c>
      <c r="C431" s="113" t="s">
        <v>39</v>
      </c>
      <c r="D431" s="112" t="s">
        <v>1</v>
      </c>
      <c r="E431" s="122">
        <v>1.229166666666667</v>
      </c>
      <c r="F431" s="112" t="s">
        <v>40</v>
      </c>
      <c r="G431" s="114">
        <v>1</v>
      </c>
      <c r="H431" s="115" t="s">
        <v>78</v>
      </c>
    </row>
    <row r="432" spans="1:8" ht="19.899999999999999" customHeight="1">
      <c r="A432" s="121">
        <v>46044</v>
      </c>
      <c r="B432" s="112" t="s">
        <v>38</v>
      </c>
      <c r="C432" s="113" t="s">
        <v>87</v>
      </c>
      <c r="D432" s="112" t="s">
        <v>1</v>
      </c>
      <c r="E432" s="122">
        <v>1.0625</v>
      </c>
      <c r="F432" s="112" t="s">
        <v>40</v>
      </c>
      <c r="G432" s="114">
        <v>19</v>
      </c>
      <c r="H432" s="115" t="s">
        <v>78</v>
      </c>
    </row>
    <row r="433" spans="1:8" ht="19.899999999999999" customHeight="1">
      <c r="A433" s="121">
        <v>46044</v>
      </c>
      <c r="B433" s="112" t="s">
        <v>38</v>
      </c>
      <c r="C433" s="113" t="s">
        <v>39</v>
      </c>
      <c r="D433" s="112" t="s">
        <v>1</v>
      </c>
      <c r="E433" s="122">
        <v>1.229166666666667</v>
      </c>
      <c r="F433" s="112" t="s">
        <v>43</v>
      </c>
      <c r="G433" s="114">
        <v>1</v>
      </c>
      <c r="H433" s="115" t="s">
        <v>79</v>
      </c>
    </row>
    <row r="434" spans="1:8" ht="19.899999999999999" customHeight="1">
      <c r="A434" s="121">
        <v>46044</v>
      </c>
      <c r="B434" s="112" t="s">
        <v>38</v>
      </c>
      <c r="C434" s="113" t="s">
        <v>87</v>
      </c>
      <c r="D434" s="112" t="s">
        <v>1</v>
      </c>
      <c r="E434" s="122">
        <v>1.0625</v>
      </c>
      <c r="F434" s="112" t="s">
        <v>43</v>
      </c>
      <c r="G434" s="114">
        <v>19</v>
      </c>
      <c r="H434" s="115" t="s">
        <v>79</v>
      </c>
    </row>
    <row r="435" spans="1:8" ht="19.899999999999999" customHeight="1">
      <c r="A435" s="121">
        <v>46044</v>
      </c>
      <c r="B435" s="112" t="s">
        <v>26</v>
      </c>
      <c r="C435" s="113" t="s">
        <v>27</v>
      </c>
      <c r="D435" s="112" t="s">
        <v>1</v>
      </c>
      <c r="E435" s="122">
        <v>1.6076388888888891</v>
      </c>
      <c r="F435" s="112" t="s">
        <v>28</v>
      </c>
      <c r="G435" s="114">
        <v>4</v>
      </c>
      <c r="H435" s="115" t="s">
        <v>159</v>
      </c>
    </row>
    <row r="436" spans="1:8" ht="19.899999999999999" customHeight="1">
      <c r="A436" s="121">
        <v>46044</v>
      </c>
      <c r="B436" s="112" t="s">
        <v>26</v>
      </c>
      <c r="C436" s="113" t="s">
        <v>27</v>
      </c>
      <c r="D436" s="112" t="s">
        <v>1</v>
      </c>
      <c r="E436" s="122">
        <v>1.6076388888888891</v>
      </c>
      <c r="F436" s="112" t="s">
        <v>31</v>
      </c>
      <c r="G436" s="114">
        <v>4</v>
      </c>
      <c r="H436" s="115" t="s">
        <v>139</v>
      </c>
    </row>
    <row r="437" spans="1:8" ht="19.899999999999999" customHeight="1">
      <c r="A437" s="129">
        <v>46044</v>
      </c>
      <c r="B437" s="117" t="s">
        <v>61</v>
      </c>
      <c r="C437" s="118" t="s">
        <v>62</v>
      </c>
      <c r="D437" s="117" t="s">
        <v>1</v>
      </c>
      <c r="E437" s="130">
        <v>1.381944444444444</v>
      </c>
      <c r="F437" s="117" t="s">
        <v>63</v>
      </c>
      <c r="G437" s="119">
        <v>1</v>
      </c>
      <c r="H437" s="120" t="s">
        <v>173</v>
      </c>
    </row>
    <row r="438" spans="1:8" ht="19.899999999999999" customHeight="1">
      <c r="A438" s="121">
        <v>46044</v>
      </c>
      <c r="B438" s="112" t="s">
        <v>26</v>
      </c>
      <c r="C438" s="113" t="s">
        <v>27</v>
      </c>
      <c r="D438" s="112" t="s">
        <v>1</v>
      </c>
      <c r="E438" s="122">
        <v>1.6076388888888891</v>
      </c>
      <c r="F438" s="112" t="s">
        <v>34</v>
      </c>
      <c r="G438" s="114">
        <v>4</v>
      </c>
      <c r="H438" s="115" t="s">
        <v>160</v>
      </c>
    </row>
    <row r="439" spans="1:8" ht="19.899999999999999" customHeight="1">
      <c r="A439" s="121">
        <v>46044</v>
      </c>
      <c r="B439" s="112" t="s">
        <v>38</v>
      </c>
      <c r="C439" s="113" t="s">
        <v>39</v>
      </c>
      <c r="D439" s="112" t="s">
        <v>1</v>
      </c>
      <c r="E439" s="122">
        <v>1.229166666666667</v>
      </c>
      <c r="F439" s="112" t="s">
        <v>46</v>
      </c>
      <c r="G439" s="114">
        <v>1</v>
      </c>
      <c r="H439" s="115" t="s">
        <v>47</v>
      </c>
    </row>
    <row r="440" spans="1:8" ht="19.899999999999999" customHeight="1">
      <c r="A440" s="121">
        <v>46044</v>
      </c>
      <c r="B440" s="112" t="s">
        <v>38</v>
      </c>
      <c r="C440" s="113" t="s">
        <v>87</v>
      </c>
      <c r="D440" s="112" t="s">
        <v>1</v>
      </c>
      <c r="E440" s="122">
        <v>1.0625</v>
      </c>
      <c r="F440" s="112" t="s">
        <v>46</v>
      </c>
      <c r="G440" s="114">
        <v>19</v>
      </c>
      <c r="H440" s="115" t="s">
        <v>47</v>
      </c>
    </row>
    <row r="441" spans="1:8" ht="19.899999999999999" customHeight="1">
      <c r="A441" s="121">
        <v>46044</v>
      </c>
      <c r="B441" s="112" t="s">
        <v>26</v>
      </c>
      <c r="C441" s="113" t="s">
        <v>36</v>
      </c>
      <c r="D441" s="112" t="s">
        <v>1</v>
      </c>
      <c r="E441" s="122">
        <v>1.4340277777777779</v>
      </c>
      <c r="F441" s="112" t="s">
        <v>28</v>
      </c>
      <c r="G441" s="114">
        <v>1</v>
      </c>
      <c r="H441" s="115" t="s">
        <v>105</v>
      </c>
    </row>
    <row r="442" spans="1:8" ht="19.899999999999999" customHeight="1">
      <c r="A442" s="121">
        <v>46044</v>
      </c>
      <c r="B442" s="112" t="s">
        <v>26</v>
      </c>
      <c r="C442" s="113" t="s">
        <v>36</v>
      </c>
      <c r="D442" s="112" t="s">
        <v>1</v>
      </c>
      <c r="E442" s="122">
        <v>1.4340277777777779</v>
      </c>
      <c r="F442" s="112" t="s">
        <v>31</v>
      </c>
      <c r="G442" s="114">
        <v>1</v>
      </c>
      <c r="H442" s="115" t="s">
        <v>171</v>
      </c>
    </row>
    <row r="443" spans="1:8" ht="19.899999999999999" customHeight="1">
      <c r="A443" s="121">
        <v>46044</v>
      </c>
      <c r="B443" s="112" t="s">
        <v>26</v>
      </c>
      <c r="C443" s="113" t="s">
        <v>36</v>
      </c>
      <c r="D443" s="112" t="s">
        <v>1</v>
      </c>
      <c r="E443" s="122">
        <v>1.4340277777777779</v>
      </c>
      <c r="F443" s="112" t="s">
        <v>34</v>
      </c>
      <c r="G443" s="114">
        <v>1</v>
      </c>
      <c r="H443" s="115" t="s">
        <v>172</v>
      </c>
    </row>
    <row r="444" spans="1:8" ht="19.899999999999999" customHeight="1">
      <c r="A444" s="121">
        <v>46044</v>
      </c>
      <c r="B444" s="112" t="s">
        <v>48</v>
      </c>
      <c r="C444" s="113" t="s">
        <v>59</v>
      </c>
      <c r="D444" s="112" t="s">
        <v>1</v>
      </c>
      <c r="E444" s="122">
        <v>1.229166666666667</v>
      </c>
      <c r="F444" s="112" t="s">
        <v>53</v>
      </c>
      <c r="G444" s="114">
        <v>4</v>
      </c>
      <c r="H444" s="115" t="s">
        <v>85</v>
      </c>
    </row>
    <row r="445" spans="1:8" ht="19.899999999999999" customHeight="1">
      <c r="A445" s="121">
        <v>46044</v>
      </c>
      <c r="B445" s="112" t="s">
        <v>48</v>
      </c>
      <c r="C445" s="113" t="s">
        <v>49</v>
      </c>
      <c r="D445" s="112" t="s">
        <v>1</v>
      </c>
      <c r="E445" s="122">
        <v>1.354166666666667</v>
      </c>
      <c r="F445" s="112" t="s">
        <v>53</v>
      </c>
      <c r="G445" s="114">
        <v>9</v>
      </c>
      <c r="H445" s="115" t="s">
        <v>176</v>
      </c>
    </row>
    <row r="446" spans="1:8" ht="19.899999999999999" customHeight="1">
      <c r="A446" s="121">
        <v>46044</v>
      </c>
      <c r="B446" s="112" t="s">
        <v>48</v>
      </c>
      <c r="C446" s="113" t="s">
        <v>56</v>
      </c>
      <c r="D446" s="112" t="s">
        <v>1</v>
      </c>
      <c r="E446" s="122">
        <v>1.895833333333333</v>
      </c>
      <c r="F446" s="112" t="s">
        <v>53</v>
      </c>
      <c r="G446" s="114">
        <v>9</v>
      </c>
      <c r="H446" s="115" t="s">
        <v>176</v>
      </c>
    </row>
    <row r="447" spans="1:8" ht="19.899999999999999" customHeight="1">
      <c r="A447" s="121">
        <v>46044</v>
      </c>
      <c r="B447" s="112" t="s">
        <v>48</v>
      </c>
      <c r="C447" s="113" t="s">
        <v>58</v>
      </c>
      <c r="D447" s="112" t="s">
        <v>1</v>
      </c>
      <c r="E447" s="122">
        <v>1.1840277777777779</v>
      </c>
      <c r="F447" s="112" t="s">
        <v>53</v>
      </c>
      <c r="G447" s="114">
        <v>9</v>
      </c>
      <c r="H447" s="115" t="s">
        <v>176</v>
      </c>
    </row>
    <row r="448" spans="1:8" ht="19.899999999999999" customHeight="1">
      <c r="A448" s="123">
        <v>46044</v>
      </c>
      <c r="B448" s="124" t="s">
        <v>68</v>
      </c>
      <c r="C448" s="125" t="s">
        <v>74</v>
      </c>
      <c r="D448" s="124" t="s">
        <v>1</v>
      </c>
      <c r="E448" s="126">
        <v>1.336805555555556</v>
      </c>
      <c r="F448" s="124" t="s">
        <v>70</v>
      </c>
      <c r="G448" s="127">
        <v>6</v>
      </c>
      <c r="H448" s="128" t="s">
        <v>157</v>
      </c>
    </row>
    <row r="449" spans="1:8" ht="19.899999999999999" customHeight="1">
      <c r="A449" s="121">
        <v>46045</v>
      </c>
      <c r="B449" s="112" t="s">
        <v>38</v>
      </c>
      <c r="C449" s="113" t="s">
        <v>39</v>
      </c>
      <c r="D449" s="112" t="s">
        <v>1</v>
      </c>
      <c r="E449" s="122">
        <v>1.229166666666667</v>
      </c>
      <c r="F449" s="112" t="s">
        <v>40</v>
      </c>
      <c r="G449" s="114">
        <v>19</v>
      </c>
      <c r="H449" s="115" t="s">
        <v>121</v>
      </c>
    </row>
    <row r="450" spans="1:8" ht="19.899999999999999" customHeight="1">
      <c r="A450" s="121">
        <v>46045</v>
      </c>
      <c r="B450" s="112" t="s">
        <v>38</v>
      </c>
      <c r="C450" s="113" t="s">
        <v>39</v>
      </c>
      <c r="D450" s="112" t="s">
        <v>1</v>
      </c>
      <c r="E450" s="122">
        <v>1.229166666666667</v>
      </c>
      <c r="F450" s="112" t="s">
        <v>43</v>
      </c>
      <c r="G450" s="114">
        <v>19</v>
      </c>
      <c r="H450" s="115" t="s">
        <v>123</v>
      </c>
    </row>
    <row r="451" spans="1:8" ht="19.899999999999999" customHeight="1">
      <c r="A451" s="121">
        <v>46045</v>
      </c>
      <c r="B451" s="112" t="s">
        <v>26</v>
      </c>
      <c r="C451" s="113" t="s">
        <v>27</v>
      </c>
      <c r="D451" s="112" t="s">
        <v>1</v>
      </c>
      <c r="E451" s="122">
        <v>1.6076388888888891</v>
      </c>
      <c r="F451" s="112" t="s">
        <v>28</v>
      </c>
      <c r="G451" s="114">
        <v>3</v>
      </c>
      <c r="H451" s="115" t="s">
        <v>162</v>
      </c>
    </row>
    <row r="452" spans="1:8" ht="19.899999999999999" customHeight="1">
      <c r="A452" s="121">
        <v>46045</v>
      </c>
      <c r="B452" s="112" t="s">
        <v>26</v>
      </c>
      <c r="C452" s="113" t="s">
        <v>27</v>
      </c>
      <c r="D452" s="112" t="s">
        <v>1</v>
      </c>
      <c r="E452" s="122">
        <v>1.6076388888888891</v>
      </c>
      <c r="F452" s="112" t="s">
        <v>31</v>
      </c>
      <c r="G452" s="114">
        <v>3</v>
      </c>
      <c r="H452" s="115" t="s">
        <v>178</v>
      </c>
    </row>
    <row r="453" spans="1:8" ht="19.899999999999999" customHeight="1">
      <c r="A453" s="121">
        <v>46045</v>
      </c>
      <c r="B453" s="112" t="s">
        <v>68</v>
      </c>
      <c r="C453" s="113" t="s">
        <v>69</v>
      </c>
      <c r="D453" s="112" t="s">
        <v>1</v>
      </c>
      <c r="E453" s="122">
        <v>1.9409722222222221</v>
      </c>
      <c r="F453" s="112" t="s">
        <v>70</v>
      </c>
      <c r="G453" s="114">
        <v>9</v>
      </c>
      <c r="H453" s="115" t="s">
        <v>71</v>
      </c>
    </row>
    <row r="454" spans="1:8" ht="19.899999999999999" customHeight="1">
      <c r="A454" s="121">
        <v>46045</v>
      </c>
      <c r="B454" s="112" t="s">
        <v>68</v>
      </c>
      <c r="C454" s="113" t="s">
        <v>76</v>
      </c>
      <c r="D454" s="112" t="s">
        <v>1</v>
      </c>
      <c r="E454" s="122">
        <v>1.697916666666667</v>
      </c>
      <c r="F454" s="112" t="s">
        <v>70</v>
      </c>
      <c r="G454" s="114">
        <v>9</v>
      </c>
      <c r="H454" s="115" t="s">
        <v>71</v>
      </c>
    </row>
    <row r="455" spans="1:8" ht="19.899999999999999" customHeight="1">
      <c r="A455" s="121">
        <v>46045</v>
      </c>
      <c r="B455" s="112" t="s">
        <v>26</v>
      </c>
      <c r="C455" s="113" t="s">
        <v>27</v>
      </c>
      <c r="D455" s="112" t="s">
        <v>1</v>
      </c>
      <c r="E455" s="122">
        <v>1.6076388888888891</v>
      </c>
      <c r="F455" s="112" t="s">
        <v>34</v>
      </c>
      <c r="G455" s="114">
        <v>3</v>
      </c>
      <c r="H455" s="115" t="s">
        <v>179</v>
      </c>
    </row>
    <row r="456" spans="1:8" ht="19.899999999999999" customHeight="1">
      <c r="A456" s="121">
        <v>46045</v>
      </c>
      <c r="B456" s="112" t="s">
        <v>38</v>
      </c>
      <c r="C456" s="113" t="s">
        <v>39</v>
      </c>
      <c r="D456" s="112" t="s">
        <v>1</v>
      </c>
      <c r="E456" s="122">
        <v>1.229166666666667</v>
      </c>
      <c r="F456" s="112" t="s">
        <v>46</v>
      </c>
      <c r="G456" s="114">
        <v>19</v>
      </c>
      <c r="H456" s="115" t="s">
        <v>47</v>
      </c>
    </row>
    <row r="457" spans="1:8" ht="19.899999999999999" customHeight="1">
      <c r="A457" s="121">
        <v>46045</v>
      </c>
      <c r="B457" s="112" t="s">
        <v>68</v>
      </c>
      <c r="C457" s="113" t="s">
        <v>74</v>
      </c>
      <c r="D457" s="112" t="s">
        <v>1</v>
      </c>
      <c r="E457" s="122">
        <v>1.336805555555556</v>
      </c>
      <c r="F457" s="112" t="s">
        <v>70</v>
      </c>
      <c r="G457" s="114">
        <v>9</v>
      </c>
      <c r="H457" s="115" t="s">
        <v>75</v>
      </c>
    </row>
    <row r="458" spans="1:8" ht="19.899999999999999" customHeight="1">
      <c r="A458" s="121">
        <v>46045</v>
      </c>
      <c r="B458" s="112" t="s">
        <v>48</v>
      </c>
      <c r="C458" s="113" t="s">
        <v>59</v>
      </c>
      <c r="D458" s="112" t="s">
        <v>1</v>
      </c>
      <c r="E458" s="122">
        <v>1.229166666666667</v>
      </c>
      <c r="F458" s="112" t="s">
        <v>53</v>
      </c>
      <c r="G458" s="114">
        <v>4</v>
      </c>
      <c r="H458" s="115" t="s">
        <v>124</v>
      </c>
    </row>
    <row r="459" spans="1:8" ht="19.899999999999999" customHeight="1">
      <c r="A459" s="121">
        <v>46045</v>
      </c>
      <c r="B459" s="112" t="s">
        <v>48</v>
      </c>
      <c r="C459" s="113" t="s">
        <v>49</v>
      </c>
      <c r="D459" s="112" t="s">
        <v>1</v>
      </c>
      <c r="E459" s="122">
        <v>1.350694444444444</v>
      </c>
      <c r="F459" s="112" t="s">
        <v>53</v>
      </c>
      <c r="G459" s="114">
        <v>9</v>
      </c>
      <c r="H459" s="115" t="s">
        <v>176</v>
      </c>
    </row>
    <row r="460" spans="1:8" ht="19.899999999999999" customHeight="1">
      <c r="A460" s="121">
        <v>46045</v>
      </c>
      <c r="B460" s="112" t="s">
        <v>48</v>
      </c>
      <c r="C460" s="113" t="s">
        <v>56</v>
      </c>
      <c r="D460" s="112" t="s">
        <v>1</v>
      </c>
      <c r="E460" s="122">
        <v>1.895833333333333</v>
      </c>
      <c r="F460" s="112" t="s">
        <v>53</v>
      </c>
      <c r="G460" s="114">
        <v>9</v>
      </c>
      <c r="H460" s="115" t="s">
        <v>176</v>
      </c>
    </row>
    <row r="461" spans="1:8" ht="19.899999999999999" customHeight="1">
      <c r="A461" s="121">
        <v>46045</v>
      </c>
      <c r="B461" s="112" t="s">
        <v>48</v>
      </c>
      <c r="C461" s="113" t="s">
        <v>58</v>
      </c>
      <c r="D461" s="112" t="s">
        <v>1</v>
      </c>
      <c r="E461" s="122">
        <v>1.1840277777777779</v>
      </c>
      <c r="F461" s="112" t="s">
        <v>53</v>
      </c>
      <c r="G461" s="114">
        <v>9</v>
      </c>
      <c r="H461" s="115" t="s">
        <v>176</v>
      </c>
    </row>
    <row r="462" spans="1:8" ht="19.899999999999999" customHeight="1">
      <c r="A462" s="123">
        <v>46045</v>
      </c>
      <c r="B462" s="124" t="s">
        <v>68</v>
      </c>
      <c r="C462" s="125" t="s">
        <v>72</v>
      </c>
      <c r="D462" s="124" t="s">
        <v>1</v>
      </c>
      <c r="E462" s="126">
        <v>1.0659722222222221</v>
      </c>
      <c r="F462" s="124" t="s">
        <v>70</v>
      </c>
      <c r="G462" s="127">
        <v>9</v>
      </c>
      <c r="H462" s="128" t="s">
        <v>180</v>
      </c>
    </row>
    <row r="463" spans="1:8" ht="19.899999999999999" customHeight="1">
      <c r="A463" s="121">
        <v>46046</v>
      </c>
      <c r="B463" s="112" t="s">
        <v>38</v>
      </c>
      <c r="C463" s="113" t="s">
        <v>39</v>
      </c>
      <c r="D463" s="112" t="s">
        <v>1</v>
      </c>
      <c r="E463" s="122">
        <v>1.229166666666667</v>
      </c>
      <c r="F463" s="112" t="s">
        <v>40</v>
      </c>
      <c r="G463" s="114">
        <v>12</v>
      </c>
      <c r="H463" s="115" t="s">
        <v>42</v>
      </c>
    </row>
    <row r="464" spans="1:8" ht="19.899999999999999" customHeight="1">
      <c r="A464" s="121">
        <v>46046</v>
      </c>
      <c r="B464" s="112" t="s">
        <v>38</v>
      </c>
      <c r="C464" s="113" t="s">
        <v>87</v>
      </c>
      <c r="D464" s="112" t="s">
        <v>1</v>
      </c>
      <c r="E464" s="122">
        <v>1.0625</v>
      </c>
      <c r="F464" s="112" t="s">
        <v>40</v>
      </c>
      <c r="G464" s="114">
        <v>20</v>
      </c>
      <c r="H464" s="115" t="s">
        <v>121</v>
      </c>
    </row>
    <row r="465" spans="1:8" ht="19.899999999999999" customHeight="1">
      <c r="A465" s="121">
        <v>46046</v>
      </c>
      <c r="B465" s="112" t="s">
        <v>38</v>
      </c>
      <c r="C465" s="113" t="s">
        <v>39</v>
      </c>
      <c r="D465" s="112" t="s">
        <v>1</v>
      </c>
      <c r="E465" s="122">
        <v>1.229166666666667</v>
      </c>
      <c r="F465" s="112" t="s">
        <v>43</v>
      </c>
      <c r="G465" s="114">
        <v>12</v>
      </c>
      <c r="H465" s="115" t="s">
        <v>45</v>
      </c>
    </row>
    <row r="466" spans="1:8" ht="19.899999999999999" customHeight="1">
      <c r="A466" s="121">
        <v>46046</v>
      </c>
      <c r="B466" s="112" t="s">
        <v>38</v>
      </c>
      <c r="C466" s="113" t="s">
        <v>87</v>
      </c>
      <c r="D466" s="112" t="s">
        <v>1</v>
      </c>
      <c r="E466" s="122">
        <v>1.0625</v>
      </c>
      <c r="F466" s="112" t="s">
        <v>43</v>
      </c>
      <c r="G466" s="114">
        <v>20</v>
      </c>
      <c r="H466" s="115" t="s">
        <v>123</v>
      </c>
    </row>
    <row r="467" spans="1:8" ht="19.899999999999999" customHeight="1">
      <c r="A467" s="121">
        <v>46046</v>
      </c>
      <c r="B467" s="112" t="s">
        <v>26</v>
      </c>
      <c r="C467" s="113" t="s">
        <v>36</v>
      </c>
      <c r="D467" s="112" t="s">
        <v>1</v>
      </c>
      <c r="E467" s="122">
        <v>1.4340277777777779</v>
      </c>
      <c r="F467" s="112" t="s">
        <v>28</v>
      </c>
      <c r="G467" s="114">
        <v>3</v>
      </c>
      <c r="H467" s="115" t="s">
        <v>162</v>
      </c>
    </row>
    <row r="468" spans="1:8" ht="19.899999999999999" customHeight="1">
      <c r="A468" s="129">
        <v>46046</v>
      </c>
      <c r="B468" s="117" t="s">
        <v>61</v>
      </c>
      <c r="C468" s="118" t="s">
        <v>62</v>
      </c>
      <c r="D468" s="117" t="s">
        <v>1</v>
      </c>
      <c r="E468" s="130">
        <v>1.2361111111111109</v>
      </c>
      <c r="F468" s="117" t="s">
        <v>63</v>
      </c>
      <c r="G468" s="119">
        <v>7</v>
      </c>
      <c r="H468" s="120" t="s">
        <v>64</v>
      </c>
    </row>
    <row r="469" spans="1:8" ht="19.899999999999999" customHeight="1">
      <c r="A469" s="121">
        <v>46046</v>
      </c>
      <c r="B469" s="112" t="s">
        <v>26</v>
      </c>
      <c r="C469" s="113" t="s">
        <v>36</v>
      </c>
      <c r="D469" s="112" t="s">
        <v>1</v>
      </c>
      <c r="E469" s="122">
        <v>1.4340277777777779</v>
      </c>
      <c r="F469" s="112" t="s">
        <v>31</v>
      </c>
      <c r="G469" s="114">
        <v>3</v>
      </c>
      <c r="H469" s="115" t="s">
        <v>178</v>
      </c>
    </row>
    <row r="470" spans="1:8" ht="19.899999999999999" customHeight="1">
      <c r="A470" s="121">
        <v>46046</v>
      </c>
      <c r="B470" s="112" t="s">
        <v>26</v>
      </c>
      <c r="C470" s="113" t="s">
        <v>36</v>
      </c>
      <c r="D470" s="112" t="s">
        <v>1</v>
      </c>
      <c r="E470" s="122">
        <v>1.4340277777777779</v>
      </c>
      <c r="F470" s="112" t="s">
        <v>34</v>
      </c>
      <c r="G470" s="114">
        <v>3</v>
      </c>
      <c r="H470" s="115" t="s">
        <v>179</v>
      </c>
    </row>
    <row r="471" spans="1:8" ht="19.899999999999999" customHeight="1">
      <c r="A471" s="121">
        <v>46046</v>
      </c>
      <c r="B471" s="112" t="s">
        <v>38</v>
      </c>
      <c r="C471" s="113" t="s">
        <v>39</v>
      </c>
      <c r="D471" s="112" t="s">
        <v>1</v>
      </c>
      <c r="E471" s="122">
        <v>1.229166666666667</v>
      </c>
      <c r="F471" s="112" t="s">
        <v>46</v>
      </c>
      <c r="G471" s="114">
        <v>12</v>
      </c>
      <c r="H471" s="115" t="s">
        <v>47</v>
      </c>
    </row>
    <row r="472" spans="1:8" ht="19.899999999999999" customHeight="1">
      <c r="A472" s="121">
        <v>46046</v>
      </c>
      <c r="B472" s="112" t="s">
        <v>38</v>
      </c>
      <c r="C472" s="113" t="s">
        <v>87</v>
      </c>
      <c r="D472" s="112" t="s">
        <v>1</v>
      </c>
      <c r="E472" s="122">
        <v>1.0625</v>
      </c>
      <c r="F472" s="112" t="s">
        <v>46</v>
      </c>
      <c r="G472" s="114">
        <v>20</v>
      </c>
      <c r="H472" s="115" t="s">
        <v>47</v>
      </c>
    </row>
    <row r="473" spans="1:8" ht="19.899999999999999" customHeight="1">
      <c r="A473" s="121">
        <v>46046</v>
      </c>
      <c r="B473" s="112" t="s">
        <v>26</v>
      </c>
      <c r="C473" s="113" t="s">
        <v>27</v>
      </c>
      <c r="D473" s="112" t="s">
        <v>1</v>
      </c>
      <c r="E473" s="122">
        <v>1.6076388888888891</v>
      </c>
      <c r="F473" s="112" t="s">
        <v>28</v>
      </c>
      <c r="G473" s="114">
        <v>2</v>
      </c>
      <c r="H473" s="115" t="s">
        <v>105</v>
      </c>
    </row>
    <row r="474" spans="1:8" ht="19.899999999999999" customHeight="1">
      <c r="A474" s="121">
        <v>46046</v>
      </c>
      <c r="B474" s="112" t="s">
        <v>26</v>
      </c>
      <c r="C474" s="113" t="s">
        <v>27</v>
      </c>
      <c r="D474" s="112" t="s">
        <v>1</v>
      </c>
      <c r="E474" s="122">
        <v>1.6076388888888891</v>
      </c>
      <c r="F474" s="112" t="s">
        <v>31</v>
      </c>
      <c r="G474" s="114">
        <v>2</v>
      </c>
      <c r="H474" s="115" t="s">
        <v>171</v>
      </c>
    </row>
    <row r="475" spans="1:8" ht="19.899999999999999" customHeight="1">
      <c r="A475" s="121">
        <v>46046</v>
      </c>
      <c r="B475" s="112" t="s">
        <v>26</v>
      </c>
      <c r="C475" s="113" t="s">
        <v>27</v>
      </c>
      <c r="D475" s="112" t="s">
        <v>1</v>
      </c>
      <c r="E475" s="122">
        <v>1.6076388888888891</v>
      </c>
      <c r="F475" s="112" t="s">
        <v>34</v>
      </c>
      <c r="G475" s="114">
        <v>2</v>
      </c>
      <c r="H475" s="115" t="s">
        <v>172</v>
      </c>
    </row>
    <row r="476" spans="1:8" ht="19.899999999999999" customHeight="1">
      <c r="A476" s="121">
        <v>46046</v>
      </c>
      <c r="B476" s="112" t="s">
        <v>68</v>
      </c>
      <c r="C476" s="113" t="s">
        <v>76</v>
      </c>
      <c r="D476" s="112" t="s">
        <v>1</v>
      </c>
      <c r="E476" s="122">
        <v>1.697916666666667</v>
      </c>
      <c r="F476" s="112" t="s">
        <v>70</v>
      </c>
      <c r="G476" s="114">
        <v>9</v>
      </c>
      <c r="H476" s="115" t="s">
        <v>185</v>
      </c>
    </row>
    <row r="477" spans="1:8" ht="19.899999999999999" customHeight="1">
      <c r="A477" s="121">
        <v>46046</v>
      </c>
      <c r="B477" s="112" t="s">
        <v>48</v>
      </c>
      <c r="C477" s="113" t="s">
        <v>59</v>
      </c>
      <c r="D477" s="112" t="s">
        <v>1</v>
      </c>
      <c r="E477" s="122">
        <v>1.229166666666667</v>
      </c>
      <c r="F477" s="112" t="s">
        <v>53</v>
      </c>
      <c r="G477" s="114">
        <v>4</v>
      </c>
      <c r="H477" s="115" t="s">
        <v>60</v>
      </c>
    </row>
    <row r="478" spans="1:8" ht="19.899999999999999" customHeight="1">
      <c r="A478" s="121">
        <v>46046</v>
      </c>
      <c r="B478" s="112" t="s">
        <v>68</v>
      </c>
      <c r="C478" s="113" t="s">
        <v>69</v>
      </c>
      <c r="D478" s="112" t="s">
        <v>1</v>
      </c>
      <c r="E478" s="122">
        <v>1.9409722222222221</v>
      </c>
      <c r="F478" s="112" t="s">
        <v>70</v>
      </c>
      <c r="G478" s="114">
        <v>9</v>
      </c>
      <c r="H478" s="115" t="s">
        <v>169</v>
      </c>
    </row>
    <row r="479" spans="1:8" ht="19.899999999999999" customHeight="1">
      <c r="A479" s="121">
        <v>46046</v>
      </c>
      <c r="B479" s="112" t="s">
        <v>48</v>
      </c>
      <c r="C479" s="113" t="s">
        <v>49</v>
      </c>
      <c r="D479" s="112" t="s">
        <v>1</v>
      </c>
      <c r="E479" s="122">
        <v>1.354166666666667</v>
      </c>
      <c r="F479" s="112" t="s">
        <v>53</v>
      </c>
      <c r="G479" s="114">
        <v>9</v>
      </c>
      <c r="H479" s="115" t="s">
        <v>176</v>
      </c>
    </row>
    <row r="480" spans="1:8" ht="19.899999999999999" customHeight="1">
      <c r="A480" s="121">
        <v>46046</v>
      </c>
      <c r="B480" s="112" t="s">
        <v>48</v>
      </c>
      <c r="C480" s="113" t="s">
        <v>56</v>
      </c>
      <c r="D480" s="112" t="s">
        <v>1</v>
      </c>
      <c r="E480" s="122">
        <v>1.895833333333333</v>
      </c>
      <c r="F480" s="112" t="s">
        <v>53</v>
      </c>
      <c r="G480" s="114">
        <v>9</v>
      </c>
      <c r="H480" s="115" t="s">
        <v>176</v>
      </c>
    </row>
    <row r="481" spans="1:8" ht="19.899999999999999" customHeight="1">
      <c r="A481" s="121">
        <v>46046</v>
      </c>
      <c r="B481" s="112" t="s">
        <v>48</v>
      </c>
      <c r="C481" s="113" t="s">
        <v>58</v>
      </c>
      <c r="D481" s="112" t="s">
        <v>1</v>
      </c>
      <c r="E481" s="122">
        <v>1.1840277777777779</v>
      </c>
      <c r="F481" s="112" t="s">
        <v>53</v>
      </c>
      <c r="G481" s="114">
        <v>9</v>
      </c>
      <c r="H481" s="115" t="s">
        <v>176</v>
      </c>
    </row>
    <row r="482" spans="1:8" ht="19.899999999999999" customHeight="1">
      <c r="A482" s="121">
        <v>46046</v>
      </c>
      <c r="B482" s="112" t="s">
        <v>68</v>
      </c>
      <c r="C482" s="113" t="s">
        <v>73</v>
      </c>
      <c r="D482" s="112" t="s">
        <v>1</v>
      </c>
      <c r="E482" s="122">
        <v>1.288194444444444</v>
      </c>
      <c r="F482" s="112" t="s">
        <v>70</v>
      </c>
      <c r="G482" s="114">
        <v>9</v>
      </c>
      <c r="H482" s="115" t="s">
        <v>180</v>
      </c>
    </row>
    <row r="483" spans="1:8" ht="19.899999999999999" customHeight="1">
      <c r="A483" s="123">
        <v>46046</v>
      </c>
      <c r="B483" s="124" t="s">
        <v>68</v>
      </c>
      <c r="C483" s="125" t="s">
        <v>72</v>
      </c>
      <c r="D483" s="124" t="s">
        <v>1</v>
      </c>
      <c r="E483" s="126">
        <v>1.0659722222222221</v>
      </c>
      <c r="F483" s="124" t="s">
        <v>70</v>
      </c>
      <c r="G483" s="127">
        <v>9</v>
      </c>
      <c r="H483" s="128" t="s">
        <v>157</v>
      </c>
    </row>
    <row r="484" spans="1:8" ht="19.899999999999999" customHeight="1">
      <c r="A484" s="121">
        <v>46047</v>
      </c>
      <c r="B484" s="112" t="s">
        <v>38</v>
      </c>
      <c r="C484" s="113" t="s">
        <v>39</v>
      </c>
      <c r="D484" s="112" t="s">
        <v>1</v>
      </c>
      <c r="E484" s="122">
        <v>1.229166666666667</v>
      </c>
      <c r="F484" s="112" t="s">
        <v>40</v>
      </c>
      <c r="G484" s="114">
        <v>7</v>
      </c>
      <c r="H484" s="115" t="s">
        <v>131</v>
      </c>
    </row>
    <row r="485" spans="1:8" ht="19.899999999999999" customHeight="1">
      <c r="A485" s="121">
        <v>46047</v>
      </c>
      <c r="B485" s="112" t="s">
        <v>38</v>
      </c>
      <c r="C485" s="113" t="s">
        <v>39</v>
      </c>
      <c r="D485" s="112" t="s">
        <v>1</v>
      </c>
      <c r="E485" s="122">
        <v>1.229166666666667</v>
      </c>
      <c r="F485" s="112" t="s">
        <v>43</v>
      </c>
      <c r="G485" s="114">
        <v>7</v>
      </c>
      <c r="H485" s="115" t="s">
        <v>133</v>
      </c>
    </row>
    <row r="486" spans="1:8" ht="19.899999999999999" customHeight="1">
      <c r="A486" s="129">
        <v>46047</v>
      </c>
      <c r="B486" s="117" t="s">
        <v>61</v>
      </c>
      <c r="C486" s="118" t="s">
        <v>62</v>
      </c>
      <c r="D486" s="117" t="s">
        <v>1</v>
      </c>
      <c r="E486" s="130">
        <v>1.743055555555556</v>
      </c>
      <c r="F486" s="117" t="s">
        <v>63</v>
      </c>
      <c r="G486" s="119">
        <v>9</v>
      </c>
      <c r="H486" s="120" t="s">
        <v>64</v>
      </c>
    </row>
    <row r="487" spans="1:8" ht="19.899999999999999" customHeight="1">
      <c r="A487" s="121">
        <v>46047</v>
      </c>
      <c r="B487" s="112" t="s">
        <v>38</v>
      </c>
      <c r="C487" s="113" t="s">
        <v>39</v>
      </c>
      <c r="D487" s="112" t="s">
        <v>1</v>
      </c>
      <c r="E487" s="122">
        <v>1.229166666666667</v>
      </c>
      <c r="F487" s="112" t="s">
        <v>46</v>
      </c>
      <c r="G487" s="114">
        <v>7</v>
      </c>
      <c r="H487" s="115" t="s">
        <v>47</v>
      </c>
    </row>
    <row r="488" spans="1:8" ht="19.899999999999999" customHeight="1">
      <c r="A488" s="121">
        <v>46047</v>
      </c>
      <c r="B488" s="112" t="s">
        <v>68</v>
      </c>
      <c r="C488" s="113" t="s">
        <v>69</v>
      </c>
      <c r="D488" s="112" t="s">
        <v>1</v>
      </c>
      <c r="E488" s="122">
        <v>1.9409722222222221</v>
      </c>
      <c r="F488" s="112" t="s">
        <v>70</v>
      </c>
      <c r="G488" s="114">
        <v>9</v>
      </c>
      <c r="H488" s="115" t="s">
        <v>84</v>
      </c>
    </row>
    <row r="489" spans="1:8" ht="19.899999999999999" customHeight="1">
      <c r="A489" s="121">
        <v>46047</v>
      </c>
      <c r="B489" s="112" t="s">
        <v>48</v>
      </c>
      <c r="C489" s="113" t="s">
        <v>59</v>
      </c>
      <c r="D489" s="112" t="s">
        <v>1</v>
      </c>
      <c r="E489" s="122">
        <v>1.229166666666667</v>
      </c>
      <c r="F489" s="112" t="s">
        <v>53</v>
      </c>
      <c r="G489" s="114">
        <v>4</v>
      </c>
      <c r="H489" s="115" t="s">
        <v>85</v>
      </c>
    </row>
    <row r="490" spans="1:8" ht="19.899999999999999" customHeight="1">
      <c r="A490" s="121">
        <v>46047</v>
      </c>
      <c r="B490" s="112" t="s">
        <v>68</v>
      </c>
      <c r="C490" s="113" t="s">
        <v>76</v>
      </c>
      <c r="D490" s="112" t="s">
        <v>1</v>
      </c>
      <c r="E490" s="122">
        <v>1.697916666666667</v>
      </c>
      <c r="F490" s="112" t="s">
        <v>70</v>
      </c>
      <c r="G490" s="114">
        <v>9</v>
      </c>
      <c r="H490" s="115" t="s">
        <v>77</v>
      </c>
    </row>
    <row r="491" spans="1:8" ht="19.899999999999999" customHeight="1">
      <c r="A491" s="121">
        <v>46047</v>
      </c>
      <c r="B491" s="112" t="s">
        <v>26</v>
      </c>
      <c r="C491" s="113" t="s">
        <v>27</v>
      </c>
      <c r="D491" s="112" t="s">
        <v>1</v>
      </c>
      <c r="E491" s="122">
        <v>1.6076388888888891</v>
      </c>
      <c r="F491" s="112" t="s">
        <v>28</v>
      </c>
      <c r="G491" s="114">
        <v>9</v>
      </c>
      <c r="H491" s="115" t="s">
        <v>186</v>
      </c>
    </row>
    <row r="492" spans="1:8" ht="19.899999999999999" customHeight="1">
      <c r="A492" s="121">
        <v>46047</v>
      </c>
      <c r="B492" s="112" t="s">
        <v>26</v>
      </c>
      <c r="C492" s="113" t="s">
        <v>27</v>
      </c>
      <c r="D492" s="112" t="s">
        <v>1</v>
      </c>
      <c r="E492" s="122">
        <v>1.6076388888888891</v>
      </c>
      <c r="F492" s="112" t="s">
        <v>31</v>
      </c>
      <c r="G492" s="114">
        <v>9</v>
      </c>
      <c r="H492" s="115" t="s">
        <v>187</v>
      </c>
    </row>
    <row r="493" spans="1:8" ht="19.899999999999999" customHeight="1">
      <c r="A493" s="121">
        <v>46047</v>
      </c>
      <c r="B493" s="112" t="s">
        <v>68</v>
      </c>
      <c r="C493" s="113" t="s">
        <v>72</v>
      </c>
      <c r="D493" s="112" t="s">
        <v>1</v>
      </c>
      <c r="E493" s="122">
        <v>1.0659722222222221</v>
      </c>
      <c r="F493" s="112" t="s">
        <v>70</v>
      </c>
      <c r="G493" s="114">
        <v>9</v>
      </c>
      <c r="H493" s="115" t="s">
        <v>169</v>
      </c>
    </row>
    <row r="494" spans="1:8" ht="19.899999999999999" customHeight="1">
      <c r="A494" s="121">
        <v>46047</v>
      </c>
      <c r="B494" s="112" t="s">
        <v>26</v>
      </c>
      <c r="C494" s="113" t="s">
        <v>27</v>
      </c>
      <c r="D494" s="112" t="s">
        <v>1</v>
      </c>
      <c r="E494" s="122">
        <v>1.6076388888888891</v>
      </c>
      <c r="F494" s="112" t="s">
        <v>34</v>
      </c>
      <c r="G494" s="114">
        <v>9</v>
      </c>
      <c r="H494" s="115" t="s">
        <v>188</v>
      </c>
    </row>
    <row r="495" spans="1:8" ht="19.899999999999999" customHeight="1">
      <c r="A495" s="121">
        <v>46047</v>
      </c>
      <c r="B495" s="112" t="s">
        <v>48</v>
      </c>
      <c r="C495" s="113" t="s">
        <v>49</v>
      </c>
      <c r="D495" s="112" t="s">
        <v>1</v>
      </c>
      <c r="E495" s="122">
        <v>1.350694444444444</v>
      </c>
      <c r="F495" s="112" t="s">
        <v>70</v>
      </c>
      <c r="G495" s="114">
        <v>9</v>
      </c>
      <c r="H495" s="115" t="s">
        <v>176</v>
      </c>
    </row>
    <row r="496" spans="1:8" ht="19.899999999999999" customHeight="1">
      <c r="A496" s="121">
        <v>46047</v>
      </c>
      <c r="B496" s="112" t="s">
        <v>48</v>
      </c>
      <c r="C496" s="113" t="s">
        <v>49</v>
      </c>
      <c r="D496" s="112" t="s">
        <v>1</v>
      </c>
      <c r="E496" s="122">
        <v>1.350694444444444</v>
      </c>
      <c r="F496" s="112" t="s">
        <v>53</v>
      </c>
      <c r="G496" s="114">
        <v>9</v>
      </c>
      <c r="H496" s="115" t="s">
        <v>176</v>
      </c>
    </row>
    <row r="497" spans="1:8" ht="19.899999999999999" customHeight="1">
      <c r="A497" s="121">
        <v>46047</v>
      </c>
      <c r="B497" s="112" t="s">
        <v>48</v>
      </c>
      <c r="C497" s="113" t="s">
        <v>56</v>
      </c>
      <c r="D497" s="112" t="s">
        <v>1</v>
      </c>
      <c r="E497" s="122">
        <v>1.895833333333333</v>
      </c>
      <c r="F497" s="112" t="s">
        <v>53</v>
      </c>
      <c r="G497" s="114">
        <v>9</v>
      </c>
      <c r="H497" s="115" t="s">
        <v>176</v>
      </c>
    </row>
    <row r="498" spans="1:8" ht="19.899999999999999" customHeight="1">
      <c r="A498" s="121">
        <v>46047</v>
      </c>
      <c r="B498" s="112" t="s">
        <v>48</v>
      </c>
      <c r="C498" s="113" t="s">
        <v>58</v>
      </c>
      <c r="D498" s="112" t="s">
        <v>1</v>
      </c>
      <c r="E498" s="122">
        <v>1.1840277777777779</v>
      </c>
      <c r="F498" s="112" t="s">
        <v>53</v>
      </c>
      <c r="G498" s="114">
        <v>9</v>
      </c>
      <c r="H498" s="115" t="s">
        <v>176</v>
      </c>
    </row>
    <row r="499" spans="1:8" ht="19.899999999999999" customHeight="1">
      <c r="A499" s="123">
        <v>46047</v>
      </c>
      <c r="B499" s="124" t="s">
        <v>68</v>
      </c>
      <c r="C499" s="125" t="s">
        <v>73</v>
      </c>
      <c r="D499" s="124" t="s">
        <v>1</v>
      </c>
      <c r="E499" s="126">
        <v>1.288194444444444</v>
      </c>
      <c r="F499" s="124" t="s">
        <v>70</v>
      </c>
      <c r="G499" s="127">
        <v>9</v>
      </c>
      <c r="H499" s="128" t="s">
        <v>157</v>
      </c>
    </row>
    <row r="500" spans="1:8" ht="19.899999999999999" customHeight="1">
      <c r="A500" s="121">
        <v>46048</v>
      </c>
      <c r="B500" s="112" t="s">
        <v>38</v>
      </c>
      <c r="C500" s="113" t="s">
        <v>39</v>
      </c>
      <c r="D500" s="112" t="s">
        <v>1</v>
      </c>
      <c r="E500" s="122">
        <v>1.229166666666667</v>
      </c>
      <c r="F500" s="112" t="s">
        <v>40</v>
      </c>
      <c r="G500" s="114">
        <v>3</v>
      </c>
      <c r="H500" s="115" t="s">
        <v>78</v>
      </c>
    </row>
    <row r="501" spans="1:8" ht="19.899999999999999" customHeight="1">
      <c r="A501" s="121">
        <v>46048</v>
      </c>
      <c r="B501" s="112" t="s">
        <v>38</v>
      </c>
      <c r="C501" s="113" t="s">
        <v>87</v>
      </c>
      <c r="D501" s="112" t="s">
        <v>1</v>
      </c>
      <c r="E501" s="122">
        <v>1.0625</v>
      </c>
      <c r="F501" s="112" t="s">
        <v>40</v>
      </c>
      <c r="G501" s="114">
        <v>20</v>
      </c>
      <c r="H501" s="115" t="s">
        <v>121</v>
      </c>
    </row>
    <row r="502" spans="1:8" ht="19.899999999999999" customHeight="1">
      <c r="A502" s="121">
        <v>46048</v>
      </c>
      <c r="B502" s="112" t="s">
        <v>26</v>
      </c>
      <c r="C502" s="113" t="s">
        <v>27</v>
      </c>
      <c r="D502" s="112" t="s">
        <v>1</v>
      </c>
      <c r="E502" s="122">
        <v>1.6076388888888891</v>
      </c>
      <c r="F502" s="112" t="s">
        <v>28</v>
      </c>
      <c r="G502" s="114">
        <v>5</v>
      </c>
      <c r="H502" s="115" t="s">
        <v>89</v>
      </c>
    </row>
    <row r="503" spans="1:8" ht="19.899999999999999" customHeight="1">
      <c r="A503" s="121">
        <v>46048</v>
      </c>
      <c r="B503" s="112" t="s">
        <v>38</v>
      </c>
      <c r="C503" s="113" t="s">
        <v>39</v>
      </c>
      <c r="D503" s="112" t="s">
        <v>1</v>
      </c>
      <c r="E503" s="122">
        <v>1.229166666666667</v>
      </c>
      <c r="F503" s="112" t="s">
        <v>43</v>
      </c>
      <c r="G503" s="114">
        <v>3</v>
      </c>
      <c r="H503" s="115" t="s">
        <v>79</v>
      </c>
    </row>
    <row r="504" spans="1:8" ht="19.899999999999999" customHeight="1">
      <c r="A504" s="121">
        <v>46048</v>
      </c>
      <c r="B504" s="112" t="s">
        <v>26</v>
      </c>
      <c r="C504" s="113" t="s">
        <v>36</v>
      </c>
      <c r="D504" s="112" t="s">
        <v>1</v>
      </c>
      <c r="E504" s="122">
        <v>1.4340277777777779</v>
      </c>
      <c r="F504" s="112" t="s">
        <v>28</v>
      </c>
      <c r="G504" s="114">
        <v>1</v>
      </c>
      <c r="H504" s="115" t="s">
        <v>159</v>
      </c>
    </row>
    <row r="505" spans="1:8" ht="19.899999999999999" customHeight="1">
      <c r="A505" s="121">
        <v>46048</v>
      </c>
      <c r="B505" s="112" t="s">
        <v>26</v>
      </c>
      <c r="C505" s="113" t="s">
        <v>27</v>
      </c>
      <c r="D505" s="112" t="s">
        <v>1</v>
      </c>
      <c r="E505" s="122">
        <v>1.6076388888888891</v>
      </c>
      <c r="F505" s="112" t="s">
        <v>31</v>
      </c>
      <c r="G505" s="114">
        <v>5</v>
      </c>
      <c r="H505" s="115" t="s">
        <v>138</v>
      </c>
    </row>
    <row r="506" spans="1:8" ht="19.899999999999999" customHeight="1">
      <c r="A506" s="121">
        <v>46048</v>
      </c>
      <c r="B506" s="112" t="s">
        <v>38</v>
      </c>
      <c r="C506" s="113" t="s">
        <v>87</v>
      </c>
      <c r="D506" s="112" t="s">
        <v>1</v>
      </c>
      <c r="E506" s="122">
        <v>1.0625</v>
      </c>
      <c r="F506" s="112" t="s">
        <v>43</v>
      </c>
      <c r="G506" s="114">
        <v>20</v>
      </c>
      <c r="H506" s="115" t="s">
        <v>123</v>
      </c>
    </row>
    <row r="507" spans="1:8" ht="19.899999999999999" customHeight="1">
      <c r="A507" s="129">
        <v>46048</v>
      </c>
      <c r="B507" s="117" t="s">
        <v>61</v>
      </c>
      <c r="C507" s="118" t="s">
        <v>111</v>
      </c>
      <c r="D507" s="117" t="s">
        <v>1</v>
      </c>
      <c r="E507" s="130">
        <v>1.868055555555556</v>
      </c>
      <c r="F507" s="117" t="s">
        <v>63</v>
      </c>
      <c r="G507" s="119">
        <v>9</v>
      </c>
      <c r="H507" s="120" t="s">
        <v>64</v>
      </c>
    </row>
    <row r="508" spans="1:8" ht="19.899999999999999" customHeight="1">
      <c r="A508" s="121">
        <v>46048</v>
      </c>
      <c r="B508" s="112" t="s">
        <v>26</v>
      </c>
      <c r="C508" s="113" t="s">
        <v>27</v>
      </c>
      <c r="D508" s="112" t="s">
        <v>1</v>
      </c>
      <c r="E508" s="122">
        <v>1.6076388888888891</v>
      </c>
      <c r="F508" s="112" t="s">
        <v>34</v>
      </c>
      <c r="G508" s="114">
        <v>5</v>
      </c>
      <c r="H508" s="115" t="s">
        <v>139</v>
      </c>
    </row>
    <row r="509" spans="1:8" ht="19.899999999999999" customHeight="1">
      <c r="A509" s="121">
        <v>46048</v>
      </c>
      <c r="B509" s="112" t="s">
        <v>26</v>
      </c>
      <c r="C509" s="113" t="s">
        <v>36</v>
      </c>
      <c r="D509" s="112" t="s">
        <v>1</v>
      </c>
      <c r="E509" s="122">
        <v>1.4340277777777779</v>
      </c>
      <c r="F509" s="112" t="s">
        <v>31</v>
      </c>
      <c r="G509" s="114">
        <v>1</v>
      </c>
      <c r="H509" s="115" t="s">
        <v>139</v>
      </c>
    </row>
    <row r="510" spans="1:8" ht="19.899999999999999" customHeight="1">
      <c r="A510" s="121">
        <v>46048</v>
      </c>
      <c r="B510" s="112" t="s">
        <v>26</v>
      </c>
      <c r="C510" s="113" t="s">
        <v>36</v>
      </c>
      <c r="D510" s="112" t="s">
        <v>1</v>
      </c>
      <c r="E510" s="122">
        <v>1.4340277777777779</v>
      </c>
      <c r="F510" s="112" t="s">
        <v>34</v>
      </c>
      <c r="G510" s="114">
        <v>1</v>
      </c>
      <c r="H510" s="115" t="s">
        <v>160</v>
      </c>
    </row>
    <row r="511" spans="1:8" ht="19.899999999999999" customHeight="1">
      <c r="A511" s="121">
        <v>46048</v>
      </c>
      <c r="B511" s="112" t="s">
        <v>38</v>
      </c>
      <c r="C511" s="113" t="s">
        <v>39</v>
      </c>
      <c r="D511" s="112" t="s">
        <v>1</v>
      </c>
      <c r="E511" s="122">
        <v>1.229166666666667</v>
      </c>
      <c r="F511" s="112" t="s">
        <v>46</v>
      </c>
      <c r="G511" s="114">
        <v>3</v>
      </c>
      <c r="H511" s="115" t="s">
        <v>47</v>
      </c>
    </row>
    <row r="512" spans="1:8" ht="19.899999999999999" customHeight="1">
      <c r="A512" s="121">
        <v>46048</v>
      </c>
      <c r="B512" s="112" t="s">
        <v>38</v>
      </c>
      <c r="C512" s="113" t="s">
        <v>87</v>
      </c>
      <c r="D512" s="112" t="s">
        <v>1</v>
      </c>
      <c r="E512" s="122">
        <v>1.0625</v>
      </c>
      <c r="F512" s="112" t="s">
        <v>46</v>
      </c>
      <c r="G512" s="114">
        <v>20</v>
      </c>
      <c r="H512" s="115" t="s">
        <v>47</v>
      </c>
    </row>
    <row r="513" spans="1:8" ht="19.899999999999999" customHeight="1">
      <c r="A513" s="121">
        <v>46048</v>
      </c>
      <c r="B513" s="112" t="s">
        <v>68</v>
      </c>
      <c r="C513" s="113" t="s">
        <v>76</v>
      </c>
      <c r="D513" s="112" t="s">
        <v>1</v>
      </c>
      <c r="E513" s="122">
        <v>1.697916666666667</v>
      </c>
      <c r="F513" s="112" t="s">
        <v>70</v>
      </c>
      <c r="G513" s="114">
        <v>9</v>
      </c>
      <c r="H513" s="115" t="s">
        <v>129</v>
      </c>
    </row>
    <row r="514" spans="1:8" ht="19.899999999999999" customHeight="1">
      <c r="A514" s="121">
        <v>46048</v>
      </c>
      <c r="B514" s="112" t="s">
        <v>48</v>
      </c>
      <c r="C514" s="113" t="s">
        <v>59</v>
      </c>
      <c r="D514" s="112" t="s">
        <v>1</v>
      </c>
      <c r="E514" s="122">
        <v>1.229166666666667</v>
      </c>
      <c r="F514" s="112" t="s">
        <v>53</v>
      </c>
      <c r="G514" s="114">
        <v>4</v>
      </c>
      <c r="H514" s="115" t="s">
        <v>85</v>
      </c>
    </row>
    <row r="515" spans="1:8" ht="19.899999999999999" customHeight="1">
      <c r="A515" s="121">
        <v>46048</v>
      </c>
      <c r="B515" s="112" t="s">
        <v>68</v>
      </c>
      <c r="C515" s="113" t="s">
        <v>69</v>
      </c>
      <c r="D515" s="112" t="s">
        <v>1</v>
      </c>
      <c r="E515" s="122">
        <v>1.9409722222222221</v>
      </c>
      <c r="F515" s="112" t="s">
        <v>70</v>
      </c>
      <c r="G515" s="114">
        <v>9</v>
      </c>
      <c r="H515" s="115" t="s">
        <v>185</v>
      </c>
    </row>
    <row r="516" spans="1:8" ht="19.899999999999999" customHeight="1">
      <c r="A516" s="121">
        <v>46048</v>
      </c>
      <c r="B516" s="112" t="s">
        <v>68</v>
      </c>
      <c r="C516" s="113" t="s">
        <v>73</v>
      </c>
      <c r="D516" s="112" t="s">
        <v>1</v>
      </c>
      <c r="E516" s="122">
        <v>1.288194444444444</v>
      </c>
      <c r="F516" s="112" t="s">
        <v>70</v>
      </c>
      <c r="G516" s="114">
        <v>9</v>
      </c>
      <c r="H516" s="115" t="s">
        <v>185</v>
      </c>
    </row>
    <row r="517" spans="1:8" ht="19.899999999999999" customHeight="1">
      <c r="A517" s="121">
        <v>46048</v>
      </c>
      <c r="B517" s="112" t="s">
        <v>68</v>
      </c>
      <c r="C517" s="113" t="s">
        <v>74</v>
      </c>
      <c r="D517" s="112" t="s">
        <v>1</v>
      </c>
      <c r="E517" s="122">
        <v>1.336805555555556</v>
      </c>
      <c r="F517" s="112" t="s">
        <v>70</v>
      </c>
      <c r="G517" s="114">
        <v>9</v>
      </c>
      <c r="H517" s="115" t="s">
        <v>169</v>
      </c>
    </row>
    <row r="518" spans="1:8" ht="19.899999999999999" customHeight="1">
      <c r="A518" s="121">
        <v>46048</v>
      </c>
      <c r="B518" s="112" t="s">
        <v>68</v>
      </c>
      <c r="C518" s="113" t="s">
        <v>72</v>
      </c>
      <c r="D518" s="112" t="s">
        <v>1</v>
      </c>
      <c r="E518" s="122">
        <v>1.0659722222222221</v>
      </c>
      <c r="F518" s="112" t="s">
        <v>70</v>
      </c>
      <c r="G518" s="114">
        <v>9</v>
      </c>
      <c r="H518" s="115" t="s">
        <v>169</v>
      </c>
    </row>
    <row r="519" spans="1:8" ht="19.899999999999999" customHeight="1">
      <c r="A519" s="121">
        <v>46048</v>
      </c>
      <c r="B519" s="112" t="s">
        <v>48</v>
      </c>
      <c r="C519" s="113" t="s">
        <v>49</v>
      </c>
      <c r="D519" s="112" t="s">
        <v>1</v>
      </c>
      <c r="E519" s="122">
        <v>1.350694444444444</v>
      </c>
      <c r="F519" s="112" t="s">
        <v>53</v>
      </c>
      <c r="G519" s="114">
        <v>9</v>
      </c>
      <c r="H519" s="115" t="s">
        <v>176</v>
      </c>
    </row>
    <row r="520" spans="1:8" ht="19.899999999999999" customHeight="1">
      <c r="A520" s="121">
        <v>46048</v>
      </c>
      <c r="B520" s="112" t="s">
        <v>48</v>
      </c>
      <c r="C520" s="113" t="s">
        <v>56</v>
      </c>
      <c r="D520" s="112" t="s">
        <v>1</v>
      </c>
      <c r="E520" s="122">
        <v>1.895833333333333</v>
      </c>
      <c r="F520" s="112" t="s">
        <v>53</v>
      </c>
      <c r="G520" s="114">
        <v>9</v>
      </c>
      <c r="H520" s="115" t="s">
        <v>176</v>
      </c>
    </row>
    <row r="521" spans="1:8" ht="19.899999999999999" customHeight="1">
      <c r="A521" s="123">
        <v>46048</v>
      </c>
      <c r="B521" s="124" t="s">
        <v>48</v>
      </c>
      <c r="C521" s="125" t="s">
        <v>58</v>
      </c>
      <c r="D521" s="124" t="s">
        <v>1</v>
      </c>
      <c r="E521" s="126">
        <v>1.1840277777777779</v>
      </c>
      <c r="F521" s="124" t="s">
        <v>53</v>
      </c>
      <c r="G521" s="127">
        <v>9</v>
      </c>
      <c r="H521" s="128" t="s">
        <v>176</v>
      </c>
    </row>
    <row r="522" spans="1:8" ht="19.899999999999999" customHeight="1">
      <c r="A522" s="121">
        <v>46049</v>
      </c>
      <c r="B522" s="112" t="s">
        <v>38</v>
      </c>
      <c r="C522" s="113" t="s">
        <v>39</v>
      </c>
      <c r="D522" s="112" t="s">
        <v>1</v>
      </c>
      <c r="E522" s="122">
        <v>1.229166666666667</v>
      </c>
      <c r="F522" s="112" t="s">
        <v>40</v>
      </c>
      <c r="G522" s="114">
        <v>9</v>
      </c>
      <c r="H522" s="115" t="s">
        <v>78</v>
      </c>
    </row>
    <row r="523" spans="1:8" ht="19.899999999999999" customHeight="1">
      <c r="A523" s="121">
        <v>46049</v>
      </c>
      <c r="B523" s="112" t="s">
        <v>38</v>
      </c>
      <c r="C523" s="113" t="s">
        <v>87</v>
      </c>
      <c r="D523" s="112" t="s">
        <v>1</v>
      </c>
      <c r="E523" s="122">
        <v>1.0625</v>
      </c>
      <c r="F523" s="112" t="s">
        <v>40</v>
      </c>
      <c r="G523" s="114">
        <v>20</v>
      </c>
      <c r="H523" s="115" t="s">
        <v>78</v>
      </c>
    </row>
    <row r="524" spans="1:8" ht="19.899999999999999" customHeight="1">
      <c r="A524" s="121">
        <v>46049</v>
      </c>
      <c r="B524" s="112" t="s">
        <v>38</v>
      </c>
      <c r="C524" s="113" t="s">
        <v>39</v>
      </c>
      <c r="D524" s="112" t="s">
        <v>1</v>
      </c>
      <c r="E524" s="122">
        <v>1.229166666666667</v>
      </c>
      <c r="F524" s="112" t="s">
        <v>43</v>
      </c>
      <c r="G524" s="114">
        <v>9</v>
      </c>
      <c r="H524" s="115" t="s">
        <v>79</v>
      </c>
    </row>
    <row r="525" spans="1:8" ht="19.899999999999999" customHeight="1">
      <c r="A525" s="121">
        <v>46049</v>
      </c>
      <c r="B525" s="112" t="s">
        <v>38</v>
      </c>
      <c r="C525" s="113" t="s">
        <v>87</v>
      </c>
      <c r="D525" s="112" t="s">
        <v>1</v>
      </c>
      <c r="E525" s="122">
        <v>1.0625</v>
      </c>
      <c r="F525" s="112" t="s">
        <v>43</v>
      </c>
      <c r="G525" s="114">
        <v>20</v>
      </c>
      <c r="H525" s="115" t="s">
        <v>79</v>
      </c>
    </row>
    <row r="526" spans="1:8" ht="19.899999999999999" customHeight="1">
      <c r="A526" s="129">
        <v>46049</v>
      </c>
      <c r="B526" s="117" t="s">
        <v>61</v>
      </c>
      <c r="C526" s="118" t="s">
        <v>62</v>
      </c>
      <c r="D526" s="117" t="s">
        <v>1</v>
      </c>
      <c r="E526" s="130">
        <v>1.819444444444444</v>
      </c>
      <c r="F526" s="117" t="s">
        <v>63</v>
      </c>
      <c r="G526" s="119">
        <v>9</v>
      </c>
      <c r="H526" s="120" t="s">
        <v>64</v>
      </c>
    </row>
    <row r="527" spans="1:8" ht="19.899999999999999" customHeight="1">
      <c r="A527" s="121">
        <v>46049</v>
      </c>
      <c r="B527" s="112" t="s">
        <v>38</v>
      </c>
      <c r="C527" s="113" t="s">
        <v>39</v>
      </c>
      <c r="D527" s="112" t="s">
        <v>1</v>
      </c>
      <c r="E527" s="122">
        <v>1.229166666666667</v>
      </c>
      <c r="F527" s="112" t="s">
        <v>46</v>
      </c>
      <c r="G527" s="114">
        <v>9</v>
      </c>
      <c r="H527" s="115" t="s">
        <v>47</v>
      </c>
    </row>
    <row r="528" spans="1:8" ht="19.899999999999999" customHeight="1">
      <c r="A528" s="121">
        <v>46049</v>
      </c>
      <c r="B528" s="112" t="s">
        <v>38</v>
      </c>
      <c r="C528" s="113" t="s">
        <v>87</v>
      </c>
      <c r="D528" s="112" t="s">
        <v>1</v>
      </c>
      <c r="E528" s="122">
        <v>1.0625</v>
      </c>
      <c r="F528" s="112" t="s">
        <v>46</v>
      </c>
      <c r="G528" s="114">
        <v>20</v>
      </c>
      <c r="H528" s="115" t="s">
        <v>47</v>
      </c>
    </row>
    <row r="529" spans="1:8" ht="19.899999999999999" customHeight="1">
      <c r="A529" s="121">
        <v>46049</v>
      </c>
      <c r="B529" s="112" t="s">
        <v>26</v>
      </c>
      <c r="C529" s="113" t="s">
        <v>27</v>
      </c>
      <c r="D529" s="112" t="s">
        <v>1</v>
      </c>
      <c r="E529" s="122">
        <v>1.6076388888888891</v>
      </c>
      <c r="F529" s="112" t="s">
        <v>28</v>
      </c>
      <c r="G529" s="114">
        <v>9</v>
      </c>
      <c r="H529" s="115" t="s">
        <v>189</v>
      </c>
    </row>
    <row r="530" spans="1:8" ht="19.899999999999999" customHeight="1">
      <c r="A530" s="121">
        <v>46049</v>
      </c>
      <c r="B530" s="112" t="s">
        <v>48</v>
      </c>
      <c r="C530" s="113" t="s">
        <v>59</v>
      </c>
      <c r="D530" s="112" t="s">
        <v>1</v>
      </c>
      <c r="E530" s="122">
        <v>1.229166666666667</v>
      </c>
      <c r="F530" s="112" t="s">
        <v>53</v>
      </c>
      <c r="G530" s="114">
        <v>4</v>
      </c>
      <c r="H530" s="115" t="s">
        <v>93</v>
      </c>
    </row>
    <row r="531" spans="1:8" ht="19.899999999999999" customHeight="1">
      <c r="A531" s="121">
        <v>46049</v>
      </c>
      <c r="B531" s="112" t="s">
        <v>26</v>
      </c>
      <c r="C531" s="113" t="s">
        <v>27</v>
      </c>
      <c r="D531" s="112" t="s">
        <v>1</v>
      </c>
      <c r="E531" s="122">
        <v>1.6076388888888891</v>
      </c>
      <c r="F531" s="112" t="s">
        <v>31</v>
      </c>
      <c r="G531" s="114">
        <v>9</v>
      </c>
      <c r="H531" s="115" t="s">
        <v>190</v>
      </c>
    </row>
    <row r="532" spans="1:8" ht="19.899999999999999" customHeight="1">
      <c r="A532" s="121">
        <v>46049</v>
      </c>
      <c r="B532" s="112" t="s">
        <v>68</v>
      </c>
      <c r="C532" s="113" t="s">
        <v>74</v>
      </c>
      <c r="D532" s="112" t="s">
        <v>1</v>
      </c>
      <c r="E532" s="122">
        <v>1.336805555555556</v>
      </c>
      <c r="F532" s="112" t="s">
        <v>70</v>
      </c>
      <c r="G532" s="114">
        <v>9</v>
      </c>
      <c r="H532" s="115" t="s">
        <v>77</v>
      </c>
    </row>
    <row r="533" spans="1:8" ht="19.899999999999999" customHeight="1">
      <c r="A533" s="121">
        <v>46049</v>
      </c>
      <c r="B533" s="112" t="s">
        <v>68</v>
      </c>
      <c r="C533" s="113" t="s">
        <v>73</v>
      </c>
      <c r="D533" s="112" t="s">
        <v>1</v>
      </c>
      <c r="E533" s="122">
        <v>1.288194444444444</v>
      </c>
      <c r="F533" s="112" t="s">
        <v>70</v>
      </c>
      <c r="G533" s="114">
        <v>9</v>
      </c>
      <c r="H533" s="115" t="s">
        <v>77</v>
      </c>
    </row>
    <row r="534" spans="1:8" ht="19.899999999999999" customHeight="1">
      <c r="A534" s="121">
        <v>46049</v>
      </c>
      <c r="B534" s="112" t="s">
        <v>26</v>
      </c>
      <c r="C534" s="113" t="s">
        <v>27</v>
      </c>
      <c r="D534" s="112" t="s">
        <v>1</v>
      </c>
      <c r="E534" s="122">
        <v>1.6076388888888891</v>
      </c>
      <c r="F534" s="112" t="s">
        <v>34</v>
      </c>
      <c r="G534" s="114">
        <v>9</v>
      </c>
      <c r="H534" s="115" t="s">
        <v>191</v>
      </c>
    </row>
    <row r="535" spans="1:8" ht="19.899999999999999" customHeight="1">
      <c r="A535" s="121">
        <v>46049</v>
      </c>
      <c r="B535" s="112" t="s">
        <v>68</v>
      </c>
      <c r="C535" s="113" t="s">
        <v>69</v>
      </c>
      <c r="D535" s="112" t="s">
        <v>1</v>
      </c>
      <c r="E535" s="122">
        <v>1.9409722222222221</v>
      </c>
      <c r="F535" s="112" t="s">
        <v>70</v>
      </c>
      <c r="G535" s="114">
        <v>9</v>
      </c>
      <c r="H535" s="115" t="s">
        <v>169</v>
      </c>
    </row>
    <row r="536" spans="1:8" ht="19.899999999999999" customHeight="1">
      <c r="A536" s="121">
        <v>46049</v>
      </c>
      <c r="B536" s="112" t="s">
        <v>68</v>
      </c>
      <c r="C536" s="113" t="s">
        <v>72</v>
      </c>
      <c r="D536" s="112" t="s">
        <v>1</v>
      </c>
      <c r="E536" s="122">
        <v>1.0659722222222221</v>
      </c>
      <c r="F536" s="112" t="s">
        <v>70</v>
      </c>
      <c r="G536" s="114">
        <v>9</v>
      </c>
      <c r="H536" s="115" t="s">
        <v>169</v>
      </c>
    </row>
    <row r="537" spans="1:8" ht="19.899999999999999" customHeight="1">
      <c r="A537" s="121">
        <v>46049</v>
      </c>
      <c r="B537" s="112" t="s">
        <v>48</v>
      </c>
      <c r="C537" s="113" t="s">
        <v>49</v>
      </c>
      <c r="D537" s="112" t="s">
        <v>1</v>
      </c>
      <c r="E537" s="122">
        <v>1.350694444444444</v>
      </c>
      <c r="F537" s="112" t="s">
        <v>53</v>
      </c>
      <c r="G537" s="114">
        <v>9</v>
      </c>
      <c r="H537" s="115" t="s">
        <v>176</v>
      </c>
    </row>
    <row r="538" spans="1:8" ht="19.899999999999999" customHeight="1">
      <c r="A538" s="121">
        <v>46049</v>
      </c>
      <c r="B538" s="112" t="s">
        <v>48</v>
      </c>
      <c r="C538" s="113" t="s">
        <v>56</v>
      </c>
      <c r="D538" s="112" t="s">
        <v>1</v>
      </c>
      <c r="E538" s="122">
        <v>1.895833333333333</v>
      </c>
      <c r="F538" s="112" t="s">
        <v>53</v>
      </c>
      <c r="G538" s="114">
        <v>9</v>
      </c>
      <c r="H538" s="115" t="s">
        <v>176</v>
      </c>
    </row>
    <row r="539" spans="1:8" ht="19.899999999999999" customHeight="1">
      <c r="A539" s="121">
        <v>46049</v>
      </c>
      <c r="B539" s="112" t="s">
        <v>48</v>
      </c>
      <c r="C539" s="113" t="s">
        <v>58</v>
      </c>
      <c r="D539" s="112" t="s">
        <v>1</v>
      </c>
      <c r="E539" s="122">
        <v>1.1840277777777779</v>
      </c>
      <c r="F539" s="112" t="s">
        <v>53</v>
      </c>
      <c r="G539" s="114">
        <v>9</v>
      </c>
      <c r="H539" s="115" t="s">
        <v>176</v>
      </c>
    </row>
    <row r="540" spans="1:8" ht="19.899999999999999" customHeight="1">
      <c r="A540" s="123">
        <v>46049</v>
      </c>
      <c r="B540" s="124" t="s">
        <v>68</v>
      </c>
      <c r="C540" s="125" t="s">
        <v>76</v>
      </c>
      <c r="D540" s="124" t="s">
        <v>1</v>
      </c>
      <c r="E540" s="126">
        <v>1.697916666666667</v>
      </c>
      <c r="F540" s="124" t="s">
        <v>70</v>
      </c>
      <c r="G540" s="127">
        <v>9</v>
      </c>
      <c r="H540" s="128" t="s">
        <v>180</v>
      </c>
    </row>
    <row r="541" spans="1:8" ht="19.899999999999999" customHeight="1">
      <c r="A541" s="121">
        <v>46050</v>
      </c>
      <c r="B541" s="112" t="s">
        <v>38</v>
      </c>
      <c r="C541" s="113" t="s">
        <v>39</v>
      </c>
      <c r="D541" s="112" t="s">
        <v>1</v>
      </c>
      <c r="E541" s="122">
        <v>1.229166666666667</v>
      </c>
      <c r="F541" s="112" t="s">
        <v>40</v>
      </c>
      <c r="G541" s="114">
        <v>16</v>
      </c>
      <c r="H541" s="115" t="s">
        <v>78</v>
      </c>
    </row>
    <row r="542" spans="1:8" ht="19.899999999999999" customHeight="1">
      <c r="A542" s="121">
        <v>46050</v>
      </c>
      <c r="B542" s="112" t="s">
        <v>26</v>
      </c>
      <c r="C542" s="113" t="s">
        <v>27</v>
      </c>
      <c r="D542" s="112" t="s">
        <v>1</v>
      </c>
      <c r="E542" s="122">
        <v>1.6076388888888891</v>
      </c>
      <c r="F542" s="112" t="s">
        <v>28</v>
      </c>
      <c r="G542" s="114">
        <v>2</v>
      </c>
      <c r="H542" s="115" t="s">
        <v>89</v>
      </c>
    </row>
    <row r="543" spans="1:8" ht="19.899999999999999" customHeight="1">
      <c r="A543" s="121">
        <v>46050</v>
      </c>
      <c r="B543" s="112" t="s">
        <v>38</v>
      </c>
      <c r="C543" s="113" t="s">
        <v>39</v>
      </c>
      <c r="D543" s="112" t="s">
        <v>1</v>
      </c>
      <c r="E543" s="122">
        <v>1.229166666666667</v>
      </c>
      <c r="F543" s="112" t="s">
        <v>43</v>
      </c>
      <c r="G543" s="114">
        <v>16</v>
      </c>
      <c r="H543" s="115" t="s">
        <v>79</v>
      </c>
    </row>
    <row r="544" spans="1:8" ht="19.899999999999999" customHeight="1">
      <c r="A544" s="121">
        <v>46050</v>
      </c>
      <c r="B544" s="112" t="s">
        <v>26</v>
      </c>
      <c r="C544" s="113" t="s">
        <v>27</v>
      </c>
      <c r="D544" s="112" t="s">
        <v>1</v>
      </c>
      <c r="E544" s="122">
        <v>1.6076388888888891</v>
      </c>
      <c r="F544" s="112" t="s">
        <v>31</v>
      </c>
      <c r="G544" s="114">
        <v>2</v>
      </c>
      <c r="H544" s="115" t="s">
        <v>138</v>
      </c>
    </row>
    <row r="545" spans="1:8" ht="19.899999999999999" customHeight="1">
      <c r="A545" s="121">
        <v>46050</v>
      </c>
      <c r="B545" s="112" t="s">
        <v>26</v>
      </c>
      <c r="C545" s="113" t="s">
        <v>27</v>
      </c>
      <c r="D545" s="112" t="s">
        <v>1</v>
      </c>
      <c r="E545" s="122">
        <v>1.6076388888888891</v>
      </c>
      <c r="F545" s="112" t="s">
        <v>34</v>
      </c>
      <c r="G545" s="114">
        <v>2</v>
      </c>
      <c r="H545" s="115" t="s">
        <v>139</v>
      </c>
    </row>
    <row r="546" spans="1:8" ht="19.899999999999999" customHeight="1">
      <c r="A546" s="121">
        <v>46050</v>
      </c>
      <c r="B546" s="112" t="s">
        <v>38</v>
      </c>
      <c r="C546" s="113" t="s">
        <v>39</v>
      </c>
      <c r="D546" s="112" t="s">
        <v>1</v>
      </c>
      <c r="E546" s="122">
        <v>1.229166666666667</v>
      </c>
      <c r="F546" s="112" t="s">
        <v>46</v>
      </c>
      <c r="G546" s="114">
        <v>16</v>
      </c>
      <c r="H546" s="115" t="s">
        <v>47</v>
      </c>
    </row>
    <row r="547" spans="1:8" ht="19.899999999999999" customHeight="1">
      <c r="A547" s="121">
        <v>46050</v>
      </c>
      <c r="B547" s="112" t="s">
        <v>48</v>
      </c>
      <c r="C547" s="113" t="s">
        <v>59</v>
      </c>
      <c r="D547" s="112" t="s">
        <v>1</v>
      </c>
      <c r="E547" s="122">
        <v>1.229166666666667</v>
      </c>
      <c r="F547" s="112" t="s">
        <v>53</v>
      </c>
      <c r="G547" s="114">
        <v>4</v>
      </c>
      <c r="H547" s="115" t="s">
        <v>93</v>
      </c>
    </row>
    <row r="548" spans="1:8" ht="19.899999999999999" customHeight="1">
      <c r="A548" s="121">
        <v>46050</v>
      </c>
      <c r="B548" s="112" t="s">
        <v>68</v>
      </c>
      <c r="C548" s="113" t="s">
        <v>74</v>
      </c>
      <c r="D548" s="112" t="s">
        <v>1</v>
      </c>
      <c r="E548" s="122">
        <v>1.336805555555556</v>
      </c>
      <c r="F548" s="112" t="s">
        <v>70</v>
      </c>
      <c r="G548" s="114">
        <v>9</v>
      </c>
      <c r="H548" s="115" t="s">
        <v>169</v>
      </c>
    </row>
    <row r="549" spans="1:8" ht="19.899999999999999" customHeight="1">
      <c r="A549" s="121">
        <v>46050</v>
      </c>
      <c r="B549" s="112" t="s">
        <v>68</v>
      </c>
      <c r="C549" s="113" t="s">
        <v>76</v>
      </c>
      <c r="D549" s="112" t="s">
        <v>1</v>
      </c>
      <c r="E549" s="122">
        <v>1.697916666666667</v>
      </c>
      <c r="F549" s="112" t="s">
        <v>70</v>
      </c>
      <c r="G549" s="114">
        <v>9</v>
      </c>
      <c r="H549" s="115" t="s">
        <v>169</v>
      </c>
    </row>
    <row r="550" spans="1:8" ht="19.899999999999999" customHeight="1">
      <c r="A550" s="121">
        <v>46050</v>
      </c>
      <c r="B550" s="112" t="s">
        <v>68</v>
      </c>
      <c r="C550" s="113" t="s">
        <v>73</v>
      </c>
      <c r="D550" s="112" t="s">
        <v>1</v>
      </c>
      <c r="E550" s="122">
        <v>1.288194444444444</v>
      </c>
      <c r="F550" s="112" t="s">
        <v>70</v>
      </c>
      <c r="G550" s="114">
        <v>9</v>
      </c>
      <c r="H550" s="115" t="s">
        <v>169</v>
      </c>
    </row>
    <row r="551" spans="1:8" ht="19.899999999999999" customHeight="1">
      <c r="A551" s="121">
        <v>46050</v>
      </c>
      <c r="B551" s="112" t="s">
        <v>48</v>
      </c>
      <c r="C551" s="113" t="s">
        <v>49</v>
      </c>
      <c r="D551" s="112" t="s">
        <v>1</v>
      </c>
      <c r="E551" s="122">
        <v>1.350694444444444</v>
      </c>
      <c r="F551" s="112" t="s">
        <v>53</v>
      </c>
      <c r="G551" s="114">
        <v>9</v>
      </c>
      <c r="H551" s="115" t="s">
        <v>176</v>
      </c>
    </row>
    <row r="552" spans="1:8" ht="19.899999999999999" customHeight="1">
      <c r="A552" s="121">
        <v>46050</v>
      </c>
      <c r="B552" s="112" t="s">
        <v>48</v>
      </c>
      <c r="C552" s="113" t="s">
        <v>56</v>
      </c>
      <c r="D552" s="112" t="s">
        <v>1</v>
      </c>
      <c r="E552" s="122">
        <v>1.895833333333333</v>
      </c>
      <c r="F552" s="112" t="s">
        <v>53</v>
      </c>
      <c r="G552" s="114">
        <v>9</v>
      </c>
      <c r="H552" s="115" t="s">
        <v>176</v>
      </c>
    </row>
    <row r="553" spans="1:8" ht="19.899999999999999" customHeight="1">
      <c r="A553" s="121">
        <v>46050</v>
      </c>
      <c r="B553" s="112" t="s">
        <v>48</v>
      </c>
      <c r="C553" s="113" t="s">
        <v>58</v>
      </c>
      <c r="D553" s="112" t="s">
        <v>1</v>
      </c>
      <c r="E553" s="122">
        <v>1.1840277777777779</v>
      </c>
      <c r="F553" s="112" t="s">
        <v>53</v>
      </c>
      <c r="G553" s="114">
        <v>9</v>
      </c>
      <c r="H553" s="115" t="s">
        <v>176</v>
      </c>
    </row>
    <row r="554" spans="1:8" ht="19.899999999999999" customHeight="1">
      <c r="A554" s="121">
        <v>46050</v>
      </c>
      <c r="B554" s="112" t="s">
        <v>68</v>
      </c>
      <c r="C554" s="113" t="s">
        <v>72</v>
      </c>
      <c r="D554" s="112" t="s">
        <v>1</v>
      </c>
      <c r="E554" s="122">
        <v>1.0659722222222221</v>
      </c>
      <c r="F554" s="112" t="s">
        <v>70</v>
      </c>
      <c r="G554" s="114">
        <v>9</v>
      </c>
      <c r="H554" s="115" t="s">
        <v>180</v>
      </c>
    </row>
    <row r="555" spans="1:8" ht="19.899999999999999" customHeight="1">
      <c r="A555" s="123">
        <v>46050</v>
      </c>
      <c r="B555" s="124" t="s">
        <v>68</v>
      </c>
      <c r="C555" s="125" t="s">
        <v>69</v>
      </c>
      <c r="D555" s="124" t="s">
        <v>1</v>
      </c>
      <c r="E555" s="126">
        <v>1.9409722222222221</v>
      </c>
      <c r="F555" s="124" t="s">
        <v>70</v>
      </c>
      <c r="G555" s="127">
        <v>9</v>
      </c>
      <c r="H555" s="128" t="s">
        <v>157</v>
      </c>
    </row>
    <row r="556" spans="1:8" ht="19.899999999999999" customHeight="1">
      <c r="A556" s="121">
        <v>46051</v>
      </c>
      <c r="B556" s="112" t="s">
        <v>38</v>
      </c>
      <c r="C556" s="113" t="s">
        <v>39</v>
      </c>
      <c r="D556" s="112" t="s">
        <v>1</v>
      </c>
      <c r="E556" s="122">
        <v>1.229166666666667</v>
      </c>
      <c r="F556" s="112" t="s">
        <v>40</v>
      </c>
      <c r="G556" s="114">
        <v>7</v>
      </c>
      <c r="H556" s="115" t="s">
        <v>78</v>
      </c>
    </row>
    <row r="557" spans="1:8" ht="19.899999999999999" customHeight="1">
      <c r="A557" s="121">
        <v>46051</v>
      </c>
      <c r="B557" s="112" t="s">
        <v>38</v>
      </c>
      <c r="C557" s="113" t="s">
        <v>87</v>
      </c>
      <c r="D557" s="112" t="s">
        <v>1</v>
      </c>
      <c r="E557" s="122">
        <v>1.0625</v>
      </c>
      <c r="F557" s="112" t="s">
        <v>40</v>
      </c>
      <c r="G557" s="114">
        <v>17</v>
      </c>
      <c r="H557" s="115" t="s">
        <v>78</v>
      </c>
    </row>
    <row r="558" spans="1:8" ht="19.899999999999999" customHeight="1">
      <c r="A558" s="121">
        <v>46051</v>
      </c>
      <c r="B558" s="112" t="s">
        <v>26</v>
      </c>
      <c r="C558" s="113" t="s">
        <v>27</v>
      </c>
      <c r="D558" s="112" t="s">
        <v>1</v>
      </c>
      <c r="E558" s="122">
        <v>1.6076388888888891</v>
      </c>
      <c r="F558" s="112" t="s">
        <v>28</v>
      </c>
      <c r="G558" s="114">
        <v>5</v>
      </c>
      <c r="H558" s="115" t="s">
        <v>89</v>
      </c>
    </row>
    <row r="559" spans="1:8" ht="19.899999999999999" customHeight="1">
      <c r="A559" s="121">
        <v>46051</v>
      </c>
      <c r="B559" s="112" t="s">
        <v>38</v>
      </c>
      <c r="C559" s="113" t="s">
        <v>39</v>
      </c>
      <c r="D559" s="112" t="s">
        <v>1</v>
      </c>
      <c r="E559" s="122">
        <v>1.229166666666667</v>
      </c>
      <c r="F559" s="112" t="s">
        <v>43</v>
      </c>
      <c r="G559" s="114">
        <v>7</v>
      </c>
      <c r="H559" s="115" t="s">
        <v>79</v>
      </c>
    </row>
    <row r="560" spans="1:8" ht="19.899999999999999" customHeight="1">
      <c r="A560" s="121">
        <v>46051</v>
      </c>
      <c r="B560" s="112" t="s">
        <v>38</v>
      </c>
      <c r="C560" s="113" t="s">
        <v>87</v>
      </c>
      <c r="D560" s="112" t="s">
        <v>1</v>
      </c>
      <c r="E560" s="122">
        <v>1.0625</v>
      </c>
      <c r="F560" s="112" t="s">
        <v>43</v>
      </c>
      <c r="G560" s="114">
        <v>17</v>
      </c>
      <c r="H560" s="115" t="s">
        <v>79</v>
      </c>
    </row>
    <row r="561" spans="1:8" ht="19.899999999999999" customHeight="1">
      <c r="A561" s="121">
        <v>46051</v>
      </c>
      <c r="B561" s="112" t="s">
        <v>26</v>
      </c>
      <c r="C561" s="113" t="s">
        <v>27</v>
      </c>
      <c r="D561" s="112" t="s">
        <v>1</v>
      </c>
      <c r="E561" s="122">
        <v>1.6076388888888891</v>
      </c>
      <c r="F561" s="112" t="s">
        <v>31</v>
      </c>
      <c r="G561" s="114">
        <v>5</v>
      </c>
      <c r="H561" s="115" t="s">
        <v>138</v>
      </c>
    </row>
    <row r="562" spans="1:8" ht="19.899999999999999" customHeight="1">
      <c r="A562" s="121">
        <v>46051</v>
      </c>
      <c r="B562" s="112" t="s">
        <v>26</v>
      </c>
      <c r="C562" s="113" t="s">
        <v>36</v>
      </c>
      <c r="D562" s="112" t="s">
        <v>1</v>
      </c>
      <c r="E562" s="122">
        <v>1.4340277777777779</v>
      </c>
      <c r="F562" s="112" t="s">
        <v>28</v>
      </c>
      <c r="G562" s="114">
        <v>4</v>
      </c>
      <c r="H562" s="115" t="s">
        <v>162</v>
      </c>
    </row>
    <row r="563" spans="1:8" ht="19.899999999999999" customHeight="1">
      <c r="A563" s="129">
        <v>46051</v>
      </c>
      <c r="B563" s="117" t="s">
        <v>61</v>
      </c>
      <c r="C563" s="118" t="s">
        <v>62</v>
      </c>
      <c r="D563" s="117" t="s">
        <v>1</v>
      </c>
      <c r="E563" s="130">
        <v>1.381944444444444</v>
      </c>
      <c r="F563" s="117" t="s">
        <v>63</v>
      </c>
      <c r="G563" s="119">
        <v>9</v>
      </c>
      <c r="H563" s="120" t="s">
        <v>64</v>
      </c>
    </row>
    <row r="564" spans="1:8" ht="19.899999999999999" customHeight="1">
      <c r="A564" s="121">
        <v>46051</v>
      </c>
      <c r="B564" s="112" t="s">
        <v>26</v>
      </c>
      <c r="C564" s="113" t="s">
        <v>27</v>
      </c>
      <c r="D564" s="112" t="s">
        <v>1</v>
      </c>
      <c r="E564" s="122">
        <v>1.6076388888888891</v>
      </c>
      <c r="F564" s="112" t="s">
        <v>34</v>
      </c>
      <c r="G564" s="114">
        <v>5</v>
      </c>
      <c r="H564" s="115" t="s">
        <v>139</v>
      </c>
    </row>
    <row r="565" spans="1:8" ht="19.899999999999999" customHeight="1">
      <c r="A565" s="121">
        <v>46051</v>
      </c>
      <c r="B565" s="112" t="s">
        <v>26</v>
      </c>
      <c r="C565" s="113" t="s">
        <v>36</v>
      </c>
      <c r="D565" s="112" t="s">
        <v>1</v>
      </c>
      <c r="E565" s="122">
        <v>1.4340277777777779</v>
      </c>
      <c r="F565" s="112" t="s">
        <v>31</v>
      </c>
      <c r="G565" s="114">
        <v>4</v>
      </c>
      <c r="H565" s="115" t="s">
        <v>178</v>
      </c>
    </row>
    <row r="566" spans="1:8" ht="19.899999999999999" customHeight="1">
      <c r="A566" s="121">
        <v>46051</v>
      </c>
      <c r="B566" s="112" t="s">
        <v>26</v>
      </c>
      <c r="C566" s="113" t="s">
        <v>36</v>
      </c>
      <c r="D566" s="112" t="s">
        <v>1</v>
      </c>
      <c r="E566" s="122">
        <v>1.4340277777777779</v>
      </c>
      <c r="F566" s="112" t="s">
        <v>34</v>
      </c>
      <c r="G566" s="114">
        <v>4</v>
      </c>
      <c r="H566" s="115" t="s">
        <v>179</v>
      </c>
    </row>
    <row r="567" spans="1:8" ht="19.899999999999999" customHeight="1">
      <c r="A567" s="121">
        <v>46051</v>
      </c>
      <c r="B567" s="112" t="s">
        <v>38</v>
      </c>
      <c r="C567" s="113" t="s">
        <v>39</v>
      </c>
      <c r="D567" s="112" t="s">
        <v>1</v>
      </c>
      <c r="E567" s="122">
        <v>1.229166666666667</v>
      </c>
      <c r="F567" s="112" t="s">
        <v>46</v>
      </c>
      <c r="G567" s="114">
        <v>7</v>
      </c>
      <c r="H567" s="115" t="s">
        <v>47</v>
      </c>
    </row>
    <row r="568" spans="1:8" ht="19.899999999999999" customHeight="1">
      <c r="A568" s="121">
        <v>46051</v>
      </c>
      <c r="B568" s="112" t="s">
        <v>38</v>
      </c>
      <c r="C568" s="113" t="s">
        <v>87</v>
      </c>
      <c r="D568" s="112" t="s">
        <v>1</v>
      </c>
      <c r="E568" s="122">
        <v>1.0625</v>
      </c>
      <c r="F568" s="112" t="s">
        <v>46</v>
      </c>
      <c r="G568" s="114">
        <v>17</v>
      </c>
      <c r="H568" s="115" t="s">
        <v>47</v>
      </c>
    </row>
    <row r="569" spans="1:8" ht="19.899999999999999" customHeight="1">
      <c r="A569" s="121">
        <v>46051</v>
      </c>
      <c r="B569" s="112" t="s">
        <v>48</v>
      </c>
      <c r="C569" s="113" t="s">
        <v>59</v>
      </c>
      <c r="D569" s="112" t="s">
        <v>1</v>
      </c>
      <c r="E569" s="122">
        <v>1.229166666666667</v>
      </c>
      <c r="F569" s="112" t="s">
        <v>53</v>
      </c>
      <c r="G569" s="114">
        <v>4</v>
      </c>
      <c r="H569" s="115" t="s">
        <v>93</v>
      </c>
    </row>
    <row r="570" spans="1:8" ht="19.899999999999999" customHeight="1">
      <c r="A570" s="121">
        <v>46051</v>
      </c>
      <c r="B570" s="112" t="s">
        <v>48</v>
      </c>
      <c r="C570" s="113" t="s">
        <v>49</v>
      </c>
      <c r="D570" s="112" t="s">
        <v>1</v>
      </c>
      <c r="E570" s="122">
        <v>1.354166666666667</v>
      </c>
      <c r="F570" s="112" t="s">
        <v>53</v>
      </c>
      <c r="G570" s="114">
        <v>9</v>
      </c>
      <c r="H570" s="115" t="s">
        <v>176</v>
      </c>
    </row>
    <row r="571" spans="1:8" ht="19.899999999999999" customHeight="1">
      <c r="A571" s="121">
        <v>46051</v>
      </c>
      <c r="B571" s="112" t="s">
        <v>48</v>
      </c>
      <c r="C571" s="113" t="s">
        <v>56</v>
      </c>
      <c r="D571" s="112" t="s">
        <v>1</v>
      </c>
      <c r="E571" s="122">
        <v>1.895833333333333</v>
      </c>
      <c r="F571" s="112" t="s">
        <v>53</v>
      </c>
      <c r="G571" s="114">
        <v>9</v>
      </c>
      <c r="H571" s="115" t="s">
        <v>176</v>
      </c>
    </row>
    <row r="572" spans="1:8" ht="19.899999999999999" customHeight="1">
      <c r="A572" s="123">
        <v>46051</v>
      </c>
      <c r="B572" s="124" t="s">
        <v>48</v>
      </c>
      <c r="C572" s="125" t="s">
        <v>58</v>
      </c>
      <c r="D572" s="124" t="s">
        <v>1</v>
      </c>
      <c r="E572" s="126">
        <v>1.1840277777777779</v>
      </c>
      <c r="F572" s="124" t="s">
        <v>53</v>
      </c>
      <c r="G572" s="127">
        <v>9</v>
      </c>
      <c r="H572" s="128" t="s">
        <v>176</v>
      </c>
    </row>
    <row r="573" spans="1:8" ht="19.899999999999999" customHeight="1">
      <c r="A573" s="121">
        <v>46052</v>
      </c>
      <c r="B573" s="112" t="s">
        <v>38</v>
      </c>
      <c r="C573" s="113" t="s">
        <v>39</v>
      </c>
      <c r="D573" s="112" t="s">
        <v>1</v>
      </c>
      <c r="E573" s="122">
        <v>1.229166666666667</v>
      </c>
      <c r="F573" s="112" t="s">
        <v>40</v>
      </c>
      <c r="G573" s="114">
        <v>28</v>
      </c>
      <c r="H573" s="115" t="s">
        <v>121</v>
      </c>
    </row>
    <row r="574" spans="1:8" ht="19.899999999999999" customHeight="1">
      <c r="A574" s="121">
        <v>46052</v>
      </c>
      <c r="B574" s="112" t="s">
        <v>26</v>
      </c>
      <c r="C574" s="113" t="s">
        <v>27</v>
      </c>
      <c r="D574" s="112" t="s">
        <v>1</v>
      </c>
      <c r="E574" s="122">
        <v>1.6076388888888891</v>
      </c>
      <c r="F574" s="112" t="s">
        <v>28</v>
      </c>
      <c r="G574" s="114">
        <v>5</v>
      </c>
      <c r="H574" s="115" t="s">
        <v>161</v>
      </c>
    </row>
    <row r="575" spans="1:8" ht="19.899999999999999" customHeight="1">
      <c r="A575" s="121">
        <v>46052</v>
      </c>
      <c r="B575" s="112" t="s">
        <v>38</v>
      </c>
      <c r="C575" s="113" t="s">
        <v>39</v>
      </c>
      <c r="D575" s="112" t="s">
        <v>1</v>
      </c>
      <c r="E575" s="122">
        <v>1.229166666666667</v>
      </c>
      <c r="F575" s="112" t="s">
        <v>43</v>
      </c>
      <c r="G575" s="114">
        <v>28</v>
      </c>
      <c r="H575" s="115" t="s">
        <v>123</v>
      </c>
    </row>
    <row r="576" spans="1:8" ht="19.899999999999999" customHeight="1">
      <c r="A576" s="121">
        <v>46052</v>
      </c>
      <c r="B576" s="112" t="s">
        <v>26</v>
      </c>
      <c r="C576" s="113" t="s">
        <v>27</v>
      </c>
      <c r="D576" s="112" t="s">
        <v>1</v>
      </c>
      <c r="E576" s="122">
        <v>1.6076388888888891</v>
      </c>
      <c r="F576" s="112" t="s">
        <v>31</v>
      </c>
      <c r="G576" s="114">
        <v>5</v>
      </c>
      <c r="H576" s="115" t="s">
        <v>162</v>
      </c>
    </row>
    <row r="577" spans="1:8" ht="19.899999999999999" customHeight="1">
      <c r="A577" s="121">
        <v>46052</v>
      </c>
      <c r="B577" s="112" t="s">
        <v>26</v>
      </c>
      <c r="C577" s="113" t="s">
        <v>27</v>
      </c>
      <c r="D577" s="112" t="s">
        <v>1</v>
      </c>
      <c r="E577" s="122">
        <v>1.6076388888888891</v>
      </c>
      <c r="F577" s="112" t="s">
        <v>34</v>
      </c>
      <c r="G577" s="114">
        <v>5</v>
      </c>
      <c r="H577" s="115" t="s">
        <v>163</v>
      </c>
    </row>
    <row r="578" spans="1:8" ht="19.899999999999999" customHeight="1">
      <c r="A578" s="121">
        <v>46052</v>
      </c>
      <c r="B578" s="112" t="s">
        <v>68</v>
      </c>
      <c r="C578" s="113" t="s">
        <v>74</v>
      </c>
      <c r="D578" s="112" t="s">
        <v>1</v>
      </c>
      <c r="E578" s="122">
        <v>1.336805555555556</v>
      </c>
      <c r="F578" s="112" t="s">
        <v>70</v>
      </c>
      <c r="G578" s="114">
        <v>9</v>
      </c>
      <c r="H578" s="115" t="s">
        <v>71</v>
      </c>
    </row>
    <row r="579" spans="1:8" ht="19.899999999999999" customHeight="1">
      <c r="A579" s="121">
        <v>46052</v>
      </c>
      <c r="B579" s="112" t="s">
        <v>68</v>
      </c>
      <c r="C579" s="113" t="s">
        <v>69</v>
      </c>
      <c r="D579" s="112" t="s">
        <v>1</v>
      </c>
      <c r="E579" s="122">
        <v>1.9409722222222221</v>
      </c>
      <c r="F579" s="112" t="s">
        <v>70</v>
      </c>
      <c r="G579" s="114">
        <v>9</v>
      </c>
      <c r="H579" s="115" t="s">
        <v>71</v>
      </c>
    </row>
    <row r="580" spans="1:8" ht="19.899999999999999" customHeight="1">
      <c r="A580" s="121">
        <v>46052</v>
      </c>
      <c r="B580" s="112" t="s">
        <v>38</v>
      </c>
      <c r="C580" s="113" t="s">
        <v>39</v>
      </c>
      <c r="D580" s="112" t="s">
        <v>1</v>
      </c>
      <c r="E580" s="122">
        <v>1.229166666666667</v>
      </c>
      <c r="F580" s="112" t="s">
        <v>46</v>
      </c>
      <c r="G580" s="114">
        <v>28</v>
      </c>
      <c r="H580" s="115" t="s">
        <v>47</v>
      </c>
    </row>
    <row r="581" spans="1:8" ht="19.899999999999999" customHeight="1">
      <c r="A581" s="121">
        <v>46052</v>
      </c>
      <c r="B581" s="112" t="s">
        <v>68</v>
      </c>
      <c r="C581" s="113" t="s">
        <v>76</v>
      </c>
      <c r="D581" s="112" t="s">
        <v>1</v>
      </c>
      <c r="E581" s="122">
        <v>1.697916666666667</v>
      </c>
      <c r="F581" s="112" t="s">
        <v>70</v>
      </c>
      <c r="G581" s="114">
        <v>9</v>
      </c>
      <c r="H581" s="115" t="s">
        <v>185</v>
      </c>
    </row>
    <row r="582" spans="1:8" ht="19.899999999999999" customHeight="1">
      <c r="A582" s="121">
        <v>46052</v>
      </c>
      <c r="B582" s="112" t="s">
        <v>68</v>
      </c>
      <c r="C582" s="113" t="s">
        <v>73</v>
      </c>
      <c r="D582" s="112" t="s">
        <v>1</v>
      </c>
      <c r="E582" s="122">
        <v>1.288194444444444</v>
      </c>
      <c r="F582" s="112" t="s">
        <v>70</v>
      </c>
      <c r="G582" s="114">
        <v>9</v>
      </c>
      <c r="H582" s="115" t="s">
        <v>185</v>
      </c>
    </row>
    <row r="583" spans="1:8" ht="19.899999999999999" customHeight="1">
      <c r="A583" s="121">
        <v>46052</v>
      </c>
      <c r="B583" s="112" t="s">
        <v>48</v>
      </c>
      <c r="C583" s="113" t="s">
        <v>59</v>
      </c>
      <c r="D583" s="112" t="s">
        <v>1</v>
      </c>
      <c r="E583" s="122">
        <v>1.229166666666667</v>
      </c>
      <c r="F583" s="112" t="s">
        <v>53</v>
      </c>
      <c r="G583" s="114">
        <v>4</v>
      </c>
      <c r="H583" s="115" t="s">
        <v>124</v>
      </c>
    </row>
    <row r="584" spans="1:8" ht="19.899999999999999" customHeight="1">
      <c r="A584" s="121">
        <v>46052</v>
      </c>
      <c r="B584" s="112" t="s">
        <v>68</v>
      </c>
      <c r="C584" s="113" t="s">
        <v>72</v>
      </c>
      <c r="D584" s="112" t="s">
        <v>1</v>
      </c>
      <c r="E584" s="122">
        <v>1.0659722222222221</v>
      </c>
      <c r="F584" s="112" t="s">
        <v>70</v>
      </c>
      <c r="G584" s="114">
        <v>9</v>
      </c>
      <c r="H584" s="115" t="s">
        <v>169</v>
      </c>
    </row>
    <row r="585" spans="1:8" ht="19.899999999999999" customHeight="1">
      <c r="A585" s="121">
        <v>46052</v>
      </c>
      <c r="B585" s="112" t="s">
        <v>48</v>
      </c>
      <c r="C585" s="113" t="s">
        <v>49</v>
      </c>
      <c r="D585" s="112" t="s">
        <v>1</v>
      </c>
      <c r="E585" s="122">
        <v>1.350694444444444</v>
      </c>
      <c r="F585" s="112" t="s">
        <v>53</v>
      </c>
      <c r="G585" s="114">
        <v>9</v>
      </c>
      <c r="H585" s="115" t="s">
        <v>176</v>
      </c>
    </row>
    <row r="586" spans="1:8" ht="19.899999999999999" customHeight="1">
      <c r="A586" s="121">
        <v>46052</v>
      </c>
      <c r="B586" s="112" t="s">
        <v>48</v>
      </c>
      <c r="C586" s="113" t="s">
        <v>56</v>
      </c>
      <c r="D586" s="112" t="s">
        <v>1</v>
      </c>
      <c r="E586" s="122">
        <v>1.895833333333333</v>
      </c>
      <c r="F586" s="112" t="s">
        <v>53</v>
      </c>
      <c r="G586" s="114">
        <v>9</v>
      </c>
      <c r="H586" s="115" t="s">
        <v>176</v>
      </c>
    </row>
    <row r="587" spans="1:8" ht="19.899999999999999" customHeight="1">
      <c r="A587" s="123">
        <v>46052</v>
      </c>
      <c r="B587" s="124" t="s">
        <v>48</v>
      </c>
      <c r="C587" s="125" t="s">
        <v>58</v>
      </c>
      <c r="D587" s="124" t="s">
        <v>1</v>
      </c>
      <c r="E587" s="126">
        <v>1.1840277777777779</v>
      </c>
      <c r="F587" s="124" t="s">
        <v>53</v>
      </c>
      <c r="G587" s="127">
        <v>9</v>
      </c>
      <c r="H587" s="128" t="s">
        <v>176</v>
      </c>
    </row>
    <row r="588" spans="1:8" ht="19.899999999999999" customHeight="1">
      <c r="A588" s="121">
        <v>46053</v>
      </c>
      <c r="B588" s="112" t="s">
        <v>38</v>
      </c>
      <c r="C588" s="113" t="s">
        <v>39</v>
      </c>
      <c r="D588" s="112" t="s">
        <v>1</v>
      </c>
      <c r="E588" s="122">
        <v>1.229166666666667</v>
      </c>
      <c r="F588" s="112" t="s">
        <v>40</v>
      </c>
      <c r="G588" s="114">
        <v>21</v>
      </c>
      <c r="H588" s="115" t="s">
        <v>78</v>
      </c>
    </row>
    <row r="589" spans="1:8" ht="19.899999999999999" customHeight="1">
      <c r="A589" s="121">
        <v>46053</v>
      </c>
      <c r="B589" s="112" t="s">
        <v>38</v>
      </c>
      <c r="C589" s="113" t="s">
        <v>87</v>
      </c>
      <c r="D589" s="112" t="s">
        <v>1</v>
      </c>
      <c r="E589" s="122">
        <v>1.0625</v>
      </c>
      <c r="F589" s="112" t="s">
        <v>40</v>
      </c>
      <c r="G589" s="114">
        <v>20</v>
      </c>
      <c r="H589" s="115" t="s">
        <v>78</v>
      </c>
    </row>
    <row r="590" spans="1:8" ht="19.899999999999999" customHeight="1">
      <c r="A590" s="121">
        <v>46053</v>
      </c>
      <c r="B590" s="112" t="s">
        <v>26</v>
      </c>
      <c r="C590" s="113" t="s">
        <v>27</v>
      </c>
      <c r="D590" s="112" t="s">
        <v>1</v>
      </c>
      <c r="E590" s="122">
        <v>1.6076388888888891</v>
      </c>
      <c r="F590" s="112" t="s">
        <v>28</v>
      </c>
      <c r="G590" s="114">
        <v>4</v>
      </c>
      <c r="H590" s="115" t="s">
        <v>89</v>
      </c>
    </row>
    <row r="591" spans="1:8" ht="19.899999999999999" customHeight="1">
      <c r="A591" s="121">
        <v>46053</v>
      </c>
      <c r="B591" s="112" t="s">
        <v>26</v>
      </c>
      <c r="C591" s="113" t="s">
        <v>36</v>
      </c>
      <c r="D591" s="112" t="s">
        <v>1</v>
      </c>
      <c r="E591" s="122">
        <v>1.4340277777777779</v>
      </c>
      <c r="F591" s="112" t="s">
        <v>28</v>
      </c>
      <c r="G591" s="114">
        <v>3</v>
      </c>
      <c r="H591" s="115" t="s">
        <v>89</v>
      </c>
    </row>
    <row r="592" spans="1:8" ht="19.899999999999999" customHeight="1">
      <c r="A592" s="121">
        <v>46053</v>
      </c>
      <c r="B592" s="112" t="s">
        <v>38</v>
      </c>
      <c r="C592" s="113" t="s">
        <v>39</v>
      </c>
      <c r="D592" s="112" t="s">
        <v>1</v>
      </c>
      <c r="E592" s="122">
        <v>1.229166666666667</v>
      </c>
      <c r="F592" s="112" t="s">
        <v>43</v>
      </c>
      <c r="G592" s="114">
        <v>21</v>
      </c>
      <c r="H592" s="115" t="s">
        <v>79</v>
      </c>
    </row>
    <row r="593" spans="1:8" ht="19.899999999999999" customHeight="1">
      <c r="A593" s="121">
        <v>46053</v>
      </c>
      <c r="B593" s="112" t="s">
        <v>38</v>
      </c>
      <c r="C593" s="113" t="s">
        <v>87</v>
      </c>
      <c r="D593" s="112" t="s">
        <v>1</v>
      </c>
      <c r="E593" s="122">
        <v>1.0625</v>
      </c>
      <c r="F593" s="112" t="s">
        <v>43</v>
      </c>
      <c r="G593" s="114">
        <v>20</v>
      </c>
      <c r="H593" s="115" t="s">
        <v>79</v>
      </c>
    </row>
    <row r="594" spans="1:8" ht="19.899999999999999" customHeight="1">
      <c r="A594" s="121">
        <v>46053</v>
      </c>
      <c r="B594" s="112" t="s">
        <v>26</v>
      </c>
      <c r="C594" s="113" t="s">
        <v>27</v>
      </c>
      <c r="D594" s="112" t="s">
        <v>1</v>
      </c>
      <c r="E594" s="122">
        <v>1.6076388888888891</v>
      </c>
      <c r="F594" s="112" t="s">
        <v>31</v>
      </c>
      <c r="G594" s="114">
        <v>4</v>
      </c>
      <c r="H594" s="115" t="s">
        <v>138</v>
      </c>
    </row>
    <row r="595" spans="1:8" ht="19.899999999999999" customHeight="1">
      <c r="A595" s="121">
        <v>46053</v>
      </c>
      <c r="B595" s="112" t="s">
        <v>26</v>
      </c>
      <c r="C595" s="113" t="s">
        <v>36</v>
      </c>
      <c r="D595" s="112" t="s">
        <v>1</v>
      </c>
      <c r="E595" s="122">
        <v>1.4340277777777779</v>
      </c>
      <c r="F595" s="112" t="s">
        <v>31</v>
      </c>
      <c r="G595" s="114">
        <v>3</v>
      </c>
      <c r="H595" s="115" t="s">
        <v>138</v>
      </c>
    </row>
    <row r="596" spans="1:8" ht="19.899999999999999" customHeight="1">
      <c r="A596" s="129">
        <v>46053</v>
      </c>
      <c r="B596" s="117" t="s">
        <v>61</v>
      </c>
      <c r="C596" s="118" t="s">
        <v>62</v>
      </c>
      <c r="D596" s="117" t="s">
        <v>1</v>
      </c>
      <c r="E596" s="130">
        <v>1.2361111111111109</v>
      </c>
      <c r="F596" s="117" t="s">
        <v>63</v>
      </c>
      <c r="G596" s="119">
        <v>9</v>
      </c>
      <c r="H596" s="120" t="s">
        <v>64</v>
      </c>
    </row>
    <row r="597" spans="1:8" ht="19.899999999999999" customHeight="1">
      <c r="A597" s="121">
        <v>46053</v>
      </c>
      <c r="B597" s="112" t="s">
        <v>26</v>
      </c>
      <c r="C597" s="113" t="s">
        <v>27</v>
      </c>
      <c r="D597" s="112" t="s">
        <v>1</v>
      </c>
      <c r="E597" s="122">
        <v>1.6076388888888891</v>
      </c>
      <c r="F597" s="112" t="s">
        <v>34</v>
      </c>
      <c r="G597" s="114">
        <v>4</v>
      </c>
      <c r="H597" s="115" t="s">
        <v>139</v>
      </c>
    </row>
    <row r="598" spans="1:8" ht="19.899999999999999" customHeight="1">
      <c r="A598" s="121">
        <v>46053</v>
      </c>
      <c r="B598" s="112" t="s">
        <v>26</v>
      </c>
      <c r="C598" s="113" t="s">
        <v>36</v>
      </c>
      <c r="D598" s="112" t="s">
        <v>1</v>
      </c>
      <c r="E598" s="122">
        <v>1.4340277777777779</v>
      </c>
      <c r="F598" s="112" t="s">
        <v>34</v>
      </c>
      <c r="G598" s="114">
        <v>3</v>
      </c>
      <c r="H598" s="115" t="s">
        <v>139</v>
      </c>
    </row>
    <row r="599" spans="1:8" ht="19.899999999999999" customHeight="1">
      <c r="A599" s="121">
        <v>46053</v>
      </c>
      <c r="B599" s="112" t="s">
        <v>68</v>
      </c>
      <c r="C599" s="113" t="s">
        <v>69</v>
      </c>
      <c r="D599" s="112" t="s">
        <v>1</v>
      </c>
      <c r="E599" s="122">
        <v>1.9409722222222221</v>
      </c>
      <c r="F599" s="112" t="s">
        <v>70</v>
      </c>
      <c r="G599" s="114">
        <v>9</v>
      </c>
      <c r="H599" s="115" t="s">
        <v>71</v>
      </c>
    </row>
    <row r="600" spans="1:8" ht="19.899999999999999" customHeight="1">
      <c r="A600" s="121">
        <v>46053</v>
      </c>
      <c r="B600" s="112" t="s">
        <v>68</v>
      </c>
      <c r="C600" s="113" t="s">
        <v>76</v>
      </c>
      <c r="D600" s="112" t="s">
        <v>1</v>
      </c>
      <c r="E600" s="122">
        <v>1.697916666666667</v>
      </c>
      <c r="F600" s="112" t="s">
        <v>70</v>
      </c>
      <c r="G600" s="114">
        <v>9</v>
      </c>
      <c r="H600" s="115" t="s">
        <v>71</v>
      </c>
    </row>
    <row r="601" spans="1:8" ht="19.899999999999999" customHeight="1">
      <c r="A601" s="121">
        <v>46053</v>
      </c>
      <c r="B601" s="112" t="s">
        <v>68</v>
      </c>
      <c r="C601" s="113" t="s">
        <v>72</v>
      </c>
      <c r="D601" s="112" t="s">
        <v>1</v>
      </c>
      <c r="E601" s="122">
        <v>1.0659722222222221</v>
      </c>
      <c r="F601" s="112" t="s">
        <v>70</v>
      </c>
      <c r="G601" s="114">
        <v>9</v>
      </c>
      <c r="H601" s="115" t="s">
        <v>71</v>
      </c>
    </row>
    <row r="602" spans="1:8" ht="19.899999999999999" customHeight="1">
      <c r="A602" s="121">
        <v>46053</v>
      </c>
      <c r="B602" s="112" t="s">
        <v>68</v>
      </c>
      <c r="C602" s="113" t="s">
        <v>73</v>
      </c>
      <c r="D602" s="112" t="s">
        <v>1</v>
      </c>
      <c r="E602" s="122">
        <v>1.288194444444444</v>
      </c>
      <c r="F602" s="112" t="s">
        <v>70</v>
      </c>
      <c r="G602" s="114">
        <v>9</v>
      </c>
      <c r="H602" s="115" t="s">
        <v>71</v>
      </c>
    </row>
    <row r="603" spans="1:8" ht="19.899999999999999" customHeight="1">
      <c r="A603" s="121">
        <v>46053</v>
      </c>
      <c r="B603" s="112" t="s">
        <v>38</v>
      </c>
      <c r="C603" s="113" t="s">
        <v>39</v>
      </c>
      <c r="D603" s="112" t="s">
        <v>1</v>
      </c>
      <c r="E603" s="122">
        <v>1.229166666666667</v>
      </c>
      <c r="F603" s="112" t="s">
        <v>46</v>
      </c>
      <c r="G603" s="114">
        <v>21</v>
      </c>
      <c r="H603" s="115" t="s">
        <v>47</v>
      </c>
    </row>
    <row r="604" spans="1:8" ht="19.899999999999999" customHeight="1">
      <c r="A604" s="121">
        <v>46053</v>
      </c>
      <c r="B604" s="112" t="s">
        <v>38</v>
      </c>
      <c r="C604" s="113" t="s">
        <v>87</v>
      </c>
      <c r="D604" s="112" t="s">
        <v>1</v>
      </c>
      <c r="E604" s="122">
        <v>1.0625</v>
      </c>
      <c r="F604" s="112" t="s">
        <v>46</v>
      </c>
      <c r="G604" s="114">
        <v>20</v>
      </c>
      <c r="H604" s="115" t="s">
        <v>47</v>
      </c>
    </row>
    <row r="605" spans="1:8" ht="19.899999999999999" customHeight="1">
      <c r="A605" s="121">
        <v>46053</v>
      </c>
      <c r="B605" s="112" t="s">
        <v>48</v>
      </c>
      <c r="C605" s="113" t="s">
        <v>59</v>
      </c>
      <c r="D605" s="112" t="s">
        <v>1</v>
      </c>
      <c r="E605" s="122">
        <v>1.229166666666667</v>
      </c>
      <c r="F605" s="112" t="s">
        <v>53</v>
      </c>
      <c r="G605" s="114">
        <v>4</v>
      </c>
      <c r="H605" s="115" t="s">
        <v>93</v>
      </c>
    </row>
    <row r="606" spans="1:8" ht="19.899999999999999" customHeight="1">
      <c r="A606" s="121">
        <v>46053</v>
      </c>
      <c r="B606" s="112" t="s">
        <v>48</v>
      </c>
      <c r="C606" s="113" t="s">
        <v>49</v>
      </c>
      <c r="D606" s="112" t="s">
        <v>1</v>
      </c>
      <c r="E606" s="122">
        <v>1.354166666666667</v>
      </c>
      <c r="F606" s="112" t="s">
        <v>53</v>
      </c>
      <c r="G606" s="114">
        <v>9</v>
      </c>
      <c r="H606" s="115" t="s">
        <v>176</v>
      </c>
    </row>
    <row r="607" spans="1:8" ht="19.899999999999999" customHeight="1">
      <c r="A607" s="121">
        <v>46053</v>
      </c>
      <c r="B607" s="112" t="s">
        <v>48</v>
      </c>
      <c r="C607" s="113" t="s">
        <v>56</v>
      </c>
      <c r="D607" s="112" t="s">
        <v>1</v>
      </c>
      <c r="E607" s="122">
        <v>1.895833333333333</v>
      </c>
      <c r="F607" s="112" t="s">
        <v>53</v>
      </c>
      <c r="G607" s="114">
        <v>9</v>
      </c>
      <c r="H607" s="115" t="s">
        <v>176</v>
      </c>
    </row>
    <row r="608" spans="1:8" ht="19.899999999999999" customHeight="1">
      <c r="A608" s="121">
        <v>46053</v>
      </c>
      <c r="B608" s="112" t="s">
        <v>48</v>
      </c>
      <c r="C608" s="113" t="s">
        <v>58</v>
      </c>
      <c r="D608" s="112" t="s">
        <v>1</v>
      </c>
      <c r="E608" s="122">
        <v>1.1840277777777779</v>
      </c>
      <c r="F608" s="112" t="s">
        <v>53</v>
      </c>
      <c r="G608" s="114">
        <v>9</v>
      </c>
      <c r="H608" s="115" t="s">
        <v>176</v>
      </c>
    </row>
    <row r="609" spans="1:8" ht="19.899999999999999" customHeight="1">
      <c r="A609" s="123">
        <v>46053</v>
      </c>
      <c r="B609" s="124" t="s">
        <v>68</v>
      </c>
      <c r="C609" s="125" t="s">
        <v>74</v>
      </c>
      <c r="D609" s="124" t="s">
        <v>1</v>
      </c>
      <c r="E609" s="126">
        <v>1.336805555555556</v>
      </c>
      <c r="F609" s="124" t="s">
        <v>70</v>
      </c>
      <c r="G609" s="127">
        <v>9</v>
      </c>
      <c r="H609" s="128" t="s">
        <v>180</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9"/>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65.28515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31" t="s">
        <v>254</v>
      </c>
      <c r="B2" s="132" t="s">
        <v>61</v>
      </c>
      <c r="C2" s="133" t="s">
        <v>62</v>
      </c>
      <c r="D2" s="132" t="s">
        <v>1</v>
      </c>
      <c r="E2" s="132" t="s">
        <v>231</v>
      </c>
      <c r="F2" s="132" t="s">
        <v>63</v>
      </c>
      <c r="G2" s="134">
        <v>9</v>
      </c>
      <c r="H2" s="135" t="s">
        <v>64</v>
      </c>
    </row>
    <row r="3" spans="1:8" ht="19.899999999999999" customHeight="1">
      <c r="A3" s="121">
        <v>46024</v>
      </c>
      <c r="B3" s="112" t="s">
        <v>38</v>
      </c>
      <c r="C3" s="113" t="s">
        <v>39</v>
      </c>
      <c r="D3" s="112" t="s">
        <v>1</v>
      </c>
      <c r="E3" s="122">
        <v>1.229166666666667</v>
      </c>
      <c r="F3" s="112" t="s">
        <v>40</v>
      </c>
      <c r="G3" s="114">
        <v>4</v>
      </c>
      <c r="H3" s="115" t="s">
        <v>78</v>
      </c>
    </row>
    <row r="4" spans="1:8" ht="19.899999999999999" customHeight="1">
      <c r="A4" s="121">
        <v>46024</v>
      </c>
      <c r="B4" s="112" t="s">
        <v>26</v>
      </c>
      <c r="C4" s="113" t="s">
        <v>27</v>
      </c>
      <c r="D4" s="112" t="s">
        <v>1</v>
      </c>
      <c r="E4" s="122">
        <v>1.6076388888888891</v>
      </c>
      <c r="F4" s="112" t="s">
        <v>28</v>
      </c>
      <c r="G4" s="114">
        <v>9</v>
      </c>
      <c r="H4" s="115" t="s">
        <v>81</v>
      </c>
    </row>
    <row r="5" spans="1:8" ht="19.899999999999999" customHeight="1">
      <c r="A5" s="121">
        <v>46024</v>
      </c>
      <c r="B5" s="112" t="s">
        <v>26</v>
      </c>
      <c r="C5" s="113" t="s">
        <v>27</v>
      </c>
      <c r="D5" s="112" t="s">
        <v>1</v>
      </c>
      <c r="E5" s="122">
        <v>1.6076388888888891</v>
      </c>
      <c r="F5" s="112" t="s">
        <v>31</v>
      </c>
      <c r="G5" s="114">
        <v>9</v>
      </c>
      <c r="H5" s="115" t="s">
        <v>83</v>
      </c>
    </row>
    <row r="6" spans="1:8" ht="19.899999999999999" customHeight="1">
      <c r="A6" s="121">
        <v>46024</v>
      </c>
      <c r="B6" s="112" t="s">
        <v>38</v>
      </c>
      <c r="C6" s="113" t="s">
        <v>39</v>
      </c>
      <c r="D6" s="112" t="s">
        <v>1</v>
      </c>
      <c r="E6" s="122">
        <v>1.229166666666667</v>
      </c>
      <c r="F6" s="112" t="s">
        <v>43</v>
      </c>
      <c r="G6" s="114">
        <v>4</v>
      </c>
      <c r="H6" s="115" t="s">
        <v>79</v>
      </c>
    </row>
    <row r="7" spans="1:8" ht="19.899999999999999" customHeight="1">
      <c r="A7" s="121">
        <v>46024</v>
      </c>
      <c r="B7" s="112" t="s">
        <v>26</v>
      </c>
      <c r="C7" s="113" t="s">
        <v>27</v>
      </c>
      <c r="D7" s="112" t="s">
        <v>1</v>
      </c>
      <c r="E7" s="122">
        <v>1.6076388888888891</v>
      </c>
      <c r="F7" s="112" t="s">
        <v>34</v>
      </c>
      <c r="G7" s="114">
        <v>9</v>
      </c>
      <c r="H7" s="115" t="s">
        <v>45</v>
      </c>
    </row>
    <row r="8" spans="1:8" ht="19.899999999999999" customHeight="1">
      <c r="A8" s="121">
        <v>46024</v>
      </c>
      <c r="B8" s="112" t="s">
        <v>68</v>
      </c>
      <c r="C8" s="113" t="s">
        <v>69</v>
      </c>
      <c r="D8" s="112" t="s">
        <v>1</v>
      </c>
      <c r="E8" s="122">
        <v>1.9409722222222221</v>
      </c>
      <c r="F8" s="112" t="s">
        <v>70</v>
      </c>
      <c r="G8" s="114">
        <v>9</v>
      </c>
      <c r="H8" s="115" t="s">
        <v>71</v>
      </c>
    </row>
    <row r="9" spans="1:8" ht="19.899999999999999" customHeight="1">
      <c r="A9" s="121">
        <v>46024</v>
      </c>
      <c r="B9" s="112" t="s">
        <v>68</v>
      </c>
      <c r="C9" s="113" t="s">
        <v>76</v>
      </c>
      <c r="D9" s="112" t="s">
        <v>1</v>
      </c>
      <c r="E9" s="122">
        <v>1.697916666666667</v>
      </c>
      <c r="F9" s="112" t="s">
        <v>70</v>
      </c>
      <c r="G9" s="114">
        <v>9</v>
      </c>
      <c r="H9" s="115" t="s">
        <v>71</v>
      </c>
    </row>
    <row r="10" spans="1:8" ht="19.899999999999999" customHeight="1">
      <c r="A10" s="121">
        <v>46024</v>
      </c>
      <c r="B10" s="112" t="s">
        <v>68</v>
      </c>
      <c r="C10" s="113" t="s">
        <v>72</v>
      </c>
      <c r="D10" s="112" t="s">
        <v>1</v>
      </c>
      <c r="E10" s="122">
        <v>1.0659722222222221</v>
      </c>
      <c r="F10" s="112" t="s">
        <v>70</v>
      </c>
      <c r="G10" s="114">
        <v>9</v>
      </c>
      <c r="H10" s="115" t="s">
        <v>71</v>
      </c>
    </row>
    <row r="11" spans="1:8" ht="19.899999999999999" customHeight="1">
      <c r="A11" s="121">
        <v>46024</v>
      </c>
      <c r="B11" s="112" t="s">
        <v>68</v>
      </c>
      <c r="C11" s="113" t="s">
        <v>73</v>
      </c>
      <c r="D11" s="112" t="s">
        <v>1</v>
      </c>
      <c r="E11" s="122">
        <v>1.288194444444444</v>
      </c>
      <c r="F11" s="112" t="s">
        <v>70</v>
      </c>
      <c r="G11" s="114">
        <v>9</v>
      </c>
      <c r="H11" s="115" t="s">
        <v>71</v>
      </c>
    </row>
    <row r="12" spans="1:8" ht="19.899999999999999" customHeight="1">
      <c r="A12" s="121">
        <v>46024</v>
      </c>
      <c r="B12" s="112" t="s">
        <v>38</v>
      </c>
      <c r="C12" s="113" t="s">
        <v>39</v>
      </c>
      <c r="D12" s="112" t="s">
        <v>1</v>
      </c>
      <c r="E12" s="122">
        <v>1.229166666666667</v>
      </c>
      <c r="F12" s="112" t="s">
        <v>46</v>
      </c>
      <c r="G12" s="114">
        <v>4</v>
      </c>
      <c r="H12" s="115" t="s">
        <v>47</v>
      </c>
    </row>
    <row r="13" spans="1:8" ht="19.899999999999999" customHeight="1">
      <c r="A13" s="121">
        <v>46024</v>
      </c>
      <c r="B13" s="112" t="s">
        <v>68</v>
      </c>
      <c r="C13" s="113" t="s">
        <v>74</v>
      </c>
      <c r="D13" s="112" t="s">
        <v>1</v>
      </c>
      <c r="E13" s="122">
        <v>1.336805555555556</v>
      </c>
      <c r="F13" s="112" t="s">
        <v>70</v>
      </c>
      <c r="G13" s="114">
        <v>9</v>
      </c>
      <c r="H13" s="115" t="s">
        <v>84</v>
      </c>
    </row>
    <row r="14" spans="1:8" ht="19.899999999999999" customHeight="1">
      <c r="A14" s="121">
        <v>46024</v>
      </c>
      <c r="B14" s="112" t="s">
        <v>48</v>
      </c>
      <c r="C14" s="113" t="s">
        <v>59</v>
      </c>
      <c r="D14" s="112" t="s">
        <v>1</v>
      </c>
      <c r="E14" s="122">
        <v>1.229166666666667</v>
      </c>
      <c r="F14" s="112" t="s">
        <v>53</v>
      </c>
      <c r="G14" s="114">
        <v>4</v>
      </c>
      <c r="H14" s="115" t="s">
        <v>85</v>
      </c>
    </row>
    <row r="15" spans="1:8" ht="19.899999999999999" customHeight="1">
      <c r="A15" s="121">
        <v>46024</v>
      </c>
      <c r="B15" s="112" t="s">
        <v>48</v>
      </c>
      <c r="C15" s="113" t="s">
        <v>49</v>
      </c>
      <c r="D15" s="112" t="s">
        <v>1</v>
      </c>
      <c r="E15" s="122">
        <v>1.350694444444444</v>
      </c>
      <c r="F15" s="112" t="s">
        <v>53</v>
      </c>
      <c r="G15" s="114">
        <v>9</v>
      </c>
      <c r="H15" s="115" t="s">
        <v>86</v>
      </c>
    </row>
    <row r="16" spans="1:8" ht="19.899999999999999" customHeight="1">
      <c r="A16" s="121">
        <v>46024</v>
      </c>
      <c r="B16" s="112" t="s">
        <v>48</v>
      </c>
      <c r="C16" s="113" t="s">
        <v>56</v>
      </c>
      <c r="D16" s="112" t="s">
        <v>1</v>
      </c>
      <c r="E16" s="122">
        <v>1.895833333333333</v>
      </c>
      <c r="F16" s="112" t="s">
        <v>53</v>
      </c>
      <c r="G16" s="114">
        <v>9</v>
      </c>
      <c r="H16" s="115" t="s">
        <v>86</v>
      </c>
    </row>
    <row r="17" spans="1:8" ht="19.899999999999999" customHeight="1">
      <c r="A17" s="123">
        <v>46024</v>
      </c>
      <c r="B17" s="124" t="s">
        <v>48</v>
      </c>
      <c r="C17" s="125" t="s">
        <v>58</v>
      </c>
      <c r="D17" s="124" t="s">
        <v>1</v>
      </c>
      <c r="E17" s="126">
        <v>1.1840277777777779</v>
      </c>
      <c r="F17" s="124" t="s">
        <v>53</v>
      </c>
      <c r="G17" s="127">
        <v>9</v>
      </c>
      <c r="H17" s="128" t="s">
        <v>86</v>
      </c>
    </row>
    <row r="18" spans="1:8" ht="19.899999999999999" customHeight="1">
      <c r="A18" s="136">
        <v>46025</v>
      </c>
      <c r="B18" s="132" t="s">
        <v>61</v>
      </c>
      <c r="C18" s="133" t="s">
        <v>62</v>
      </c>
      <c r="D18" s="132" t="s">
        <v>1</v>
      </c>
      <c r="E18" s="137">
        <v>1.2361111111111109</v>
      </c>
      <c r="F18" s="132" t="s">
        <v>63</v>
      </c>
      <c r="G18" s="134">
        <v>9</v>
      </c>
      <c r="H18" s="135" t="s">
        <v>64</v>
      </c>
    </row>
    <row r="19" spans="1:8" ht="19.899999999999999" customHeight="1">
      <c r="A19" s="136">
        <v>46026</v>
      </c>
      <c r="B19" s="132" t="s">
        <v>61</v>
      </c>
      <c r="C19" s="133" t="s">
        <v>62</v>
      </c>
      <c r="D19" s="132" t="s">
        <v>1</v>
      </c>
      <c r="E19" s="137">
        <v>1.743055555555556</v>
      </c>
      <c r="F19" s="132" t="s">
        <v>63</v>
      </c>
      <c r="G19" s="134">
        <v>8</v>
      </c>
      <c r="H19" s="135" t="s">
        <v>64</v>
      </c>
    </row>
    <row r="20" spans="1:8" ht="19.899999999999999" customHeight="1">
      <c r="A20" s="136">
        <v>46027</v>
      </c>
      <c r="B20" s="132" t="s">
        <v>61</v>
      </c>
      <c r="C20" s="133" t="s">
        <v>111</v>
      </c>
      <c r="D20" s="132" t="s">
        <v>1</v>
      </c>
      <c r="E20" s="137">
        <v>1.868055555555556</v>
      </c>
      <c r="F20" s="132" t="s">
        <v>63</v>
      </c>
      <c r="G20" s="134">
        <v>9</v>
      </c>
      <c r="H20" s="135" t="s">
        <v>64</v>
      </c>
    </row>
    <row r="21" spans="1:8" ht="19.899999999999999" customHeight="1">
      <c r="A21" s="136">
        <v>46028</v>
      </c>
      <c r="B21" s="132" t="s">
        <v>61</v>
      </c>
      <c r="C21" s="133" t="s">
        <v>62</v>
      </c>
      <c r="D21" s="132" t="s">
        <v>1</v>
      </c>
      <c r="E21" s="137">
        <v>1.819444444444444</v>
      </c>
      <c r="F21" s="132" t="s">
        <v>63</v>
      </c>
      <c r="G21" s="134">
        <v>9</v>
      </c>
      <c r="H21" s="135" t="s">
        <v>64</v>
      </c>
    </row>
    <row r="22" spans="1:8" ht="19.899999999999999" customHeight="1">
      <c r="A22" s="121">
        <v>46029</v>
      </c>
      <c r="B22" s="112" t="s">
        <v>38</v>
      </c>
      <c r="C22" s="113" t="s">
        <v>39</v>
      </c>
      <c r="D22" s="112" t="s">
        <v>1</v>
      </c>
      <c r="E22" s="122">
        <v>1.229166666666667</v>
      </c>
      <c r="F22" s="112" t="s">
        <v>40</v>
      </c>
      <c r="G22" s="114">
        <v>18</v>
      </c>
      <c r="H22" s="115" t="s">
        <v>121</v>
      </c>
    </row>
    <row r="23" spans="1:8" ht="19.899999999999999" customHeight="1">
      <c r="A23" s="121">
        <v>46029</v>
      </c>
      <c r="B23" s="112" t="s">
        <v>48</v>
      </c>
      <c r="C23" s="113" t="s">
        <v>49</v>
      </c>
      <c r="D23" s="112" t="s">
        <v>1</v>
      </c>
      <c r="E23" s="122">
        <v>1.350694444444444</v>
      </c>
      <c r="F23" s="112" t="s">
        <v>50</v>
      </c>
      <c r="G23" s="114">
        <v>9</v>
      </c>
      <c r="H23" s="115" t="s">
        <v>52</v>
      </c>
    </row>
    <row r="24" spans="1:8" ht="19.899999999999999" customHeight="1">
      <c r="A24" s="121">
        <v>46029</v>
      </c>
      <c r="B24" s="112" t="s">
        <v>38</v>
      </c>
      <c r="C24" s="113" t="s">
        <v>39</v>
      </c>
      <c r="D24" s="112" t="s">
        <v>1</v>
      </c>
      <c r="E24" s="122">
        <v>1.229166666666667</v>
      </c>
      <c r="F24" s="112" t="s">
        <v>43</v>
      </c>
      <c r="G24" s="114">
        <v>18</v>
      </c>
      <c r="H24" s="115" t="s">
        <v>123</v>
      </c>
    </row>
    <row r="25" spans="1:8" ht="19.899999999999999" customHeight="1">
      <c r="A25" s="121">
        <v>46029</v>
      </c>
      <c r="B25" s="112" t="s">
        <v>48</v>
      </c>
      <c r="C25" s="113" t="s">
        <v>58</v>
      </c>
      <c r="D25" s="112" t="s">
        <v>1</v>
      </c>
      <c r="E25" s="122">
        <v>1.1840277777777779</v>
      </c>
      <c r="F25" s="112" t="s">
        <v>50</v>
      </c>
      <c r="G25" s="114">
        <v>9</v>
      </c>
      <c r="H25" s="115" t="s">
        <v>109</v>
      </c>
    </row>
    <row r="26" spans="1:8" ht="19.899999999999999" customHeight="1">
      <c r="A26" s="121">
        <v>46029</v>
      </c>
      <c r="B26" s="112" t="s">
        <v>48</v>
      </c>
      <c r="C26" s="113" t="s">
        <v>49</v>
      </c>
      <c r="D26" s="112" t="s">
        <v>1</v>
      </c>
      <c r="E26" s="122">
        <v>1.350694444444444</v>
      </c>
      <c r="F26" s="112" t="s">
        <v>53</v>
      </c>
      <c r="G26" s="114">
        <v>9</v>
      </c>
      <c r="H26" s="115" t="s">
        <v>55</v>
      </c>
    </row>
    <row r="27" spans="1:8" ht="19.899999999999999" customHeight="1">
      <c r="A27" s="121">
        <v>46029</v>
      </c>
      <c r="B27" s="112" t="s">
        <v>68</v>
      </c>
      <c r="C27" s="113" t="s">
        <v>74</v>
      </c>
      <c r="D27" s="112" t="s">
        <v>1</v>
      </c>
      <c r="E27" s="122">
        <v>1.336805555555556</v>
      </c>
      <c r="F27" s="112" t="s">
        <v>70</v>
      </c>
      <c r="G27" s="114">
        <v>9</v>
      </c>
      <c r="H27" s="115" t="s">
        <v>71</v>
      </c>
    </row>
    <row r="28" spans="1:8" ht="19.899999999999999" customHeight="1">
      <c r="A28" s="121">
        <v>46029</v>
      </c>
      <c r="B28" s="112" t="s">
        <v>68</v>
      </c>
      <c r="C28" s="113" t="s">
        <v>76</v>
      </c>
      <c r="D28" s="112" t="s">
        <v>1</v>
      </c>
      <c r="E28" s="122">
        <v>1.697916666666667</v>
      </c>
      <c r="F28" s="112" t="s">
        <v>70</v>
      </c>
      <c r="G28" s="114">
        <v>9</v>
      </c>
      <c r="H28" s="115" t="s">
        <v>71</v>
      </c>
    </row>
    <row r="29" spans="1:8" ht="19.899999999999999" customHeight="1">
      <c r="A29" s="121">
        <v>46029</v>
      </c>
      <c r="B29" s="112" t="s">
        <v>68</v>
      </c>
      <c r="C29" s="113" t="s">
        <v>72</v>
      </c>
      <c r="D29" s="112" t="s">
        <v>1</v>
      </c>
      <c r="E29" s="122">
        <v>1.0659722222222221</v>
      </c>
      <c r="F29" s="112" t="s">
        <v>70</v>
      </c>
      <c r="G29" s="114">
        <v>9</v>
      </c>
      <c r="H29" s="115" t="s">
        <v>71</v>
      </c>
    </row>
    <row r="30" spans="1:8" ht="19.899999999999999" customHeight="1">
      <c r="A30" s="121">
        <v>46029</v>
      </c>
      <c r="B30" s="112" t="s">
        <v>68</v>
      </c>
      <c r="C30" s="113" t="s">
        <v>73</v>
      </c>
      <c r="D30" s="112" t="s">
        <v>1</v>
      </c>
      <c r="E30" s="122">
        <v>1.288194444444444</v>
      </c>
      <c r="F30" s="112" t="s">
        <v>70</v>
      </c>
      <c r="G30" s="114">
        <v>9</v>
      </c>
      <c r="H30" s="115" t="s">
        <v>71</v>
      </c>
    </row>
    <row r="31" spans="1:8" ht="19.899999999999999" customHeight="1">
      <c r="A31" s="121">
        <v>46029</v>
      </c>
      <c r="B31" s="112" t="s">
        <v>48</v>
      </c>
      <c r="C31" s="113" t="s">
        <v>58</v>
      </c>
      <c r="D31" s="112" t="s">
        <v>1</v>
      </c>
      <c r="E31" s="122">
        <v>1.1840277777777779</v>
      </c>
      <c r="F31" s="112" t="s">
        <v>53</v>
      </c>
      <c r="G31" s="114">
        <v>9</v>
      </c>
      <c r="H31" s="115" t="s">
        <v>110</v>
      </c>
    </row>
    <row r="32" spans="1:8" ht="19.899999999999999" customHeight="1">
      <c r="A32" s="121">
        <v>46029</v>
      </c>
      <c r="B32" s="112" t="s">
        <v>26</v>
      </c>
      <c r="C32" s="113" t="s">
        <v>27</v>
      </c>
      <c r="D32" s="112" t="s">
        <v>1</v>
      </c>
      <c r="E32" s="122">
        <v>1.6076388888888891</v>
      </c>
      <c r="F32" s="112" t="s">
        <v>28</v>
      </c>
      <c r="G32" s="114">
        <v>9</v>
      </c>
      <c r="H32" s="115" t="s">
        <v>104</v>
      </c>
    </row>
    <row r="33" spans="1:8" ht="19.899999999999999" customHeight="1">
      <c r="A33" s="121">
        <v>46029</v>
      </c>
      <c r="B33" s="112" t="s">
        <v>38</v>
      </c>
      <c r="C33" s="113" t="s">
        <v>39</v>
      </c>
      <c r="D33" s="112" t="s">
        <v>1</v>
      </c>
      <c r="E33" s="122">
        <v>1.229166666666667</v>
      </c>
      <c r="F33" s="112" t="s">
        <v>46</v>
      </c>
      <c r="G33" s="114">
        <v>18</v>
      </c>
      <c r="H33" s="115" t="s">
        <v>47</v>
      </c>
    </row>
    <row r="34" spans="1:8" ht="19.899999999999999" customHeight="1">
      <c r="A34" s="121">
        <v>46029</v>
      </c>
      <c r="B34" s="112" t="s">
        <v>48</v>
      </c>
      <c r="C34" s="113" t="s">
        <v>56</v>
      </c>
      <c r="D34" s="112" t="s">
        <v>1</v>
      </c>
      <c r="E34" s="122">
        <v>1.895833333333333</v>
      </c>
      <c r="F34" s="112" t="s">
        <v>50</v>
      </c>
      <c r="G34" s="114">
        <v>9</v>
      </c>
      <c r="H34" s="115" t="s">
        <v>116</v>
      </c>
    </row>
    <row r="35" spans="1:8" ht="19.899999999999999" customHeight="1">
      <c r="A35" s="121">
        <v>46029</v>
      </c>
      <c r="B35" s="112" t="s">
        <v>68</v>
      </c>
      <c r="C35" s="113" t="s">
        <v>69</v>
      </c>
      <c r="D35" s="112" t="s">
        <v>1</v>
      </c>
      <c r="E35" s="122">
        <v>1.9409722222222221</v>
      </c>
      <c r="F35" s="112" t="s">
        <v>70</v>
      </c>
      <c r="G35" s="114">
        <v>9</v>
      </c>
      <c r="H35" s="115" t="s">
        <v>75</v>
      </c>
    </row>
    <row r="36" spans="1:8" ht="19.899999999999999" customHeight="1">
      <c r="A36" s="121">
        <v>46029</v>
      </c>
      <c r="B36" s="112" t="s">
        <v>26</v>
      </c>
      <c r="C36" s="113" t="s">
        <v>27</v>
      </c>
      <c r="D36" s="112" t="s">
        <v>1</v>
      </c>
      <c r="E36" s="122">
        <v>1.6076388888888891</v>
      </c>
      <c r="F36" s="112" t="s">
        <v>31</v>
      </c>
      <c r="G36" s="114">
        <v>9</v>
      </c>
      <c r="H36" s="115" t="s">
        <v>105</v>
      </c>
    </row>
    <row r="37" spans="1:8" ht="19.899999999999999" customHeight="1">
      <c r="A37" s="121">
        <v>46029</v>
      </c>
      <c r="B37" s="112" t="s">
        <v>48</v>
      </c>
      <c r="C37" s="113" t="s">
        <v>56</v>
      </c>
      <c r="D37" s="112" t="s">
        <v>1</v>
      </c>
      <c r="E37" s="122">
        <v>1.895833333333333</v>
      </c>
      <c r="F37" s="112" t="s">
        <v>53</v>
      </c>
      <c r="G37" s="114">
        <v>9</v>
      </c>
      <c r="H37" s="115" t="s">
        <v>117</v>
      </c>
    </row>
    <row r="38" spans="1:8" ht="19.899999999999999" customHeight="1">
      <c r="A38" s="121">
        <v>46029</v>
      </c>
      <c r="B38" s="112" t="s">
        <v>26</v>
      </c>
      <c r="C38" s="113" t="s">
        <v>27</v>
      </c>
      <c r="D38" s="112" t="s">
        <v>1</v>
      </c>
      <c r="E38" s="122">
        <v>1.6076388888888891</v>
      </c>
      <c r="F38" s="112" t="s">
        <v>34</v>
      </c>
      <c r="G38" s="114">
        <v>9</v>
      </c>
      <c r="H38" s="115" t="s">
        <v>106</v>
      </c>
    </row>
    <row r="39" spans="1:8" ht="19.899999999999999" customHeight="1">
      <c r="A39" s="123">
        <v>46029</v>
      </c>
      <c r="B39" s="124" t="s">
        <v>48</v>
      </c>
      <c r="C39" s="125" t="s">
        <v>59</v>
      </c>
      <c r="D39" s="124" t="s">
        <v>1</v>
      </c>
      <c r="E39" s="126">
        <v>1.229166666666667</v>
      </c>
      <c r="F39" s="124" t="s">
        <v>53</v>
      </c>
      <c r="G39" s="127">
        <v>4</v>
      </c>
      <c r="H39" s="128" t="s">
        <v>124</v>
      </c>
    </row>
    <row r="40" spans="1:8" ht="19.899999999999999" customHeight="1">
      <c r="A40" s="136">
        <v>46030</v>
      </c>
      <c r="B40" s="132" t="s">
        <v>61</v>
      </c>
      <c r="C40" s="133" t="s">
        <v>62</v>
      </c>
      <c r="D40" s="132" t="s">
        <v>1</v>
      </c>
      <c r="E40" s="137">
        <v>1.381944444444444</v>
      </c>
      <c r="F40" s="132" t="s">
        <v>63</v>
      </c>
      <c r="G40" s="134">
        <v>9</v>
      </c>
      <c r="H40" s="135" t="s">
        <v>64</v>
      </c>
    </row>
    <row r="41" spans="1:8" ht="19.899999999999999" customHeight="1">
      <c r="A41" s="121">
        <v>46031</v>
      </c>
      <c r="B41" s="112" t="s">
        <v>38</v>
      </c>
      <c r="C41" s="113" t="s">
        <v>39</v>
      </c>
      <c r="D41" s="112" t="s">
        <v>1</v>
      </c>
      <c r="E41" s="122">
        <v>1.229166666666667</v>
      </c>
      <c r="F41" s="112" t="s">
        <v>40</v>
      </c>
      <c r="G41" s="114">
        <v>11</v>
      </c>
      <c r="H41" s="115" t="s">
        <v>131</v>
      </c>
    </row>
    <row r="42" spans="1:8" ht="19.899999999999999" customHeight="1">
      <c r="A42" s="121">
        <v>46031</v>
      </c>
      <c r="B42" s="112" t="s">
        <v>48</v>
      </c>
      <c r="C42" s="113" t="s">
        <v>56</v>
      </c>
      <c r="D42" s="112" t="s">
        <v>1</v>
      </c>
      <c r="E42" s="122">
        <v>1.895833333333333</v>
      </c>
      <c r="F42" s="112" t="s">
        <v>50</v>
      </c>
      <c r="G42" s="114">
        <v>9</v>
      </c>
      <c r="H42" s="115" t="s">
        <v>96</v>
      </c>
    </row>
    <row r="43" spans="1:8" ht="19.899999999999999" customHeight="1">
      <c r="A43" s="121">
        <v>46031</v>
      </c>
      <c r="B43" s="112" t="s">
        <v>48</v>
      </c>
      <c r="C43" s="113" t="s">
        <v>58</v>
      </c>
      <c r="D43" s="112" t="s">
        <v>1</v>
      </c>
      <c r="E43" s="122">
        <v>1.1840277777777779</v>
      </c>
      <c r="F43" s="112" t="s">
        <v>50</v>
      </c>
      <c r="G43" s="114">
        <v>1</v>
      </c>
      <c r="H43" s="115" t="s">
        <v>96</v>
      </c>
    </row>
    <row r="44" spans="1:8" ht="19.899999999999999" customHeight="1">
      <c r="A44" s="121">
        <v>46031</v>
      </c>
      <c r="B44" s="112" t="s">
        <v>38</v>
      </c>
      <c r="C44" s="113" t="s">
        <v>39</v>
      </c>
      <c r="D44" s="112" t="s">
        <v>1</v>
      </c>
      <c r="E44" s="122">
        <v>1.229166666666667</v>
      </c>
      <c r="F44" s="112" t="s">
        <v>43</v>
      </c>
      <c r="G44" s="114">
        <v>11</v>
      </c>
      <c r="H44" s="115" t="s">
        <v>133</v>
      </c>
    </row>
    <row r="45" spans="1:8" ht="19.899999999999999" customHeight="1">
      <c r="A45" s="121">
        <v>46031</v>
      </c>
      <c r="B45" s="112" t="s">
        <v>48</v>
      </c>
      <c r="C45" s="113" t="s">
        <v>49</v>
      </c>
      <c r="D45" s="112" t="s">
        <v>1</v>
      </c>
      <c r="E45" s="122">
        <v>1.350694444444444</v>
      </c>
      <c r="F45" s="112" t="s">
        <v>50</v>
      </c>
      <c r="G45" s="114">
        <v>9</v>
      </c>
      <c r="H45" s="115" t="s">
        <v>52</v>
      </c>
    </row>
    <row r="46" spans="1:8" ht="19.899999999999999" customHeight="1">
      <c r="A46" s="121">
        <v>46031</v>
      </c>
      <c r="B46" s="112" t="s">
        <v>48</v>
      </c>
      <c r="C46" s="113" t="s">
        <v>56</v>
      </c>
      <c r="D46" s="112" t="s">
        <v>1</v>
      </c>
      <c r="E46" s="122">
        <v>1.895833333333333</v>
      </c>
      <c r="F46" s="112" t="s">
        <v>53</v>
      </c>
      <c r="G46" s="114">
        <v>9</v>
      </c>
      <c r="H46" s="115" t="s">
        <v>97</v>
      </c>
    </row>
    <row r="47" spans="1:8" ht="19.899999999999999" customHeight="1">
      <c r="A47" s="121">
        <v>46031</v>
      </c>
      <c r="B47" s="112" t="s">
        <v>48</v>
      </c>
      <c r="C47" s="113" t="s">
        <v>58</v>
      </c>
      <c r="D47" s="112" t="s">
        <v>1</v>
      </c>
      <c r="E47" s="122">
        <v>1.1840277777777779</v>
      </c>
      <c r="F47" s="112" t="s">
        <v>53</v>
      </c>
      <c r="G47" s="114">
        <v>1</v>
      </c>
      <c r="H47" s="115" t="s">
        <v>97</v>
      </c>
    </row>
    <row r="48" spans="1:8" ht="19.899999999999999" customHeight="1">
      <c r="A48" s="121">
        <v>46031</v>
      </c>
      <c r="B48" s="112" t="s">
        <v>48</v>
      </c>
      <c r="C48" s="113" t="s">
        <v>49</v>
      </c>
      <c r="D48" s="112" t="s">
        <v>1</v>
      </c>
      <c r="E48" s="122">
        <v>1.350694444444444</v>
      </c>
      <c r="F48" s="112" t="s">
        <v>53</v>
      </c>
      <c r="G48" s="114">
        <v>9</v>
      </c>
      <c r="H48" s="115" t="s">
        <v>55</v>
      </c>
    </row>
    <row r="49" spans="1:8" ht="19.899999999999999" customHeight="1">
      <c r="A49" s="121">
        <v>46031</v>
      </c>
      <c r="B49" s="112" t="s">
        <v>68</v>
      </c>
      <c r="C49" s="113" t="s">
        <v>74</v>
      </c>
      <c r="D49" s="112" t="s">
        <v>1</v>
      </c>
      <c r="E49" s="122">
        <v>1.336805555555556</v>
      </c>
      <c r="F49" s="112" t="s">
        <v>70</v>
      </c>
      <c r="G49" s="114">
        <v>9</v>
      </c>
      <c r="H49" s="115" t="s">
        <v>71</v>
      </c>
    </row>
    <row r="50" spans="1:8" ht="19.899999999999999" customHeight="1">
      <c r="A50" s="121">
        <v>46031</v>
      </c>
      <c r="B50" s="112" t="s">
        <v>68</v>
      </c>
      <c r="C50" s="113" t="s">
        <v>69</v>
      </c>
      <c r="D50" s="112" t="s">
        <v>1</v>
      </c>
      <c r="E50" s="122">
        <v>1.9409722222222221</v>
      </c>
      <c r="F50" s="112" t="s">
        <v>70</v>
      </c>
      <c r="G50" s="114">
        <v>9</v>
      </c>
      <c r="H50" s="115" t="s">
        <v>71</v>
      </c>
    </row>
    <row r="51" spans="1:8" ht="19.899999999999999" customHeight="1">
      <c r="A51" s="121">
        <v>46031</v>
      </c>
      <c r="B51" s="112" t="s">
        <v>68</v>
      </c>
      <c r="C51" s="113" t="s">
        <v>76</v>
      </c>
      <c r="D51" s="112" t="s">
        <v>1</v>
      </c>
      <c r="E51" s="122">
        <v>1.697916666666667</v>
      </c>
      <c r="F51" s="112" t="s">
        <v>70</v>
      </c>
      <c r="G51" s="114">
        <v>9</v>
      </c>
      <c r="H51" s="115" t="s">
        <v>71</v>
      </c>
    </row>
    <row r="52" spans="1:8" ht="19.899999999999999" customHeight="1">
      <c r="A52" s="121">
        <v>46031</v>
      </c>
      <c r="B52" s="112" t="s">
        <v>68</v>
      </c>
      <c r="C52" s="113" t="s">
        <v>72</v>
      </c>
      <c r="D52" s="112" t="s">
        <v>1</v>
      </c>
      <c r="E52" s="122">
        <v>1.0659722222222221</v>
      </c>
      <c r="F52" s="112" t="s">
        <v>70</v>
      </c>
      <c r="G52" s="114">
        <v>9</v>
      </c>
      <c r="H52" s="115" t="s">
        <v>71</v>
      </c>
    </row>
    <row r="53" spans="1:8" ht="19.899999999999999" customHeight="1">
      <c r="A53" s="121">
        <v>46031</v>
      </c>
      <c r="B53" s="112" t="s">
        <v>68</v>
      </c>
      <c r="C53" s="113" t="s">
        <v>73</v>
      </c>
      <c r="D53" s="112" t="s">
        <v>1</v>
      </c>
      <c r="E53" s="122">
        <v>1.288194444444444</v>
      </c>
      <c r="F53" s="112" t="s">
        <v>70</v>
      </c>
      <c r="G53" s="114">
        <v>9</v>
      </c>
      <c r="H53" s="115" t="s">
        <v>71</v>
      </c>
    </row>
    <row r="54" spans="1:8" ht="19.899999999999999" customHeight="1">
      <c r="A54" s="121">
        <v>46031</v>
      </c>
      <c r="B54" s="112" t="s">
        <v>26</v>
      </c>
      <c r="C54" s="113" t="s">
        <v>27</v>
      </c>
      <c r="D54" s="112" t="s">
        <v>1</v>
      </c>
      <c r="E54" s="122">
        <v>1.6076388888888891</v>
      </c>
      <c r="F54" s="112" t="s">
        <v>28</v>
      </c>
      <c r="G54" s="114">
        <v>9</v>
      </c>
      <c r="H54" s="115" t="s">
        <v>104</v>
      </c>
    </row>
    <row r="55" spans="1:8" ht="19.899999999999999" customHeight="1">
      <c r="A55" s="121">
        <v>46031</v>
      </c>
      <c r="B55" s="112" t="s">
        <v>38</v>
      </c>
      <c r="C55" s="113" t="s">
        <v>39</v>
      </c>
      <c r="D55" s="112" t="s">
        <v>1</v>
      </c>
      <c r="E55" s="122">
        <v>1.229166666666667</v>
      </c>
      <c r="F55" s="112" t="s">
        <v>46</v>
      </c>
      <c r="G55" s="114">
        <v>11</v>
      </c>
      <c r="H55" s="115" t="s">
        <v>47</v>
      </c>
    </row>
    <row r="56" spans="1:8" ht="19.899999999999999" customHeight="1">
      <c r="A56" s="121">
        <v>46031</v>
      </c>
      <c r="B56" s="112" t="s">
        <v>26</v>
      </c>
      <c r="C56" s="113" t="s">
        <v>27</v>
      </c>
      <c r="D56" s="112" t="s">
        <v>1</v>
      </c>
      <c r="E56" s="122">
        <v>1.6076388888888891</v>
      </c>
      <c r="F56" s="112" t="s">
        <v>31</v>
      </c>
      <c r="G56" s="114">
        <v>9</v>
      </c>
      <c r="H56" s="115" t="s">
        <v>105</v>
      </c>
    </row>
    <row r="57" spans="1:8" ht="19.899999999999999" customHeight="1">
      <c r="A57" s="121">
        <v>46031</v>
      </c>
      <c r="B57" s="112" t="s">
        <v>26</v>
      </c>
      <c r="C57" s="113" t="s">
        <v>27</v>
      </c>
      <c r="D57" s="112" t="s">
        <v>1</v>
      </c>
      <c r="E57" s="122">
        <v>1.6076388888888891</v>
      </c>
      <c r="F57" s="112" t="s">
        <v>34</v>
      </c>
      <c r="G57" s="114">
        <v>9</v>
      </c>
      <c r="H57" s="115" t="s">
        <v>106</v>
      </c>
    </row>
    <row r="58" spans="1:8" ht="19.899999999999999" customHeight="1">
      <c r="A58" s="123">
        <v>46031</v>
      </c>
      <c r="B58" s="124" t="s">
        <v>48</v>
      </c>
      <c r="C58" s="125" t="s">
        <v>59</v>
      </c>
      <c r="D58" s="124" t="s">
        <v>1</v>
      </c>
      <c r="E58" s="126">
        <v>1.229166666666667</v>
      </c>
      <c r="F58" s="124" t="s">
        <v>53</v>
      </c>
      <c r="G58" s="127">
        <v>4</v>
      </c>
      <c r="H58" s="128" t="s">
        <v>60</v>
      </c>
    </row>
    <row r="59" spans="1:8" ht="19.899999999999999" customHeight="1">
      <c r="A59" s="136">
        <v>46032</v>
      </c>
      <c r="B59" s="132" t="s">
        <v>61</v>
      </c>
      <c r="C59" s="133" t="s">
        <v>62</v>
      </c>
      <c r="D59" s="132" t="s">
        <v>1</v>
      </c>
      <c r="E59" s="137">
        <v>1.2361111111111109</v>
      </c>
      <c r="F59" s="132" t="s">
        <v>63</v>
      </c>
      <c r="G59" s="134">
        <v>9</v>
      </c>
      <c r="H59" s="135" t="s">
        <v>64</v>
      </c>
    </row>
    <row r="60" spans="1:8" ht="19.899999999999999" customHeight="1">
      <c r="A60" s="136">
        <v>46033</v>
      </c>
      <c r="B60" s="132" t="s">
        <v>61</v>
      </c>
      <c r="C60" s="133" t="s">
        <v>62</v>
      </c>
      <c r="D60" s="132" t="s">
        <v>1</v>
      </c>
      <c r="E60" s="137">
        <v>1.743055555555556</v>
      </c>
      <c r="F60" s="132" t="s">
        <v>63</v>
      </c>
      <c r="G60" s="134">
        <v>9</v>
      </c>
      <c r="H60" s="135" t="s">
        <v>64</v>
      </c>
    </row>
    <row r="61" spans="1:8" ht="19.899999999999999" customHeight="1">
      <c r="A61" s="136">
        <v>46034</v>
      </c>
      <c r="B61" s="132" t="s">
        <v>61</v>
      </c>
      <c r="C61" s="133" t="s">
        <v>111</v>
      </c>
      <c r="D61" s="132" t="s">
        <v>1</v>
      </c>
      <c r="E61" s="137">
        <v>1.868055555555556</v>
      </c>
      <c r="F61" s="132" t="s">
        <v>63</v>
      </c>
      <c r="G61" s="134">
        <v>9</v>
      </c>
      <c r="H61" s="135" t="s">
        <v>64</v>
      </c>
    </row>
    <row r="62" spans="1:8" ht="19.899999999999999" customHeight="1">
      <c r="A62" s="136">
        <v>46035</v>
      </c>
      <c r="B62" s="132" t="s">
        <v>61</v>
      </c>
      <c r="C62" s="133" t="s">
        <v>62</v>
      </c>
      <c r="D62" s="132" t="s">
        <v>1</v>
      </c>
      <c r="E62" s="137">
        <v>1.819444444444444</v>
      </c>
      <c r="F62" s="132" t="s">
        <v>63</v>
      </c>
      <c r="G62" s="134">
        <v>8</v>
      </c>
      <c r="H62" s="135" t="s">
        <v>64</v>
      </c>
    </row>
    <row r="63" spans="1:8" ht="19.899999999999999" customHeight="1">
      <c r="A63" s="121">
        <v>46036</v>
      </c>
      <c r="B63" s="112" t="s">
        <v>38</v>
      </c>
      <c r="C63" s="113" t="s">
        <v>39</v>
      </c>
      <c r="D63" s="112" t="s">
        <v>1</v>
      </c>
      <c r="E63" s="122">
        <v>1.229166666666667</v>
      </c>
      <c r="F63" s="112" t="s">
        <v>40</v>
      </c>
      <c r="G63" s="114">
        <v>15</v>
      </c>
      <c r="H63" s="115" t="s">
        <v>131</v>
      </c>
    </row>
    <row r="64" spans="1:8" ht="19.899999999999999" customHeight="1">
      <c r="A64" s="121">
        <v>46036</v>
      </c>
      <c r="B64" s="112" t="s">
        <v>26</v>
      </c>
      <c r="C64" s="113" t="s">
        <v>27</v>
      </c>
      <c r="D64" s="112" t="s">
        <v>1</v>
      </c>
      <c r="E64" s="122">
        <v>1.6076388888888891</v>
      </c>
      <c r="F64" s="112" t="s">
        <v>28</v>
      </c>
      <c r="G64" s="114">
        <v>9</v>
      </c>
      <c r="H64" s="115" t="s">
        <v>149</v>
      </c>
    </row>
    <row r="65" spans="1:8" ht="19.899999999999999" customHeight="1">
      <c r="A65" s="121">
        <v>46036</v>
      </c>
      <c r="B65" s="112" t="s">
        <v>48</v>
      </c>
      <c r="C65" s="113" t="s">
        <v>49</v>
      </c>
      <c r="D65" s="112" t="s">
        <v>1</v>
      </c>
      <c r="E65" s="122">
        <v>1.350694444444444</v>
      </c>
      <c r="F65" s="112" t="s">
        <v>50</v>
      </c>
      <c r="G65" s="114">
        <v>1</v>
      </c>
      <c r="H65" s="115" t="s">
        <v>96</v>
      </c>
    </row>
    <row r="66" spans="1:8" ht="19.899999999999999" customHeight="1">
      <c r="A66" s="121">
        <v>46036</v>
      </c>
      <c r="B66" s="112" t="s">
        <v>38</v>
      </c>
      <c r="C66" s="113" t="s">
        <v>39</v>
      </c>
      <c r="D66" s="112" t="s">
        <v>1</v>
      </c>
      <c r="E66" s="122">
        <v>1.229166666666667</v>
      </c>
      <c r="F66" s="112" t="s">
        <v>43</v>
      </c>
      <c r="G66" s="114">
        <v>15</v>
      </c>
      <c r="H66" s="115" t="s">
        <v>133</v>
      </c>
    </row>
    <row r="67" spans="1:8" ht="19.899999999999999" customHeight="1">
      <c r="A67" s="121">
        <v>46036</v>
      </c>
      <c r="B67" s="112" t="s">
        <v>26</v>
      </c>
      <c r="C67" s="113" t="s">
        <v>27</v>
      </c>
      <c r="D67" s="112" t="s">
        <v>1</v>
      </c>
      <c r="E67" s="122">
        <v>1.6076388888888891</v>
      </c>
      <c r="F67" s="112" t="s">
        <v>31</v>
      </c>
      <c r="G67" s="114">
        <v>9</v>
      </c>
      <c r="H67" s="115" t="s">
        <v>133</v>
      </c>
    </row>
    <row r="68" spans="1:8" ht="19.899999999999999" customHeight="1">
      <c r="A68" s="121">
        <v>46036</v>
      </c>
      <c r="B68" s="112" t="s">
        <v>48</v>
      </c>
      <c r="C68" s="113" t="s">
        <v>49</v>
      </c>
      <c r="D68" s="112" t="s">
        <v>1</v>
      </c>
      <c r="E68" s="122">
        <v>1.350694444444444</v>
      </c>
      <c r="F68" s="112" t="s">
        <v>53</v>
      </c>
      <c r="G68" s="114">
        <v>1</v>
      </c>
      <c r="H68" s="115" t="s">
        <v>97</v>
      </c>
    </row>
    <row r="69" spans="1:8" ht="19.899999999999999" customHeight="1">
      <c r="A69" s="121">
        <v>46036</v>
      </c>
      <c r="B69" s="112" t="s">
        <v>26</v>
      </c>
      <c r="C69" s="113" t="s">
        <v>27</v>
      </c>
      <c r="D69" s="112" t="s">
        <v>1</v>
      </c>
      <c r="E69" s="122">
        <v>1.6076388888888891</v>
      </c>
      <c r="F69" s="112" t="s">
        <v>34</v>
      </c>
      <c r="G69" s="114">
        <v>9</v>
      </c>
      <c r="H69" s="115" t="s">
        <v>150</v>
      </c>
    </row>
    <row r="70" spans="1:8" ht="19.899999999999999" customHeight="1">
      <c r="A70" s="121">
        <v>46036</v>
      </c>
      <c r="B70" s="112" t="s">
        <v>68</v>
      </c>
      <c r="C70" s="113" t="s">
        <v>69</v>
      </c>
      <c r="D70" s="112" t="s">
        <v>1</v>
      </c>
      <c r="E70" s="122">
        <v>1.9409722222222221</v>
      </c>
      <c r="F70" s="112" t="s">
        <v>70</v>
      </c>
      <c r="G70" s="114">
        <v>9</v>
      </c>
      <c r="H70" s="115" t="s">
        <v>71</v>
      </c>
    </row>
    <row r="71" spans="1:8" ht="19.899999999999999" customHeight="1">
      <c r="A71" s="121">
        <v>46036</v>
      </c>
      <c r="B71" s="112" t="s">
        <v>68</v>
      </c>
      <c r="C71" s="113" t="s">
        <v>76</v>
      </c>
      <c r="D71" s="112" t="s">
        <v>1</v>
      </c>
      <c r="E71" s="122">
        <v>1.697916666666667</v>
      </c>
      <c r="F71" s="112" t="s">
        <v>70</v>
      </c>
      <c r="G71" s="114">
        <v>9</v>
      </c>
      <c r="H71" s="115" t="s">
        <v>71</v>
      </c>
    </row>
    <row r="72" spans="1:8" ht="19.899999999999999" customHeight="1">
      <c r="A72" s="121">
        <v>46036</v>
      </c>
      <c r="B72" s="112" t="s">
        <v>68</v>
      </c>
      <c r="C72" s="113" t="s">
        <v>72</v>
      </c>
      <c r="D72" s="112" t="s">
        <v>1</v>
      </c>
      <c r="E72" s="122">
        <v>1.0659722222222221</v>
      </c>
      <c r="F72" s="112" t="s">
        <v>70</v>
      </c>
      <c r="G72" s="114">
        <v>9</v>
      </c>
      <c r="H72" s="115" t="s">
        <v>71</v>
      </c>
    </row>
    <row r="73" spans="1:8" ht="19.899999999999999" customHeight="1">
      <c r="A73" s="121">
        <v>46036</v>
      </c>
      <c r="B73" s="112" t="s">
        <v>68</v>
      </c>
      <c r="C73" s="113" t="s">
        <v>73</v>
      </c>
      <c r="D73" s="112" t="s">
        <v>1</v>
      </c>
      <c r="E73" s="122">
        <v>1.288194444444444</v>
      </c>
      <c r="F73" s="112" t="s">
        <v>70</v>
      </c>
      <c r="G73" s="114">
        <v>9</v>
      </c>
      <c r="H73" s="115" t="s">
        <v>71</v>
      </c>
    </row>
    <row r="74" spans="1:8" ht="19.899999999999999" customHeight="1">
      <c r="A74" s="121">
        <v>46036</v>
      </c>
      <c r="B74" s="112" t="s">
        <v>38</v>
      </c>
      <c r="C74" s="113" t="s">
        <v>39</v>
      </c>
      <c r="D74" s="112" t="s">
        <v>1</v>
      </c>
      <c r="E74" s="122">
        <v>1.229166666666667</v>
      </c>
      <c r="F74" s="112" t="s">
        <v>46</v>
      </c>
      <c r="G74" s="114">
        <v>15</v>
      </c>
      <c r="H74" s="115" t="s">
        <v>47</v>
      </c>
    </row>
    <row r="75" spans="1:8" ht="19.899999999999999" customHeight="1">
      <c r="A75" s="121">
        <v>46036</v>
      </c>
      <c r="B75" s="112" t="s">
        <v>48</v>
      </c>
      <c r="C75" s="113" t="s">
        <v>56</v>
      </c>
      <c r="D75" s="112" t="s">
        <v>1</v>
      </c>
      <c r="E75" s="122">
        <v>1.895833333333333</v>
      </c>
      <c r="F75" s="112" t="s">
        <v>50</v>
      </c>
      <c r="G75" s="114">
        <v>9</v>
      </c>
      <c r="H75" s="115" t="s">
        <v>116</v>
      </c>
    </row>
    <row r="76" spans="1:8" ht="19.899999999999999" customHeight="1">
      <c r="A76" s="121">
        <v>46036</v>
      </c>
      <c r="B76" s="112" t="s">
        <v>48</v>
      </c>
      <c r="C76" s="113" t="s">
        <v>56</v>
      </c>
      <c r="D76" s="112" t="s">
        <v>1</v>
      </c>
      <c r="E76" s="122">
        <v>1.895833333333333</v>
      </c>
      <c r="F76" s="112" t="s">
        <v>53</v>
      </c>
      <c r="G76" s="114">
        <v>9</v>
      </c>
      <c r="H76" s="115" t="s">
        <v>117</v>
      </c>
    </row>
    <row r="77" spans="1:8" ht="19.899999999999999" customHeight="1">
      <c r="A77" s="121">
        <v>46036</v>
      </c>
      <c r="B77" s="112" t="s">
        <v>48</v>
      </c>
      <c r="C77" s="113" t="s">
        <v>59</v>
      </c>
      <c r="D77" s="112" t="s">
        <v>1</v>
      </c>
      <c r="E77" s="122">
        <v>1.229166666666667</v>
      </c>
      <c r="F77" s="112" t="s">
        <v>53</v>
      </c>
      <c r="G77" s="114">
        <v>4</v>
      </c>
      <c r="H77" s="115" t="s">
        <v>85</v>
      </c>
    </row>
    <row r="78" spans="1:8" ht="19.899999999999999" customHeight="1">
      <c r="A78" s="121">
        <v>46036</v>
      </c>
      <c r="B78" s="112" t="s">
        <v>48</v>
      </c>
      <c r="C78" s="113" t="s">
        <v>58</v>
      </c>
      <c r="D78" s="112" t="s">
        <v>1</v>
      </c>
      <c r="E78" s="122">
        <v>1.1840277777777779</v>
      </c>
      <c r="F78" s="112" t="s">
        <v>53</v>
      </c>
      <c r="G78" s="114">
        <v>9</v>
      </c>
      <c r="H78" s="115" t="s">
        <v>60</v>
      </c>
    </row>
    <row r="79" spans="1:8" ht="19.899999999999999" customHeight="1">
      <c r="A79" s="123">
        <v>46036</v>
      </c>
      <c r="B79" s="124" t="s">
        <v>68</v>
      </c>
      <c r="C79" s="125" t="s">
        <v>74</v>
      </c>
      <c r="D79" s="124" t="s">
        <v>1</v>
      </c>
      <c r="E79" s="126">
        <v>1.336805555555556</v>
      </c>
      <c r="F79" s="124" t="s">
        <v>70</v>
      </c>
      <c r="G79" s="127">
        <v>9</v>
      </c>
      <c r="H79" s="128" t="s">
        <v>157</v>
      </c>
    </row>
    <row r="80" spans="1:8" ht="19.899999999999999" customHeight="1">
      <c r="A80" s="136">
        <v>46037</v>
      </c>
      <c r="B80" s="132" t="s">
        <v>61</v>
      </c>
      <c r="C80" s="133" t="s">
        <v>62</v>
      </c>
      <c r="D80" s="132" t="s">
        <v>1</v>
      </c>
      <c r="E80" s="137">
        <v>1.381944444444444</v>
      </c>
      <c r="F80" s="132" t="s">
        <v>63</v>
      </c>
      <c r="G80" s="134">
        <v>9</v>
      </c>
      <c r="H80" s="135" t="s">
        <v>64</v>
      </c>
    </row>
    <row r="81" spans="1:8" ht="19.899999999999999" customHeight="1">
      <c r="A81" s="121">
        <v>46038</v>
      </c>
      <c r="B81" s="112" t="s">
        <v>38</v>
      </c>
      <c r="C81" s="113" t="s">
        <v>39</v>
      </c>
      <c r="D81" s="112" t="s">
        <v>1</v>
      </c>
      <c r="E81" s="122">
        <v>1.229166666666667</v>
      </c>
      <c r="F81" s="112" t="s">
        <v>40</v>
      </c>
      <c r="G81" s="114">
        <v>20</v>
      </c>
      <c r="H81" s="115" t="s">
        <v>121</v>
      </c>
    </row>
    <row r="82" spans="1:8" ht="19.899999999999999" customHeight="1">
      <c r="A82" s="121">
        <v>46038</v>
      </c>
      <c r="B82" s="112" t="s">
        <v>26</v>
      </c>
      <c r="C82" s="113" t="s">
        <v>27</v>
      </c>
      <c r="D82" s="112" t="s">
        <v>1</v>
      </c>
      <c r="E82" s="122">
        <v>1.6076388888888891</v>
      </c>
      <c r="F82" s="112" t="s">
        <v>28</v>
      </c>
      <c r="G82" s="114">
        <v>9</v>
      </c>
      <c r="H82" s="115" t="s">
        <v>159</v>
      </c>
    </row>
    <row r="83" spans="1:8" ht="19.899999999999999" customHeight="1">
      <c r="A83" s="121">
        <v>46038</v>
      </c>
      <c r="B83" s="112" t="s">
        <v>38</v>
      </c>
      <c r="C83" s="113" t="s">
        <v>39</v>
      </c>
      <c r="D83" s="112" t="s">
        <v>1</v>
      </c>
      <c r="E83" s="122">
        <v>1.229166666666667</v>
      </c>
      <c r="F83" s="112" t="s">
        <v>43</v>
      </c>
      <c r="G83" s="114">
        <v>20</v>
      </c>
      <c r="H83" s="115" t="s">
        <v>123</v>
      </c>
    </row>
    <row r="84" spans="1:8" ht="19.899999999999999" customHeight="1">
      <c r="A84" s="121">
        <v>46038</v>
      </c>
      <c r="B84" s="112" t="s">
        <v>26</v>
      </c>
      <c r="C84" s="113" t="s">
        <v>27</v>
      </c>
      <c r="D84" s="112" t="s">
        <v>1</v>
      </c>
      <c r="E84" s="122">
        <v>1.6076388888888891</v>
      </c>
      <c r="F84" s="112" t="s">
        <v>31</v>
      </c>
      <c r="G84" s="114">
        <v>9</v>
      </c>
      <c r="H84" s="115" t="s">
        <v>139</v>
      </c>
    </row>
    <row r="85" spans="1:8" ht="19.899999999999999" customHeight="1">
      <c r="A85" s="121">
        <v>46038</v>
      </c>
      <c r="B85" s="112" t="s">
        <v>26</v>
      </c>
      <c r="C85" s="113" t="s">
        <v>27</v>
      </c>
      <c r="D85" s="112" t="s">
        <v>1</v>
      </c>
      <c r="E85" s="122">
        <v>1.6076388888888891</v>
      </c>
      <c r="F85" s="112" t="s">
        <v>34</v>
      </c>
      <c r="G85" s="114">
        <v>9</v>
      </c>
      <c r="H85" s="115" t="s">
        <v>160</v>
      </c>
    </row>
    <row r="86" spans="1:8" ht="19.899999999999999" customHeight="1">
      <c r="A86" s="121">
        <v>46038</v>
      </c>
      <c r="B86" s="112" t="s">
        <v>38</v>
      </c>
      <c r="C86" s="113" t="s">
        <v>39</v>
      </c>
      <c r="D86" s="112" t="s">
        <v>1</v>
      </c>
      <c r="E86" s="122">
        <v>1.229166666666667</v>
      </c>
      <c r="F86" s="112" t="s">
        <v>46</v>
      </c>
      <c r="G86" s="114">
        <v>20</v>
      </c>
      <c r="H86" s="115" t="s">
        <v>47</v>
      </c>
    </row>
    <row r="87" spans="1:8" ht="19.899999999999999" customHeight="1">
      <c r="A87" s="121">
        <v>46038</v>
      </c>
      <c r="B87" s="112" t="s">
        <v>68</v>
      </c>
      <c r="C87" s="113" t="s">
        <v>74</v>
      </c>
      <c r="D87" s="112" t="s">
        <v>1</v>
      </c>
      <c r="E87" s="122">
        <v>1.336805555555556</v>
      </c>
      <c r="F87" s="112" t="s">
        <v>70</v>
      </c>
      <c r="G87" s="114">
        <v>9</v>
      </c>
      <c r="H87" s="115" t="s">
        <v>75</v>
      </c>
    </row>
    <row r="88" spans="1:8" ht="19.899999999999999" customHeight="1">
      <c r="A88" s="121">
        <v>46038</v>
      </c>
      <c r="B88" s="112" t="s">
        <v>68</v>
      </c>
      <c r="C88" s="113" t="s">
        <v>69</v>
      </c>
      <c r="D88" s="112" t="s">
        <v>1</v>
      </c>
      <c r="E88" s="122">
        <v>1.9409722222222221</v>
      </c>
      <c r="F88" s="112" t="s">
        <v>70</v>
      </c>
      <c r="G88" s="114">
        <v>9</v>
      </c>
      <c r="H88" s="115" t="s">
        <v>75</v>
      </c>
    </row>
    <row r="89" spans="1:8" ht="19.899999999999999" customHeight="1">
      <c r="A89" s="121">
        <v>46038</v>
      </c>
      <c r="B89" s="112" t="s">
        <v>68</v>
      </c>
      <c r="C89" s="113" t="s">
        <v>76</v>
      </c>
      <c r="D89" s="112" t="s">
        <v>1</v>
      </c>
      <c r="E89" s="122">
        <v>1.697916666666667</v>
      </c>
      <c r="F89" s="112" t="s">
        <v>70</v>
      </c>
      <c r="G89" s="114">
        <v>9</v>
      </c>
      <c r="H89" s="115" t="s">
        <v>75</v>
      </c>
    </row>
    <row r="90" spans="1:8" ht="19.899999999999999" customHeight="1">
      <c r="A90" s="121">
        <v>46038</v>
      </c>
      <c r="B90" s="112" t="s">
        <v>68</v>
      </c>
      <c r="C90" s="113" t="s">
        <v>72</v>
      </c>
      <c r="D90" s="112" t="s">
        <v>1</v>
      </c>
      <c r="E90" s="122">
        <v>1.0659722222222221</v>
      </c>
      <c r="F90" s="112" t="s">
        <v>70</v>
      </c>
      <c r="G90" s="114">
        <v>9</v>
      </c>
      <c r="H90" s="115" t="s">
        <v>75</v>
      </c>
    </row>
    <row r="91" spans="1:8" ht="19.899999999999999" customHeight="1">
      <c r="A91" s="121">
        <v>46038</v>
      </c>
      <c r="B91" s="112" t="s">
        <v>68</v>
      </c>
      <c r="C91" s="113" t="s">
        <v>73</v>
      </c>
      <c r="D91" s="112" t="s">
        <v>1</v>
      </c>
      <c r="E91" s="122">
        <v>1.288194444444444</v>
      </c>
      <c r="F91" s="112" t="s">
        <v>70</v>
      </c>
      <c r="G91" s="114">
        <v>9</v>
      </c>
      <c r="H91" s="115" t="s">
        <v>75</v>
      </c>
    </row>
    <row r="92" spans="1:8" ht="19.899999999999999" customHeight="1">
      <c r="A92" s="121">
        <v>46038</v>
      </c>
      <c r="B92" s="112" t="s">
        <v>48</v>
      </c>
      <c r="C92" s="113" t="s">
        <v>59</v>
      </c>
      <c r="D92" s="112" t="s">
        <v>1</v>
      </c>
      <c r="E92" s="122">
        <v>1.229166666666667</v>
      </c>
      <c r="F92" s="112" t="s">
        <v>53</v>
      </c>
      <c r="G92" s="114">
        <v>4</v>
      </c>
      <c r="H92" s="115" t="s">
        <v>124</v>
      </c>
    </row>
    <row r="93" spans="1:8" ht="19.899999999999999" customHeight="1">
      <c r="A93" s="121">
        <v>46038</v>
      </c>
      <c r="B93" s="112" t="s">
        <v>48</v>
      </c>
      <c r="C93" s="113" t="s">
        <v>49</v>
      </c>
      <c r="D93" s="112" t="s">
        <v>1</v>
      </c>
      <c r="E93" s="122">
        <v>1.350694444444444</v>
      </c>
      <c r="F93" s="112" t="s">
        <v>53</v>
      </c>
      <c r="G93" s="114">
        <v>9</v>
      </c>
      <c r="H93" s="115" t="s">
        <v>86</v>
      </c>
    </row>
    <row r="94" spans="1:8" ht="19.899999999999999" customHeight="1">
      <c r="A94" s="121">
        <v>46038</v>
      </c>
      <c r="B94" s="112" t="s">
        <v>48</v>
      </c>
      <c r="C94" s="113" t="s">
        <v>56</v>
      </c>
      <c r="D94" s="112" t="s">
        <v>1</v>
      </c>
      <c r="E94" s="122">
        <v>1.895833333333333</v>
      </c>
      <c r="F94" s="112" t="s">
        <v>53</v>
      </c>
      <c r="G94" s="114">
        <v>9</v>
      </c>
      <c r="H94" s="115" t="s">
        <v>86</v>
      </c>
    </row>
    <row r="95" spans="1:8" ht="19.899999999999999" customHeight="1">
      <c r="A95" s="123">
        <v>46038</v>
      </c>
      <c r="B95" s="124" t="s">
        <v>48</v>
      </c>
      <c r="C95" s="125" t="s">
        <v>58</v>
      </c>
      <c r="D95" s="124" t="s">
        <v>1</v>
      </c>
      <c r="E95" s="126">
        <v>1.1840277777777779</v>
      </c>
      <c r="F95" s="124" t="s">
        <v>53</v>
      </c>
      <c r="G95" s="127">
        <v>9</v>
      </c>
      <c r="H95" s="128" t="s">
        <v>86</v>
      </c>
    </row>
    <row r="96" spans="1:8" ht="19.899999999999999" customHeight="1">
      <c r="A96" s="121">
        <v>46039</v>
      </c>
      <c r="B96" s="112" t="s">
        <v>26</v>
      </c>
      <c r="C96" s="113" t="s">
        <v>27</v>
      </c>
      <c r="D96" s="112" t="s">
        <v>1</v>
      </c>
      <c r="E96" s="122">
        <v>1.6076388888888891</v>
      </c>
      <c r="F96" s="112" t="s">
        <v>31</v>
      </c>
      <c r="G96" s="114">
        <v>9</v>
      </c>
      <c r="H96" s="115" t="s">
        <v>162</v>
      </c>
    </row>
    <row r="97" spans="1:8" ht="19.899999999999999" customHeight="1">
      <c r="A97" s="136">
        <v>46039</v>
      </c>
      <c r="B97" s="132" t="s">
        <v>61</v>
      </c>
      <c r="C97" s="133" t="s">
        <v>62</v>
      </c>
      <c r="D97" s="132" t="s">
        <v>1</v>
      </c>
      <c r="E97" s="137">
        <v>1.2361111111111109</v>
      </c>
      <c r="F97" s="132" t="s">
        <v>63</v>
      </c>
      <c r="G97" s="134">
        <v>8</v>
      </c>
      <c r="H97" s="135" t="s">
        <v>64</v>
      </c>
    </row>
    <row r="98" spans="1:8" ht="19.899999999999999" customHeight="1">
      <c r="A98" s="136">
        <v>46040</v>
      </c>
      <c r="B98" s="132" t="s">
        <v>61</v>
      </c>
      <c r="C98" s="133" t="s">
        <v>62</v>
      </c>
      <c r="D98" s="132" t="s">
        <v>1</v>
      </c>
      <c r="E98" s="137">
        <v>1.743055555555556</v>
      </c>
      <c r="F98" s="132" t="s">
        <v>63</v>
      </c>
      <c r="G98" s="134">
        <v>9</v>
      </c>
      <c r="H98" s="135" t="s">
        <v>64</v>
      </c>
    </row>
    <row r="99" spans="1:8" ht="19.899999999999999" customHeight="1">
      <c r="A99" s="121">
        <v>46041</v>
      </c>
      <c r="B99" s="112" t="s">
        <v>26</v>
      </c>
      <c r="C99" s="113" t="s">
        <v>27</v>
      </c>
      <c r="D99" s="112" t="s">
        <v>1</v>
      </c>
      <c r="E99" s="122">
        <v>1.6076388888888891</v>
      </c>
      <c r="F99" s="112" t="s">
        <v>31</v>
      </c>
      <c r="G99" s="114">
        <v>5</v>
      </c>
      <c r="H99" s="115" t="s">
        <v>162</v>
      </c>
    </row>
    <row r="100" spans="1:8" ht="19.899999999999999" customHeight="1">
      <c r="A100" s="121">
        <v>46041</v>
      </c>
      <c r="B100" s="112" t="s">
        <v>26</v>
      </c>
      <c r="C100" s="113" t="s">
        <v>36</v>
      </c>
      <c r="D100" s="112" t="s">
        <v>1</v>
      </c>
      <c r="E100" s="122">
        <v>1.4340277777777779</v>
      </c>
      <c r="F100" s="112" t="s">
        <v>31</v>
      </c>
      <c r="G100" s="114">
        <v>5</v>
      </c>
      <c r="H100" s="115" t="s">
        <v>162</v>
      </c>
    </row>
    <row r="101" spans="1:8" ht="19.899999999999999" customHeight="1">
      <c r="A101" s="136">
        <v>46041</v>
      </c>
      <c r="B101" s="132" t="s">
        <v>61</v>
      </c>
      <c r="C101" s="133" t="s">
        <v>111</v>
      </c>
      <c r="D101" s="132" t="s">
        <v>1</v>
      </c>
      <c r="E101" s="137">
        <v>1.868055555555556</v>
      </c>
      <c r="F101" s="132" t="s">
        <v>63</v>
      </c>
      <c r="G101" s="134">
        <v>9</v>
      </c>
      <c r="H101" s="135" t="s">
        <v>64</v>
      </c>
    </row>
    <row r="102" spans="1:8" ht="19.899999999999999" customHeight="1">
      <c r="A102" s="136">
        <v>46042</v>
      </c>
      <c r="B102" s="132" t="s">
        <v>61</v>
      </c>
      <c r="C102" s="133" t="s">
        <v>62</v>
      </c>
      <c r="D102" s="132" t="s">
        <v>1</v>
      </c>
      <c r="E102" s="137">
        <v>1.819444444444444</v>
      </c>
      <c r="F102" s="132" t="s">
        <v>63</v>
      </c>
      <c r="G102" s="134">
        <v>8</v>
      </c>
      <c r="H102" s="135" t="s">
        <v>64</v>
      </c>
    </row>
    <row r="103" spans="1:8" ht="19.899999999999999" customHeight="1">
      <c r="A103" s="121">
        <v>46043</v>
      </c>
      <c r="B103" s="112" t="s">
        <v>38</v>
      </c>
      <c r="C103" s="113" t="s">
        <v>39</v>
      </c>
      <c r="D103" s="112" t="s">
        <v>1</v>
      </c>
      <c r="E103" s="122">
        <v>1.229166666666667</v>
      </c>
      <c r="F103" s="112" t="s">
        <v>40</v>
      </c>
      <c r="G103" s="114">
        <v>14</v>
      </c>
      <c r="H103" s="115" t="s">
        <v>78</v>
      </c>
    </row>
    <row r="104" spans="1:8" ht="19.899999999999999" customHeight="1">
      <c r="A104" s="121">
        <v>46043</v>
      </c>
      <c r="B104" s="112" t="s">
        <v>48</v>
      </c>
      <c r="C104" s="113" t="s">
        <v>56</v>
      </c>
      <c r="D104" s="112" t="s">
        <v>1</v>
      </c>
      <c r="E104" s="122">
        <v>1.895833333333333</v>
      </c>
      <c r="F104" s="112" t="s">
        <v>50</v>
      </c>
      <c r="G104" s="114">
        <v>1</v>
      </c>
      <c r="H104" s="115" t="s">
        <v>96</v>
      </c>
    </row>
    <row r="105" spans="1:8" ht="19.899999999999999" customHeight="1">
      <c r="A105" s="121">
        <v>46043</v>
      </c>
      <c r="B105" s="112" t="s">
        <v>48</v>
      </c>
      <c r="C105" s="113" t="s">
        <v>58</v>
      </c>
      <c r="D105" s="112" t="s">
        <v>1</v>
      </c>
      <c r="E105" s="122">
        <v>1.1840277777777779</v>
      </c>
      <c r="F105" s="112" t="s">
        <v>50</v>
      </c>
      <c r="G105" s="114">
        <v>9</v>
      </c>
      <c r="H105" s="115" t="s">
        <v>96</v>
      </c>
    </row>
    <row r="106" spans="1:8" ht="19.899999999999999" customHeight="1">
      <c r="A106" s="121">
        <v>46043</v>
      </c>
      <c r="B106" s="112" t="s">
        <v>38</v>
      </c>
      <c r="C106" s="113" t="s">
        <v>39</v>
      </c>
      <c r="D106" s="112" t="s">
        <v>1</v>
      </c>
      <c r="E106" s="122">
        <v>1.229166666666667</v>
      </c>
      <c r="F106" s="112" t="s">
        <v>43</v>
      </c>
      <c r="G106" s="114">
        <v>14</v>
      </c>
      <c r="H106" s="115" t="s">
        <v>79</v>
      </c>
    </row>
    <row r="107" spans="1:8" ht="19.899999999999999" customHeight="1">
      <c r="A107" s="121">
        <v>46043</v>
      </c>
      <c r="B107" s="112" t="s">
        <v>26</v>
      </c>
      <c r="C107" s="113" t="s">
        <v>27</v>
      </c>
      <c r="D107" s="112" t="s">
        <v>1</v>
      </c>
      <c r="E107" s="122">
        <v>1.6076388888888891</v>
      </c>
      <c r="F107" s="112" t="s">
        <v>28</v>
      </c>
      <c r="G107" s="114">
        <v>4</v>
      </c>
      <c r="H107" s="115" t="s">
        <v>161</v>
      </c>
    </row>
    <row r="108" spans="1:8" ht="19.899999999999999" customHeight="1">
      <c r="A108" s="121">
        <v>46043</v>
      </c>
      <c r="B108" s="112" t="s">
        <v>48</v>
      </c>
      <c r="C108" s="113" t="s">
        <v>49</v>
      </c>
      <c r="D108" s="112" t="s">
        <v>1</v>
      </c>
      <c r="E108" s="122">
        <v>1.350694444444444</v>
      </c>
      <c r="F108" s="112" t="s">
        <v>50</v>
      </c>
      <c r="G108" s="114">
        <v>9</v>
      </c>
      <c r="H108" s="115" t="s">
        <v>52</v>
      </c>
    </row>
    <row r="109" spans="1:8" ht="19.899999999999999" customHeight="1">
      <c r="A109" s="121">
        <v>46043</v>
      </c>
      <c r="B109" s="112" t="s">
        <v>48</v>
      </c>
      <c r="C109" s="113" t="s">
        <v>56</v>
      </c>
      <c r="D109" s="112" t="s">
        <v>1</v>
      </c>
      <c r="E109" s="122">
        <v>1.895833333333333</v>
      </c>
      <c r="F109" s="112" t="s">
        <v>53</v>
      </c>
      <c r="G109" s="114">
        <v>1</v>
      </c>
      <c r="H109" s="115" t="s">
        <v>97</v>
      </c>
    </row>
    <row r="110" spans="1:8" ht="19.899999999999999" customHeight="1">
      <c r="A110" s="121">
        <v>46043</v>
      </c>
      <c r="B110" s="112" t="s">
        <v>48</v>
      </c>
      <c r="C110" s="113" t="s">
        <v>58</v>
      </c>
      <c r="D110" s="112" t="s">
        <v>1</v>
      </c>
      <c r="E110" s="122">
        <v>1.1840277777777779</v>
      </c>
      <c r="F110" s="112" t="s">
        <v>53</v>
      </c>
      <c r="G110" s="114">
        <v>9</v>
      </c>
      <c r="H110" s="115" t="s">
        <v>97</v>
      </c>
    </row>
    <row r="111" spans="1:8" ht="19.899999999999999" customHeight="1">
      <c r="A111" s="121">
        <v>46043</v>
      </c>
      <c r="B111" s="112" t="s">
        <v>26</v>
      </c>
      <c r="C111" s="113" t="s">
        <v>27</v>
      </c>
      <c r="D111" s="112" t="s">
        <v>1</v>
      </c>
      <c r="E111" s="122">
        <v>1.6076388888888891</v>
      </c>
      <c r="F111" s="112" t="s">
        <v>31</v>
      </c>
      <c r="G111" s="114">
        <v>4</v>
      </c>
      <c r="H111" s="115" t="s">
        <v>162</v>
      </c>
    </row>
    <row r="112" spans="1:8" ht="19.899999999999999" customHeight="1">
      <c r="A112" s="121">
        <v>46043</v>
      </c>
      <c r="B112" s="112" t="s">
        <v>48</v>
      </c>
      <c r="C112" s="113" t="s">
        <v>49</v>
      </c>
      <c r="D112" s="112" t="s">
        <v>1</v>
      </c>
      <c r="E112" s="122">
        <v>1.350694444444444</v>
      </c>
      <c r="F112" s="112" t="s">
        <v>53</v>
      </c>
      <c r="G112" s="114">
        <v>9</v>
      </c>
      <c r="H112" s="115" t="s">
        <v>55</v>
      </c>
    </row>
    <row r="113" spans="1:8" ht="19.899999999999999" customHeight="1">
      <c r="A113" s="121">
        <v>46043</v>
      </c>
      <c r="B113" s="112" t="s">
        <v>26</v>
      </c>
      <c r="C113" s="113" t="s">
        <v>27</v>
      </c>
      <c r="D113" s="112" t="s">
        <v>1</v>
      </c>
      <c r="E113" s="122">
        <v>1.6076388888888891</v>
      </c>
      <c r="F113" s="112" t="s">
        <v>34</v>
      </c>
      <c r="G113" s="114">
        <v>4</v>
      </c>
      <c r="H113" s="115" t="s">
        <v>163</v>
      </c>
    </row>
    <row r="114" spans="1:8" ht="19.899999999999999" customHeight="1">
      <c r="A114" s="121">
        <v>46043</v>
      </c>
      <c r="B114" s="112" t="s">
        <v>38</v>
      </c>
      <c r="C114" s="113" t="s">
        <v>39</v>
      </c>
      <c r="D114" s="112" t="s">
        <v>1</v>
      </c>
      <c r="E114" s="122">
        <v>1.229166666666667</v>
      </c>
      <c r="F114" s="112" t="s">
        <v>46</v>
      </c>
      <c r="G114" s="114">
        <v>14</v>
      </c>
      <c r="H114" s="115" t="s">
        <v>47</v>
      </c>
    </row>
    <row r="115" spans="1:8" ht="19.899999999999999" customHeight="1">
      <c r="A115" s="121">
        <v>46043</v>
      </c>
      <c r="B115" s="112" t="s">
        <v>48</v>
      </c>
      <c r="C115" s="113" t="s">
        <v>59</v>
      </c>
      <c r="D115" s="112" t="s">
        <v>1</v>
      </c>
      <c r="E115" s="122">
        <v>1.229166666666667</v>
      </c>
      <c r="F115" s="112" t="s">
        <v>53</v>
      </c>
      <c r="G115" s="114">
        <v>4</v>
      </c>
      <c r="H115" s="115" t="s">
        <v>93</v>
      </c>
    </row>
    <row r="116" spans="1:8" ht="19.899999999999999" customHeight="1">
      <c r="A116" s="123">
        <v>46043</v>
      </c>
      <c r="B116" s="124" t="s">
        <v>68</v>
      </c>
      <c r="C116" s="125" t="s">
        <v>72</v>
      </c>
      <c r="D116" s="124" t="s">
        <v>1</v>
      </c>
      <c r="E116" s="126">
        <v>1.0659722222222221</v>
      </c>
      <c r="F116" s="124" t="s">
        <v>70</v>
      </c>
      <c r="G116" s="127">
        <v>9</v>
      </c>
      <c r="H116" s="128" t="s">
        <v>169</v>
      </c>
    </row>
    <row r="117" spans="1:8" ht="19.899999999999999" customHeight="1">
      <c r="A117" s="136">
        <v>46044</v>
      </c>
      <c r="B117" s="132" t="s">
        <v>61</v>
      </c>
      <c r="C117" s="133" t="s">
        <v>62</v>
      </c>
      <c r="D117" s="132" t="s">
        <v>1</v>
      </c>
      <c r="E117" s="137">
        <v>1.381944444444444</v>
      </c>
      <c r="F117" s="132" t="s">
        <v>63</v>
      </c>
      <c r="G117" s="134">
        <v>1</v>
      </c>
      <c r="H117" s="135" t="s">
        <v>173</v>
      </c>
    </row>
    <row r="118" spans="1:8" ht="19.899999999999999" customHeight="1">
      <c r="A118" s="121">
        <v>46045</v>
      </c>
      <c r="B118" s="112" t="s">
        <v>38</v>
      </c>
      <c r="C118" s="113" t="s">
        <v>39</v>
      </c>
      <c r="D118" s="112" t="s">
        <v>1</v>
      </c>
      <c r="E118" s="122">
        <v>1.229166666666667</v>
      </c>
      <c r="F118" s="112" t="s">
        <v>40</v>
      </c>
      <c r="G118" s="114">
        <v>19</v>
      </c>
      <c r="H118" s="115" t="s">
        <v>121</v>
      </c>
    </row>
    <row r="119" spans="1:8" ht="19.899999999999999" customHeight="1">
      <c r="A119" s="121">
        <v>46045</v>
      </c>
      <c r="B119" s="112" t="s">
        <v>38</v>
      </c>
      <c r="C119" s="113" t="s">
        <v>39</v>
      </c>
      <c r="D119" s="112" t="s">
        <v>1</v>
      </c>
      <c r="E119" s="122">
        <v>1.229166666666667</v>
      </c>
      <c r="F119" s="112" t="s">
        <v>43</v>
      </c>
      <c r="G119" s="114">
        <v>19</v>
      </c>
      <c r="H119" s="115" t="s">
        <v>123</v>
      </c>
    </row>
    <row r="120" spans="1:8" ht="19.899999999999999" customHeight="1">
      <c r="A120" s="121">
        <v>46045</v>
      </c>
      <c r="B120" s="112" t="s">
        <v>26</v>
      </c>
      <c r="C120" s="113" t="s">
        <v>27</v>
      </c>
      <c r="D120" s="112" t="s">
        <v>1</v>
      </c>
      <c r="E120" s="122">
        <v>1.6076388888888891</v>
      </c>
      <c r="F120" s="112" t="s">
        <v>28</v>
      </c>
      <c r="G120" s="114">
        <v>3</v>
      </c>
      <c r="H120" s="115" t="s">
        <v>162</v>
      </c>
    </row>
    <row r="121" spans="1:8" ht="19.899999999999999" customHeight="1">
      <c r="A121" s="121">
        <v>46045</v>
      </c>
      <c r="B121" s="112" t="s">
        <v>26</v>
      </c>
      <c r="C121" s="113" t="s">
        <v>27</v>
      </c>
      <c r="D121" s="112" t="s">
        <v>1</v>
      </c>
      <c r="E121" s="122">
        <v>1.6076388888888891</v>
      </c>
      <c r="F121" s="112" t="s">
        <v>31</v>
      </c>
      <c r="G121" s="114">
        <v>3</v>
      </c>
      <c r="H121" s="115" t="s">
        <v>178</v>
      </c>
    </row>
    <row r="122" spans="1:8" ht="19.899999999999999" customHeight="1">
      <c r="A122" s="121">
        <v>46045</v>
      </c>
      <c r="B122" s="112" t="s">
        <v>68</v>
      </c>
      <c r="C122" s="113" t="s">
        <v>69</v>
      </c>
      <c r="D122" s="112" t="s">
        <v>1</v>
      </c>
      <c r="E122" s="122">
        <v>1.9409722222222221</v>
      </c>
      <c r="F122" s="112" t="s">
        <v>70</v>
      </c>
      <c r="G122" s="114">
        <v>9</v>
      </c>
      <c r="H122" s="115" t="s">
        <v>71</v>
      </c>
    </row>
    <row r="123" spans="1:8" ht="19.899999999999999" customHeight="1">
      <c r="A123" s="121">
        <v>46045</v>
      </c>
      <c r="B123" s="112" t="s">
        <v>68</v>
      </c>
      <c r="C123" s="113" t="s">
        <v>76</v>
      </c>
      <c r="D123" s="112" t="s">
        <v>1</v>
      </c>
      <c r="E123" s="122">
        <v>1.697916666666667</v>
      </c>
      <c r="F123" s="112" t="s">
        <v>70</v>
      </c>
      <c r="G123" s="114">
        <v>9</v>
      </c>
      <c r="H123" s="115" t="s">
        <v>71</v>
      </c>
    </row>
    <row r="124" spans="1:8" ht="19.899999999999999" customHeight="1">
      <c r="A124" s="121">
        <v>46045</v>
      </c>
      <c r="B124" s="112" t="s">
        <v>26</v>
      </c>
      <c r="C124" s="113" t="s">
        <v>27</v>
      </c>
      <c r="D124" s="112" t="s">
        <v>1</v>
      </c>
      <c r="E124" s="122">
        <v>1.6076388888888891</v>
      </c>
      <c r="F124" s="112" t="s">
        <v>34</v>
      </c>
      <c r="G124" s="114">
        <v>3</v>
      </c>
      <c r="H124" s="115" t="s">
        <v>179</v>
      </c>
    </row>
    <row r="125" spans="1:8" ht="19.899999999999999" customHeight="1">
      <c r="A125" s="121">
        <v>46045</v>
      </c>
      <c r="B125" s="112" t="s">
        <v>38</v>
      </c>
      <c r="C125" s="113" t="s">
        <v>39</v>
      </c>
      <c r="D125" s="112" t="s">
        <v>1</v>
      </c>
      <c r="E125" s="122">
        <v>1.229166666666667</v>
      </c>
      <c r="F125" s="112" t="s">
        <v>46</v>
      </c>
      <c r="G125" s="114">
        <v>19</v>
      </c>
      <c r="H125" s="115" t="s">
        <v>47</v>
      </c>
    </row>
    <row r="126" spans="1:8" ht="19.899999999999999" customHeight="1">
      <c r="A126" s="121">
        <v>46045</v>
      </c>
      <c r="B126" s="112" t="s">
        <v>68</v>
      </c>
      <c r="C126" s="113" t="s">
        <v>74</v>
      </c>
      <c r="D126" s="112" t="s">
        <v>1</v>
      </c>
      <c r="E126" s="122">
        <v>1.336805555555556</v>
      </c>
      <c r="F126" s="112" t="s">
        <v>70</v>
      </c>
      <c r="G126" s="114">
        <v>9</v>
      </c>
      <c r="H126" s="115" t="s">
        <v>75</v>
      </c>
    </row>
    <row r="127" spans="1:8" ht="19.899999999999999" customHeight="1">
      <c r="A127" s="121">
        <v>46045</v>
      </c>
      <c r="B127" s="112" t="s">
        <v>48</v>
      </c>
      <c r="C127" s="113" t="s">
        <v>59</v>
      </c>
      <c r="D127" s="112" t="s">
        <v>1</v>
      </c>
      <c r="E127" s="122">
        <v>1.229166666666667</v>
      </c>
      <c r="F127" s="112" t="s">
        <v>53</v>
      </c>
      <c r="G127" s="114">
        <v>4</v>
      </c>
      <c r="H127" s="115" t="s">
        <v>124</v>
      </c>
    </row>
    <row r="128" spans="1:8" ht="19.899999999999999" customHeight="1">
      <c r="A128" s="121">
        <v>46045</v>
      </c>
      <c r="B128" s="112" t="s">
        <v>48</v>
      </c>
      <c r="C128" s="113" t="s">
        <v>49</v>
      </c>
      <c r="D128" s="112" t="s">
        <v>1</v>
      </c>
      <c r="E128" s="122">
        <v>1.350694444444444</v>
      </c>
      <c r="F128" s="112" t="s">
        <v>53</v>
      </c>
      <c r="G128" s="114">
        <v>9</v>
      </c>
      <c r="H128" s="115" t="s">
        <v>176</v>
      </c>
    </row>
    <row r="129" spans="1:8" ht="19.899999999999999" customHeight="1">
      <c r="A129" s="121">
        <v>46045</v>
      </c>
      <c r="B129" s="112" t="s">
        <v>48</v>
      </c>
      <c r="C129" s="113" t="s">
        <v>56</v>
      </c>
      <c r="D129" s="112" t="s">
        <v>1</v>
      </c>
      <c r="E129" s="122">
        <v>1.895833333333333</v>
      </c>
      <c r="F129" s="112" t="s">
        <v>53</v>
      </c>
      <c r="G129" s="114">
        <v>9</v>
      </c>
      <c r="H129" s="115" t="s">
        <v>176</v>
      </c>
    </row>
    <row r="130" spans="1:8" ht="19.899999999999999" customHeight="1">
      <c r="A130" s="121">
        <v>46045</v>
      </c>
      <c r="B130" s="112" t="s">
        <v>48</v>
      </c>
      <c r="C130" s="113" t="s">
        <v>58</v>
      </c>
      <c r="D130" s="112" t="s">
        <v>1</v>
      </c>
      <c r="E130" s="122">
        <v>1.1840277777777779</v>
      </c>
      <c r="F130" s="112" t="s">
        <v>53</v>
      </c>
      <c r="G130" s="114">
        <v>9</v>
      </c>
      <c r="H130" s="115" t="s">
        <v>176</v>
      </c>
    </row>
    <row r="131" spans="1:8" ht="19.899999999999999" customHeight="1">
      <c r="A131" s="123">
        <v>46045</v>
      </c>
      <c r="B131" s="124" t="s">
        <v>68</v>
      </c>
      <c r="C131" s="125" t="s">
        <v>72</v>
      </c>
      <c r="D131" s="124" t="s">
        <v>1</v>
      </c>
      <c r="E131" s="126">
        <v>1.0659722222222221</v>
      </c>
      <c r="F131" s="124" t="s">
        <v>70</v>
      </c>
      <c r="G131" s="127">
        <v>9</v>
      </c>
      <c r="H131" s="128" t="s">
        <v>180</v>
      </c>
    </row>
    <row r="132" spans="1:8" ht="19.899999999999999" customHeight="1">
      <c r="A132" s="121">
        <v>46046</v>
      </c>
      <c r="B132" s="112" t="s">
        <v>26</v>
      </c>
      <c r="C132" s="113" t="s">
        <v>36</v>
      </c>
      <c r="D132" s="112" t="s">
        <v>1</v>
      </c>
      <c r="E132" s="122">
        <v>1.4340277777777779</v>
      </c>
      <c r="F132" s="112" t="s">
        <v>28</v>
      </c>
      <c r="G132" s="114">
        <v>3</v>
      </c>
      <c r="H132" s="115" t="s">
        <v>162</v>
      </c>
    </row>
    <row r="133" spans="1:8" ht="19.899999999999999" customHeight="1">
      <c r="A133" s="136">
        <v>46046</v>
      </c>
      <c r="B133" s="132" t="s">
        <v>61</v>
      </c>
      <c r="C133" s="133" t="s">
        <v>62</v>
      </c>
      <c r="D133" s="132" t="s">
        <v>1</v>
      </c>
      <c r="E133" s="137">
        <v>1.2361111111111109</v>
      </c>
      <c r="F133" s="132" t="s">
        <v>63</v>
      </c>
      <c r="G133" s="134">
        <v>7</v>
      </c>
      <c r="H133" s="135" t="s">
        <v>64</v>
      </c>
    </row>
    <row r="134" spans="1:8" ht="19.899999999999999" customHeight="1">
      <c r="A134" s="136">
        <v>46047</v>
      </c>
      <c r="B134" s="132" t="s">
        <v>61</v>
      </c>
      <c r="C134" s="133" t="s">
        <v>62</v>
      </c>
      <c r="D134" s="132" t="s">
        <v>1</v>
      </c>
      <c r="E134" s="137">
        <v>1.743055555555556</v>
      </c>
      <c r="F134" s="132" t="s">
        <v>63</v>
      </c>
      <c r="G134" s="134">
        <v>9</v>
      </c>
      <c r="H134" s="135" t="s">
        <v>64</v>
      </c>
    </row>
    <row r="135" spans="1:8" ht="19.899999999999999" customHeight="1">
      <c r="A135" s="136">
        <v>46048</v>
      </c>
      <c r="B135" s="132" t="s">
        <v>61</v>
      </c>
      <c r="C135" s="133" t="s">
        <v>111</v>
      </c>
      <c r="D135" s="132" t="s">
        <v>1</v>
      </c>
      <c r="E135" s="137">
        <v>1.868055555555556</v>
      </c>
      <c r="F135" s="132" t="s">
        <v>63</v>
      </c>
      <c r="G135" s="134">
        <v>9</v>
      </c>
      <c r="H135" s="135" t="s">
        <v>64</v>
      </c>
    </row>
    <row r="136" spans="1:8" ht="19.899999999999999" customHeight="1">
      <c r="A136" s="136">
        <v>46049</v>
      </c>
      <c r="B136" s="132" t="s">
        <v>61</v>
      </c>
      <c r="C136" s="133" t="s">
        <v>62</v>
      </c>
      <c r="D136" s="132" t="s">
        <v>1</v>
      </c>
      <c r="E136" s="137">
        <v>1.819444444444444</v>
      </c>
      <c r="F136" s="132" t="s">
        <v>63</v>
      </c>
      <c r="G136" s="134">
        <v>9</v>
      </c>
      <c r="H136" s="135" t="s">
        <v>64</v>
      </c>
    </row>
    <row r="137" spans="1:8" ht="19.899999999999999" customHeight="1">
      <c r="A137" s="121">
        <v>46050</v>
      </c>
      <c r="B137" s="112" t="s">
        <v>38</v>
      </c>
      <c r="C137" s="113" t="s">
        <v>39</v>
      </c>
      <c r="D137" s="112" t="s">
        <v>1</v>
      </c>
      <c r="E137" s="122">
        <v>1.229166666666667</v>
      </c>
      <c r="F137" s="112" t="s">
        <v>40</v>
      </c>
      <c r="G137" s="114">
        <v>16</v>
      </c>
      <c r="H137" s="115" t="s">
        <v>78</v>
      </c>
    </row>
    <row r="138" spans="1:8" ht="19.899999999999999" customHeight="1">
      <c r="A138" s="121">
        <v>46050</v>
      </c>
      <c r="B138" s="112" t="s">
        <v>26</v>
      </c>
      <c r="C138" s="113" t="s">
        <v>27</v>
      </c>
      <c r="D138" s="112" t="s">
        <v>1</v>
      </c>
      <c r="E138" s="122">
        <v>1.6076388888888891</v>
      </c>
      <c r="F138" s="112" t="s">
        <v>28</v>
      </c>
      <c r="G138" s="114">
        <v>2</v>
      </c>
      <c r="H138" s="115" t="s">
        <v>89</v>
      </c>
    </row>
    <row r="139" spans="1:8" ht="19.899999999999999" customHeight="1">
      <c r="A139" s="121">
        <v>46050</v>
      </c>
      <c r="B139" s="112" t="s">
        <v>38</v>
      </c>
      <c r="C139" s="113" t="s">
        <v>39</v>
      </c>
      <c r="D139" s="112" t="s">
        <v>1</v>
      </c>
      <c r="E139" s="122">
        <v>1.229166666666667</v>
      </c>
      <c r="F139" s="112" t="s">
        <v>43</v>
      </c>
      <c r="G139" s="114">
        <v>16</v>
      </c>
      <c r="H139" s="115" t="s">
        <v>79</v>
      </c>
    </row>
    <row r="140" spans="1:8" ht="19.899999999999999" customHeight="1">
      <c r="A140" s="121">
        <v>46050</v>
      </c>
      <c r="B140" s="112" t="s">
        <v>26</v>
      </c>
      <c r="C140" s="113" t="s">
        <v>27</v>
      </c>
      <c r="D140" s="112" t="s">
        <v>1</v>
      </c>
      <c r="E140" s="122">
        <v>1.6076388888888891</v>
      </c>
      <c r="F140" s="112" t="s">
        <v>31</v>
      </c>
      <c r="G140" s="114">
        <v>2</v>
      </c>
      <c r="H140" s="115" t="s">
        <v>138</v>
      </c>
    </row>
    <row r="141" spans="1:8" ht="19.899999999999999" customHeight="1">
      <c r="A141" s="121">
        <v>46050</v>
      </c>
      <c r="B141" s="112" t="s">
        <v>26</v>
      </c>
      <c r="C141" s="113" t="s">
        <v>27</v>
      </c>
      <c r="D141" s="112" t="s">
        <v>1</v>
      </c>
      <c r="E141" s="122">
        <v>1.6076388888888891</v>
      </c>
      <c r="F141" s="112" t="s">
        <v>34</v>
      </c>
      <c r="G141" s="114">
        <v>2</v>
      </c>
      <c r="H141" s="115" t="s">
        <v>139</v>
      </c>
    </row>
    <row r="142" spans="1:8" ht="19.899999999999999" customHeight="1">
      <c r="A142" s="121">
        <v>46050</v>
      </c>
      <c r="B142" s="112" t="s">
        <v>38</v>
      </c>
      <c r="C142" s="113" t="s">
        <v>39</v>
      </c>
      <c r="D142" s="112" t="s">
        <v>1</v>
      </c>
      <c r="E142" s="122">
        <v>1.229166666666667</v>
      </c>
      <c r="F142" s="112" t="s">
        <v>46</v>
      </c>
      <c r="G142" s="114">
        <v>16</v>
      </c>
      <c r="H142" s="115" t="s">
        <v>47</v>
      </c>
    </row>
    <row r="143" spans="1:8" ht="19.899999999999999" customHeight="1">
      <c r="A143" s="121">
        <v>46050</v>
      </c>
      <c r="B143" s="112" t="s">
        <v>48</v>
      </c>
      <c r="C143" s="113" t="s">
        <v>59</v>
      </c>
      <c r="D143" s="112" t="s">
        <v>1</v>
      </c>
      <c r="E143" s="122">
        <v>1.229166666666667</v>
      </c>
      <c r="F143" s="112" t="s">
        <v>53</v>
      </c>
      <c r="G143" s="114">
        <v>4</v>
      </c>
      <c r="H143" s="115" t="s">
        <v>93</v>
      </c>
    </row>
    <row r="144" spans="1:8" ht="19.899999999999999" customHeight="1">
      <c r="A144" s="121">
        <v>46050</v>
      </c>
      <c r="B144" s="112" t="s">
        <v>68</v>
      </c>
      <c r="C144" s="113" t="s">
        <v>74</v>
      </c>
      <c r="D144" s="112" t="s">
        <v>1</v>
      </c>
      <c r="E144" s="122">
        <v>1.336805555555556</v>
      </c>
      <c r="F144" s="112" t="s">
        <v>70</v>
      </c>
      <c r="G144" s="114">
        <v>9</v>
      </c>
      <c r="H144" s="115" t="s">
        <v>169</v>
      </c>
    </row>
    <row r="145" spans="1:8" ht="19.899999999999999" customHeight="1">
      <c r="A145" s="121">
        <v>46050</v>
      </c>
      <c r="B145" s="112" t="s">
        <v>68</v>
      </c>
      <c r="C145" s="113" t="s">
        <v>76</v>
      </c>
      <c r="D145" s="112" t="s">
        <v>1</v>
      </c>
      <c r="E145" s="122">
        <v>1.697916666666667</v>
      </c>
      <c r="F145" s="112" t="s">
        <v>70</v>
      </c>
      <c r="G145" s="114">
        <v>9</v>
      </c>
      <c r="H145" s="115" t="s">
        <v>169</v>
      </c>
    </row>
    <row r="146" spans="1:8" ht="19.899999999999999" customHeight="1">
      <c r="A146" s="121">
        <v>46050</v>
      </c>
      <c r="B146" s="112" t="s">
        <v>68</v>
      </c>
      <c r="C146" s="113" t="s">
        <v>73</v>
      </c>
      <c r="D146" s="112" t="s">
        <v>1</v>
      </c>
      <c r="E146" s="122">
        <v>1.288194444444444</v>
      </c>
      <c r="F146" s="112" t="s">
        <v>70</v>
      </c>
      <c r="G146" s="114">
        <v>9</v>
      </c>
      <c r="H146" s="115" t="s">
        <v>169</v>
      </c>
    </row>
    <row r="147" spans="1:8" ht="19.899999999999999" customHeight="1">
      <c r="A147" s="121">
        <v>46050</v>
      </c>
      <c r="B147" s="112" t="s">
        <v>48</v>
      </c>
      <c r="C147" s="113" t="s">
        <v>49</v>
      </c>
      <c r="D147" s="112" t="s">
        <v>1</v>
      </c>
      <c r="E147" s="122">
        <v>1.350694444444444</v>
      </c>
      <c r="F147" s="112" t="s">
        <v>53</v>
      </c>
      <c r="G147" s="114">
        <v>9</v>
      </c>
      <c r="H147" s="115" t="s">
        <v>176</v>
      </c>
    </row>
    <row r="148" spans="1:8" ht="19.899999999999999" customHeight="1">
      <c r="A148" s="121">
        <v>46050</v>
      </c>
      <c r="B148" s="112" t="s">
        <v>48</v>
      </c>
      <c r="C148" s="113" t="s">
        <v>56</v>
      </c>
      <c r="D148" s="112" t="s">
        <v>1</v>
      </c>
      <c r="E148" s="122">
        <v>1.895833333333333</v>
      </c>
      <c r="F148" s="112" t="s">
        <v>53</v>
      </c>
      <c r="G148" s="114">
        <v>9</v>
      </c>
      <c r="H148" s="115" t="s">
        <v>176</v>
      </c>
    </row>
    <row r="149" spans="1:8" ht="19.899999999999999" customHeight="1">
      <c r="A149" s="121">
        <v>46050</v>
      </c>
      <c r="B149" s="112" t="s">
        <v>48</v>
      </c>
      <c r="C149" s="113" t="s">
        <v>58</v>
      </c>
      <c r="D149" s="112" t="s">
        <v>1</v>
      </c>
      <c r="E149" s="122">
        <v>1.1840277777777779</v>
      </c>
      <c r="F149" s="112" t="s">
        <v>53</v>
      </c>
      <c r="G149" s="114">
        <v>9</v>
      </c>
      <c r="H149" s="115" t="s">
        <v>176</v>
      </c>
    </row>
    <row r="150" spans="1:8" ht="19.899999999999999" customHeight="1">
      <c r="A150" s="121">
        <v>46050</v>
      </c>
      <c r="B150" s="112" t="s">
        <v>68</v>
      </c>
      <c r="C150" s="113" t="s">
        <v>72</v>
      </c>
      <c r="D150" s="112" t="s">
        <v>1</v>
      </c>
      <c r="E150" s="122">
        <v>1.0659722222222221</v>
      </c>
      <c r="F150" s="112" t="s">
        <v>70</v>
      </c>
      <c r="G150" s="114">
        <v>9</v>
      </c>
      <c r="H150" s="115" t="s">
        <v>180</v>
      </c>
    </row>
    <row r="151" spans="1:8" ht="19.899999999999999" customHeight="1">
      <c r="A151" s="123">
        <v>46050</v>
      </c>
      <c r="B151" s="124" t="s">
        <v>68</v>
      </c>
      <c r="C151" s="125" t="s">
        <v>69</v>
      </c>
      <c r="D151" s="124" t="s">
        <v>1</v>
      </c>
      <c r="E151" s="126">
        <v>1.9409722222222221</v>
      </c>
      <c r="F151" s="124" t="s">
        <v>70</v>
      </c>
      <c r="G151" s="127">
        <v>9</v>
      </c>
      <c r="H151" s="128" t="s">
        <v>157</v>
      </c>
    </row>
    <row r="152" spans="1:8" ht="19.899999999999999" customHeight="1">
      <c r="A152" s="121">
        <v>46051</v>
      </c>
      <c r="B152" s="112" t="s">
        <v>26</v>
      </c>
      <c r="C152" s="113" t="s">
        <v>36</v>
      </c>
      <c r="D152" s="112" t="s">
        <v>1</v>
      </c>
      <c r="E152" s="122">
        <v>1.4340277777777779</v>
      </c>
      <c r="F152" s="112" t="s">
        <v>28</v>
      </c>
      <c r="G152" s="114">
        <v>4</v>
      </c>
      <c r="H152" s="115" t="s">
        <v>162</v>
      </c>
    </row>
    <row r="153" spans="1:8" ht="19.899999999999999" customHeight="1">
      <c r="A153" s="136">
        <v>46051</v>
      </c>
      <c r="B153" s="132" t="s">
        <v>61</v>
      </c>
      <c r="C153" s="133" t="s">
        <v>62</v>
      </c>
      <c r="D153" s="132" t="s">
        <v>1</v>
      </c>
      <c r="E153" s="137">
        <v>1.381944444444444</v>
      </c>
      <c r="F153" s="132" t="s">
        <v>63</v>
      </c>
      <c r="G153" s="134">
        <v>9</v>
      </c>
      <c r="H153" s="135" t="s">
        <v>64</v>
      </c>
    </row>
    <row r="154" spans="1:8" ht="19.899999999999999" customHeight="1">
      <c r="A154" s="121">
        <v>46052</v>
      </c>
      <c r="B154" s="112" t="s">
        <v>38</v>
      </c>
      <c r="C154" s="113" t="s">
        <v>39</v>
      </c>
      <c r="D154" s="112" t="s">
        <v>1</v>
      </c>
      <c r="E154" s="122">
        <v>1.229166666666667</v>
      </c>
      <c r="F154" s="112" t="s">
        <v>40</v>
      </c>
      <c r="G154" s="114">
        <v>28</v>
      </c>
      <c r="H154" s="115" t="s">
        <v>121</v>
      </c>
    </row>
    <row r="155" spans="1:8" ht="19.899999999999999" customHeight="1">
      <c r="A155" s="121">
        <v>46052</v>
      </c>
      <c r="B155" s="112" t="s">
        <v>26</v>
      </c>
      <c r="C155" s="113" t="s">
        <v>27</v>
      </c>
      <c r="D155" s="112" t="s">
        <v>1</v>
      </c>
      <c r="E155" s="122">
        <v>1.6076388888888891</v>
      </c>
      <c r="F155" s="112" t="s">
        <v>28</v>
      </c>
      <c r="G155" s="114">
        <v>5</v>
      </c>
      <c r="H155" s="115" t="s">
        <v>161</v>
      </c>
    </row>
    <row r="156" spans="1:8" ht="19.899999999999999" customHeight="1">
      <c r="A156" s="121">
        <v>46052</v>
      </c>
      <c r="B156" s="112" t="s">
        <v>38</v>
      </c>
      <c r="C156" s="113" t="s">
        <v>39</v>
      </c>
      <c r="D156" s="112" t="s">
        <v>1</v>
      </c>
      <c r="E156" s="122">
        <v>1.229166666666667</v>
      </c>
      <c r="F156" s="112" t="s">
        <v>43</v>
      </c>
      <c r="G156" s="114">
        <v>28</v>
      </c>
      <c r="H156" s="115" t="s">
        <v>123</v>
      </c>
    </row>
    <row r="157" spans="1:8" ht="19.899999999999999" customHeight="1">
      <c r="A157" s="121">
        <v>46052</v>
      </c>
      <c r="B157" s="112" t="s">
        <v>26</v>
      </c>
      <c r="C157" s="113" t="s">
        <v>27</v>
      </c>
      <c r="D157" s="112" t="s">
        <v>1</v>
      </c>
      <c r="E157" s="122">
        <v>1.6076388888888891</v>
      </c>
      <c r="F157" s="112" t="s">
        <v>31</v>
      </c>
      <c r="G157" s="114">
        <v>5</v>
      </c>
      <c r="H157" s="115" t="s">
        <v>162</v>
      </c>
    </row>
    <row r="158" spans="1:8" ht="19.899999999999999" customHeight="1">
      <c r="A158" s="121">
        <v>46052</v>
      </c>
      <c r="B158" s="112" t="s">
        <v>26</v>
      </c>
      <c r="C158" s="113" t="s">
        <v>27</v>
      </c>
      <c r="D158" s="112" t="s">
        <v>1</v>
      </c>
      <c r="E158" s="122">
        <v>1.6076388888888891</v>
      </c>
      <c r="F158" s="112" t="s">
        <v>34</v>
      </c>
      <c r="G158" s="114">
        <v>5</v>
      </c>
      <c r="H158" s="115" t="s">
        <v>163</v>
      </c>
    </row>
    <row r="159" spans="1:8" ht="19.899999999999999" customHeight="1">
      <c r="A159" s="121">
        <v>46052</v>
      </c>
      <c r="B159" s="112" t="s">
        <v>68</v>
      </c>
      <c r="C159" s="113" t="s">
        <v>74</v>
      </c>
      <c r="D159" s="112" t="s">
        <v>1</v>
      </c>
      <c r="E159" s="122">
        <v>1.336805555555556</v>
      </c>
      <c r="F159" s="112" t="s">
        <v>70</v>
      </c>
      <c r="G159" s="114">
        <v>9</v>
      </c>
      <c r="H159" s="115" t="s">
        <v>71</v>
      </c>
    </row>
    <row r="160" spans="1:8" ht="19.899999999999999" customHeight="1">
      <c r="A160" s="121">
        <v>46052</v>
      </c>
      <c r="B160" s="112" t="s">
        <v>68</v>
      </c>
      <c r="C160" s="113" t="s">
        <v>69</v>
      </c>
      <c r="D160" s="112" t="s">
        <v>1</v>
      </c>
      <c r="E160" s="122">
        <v>1.9409722222222221</v>
      </c>
      <c r="F160" s="112" t="s">
        <v>70</v>
      </c>
      <c r="G160" s="114">
        <v>9</v>
      </c>
      <c r="H160" s="115" t="s">
        <v>71</v>
      </c>
    </row>
    <row r="161" spans="1:8" ht="19.899999999999999" customHeight="1">
      <c r="A161" s="121">
        <v>46052</v>
      </c>
      <c r="B161" s="112" t="s">
        <v>38</v>
      </c>
      <c r="C161" s="113" t="s">
        <v>39</v>
      </c>
      <c r="D161" s="112" t="s">
        <v>1</v>
      </c>
      <c r="E161" s="122">
        <v>1.229166666666667</v>
      </c>
      <c r="F161" s="112" t="s">
        <v>46</v>
      </c>
      <c r="G161" s="114">
        <v>28</v>
      </c>
      <c r="H161" s="115" t="s">
        <v>47</v>
      </c>
    </row>
    <row r="162" spans="1:8" ht="19.899999999999999" customHeight="1">
      <c r="A162" s="121">
        <v>46052</v>
      </c>
      <c r="B162" s="112" t="s">
        <v>68</v>
      </c>
      <c r="C162" s="113" t="s">
        <v>76</v>
      </c>
      <c r="D162" s="112" t="s">
        <v>1</v>
      </c>
      <c r="E162" s="122">
        <v>1.697916666666667</v>
      </c>
      <c r="F162" s="112" t="s">
        <v>70</v>
      </c>
      <c r="G162" s="114">
        <v>9</v>
      </c>
      <c r="H162" s="115" t="s">
        <v>185</v>
      </c>
    </row>
    <row r="163" spans="1:8" ht="19.899999999999999" customHeight="1">
      <c r="A163" s="121">
        <v>46052</v>
      </c>
      <c r="B163" s="112" t="s">
        <v>68</v>
      </c>
      <c r="C163" s="113" t="s">
        <v>73</v>
      </c>
      <c r="D163" s="112" t="s">
        <v>1</v>
      </c>
      <c r="E163" s="122">
        <v>1.288194444444444</v>
      </c>
      <c r="F163" s="112" t="s">
        <v>70</v>
      </c>
      <c r="G163" s="114">
        <v>9</v>
      </c>
      <c r="H163" s="115" t="s">
        <v>185</v>
      </c>
    </row>
    <row r="164" spans="1:8" ht="19.899999999999999" customHeight="1">
      <c r="A164" s="121">
        <v>46052</v>
      </c>
      <c r="B164" s="112" t="s">
        <v>48</v>
      </c>
      <c r="C164" s="113" t="s">
        <v>59</v>
      </c>
      <c r="D164" s="112" t="s">
        <v>1</v>
      </c>
      <c r="E164" s="122">
        <v>1.229166666666667</v>
      </c>
      <c r="F164" s="112" t="s">
        <v>53</v>
      </c>
      <c r="G164" s="114">
        <v>4</v>
      </c>
      <c r="H164" s="115" t="s">
        <v>124</v>
      </c>
    </row>
    <row r="165" spans="1:8" ht="19.899999999999999" customHeight="1">
      <c r="A165" s="121">
        <v>46052</v>
      </c>
      <c r="B165" s="112" t="s">
        <v>68</v>
      </c>
      <c r="C165" s="113" t="s">
        <v>72</v>
      </c>
      <c r="D165" s="112" t="s">
        <v>1</v>
      </c>
      <c r="E165" s="122">
        <v>1.0659722222222221</v>
      </c>
      <c r="F165" s="112" t="s">
        <v>70</v>
      </c>
      <c r="G165" s="114">
        <v>9</v>
      </c>
      <c r="H165" s="115" t="s">
        <v>169</v>
      </c>
    </row>
    <row r="166" spans="1:8" ht="19.899999999999999" customHeight="1">
      <c r="A166" s="121">
        <v>46052</v>
      </c>
      <c r="B166" s="112" t="s">
        <v>48</v>
      </c>
      <c r="C166" s="113" t="s">
        <v>49</v>
      </c>
      <c r="D166" s="112" t="s">
        <v>1</v>
      </c>
      <c r="E166" s="122">
        <v>1.350694444444444</v>
      </c>
      <c r="F166" s="112" t="s">
        <v>53</v>
      </c>
      <c r="G166" s="114">
        <v>9</v>
      </c>
      <c r="H166" s="115" t="s">
        <v>176</v>
      </c>
    </row>
    <row r="167" spans="1:8" ht="19.899999999999999" customHeight="1">
      <c r="A167" s="121">
        <v>46052</v>
      </c>
      <c r="B167" s="112" t="s">
        <v>48</v>
      </c>
      <c r="C167" s="113" t="s">
        <v>56</v>
      </c>
      <c r="D167" s="112" t="s">
        <v>1</v>
      </c>
      <c r="E167" s="122">
        <v>1.895833333333333</v>
      </c>
      <c r="F167" s="112" t="s">
        <v>53</v>
      </c>
      <c r="G167" s="114">
        <v>9</v>
      </c>
      <c r="H167" s="115" t="s">
        <v>176</v>
      </c>
    </row>
    <row r="168" spans="1:8" ht="19.899999999999999" customHeight="1">
      <c r="A168" s="123">
        <v>46052</v>
      </c>
      <c r="B168" s="124" t="s">
        <v>48</v>
      </c>
      <c r="C168" s="125" t="s">
        <v>58</v>
      </c>
      <c r="D168" s="124" t="s">
        <v>1</v>
      </c>
      <c r="E168" s="126">
        <v>1.1840277777777779</v>
      </c>
      <c r="F168" s="124" t="s">
        <v>53</v>
      </c>
      <c r="G168" s="127">
        <v>9</v>
      </c>
      <c r="H168" s="128" t="s">
        <v>176</v>
      </c>
    </row>
    <row r="169" spans="1:8" ht="19.899999999999999" customHeight="1">
      <c r="A169" s="136">
        <v>46053</v>
      </c>
      <c r="B169" s="132" t="s">
        <v>61</v>
      </c>
      <c r="C169" s="133" t="s">
        <v>62</v>
      </c>
      <c r="D169" s="132" t="s">
        <v>1</v>
      </c>
      <c r="E169" s="137">
        <v>1.2361111111111109</v>
      </c>
      <c r="F169" s="132" t="s">
        <v>63</v>
      </c>
      <c r="G169" s="134">
        <v>9</v>
      </c>
      <c r="H169" s="135" t="s">
        <v>64</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308"/>
  <sheetViews>
    <sheetView workbookViewId="0"/>
  </sheetViews>
  <sheetFormatPr defaultRowHeight="14.45"/>
  <cols>
    <col min="1" max="1" width="10.28515625" bestFit="1" customWidth="1"/>
    <col min="2" max="2" width="15.7109375" bestFit="1" customWidth="1"/>
    <col min="3" max="3" width="14.7109375" bestFit="1" customWidth="1"/>
    <col min="4" max="4" width="34.28515625" bestFit="1" customWidth="1"/>
    <col min="5" max="5" width="20.140625" bestFit="1" customWidth="1"/>
    <col min="6" max="6" width="23.42578125" bestFit="1" customWidth="1"/>
    <col min="7" max="7" width="45.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21.5703125" bestFit="1" customWidth="1"/>
  </cols>
  <sheetData>
    <row r="1" spans="1:92" ht="28.9" customHeight="1">
      <c r="A1" s="291" t="s">
        <v>0</v>
      </c>
      <c r="B1" s="294"/>
      <c r="C1" s="294"/>
      <c r="D1" s="294"/>
      <c r="E1" s="294"/>
      <c r="F1" s="1" t="s">
        <v>261</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45980.609169980213</v>
      </c>
      <c r="H2" s="294"/>
      <c r="I2" s="294"/>
      <c r="J2" s="294"/>
      <c r="K2" s="287">
        <v>45980.609169980569</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46023</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58" t="s">
        <v>61</v>
      </c>
      <c r="B6" s="58" t="s">
        <v>262</v>
      </c>
      <c r="C6" s="59">
        <v>0.47916666666666669</v>
      </c>
      <c r="D6" s="58" t="s">
        <v>63</v>
      </c>
      <c r="E6" s="58" t="s">
        <v>107</v>
      </c>
      <c r="F6" s="58" t="s">
        <v>64</v>
      </c>
      <c r="G6" s="297"/>
      <c r="H6" s="60" t="s">
        <v>263</v>
      </c>
      <c r="I6" s="61">
        <v>1.67E-2</v>
      </c>
      <c r="J6" s="62">
        <v>3</v>
      </c>
      <c r="K6" s="63">
        <v>46340</v>
      </c>
      <c r="L6" s="62">
        <v>3</v>
      </c>
      <c r="M6" s="62">
        <v>0</v>
      </c>
      <c r="N6" s="62">
        <v>0</v>
      </c>
      <c r="O6" s="64" t="s">
        <v>183</v>
      </c>
      <c r="P6" s="65">
        <v>0.47916666666666669</v>
      </c>
      <c r="Q6" s="62">
        <v>180</v>
      </c>
      <c r="R6" s="66" t="s">
        <v>184</v>
      </c>
    </row>
    <row r="7" spans="1:92" ht="15" customHeight="1">
      <c r="A7" s="19" t="s">
        <v>68</v>
      </c>
      <c r="B7" s="19" t="s">
        <v>264</v>
      </c>
      <c r="C7" s="20">
        <v>0.3576388888888889</v>
      </c>
      <c r="D7" s="19" t="s">
        <v>70</v>
      </c>
      <c r="E7" s="19" t="s">
        <v>51</v>
      </c>
      <c r="F7" s="19" t="s">
        <v>265</v>
      </c>
      <c r="G7" s="298"/>
      <c r="H7" s="10"/>
      <c r="I7" s="11"/>
      <c r="J7" s="11"/>
      <c r="K7" s="11"/>
      <c r="L7" s="11"/>
      <c r="M7" s="11"/>
      <c r="N7" s="11"/>
      <c r="O7" s="12"/>
      <c r="P7" s="11"/>
      <c r="Q7" s="13"/>
      <c r="R7" s="14"/>
    </row>
    <row r="8" spans="1:92" ht="18">
      <c r="A8" s="292" t="s">
        <v>266</v>
      </c>
      <c r="B8" s="303"/>
      <c r="C8" s="303"/>
      <c r="D8" s="303"/>
      <c r="E8" s="303"/>
      <c r="F8" s="304"/>
      <c r="G8" s="298"/>
      <c r="H8" s="138"/>
      <c r="I8" s="138"/>
      <c r="J8" s="138"/>
      <c r="K8" s="138"/>
      <c r="L8" s="138"/>
      <c r="M8" s="138"/>
      <c r="N8" s="138"/>
      <c r="O8" s="139"/>
      <c r="P8" s="138"/>
      <c r="Q8" s="107"/>
      <c r="R8" s="107"/>
    </row>
    <row r="9" spans="1:92" ht="15" customHeight="1">
      <c r="A9" s="17" t="s">
        <v>26</v>
      </c>
      <c r="B9" s="17" t="s">
        <v>27</v>
      </c>
      <c r="C9" s="18" t="s">
        <v>255</v>
      </c>
      <c r="D9" s="17" t="s">
        <v>28</v>
      </c>
      <c r="E9" s="17" t="s">
        <v>267</v>
      </c>
      <c r="F9" s="17" t="s">
        <v>30</v>
      </c>
      <c r="G9" s="298"/>
      <c r="H9" s="138"/>
      <c r="I9" s="138"/>
      <c r="J9" s="138"/>
      <c r="K9" s="138"/>
      <c r="L9" s="138"/>
      <c r="M9" s="138"/>
      <c r="N9" s="138"/>
      <c r="O9" s="139"/>
      <c r="P9" s="138"/>
      <c r="Q9" s="107"/>
      <c r="R9" s="107"/>
    </row>
    <row r="10" spans="1:92" ht="15" customHeight="1">
      <c r="A10" s="17" t="s">
        <v>26</v>
      </c>
      <c r="B10" s="17" t="s">
        <v>36</v>
      </c>
      <c r="C10" s="18" t="s">
        <v>256</v>
      </c>
      <c r="D10" s="17" t="s">
        <v>28</v>
      </c>
      <c r="E10" s="17" t="s">
        <v>267</v>
      </c>
      <c r="F10" s="17" t="s">
        <v>30</v>
      </c>
      <c r="G10" s="298"/>
      <c r="H10" s="138"/>
      <c r="I10" s="138"/>
      <c r="J10" s="138"/>
      <c r="K10" s="138"/>
      <c r="L10" s="138"/>
      <c r="M10" s="138"/>
      <c r="N10" s="138"/>
      <c r="O10" s="139"/>
      <c r="P10" s="138"/>
      <c r="Q10" s="107"/>
      <c r="R10" s="107"/>
    </row>
    <row r="11" spans="1:92" ht="15" customHeight="1">
      <c r="A11" s="17" t="s">
        <v>38</v>
      </c>
      <c r="B11" s="17" t="s">
        <v>39</v>
      </c>
      <c r="C11" s="18" t="s">
        <v>257</v>
      </c>
      <c r="D11" s="17" t="s">
        <v>40</v>
      </c>
      <c r="E11" s="17" t="s">
        <v>268</v>
      </c>
      <c r="F11" s="17" t="s">
        <v>42</v>
      </c>
      <c r="G11" s="298"/>
      <c r="H11" s="138"/>
      <c r="I11" s="138"/>
      <c r="J11" s="138"/>
      <c r="K11" s="138"/>
      <c r="L11" s="138"/>
      <c r="M11" s="138"/>
      <c r="N11" s="138"/>
      <c r="O11" s="139"/>
      <c r="P11" s="138"/>
      <c r="Q11" s="107"/>
      <c r="R11" s="107"/>
    </row>
    <row r="12" spans="1:92" ht="15" customHeight="1">
      <c r="A12" s="17" t="s">
        <v>26</v>
      </c>
      <c r="B12" s="17" t="s">
        <v>27</v>
      </c>
      <c r="C12" s="18" t="s">
        <v>255</v>
      </c>
      <c r="D12" s="17" t="s">
        <v>31</v>
      </c>
      <c r="E12" s="17" t="s">
        <v>267</v>
      </c>
      <c r="F12" s="17" t="s">
        <v>33</v>
      </c>
      <c r="G12" s="298"/>
      <c r="H12" s="138"/>
      <c r="I12" s="138"/>
      <c r="J12" s="138"/>
      <c r="K12" s="138"/>
      <c r="L12" s="138"/>
      <c r="M12" s="138"/>
      <c r="N12" s="138"/>
      <c r="O12" s="139"/>
      <c r="P12" s="138"/>
      <c r="Q12" s="107"/>
      <c r="R12" s="107"/>
    </row>
    <row r="13" spans="1:92" ht="15" customHeight="1">
      <c r="A13" s="17" t="s">
        <v>26</v>
      </c>
      <c r="B13" s="17" t="s">
        <v>36</v>
      </c>
      <c r="C13" s="18" t="s">
        <v>256</v>
      </c>
      <c r="D13" s="17" t="s">
        <v>31</v>
      </c>
      <c r="E13" s="17" t="s">
        <v>267</v>
      </c>
      <c r="F13" s="17" t="s">
        <v>33</v>
      </c>
      <c r="G13" s="298"/>
      <c r="H13" s="138"/>
      <c r="I13" s="138"/>
      <c r="J13" s="138"/>
      <c r="K13" s="138"/>
      <c r="L13" s="138"/>
      <c r="M13" s="138"/>
      <c r="N13" s="138"/>
      <c r="O13" s="139"/>
      <c r="P13" s="138"/>
      <c r="Q13" s="107"/>
      <c r="R13" s="107"/>
    </row>
    <row r="14" spans="1:92" ht="15" customHeight="1">
      <c r="A14" s="17" t="s">
        <v>48</v>
      </c>
      <c r="B14" s="17" t="s">
        <v>49</v>
      </c>
      <c r="C14" s="18" t="s">
        <v>258</v>
      </c>
      <c r="D14" s="17" t="s">
        <v>50</v>
      </c>
      <c r="E14" s="17" t="s">
        <v>269</v>
      </c>
      <c r="F14" s="17" t="s">
        <v>52</v>
      </c>
      <c r="G14" s="298"/>
      <c r="H14" s="138"/>
      <c r="I14" s="138"/>
      <c r="J14" s="138"/>
      <c r="K14" s="138"/>
      <c r="L14" s="138"/>
      <c r="M14" s="138"/>
      <c r="N14" s="138"/>
      <c r="O14" s="139"/>
      <c r="P14" s="138"/>
      <c r="Q14" s="107"/>
      <c r="R14" s="107"/>
    </row>
    <row r="15" spans="1:92" ht="15" customHeight="1">
      <c r="A15" s="17" t="s">
        <v>48</v>
      </c>
      <c r="B15" s="17" t="s">
        <v>56</v>
      </c>
      <c r="C15" s="18" t="s">
        <v>259</v>
      </c>
      <c r="D15" s="17" t="s">
        <v>50</v>
      </c>
      <c r="E15" s="17" t="s">
        <v>269</v>
      </c>
      <c r="F15" s="17" t="s">
        <v>52</v>
      </c>
      <c r="G15" s="298"/>
      <c r="H15" s="138"/>
      <c r="I15" s="138"/>
      <c r="J15" s="138"/>
      <c r="K15" s="138"/>
      <c r="L15" s="138"/>
      <c r="M15" s="138"/>
      <c r="N15" s="138"/>
      <c r="O15" s="139"/>
      <c r="P15" s="138"/>
      <c r="Q15" s="107"/>
      <c r="R15" s="107"/>
    </row>
    <row r="16" spans="1:92" ht="15" customHeight="1">
      <c r="A16" s="17" t="s">
        <v>48</v>
      </c>
      <c r="B16" s="17" t="s">
        <v>58</v>
      </c>
      <c r="C16" s="18" t="s">
        <v>260</v>
      </c>
      <c r="D16" s="17" t="s">
        <v>50</v>
      </c>
      <c r="E16" s="17" t="s">
        <v>269</v>
      </c>
      <c r="F16" s="17" t="s">
        <v>52</v>
      </c>
      <c r="G16" s="298"/>
      <c r="H16" s="138"/>
      <c r="I16" s="138"/>
      <c r="J16" s="138"/>
      <c r="K16" s="138"/>
      <c r="L16" s="138"/>
      <c r="M16" s="138"/>
      <c r="N16" s="138"/>
      <c r="O16" s="139"/>
      <c r="P16" s="138"/>
      <c r="Q16" s="107"/>
      <c r="R16" s="107"/>
    </row>
    <row r="17" spans="1:18" ht="15" customHeight="1">
      <c r="A17" s="17" t="s">
        <v>38</v>
      </c>
      <c r="B17" s="17" t="s">
        <v>39</v>
      </c>
      <c r="C17" s="18" t="s">
        <v>257</v>
      </c>
      <c r="D17" s="17" t="s">
        <v>43</v>
      </c>
      <c r="E17" s="17" t="s">
        <v>268</v>
      </c>
      <c r="F17" s="17" t="s">
        <v>45</v>
      </c>
      <c r="G17" s="298"/>
      <c r="H17" s="138"/>
      <c r="I17" s="138"/>
      <c r="J17" s="138"/>
      <c r="K17" s="138"/>
      <c r="L17" s="138"/>
      <c r="M17" s="138"/>
      <c r="N17" s="138"/>
      <c r="O17" s="139"/>
      <c r="P17" s="138"/>
      <c r="Q17" s="107"/>
      <c r="R17" s="107"/>
    </row>
    <row r="18" spans="1:18" ht="15" customHeight="1" thickBot="1">
      <c r="A18" s="30" t="s">
        <v>26</v>
      </c>
      <c r="B18" s="30" t="s">
        <v>27</v>
      </c>
      <c r="C18" s="31" t="s">
        <v>255</v>
      </c>
      <c r="D18" s="30" t="s">
        <v>34</v>
      </c>
      <c r="E18" s="30" t="s">
        <v>267</v>
      </c>
      <c r="F18" s="30" t="s">
        <v>35</v>
      </c>
      <c r="G18" s="299"/>
      <c r="H18" s="140"/>
      <c r="I18" s="140"/>
      <c r="J18" s="140"/>
      <c r="K18" s="140"/>
      <c r="L18" s="140"/>
      <c r="M18" s="140"/>
      <c r="N18" s="140"/>
      <c r="O18" s="141"/>
      <c r="P18" s="140"/>
      <c r="Q18" s="142"/>
      <c r="R18" s="142"/>
    </row>
    <row r="19" spans="1:18" ht="17.45" customHeight="1" thickBot="1">
      <c r="A19" s="283"/>
      <c r="B19" s="284"/>
      <c r="C19" s="284"/>
      <c r="D19" s="284"/>
      <c r="E19" s="284"/>
      <c r="F19" s="284"/>
      <c r="G19" s="284"/>
      <c r="H19" s="284"/>
      <c r="I19" s="284"/>
      <c r="J19" s="284"/>
      <c r="K19" s="284"/>
      <c r="L19" s="284"/>
      <c r="M19" s="284"/>
      <c r="N19" s="284"/>
      <c r="O19" s="284"/>
      <c r="P19" s="284"/>
      <c r="Q19" s="284"/>
      <c r="R19" s="285"/>
    </row>
    <row r="20" spans="1:18" ht="22.15" customHeight="1" thickTop="1" thickBot="1">
      <c r="A20" s="279" t="s">
        <v>6</v>
      </c>
      <c r="B20" s="295"/>
      <c r="C20" s="295"/>
      <c r="D20" s="295"/>
      <c r="E20" s="295"/>
      <c r="F20" s="296"/>
      <c r="G20" s="32">
        <v>46024</v>
      </c>
      <c r="H20" s="278" t="s">
        <v>7</v>
      </c>
      <c r="I20" s="295"/>
      <c r="J20" s="295"/>
      <c r="K20" s="295"/>
      <c r="L20" s="295"/>
      <c r="M20" s="295"/>
      <c r="N20" s="295"/>
      <c r="O20" s="295"/>
      <c r="P20" s="295"/>
      <c r="Q20" s="295"/>
      <c r="R20" s="296"/>
    </row>
    <row r="21" spans="1:18" ht="24" customHeight="1">
      <c r="A21" s="33" t="s">
        <v>8</v>
      </c>
      <c r="B21" s="33" t="s">
        <v>9</v>
      </c>
      <c r="C21" s="34" t="s">
        <v>10</v>
      </c>
      <c r="D21" s="33" t="s">
        <v>11</v>
      </c>
      <c r="E21" s="33" t="s">
        <v>12</v>
      </c>
      <c r="F21" s="35" t="s">
        <v>13</v>
      </c>
      <c r="G21" s="36" t="s">
        <v>14</v>
      </c>
      <c r="H21" s="33" t="s">
        <v>15</v>
      </c>
      <c r="I21" s="37" t="s">
        <v>16</v>
      </c>
      <c r="J21" s="38" t="s">
        <v>17</v>
      </c>
      <c r="K21" s="39" t="s">
        <v>18</v>
      </c>
      <c r="L21" s="38" t="s">
        <v>19</v>
      </c>
      <c r="M21" s="38" t="s">
        <v>20</v>
      </c>
      <c r="N21" s="38" t="s">
        <v>21</v>
      </c>
      <c r="O21" s="33" t="s">
        <v>22</v>
      </c>
      <c r="P21" s="34" t="s">
        <v>23</v>
      </c>
      <c r="Q21" s="38" t="s">
        <v>24</v>
      </c>
      <c r="R21" s="33" t="s">
        <v>25</v>
      </c>
    </row>
    <row r="22" spans="1:18" ht="15" customHeight="1">
      <c r="A22" s="8" t="s">
        <v>68</v>
      </c>
      <c r="B22" s="8" t="s">
        <v>264</v>
      </c>
      <c r="C22" s="9">
        <v>0.3576388888888889</v>
      </c>
      <c r="D22" s="8" t="s">
        <v>70</v>
      </c>
      <c r="E22" s="8" t="s">
        <v>51</v>
      </c>
      <c r="F22" s="8" t="s">
        <v>265</v>
      </c>
      <c r="G22" s="297"/>
      <c r="H22" s="10"/>
      <c r="I22" s="11"/>
      <c r="J22" s="11"/>
      <c r="K22" s="11"/>
      <c r="L22" s="11"/>
      <c r="M22" s="11"/>
      <c r="N22" s="11"/>
      <c r="O22" s="12"/>
      <c r="P22" s="11"/>
      <c r="Q22" s="13"/>
      <c r="R22" s="14"/>
    </row>
    <row r="23" spans="1:18" ht="18">
      <c r="A23" s="292" t="s">
        <v>266</v>
      </c>
      <c r="B23" s="303"/>
      <c r="C23" s="303"/>
      <c r="D23" s="303"/>
      <c r="E23" s="303"/>
      <c r="F23" s="304"/>
      <c r="G23" s="298"/>
      <c r="H23" s="138"/>
      <c r="I23" s="138"/>
      <c r="J23" s="138"/>
      <c r="K23" s="138"/>
      <c r="L23" s="138"/>
      <c r="M23" s="138"/>
      <c r="N23" s="138"/>
      <c r="O23" s="139"/>
      <c r="P23" s="138"/>
      <c r="Q23" s="107"/>
      <c r="R23" s="107"/>
    </row>
    <row r="24" spans="1:18" ht="15" customHeight="1">
      <c r="A24" s="17" t="s">
        <v>38</v>
      </c>
      <c r="B24" s="17" t="s">
        <v>39</v>
      </c>
      <c r="C24" s="18" t="s">
        <v>257</v>
      </c>
      <c r="D24" s="17" t="s">
        <v>40</v>
      </c>
      <c r="E24" s="17" t="s">
        <v>267</v>
      </c>
      <c r="F24" s="17" t="s">
        <v>78</v>
      </c>
      <c r="G24" s="298"/>
      <c r="H24" s="138"/>
      <c r="I24" s="138"/>
      <c r="J24" s="138"/>
      <c r="K24" s="138"/>
      <c r="L24" s="138"/>
      <c r="M24" s="138"/>
      <c r="N24" s="138"/>
      <c r="O24" s="139"/>
      <c r="P24" s="138"/>
      <c r="Q24" s="107"/>
      <c r="R24" s="107"/>
    </row>
    <row r="25" spans="1:18" ht="15" customHeight="1">
      <c r="A25" s="17" t="s">
        <v>26</v>
      </c>
      <c r="B25" s="17" t="s">
        <v>27</v>
      </c>
      <c r="C25" s="18" t="s">
        <v>255</v>
      </c>
      <c r="D25" s="17" t="s">
        <v>28</v>
      </c>
      <c r="E25" s="17" t="s">
        <v>270</v>
      </c>
      <c r="F25" s="17" t="s">
        <v>81</v>
      </c>
      <c r="G25" s="298"/>
      <c r="H25" s="138"/>
      <c r="I25" s="138"/>
      <c r="J25" s="138"/>
      <c r="K25" s="138"/>
      <c r="L25" s="138"/>
      <c r="M25" s="138"/>
      <c r="N25" s="138"/>
      <c r="O25" s="139"/>
      <c r="P25" s="138"/>
      <c r="Q25" s="107"/>
      <c r="R25" s="107"/>
    </row>
    <row r="26" spans="1:18" ht="15" customHeight="1">
      <c r="A26" s="17" t="s">
        <v>26</v>
      </c>
      <c r="B26" s="17" t="s">
        <v>27</v>
      </c>
      <c r="C26" s="18" t="s">
        <v>255</v>
      </c>
      <c r="D26" s="17" t="s">
        <v>31</v>
      </c>
      <c r="E26" s="17" t="s">
        <v>270</v>
      </c>
      <c r="F26" s="17" t="s">
        <v>83</v>
      </c>
      <c r="G26" s="298"/>
      <c r="H26" s="138"/>
      <c r="I26" s="138"/>
      <c r="J26" s="138"/>
      <c r="K26" s="138"/>
      <c r="L26" s="138"/>
      <c r="M26" s="138"/>
      <c r="N26" s="138"/>
      <c r="O26" s="139"/>
      <c r="P26" s="138"/>
      <c r="Q26" s="107"/>
      <c r="R26" s="107"/>
    </row>
    <row r="27" spans="1:18" ht="15" customHeight="1">
      <c r="A27" s="17" t="s">
        <v>38</v>
      </c>
      <c r="B27" s="17" t="s">
        <v>39</v>
      </c>
      <c r="C27" s="18" t="s">
        <v>257</v>
      </c>
      <c r="D27" s="17" t="s">
        <v>43</v>
      </c>
      <c r="E27" s="17" t="s">
        <v>267</v>
      </c>
      <c r="F27" s="17" t="s">
        <v>79</v>
      </c>
      <c r="G27" s="298"/>
      <c r="H27" s="138"/>
      <c r="I27" s="138"/>
      <c r="J27" s="138"/>
      <c r="K27" s="138"/>
      <c r="L27" s="138"/>
      <c r="M27" s="138"/>
      <c r="N27" s="138"/>
      <c r="O27" s="139"/>
      <c r="P27" s="138"/>
      <c r="Q27" s="107"/>
      <c r="R27" s="107"/>
    </row>
    <row r="28" spans="1:18" ht="15" customHeight="1">
      <c r="A28" s="17" t="s">
        <v>26</v>
      </c>
      <c r="B28" s="17" t="s">
        <v>27</v>
      </c>
      <c r="C28" s="18" t="s">
        <v>255</v>
      </c>
      <c r="D28" s="17" t="s">
        <v>34</v>
      </c>
      <c r="E28" s="17" t="s">
        <v>270</v>
      </c>
      <c r="F28" s="17" t="s">
        <v>45</v>
      </c>
      <c r="G28" s="298"/>
      <c r="H28" s="138"/>
      <c r="I28" s="138"/>
      <c r="J28" s="138"/>
      <c r="K28" s="138"/>
      <c r="L28" s="138"/>
      <c r="M28" s="138"/>
      <c r="N28" s="138"/>
      <c r="O28" s="139"/>
      <c r="P28" s="138"/>
      <c r="Q28" s="107"/>
      <c r="R28" s="107"/>
    </row>
    <row r="29" spans="1:18" ht="15" customHeight="1">
      <c r="A29" s="17" t="s">
        <v>68</v>
      </c>
      <c r="B29" s="17" t="s">
        <v>69</v>
      </c>
      <c r="C29" s="18" t="s">
        <v>271</v>
      </c>
      <c r="D29" s="17" t="s">
        <v>70</v>
      </c>
      <c r="E29" s="17" t="s">
        <v>269</v>
      </c>
      <c r="F29" s="17" t="s">
        <v>71</v>
      </c>
      <c r="G29" s="298"/>
      <c r="H29" s="138"/>
      <c r="I29" s="138"/>
      <c r="J29" s="138"/>
      <c r="K29" s="138"/>
      <c r="L29" s="138"/>
      <c r="M29" s="138"/>
      <c r="N29" s="138"/>
      <c r="O29" s="139"/>
      <c r="P29" s="138"/>
      <c r="Q29" s="107"/>
      <c r="R29" s="107"/>
    </row>
    <row r="30" spans="1:18" ht="15" customHeight="1">
      <c r="A30" s="17" t="s">
        <v>68</v>
      </c>
      <c r="B30" s="17" t="s">
        <v>76</v>
      </c>
      <c r="C30" s="18" t="s">
        <v>272</v>
      </c>
      <c r="D30" s="17" t="s">
        <v>70</v>
      </c>
      <c r="E30" s="17" t="s">
        <v>269</v>
      </c>
      <c r="F30" s="17" t="s">
        <v>71</v>
      </c>
      <c r="G30" s="298"/>
      <c r="H30" s="138"/>
      <c r="I30" s="138"/>
      <c r="J30" s="138"/>
      <c r="K30" s="138"/>
      <c r="L30" s="138"/>
      <c r="M30" s="138"/>
      <c r="N30" s="138"/>
      <c r="O30" s="139"/>
      <c r="P30" s="138"/>
      <c r="Q30" s="107"/>
      <c r="R30" s="107"/>
    </row>
    <row r="31" spans="1:18" ht="15" customHeight="1">
      <c r="A31" s="17" t="s">
        <v>68</v>
      </c>
      <c r="B31" s="17" t="s">
        <v>72</v>
      </c>
      <c r="C31" s="18" t="s">
        <v>273</v>
      </c>
      <c r="D31" s="17" t="s">
        <v>70</v>
      </c>
      <c r="E31" s="17" t="s">
        <v>269</v>
      </c>
      <c r="F31" s="17" t="s">
        <v>71</v>
      </c>
      <c r="G31" s="298"/>
      <c r="H31" s="138"/>
      <c r="I31" s="138"/>
      <c r="J31" s="138"/>
      <c r="K31" s="138"/>
      <c r="L31" s="138"/>
      <c r="M31" s="138"/>
      <c r="N31" s="138"/>
      <c r="O31" s="139"/>
      <c r="P31" s="138"/>
      <c r="Q31" s="107"/>
      <c r="R31" s="107"/>
    </row>
    <row r="32" spans="1:18" ht="15" customHeight="1">
      <c r="A32" s="17" t="s">
        <v>68</v>
      </c>
      <c r="B32" s="17" t="s">
        <v>73</v>
      </c>
      <c r="C32" s="18" t="s">
        <v>274</v>
      </c>
      <c r="D32" s="17" t="s">
        <v>70</v>
      </c>
      <c r="E32" s="17" t="s">
        <v>269</v>
      </c>
      <c r="F32" s="17" t="s">
        <v>71</v>
      </c>
      <c r="G32" s="298"/>
      <c r="H32" s="138"/>
      <c r="I32" s="138"/>
      <c r="J32" s="138"/>
      <c r="K32" s="138"/>
      <c r="L32" s="138"/>
      <c r="M32" s="138"/>
      <c r="N32" s="138"/>
      <c r="O32" s="139"/>
      <c r="P32" s="138"/>
      <c r="Q32" s="107"/>
      <c r="R32" s="107"/>
    </row>
    <row r="33" spans="1:18" ht="15" customHeight="1" thickBot="1">
      <c r="A33" s="30" t="s">
        <v>38</v>
      </c>
      <c r="B33" s="30" t="s">
        <v>39</v>
      </c>
      <c r="C33" s="31" t="s">
        <v>257</v>
      </c>
      <c r="D33" s="30" t="s">
        <v>46</v>
      </c>
      <c r="E33" s="30" t="s">
        <v>267</v>
      </c>
      <c r="F33" s="30" t="s">
        <v>47</v>
      </c>
      <c r="G33" s="299"/>
      <c r="H33" s="140"/>
      <c r="I33" s="140"/>
      <c r="J33" s="140"/>
      <c r="K33" s="140"/>
      <c r="L33" s="140"/>
      <c r="M33" s="140"/>
      <c r="N33" s="140"/>
      <c r="O33" s="141"/>
      <c r="P33" s="140"/>
      <c r="Q33" s="142"/>
      <c r="R33" s="142"/>
    </row>
    <row r="34" spans="1:18" ht="17.45" customHeight="1" thickBot="1">
      <c r="A34" s="283"/>
      <c r="B34" s="284"/>
      <c r="C34" s="284"/>
      <c r="D34" s="284"/>
      <c r="E34" s="284"/>
      <c r="F34" s="284"/>
      <c r="G34" s="284"/>
      <c r="H34" s="284"/>
      <c r="I34" s="284"/>
      <c r="J34" s="284"/>
      <c r="K34" s="284"/>
      <c r="L34" s="284"/>
      <c r="M34" s="284"/>
      <c r="N34" s="284"/>
      <c r="O34" s="284"/>
      <c r="P34" s="284"/>
      <c r="Q34" s="284"/>
      <c r="R34" s="285"/>
    </row>
    <row r="35" spans="1:18" ht="22.15" customHeight="1" thickTop="1" thickBot="1">
      <c r="A35" s="279" t="s">
        <v>6</v>
      </c>
      <c r="B35" s="295"/>
      <c r="C35" s="295"/>
      <c r="D35" s="295"/>
      <c r="E35" s="295"/>
      <c r="F35" s="296"/>
      <c r="G35" s="32">
        <v>46026</v>
      </c>
      <c r="H35" s="278" t="s">
        <v>7</v>
      </c>
      <c r="I35" s="295"/>
      <c r="J35" s="295"/>
      <c r="K35" s="295"/>
      <c r="L35" s="295"/>
      <c r="M35" s="295"/>
      <c r="N35" s="295"/>
      <c r="O35" s="295"/>
      <c r="P35" s="295"/>
      <c r="Q35" s="295"/>
      <c r="R35" s="296"/>
    </row>
    <row r="36" spans="1:18" ht="24" customHeight="1">
      <c r="A36" s="33" t="s">
        <v>8</v>
      </c>
      <c r="B36" s="33" t="s">
        <v>9</v>
      </c>
      <c r="C36" s="34" t="s">
        <v>10</v>
      </c>
      <c r="D36" s="33" t="s">
        <v>11</v>
      </c>
      <c r="E36" s="33" t="s">
        <v>12</v>
      </c>
      <c r="F36" s="35" t="s">
        <v>13</v>
      </c>
      <c r="G36" s="36" t="s">
        <v>14</v>
      </c>
      <c r="H36" s="33" t="s">
        <v>15</v>
      </c>
      <c r="I36" s="37" t="s">
        <v>16</v>
      </c>
      <c r="J36" s="38" t="s">
        <v>17</v>
      </c>
      <c r="K36" s="39" t="s">
        <v>18</v>
      </c>
      <c r="L36" s="38" t="s">
        <v>19</v>
      </c>
      <c r="M36" s="38" t="s">
        <v>20</v>
      </c>
      <c r="N36" s="38" t="s">
        <v>21</v>
      </c>
      <c r="O36" s="33" t="s">
        <v>22</v>
      </c>
      <c r="P36" s="34" t="s">
        <v>23</v>
      </c>
      <c r="Q36" s="38" t="s">
        <v>24</v>
      </c>
      <c r="R36" s="33" t="s">
        <v>25</v>
      </c>
    </row>
    <row r="37" spans="1:18" ht="15" customHeight="1">
      <c r="A37" s="98" t="s">
        <v>61</v>
      </c>
      <c r="B37" s="98" t="s">
        <v>262</v>
      </c>
      <c r="C37" s="99">
        <v>0.2361111111111111</v>
      </c>
      <c r="D37" s="98" t="s">
        <v>63</v>
      </c>
      <c r="E37" s="98" t="s">
        <v>51</v>
      </c>
      <c r="F37" s="98" t="s">
        <v>64</v>
      </c>
      <c r="G37" s="297"/>
      <c r="H37" s="100" t="s">
        <v>263</v>
      </c>
      <c r="I37" s="101">
        <v>0</v>
      </c>
      <c r="J37" s="102">
        <v>0</v>
      </c>
      <c r="K37" s="103" t="s">
        <v>66</v>
      </c>
      <c r="L37" s="102">
        <v>0</v>
      </c>
      <c r="M37" s="102">
        <v>0</v>
      </c>
      <c r="N37" s="102">
        <v>0</v>
      </c>
      <c r="O37" s="104" t="s">
        <v>67</v>
      </c>
      <c r="P37" s="105">
        <v>0.2361111111111111</v>
      </c>
      <c r="Q37" s="102">
        <v>180</v>
      </c>
      <c r="R37" s="106" t="s">
        <v>66</v>
      </c>
    </row>
    <row r="38" spans="1:18" ht="15" customHeight="1">
      <c r="A38" s="19" t="s">
        <v>68</v>
      </c>
      <c r="B38" s="19" t="s">
        <v>264</v>
      </c>
      <c r="C38" s="20">
        <v>0.3576388888888889</v>
      </c>
      <c r="D38" s="19" t="s">
        <v>70</v>
      </c>
      <c r="E38" s="19" t="s">
        <v>51</v>
      </c>
      <c r="F38" s="19" t="s">
        <v>265</v>
      </c>
      <c r="G38" s="298"/>
      <c r="H38" s="10"/>
      <c r="I38" s="11"/>
      <c r="J38" s="11"/>
      <c r="K38" s="11"/>
      <c r="L38" s="11"/>
      <c r="M38" s="11"/>
      <c r="N38" s="11"/>
      <c r="O38" s="12"/>
      <c r="P38" s="11"/>
      <c r="Q38" s="13"/>
      <c r="R38" s="14"/>
    </row>
    <row r="39" spans="1:18" ht="18">
      <c r="A39" s="292" t="s">
        <v>266</v>
      </c>
      <c r="B39" s="303"/>
      <c r="C39" s="303"/>
      <c r="D39" s="303"/>
      <c r="E39" s="303"/>
      <c r="F39" s="304"/>
      <c r="G39" s="298"/>
      <c r="H39" s="138"/>
      <c r="I39" s="138"/>
      <c r="J39" s="138"/>
      <c r="K39" s="138"/>
      <c r="L39" s="138"/>
      <c r="M39" s="138"/>
      <c r="N39" s="138"/>
      <c r="O39" s="139"/>
      <c r="P39" s="138"/>
      <c r="Q39" s="107"/>
      <c r="R39" s="107"/>
    </row>
    <row r="40" spans="1:18" ht="15" customHeight="1">
      <c r="A40" s="17" t="s">
        <v>38</v>
      </c>
      <c r="B40" s="17" t="s">
        <v>39</v>
      </c>
      <c r="C40" s="18" t="s">
        <v>257</v>
      </c>
      <c r="D40" s="17" t="s">
        <v>40</v>
      </c>
      <c r="E40" s="17" t="s">
        <v>275</v>
      </c>
      <c r="F40" s="17" t="s">
        <v>78</v>
      </c>
      <c r="G40" s="298"/>
      <c r="H40" s="138"/>
      <c r="I40" s="138"/>
      <c r="J40" s="138"/>
      <c r="K40" s="138"/>
      <c r="L40" s="138"/>
      <c r="M40" s="138"/>
      <c r="N40" s="138"/>
      <c r="O40" s="139"/>
      <c r="P40" s="138"/>
      <c r="Q40" s="107"/>
      <c r="R40" s="107"/>
    </row>
    <row r="41" spans="1:18" ht="15" customHeight="1">
      <c r="A41" s="17" t="s">
        <v>26</v>
      </c>
      <c r="B41" s="17" t="s">
        <v>27</v>
      </c>
      <c r="C41" s="18" t="s">
        <v>255</v>
      </c>
      <c r="D41" s="17" t="s">
        <v>28</v>
      </c>
      <c r="E41" s="17" t="s">
        <v>270</v>
      </c>
      <c r="F41" s="17" t="s">
        <v>81</v>
      </c>
      <c r="G41" s="298"/>
      <c r="H41" s="138"/>
      <c r="I41" s="138"/>
      <c r="J41" s="138"/>
      <c r="K41" s="138"/>
      <c r="L41" s="138"/>
      <c r="M41" s="138"/>
      <c r="N41" s="138"/>
      <c r="O41" s="139"/>
      <c r="P41" s="138"/>
      <c r="Q41" s="107"/>
      <c r="R41" s="107"/>
    </row>
    <row r="42" spans="1:18" ht="15" customHeight="1">
      <c r="A42" s="17" t="s">
        <v>48</v>
      </c>
      <c r="B42" s="17" t="s">
        <v>56</v>
      </c>
      <c r="C42" s="18" t="s">
        <v>259</v>
      </c>
      <c r="D42" s="17" t="s">
        <v>50</v>
      </c>
      <c r="E42" s="17" t="s">
        <v>267</v>
      </c>
      <c r="F42" s="17" t="s">
        <v>96</v>
      </c>
      <c r="G42" s="298"/>
      <c r="H42" s="138"/>
      <c r="I42" s="138"/>
      <c r="J42" s="138"/>
      <c r="K42" s="138"/>
      <c r="L42" s="138"/>
      <c r="M42" s="138"/>
      <c r="N42" s="138"/>
      <c r="O42" s="139"/>
      <c r="P42" s="138"/>
      <c r="Q42" s="107"/>
      <c r="R42" s="107"/>
    </row>
    <row r="43" spans="1:18" ht="15" customHeight="1">
      <c r="A43" s="17" t="s">
        <v>26</v>
      </c>
      <c r="B43" s="17" t="s">
        <v>27</v>
      </c>
      <c r="C43" s="18" t="s">
        <v>255</v>
      </c>
      <c r="D43" s="17" t="s">
        <v>31</v>
      </c>
      <c r="E43" s="17" t="s">
        <v>270</v>
      </c>
      <c r="F43" s="17" t="s">
        <v>83</v>
      </c>
      <c r="G43" s="298"/>
      <c r="H43" s="138"/>
      <c r="I43" s="138"/>
      <c r="J43" s="138"/>
      <c r="K43" s="138"/>
      <c r="L43" s="138"/>
      <c r="M43" s="138"/>
      <c r="N43" s="138"/>
      <c r="O43" s="139"/>
      <c r="P43" s="138"/>
      <c r="Q43" s="107"/>
      <c r="R43" s="107"/>
    </row>
    <row r="44" spans="1:18" ht="15" customHeight="1">
      <c r="A44" s="17" t="s">
        <v>38</v>
      </c>
      <c r="B44" s="17" t="s">
        <v>39</v>
      </c>
      <c r="C44" s="18" t="s">
        <v>257</v>
      </c>
      <c r="D44" s="17" t="s">
        <v>43</v>
      </c>
      <c r="E44" s="17" t="s">
        <v>275</v>
      </c>
      <c r="F44" s="17" t="s">
        <v>79</v>
      </c>
      <c r="G44" s="298"/>
      <c r="H44" s="138"/>
      <c r="I44" s="138"/>
      <c r="J44" s="138"/>
      <c r="K44" s="138"/>
      <c r="L44" s="138"/>
      <c r="M44" s="138"/>
      <c r="N44" s="138"/>
      <c r="O44" s="139"/>
      <c r="P44" s="138"/>
      <c r="Q44" s="107"/>
      <c r="R44" s="107"/>
    </row>
    <row r="45" spans="1:18" ht="15" customHeight="1">
      <c r="A45" s="17" t="s">
        <v>48</v>
      </c>
      <c r="B45" s="17" t="s">
        <v>49</v>
      </c>
      <c r="C45" s="18" t="s">
        <v>276</v>
      </c>
      <c r="D45" s="17" t="s">
        <v>50</v>
      </c>
      <c r="E45" s="17" t="s">
        <v>269</v>
      </c>
      <c r="F45" s="17" t="s">
        <v>52</v>
      </c>
      <c r="G45" s="298"/>
      <c r="H45" s="138"/>
      <c r="I45" s="138"/>
      <c r="J45" s="138"/>
      <c r="K45" s="138"/>
      <c r="L45" s="138"/>
      <c r="M45" s="138"/>
      <c r="N45" s="138"/>
      <c r="O45" s="139"/>
      <c r="P45" s="138"/>
      <c r="Q45" s="107"/>
      <c r="R45" s="107"/>
    </row>
    <row r="46" spans="1:18" ht="15" customHeight="1">
      <c r="A46" s="17" t="s">
        <v>48</v>
      </c>
      <c r="B46" s="17" t="s">
        <v>58</v>
      </c>
      <c r="C46" s="18" t="s">
        <v>260</v>
      </c>
      <c r="D46" s="17" t="s">
        <v>50</v>
      </c>
      <c r="E46" s="17" t="s">
        <v>277</v>
      </c>
      <c r="F46" s="17" t="s">
        <v>52</v>
      </c>
      <c r="G46" s="298"/>
      <c r="H46" s="138"/>
      <c r="I46" s="138"/>
      <c r="J46" s="138"/>
      <c r="K46" s="138"/>
      <c r="L46" s="138"/>
      <c r="M46" s="138"/>
      <c r="N46" s="138"/>
      <c r="O46" s="139"/>
      <c r="P46" s="138"/>
      <c r="Q46" s="107"/>
      <c r="R46" s="107"/>
    </row>
    <row r="47" spans="1:18" ht="15" customHeight="1">
      <c r="A47" s="17" t="s">
        <v>26</v>
      </c>
      <c r="B47" s="17" t="s">
        <v>27</v>
      </c>
      <c r="C47" s="18" t="s">
        <v>255</v>
      </c>
      <c r="D47" s="17" t="s">
        <v>34</v>
      </c>
      <c r="E47" s="17" t="s">
        <v>270</v>
      </c>
      <c r="F47" s="17" t="s">
        <v>45</v>
      </c>
      <c r="G47" s="298"/>
      <c r="H47" s="138"/>
      <c r="I47" s="138"/>
      <c r="J47" s="138"/>
      <c r="K47" s="138"/>
      <c r="L47" s="138"/>
      <c r="M47" s="138"/>
      <c r="N47" s="138"/>
      <c r="O47" s="139"/>
      <c r="P47" s="138"/>
      <c r="Q47" s="107"/>
      <c r="R47" s="107"/>
    </row>
    <row r="48" spans="1:18" ht="15" customHeight="1">
      <c r="A48" s="17" t="s">
        <v>48</v>
      </c>
      <c r="B48" s="17" t="s">
        <v>56</v>
      </c>
      <c r="C48" s="18" t="s">
        <v>259</v>
      </c>
      <c r="D48" s="17" t="s">
        <v>53</v>
      </c>
      <c r="E48" s="17" t="s">
        <v>267</v>
      </c>
      <c r="F48" s="17" t="s">
        <v>97</v>
      </c>
      <c r="G48" s="298"/>
      <c r="H48" s="138"/>
      <c r="I48" s="138"/>
      <c r="J48" s="138"/>
      <c r="K48" s="138"/>
      <c r="L48" s="138"/>
      <c r="M48" s="138"/>
      <c r="N48" s="138"/>
      <c r="O48" s="139"/>
      <c r="P48" s="138"/>
      <c r="Q48" s="107"/>
      <c r="R48" s="107"/>
    </row>
    <row r="49" spans="1:18" ht="15" customHeight="1" thickBot="1">
      <c r="A49" s="30" t="s">
        <v>61</v>
      </c>
      <c r="B49" s="30" t="s">
        <v>62</v>
      </c>
      <c r="C49" s="31" t="s">
        <v>237</v>
      </c>
      <c r="D49" s="30" t="s">
        <v>63</v>
      </c>
      <c r="E49" s="30" t="s">
        <v>278</v>
      </c>
      <c r="F49" s="30" t="s">
        <v>64</v>
      </c>
      <c r="G49" s="299"/>
      <c r="H49" s="140"/>
      <c r="I49" s="140"/>
      <c r="J49" s="140"/>
      <c r="K49" s="140"/>
      <c r="L49" s="140"/>
      <c r="M49" s="140"/>
      <c r="N49" s="140"/>
      <c r="O49" s="141"/>
      <c r="P49" s="140"/>
      <c r="Q49" s="142"/>
      <c r="R49" s="142"/>
    </row>
    <row r="50" spans="1:18" ht="17.45" customHeight="1" thickBot="1">
      <c r="A50" s="283"/>
      <c r="B50" s="284"/>
      <c r="C50" s="284"/>
      <c r="D50" s="284"/>
      <c r="E50" s="284"/>
      <c r="F50" s="284"/>
      <c r="G50" s="284"/>
      <c r="H50" s="284"/>
      <c r="I50" s="284"/>
      <c r="J50" s="284"/>
      <c r="K50" s="284"/>
      <c r="L50" s="284"/>
      <c r="M50" s="284"/>
      <c r="N50" s="284"/>
      <c r="O50" s="284"/>
      <c r="P50" s="284"/>
      <c r="Q50" s="284"/>
      <c r="R50" s="285"/>
    </row>
    <row r="51" spans="1:18" ht="22.15" customHeight="1" thickTop="1" thickBot="1">
      <c r="A51" s="279" t="s">
        <v>6</v>
      </c>
      <c r="B51" s="295"/>
      <c r="C51" s="295"/>
      <c r="D51" s="295"/>
      <c r="E51" s="295"/>
      <c r="F51" s="296"/>
      <c r="G51" s="32">
        <v>46028</v>
      </c>
      <c r="H51" s="278" t="s">
        <v>7</v>
      </c>
      <c r="I51" s="295"/>
      <c r="J51" s="295"/>
      <c r="K51" s="295"/>
      <c r="L51" s="295"/>
      <c r="M51" s="295"/>
      <c r="N51" s="295"/>
      <c r="O51" s="295"/>
      <c r="P51" s="295"/>
      <c r="Q51" s="295"/>
      <c r="R51" s="296"/>
    </row>
    <row r="52" spans="1:18" ht="24" customHeight="1">
      <c r="A52" s="33" t="s">
        <v>8</v>
      </c>
      <c r="B52" s="33" t="s">
        <v>9</v>
      </c>
      <c r="C52" s="34" t="s">
        <v>10</v>
      </c>
      <c r="D52" s="33" t="s">
        <v>11</v>
      </c>
      <c r="E52" s="33" t="s">
        <v>12</v>
      </c>
      <c r="F52" s="35" t="s">
        <v>13</v>
      </c>
      <c r="G52" s="36" t="s">
        <v>14</v>
      </c>
      <c r="H52" s="33" t="s">
        <v>15</v>
      </c>
      <c r="I52" s="37" t="s">
        <v>16</v>
      </c>
      <c r="J52" s="38" t="s">
        <v>17</v>
      </c>
      <c r="K52" s="39" t="s">
        <v>18</v>
      </c>
      <c r="L52" s="38" t="s">
        <v>19</v>
      </c>
      <c r="M52" s="38" t="s">
        <v>20</v>
      </c>
      <c r="N52" s="38" t="s">
        <v>21</v>
      </c>
      <c r="O52" s="33" t="s">
        <v>22</v>
      </c>
      <c r="P52" s="34" t="s">
        <v>23</v>
      </c>
      <c r="Q52" s="38" t="s">
        <v>24</v>
      </c>
      <c r="R52" s="33" t="s">
        <v>25</v>
      </c>
    </row>
    <row r="53" spans="1:18" ht="15" customHeight="1">
      <c r="A53" s="49" t="s">
        <v>61</v>
      </c>
      <c r="B53" s="49" t="s">
        <v>262</v>
      </c>
      <c r="C53" s="50">
        <v>0.15972222222222221</v>
      </c>
      <c r="D53" s="49" t="s">
        <v>63</v>
      </c>
      <c r="E53" s="49" t="s">
        <v>143</v>
      </c>
      <c r="F53" s="49" t="s">
        <v>64</v>
      </c>
      <c r="G53" s="297"/>
      <c r="H53" s="51" t="s">
        <v>263</v>
      </c>
      <c r="I53" s="52">
        <v>6.1100000000000002E-2</v>
      </c>
      <c r="J53" s="53">
        <v>11</v>
      </c>
      <c r="K53" s="54">
        <v>46344</v>
      </c>
      <c r="L53" s="53">
        <v>11</v>
      </c>
      <c r="M53" s="53">
        <v>0</v>
      </c>
      <c r="N53" s="53">
        <v>0</v>
      </c>
      <c r="O53" s="55" t="s">
        <v>164</v>
      </c>
      <c r="P53" s="56">
        <v>0.15972222222222221</v>
      </c>
      <c r="Q53" s="53">
        <v>180</v>
      </c>
      <c r="R53" s="57" t="s">
        <v>279</v>
      </c>
    </row>
    <row r="54" spans="1:18" ht="18">
      <c r="A54" s="292" t="s">
        <v>266</v>
      </c>
      <c r="B54" s="303"/>
      <c r="C54" s="303"/>
      <c r="D54" s="303"/>
      <c r="E54" s="303"/>
      <c r="F54" s="304"/>
      <c r="G54" s="298"/>
      <c r="H54" s="138"/>
      <c r="I54" s="138"/>
      <c r="J54" s="138"/>
      <c r="K54" s="138"/>
      <c r="L54" s="138"/>
      <c r="M54" s="138"/>
      <c r="N54" s="138"/>
      <c r="O54" s="139"/>
      <c r="P54" s="138"/>
      <c r="Q54" s="107"/>
      <c r="R54" s="107"/>
    </row>
    <row r="55" spans="1:18" ht="15" customHeight="1">
      <c r="A55" s="17" t="s">
        <v>38</v>
      </c>
      <c r="B55" s="17" t="s">
        <v>87</v>
      </c>
      <c r="C55" s="18" t="s">
        <v>280</v>
      </c>
      <c r="D55" s="17" t="s">
        <v>40</v>
      </c>
      <c r="E55" s="17" t="s">
        <v>268</v>
      </c>
      <c r="F55" s="17" t="s">
        <v>78</v>
      </c>
      <c r="G55" s="298"/>
      <c r="H55" s="138"/>
      <c r="I55" s="138"/>
      <c r="J55" s="138"/>
      <c r="K55" s="138"/>
      <c r="L55" s="138"/>
      <c r="M55" s="138"/>
      <c r="N55" s="138"/>
      <c r="O55" s="139"/>
      <c r="P55" s="138"/>
      <c r="Q55" s="107"/>
      <c r="R55" s="107"/>
    </row>
    <row r="56" spans="1:18" ht="15" customHeight="1">
      <c r="A56" s="17" t="s">
        <v>38</v>
      </c>
      <c r="B56" s="17" t="s">
        <v>39</v>
      </c>
      <c r="C56" s="18" t="s">
        <v>257</v>
      </c>
      <c r="D56" s="17" t="s">
        <v>40</v>
      </c>
      <c r="E56" s="17" t="s">
        <v>281</v>
      </c>
      <c r="F56" s="17" t="s">
        <v>42</v>
      </c>
      <c r="G56" s="298"/>
      <c r="H56" s="138"/>
      <c r="I56" s="138"/>
      <c r="J56" s="138"/>
      <c r="K56" s="138"/>
      <c r="L56" s="138"/>
      <c r="M56" s="138"/>
      <c r="N56" s="138"/>
      <c r="O56" s="139"/>
      <c r="P56" s="138"/>
      <c r="Q56" s="107"/>
      <c r="R56" s="107"/>
    </row>
    <row r="57" spans="1:18" ht="15" customHeight="1">
      <c r="A57" s="17" t="s">
        <v>48</v>
      </c>
      <c r="B57" s="17" t="s">
        <v>58</v>
      </c>
      <c r="C57" s="18" t="s">
        <v>260</v>
      </c>
      <c r="D57" s="17" t="s">
        <v>50</v>
      </c>
      <c r="E57" s="17" t="s">
        <v>278</v>
      </c>
      <c r="F57" s="17" t="s">
        <v>96</v>
      </c>
      <c r="G57" s="298"/>
      <c r="H57" s="138"/>
      <c r="I57" s="138"/>
      <c r="J57" s="138"/>
      <c r="K57" s="138"/>
      <c r="L57" s="138"/>
      <c r="M57" s="138"/>
      <c r="N57" s="138"/>
      <c r="O57" s="139"/>
      <c r="P57" s="138"/>
      <c r="Q57" s="107"/>
      <c r="R57" s="107"/>
    </row>
    <row r="58" spans="1:18" ht="15" customHeight="1">
      <c r="A58" s="17" t="s">
        <v>38</v>
      </c>
      <c r="B58" s="17" t="s">
        <v>87</v>
      </c>
      <c r="C58" s="18" t="s">
        <v>280</v>
      </c>
      <c r="D58" s="17" t="s">
        <v>43</v>
      </c>
      <c r="E58" s="17" t="s">
        <v>268</v>
      </c>
      <c r="F58" s="17" t="s">
        <v>79</v>
      </c>
      <c r="G58" s="298"/>
      <c r="H58" s="138"/>
      <c r="I58" s="138"/>
      <c r="J58" s="138"/>
      <c r="K58" s="138"/>
      <c r="L58" s="138"/>
      <c r="M58" s="138"/>
      <c r="N58" s="138"/>
      <c r="O58" s="139"/>
      <c r="P58" s="138"/>
      <c r="Q58" s="107"/>
      <c r="R58" s="107"/>
    </row>
    <row r="59" spans="1:18" ht="15" customHeight="1">
      <c r="A59" s="17" t="s">
        <v>38</v>
      </c>
      <c r="B59" s="17" t="s">
        <v>39</v>
      </c>
      <c r="C59" s="18" t="s">
        <v>257</v>
      </c>
      <c r="D59" s="17" t="s">
        <v>43</v>
      </c>
      <c r="E59" s="17" t="s">
        <v>281</v>
      </c>
      <c r="F59" s="17" t="s">
        <v>45</v>
      </c>
      <c r="G59" s="298"/>
      <c r="H59" s="138"/>
      <c r="I59" s="138"/>
      <c r="J59" s="138"/>
      <c r="K59" s="138"/>
      <c r="L59" s="138"/>
      <c r="M59" s="138"/>
      <c r="N59" s="138"/>
      <c r="O59" s="139"/>
      <c r="P59" s="138"/>
      <c r="Q59" s="107"/>
      <c r="R59" s="107"/>
    </row>
    <row r="60" spans="1:18" ht="15" customHeight="1">
      <c r="A60" s="17" t="s">
        <v>48</v>
      </c>
      <c r="B60" s="17" t="s">
        <v>58</v>
      </c>
      <c r="C60" s="18" t="s">
        <v>260</v>
      </c>
      <c r="D60" s="17" t="s">
        <v>53</v>
      </c>
      <c r="E60" s="17" t="s">
        <v>278</v>
      </c>
      <c r="F60" s="17" t="s">
        <v>97</v>
      </c>
      <c r="G60" s="298"/>
      <c r="H60" s="138"/>
      <c r="I60" s="138"/>
      <c r="J60" s="138"/>
      <c r="K60" s="138"/>
      <c r="L60" s="138"/>
      <c r="M60" s="138"/>
      <c r="N60" s="138"/>
      <c r="O60" s="139"/>
      <c r="P60" s="138"/>
      <c r="Q60" s="107"/>
      <c r="R60" s="107"/>
    </row>
    <row r="61" spans="1:18" ht="15" customHeight="1">
      <c r="A61" s="17" t="s">
        <v>61</v>
      </c>
      <c r="B61" s="17" t="s">
        <v>62</v>
      </c>
      <c r="C61" s="18" t="s">
        <v>243</v>
      </c>
      <c r="D61" s="17" t="s">
        <v>63</v>
      </c>
      <c r="E61" s="17" t="s">
        <v>269</v>
      </c>
      <c r="F61" s="17" t="s">
        <v>64</v>
      </c>
      <c r="G61" s="298"/>
      <c r="H61" s="138"/>
      <c r="I61" s="138"/>
      <c r="J61" s="138"/>
      <c r="K61" s="138"/>
      <c r="L61" s="138"/>
      <c r="M61" s="138"/>
      <c r="N61" s="138"/>
      <c r="O61" s="139"/>
      <c r="P61" s="138"/>
      <c r="Q61" s="107"/>
      <c r="R61" s="107"/>
    </row>
    <row r="62" spans="1:18" ht="15" customHeight="1">
      <c r="A62" s="17" t="s">
        <v>26</v>
      </c>
      <c r="B62" s="17" t="s">
        <v>27</v>
      </c>
      <c r="C62" s="18" t="s">
        <v>255</v>
      </c>
      <c r="D62" s="17" t="s">
        <v>28</v>
      </c>
      <c r="E62" s="17" t="s">
        <v>270</v>
      </c>
      <c r="F62" s="17" t="s">
        <v>118</v>
      </c>
      <c r="G62" s="298"/>
      <c r="H62" s="138"/>
      <c r="I62" s="138"/>
      <c r="J62" s="138"/>
      <c r="K62" s="138"/>
      <c r="L62" s="138"/>
      <c r="M62" s="138"/>
      <c r="N62" s="138"/>
      <c r="O62" s="139"/>
      <c r="P62" s="138"/>
      <c r="Q62" s="107"/>
      <c r="R62" s="107"/>
    </row>
    <row r="63" spans="1:18" ht="15" customHeight="1">
      <c r="A63" s="17" t="s">
        <v>68</v>
      </c>
      <c r="B63" s="17" t="s">
        <v>74</v>
      </c>
      <c r="C63" s="18" t="s">
        <v>282</v>
      </c>
      <c r="D63" s="17" t="s">
        <v>70</v>
      </c>
      <c r="E63" s="17" t="s">
        <v>269</v>
      </c>
      <c r="F63" s="17" t="s">
        <v>71</v>
      </c>
      <c r="G63" s="298"/>
      <c r="H63" s="138"/>
      <c r="I63" s="138"/>
      <c r="J63" s="138"/>
      <c r="K63" s="138"/>
      <c r="L63" s="138"/>
      <c r="M63" s="138"/>
      <c r="N63" s="138"/>
      <c r="O63" s="139"/>
      <c r="P63" s="138"/>
      <c r="Q63" s="107"/>
      <c r="R63" s="107"/>
    </row>
    <row r="64" spans="1:18" ht="15" customHeight="1" thickBot="1">
      <c r="A64" s="30" t="s">
        <v>68</v>
      </c>
      <c r="B64" s="30" t="s">
        <v>69</v>
      </c>
      <c r="C64" s="31" t="s">
        <v>271</v>
      </c>
      <c r="D64" s="30" t="s">
        <v>70</v>
      </c>
      <c r="E64" s="30" t="s">
        <v>269</v>
      </c>
      <c r="F64" s="30" t="s">
        <v>71</v>
      </c>
      <c r="G64" s="299"/>
      <c r="H64" s="140"/>
      <c r="I64" s="140"/>
      <c r="J64" s="140"/>
      <c r="K64" s="140"/>
      <c r="L64" s="140"/>
      <c r="M64" s="140"/>
      <c r="N64" s="140"/>
      <c r="O64" s="141"/>
      <c r="P64" s="140"/>
      <c r="Q64" s="142"/>
      <c r="R64" s="142"/>
    </row>
    <row r="65" spans="1:18" ht="17.45" customHeight="1" thickBot="1">
      <c r="A65" s="283"/>
      <c r="B65" s="284"/>
      <c r="C65" s="284"/>
      <c r="D65" s="284"/>
      <c r="E65" s="284"/>
      <c r="F65" s="284"/>
      <c r="G65" s="284"/>
      <c r="H65" s="284"/>
      <c r="I65" s="284"/>
      <c r="J65" s="284"/>
      <c r="K65" s="284"/>
      <c r="L65" s="284"/>
      <c r="M65" s="284"/>
      <c r="N65" s="284"/>
      <c r="O65" s="284"/>
      <c r="P65" s="284"/>
      <c r="Q65" s="284"/>
      <c r="R65" s="285"/>
    </row>
    <row r="66" spans="1:18" ht="22.15" customHeight="1" thickTop="1" thickBot="1">
      <c r="A66" s="279" t="s">
        <v>6</v>
      </c>
      <c r="B66" s="295"/>
      <c r="C66" s="295"/>
      <c r="D66" s="295"/>
      <c r="E66" s="295"/>
      <c r="F66" s="296"/>
      <c r="G66" s="32">
        <v>46029</v>
      </c>
      <c r="H66" s="278" t="s">
        <v>7</v>
      </c>
      <c r="I66" s="295"/>
      <c r="J66" s="295"/>
      <c r="K66" s="295"/>
      <c r="L66" s="295"/>
      <c r="M66" s="295"/>
      <c r="N66" s="295"/>
      <c r="O66" s="295"/>
      <c r="P66" s="295"/>
      <c r="Q66" s="295"/>
      <c r="R66" s="296"/>
    </row>
    <row r="67" spans="1:18" ht="24" customHeight="1">
      <c r="A67" s="33" t="s">
        <v>8</v>
      </c>
      <c r="B67" s="33" t="s">
        <v>9</v>
      </c>
      <c r="C67" s="34" t="s">
        <v>10</v>
      </c>
      <c r="D67" s="33" t="s">
        <v>11</v>
      </c>
      <c r="E67" s="33" t="s">
        <v>12</v>
      </c>
      <c r="F67" s="35" t="s">
        <v>13</v>
      </c>
      <c r="G67" s="36" t="s">
        <v>14</v>
      </c>
      <c r="H67" s="33" t="s">
        <v>15</v>
      </c>
      <c r="I67" s="37" t="s">
        <v>16</v>
      </c>
      <c r="J67" s="38" t="s">
        <v>17</v>
      </c>
      <c r="K67" s="39" t="s">
        <v>18</v>
      </c>
      <c r="L67" s="38" t="s">
        <v>19</v>
      </c>
      <c r="M67" s="38" t="s">
        <v>20</v>
      </c>
      <c r="N67" s="38" t="s">
        <v>21</v>
      </c>
      <c r="O67" s="33" t="s">
        <v>22</v>
      </c>
      <c r="P67" s="34" t="s">
        <v>23</v>
      </c>
      <c r="Q67" s="38" t="s">
        <v>24</v>
      </c>
      <c r="R67" s="33" t="s">
        <v>25</v>
      </c>
    </row>
    <row r="68" spans="1:18" ht="15" customHeight="1">
      <c r="A68" s="87" t="s">
        <v>61</v>
      </c>
      <c r="B68" s="87" t="s">
        <v>262</v>
      </c>
      <c r="C68" s="88">
        <v>0.77777777777777779</v>
      </c>
      <c r="D68" s="87" t="s">
        <v>63</v>
      </c>
      <c r="E68" s="87" t="s">
        <v>107</v>
      </c>
      <c r="F68" s="87" t="s">
        <v>64</v>
      </c>
      <c r="G68" s="297"/>
      <c r="H68" s="89" t="s">
        <v>263</v>
      </c>
      <c r="I68" s="90">
        <v>0.26669999999999999</v>
      </c>
      <c r="J68" s="91">
        <v>48</v>
      </c>
      <c r="K68" s="92">
        <v>46331</v>
      </c>
      <c r="L68" s="91">
        <v>4</v>
      </c>
      <c r="M68" s="91">
        <v>0</v>
      </c>
      <c r="N68" s="91">
        <v>0</v>
      </c>
      <c r="O68" s="93" t="s">
        <v>183</v>
      </c>
      <c r="P68" s="94">
        <v>0.77777777777777779</v>
      </c>
      <c r="Q68" s="91">
        <v>180</v>
      </c>
      <c r="R68" s="95" t="s">
        <v>283</v>
      </c>
    </row>
    <row r="69" spans="1:18" ht="18">
      <c r="A69" s="292" t="s">
        <v>266</v>
      </c>
      <c r="B69" s="303"/>
      <c r="C69" s="303"/>
      <c r="D69" s="303"/>
      <c r="E69" s="303"/>
      <c r="F69" s="304"/>
      <c r="G69" s="298"/>
      <c r="H69" s="138"/>
      <c r="I69" s="138"/>
      <c r="J69" s="138"/>
      <c r="K69" s="138"/>
      <c r="L69" s="138"/>
      <c r="M69" s="138"/>
      <c r="N69" s="138"/>
      <c r="O69" s="139"/>
      <c r="P69" s="138"/>
      <c r="Q69" s="107"/>
      <c r="R69" s="107"/>
    </row>
    <row r="70" spans="1:18" ht="15" customHeight="1">
      <c r="A70" s="17" t="s">
        <v>38</v>
      </c>
      <c r="B70" s="17" t="s">
        <v>39</v>
      </c>
      <c r="C70" s="18" t="s">
        <v>257</v>
      </c>
      <c r="D70" s="17" t="s">
        <v>40</v>
      </c>
      <c r="E70" s="17" t="s">
        <v>284</v>
      </c>
      <c r="F70" s="17" t="s">
        <v>121</v>
      </c>
      <c r="G70" s="298"/>
      <c r="H70" s="138"/>
      <c r="I70" s="138"/>
      <c r="J70" s="138"/>
      <c r="K70" s="138"/>
      <c r="L70" s="138"/>
      <c r="M70" s="138"/>
      <c r="N70" s="138"/>
      <c r="O70" s="139"/>
      <c r="P70" s="138"/>
      <c r="Q70" s="107"/>
      <c r="R70" s="107"/>
    </row>
    <row r="71" spans="1:18" ht="15" customHeight="1">
      <c r="A71" s="17" t="s">
        <v>48</v>
      </c>
      <c r="B71" s="17" t="s">
        <v>49</v>
      </c>
      <c r="C71" s="18" t="s">
        <v>276</v>
      </c>
      <c r="D71" s="17" t="s">
        <v>50</v>
      </c>
      <c r="E71" s="17" t="s">
        <v>269</v>
      </c>
      <c r="F71" s="17" t="s">
        <v>52</v>
      </c>
      <c r="G71" s="298"/>
      <c r="H71" s="138"/>
      <c r="I71" s="138"/>
      <c r="J71" s="138"/>
      <c r="K71" s="138"/>
      <c r="L71" s="138"/>
      <c r="M71" s="138"/>
      <c r="N71" s="138"/>
      <c r="O71" s="139"/>
      <c r="P71" s="138"/>
      <c r="Q71" s="107"/>
      <c r="R71" s="107"/>
    </row>
    <row r="72" spans="1:18" ht="15" customHeight="1">
      <c r="A72" s="17" t="s">
        <v>38</v>
      </c>
      <c r="B72" s="17" t="s">
        <v>39</v>
      </c>
      <c r="C72" s="18" t="s">
        <v>257</v>
      </c>
      <c r="D72" s="17" t="s">
        <v>43</v>
      </c>
      <c r="E72" s="17" t="s">
        <v>284</v>
      </c>
      <c r="F72" s="17" t="s">
        <v>123</v>
      </c>
      <c r="G72" s="298"/>
      <c r="H72" s="138"/>
      <c r="I72" s="138"/>
      <c r="J72" s="138"/>
      <c r="K72" s="138"/>
      <c r="L72" s="138"/>
      <c r="M72" s="138"/>
      <c r="N72" s="138"/>
      <c r="O72" s="139"/>
      <c r="P72" s="138"/>
      <c r="Q72" s="107"/>
      <c r="R72" s="107"/>
    </row>
    <row r="73" spans="1:18" ht="15" customHeight="1">
      <c r="A73" s="17" t="s">
        <v>48</v>
      </c>
      <c r="B73" s="17" t="s">
        <v>58</v>
      </c>
      <c r="C73" s="18" t="s">
        <v>260</v>
      </c>
      <c r="D73" s="17" t="s">
        <v>50</v>
      </c>
      <c r="E73" s="17" t="s">
        <v>269</v>
      </c>
      <c r="F73" s="17" t="s">
        <v>109</v>
      </c>
      <c r="G73" s="298"/>
      <c r="H73" s="138"/>
      <c r="I73" s="138"/>
      <c r="J73" s="138"/>
      <c r="K73" s="138"/>
      <c r="L73" s="138"/>
      <c r="M73" s="138"/>
      <c r="N73" s="138"/>
      <c r="O73" s="139"/>
      <c r="P73" s="138"/>
      <c r="Q73" s="107"/>
      <c r="R73" s="107"/>
    </row>
    <row r="74" spans="1:18" ht="15" customHeight="1">
      <c r="A74" s="17" t="s">
        <v>48</v>
      </c>
      <c r="B74" s="17" t="s">
        <v>49</v>
      </c>
      <c r="C74" s="18" t="s">
        <v>276</v>
      </c>
      <c r="D74" s="17" t="s">
        <v>53</v>
      </c>
      <c r="E74" s="17" t="s">
        <v>269</v>
      </c>
      <c r="F74" s="17" t="s">
        <v>55</v>
      </c>
      <c r="G74" s="298"/>
      <c r="H74" s="138"/>
      <c r="I74" s="138"/>
      <c r="J74" s="138"/>
      <c r="K74" s="138"/>
      <c r="L74" s="138"/>
      <c r="M74" s="138"/>
      <c r="N74" s="138"/>
      <c r="O74" s="139"/>
      <c r="P74" s="138"/>
      <c r="Q74" s="107"/>
      <c r="R74" s="107"/>
    </row>
    <row r="75" spans="1:18" ht="15" customHeight="1">
      <c r="A75" s="17" t="s">
        <v>68</v>
      </c>
      <c r="B75" s="17" t="s">
        <v>74</v>
      </c>
      <c r="C75" s="18" t="s">
        <v>282</v>
      </c>
      <c r="D75" s="17" t="s">
        <v>70</v>
      </c>
      <c r="E75" s="17" t="s">
        <v>269</v>
      </c>
      <c r="F75" s="17" t="s">
        <v>71</v>
      </c>
      <c r="G75" s="298"/>
      <c r="H75" s="138"/>
      <c r="I75" s="138"/>
      <c r="J75" s="138"/>
      <c r="K75" s="138"/>
      <c r="L75" s="138"/>
      <c r="M75" s="138"/>
      <c r="N75" s="138"/>
      <c r="O75" s="139"/>
      <c r="P75" s="138"/>
      <c r="Q75" s="107"/>
      <c r="R75" s="107"/>
    </row>
    <row r="76" spans="1:18" ht="15" customHeight="1">
      <c r="A76" s="17" t="s">
        <v>68</v>
      </c>
      <c r="B76" s="17" t="s">
        <v>76</v>
      </c>
      <c r="C76" s="18" t="s">
        <v>272</v>
      </c>
      <c r="D76" s="17" t="s">
        <v>70</v>
      </c>
      <c r="E76" s="17" t="s">
        <v>269</v>
      </c>
      <c r="F76" s="17" t="s">
        <v>71</v>
      </c>
      <c r="G76" s="298"/>
      <c r="H76" s="138"/>
      <c r="I76" s="138"/>
      <c r="J76" s="138"/>
      <c r="K76" s="138"/>
      <c r="L76" s="138"/>
      <c r="M76" s="138"/>
      <c r="N76" s="138"/>
      <c r="O76" s="139"/>
      <c r="P76" s="138"/>
      <c r="Q76" s="107"/>
      <c r="R76" s="107"/>
    </row>
    <row r="77" spans="1:18" ht="15" customHeight="1">
      <c r="A77" s="17" t="s">
        <v>68</v>
      </c>
      <c r="B77" s="17" t="s">
        <v>72</v>
      </c>
      <c r="C77" s="18" t="s">
        <v>273</v>
      </c>
      <c r="D77" s="17" t="s">
        <v>70</v>
      </c>
      <c r="E77" s="17" t="s">
        <v>269</v>
      </c>
      <c r="F77" s="17" t="s">
        <v>71</v>
      </c>
      <c r="G77" s="298"/>
      <c r="H77" s="138"/>
      <c r="I77" s="138"/>
      <c r="J77" s="138"/>
      <c r="K77" s="138"/>
      <c r="L77" s="138"/>
      <c r="M77" s="138"/>
      <c r="N77" s="138"/>
      <c r="O77" s="139"/>
      <c r="P77" s="138"/>
      <c r="Q77" s="107"/>
      <c r="R77" s="107"/>
    </row>
    <row r="78" spans="1:18" ht="15" customHeight="1">
      <c r="A78" s="17" t="s">
        <v>68</v>
      </c>
      <c r="B78" s="17" t="s">
        <v>73</v>
      </c>
      <c r="C78" s="18" t="s">
        <v>274</v>
      </c>
      <c r="D78" s="17" t="s">
        <v>70</v>
      </c>
      <c r="E78" s="17" t="s">
        <v>269</v>
      </c>
      <c r="F78" s="17" t="s">
        <v>71</v>
      </c>
      <c r="G78" s="298"/>
      <c r="H78" s="138"/>
      <c r="I78" s="138"/>
      <c r="J78" s="138"/>
      <c r="K78" s="138"/>
      <c r="L78" s="138"/>
      <c r="M78" s="138"/>
      <c r="N78" s="138"/>
      <c r="O78" s="139"/>
      <c r="P78" s="138"/>
      <c r="Q78" s="107"/>
      <c r="R78" s="107"/>
    </row>
    <row r="79" spans="1:18" ht="15" customHeight="1" thickBot="1">
      <c r="A79" s="30" t="s">
        <v>48</v>
      </c>
      <c r="B79" s="30" t="s">
        <v>58</v>
      </c>
      <c r="C79" s="31" t="s">
        <v>260</v>
      </c>
      <c r="D79" s="30" t="s">
        <v>53</v>
      </c>
      <c r="E79" s="30" t="s">
        <v>269</v>
      </c>
      <c r="F79" s="30" t="s">
        <v>110</v>
      </c>
      <c r="G79" s="299"/>
      <c r="H79" s="140"/>
      <c r="I79" s="140"/>
      <c r="J79" s="140"/>
      <c r="K79" s="140"/>
      <c r="L79" s="140"/>
      <c r="M79" s="140"/>
      <c r="N79" s="140"/>
      <c r="O79" s="141"/>
      <c r="P79" s="140"/>
      <c r="Q79" s="142"/>
      <c r="R79" s="142"/>
    </row>
    <row r="80" spans="1:18" ht="17.45" customHeight="1" thickBot="1">
      <c r="A80" s="283"/>
      <c r="B80" s="284"/>
      <c r="C80" s="284"/>
      <c r="D80" s="284"/>
      <c r="E80" s="284"/>
      <c r="F80" s="284"/>
      <c r="G80" s="284"/>
      <c r="H80" s="284"/>
      <c r="I80" s="284"/>
      <c r="J80" s="284"/>
      <c r="K80" s="284"/>
      <c r="L80" s="284"/>
      <c r="M80" s="284"/>
      <c r="N80" s="284"/>
      <c r="O80" s="284"/>
      <c r="P80" s="284"/>
      <c r="Q80" s="284"/>
      <c r="R80" s="285"/>
    </row>
    <row r="81" spans="1:18" ht="22.15" customHeight="1" thickTop="1" thickBot="1">
      <c r="A81" s="279" t="s">
        <v>6</v>
      </c>
      <c r="B81" s="295"/>
      <c r="C81" s="295"/>
      <c r="D81" s="295"/>
      <c r="E81" s="295"/>
      <c r="F81" s="296"/>
      <c r="G81" s="32">
        <v>46030</v>
      </c>
      <c r="H81" s="278" t="s">
        <v>7</v>
      </c>
      <c r="I81" s="295"/>
      <c r="J81" s="295"/>
      <c r="K81" s="295"/>
      <c r="L81" s="295"/>
      <c r="M81" s="295"/>
      <c r="N81" s="295"/>
      <c r="O81" s="295"/>
      <c r="P81" s="295"/>
      <c r="Q81" s="295"/>
      <c r="R81" s="296"/>
    </row>
    <row r="82" spans="1:18" ht="24" customHeight="1">
      <c r="A82" s="33" t="s">
        <v>8</v>
      </c>
      <c r="B82" s="33" t="s">
        <v>9</v>
      </c>
      <c r="C82" s="34" t="s">
        <v>10</v>
      </c>
      <c r="D82" s="33" t="s">
        <v>11</v>
      </c>
      <c r="E82" s="33" t="s">
        <v>12</v>
      </c>
      <c r="F82" s="35" t="s">
        <v>13</v>
      </c>
      <c r="G82" s="36" t="s">
        <v>14</v>
      </c>
      <c r="H82" s="33" t="s">
        <v>15</v>
      </c>
      <c r="I82" s="37" t="s">
        <v>16</v>
      </c>
      <c r="J82" s="38" t="s">
        <v>17</v>
      </c>
      <c r="K82" s="39" t="s">
        <v>18</v>
      </c>
      <c r="L82" s="38" t="s">
        <v>19</v>
      </c>
      <c r="M82" s="38" t="s">
        <v>20</v>
      </c>
      <c r="N82" s="38" t="s">
        <v>21</v>
      </c>
      <c r="O82" s="33" t="s">
        <v>22</v>
      </c>
      <c r="P82" s="34" t="s">
        <v>23</v>
      </c>
      <c r="Q82" s="38" t="s">
        <v>24</v>
      </c>
      <c r="R82" s="33" t="s">
        <v>25</v>
      </c>
    </row>
    <row r="83" spans="1:18" ht="15" customHeight="1">
      <c r="A83" s="49" t="s">
        <v>61</v>
      </c>
      <c r="B83" s="49" t="s">
        <v>262</v>
      </c>
      <c r="C83" s="50">
        <v>0.47916666666666669</v>
      </c>
      <c r="D83" s="49" t="s">
        <v>63</v>
      </c>
      <c r="E83" s="49" t="s">
        <v>100</v>
      </c>
      <c r="F83" s="49" t="s">
        <v>64</v>
      </c>
      <c r="G83" s="297"/>
      <c r="H83" s="51" t="s">
        <v>263</v>
      </c>
      <c r="I83" s="52">
        <v>0.2611</v>
      </c>
      <c r="J83" s="53">
        <v>47</v>
      </c>
      <c r="K83" s="54">
        <v>46338</v>
      </c>
      <c r="L83" s="53">
        <v>3</v>
      </c>
      <c r="M83" s="53">
        <v>0</v>
      </c>
      <c r="N83" s="53">
        <v>0</v>
      </c>
      <c r="O83" s="55" t="s">
        <v>101</v>
      </c>
      <c r="P83" s="56">
        <v>0.47916666666666669</v>
      </c>
      <c r="Q83" s="53">
        <v>180</v>
      </c>
      <c r="R83" s="57" t="s">
        <v>285</v>
      </c>
    </row>
    <row r="84" spans="1:18" ht="18">
      <c r="A84" s="292" t="s">
        <v>266</v>
      </c>
      <c r="B84" s="303"/>
      <c r="C84" s="303"/>
      <c r="D84" s="303"/>
      <c r="E84" s="303"/>
      <c r="F84" s="304"/>
      <c r="G84" s="298"/>
      <c r="H84" s="138"/>
      <c r="I84" s="138"/>
      <c r="J84" s="138"/>
      <c r="K84" s="138"/>
      <c r="L84" s="138"/>
      <c r="M84" s="138"/>
      <c r="N84" s="138"/>
      <c r="O84" s="139"/>
      <c r="P84" s="138"/>
      <c r="Q84" s="107"/>
      <c r="R84" s="107"/>
    </row>
    <row r="85" spans="1:18" ht="15" customHeight="1">
      <c r="A85" s="17" t="s">
        <v>38</v>
      </c>
      <c r="B85" s="17" t="s">
        <v>39</v>
      </c>
      <c r="C85" s="18" t="s">
        <v>257</v>
      </c>
      <c r="D85" s="17" t="s">
        <v>40</v>
      </c>
      <c r="E85" s="17" t="s">
        <v>270</v>
      </c>
      <c r="F85" s="17" t="s">
        <v>78</v>
      </c>
      <c r="G85" s="298"/>
      <c r="H85" s="138"/>
      <c r="I85" s="138"/>
      <c r="J85" s="138"/>
      <c r="K85" s="138"/>
      <c r="L85" s="138"/>
      <c r="M85" s="138"/>
      <c r="N85" s="138"/>
      <c r="O85" s="139"/>
      <c r="P85" s="138"/>
      <c r="Q85" s="107"/>
      <c r="R85" s="107"/>
    </row>
    <row r="86" spans="1:18" ht="15" customHeight="1">
      <c r="A86" s="17" t="s">
        <v>38</v>
      </c>
      <c r="B86" s="17" t="s">
        <v>87</v>
      </c>
      <c r="C86" s="18" t="s">
        <v>280</v>
      </c>
      <c r="D86" s="17" t="s">
        <v>40</v>
      </c>
      <c r="E86" s="17" t="s">
        <v>268</v>
      </c>
      <c r="F86" s="17" t="s">
        <v>78</v>
      </c>
      <c r="G86" s="298"/>
      <c r="H86" s="138"/>
      <c r="I86" s="138"/>
      <c r="J86" s="138"/>
      <c r="K86" s="138"/>
      <c r="L86" s="138"/>
      <c r="M86" s="138"/>
      <c r="N86" s="138"/>
      <c r="O86" s="139"/>
      <c r="P86" s="138"/>
      <c r="Q86" s="107"/>
      <c r="R86" s="107"/>
    </row>
    <row r="87" spans="1:18" ht="15" customHeight="1">
      <c r="A87" s="17" t="s">
        <v>26</v>
      </c>
      <c r="B87" s="17" t="s">
        <v>27</v>
      </c>
      <c r="C87" s="18" t="s">
        <v>255</v>
      </c>
      <c r="D87" s="17" t="s">
        <v>28</v>
      </c>
      <c r="E87" s="17" t="s">
        <v>286</v>
      </c>
      <c r="F87" s="17" t="s">
        <v>81</v>
      </c>
      <c r="G87" s="298"/>
      <c r="H87" s="138"/>
      <c r="I87" s="138"/>
      <c r="J87" s="138"/>
      <c r="K87" s="138"/>
      <c r="L87" s="138"/>
      <c r="M87" s="138"/>
      <c r="N87" s="138"/>
      <c r="O87" s="139"/>
      <c r="P87" s="138"/>
      <c r="Q87" s="107"/>
      <c r="R87" s="107"/>
    </row>
    <row r="88" spans="1:18" ht="15" customHeight="1">
      <c r="A88" s="17" t="s">
        <v>26</v>
      </c>
      <c r="B88" s="17" t="s">
        <v>27</v>
      </c>
      <c r="C88" s="18" t="s">
        <v>255</v>
      </c>
      <c r="D88" s="17" t="s">
        <v>31</v>
      </c>
      <c r="E88" s="17" t="s">
        <v>286</v>
      </c>
      <c r="F88" s="17" t="s">
        <v>83</v>
      </c>
      <c r="G88" s="298"/>
      <c r="H88" s="138"/>
      <c r="I88" s="138"/>
      <c r="J88" s="138"/>
      <c r="K88" s="138"/>
      <c r="L88" s="138"/>
      <c r="M88" s="138"/>
      <c r="N88" s="138"/>
      <c r="O88" s="139"/>
      <c r="P88" s="138"/>
      <c r="Q88" s="107"/>
      <c r="R88" s="107"/>
    </row>
    <row r="89" spans="1:18" ht="15" customHeight="1">
      <c r="A89" s="17" t="s">
        <v>38</v>
      </c>
      <c r="B89" s="17" t="s">
        <v>39</v>
      </c>
      <c r="C89" s="18" t="s">
        <v>257</v>
      </c>
      <c r="D89" s="17" t="s">
        <v>43</v>
      </c>
      <c r="E89" s="17" t="s">
        <v>270</v>
      </c>
      <c r="F89" s="17" t="s">
        <v>79</v>
      </c>
      <c r="G89" s="298"/>
      <c r="H89" s="138"/>
      <c r="I89" s="138"/>
      <c r="J89" s="138"/>
      <c r="K89" s="138"/>
      <c r="L89" s="138"/>
      <c r="M89" s="138"/>
      <c r="N89" s="138"/>
      <c r="O89" s="139"/>
      <c r="P89" s="138"/>
      <c r="Q89" s="107"/>
      <c r="R89" s="107"/>
    </row>
    <row r="90" spans="1:18" ht="15" customHeight="1">
      <c r="A90" s="17" t="s">
        <v>38</v>
      </c>
      <c r="B90" s="17" t="s">
        <v>87</v>
      </c>
      <c r="C90" s="18" t="s">
        <v>280</v>
      </c>
      <c r="D90" s="17" t="s">
        <v>43</v>
      </c>
      <c r="E90" s="17" t="s">
        <v>268</v>
      </c>
      <c r="F90" s="17" t="s">
        <v>79</v>
      </c>
      <c r="G90" s="298"/>
      <c r="H90" s="138"/>
      <c r="I90" s="138"/>
      <c r="J90" s="138"/>
      <c r="K90" s="138"/>
      <c r="L90" s="138"/>
      <c r="M90" s="138"/>
      <c r="N90" s="138"/>
      <c r="O90" s="139"/>
      <c r="P90" s="138"/>
      <c r="Q90" s="107"/>
      <c r="R90" s="107"/>
    </row>
    <row r="91" spans="1:18" ht="15" customHeight="1">
      <c r="A91" s="17" t="s">
        <v>26</v>
      </c>
      <c r="B91" s="17" t="s">
        <v>27</v>
      </c>
      <c r="C91" s="18" t="s">
        <v>255</v>
      </c>
      <c r="D91" s="17" t="s">
        <v>34</v>
      </c>
      <c r="E91" s="17" t="s">
        <v>286</v>
      </c>
      <c r="F91" s="17" t="s">
        <v>45</v>
      </c>
      <c r="G91" s="298"/>
      <c r="H91" s="138"/>
      <c r="I91" s="138"/>
      <c r="J91" s="138"/>
      <c r="K91" s="138"/>
      <c r="L91" s="138"/>
      <c r="M91" s="138"/>
      <c r="N91" s="138"/>
      <c r="O91" s="139"/>
      <c r="P91" s="138"/>
      <c r="Q91" s="107"/>
      <c r="R91" s="107"/>
    </row>
    <row r="92" spans="1:18" ht="15" customHeight="1">
      <c r="A92" s="17" t="s">
        <v>61</v>
      </c>
      <c r="B92" s="17" t="s">
        <v>62</v>
      </c>
      <c r="C92" s="18" t="s">
        <v>231</v>
      </c>
      <c r="D92" s="17" t="s">
        <v>63</v>
      </c>
      <c r="E92" s="17" t="s">
        <v>269</v>
      </c>
      <c r="F92" s="17" t="s">
        <v>64</v>
      </c>
      <c r="G92" s="298"/>
      <c r="H92" s="138"/>
      <c r="I92" s="138"/>
      <c r="J92" s="138"/>
      <c r="K92" s="138"/>
      <c r="L92" s="138"/>
      <c r="M92" s="138"/>
      <c r="N92" s="138"/>
      <c r="O92" s="139"/>
      <c r="P92" s="138"/>
      <c r="Q92" s="107"/>
      <c r="R92" s="107"/>
    </row>
    <row r="93" spans="1:18" ht="15" customHeight="1">
      <c r="A93" s="17" t="s">
        <v>48</v>
      </c>
      <c r="B93" s="17" t="s">
        <v>56</v>
      </c>
      <c r="C93" s="18" t="s">
        <v>259</v>
      </c>
      <c r="D93" s="17" t="s">
        <v>50</v>
      </c>
      <c r="E93" s="17" t="s">
        <v>269</v>
      </c>
      <c r="F93" s="17" t="s">
        <v>109</v>
      </c>
      <c r="G93" s="298"/>
      <c r="H93" s="138"/>
      <c r="I93" s="138"/>
      <c r="J93" s="138"/>
      <c r="K93" s="138"/>
      <c r="L93" s="138"/>
      <c r="M93" s="138"/>
      <c r="N93" s="138"/>
      <c r="O93" s="139"/>
      <c r="P93" s="138"/>
      <c r="Q93" s="107"/>
      <c r="R93" s="107"/>
    </row>
    <row r="94" spans="1:18" ht="15" customHeight="1" thickBot="1">
      <c r="A94" s="30" t="s">
        <v>48</v>
      </c>
      <c r="B94" s="30" t="s">
        <v>58</v>
      </c>
      <c r="C94" s="31" t="s">
        <v>260</v>
      </c>
      <c r="D94" s="30" t="s">
        <v>50</v>
      </c>
      <c r="E94" s="30" t="s">
        <v>269</v>
      </c>
      <c r="F94" s="30" t="s">
        <v>109</v>
      </c>
      <c r="G94" s="299"/>
      <c r="H94" s="140"/>
      <c r="I94" s="140"/>
      <c r="J94" s="140"/>
      <c r="K94" s="140"/>
      <c r="L94" s="140"/>
      <c r="M94" s="140"/>
      <c r="N94" s="140"/>
      <c r="O94" s="141"/>
      <c r="P94" s="140"/>
      <c r="Q94" s="142"/>
      <c r="R94" s="142"/>
    </row>
    <row r="95" spans="1:18" ht="17.45" customHeight="1" thickBot="1">
      <c r="A95" s="283"/>
      <c r="B95" s="284"/>
      <c r="C95" s="284"/>
      <c r="D95" s="284"/>
      <c r="E95" s="284"/>
      <c r="F95" s="284"/>
      <c r="G95" s="284"/>
      <c r="H95" s="284"/>
      <c r="I95" s="284"/>
      <c r="J95" s="284"/>
      <c r="K95" s="284"/>
      <c r="L95" s="284"/>
      <c r="M95" s="284"/>
      <c r="N95" s="284"/>
      <c r="O95" s="284"/>
      <c r="P95" s="284"/>
      <c r="Q95" s="284"/>
      <c r="R95" s="285"/>
    </row>
    <row r="96" spans="1:18" ht="22.15" customHeight="1" thickTop="1" thickBot="1">
      <c r="A96" s="279" t="s">
        <v>6</v>
      </c>
      <c r="B96" s="295"/>
      <c r="C96" s="295"/>
      <c r="D96" s="295"/>
      <c r="E96" s="295"/>
      <c r="F96" s="296"/>
      <c r="G96" s="32">
        <v>46031</v>
      </c>
      <c r="H96" s="278" t="s">
        <v>7</v>
      </c>
      <c r="I96" s="295"/>
      <c r="J96" s="295"/>
      <c r="K96" s="295"/>
      <c r="L96" s="295"/>
      <c r="M96" s="295"/>
      <c r="N96" s="295"/>
      <c r="O96" s="295"/>
      <c r="P96" s="295"/>
      <c r="Q96" s="295"/>
      <c r="R96" s="296"/>
    </row>
    <row r="97" spans="1:18" ht="24" customHeight="1">
      <c r="A97" s="33" t="s">
        <v>8</v>
      </c>
      <c r="B97" s="33" t="s">
        <v>9</v>
      </c>
      <c r="C97" s="34" t="s">
        <v>10</v>
      </c>
      <c r="D97" s="33" t="s">
        <v>11</v>
      </c>
      <c r="E97" s="33" t="s">
        <v>12</v>
      </c>
      <c r="F97" s="35" t="s">
        <v>13</v>
      </c>
      <c r="G97" s="36" t="s">
        <v>14</v>
      </c>
      <c r="H97" s="33" t="s">
        <v>15</v>
      </c>
      <c r="I97" s="37" t="s">
        <v>16</v>
      </c>
      <c r="J97" s="38" t="s">
        <v>17</v>
      </c>
      <c r="K97" s="39" t="s">
        <v>18</v>
      </c>
      <c r="L97" s="38" t="s">
        <v>19</v>
      </c>
      <c r="M97" s="38" t="s">
        <v>20</v>
      </c>
      <c r="N97" s="38" t="s">
        <v>21</v>
      </c>
      <c r="O97" s="33" t="s">
        <v>22</v>
      </c>
      <c r="P97" s="34" t="s">
        <v>23</v>
      </c>
      <c r="Q97" s="38" t="s">
        <v>24</v>
      </c>
      <c r="R97" s="33" t="s">
        <v>25</v>
      </c>
    </row>
    <row r="98" spans="1:18" ht="15" customHeight="1">
      <c r="A98" s="8" t="s">
        <v>68</v>
      </c>
      <c r="B98" s="8" t="s">
        <v>264</v>
      </c>
      <c r="C98" s="9">
        <v>0.3576388888888889</v>
      </c>
      <c r="D98" s="8" t="s">
        <v>70</v>
      </c>
      <c r="E98" s="8" t="s">
        <v>51</v>
      </c>
      <c r="F98" s="8" t="s">
        <v>265</v>
      </c>
      <c r="G98" s="297"/>
      <c r="H98" s="10"/>
      <c r="I98" s="11"/>
      <c r="J98" s="11"/>
      <c r="K98" s="11"/>
      <c r="L98" s="11"/>
      <c r="M98" s="11"/>
      <c r="N98" s="11"/>
      <c r="O98" s="12"/>
      <c r="P98" s="11"/>
      <c r="Q98" s="13"/>
      <c r="R98" s="14"/>
    </row>
    <row r="99" spans="1:18" ht="18">
      <c r="A99" s="292" t="s">
        <v>266</v>
      </c>
      <c r="B99" s="303"/>
      <c r="C99" s="303"/>
      <c r="D99" s="303"/>
      <c r="E99" s="303"/>
      <c r="F99" s="304"/>
      <c r="G99" s="298"/>
      <c r="H99" s="138"/>
      <c r="I99" s="138"/>
      <c r="J99" s="138"/>
      <c r="K99" s="138"/>
      <c r="L99" s="138"/>
      <c r="M99" s="138"/>
      <c r="N99" s="138"/>
      <c r="O99" s="139"/>
      <c r="P99" s="138"/>
      <c r="Q99" s="107"/>
      <c r="R99" s="107"/>
    </row>
    <row r="100" spans="1:18" ht="15" customHeight="1">
      <c r="A100" s="17" t="s">
        <v>38</v>
      </c>
      <c r="B100" s="17" t="s">
        <v>39</v>
      </c>
      <c r="C100" s="18" t="s">
        <v>257</v>
      </c>
      <c r="D100" s="17" t="s">
        <v>40</v>
      </c>
      <c r="E100" s="17" t="s">
        <v>287</v>
      </c>
      <c r="F100" s="17" t="s">
        <v>131</v>
      </c>
      <c r="G100" s="298"/>
      <c r="H100" s="138"/>
      <c r="I100" s="138"/>
      <c r="J100" s="138"/>
      <c r="K100" s="138"/>
      <c r="L100" s="138"/>
      <c r="M100" s="138"/>
      <c r="N100" s="138"/>
      <c r="O100" s="139"/>
      <c r="P100" s="138"/>
      <c r="Q100" s="107"/>
      <c r="R100" s="107"/>
    </row>
    <row r="101" spans="1:18" ht="15" customHeight="1">
      <c r="A101" s="17" t="s">
        <v>48</v>
      </c>
      <c r="B101" s="17" t="s">
        <v>56</v>
      </c>
      <c r="C101" s="18" t="s">
        <v>259</v>
      </c>
      <c r="D101" s="17" t="s">
        <v>50</v>
      </c>
      <c r="E101" s="17" t="s">
        <v>269</v>
      </c>
      <c r="F101" s="17" t="s">
        <v>96</v>
      </c>
      <c r="G101" s="298"/>
      <c r="H101" s="138"/>
      <c r="I101" s="138"/>
      <c r="J101" s="138"/>
      <c r="K101" s="138"/>
      <c r="L101" s="138"/>
      <c r="M101" s="138"/>
      <c r="N101" s="138"/>
      <c r="O101" s="139"/>
      <c r="P101" s="138"/>
      <c r="Q101" s="107"/>
      <c r="R101" s="107"/>
    </row>
    <row r="102" spans="1:18" ht="15" customHeight="1">
      <c r="A102" s="17" t="s">
        <v>48</v>
      </c>
      <c r="B102" s="17" t="s">
        <v>58</v>
      </c>
      <c r="C102" s="18" t="s">
        <v>260</v>
      </c>
      <c r="D102" s="17" t="s">
        <v>50</v>
      </c>
      <c r="E102" s="17" t="s">
        <v>288</v>
      </c>
      <c r="F102" s="17" t="s">
        <v>96</v>
      </c>
      <c r="G102" s="298"/>
      <c r="H102" s="138"/>
      <c r="I102" s="138"/>
      <c r="J102" s="138"/>
      <c r="K102" s="138"/>
      <c r="L102" s="138"/>
      <c r="M102" s="138"/>
      <c r="N102" s="138"/>
      <c r="O102" s="139"/>
      <c r="P102" s="138"/>
      <c r="Q102" s="107"/>
      <c r="R102" s="107"/>
    </row>
    <row r="103" spans="1:18" ht="15" customHeight="1">
      <c r="A103" s="17" t="s">
        <v>38</v>
      </c>
      <c r="B103" s="17" t="s">
        <v>39</v>
      </c>
      <c r="C103" s="18" t="s">
        <v>257</v>
      </c>
      <c r="D103" s="17" t="s">
        <v>43</v>
      </c>
      <c r="E103" s="17" t="s">
        <v>287</v>
      </c>
      <c r="F103" s="17" t="s">
        <v>133</v>
      </c>
      <c r="G103" s="298"/>
      <c r="H103" s="138"/>
      <c r="I103" s="138"/>
      <c r="J103" s="138"/>
      <c r="K103" s="138"/>
      <c r="L103" s="138"/>
      <c r="M103" s="138"/>
      <c r="N103" s="138"/>
      <c r="O103" s="139"/>
      <c r="P103" s="138"/>
      <c r="Q103" s="107"/>
      <c r="R103" s="107"/>
    </row>
    <row r="104" spans="1:18" ht="15" customHeight="1">
      <c r="A104" s="17" t="s">
        <v>48</v>
      </c>
      <c r="B104" s="17" t="s">
        <v>49</v>
      </c>
      <c r="C104" s="18" t="s">
        <v>276</v>
      </c>
      <c r="D104" s="17" t="s">
        <v>50</v>
      </c>
      <c r="E104" s="17" t="s">
        <v>269</v>
      </c>
      <c r="F104" s="17" t="s">
        <v>52</v>
      </c>
      <c r="G104" s="298"/>
      <c r="H104" s="138"/>
      <c r="I104" s="138"/>
      <c r="J104" s="138"/>
      <c r="K104" s="138"/>
      <c r="L104" s="138"/>
      <c r="M104" s="138"/>
      <c r="N104" s="138"/>
      <c r="O104" s="139"/>
      <c r="P104" s="138"/>
      <c r="Q104" s="107"/>
      <c r="R104" s="107"/>
    </row>
    <row r="105" spans="1:18" ht="15" customHeight="1">
      <c r="A105" s="17" t="s">
        <v>48</v>
      </c>
      <c r="B105" s="17" t="s">
        <v>56</v>
      </c>
      <c r="C105" s="18" t="s">
        <v>259</v>
      </c>
      <c r="D105" s="17" t="s">
        <v>53</v>
      </c>
      <c r="E105" s="17" t="s">
        <v>269</v>
      </c>
      <c r="F105" s="17" t="s">
        <v>97</v>
      </c>
      <c r="G105" s="298"/>
      <c r="H105" s="138"/>
      <c r="I105" s="138"/>
      <c r="J105" s="138"/>
      <c r="K105" s="138"/>
      <c r="L105" s="138"/>
      <c r="M105" s="138"/>
      <c r="N105" s="138"/>
      <c r="O105" s="139"/>
      <c r="P105" s="138"/>
      <c r="Q105" s="107"/>
      <c r="R105" s="107"/>
    </row>
    <row r="106" spans="1:18" ht="15" customHeight="1">
      <c r="A106" s="17" t="s">
        <v>48</v>
      </c>
      <c r="B106" s="17" t="s">
        <v>58</v>
      </c>
      <c r="C106" s="18" t="s">
        <v>260</v>
      </c>
      <c r="D106" s="17" t="s">
        <v>53</v>
      </c>
      <c r="E106" s="17" t="s">
        <v>288</v>
      </c>
      <c r="F106" s="17" t="s">
        <v>97</v>
      </c>
      <c r="G106" s="298"/>
      <c r="H106" s="138"/>
      <c r="I106" s="138"/>
      <c r="J106" s="138"/>
      <c r="K106" s="138"/>
      <c r="L106" s="138"/>
      <c r="M106" s="138"/>
      <c r="N106" s="138"/>
      <c r="O106" s="139"/>
      <c r="P106" s="138"/>
      <c r="Q106" s="107"/>
      <c r="R106" s="107"/>
    </row>
    <row r="107" spans="1:18" ht="15" customHeight="1">
      <c r="A107" s="17" t="s">
        <v>48</v>
      </c>
      <c r="B107" s="17" t="s">
        <v>49</v>
      </c>
      <c r="C107" s="18" t="s">
        <v>276</v>
      </c>
      <c r="D107" s="17" t="s">
        <v>53</v>
      </c>
      <c r="E107" s="17" t="s">
        <v>269</v>
      </c>
      <c r="F107" s="17" t="s">
        <v>55</v>
      </c>
      <c r="G107" s="298"/>
      <c r="H107" s="138"/>
      <c r="I107" s="138"/>
      <c r="J107" s="138"/>
      <c r="K107" s="138"/>
      <c r="L107" s="138"/>
      <c r="M107" s="138"/>
      <c r="N107" s="138"/>
      <c r="O107" s="139"/>
      <c r="P107" s="138"/>
      <c r="Q107" s="107"/>
      <c r="R107" s="107"/>
    </row>
    <row r="108" spans="1:18" ht="15" customHeight="1">
      <c r="A108" s="17" t="s">
        <v>68</v>
      </c>
      <c r="B108" s="17" t="s">
        <v>74</v>
      </c>
      <c r="C108" s="18" t="s">
        <v>282</v>
      </c>
      <c r="D108" s="17" t="s">
        <v>70</v>
      </c>
      <c r="E108" s="17" t="s">
        <v>269</v>
      </c>
      <c r="F108" s="17" t="s">
        <v>71</v>
      </c>
      <c r="G108" s="298"/>
      <c r="H108" s="138"/>
      <c r="I108" s="138"/>
      <c r="J108" s="138"/>
      <c r="K108" s="138"/>
      <c r="L108" s="138"/>
      <c r="M108" s="138"/>
      <c r="N108" s="138"/>
      <c r="O108" s="139"/>
      <c r="P108" s="138"/>
      <c r="Q108" s="107"/>
      <c r="R108" s="107"/>
    </row>
    <row r="109" spans="1:18" ht="15" customHeight="1" thickBot="1">
      <c r="A109" s="30" t="s">
        <v>68</v>
      </c>
      <c r="B109" s="30" t="s">
        <v>69</v>
      </c>
      <c r="C109" s="31" t="s">
        <v>271</v>
      </c>
      <c r="D109" s="30" t="s">
        <v>70</v>
      </c>
      <c r="E109" s="30" t="s">
        <v>269</v>
      </c>
      <c r="F109" s="30" t="s">
        <v>71</v>
      </c>
      <c r="G109" s="299"/>
      <c r="H109" s="140"/>
      <c r="I109" s="140"/>
      <c r="J109" s="140"/>
      <c r="K109" s="140"/>
      <c r="L109" s="140"/>
      <c r="M109" s="140"/>
      <c r="N109" s="140"/>
      <c r="O109" s="141"/>
      <c r="P109" s="140"/>
      <c r="Q109" s="142"/>
      <c r="R109" s="142"/>
    </row>
    <row r="110" spans="1:18" ht="17.45" customHeight="1" thickBot="1">
      <c r="A110" s="283"/>
      <c r="B110" s="284"/>
      <c r="C110" s="284"/>
      <c r="D110" s="284"/>
      <c r="E110" s="284"/>
      <c r="F110" s="284"/>
      <c r="G110" s="284"/>
      <c r="H110" s="284"/>
      <c r="I110" s="284"/>
      <c r="J110" s="284"/>
      <c r="K110" s="284"/>
      <c r="L110" s="284"/>
      <c r="M110" s="284"/>
      <c r="N110" s="284"/>
      <c r="O110" s="284"/>
      <c r="P110" s="284"/>
      <c r="Q110" s="284"/>
      <c r="R110" s="285"/>
    </row>
    <row r="111" spans="1:18" ht="22.15" customHeight="1" thickTop="1" thickBot="1">
      <c r="A111" s="279" t="s">
        <v>6</v>
      </c>
      <c r="B111" s="295"/>
      <c r="C111" s="295"/>
      <c r="D111" s="295"/>
      <c r="E111" s="295"/>
      <c r="F111" s="296"/>
      <c r="G111" s="32">
        <v>46033</v>
      </c>
      <c r="H111" s="278" t="s">
        <v>7</v>
      </c>
      <c r="I111" s="295"/>
      <c r="J111" s="295"/>
      <c r="K111" s="295"/>
      <c r="L111" s="295"/>
      <c r="M111" s="295"/>
      <c r="N111" s="295"/>
      <c r="O111" s="295"/>
      <c r="P111" s="295"/>
      <c r="Q111" s="295"/>
      <c r="R111" s="296"/>
    </row>
    <row r="112" spans="1:18" ht="24" customHeight="1">
      <c r="A112" s="33" t="s">
        <v>8</v>
      </c>
      <c r="B112" s="33" t="s">
        <v>9</v>
      </c>
      <c r="C112" s="34" t="s">
        <v>10</v>
      </c>
      <c r="D112" s="33" t="s">
        <v>11</v>
      </c>
      <c r="E112" s="33" t="s">
        <v>12</v>
      </c>
      <c r="F112" s="35" t="s">
        <v>13</v>
      </c>
      <c r="G112" s="36" t="s">
        <v>14</v>
      </c>
      <c r="H112" s="33" t="s">
        <v>15</v>
      </c>
      <c r="I112" s="37" t="s">
        <v>16</v>
      </c>
      <c r="J112" s="38" t="s">
        <v>17</v>
      </c>
      <c r="K112" s="39" t="s">
        <v>18</v>
      </c>
      <c r="L112" s="38" t="s">
        <v>19</v>
      </c>
      <c r="M112" s="38" t="s">
        <v>20</v>
      </c>
      <c r="N112" s="38" t="s">
        <v>21</v>
      </c>
      <c r="O112" s="33" t="s">
        <v>22</v>
      </c>
      <c r="P112" s="34" t="s">
        <v>23</v>
      </c>
      <c r="Q112" s="38" t="s">
        <v>24</v>
      </c>
      <c r="R112" s="33" t="s">
        <v>25</v>
      </c>
    </row>
    <row r="113" spans="1:18" ht="15" customHeight="1">
      <c r="A113" s="49" t="s">
        <v>61</v>
      </c>
      <c r="B113" s="49" t="s">
        <v>262</v>
      </c>
      <c r="C113" s="50">
        <v>0.2361111111111111</v>
      </c>
      <c r="D113" s="49" t="s">
        <v>63</v>
      </c>
      <c r="E113" s="49" t="s">
        <v>51</v>
      </c>
      <c r="F113" s="49" t="s">
        <v>64</v>
      </c>
      <c r="G113" s="297"/>
      <c r="H113" s="51" t="s">
        <v>263</v>
      </c>
      <c r="I113" s="52">
        <v>5.5999999999999999E-3</v>
      </c>
      <c r="J113" s="53">
        <v>1</v>
      </c>
      <c r="K113" s="54">
        <v>46308</v>
      </c>
      <c r="L113" s="53">
        <v>1</v>
      </c>
      <c r="M113" s="53">
        <v>0</v>
      </c>
      <c r="N113" s="53">
        <v>0</v>
      </c>
      <c r="O113" s="55" t="s">
        <v>67</v>
      </c>
      <c r="P113" s="56">
        <v>0.2361111111111111</v>
      </c>
      <c r="Q113" s="53">
        <v>180</v>
      </c>
      <c r="R113" s="57" t="s">
        <v>128</v>
      </c>
    </row>
    <row r="114" spans="1:18" ht="15" customHeight="1">
      <c r="A114" s="19" t="s">
        <v>68</v>
      </c>
      <c r="B114" s="19" t="s">
        <v>264</v>
      </c>
      <c r="C114" s="20">
        <v>0.3576388888888889</v>
      </c>
      <c r="D114" s="19" t="s">
        <v>70</v>
      </c>
      <c r="E114" s="19" t="s">
        <v>51</v>
      </c>
      <c r="F114" s="19" t="s">
        <v>289</v>
      </c>
      <c r="G114" s="298"/>
      <c r="H114" s="10"/>
      <c r="I114" s="11"/>
      <c r="J114" s="11"/>
      <c r="K114" s="11"/>
      <c r="L114" s="11"/>
      <c r="M114" s="11"/>
      <c r="N114" s="11"/>
      <c r="O114" s="12"/>
      <c r="P114" s="11"/>
      <c r="Q114" s="13"/>
      <c r="R114" s="14"/>
    </row>
    <row r="115" spans="1:18" ht="18">
      <c r="A115" s="292" t="s">
        <v>266</v>
      </c>
      <c r="B115" s="303"/>
      <c r="C115" s="303"/>
      <c r="D115" s="303"/>
      <c r="E115" s="303"/>
      <c r="F115" s="304"/>
      <c r="G115" s="298"/>
      <c r="H115" s="138"/>
      <c r="I115" s="138"/>
      <c r="J115" s="138"/>
      <c r="K115" s="138"/>
      <c r="L115" s="138"/>
      <c r="M115" s="138"/>
      <c r="N115" s="138"/>
      <c r="O115" s="139"/>
      <c r="P115" s="138"/>
      <c r="Q115" s="107"/>
      <c r="R115" s="107"/>
    </row>
    <row r="116" spans="1:18" ht="15" customHeight="1">
      <c r="A116" s="17" t="s">
        <v>38</v>
      </c>
      <c r="B116" s="17" t="s">
        <v>39</v>
      </c>
      <c r="C116" s="18" t="s">
        <v>257</v>
      </c>
      <c r="D116" s="17" t="s">
        <v>40</v>
      </c>
      <c r="E116" s="17" t="s">
        <v>290</v>
      </c>
      <c r="F116" s="17" t="s">
        <v>78</v>
      </c>
      <c r="G116" s="298"/>
      <c r="H116" s="138"/>
      <c r="I116" s="138"/>
      <c r="J116" s="138"/>
      <c r="K116" s="138"/>
      <c r="L116" s="138"/>
      <c r="M116" s="138"/>
      <c r="N116" s="138"/>
      <c r="O116" s="139"/>
      <c r="P116" s="138"/>
      <c r="Q116" s="107"/>
      <c r="R116" s="107"/>
    </row>
    <row r="117" spans="1:18" ht="15" customHeight="1">
      <c r="A117" s="17" t="s">
        <v>38</v>
      </c>
      <c r="B117" s="17" t="s">
        <v>39</v>
      </c>
      <c r="C117" s="18" t="s">
        <v>257</v>
      </c>
      <c r="D117" s="17" t="s">
        <v>43</v>
      </c>
      <c r="E117" s="17" t="s">
        <v>290</v>
      </c>
      <c r="F117" s="17" t="s">
        <v>79</v>
      </c>
      <c r="G117" s="298"/>
      <c r="H117" s="138"/>
      <c r="I117" s="138"/>
      <c r="J117" s="138"/>
      <c r="K117" s="138"/>
      <c r="L117" s="138"/>
      <c r="M117" s="138"/>
      <c r="N117" s="138"/>
      <c r="O117" s="139"/>
      <c r="P117" s="138"/>
      <c r="Q117" s="107"/>
      <c r="R117" s="107"/>
    </row>
    <row r="118" spans="1:18" ht="15" customHeight="1">
      <c r="A118" s="17" t="s">
        <v>61</v>
      </c>
      <c r="B118" s="17" t="s">
        <v>62</v>
      </c>
      <c r="C118" s="18" t="s">
        <v>237</v>
      </c>
      <c r="D118" s="17" t="s">
        <v>63</v>
      </c>
      <c r="E118" s="17" t="s">
        <v>269</v>
      </c>
      <c r="F118" s="17" t="s">
        <v>64</v>
      </c>
      <c r="G118" s="298"/>
      <c r="H118" s="138"/>
      <c r="I118" s="138"/>
      <c r="J118" s="138"/>
      <c r="K118" s="138"/>
      <c r="L118" s="138"/>
      <c r="M118" s="138"/>
      <c r="N118" s="138"/>
      <c r="O118" s="139"/>
      <c r="P118" s="138"/>
      <c r="Q118" s="107"/>
      <c r="R118" s="107"/>
    </row>
    <row r="119" spans="1:18" ht="15" customHeight="1">
      <c r="A119" s="17" t="s">
        <v>48</v>
      </c>
      <c r="B119" s="17" t="s">
        <v>56</v>
      </c>
      <c r="C119" s="18" t="s">
        <v>259</v>
      </c>
      <c r="D119" s="17" t="s">
        <v>50</v>
      </c>
      <c r="E119" s="17" t="s">
        <v>269</v>
      </c>
      <c r="F119" s="17" t="s">
        <v>109</v>
      </c>
      <c r="G119" s="298"/>
      <c r="H119" s="138"/>
      <c r="I119" s="138"/>
      <c r="J119" s="138"/>
      <c r="K119" s="138"/>
      <c r="L119" s="138"/>
      <c r="M119" s="138"/>
      <c r="N119" s="138"/>
      <c r="O119" s="139"/>
      <c r="P119" s="138"/>
      <c r="Q119" s="107"/>
      <c r="R119" s="107"/>
    </row>
    <row r="120" spans="1:18" ht="15" customHeight="1">
      <c r="A120" s="17" t="s">
        <v>48</v>
      </c>
      <c r="B120" s="17" t="s">
        <v>58</v>
      </c>
      <c r="C120" s="18" t="s">
        <v>260</v>
      </c>
      <c r="D120" s="17" t="s">
        <v>50</v>
      </c>
      <c r="E120" s="17" t="s">
        <v>269</v>
      </c>
      <c r="F120" s="17" t="s">
        <v>109</v>
      </c>
      <c r="G120" s="298"/>
      <c r="H120" s="138"/>
      <c r="I120" s="138"/>
      <c r="J120" s="138"/>
      <c r="K120" s="138"/>
      <c r="L120" s="138"/>
      <c r="M120" s="138"/>
      <c r="N120" s="138"/>
      <c r="O120" s="139"/>
      <c r="P120" s="138"/>
      <c r="Q120" s="107"/>
      <c r="R120" s="107"/>
    </row>
    <row r="121" spans="1:18" ht="15" customHeight="1">
      <c r="A121" s="17" t="s">
        <v>68</v>
      </c>
      <c r="B121" s="17" t="s">
        <v>74</v>
      </c>
      <c r="C121" s="18" t="s">
        <v>282</v>
      </c>
      <c r="D121" s="17" t="s">
        <v>70</v>
      </c>
      <c r="E121" s="17" t="s">
        <v>269</v>
      </c>
      <c r="F121" s="17" t="s">
        <v>71</v>
      </c>
      <c r="G121" s="298"/>
      <c r="H121" s="138"/>
      <c r="I121" s="138"/>
      <c r="J121" s="138"/>
      <c r="K121" s="138"/>
      <c r="L121" s="138"/>
      <c r="M121" s="138"/>
      <c r="N121" s="138"/>
      <c r="O121" s="139"/>
      <c r="P121" s="138"/>
      <c r="Q121" s="107"/>
      <c r="R121" s="107"/>
    </row>
    <row r="122" spans="1:18" ht="15" customHeight="1">
      <c r="A122" s="17" t="s">
        <v>68</v>
      </c>
      <c r="B122" s="17" t="s">
        <v>69</v>
      </c>
      <c r="C122" s="18" t="s">
        <v>271</v>
      </c>
      <c r="D122" s="17" t="s">
        <v>70</v>
      </c>
      <c r="E122" s="17" t="s">
        <v>269</v>
      </c>
      <c r="F122" s="17" t="s">
        <v>71</v>
      </c>
      <c r="G122" s="298"/>
      <c r="H122" s="138"/>
      <c r="I122" s="138"/>
      <c r="J122" s="138"/>
      <c r="K122" s="138"/>
      <c r="L122" s="138"/>
      <c r="M122" s="138"/>
      <c r="N122" s="138"/>
      <c r="O122" s="139"/>
      <c r="P122" s="138"/>
      <c r="Q122" s="107"/>
      <c r="R122" s="107"/>
    </row>
    <row r="123" spans="1:18" ht="15" customHeight="1">
      <c r="A123" s="17" t="s">
        <v>68</v>
      </c>
      <c r="B123" s="17" t="s">
        <v>76</v>
      </c>
      <c r="C123" s="18" t="s">
        <v>272</v>
      </c>
      <c r="D123" s="17" t="s">
        <v>70</v>
      </c>
      <c r="E123" s="17" t="s">
        <v>269</v>
      </c>
      <c r="F123" s="17" t="s">
        <v>71</v>
      </c>
      <c r="G123" s="298"/>
      <c r="H123" s="138"/>
      <c r="I123" s="138"/>
      <c r="J123" s="138"/>
      <c r="K123" s="138"/>
      <c r="L123" s="138"/>
      <c r="M123" s="138"/>
      <c r="N123" s="138"/>
      <c r="O123" s="139"/>
      <c r="P123" s="138"/>
      <c r="Q123" s="107"/>
      <c r="R123" s="107"/>
    </row>
    <row r="124" spans="1:18" ht="15" customHeight="1">
      <c r="A124" s="17" t="s">
        <v>68</v>
      </c>
      <c r="B124" s="17" t="s">
        <v>72</v>
      </c>
      <c r="C124" s="18" t="s">
        <v>273</v>
      </c>
      <c r="D124" s="17" t="s">
        <v>70</v>
      </c>
      <c r="E124" s="17" t="s">
        <v>269</v>
      </c>
      <c r="F124" s="17" t="s">
        <v>71</v>
      </c>
      <c r="G124" s="298"/>
      <c r="H124" s="138"/>
      <c r="I124" s="138"/>
      <c r="J124" s="138"/>
      <c r="K124" s="138"/>
      <c r="L124" s="138"/>
      <c r="M124" s="138"/>
      <c r="N124" s="138"/>
      <c r="O124" s="139"/>
      <c r="P124" s="138"/>
      <c r="Q124" s="107"/>
      <c r="R124" s="107"/>
    </row>
    <row r="125" spans="1:18" ht="15" customHeight="1" thickBot="1">
      <c r="A125" s="30" t="s">
        <v>48</v>
      </c>
      <c r="B125" s="30" t="s">
        <v>56</v>
      </c>
      <c r="C125" s="31" t="s">
        <v>259</v>
      </c>
      <c r="D125" s="30" t="s">
        <v>53</v>
      </c>
      <c r="E125" s="30" t="s">
        <v>269</v>
      </c>
      <c r="F125" s="30" t="s">
        <v>110</v>
      </c>
      <c r="G125" s="299"/>
      <c r="H125" s="140"/>
      <c r="I125" s="140"/>
      <c r="J125" s="140"/>
      <c r="K125" s="140"/>
      <c r="L125" s="140"/>
      <c r="M125" s="140"/>
      <c r="N125" s="140"/>
      <c r="O125" s="141"/>
      <c r="P125" s="140"/>
      <c r="Q125" s="142"/>
      <c r="R125" s="142"/>
    </row>
    <row r="126" spans="1:18" ht="17.45" customHeight="1" thickBot="1">
      <c r="A126" s="283"/>
      <c r="B126" s="284"/>
      <c r="C126" s="284"/>
      <c r="D126" s="284"/>
      <c r="E126" s="284"/>
      <c r="F126" s="284"/>
      <c r="G126" s="284"/>
      <c r="H126" s="284"/>
      <c r="I126" s="284"/>
      <c r="J126" s="284"/>
      <c r="K126" s="284"/>
      <c r="L126" s="284"/>
      <c r="M126" s="284"/>
      <c r="N126" s="284"/>
      <c r="O126" s="284"/>
      <c r="P126" s="284"/>
      <c r="Q126" s="284"/>
      <c r="R126" s="285"/>
    </row>
    <row r="127" spans="1:18" ht="22.15" customHeight="1" thickTop="1" thickBot="1">
      <c r="A127" s="279" t="s">
        <v>6</v>
      </c>
      <c r="B127" s="295"/>
      <c r="C127" s="295"/>
      <c r="D127" s="295"/>
      <c r="E127" s="295"/>
      <c r="F127" s="296"/>
      <c r="G127" s="32">
        <v>46035</v>
      </c>
      <c r="H127" s="278" t="s">
        <v>7</v>
      </c>
      <c r="I127" s="295"/>
      <c r="J127" s="295"/>
      <c r="K127" s="295"/>
      <c r="L127" s="295"/>
      <c r="M127" s="295"/>
      <c r="N127" s="295"/>
      <c r="O127" s="295"/>
      <c r="P127" s="295"/>
      <c r="Q127" s="295"/>
      <c r="R127" s="296"/>
    </row>
    <row r="128" spans="1:18" ht="24" customHeight="1">
      <c r="A128" s="33" t="s">
        <v>8</v>
      </c>
      <c r="B128" s="33" t="s">
        <v>9</v>
      </c>
      <c r="C128" s="34" t="s">
        <v>10</v>
      </c>
      <c r="D128" s="33" t="s">
        <v>11</v>
      </c>
      <c r="E128" s="33" t="s">
        <v>12</v>
      </c>
      <c r="F128" s="35" t="s">
        <v>13</v>
      </c>
      <c r="G128" s="36" t="s">
        <v>14</v>
      </c>
      <c r="H128" s="33" t="s">
        <v>15</v>
      </c>
      <c r="I128" s="37" t="s">
        <v>16</v>
      </c>
      <c r="J128" s="38" t="s">
        <v>17</v>
      </c>
      <c r="K128" s="39" t="s">
        <v>18</v>
      </c>
      <c r="L128" s="38" t="s">
        <v>19</v>
      </c>
      <c r="M128" s="38" t="s">
        <v>20</v>
      </c>
      <c r="N128" s="38" t="s">
        <v>21</v>
      </c>
      <c r="O128" s="33" t="s">
        <v>22</v>
      </c>
      <c r="P128" s="34" t="s">
        <v>23</v>
      </c>
      <c r="Q128" s="38" t="s">
        <v>24</v>
      </c>
      <c r="R128" s="33" t="s">
        <v>25</v>
      </c>
    </row>
    <row r="129" spans="1:18" ht="15" customHeight="1">
      <c r="A129" s="78" t="s">
        <v>61</v>
      </c>
      <c r="B129" s="78" t="s">
        <v>262</v>
      </c>
      <c r="C129" s="79">
        <v>0.15972222222222221</v>
      </c>
      <c r="D129" s="78" t="s">
        <v>63</v>
      </c>
      <c r="E129" s="78" t="s">
        <v>51</v>
      </c>
      <c r="F129" s="78" t="s">
        <v>291</v>
      </c>
      <c r="G129" s="297"/>
      <c r="H129" s="80" t="s">
        <v>263</v>
      </c>
      <c r="I129" s="81">
        <v>0</v>
      </c>
      <c r="J129" s="82">
        <v>0</v>
      </c>
      <c r="K129" s="83" t="s">
        <v>66</v>
      </c>
      <c r="L129" s="82">
        <v>0</v>
      </c>
      <c r="M129" s="82">
        <v>0</v>
      </c>
      <c r="N129" s="82">
        <v>0</v>
      </c>
      <c r="O129" s="84" t="s">
        <v>292</v>
      </c>
      <c r="P129" s="85">
        <v>0.15972222222222221</v>
      </c>
      <c r="Q129" s="82">
        <v>180</v>
      </c>
      <c r="R129" s="86" t="s">
        <v>66</v>
      </c>
    </row>
    <row r="130" spans="1:18" ht="18">
      <c r="A130" s="292" t="s">
        <v>266</v>
      </c>
      <c r="B130" s="303"/>
      <c r="C130" s="303"/>
      <c r="D130" s="303"/>
      <c r="E130" s="303"/>
      <c r="F130" s="304"/>
      <c r="G130" s="298"/>
      <c r="H130" s="138"/>
      <c r="I130" s="138"/>
      <c r="J130" s="138"/>
      <c r="K130" s="138"/>
      <c r="L130" s="138"/>
      <c r="M130" s="138"/>
      <c r="N130" s="138"/>
      <c r="O130" s="139"/>
      <c r="P130" s="138"/>
      <c r="Q130" s="107"/>
      <c r="R130" s="107"/>
    </row>
    <row r="131" spans="1:18" ht="15" customHeight="1">
      <c r="A131" s="17" t="s">
        <v>38</v>
      </c>
      <c r="B131" s="17" t="s">
        <v>87</v>
      </c>
      <c r="C131" s="18" t="s">
        <v>280</v>
      </c>
      <c r="D131" s="17" t="s">
        <v>40</v>
      </c>
      <c r="E131" s="17" t="s">
        <v>293</v>
      </c>
      <c r="F131" s="17" t="s">
        <v>78</v>
      </c>
      <c r="G131" s="298"/>
      <c r="H131" s="138"/>
      <c r="I131" s="138"/>
      <c r="J131" s="138"/>
      <c r="K131" s="138"/>
      <c r="L131" s="138"/>
      <c r="M131" s="138"/>
      <c r="N131" s="138"/>
      <c r="O131" s="139"/>
      <c r="P131" s="138"/>
      <c r="Q131" s="107"/>
      <c r="R131" s="107"/>
    </row>
    <row r="132" spans="1:18" ht="15" customHeight="1">
      <c r="A132" s="17" t="s">
        <v>38</v>
      </c>
      <c r="B132" s="17" t="s">
        <v>39</v>
      </c>
      <c r="C132" s="18" t="s">
        <v>257</v>
      </c>
      <c r="D132" s="17" t="s">
        <v>40</v>
      </c>
      <c r="E132" s="17" t="s">
        <v>294</v>
      </c>
      <c r="F132" s="17" t="s">
        <v>131</v>
      </c>
      <c r="G132" s="298"/>
      <c r="H132" s="138"/>
      <c r="I132" s="138"/>
      <c r="J132" s="138"/>
      <c r="K132" s="138"/>
      <c r="L132" s="138"/>
      <c r="M132" s="138"/>
      <c r="N132" s="138"/>
      <c r="O132" s="139"/>
      <c r="P132" s="138"/>
      <c r="Q132" s="107"/>
      <c r="R132" s="107"/>
    </row>
    <row r="133" spans="1:18" ht="15" customHeight="1">
      <c r="A133" s="17" t="s">
        <v>26</v>
      </c>
      <c r="B133" s="17" t="s">
        <v>27</v>
      </c>
      <c r="C133" s="18" t="s">
        <v>255</v>
      </c>
      <c r="D133" s="17" t="s">
        <v>28</v>
      </c>
      <c r="E133" s="17" t="s">
        <v>270</v>
      </c>
      <c r="F133" s="17" t="s">
        <v>149</v>
      </c>
      <c r="G133" s="298"/>
      <c r="H133" s="138"/>
      <c r="I133" s="138"/>
      <c r="J133" s="138"/>
      <c r="K133" s="138"/>
      <c r="L133" s="138"/>
      <c r="M133" s="138"/>
      <c r="N133" s="138"/>
      <c r="O133" s="139"/>
      <c r="P133" s="138"/>
      <c r="Q133" s="107"/>
      <c r="R133" s="107"/>
    </row>
    <row r="134" spans="1:18" ht="15" customHeight="1">
      <c r="A134" s="17" t="s">
        <v>38</v>
      </c>
      <c r="B134" s="17" t="s">
        <v>87</v>
      </c>
      <c r="C134" s="18" t="s">
        <v>280</v>
      </c>
      <c r="D134" s="17" t="s">
        <v>43</v>
      </c>
      <c r="E134" s="17" t="s">
        <v>293</v>
      </c>
      <c r="F134" s="17" t="s">
        <v>79</v>
      </c>
      <c r="G134" s="298"/>
      <c r="H134" s="138"/>
      <c r="I134" s="138"/>
      <c r="J134" s="138"/>
      <c r="K134" s="138"/>
      <c r="L134" s="138"/>
      <c r="M134" s="138"/>
      <c r="N134" s="138"/>
      <c r="O134" s="139"/>
      <c r="P134" s="138"/>
      <c r="Q134" s="107"/>
      <c r="R134" s="107"/>
    </row>
    <row r="135" spans="1:18" ht="15" customHeight="1">
      <c r="A135" s="17" t="s">
        <v>38</v>
      </c>
      <c r="B135" s="17" t="s">
        <v>39</v>
      </c>
      <c r="C135" s="18" t="s">
        <v>257</v>
      </c>
      <c r="D135" s="17" t="s">
        <v>43</v>
      </c>
      <c r="E135" s="17" t="s">
        <v>294</v>
      </c>
      <c r="F135" s="17" t="s">
        <v>133</v>
      </c>
      <c r="G135" s="298"/>
      <c r="H135" s="138"/>
      <c r="I135" s="138"/>
      <c r="J135" s="138"/>
      <c r="K135" s="138"/>
      <c r="L135" s="138"/>
      <c r="M135" s="138"/>
      <c r="N135" s="138"/>
      <c r="O135" s="139"/>
      <c r="P135" s="138"/>
      <c r="Q135" s="107"/>
      <c r="R135" s="107"/>
    </row>
    <row r="136" spans="1:18" ht="15" customHeight="1">
      <c r="A136" s="17" t="s">
        <v>26</v>
      </c>
      <c r="B136" s="17" t="s">
        <v>27</v>
      </c>
      <c r="C136" s="18" t="s">
        <v>255</v>
      </c>
      <c r="D136" s="17" t="s">
        <v>31</v>
      </c>
      <c r="E136" s="17" t="s">
        <v>270</v>
      </c>
      <c r="F136" s="17" t="s">
        <v>133</v>
      </c>
      <c r="G136" s="298"/>
      <c r="H136" s="138"/>
      <c r="I136" s="138"/>
      <c r="J136" s="138"/>
      <c r="K136" s="138"/>
      <c r="L136" s="138"/>
      <c r="M136" s="138"/>
      <c r="N136" s="138"/>
      <c r="O136" s="139"/>
      <c r="P136" s="138"/>
      <c r="Q136" s="107"/>
      <c r="R136" s="107"/>
    </row>
    <row r="137" spans="1:18" ht="15" customHeight="1">
      <c r="A137" s="17" t="s">
        <v>61</v>
      </c>
      <c r="B137" s="17" t="s">
        <v>62</v>
      </c>
      <c r="C137" s="18" t="s">
        <v>243</v>
      </c>
      <c r="D137" s="17" t="s">
        <v>63</v>
      </c>
      <c r="E137" s="17" t="s">
        <v>278</v>
      </c>
      <c r="F137" s="17" t="s">
        <v>64</v>
      </c>
      <c r="G137" s="298"/>
      <c r="H137" s="138"/>
      <c r="I137" s="138"/>
      <c r="J137" s="138"/>
      <c r="K137" s="138"/>
      <c r="L137" s="138"/>
      <c r="M137" s="138"/>
      <c r="N137" s="138"/>
      <c r="O137" s="139"/>
      <c r="P137" s="138"/>
      <c r="Q137" s="107"/>
      <c r="R137" s="107"/>
    </row>
    <row r="138" spans="1:18" ht="15" customHeight="1">
      <c r="A138" s="17" t="s">
        <v>26</v>
      </c>
      <c r="B138" s="17" t="s">
        <v>27</v>
      </c>
      <c r="C138" s="18" t="s">
        <v>255</v>
      </c>
      <c r="D138" s="17" t="s">
        <v>34</v>
      </c>
      <c r="E138" s="17" t="s">
        <v>270</v>
      </c>
      <c r="F138" s="17" t="s">
        <v>150</v>
      </c>
      <c r="G138" s="298"/>
      <c r="H138" s="138"/>
      <c r="I138" s="138"/>
      <c r="J138" s="138"/>
      <c r="K138" s="138"/>
      <c r="L138" s="138"/>
      <c r="M138" s="138"/>
      <c r="N138" s="138"/>
      <c r="O138" s="139"/>
      <c r="P138" s="138"/>
      <c r="Q138" s="107"/>
      <c r="R138" s="107"/>
    </row>
    <row r="139" spans="1:18" ht="15" customHeight="1">
      <c r="A139" s="17" t="s">
        <v>48</v>
      </c>
      <c r="B139" s="17" t="s">
        <v>58</v>
      </c>
      <c r="C139" s="18" t="s">
        <v>260</v>
      </c>
      <c r="D139" s="17" t="s">
        <v>50</v>
      </c>
      <c r="E139" s="17" t="s">
        <v>269</v>
      </c>
      <c r="F139" s="17" t="s">
        <v>109</v>
      </c>
      <c r="G139" s="298"/>
      <c r="H139" s="138"/>
      <c r="I139" s="138"/>
      <c r="J139" s="138"/>
      <c r="K139" s="138"/>
      <c r="L139" s="138"/>
      <c r="M139" s="138"/>
      <c r="N139" s="138"/>
      <c r="O139" s="139"/>
      <c r="P139" s="138"/>
      <c r="Q139" s="107"/>
      <c r="R139" s="107"/>
    </row>
    <row r="140" spans="1:18" ht="15" customHeight="1" thickBot="1">
      <c r="A140" s="30" t="s">
        <v>68</v>
      </c>
      <c r="B140" s="30" t="s">
        <v>74</v>
      </c>
      <c r="C140" s="31" t="s">
        <v>282</v>
      </c>
      <c r="D140" s="30" t="s">
        <v>70</v>
      </c>
      <c r="E140" s="30" t="s">
        <v>269</v>
      </c>
      <c r="F140" s="30" t="s">
        <v>71</v>
      </c>
      <c r="G140" s="299"/>
      <c r="H140" s="140"/>
      <c r="I140" s="140"/>
      <c r="J140" s="140"/>
      <c r="K140" s="140"/>
      <c r="L140" s="140"/>
      <c r="M140" s="140"/>
      <c r="N140" s="140"/>
      <c r="O140" s="141"/>
      <c r="P140" s="140"/>
      <c r="Q140" s="142"/>
      <c r="R140" s="142"/>
    </row>
    <row r="141" spans="1:18" ht="17.45" customHeight="1" thickBot="1">
      <c r="A141" s="283"/>
      <c r="B141" s="284"/>
      <c r="C141" s="284"/>
      <c r="D141" s="284"/>
      <c r="E141" s="284"/>
      <c r="F141" s="284"/>
      <c r="G141" s="284"/>
      <c r="H141" s="284"/>
      <c r="I141" s="284"/>
      <c r="J141" s="284"/>
      <c r="K141" s="284"/>
      <c r="L141" s="284"/>
      <c r="M141" s="284"/>
      <c r="N141" s="284"/>
      <c r="O141" s="284"/>
      <c r="P141" s="284"/>
      <c r="Q141" s="284"/>
      <c r="R141" s="285"/>
    </row>
    <row r="142" spans="1:18" ht="22.15" customHeight="1" thickTop="1" thickBot="1">
      <c r="A142" s="279" t="s">
        <v>6</v>
      </c>
      <c r="B142" s="295"/>
      <c r="C142" s="295"/>
      <c r="D142" s="295"/>
      <c r="E142" s="295"/>
      <c r="F142" s="296"/>
      <c r="G142" s="32">
        <v>46036</v>
      </c>
      <c r="H142" s="278" t="s">
        <v>7</v>
      </c>
      <c r="I142" s="295"/>
      <c r="J142" s="295"/>
      <c r="K142" s="295"/>
      <c r="L142" s="295"/>
      <c r="M142" s="295"/>
      <c r="N142" s="295"/>
      <c r="O142" s="295"/>
      <c r="P142" s="295"/>
      <c r="Q142" s="295"/>
      <c r="R142" s="296"/>
    </row>
    <row r="143" spans="1:18" ht="24" customHeight="1">
      <c r="A143" s="33" t="s">
        <v>8</v>
      </c>
      <c r="B143" s="33" t="s">
        <v>9</v>
      </c>
      <c r="C143" s="34" t="s">
        <v>10</v>
      </c>
      <c r="D143" s="33" t="s">
        <v>11</v>
      </c>
      <c r="E143" s="33" t="s">
        <v>12</v>
      </c>
      <c r="F143" s="35" t="s">
        <v>13</v>
      </c>
      <c r="G143" s="36" t="s">
        <v>14</v>
      </c>
      <c r="H143" s="33" t="s">
        <v>15</v>
      </c>
      <c r="I143" s="37" t="s">
        <v>16</v>
      </c>
      <c r="J143" s="38" t="s">
        <v>17</v>
      </c>
      <c r="K143" s="39" t="s">
        <v>18</v>
      </c>
      <c r="L143" s="38" t="s">
        <v>19</v>
      </c>
      <c r="M143" s="38" t="s">
        <v>20</v>
      </c>
      <c r="N143" s="38" t="s">
        <v>21</v>
      </c>
      <c r="O143" s="33" t="s">
        <v>22</v>
      </c>
      <c r="P143" s="34" t="s">
        <v>23</v>
      </c>
      <c r="Q143" s="38" t="s">
        <v>24</v>
      </c>
      <c r="R143" s="33" t="s">
        <v>25</v>
      </c>
    </row>
    <row r="144" spans="1:18" ht="15" customHeight="1">
      <c r="A144" s="49" t="s">
        <v>61</v>
      </c>
      <c r="B144" s="49" t="s">
        <v>262</v>
      </c>
      <c r="C144" s="50">
        <v>0.77777777777777779</v>
      </c>
      <c r="D144" s="49" t="s">
        <v>63</v>
      </c>
      <c r="E144" s="49" t="s">
        <v>51</v>
      </c>
      <c r="F144" s="49" t="s">
        <v>64</v>
      </c>
      <c r="G144" s="297"/>
      <c r="H144" s="51" t="s">
        <v>263</v>
      </c>
      <c r="I144" s="52">
        <v>0</v>
      </c>
      <c r="J144" s="53">
        <v>0</v>
      </c>
      <c r="K144" s="54" t="s">
        <v>66</v>
      </c>
      <c r="L144" s="53">
        <v>0</v>
      </c>
      <c r="M144" s="53">
        <v>0</v>
      </c>
      <c r="N144" s="53">
        <v>0</v>
      </c>
      <c r="O144" s="55" t="s">
        <v>67</v>
      </c>
      <c r="P144" s="56">
        <v>0.77777777777777779</v>
      </c>
      <c r="Q144" s="53">
        <v>180</v>
      </c>
      <c r="R144" s="57" t="s">
        <v>66</v>
      </c>
    </row>
    <row r="145" spans="1:18" ht="18">
      <c r="A145" s="292" t="s">
        <v>266</v>
      </c>
      <c r="B145" s="303"/>
      <c r="C145" s="303"/>
      <c r="D145" s="303"/>
      <c r="E145" s="303"/>
      <c r="F145" s="304"/>
      <c r="G145" s="298"/>
      <c r="H145" s="138"/>
      <c r="I145" s="138"/>
      <c r="J145" s="138"/>
      <c r="K145" s="138"/>
      <c r="L145" s="138"/>
      <c r="M145" s="138"/>
      <c r="N145" s="138"/>
      <c r="O145" s="139"/>
      <c r="P145" s="138"/>
      <c r="Q145" s="107"/>
      <c r="R145" s="107"/>
    </row>
    <row r="146" spans="1:18" ht="15" customHeight="1">
      <c r="A146" s="17" t="s">
        <v>38</v>
      </c>
      <c r="B146" s="17" t="s">
        <v>39</v>
      </c>
      <c r="C146" s="18" t="s">
        <v>257</v>
      </c>
      <c r="D146" s="17" t="s">
        <v>40</v>
      </c>
      <c r="E146" s="17" t="s">
        <v>295</v>
      </c>
      <c r="F146" s="17" t="s">
        <v>131</v>
      </c>
      <c r="G146" s="298"/>
      <c r="H146" s="138"/>
      <c r="I146" s="138"/>
      <c r="J146" s="138"/>
      <c r="K146" s="138"/>
      <c r="L146" s="138"/>
      <c r="M146" s="138"/>
      <c r="N146" s="138"/>
      <c r="O146" s="139"/>
      <c r="P146" s="138"/>
      <c r="Q146" s="107"/>
      <c r="R146" s="107"/>
    </row>
    <row r="147" spans="1:18" ht="15" customHeight="1">
      <c r="A147" s="17" t="s">
        <v>26</v>
      </c>
      <c r="B147" s="17" t="s">
        <v>27</v>
      </c>
      <c r="C147" s="18" t="s">
        <v>255</v>
      </c>
      <c r="D147" s="17" t="s">
        <v>28</v>
      </c>
      <c r="E147" s="17" t="s">
        <v>270</v>
      </c>
      <c r="F147" s="17" t="s">
        <v>149</v>
      </c>
      <c r="G147" s="298"/>
      <c r="H147" s="138"/>
      <c r="I147" s="138"/>
      <c r="J147" s="138"/>
      <c r="K147" s="138"/>
      <c r="L147" s="138"/>
      <c r="M147" s="138"/>
      <c r="N147" s="138"/>
      <c r="O147" s="139"/>
      <c r="P147" s="138"/>
      <c r="Q147" s="107"/>
      <c r="R147" s="107"/>
    </row>
    <row r="148" spans="1:18" ht="15" customHeight="1">
      <c r="A148" s="17" t="s">
        <v>48</v>
      </c>
      <c r="B148" s="17" t="s">
        <v>49</v>
      </c>
      <c r="C148" s="18" t="s">
        <v>276</v>
      </c>
      <c r="D148" s="17" t="s">
        <v>50</v>
      </c>
      <c r="E148" s="17" t="s">
        <v>288</v>
      </c>
      <c r="F148" s="17" t="s">
        <v>96</v>
      </c>
      <c r="G148" s="298"/>
      <c r="H148" s="138"/>
      <c r="I148" s="138"/>
      <c r="J148" s="138"/>
      <c r="K148" s="138"/>
      <c r="L148" s="138"/>
      <c r="M148" s="138"/>
      <c r="N148" s="138"/>
      <c r="O148" s="139"/>
      <c r="P148" s="138"/>
      <c r="Q148" s="107"/>
      <c r="R148" s="107"/>
    </row>
    <row r="149" spans="1:18" ht="15" customHeight="1">
      <c r="A149" s="17" t="s">
        <v>38</v>
      </c>
      <c r="B149" s="17" t="s">
        <v>39</v>
      </c>
      <c r="C149" s="18" t="s">
        <v>257</v>
      </c>
      <c r="D149" s="17" t="s">
        <v>43</v>
      </c>
      <c r="E149" s="17" t="s">
        <v>295</v>
      </c>
      <c r="F149" s="17" t="s">
        <v>133</v>
      </c>
      <c r="G149" s="298"/>
      <c r="H149" s="138"/>
      <c r="I149" s="138"/>
      <c r="J149" s="138"/>
      <c r="K149" s="138"/>
      <c r="L149" s="138"/>
      <c r="M149" s="138"/>
      <c r="N149" s="138"/>
      <c r="O149" s="139"/>
      <c r="P149" s="138"/>
      <c r="Q149" s="107"/>
      <c r="R149" s="107"/>
    </row>
    <row r="150" spans="1:18" ht="15" customHeight="1">
      <c r="A150" s="17" t="s">
        <v>26</v>
      </c>
      <c r="B150" s="17" t="s">
        <v>27</v>
      </c>
      <c r="C150" s="18" t="s">
        <v>255</v>
      </c>
      <c r="D150" s="17" t="s">
        <v>31</v>
      </c>
      <c r="E150" s="17" t="s">
        <v>270</v>
      </c>
      <c r="F150" s="17" t="s">
        <v>133</v>
      </c>
      <c r="G150" s="298"/>
      <c r="H150" s="138"/>
      <c r="I150" s="138"/>
      <c r="J150" s="138"/>
      <c r="K150" s="138"/>
      <c r="L150" s="138"/>
      <c r="M150" s="138"/>
      <c r="N150" s="138"/>
      <c r="O150" s="139"/>
      <c r="P150" s="138"/>
      <c r="Q150" s="107"/>
      <c r="R150" s="107"/>
    </row>
    <row r="151" spans="1:18" ht="15" customHeight="1">
      <c r="A151" s="17" t="s">
        <v>48</v>
      </c>
      <c r="B151" s="17" t="s">
        <v>49</v>
      </c>
      <c r="C151" s="18" t="s">
        <v>276</v>
      </c>
      <c r="D151" s="17" t="s">
        <v>53</v>
      </c>
      <c r="E151" s="17" t="s">
        <v>288</v>
      </c>
      <c r="F151" s="17" t="s">
        <v>97</v>
      </c>
      <c r="G151" s="298"/>
      <c r="H151" s="138"/>
      <c r="I151" s="138"/>
      <c r="J151" s="138"/>
      <c r="K151" s="138"/>
      <c r="L151" s="138"/>
      <c r="M151" s="138"/>
      <c r="N151" s="138"/>
      <c r="O151" s="139"/>
      <c r="P151" s="138"/>
      <c r="Q151" s="107"/>
      <c r="R151" s="107"/>
    </row>
    <row r="152" spans="1:18" ht="15" customHeight="1">
      <c r="A152" s="17" t="s">
        <v>26</v>
      </c>
      <c r="B152" s="17" t="s">
        <v>27</v>
      </c>
      <c r="C152" s="18" t="s">
        <v>255</v>
      </c>
      <c r="D152" s="17" t="s">
        <v>34</v>
      </c>
      <c r="E152" s="17" t="s">
        <v>270</v>
      </c>
      <c r="F152" s="17" t="s">
        <v>150</v>
      </c>
      <c r="G152" s="298"/>
      <c r="H152" s="138"/>
      <c r="I152" s="138"/>
      <c r="J152" s="138"/>
      <c r="K152" s="138"/>
      <c r="L152" s="138"/>
      <c r="M152" s="138"/>
      <c r="N152" s="138"/>
      <c r="O152" s="139"/>
      <c r="P152" s="138"/>
      <c r="Q152" s="107"/>
      <c r="R152" s="107"/>
    </row>
    <row r="153" spans="1:18" ht="15" customHeight="1">
      <c r="A153" s="17" t="s">
        <v>68</v>
      </c>
      <c r="B153" s="17" t="s">
        <v>69</v>
      </c>
      <c r="C153" s="18" t="s">
        <v>271</v>
      </c>
      <c r="D153" s="17" t="s">
        <v>70</v>
      </c>
      <c r="E153" s="17" t="s">
        <v>269</v>
      </c>
      <c r="F153" s="17" t="s">
        <v>71</v>
      </c>
      <c r="G153" s="298"/>
      <c r="H153" s="138"/>
      <c r="I153" s="138"/>
      <c r="J153" s="138"/>
      <c r="K153" s="138"/>
      <c r="L153" s="138"/>
      <c r="M153" s="138"/>
      <c r="N153" s="138"/>
      <c r="O153" s="139"/>
      <c r="P153" s="138"/>
      <c r="Q153" s="107"/>
      <c r="R153" s="107"/>
    </row>
    <row r="154" spans="1:18" ht="15" customHeight="1">
      <c r="A154" s="17" t="s">
        <v>68</v>
      </c>
      <c r="B154" s="17" t="s">
        <v>76</v>
      </c>
      <c r="C154" s="18" t="s">
        <v>272</v>
      </c>
      <c r="D154" s="17" t="s">
        <v>70</v>
      </c>
      <c r="E154" s="17" t="s">
        <v>269</v>
      </c>
      <c r="F154" s="17" t="s">
        <v>71</v>
      </c>
      <c r="G154" s="298"/>
      <c r="H154" s="138"/>
      <c r="I154" s="138"/>
      <c r="J154" s="138"/>
      <c r="K154" s="138"/>
      <c r="L154" s="138"/>
      <c r="M154" s="138"/>
      <c r="N154" s="138"/>
      <c r="O154" s="139"/>
      <c r="P154" s="138"/>
      <c r="Q154" s="107"/>
      <c r="R154" s="107"/>
    </row>
    <row r="155" spans="1:18" ht="15" customHeight="1" thickBot="1">
      <c r="A155" s="30" t="s">
        <v>68</v>
      </c>
      <c r="B155" s="30" t="s">
        <v>72</v>
      </c>
      <c r="C155" s="31" t="s">
        <v>273</v>
      </c>
      <c r="D155" s="30" t="s">
        <v>70</v>
      </c>
      <c r="E155" s="30" t="s">
        <v>269</v>
      </c>
      <c r="F155" s="30" t="s">
        <v>71</v>
      </c>
      <c r="G155" s="299"/>
      <c r="H155" s="140"/>
      <c r="I155" s="140"/>
      <c r="J155" s="140"/>
      <c r="K155" s="140"/>
      <c r="L155" s="140"/>
      <c r="M155" s="140"/>
      <c r="N155" s="140"/>
      <c r="O155" s="141"/>
      <c r="P155" s="140"/>
      <c r="Q155" s="142"/>
      <c r="R155" s="142"/>
    </row>
    <row r="156" spans="1:18" ht="17.45" customHeight="1" thickBot="1">
      <c r="A156" s="283"/>
      <c r="B156" s="284"/>
      <c r="C156" s="284"/>
      <c r="D156" s="284"/>
      <c r="E156" s="284"/>
      <c r="F156" s="284"/>
      <c r="G156" s="284"/>
      <c r="H156" s="284"/>
      <c r="I156" s="284"/>
      <c r="J156" s="284"/>
      <c r="K156" s="284"/>
      <c r="L156" s="284"/>
      <c r="M156" s="284"/>
      <c r="N156" s="284"/>
      <c r="O156" s="284"/>
      <c r="P156" s="284"/>
      <c r="Q156" s="284"/>
      <c r="R156" s="285"/>
    </row>
    <row r="157" spans="1:18" ht="22.15" customHeight="1" thickTop="1" thickBot="1">
      <c r="A157" s="279" t="s">
        <v>6</v>
      </c>
      <c r="B157" s="295"/>
      <c r="C157" s="295"/>
      <c r="D157" s="295"/>
      <c r="E157" s="295"/>
      <c r="F157" s="296"/>
      <c r="G157" s="32">
        <v>46037</v>
      </c>
      <c r="H157" s="278" t="s">
        <v>7</v>
      </c>
      <c r="I157" s="295"/>
      <c r="J157" s="295"/>
      <c r="K157" s="295"/>
      <c r="L157" s="295"/>
      <c r="M157" s="295"/>
      <c r="N157" s="295"/>
      <c r="O157" s="295"/>
      <c r="P157" s="295"/>
      <c r="Q157" s="295"/>
      <c r="R157" s="296"/>
    </row>
    <row r="158" spans="1:18" ht="24" customHeight="1">
      <c r="A158" s="33" t="s">
        <v>8</v>
      </c>
      <c r="B158" s="33" t="s">
        <v>9</v>
      </c>
      <c r="C158" s="34" t="s">
        <v>10</v>
      </c>
      <c r="D158" s="33" t="s">
        <v>11</v>
      </c>
      <c r="E158" s="33" t="s">
        <v>12</v>
      </c>
      <c r="F158" s="35" t="s">
        <v>13</v>
      </c>
      <c r="G158" s="36" t="s">
        <v>14</v>
      </c>
      <c r="H158" s="33" t="s">
        <v>15</v>
      </c>
      <c r="I158" s="37" t="s">
        <v>16</v>
      </c>
      <c r="J158" s="38" t="s">
        <v>17</v>
      </c>
      <c r="K158" s="39" t="s">
        <v>18</v>
      </c>
      <c r="L158" s="38" t="s">
        <v>19</v>
      </c>
      <c r="M158" s="38" t="s">
        <v>20</v>
      </c>
      <c r="N158" s="38" t="s">
        <v>21</v>
      </c>
      <c r="O158" s="33" t="s">
        <v>22</v>
      </c>
      <c r="P158" s="34" t="s">
        <v>23</v>
      </c>
      <c r="Q158" s="38" t="s">
        <v>24</v>
      </c>
      <c r="R158" s="33" t="s">
        <v>25</v>
      </c>
    </row>
    <row r="159" spans="1:18" ht="15" customHeight="1">
      <c r="A159" s="21" t="s">
        <v>61</v>
      </c>
      <c r="B159" s="21" t="s">
        <v>262</v>
      </c>
      <c r="C159" s="22">
        <v>0.47916666666666669</v>
      </c>
      <c r="D159" s="21" t="s">
        <v>63</v>
      </c>
      <c r="E159" s="21" t="s">
        <v>51</v>
      </c>
      <c r="F159" s="21" t="s">
        <v>64</v>
      </c>
      <c r="G159" s="297"/>
      <c r="H159" s="23" t="s">
        <v>263</v>
      </c>
      <c r="I159" s="24">
        <v>5.5999999999999999E-3</v>
      </c>
      <c r="J159" s="25">
        <v>1</v>
      </c>
      <c r="K159" s="26">
        <v>46344</v>
      </c>
      <c r="L159" s="25">
        <v>1</v>
      </c>
      <c r="M159" s="25">
        <v>0</v>
      </c>
      <c r="N159" s="25">
        <v>0</v>
      </c>
      <c r="O159" s="27" t="s">
        <v>67</v>
      </c>
      <c r="P159" s="28">
        <v>0.47916666666666669</v>
      </c>
      <c r="Q159" s="25">
        <v>180</v>
      </c>
      <c r="R159" s="29" t="s">
        <v>128</v>
      </c>
    </row>
    <row r="160" spans="1:18" ht="18">
      <c r="A160" s="292" t="s">
        <v>266</v>
      </c>
      <c r="B160" s="303"/>
      <c r="C160" s="303"/>
      <c r="D160" s="303"/>
      <c r="E160" s="303"/>
      <c r="F160" s="304"/>
      <c r="G160" s="298"/>
      <c r="H160" s="138"/>
      <c r="I160" s="138"/>
      <c r="J160" s="138"/>
      <c r="K160" s="138"/>
      <c r="L160" s="138"/>
      <c r="M160" s="138"/>
      <c r="N160" s="138"/>
      <c r="O160" s="139"/>
      <c r="P160" s="138"/>
      <c r="Q160" s="107"/>
      <c r="R160" s="107"/>
    </row>
    <row r="161" spans="1:18" ht="15" customHeight="1">
      <c r="A161" s="17" t="s">
        <v>38</v>
      </c>
      <c r="B161" s="17" t="s">
        <v>39</v>
      </c>
      <c r="C161" s="18" t="s">
        <v>257</v>
      </c>
      <c r="D161" s="17" t="s">
        <v>40</v>
      </c>
      <c r="E161" s="17" t="s">
        <v>294</v>
      </c>
      <c r="F161" s="17" t="s">
        <v>78</v>
      </c>
      <c r="G161" s="298"/>
      <c r="H161" s="138"/>
      <c r="I161" s="138"/>
      <c r="J161" s="138"/>
      <c r="K161" s="138"/>
      <c r="L161" s="138"/>
      <c r="M161" s="138"/>
      <c r="N161" s="138"/>
      <c r="O161" s="139"/>
      <c r="P161" s="138"/>
      <c r="Q161" s="107"/>
      <c r="R161" s="107"/>
    </row>
    <row r="162" spans="1:18" ht="15" customHeight="1">
      <c r="A162" s="17" t="s">
        <v>38</v>
      </c>
      <c r="B162" s="17" t="s">
        <v>87</v>
      </c>
      <c r="C162" s="18" t="s">
        <v>280</v>
      </c>
      <c r="D162" s="17" t="s">
        <v>40</v>
      </c>
      <c r="E162" s="17" t="s">
        <v>268</v>
      </c>
      <c r="F162" s="17" t="s">
        <v>78</v>
      </c>
      <c r="G162" s="298"/>
      <c r="H162" s="138"/>
      <c r="I162" s="138"/>
      <c r="J162" s="138"/>
      <c r="K162" s="138"/>
      <c r="L162" s="138"/>
      <c r="M162" s="138"/>
      <c r="N162" s="138"/>
      <c r="O162" s="139"/>
      <c r="P162" s="138"/>
      <c r="Q162" s="107"/>
      <c r="R162" s="107"/>
    </row>
    <row r="163" spans="1:18" ht="15" customHeight="1">
      <c r="A163" s="17" t="s">
        <v>26</v>
      </c>
      <c r="B163" s="17" t="s">
        <v>27</v>
      </c>
      <c r="C163" s="18" t="s">
        <v>255</v>
      </c>
      <c r="D163" s="17" t="s">
        <v>28</v>
      </c>
      <c r="E163" s="17" t="s">
        <v>270</v>
      </c>
      <c r="F163" s="17" t="s">
        <v>89</v>
      </c>
      <c r="G163" s="298"/>
      <c r="H163" s="138"/>
      <c r="I163" s="138"/>
      <c r="J163" s="138"/>
      <c r="K163" s="138"/>
      <c r="L163" s="138"/>
      <c r="M163" s="138"/>
      <c r="N163" s="138"/>
      <c r="O163" s="139"/>
      <c r="P163" s="138"/>
      <c r="Q163" s="107"/>
      <c r="R163" s="107"/>
    </row>
    <row r="164" spans="1:18" ht="15" customHeight="1">
      <c r="A164" s="17" t="s">
        <v>26</v>
      </c>
      <c r="B164" s="17" t="s">
        <v>36</v>
      </c>
      <c r="C164" s="18" t="s">
        <v>256</v>
      </c>
      <c r="D164" s="17" t="s">
        <v>28</v>
      </c>
      <c r="E164" s="17" t="s">
        <v>270</v>
      </c>
      <c r="F164" s="17" t="s">
        <v>89</v>
      </c>
      <c r="G164" s="298"/>
      <c r="H164" s="138"/>
      <c r="I164" s="138"/>
      <c r="J164" s="138"/>
      <c r="K164" s="138"/>
      <c r="L164" s="138"/>
      <c r="M164" s="138"/>
      <c r="N164" s="138"/>
      <c r="O164" s="139"/>
      <c r="P164" s="138"/>
      <c r="Q164" s="107"/>
      <c r="R164" s="107"/>
    </row>
    <row r="165" spans="1:18" ht="15" customHeight="1">
      <c r="A165" s="17" t="s">
        <v>38</v>
      </c>
      <c r="B165" s="17" t="s">
        <v>39</v>
      </c>
      <c r="C165" s="18" t="s">
        <v>257</v>
      </c>
      <c r="D165" s="17" t="s">
        <v>43</v>
      </c>
      <c r="E165" s="17" t="s">
        <v>294</v>
      </c>
      <c r="F165" s="17" t="s">
        <v>79</v>
      </c>
      <c r="G165" s="298"/>
      <c r="H165" s="138"/>
      <c r="I165" s="138"/>
      <c r="J165" s="138"/>
      <c r="K165" s="138"/>
      <c r="L165" s="138"/>
      <c r="M165" s="138"/>
      <c r="N165" s="138"/>
      <c r="O165" s="139"/>
      <c r="P165" s="138"/>
      <c r="Q165" s="107"/>
      <c r="R165" s="107"/>
    </row>
    <row r="166" spans="1:18" ht="15" customHeight="1">
      <c r="A166" s="17" t="s">
        <v>38</v>
      </c>
      <c r="B166" s="17" t="s">
        <v>87</v>
      </c>
      <c r="C166" s="18" t="s">
        <v>280</v>
      </c>
      <c r="D166" s="17" t="s">
        <v>43</v>
      </c>
      <c r="E166" s="17" t="s">
        <v>268</v>
      </c>
      <c r="F166" s="17" t="s">
        <v>79</v>
      </c>
      <c r="G166" s="298"/>
      <c r="H166" s="138"/>
      <c r="I166" s="138"/>
      <c r="J166" s="138"/>
      <c r="K166" s="138"/>
      <c r="L166" s="138"/>
      <c r="M166" s="138"/>
      <c r="N166" s="138"/>
      <c r="O166" s="139"/>
      <c r="P166" s="138"/>
      <c r="Q166" s="107"/>
      <c r="R166" s="107"/>
    </row>
    <row r="167" spans="1:18" ht="15" customHeight="1">
      <c r="A167" s="17" t="s">
        <v>26</v>
      </c>
      <c r="B167" s="17" t="s">
        <v>27</v>
      </c>
      <c r="C167" s="18" t="s">
        <v>255</v>
      </c>
      <c r="D167" s="17" t="s">
        <v>31</v>
      </c>
      <c r="E167" s="17" t="s">
        <v>270</v>
      </c>
      <c r="F167" s="17" t="s">
        <v>138</v>
      </c>
      <c r="G167" s="298"/>
      <c r="H167" s="138"/>
      <c r="I167" s="138"/>
      <c r="J167" s="138"/>
      <c r="K167" s="138"/>
      <c r="L167" s="138"/>
      <c r="M167" s="138"/>
      <c r="N167" s="138"/>
      <c r="O167" s="139"/>
      <c r="P167" s="138"/>
      <c r="Q167" s="107"/>
      <c r="R167" s="107"/>
    </row>
    <row r="168" spans="1:18" ht="15" customHeight="1">
      <c r="A168" s="17" t="s">
        <v>26</v>
      </c>
      <c r="B168" s="17" t="s">
        <v>36</v>
      </c>
      <c r="C168" s="18" t="s">
        <v>256</v>
      </c>
      <c r="D168" s="17" t="s">
        <v>31</v>
      </c>
      <c r="E168" s="17" t="s">
        <v>270</v>
      </c>
      <c r="F168" s="17" t="s">
        <v>138</v>
      </c>
      <c r="G168" s="298"/>
      <c r="H168" s="138"/>
      <c r="I168" s="138"/>
      <c r="J168" s="138"/>
      <c r="K168" s="138"/>
      <c r="L168" s="138"/>
      <c r="M168" s="138"/>
      <c r="N168" s="138"/>
      <c r="O168" s="139"/>
      <c r="P168" s="138"/>
      <c r="Q168" s="107"/>
      <c r="R168" s="107"/>
    </row>
    <row r="169" spans="1:18" ht="15" customHeight="1">
      <c r="A169" s="17" t="s">
        <v>61</v>
      </c>
      <c r="B169" s="17" t="s">
        <v>62</v>
      </c>
      <c r="C169" s="18" t="s">
        <v>231</v>
      </c>
      <c r="D169" s="17" t="s">
        <v>63</v>
      </c>
      <c r="E169" s="17" t="s">
        <v>269</v>
      </c>
      <c r="F169" s="17" t="s">
        <v>64</v>
      </c>
      <c r="G169" s="298"/>
      <c r="H169" s="138"/>
      <c r="I169" s="138"/>
      <c r="J169" s="138"/>
      <c r="K169" s="138"/>
      <c r="L169" s="138"/>
      <c r="M169" s="138"/>
      <c r="N169" s="138"/>
      <c r="O169" s="139"/>
      <c r="P169" s="138"/>
      <c r="Q169" s="107"/>
      <c r="R169" s="107"/>
    </row>
    <row r="170" spans="1:18" ht="15" customHeight="1" thickBot="1">
      <c r="A170" s="30" t="s">
        <v>48</v>
      </c>
      <c r="B170" s="30" t="s">
        <v>49</v>
      </c>
      <c r="C170" s="31" t="s">
        <v>258</v>
      </c>
      <c r="D170" s="30" t="s">
        <v>50</v>
      </c>
      <c r="E170" s="30" t="s">
        <v>269</v>
      </c>
      <c r="F170" s="30" t="s">
        <v>109</v>
      </c>
      <c r="G170" s="299"/>
      <c r="H170" s="140"/>
      <c r="I170" s="140"/>
      <c r="J170" s="140"/>
      <c r="K170" s="140"/>
      <c r="L170" s="140"/>
      <c r="M170" s="140"/>
      <c r="N170" s="140"/>
      <c r="O170" s="141"/>
      <c r="P170" s="140"/>
      <c r="Q170" s="142"/>
      <c r="R170" s="142"/>
    </row>
    <row r="171" spans="1:18" ht="17.45" customHeight="1" thickBot="1">
      <c r="A171" s="283"/>
      <c r="B171" s="284"/>
      <c r="C171" s="284"/>
      <c r="D171" s="284"/>
      <c r="E171" s="284"/>
      <c r="F171" s="284"/>
      <c r="G171" s="284"/>
      <c r="H171" s="284"/>
      <c r="I171" s="284"/>
      <c r="J171" s="284"/>
      <c r="K171" s="284"/>
      <c r="L171" s="284"/>
      <c r="M171" s="284"/>
      <c r="N171" s="284"/>
      <c r="O171" s="284"/>
      <c r="P171" s="284"/>
      <c r="Q171" s="284"/>
      <c r="R171" s="285"/>
    </row>
    <row r="172" spans="1:18" ht="22.15" customHeight="1" thickTop="1" thickBot="1">
      <c r="A172" s="279" t="s">
        <v>6</v>
      </c>
      <c r="B172" s="295"/>
      <c r="C172" s="295"/>
      <c r="D172" s="295"/>
      <c r="E172" s="295"/>
      <c r="F172" s="296"/>
      <c r="G172" s="32">
        <v>46038</v>
      </c>
      <c r="H172" s="278" t="s">
        <v>7</v>
      </c>
      <c r="I172" s="295"/>
      <c r="J172" s="295"/>
      <c r="K172" s="295"/>
      <c r="L172" s="295"/>
      <c r="M172" s="295"/>
      <c r="N172" s="295"/>
      <c r="O172" s="295"/>
      <c r="P172" s="295"/>
      <c r="Q172" s="295"/>
      <c r="R172" s="296"/>
    </row>
    <row r="173" spans="1:18" ht="24" customHeight="1">
      <c r="A173" s="33" t="s">
        <v>8</v>
      </c>
      <c r="B173" s="33" t="s">
        <v>9</v>
      </c>
      <c r="C173" s="34" t="s">
        <v>10</v>
      </c>
      <c r="D173" s="33" t="s">
        <v>11</v>
      </c>
      <c r="E173" s="33" t="s">
        <v>12</v>
      </c>
      <c r="F173" s="35" t="s">
        <v>13</v>
      </c>
      <c r="G173" s="36" t="s">
        <v>14</v>
      </c>
      <c r="H173" s="33" t="s">
        <v>15</v>
      </c>
      <c r="I173" s="37" t="s">
        <v>16</v>
      </c>
      <c r="J173" s="38" t="s">
        <v>17</v>
      </c>
      <c r="K173" s="39" t="s">
        <v>18</v>
      </c>
      <c r="L173" s="38" t="s">
        <v>19</v>
      </c>
      <c r="M173" s="38" t="s">
        <v>20</v>
      </c>
      <c r="N173" s="38" t="s">
        <v>21</v>
      </c>
      <c r="O173" s="33" t="s">
        <v>22</v>
      </c>
      <c r="P173" s="34" t="s">
        <v>23</v>
      </c>
      <c r="Q173" s="38" t="s">
        <v>24</v>
      </c>
      <c r="R173" s="33" t="s">
        <v>25</v>
      </c>
    </row>
    <row r="174" spans="1:18" ht="15" customHeight="1">
      <c r="A174" s="8" t="s">
        <v>68</v>
      </c>
      <c r="B174" s="8" t="s">
        <v>264</v>
      </c>
      <c r="C174" s="9">
        <v>0.3576388888888889</v>
      </c>
      <c r="D174" s="8" t="s">
        <v>70</v>
      </c>
      <c r="E174" s="8" t="s">
        <v>51</v>
      </c>
      <c r="F174" s="8" t="s">
        <v>296</v>
      </c>
      <c r="G174" s="297"/>
      <c r="H174" s="10"/>
      <c r="I174" s="11"/>
      <c r="J174" s="11"/>
      <c r="K174" s="11"/>
      <c r="L174" s="11"/>
      <c r="M174" s="11"/>
      <c r="N174" s="11"/>
      <c r="O174" s="12"/>
      <c r="P174" s="11"/>
      <c r="Q174" s="13"/>
      <c r="R174" s="14"/>
    </row>
    <row r="175" spans="1:18" ht="18">
      <c r="A175" s="292" t="s">
        <v>266</v>
      </c>
      <c r="B175" s="303"/>
      <c r="C175" s="303"/>
      <c r="D175" s="303"/>
      <c r="E175" s="303"/>
      <c r="F175" s="304"/>
      <c r="G175" s="298"/>
      <c r="H175" s="138"/>
      <c r="I175" s="138"/>
      <c r="J175" s="138"/>
      <c r="K175" s="138"/>
      <c r="L175" s="138"/>
      <c r="M175" s="138"/>
      <c r="N175" s="138"/>
      <c r="O175" s="139"/>
      <c r="P175" s="138"/>
      <c r="Q175" s="107"/>
      <c r="R175" s="107"/>
    </row>
    <row r="176" spans="1:18" ht="15" customHeight="1">
      <c r="A176" s="17" t="s">
        <v>38</v>
      </c>
      <c r="B176" s="17" t="s">
        <v>39</v>
      </c>
      <c r="C176" s="18" t="s">
        <v>257</v>
      </c>
      <c r="D176" s="17" t="s">
        <v>40</v>
      </c>
      <c r="E176" s="17" t="s">
        <v>268</v>
      </c>
      <c r="F176" s="17" t="s">
        <v>121</v>
      </c>
      <c r="G176" s="298"/>
      <c r="H176" s="138"/>
      <c r="I176" s="138"/>
      <c r="J176" s="138"/>
      <c r="K176" s="138"/>
      <c r="L176" s="138"/>
      <c r="M176" s="138"/>
      <c r="N176" s="138"/>
      <c r="O176" s="139"/>
      <c r="P176" s="138"/>
      <c r="Q176" s="107"/>
      <c r="R176" s="107"/>
    </row>
    <row r="177" spans="1:18" ht="15" customHeight="1">
      <c r="A177" s="17" t="s">
        <v>26</v>
      </c>
      <c r="B177" s="17" t="s">
        <v>27</v>
      </c>
      <c r="C177" s="18" t="s">
        <v>255</v>
      </c>
      <c r="D177" s="17" t="s">
        <v>28</v>
      </c>
      <c r="E177" s="17" t="s">
        <v>270</v>
      </c>
      <c r="F177" s="17" t="s">
        <v>159</v>
      </c>
      <c r="G177" s="298"/>
      <c r="H177" s="138"/>
      <c r="I177" s="138"/>
      <c r="J177" s="138"/>
      <c r="K177" s="138"/>
      <c r="L177" s="138"/>
      <c r="M177" s="138"/>
      <c r="N177" s="138"/>
      <c r="O177" s="139"/>
      <c r="P177" s="138"/>
      <c r="Q177" s="107"/>
      <c r="R177" s="107"/>
    </row>
    <row r="178" spans="1:18" ht="15" customHeight="1">
      <c r="A178" s="17" t="s">
        <v>38</v>
      </c>
      <c r="B178" s="17" t="s">
        <v>39</v>
      </c>
      <c r="C178" s="18" t="s">
        <v>257</v>
      </c>
      <c r="D178" s="17" t="s">
        <v>43</v>
      </c>
      <c r="E178" s="17" t="s">
        <v>268</v>
      </c>
      <c r="F178" s="17" t="s">
        <v>123</v>
      </c>
      <c r="G178" s="298"/>
      <c r="H178" s="138"/>
      <c r="I178" s="138"/>
      <c r="J178" s="138"/>
      <c r="K178" s="138"/>
      <c r="L178" s="138"/>
      <c r="M178" s="138"/>
      <c r="N178" s="138"/>
      <c r="O178" s="139"/>
      <c r="P178" s="138"/>
      <c r="Q178" s="107"/>
      <c r="R178" s="107"/>
    </row>
    <row r="179" spans="1:18" ht="15" customHeight="1">
      <c r="A179" s="17" t="s">
        <v>26</v>
      </c>
      <c r="B179" s="17" t="s">
        <v>27</v>
      </c>
      <c r="C179" s="18" t="s">
        <v>255</v>
      </c>
      <c r="D179" s="17" t="s">
        <v>31</v>
      </c>
      <c r="E179" s="17" t="s">
        <v>270</v>
      </c>
      <c r="F179" s="17" t="s">
        <v>139</v>
      </c>
      <c r="G179" s="298"/>
      <c r="H179" s="138"/>
      <c r="I179" s="138"/>
      <c r="J179" s="138"/>
      <c r="K179" s="138"/>
      <c r="L179" s="138"/>
      <c r="M179" s="138"/>
      <c r="N179" s="138"/>
      <c r="O179" s="139"/>
      <c r="P179" s="138"/>
      <c r="Q179" s="107"/>
      <c r="R179" s="107"/>
    </row>
    <row r="180" spans="1:18" ht="15" customHeight="1">
      <c r="A180" s="17" t="s">
        <v>26</v>
      </c>
      <c r="B180" s="17" t="s">
        <v>27</v>
      </c>
      <c r="C180" s="18" t="s">
        <v>255</v>
      </c>
      <c r="D180" s="17" t="s">
        <v>34</v>
      </c>
      <c r="E180" s="17" t="s">
        <v>270</v>
      </c>
      <c r="F180" s="17" t="s">
        <v>160</v>
      </c>
      <c r="G180" s="298"/>
      <c r="H180" s="138"/>
      <c r="I180" s="138"/>
      <c r="J180" s="138"/>
      <c r="K180" s="138"/>
      <c r="L180" s="138"/>
      <c r="M180" s="138"/>
      <c r="N180" s="138"/>
      <c r="O180" s="139"/>
      <c r="P180" s="138"/>
      <c r="Q180" s="107"/>
      <c r="R180" s="107"/>
    </row>
    <row r="181" spans="1:18" ht="15" customHeight="1">
      <c r="A181" s="17" t="s">
        <v>38</v>
      </c>
      <c r="B181" s="17" t="s">
        <v>39</v>
      </c>
      <c r="C181" s="18" t="s">
        <v>257</v>
      </c>
      <c r="D181" s="17" t="s">
        <v>46</v>
      </c>
      <c r="E181" s="17" t="s">
        <v>268</v>
      </c>
      <c r="F181" s="17" t="s">
        <v>47</v>
      </c>
      <c r="G181" s="298"/>
      <c r="H181" s="138"/>
      <c r="I181" s="138"/>
      <c r="J181" s="138"/>
      <c r="K181" s="138"/>
      <c r="L181" s="138"/>
      <c r="M181" s="138"/>
      <c r="N181" s="138"/>
      <c r="O181" s="139"/>
      <c r="P181" s="138"/>
      <c r="Q181" s="107"/>
      <c r="R181" s="107"/>
    </row>
    <row r="182" spans="1:18" ht="15" customHeight="1">
      <c r="A182" s="17" t="s">
        <v>68</v>
      </c>
      <c r="B182" s="17" t="s">
        <v>74</v>
      </c>
      <c r="C182" s="18" t="s">
        <v>282</v>
      </c>
      <c r="D182" s="17" t="s">
        <v>70</v>
      </c>
      <c r="E182" s="17" t="s">
        <v>269</v>
      </c>
      <c r="F182" s="17" t="s">
        <v>75</v>
      </c>
      <c r="G182" s="298"/>
      <c r="H182" s="138"/>
      <c r="I182" s="138"/>
      <c r="J182" s="138"/>
      <c r="K182" s="138"/>
      <c r="L182" s="138"/>
      <c r="M182" s="138"/>
      <c r="N182" s="138"/>
      <c r="O182" s="139"/>
      <c r="P182" s="138"/>
      <c r="Q182" s="107"/>
      <c r="R182" s="107"/>
    </row>
    <row r="183" spans="1:18" ht="15" customHeight="1">
      <c r="A183" s="17" t="s">
        <v>68</v>
      </c>
      <c r="B183" s="17" t="s">
        <v>69</v>
      </c>
      <c r="C183" s="18" t="s">
        <v>271</v>
      </c>
      <c r="D183" s="17" t="s">
        <v>70</v>
      </c>
      <c r="E183" s="17" t="s">
        <v>269</v>
      </c>
      <c r="F183" s="17" t="s">
        <v>75</v>
      </c>
      <c r="G183" s="298"/>
      <c r="H183" s="138"/>
      <c r="I183" s="138"/>
      <c r="J183" s="138"/>
      <c r="K183" s="138"/>
      <c r="L183" s="138"/>
      <c r="M183" s="138"/>
      <c r="N183" s="138"/>
      <c r="O183" s="139"/>
      <c r="P183" s="138"/>
      <c r="Q183" s="107"/>
      <c r="R183" s="107"/>
    </row>
    <row r="184" spans="1:18" ht="15" customHeight="1">
      <c r="A184" s="17" t="s">
        <v>68</v>
      </c>
      <c r="B184" s="17" t="s">
        <v>76</v>
      </c>
      <c r="C184" s="18" t="s">
        <v>272</v>
      </c>
      <c r="D184" s="17" t="s">
        <v>70</v>
      </c>
      <c r="E184" s="17" t="s">
        <v>269</v>
      </c>
      <c r="F184" s="17" t="s">
        <v>75</v>
      </c>
      <c r="G184" s="298"/>
      <c r="H184" s="138"/>
      <c r="I184" s="138"/>
      <c r="J184" s="138"/>
      <c r="K184" s="138"/>
      <c r="L184" s="138"/>
      <c r="M184" s="138"/>
      <c r="N184" s="138"/>
      <c r="O184" s="139"/>
      <c r="P184" s="138"/>
      <c r="Q184" s="107"/>
      <c r="R184" s="107"/>
    </row>
    <row r="185" spans="1:18" ht="15" customHeight="1" thickBot="1">
      <c r="A185" s="30" t="s">
        <v>68</v>
      </c>
      <c r="B185" s="30" t="s">
        <v>72</v>
      </c>
      <c r="C185" s="31" t="s">
        <v>273</v>
      </c>
      <c r="D185" s="30" t="s">
        <v>70</v>
      </c>
      <c r="E185" s="30" t="s">
        <v>269</v>
      </c>
      <c r="F185" s="30" t="s">
        <v>75</v>
      </c>
      <c r="G185" s="299"/>
      <c r="H185" s="140"/>
      <c r="I185" s="140"/>
      <c r="J185" s="140"/>
      <c r="K185" s="140"/>
      <c r="L185" s="140"/>
      <c r="M185" s="140"/>
      <c r="N185" s="140"/>
      <c r="O185" s="141"/>
      <c r="P185" s="140"/>
      <c r="Q185" s="142"/>
      <c r="R185" s="142"/>
    </row>
    <row r="186" spans="1:18" ht="17.45" customHeight="1" thickBot="1">
      <c r="A186" s="283"/>
      <c r="B186" s="284"/>
      <c r="C186" s="284"/>
      <c r="D186" s="284"/>
      <c r="E186" s="284"/>
      <c r="F186" s="284"/>
      <c r="G186" s="284"/>
      <c r="H186" s="284"/>
      <c r="I186" s="284"/>
      <c r="J186" s="284"/>
      <c r="K186" s="284"/>
      <c r="L186" s="284"/>
      <c r="M186" s="284"/>
      <c r="N186" s="284"/>
      <c r="O186" s="284"/>
      <c r="P186" s="284"/>
      <c r="Q186" s="284"/>
      <c r="R186" s="285"/>
    </row>
    <row r="187" spans="1:18" ht="22.15" customHeight="1" thickTop="1" thickBot="1">
      <c r="A187" s="279" t="s">
        <v>6</v>
      </c>
      <c r="B187" s="295"/>
      <c r="C187" s="295"/>
      <c r="D187" s="295"/>
      <c r="E187" s="295"/>
      <c r="F187" s="296"/>
      <c r="G187" s="32">
        <v>46040</v>
      </c>
      <c r="H187" s="278" t="s">
        <v>7</v>
      </c>
      <c r="I187" s="295"/>
      <c r="J187" s="295"/>
      <c r="K187" s="295"/>
      <c r="L187" s="295"/>
      <c r="M187" s="295"/>
      <c r="N187" s="295"/>
      <c r="O187" s="295"/>
      <c r="P187" s="295"/>
      <c r="Q187" s="295"/>
      <c r="R187" s="296"/>
    </row>
    <row r="188" spans="1:18" ht="24" customHeight="1">
      <c r="A188" s="33" t="s">
        <v>8</v>
      </c>
      <c r="B188" s="33" t="s">
        <v>9</v>
      </c>
      <c r="C188" s="34" t="s">
        <v>10</v>
      </c>
      <c r="D188" s="33" t="s">
        <v>11</v>
      </c>
      <c r="E188" s="33" t="s">
        <v>12</v>
      </c>
      <c r="F188" s="35" t="s">
        <v>13</v>
      </c>
      <c r="G188" s="36" t="s">
        <v>14</v>
      </c>
      <c r="H188" s="33" t="s">
        <v>15</v>
      </c>
      <c r="I188" s="37" t="s">
        <v>16</v>
      </c>
      <c r="J188" s="38" t="s">
        <v>17</v>
      </c>
      <c r="K188" s="39" t="s">
        <v>18</v>
      </c>
      <c r="L188" s="38" t="s">
        <v>19</v>
      </c>
      <c r="M188" s="38" t="s">
        <v>20</v>
      </c>
      <c r="N188" s="38" t="s">
        <v>21</v>
      </c>
      <c r="O188" s="33" t="s">
        <v>22</v>
      </c>
      <c r="P188" s="34" t="s">
        <v>23</v>
      </c>
      <c r="Q188" s="38" t="s">
        <v>24</v>
      </c>
      <c r="R188" s="33" t="s">
        <v>25</v>
      </c>
    </row>
    <row r="189" spans="1:18" ht="15" customHeight="1">
      <c r="A189" s="40" t="s">
        <v>61</v>
      </c>
      <c r="B189" s="40" t="s">
        <v>262</v>
      </c>
      <c r="C189" s="41">
        <v>0.2361111111111111</v>
      </c>
      <c r="D189" s="40" t="s">
        <v>63</v>
      </c>
      <c r="E189" s="40" t="s">
        <v>107</v>
      </c>
      <c r="F189" s="40" t="s">
        <v>64</v>
      </c>
      <c r="G189" s="297"/>
      <c r="H189" s="42" t="s">
        <v>263</v>
      </c>
      <c r="I189" s="43">
        <v>1.67E-2</v>
      </c>
      <c r="J189" s="44">
        <v>3</v>
      </c>
      <c r="K189" s="45">
        <v>46344</v>
      </c>
      <c r="L189" s="44">
        <v>4</v>
      </c>
      <c r="M189" s="44">
        <v>0</v>
      </c>
      <c r="N189" s="44">
        <v>0</v>
      </c>
      <c r="O189" s="46" t="s">
        <v>183</v>
      </c>
      <c r="P189" s="47">
        <v>0.2361111111111111</v>
      </c>
      <c r="Q189" s="44">
        <v>180</v>
      </c>
      <c r="R189" s="48" t="s">
        <v>184</v>
      </c>
    </row>
    <row r="190" spans="1:18" ht="15" customHeight="1">
      <c r="A190" s="19" t="s">
        <v>68</v>
      </c>
      <c r="B190" s="19" t="s">
        <v>264</v>
      </c>
      <c r="C190" s="20">
        <v>0.3576388888888889</v>
      </c>
      <c r="D190" s="19" t="s">
        <v>70</v>
      </c>
      <c r="E190" s="19" t="s">
        <v>51</v>
      </c>
      <c r="F190" s="19" t="s">
        <v>297</v>
      </c>
      <c r="G190" s="298"/>
      <c r="H190" s="10"/>
      <c r="I190" s="11"/>
      <c r="J190" s="11"/>
      <c r="K190" s="11"/>
      <c r="L190" s="11"/>
      <c r="M190" s="11"/>
      <c r="N190" s="11"/>
      <c r="O190" s="12"/>
      <c r="P190" s="11"/>
      <c r="Q190" s="13"/>
      <c r="R190" s="14"/>
    </row>
    <row r="191" spans="1:18" ht="18">
      <c r="A191" s="292" t="s">
        <v>266</v>
      </c>
      <c r="B191" s="303"/>
      <c r="C191" s="303"/>
      <c r="D191" s="303"/>
      <c r="E191" s="303"/>
      <c r="F191" s="304"/>
      <c r="G191" s="298"/>
      <c r="H191" s="138"/>
      <c r="I191" s="138"/>
      <c r="J191" s="138"/>
      <c r="K191" s="138"/>
      <c r="L191" s="138"/>
      <c r="M191" s="138"/>
      <c r="N191" s="138"/>
      <c r="O191" s="139"/>
      <c r="P191" s="138"/>
      <c r="Q191" s="107"/>
      <c r="R191" s="107"/>
    </row>
    <row r="192" spans="1:18" ht="15" customHeight="1">
      <c r="A192" s="17" t="s">
        <v>38</v>
      </c>
      <c r="B192" s="17" t="s">
        <v>39</v>
      </c>
      <c r="C192" s="18" t="s">
        <v>257</v>
      </c>
      <c r="D192" s="17" t="s">
        <v>40</v>
      </c>
      <c r="E192" s="17" t="s">
        <v>288</v>
      </c>
      <c r="F192" s="17" t="s">
        <v>78</v>
      </c>
      <c r="G192" s="298"/>
      <c r="H192" s="138"/>
      <c r="I192" s="138"/>
      <c r="J192" s="138"/>
      <c r="K192" s="138"/>
      <c r="L192" s="138"/>
      <c r="M192" s="138"/>
      <c r="N192" s="138"/>
      <c r="O192" s="139"/>
      <c r="P192" s="138"/>
      <c r="Q192" s="107"/>
      <c r="R192" s="107"/>
    </row>
    <row r="193" spans="1:18" ht="15" customHeight="1">
      <c r="A193" s="17" t="s">
        <v>38</v>
      </c>
      <c r="B193" s="17" t="s">
        <v>39</v>
      </c>
      <c r="C193" s="18" t="s">
        <v>257</v>
      </c>
      <c r="D193" s="17" t="s">
        <v>43</v>
      </c>
      <c r="E193" s="17" t="s">
        <v>288</v>
      </c>
      <c r="F193" s="17" t="s">
        <v>79</v>
      </c>
      <c r="G193" s="298"/>
      <c r="H193" s="138"/>
      <c r="I193" s="138"/>
      <c r="J193" s="138"/>
      <c r="K193" s="138"/>
      <c r="L193" s="138"/>
      <c r="M193" s="138"/>
      <c r="N193" s="138"/>
      <c r="O193" s="139"/>
      <c r="P193" s="138"/>
      <c r="Q193" s="107"/>
      <c r="R193" s="107"/>
    </row>
    <row r="194" spans="1:18" ht="15" customHeight="1">
      <c r="A194" s="17" t="s">
        <v>26</v>
      </c>
      <c r="B194" s="17" t="s">
        <v>27</v>
      </c>
      <c r="C194" s="18" t="s">
        <v>255</v>
      </c>
      <c r="D194" s="17" t="s">
        <v>28</v>
      </c>
      <c r="E194" s="17" t="s">
        <v>277</v>
      </c>
      <c r="F194" s="17" t="s">
        <v>159</v>
      </c>
      <c r="G194" s="298"/>
      <c r="H194" s="138"/>
      <c r="I194" s="138"/>
      <c r="J194" s="138"/>
      <c r="K194" s="138"/>
      <c r="L194" s="138"/>
      <c r="M194" s="138"/>
      <c r="N194" s="138"/>
      <c r="O194" s="139"/>
      <c r="P194" s="138"/>
      <c r="Q194" s="107"/>
      <c r="R194" s="107"/>
    </row>
    <row r="195" spans="1:18" ht="15" customHeight="1">
      <c r="A195" s="17" t="s">
        <v>61</v>
      </c>
      <c r="B195" s="17" t="s">
        <v>62</v>
      </c>
      <c r="C195" s="18" t="s">
        <v>237</v>
      </c>
      <c r="D195" s="17" t="s">
        <v>63</v>
      </c>
      <c r="E195" s="17" t="s">
        <v>269</v>
      </c>
      <c r="F195" s="17" t="s">
        <v>64</v>
      </c>
      <c r="G195" s="298"/>
      <c r="H195" s="138"/>
      <c r="I195" s="138"/>
      <c r="J195" s="138"/>
      <c r="K195" s="138"/>
      <c r="L195" s="138"/>
      <c r="M195" s="138"/>
      <c r="N195" s="138"/>
      <c r="O195" s="139"/>
      <c r="P195" s="138"/>
      <c r="Q195" s="107"/>
      <c r="R195" s="107"/>
    </row>
    <row r="196" spans="1:18" ht="15" customHeight="1">
      <c r="A196" s="17" t="s">
        <v>26</v>
      </c>
      <c r="B196" s="17" t="s">
        <v>27</v>
      </c>
      <c r="C196" s="18" t="s">
        <v>255</v>
      </c>
      <c r="D196" s="17" t="s">
        <v>31</v>
      </c>
      <c r="E196" s="17" t="s">
        <v>277</v>
      </c>
      <c r="F196" s="17" t="s">
        <v>139</v>
      </c>
      <c r="G196" s="298"/>
      <c r="H196" s="138"/>
      <c r="I196" s="138"/>
      <c r="J196" s="138"/>
      <c r="K196" s="138"/>
      <c r="L196" s="138"/>
      <c r="M196" s="138"/>
      <c r="N196" s="138"/>
      <c r="O196" s="139"/>
      <c r="P196" s="138"/>
      <c r="Q196" s="107"/>
      <c r="R196" s="107"/>
    </row>
    <row r="197" spans="1:18" ht="15" customHeight="1">
      <c r="A197" s="17" t="s">
        <v>26</v>
      </c>
      <c r="B197" s="17" t="s">
        <v>27</v>
      </c>
      <c r="C197" s="18" t="s">
        <v>255</v>
      </c>
      <c r="D197" s="17" t="s">
        <v>34</v>
      </c>
      <c r="E197" s="17" t="s">
        <v>277</v>
      </c>
      <c r="F197" s="17" t="s">
        <v>160</v>
      </c>
      <c r="G197" s="298"/>
      <c r="H197" s="138"/>
      <c r="I197" s="138"/>
      <c r="J197" s="138"/>
      <c r="K197" s="138"/>
      <c r="L197" s="138"/>
      <c r="M197" s="138"/>
      <c r="N197" s="138"/>
      <c r="O197" s="139"/>
      <c r="P197" s="138"/>
      <c r="Q197" s="107"/>
      <c r="R197" s="107"/>
    </row>
    <row r="198" spans="1:18" ht="15" customHeight="1">
      <c r="A198" s="17" t="s">
        <v>38</v>
      </c>
      <c r="B198" s="17" t="s">
        <v>39</v>
      </c>
      <c r="C198" s="18" t="s">
        <v>257</v>
      </c>
      <c r="D198" s="17" t="s">
        <v>46</v>
      </c>
      <c r="E198" s="17" t="s">
        <v>288</v>
      </c>
      <c r="F198" s="17" t="s">
        <v>47</v>
      </c>
      <c r="G198" s="298"/>
      <c r="H198" s="138"/>
      <c r="I198" s="138"/>
      <c r="J198" s="138"/>
      <c r="K198" s="138"/>
      <c r="L198" s="138"/>
      <c r="M198" s="138"/>
      <c r="N198" s="138"/>
      <c r="O198" s="139"/>
      <c r="P198" s="138"/>
      <c r="Q198" s="107"/>
      <c r="R198" s="107"/>
    </row>
    <row r="199" spans="1:18" ht="15" customHeight="1">
      <c r="A199" s="17" t="s">
        <v>68</v>
      </c>
      <c r="B199" s="17" t="s">
        <v>74</v>
      </c>
      <c r="C199" s="18" t="s">
        <v>282</v>
      </c>
      <c r="D199" s="17" t="s">
        <v>70</v>
      </c>
      <c r="E199" s="17" t="s">
        <v>269</v>
      </c>
      <c r="F199" s="17" t="s">
        <v>75</v>
      </c>
      <c r="G199" s="298"/>
      <c r="H199" s="138"/>
      <c r="I199" s="138"/>
      <c r="J199" s="138"/>
      <c r="K199" s="138"/>
      <c r="L199" s="138"/>
      <c r="M199" s="138"/>
      <c r="N199" s="138"/>
      <c r="O199" s="139"/>
      <c r="P199" s="138"/>
      <c r="Q199" s="107"/>
      <c r="R199" s="107"/>
    </row>
    <row r="200" spans="1:18" ht="15" customHeight="1">
      <c r="A200" s="17" t="s">
        <v>68</v>
      </c>
      <c r="B200" s="17" t="s">
        <v>69</v>
      </c>
      <c r="C200" s="18" t="s">
        <v>271</v>
      </c>
      <c r="D200" s="17" t="s">
        <v>70</v>
      </c>
      <c r="E200" s="17" t="s">
        <v>269</v>
      </c>
      <c r="F200" s="17" t="s">
        <v>75</v>
      </c>
      <c r="G200" s="298"/>
      <c r="H200" s="138"/>
      <c r="I200" s="138"/>
      <c r="J200" s="138"/>
      <c r="K200" s="138"/>
      <c r="L200" s="138"/>
      <c r="M200" s="138"/>
      <c r="N200" s="138"/>
      <c r="O200" s="139"/>
      <c r="P200" s="138"/>
      <c r="Q200" s="107"/>
      <c r="R200" s="107"/>
    </row>
    <row r="201" spans="1:18" ht="15" customHeight="1" thickBot="1">
      <c r="A201" s="30" t="s">
        <v>68</v>
      </c>
      <c r="B201" s="30" t="s">
        <v>76</v>
      </c>
      <c r="C201" s="31" t="s">
        <v>272</v>
      </c>
      <c r="D201" s="30" t="s">
        <v>70</v>
      </c>
      <c r="E201" s="30" t="s">
        <v>269</v>
      </c>
      <c r="F201" s="30" t="s">
        <v>75</v>
      </c>
      <c r="G201" s="299"/>
      <c r="H201" s="140"/>
      <c r="I201" s="140"/>
      <c r="J201" s="140"/>
      <c r="K201" s="140"/>
      <c r="L201" s="140"/>
      <c r="M201" s="140"/>
      <c r="N201" s="140"/>
      <c r="O201" s="141"/>
      <c r="P201" s="140"/>
      <c r="Q201" s="142"/>
      <c r="R201" s="142"/>
    </row>
    <row r="202" spans="1:18" ht="17.45" customHeight="1" thickBot="1">
      <c r="A202" s="283"/>
      <c r="B202" s="284"/>
      <c r="C202" s="284"/>
      <c r="D202" s="284"/>
      <c r="E202" s="284"/>
      <c r="F202" s="284"/>
      <c r="G202" s="284"/>
      <c r="H202" s="284"/>
      <c r="I202" s="284"/>
      <c r="J202" s="284"/>
      <c r="K202" s="284"/>
      <c r="L202" s="284"/>
      <c r="M202" s="284"/>
      <c r="N202" s="284"/>
      <c r="O202" s="284"/>
      <c r="P202" s="284"/>
      <c r="Q202" s="284"/>
      <c r="R202" s="285"/>
    </row>
    <row r="203" spans="1:18" ht="22.15" customHeight="1" thickTop="1" thickBot="1">
      <c r="A203" s="279" t="s">
        <v>6</v>
      </c>
      <c r="B203" s="295"/>
      <c r="C203" s="295"/>
      <c r="D203" s="295"/>
      <c r="E203" s="295"/>
      <c r="F203" s="296"/>
      <c r="G203" s="32">
        <v>46042</v>
      </c>
      <c r="H203" s="278" t="s">
        <v>7</v>
      </c>
      <c r="I203" s="295"/>
      <c r="J203" s="295"/>
      <c r="K203" s="295"/>
      <c r="L203" s="295"/>
      <c r="M203" s="295"/>
      <c r="N203" s="295"/>
      <c r="O203" s="295"/>
      <c r="P203" s="295"/>
      <c r="Q203" s="295"/>
      <c r="R203" s="296"/>
    </row>
    <row r="204" spans="1:18" ht="24" customHeight="1">
      <c r="A204" s="33" t="s">
        <v>8</v>
      </c>
      <c r="B204" s="33" t="s">
        <v>9</v>
      </c>
      <c r="C204" s="34" t="s">
        <v>10</v>
      </c>
      <c r="D204" s="33" t="s">
        <v>11</v>
      </c>
      <c r="E204" s="33" t="s">
        <v>12</v>
      </c>
      <c r="F204" s="35" t="s">
        <v>13</v>
      </c>
      <c r="G204" s="36" t="s">
        <v>14</v>
      </c>
      <c r="H204" s="33" t="s">
        <v>15</v>
      </c>
      <c r="I204" s="37" t="s">
        <v>16</v>
      </c>
      <c r="J204" s="38" t="s">
        <v>17</v>
      </c>
      <c r="K204" s="39" t="s">
        <v>18</v>
      </c>
      <c r="L204" s="38" t="s">
        <v>19</v>
      </c>
      <c r="M204" s="38" t="s">
        <v>20</v>
      </c>
      <c r="N204" s="38" t="s">
        <v>21</v>
      </c>
      <c r="O204" s="33" t="s">
        <v>22</v>
      </c>
      <c r="P204" s="34" t="s">
        <v>23</v>
      </c>
      <c r="Q204" s="38" t="s">
        <v>24</v>
      </c>
      <c r="R204" s="33" t="s">
        <v>25</v>
      </c>
    </row>
    <row r="205" spans="1:18" ht="15" customHeight="1">
      <c r="A205" s="67" t="s">
        <v>61</v>
      </c>
      <c r="B205" s="67" t="s">
        <v>262</v>
      </c>
      <c r="C205" s="68">
        <v>0.15972222222222221</v>
      </c>
      <c r="D205" s="67" t="s">
        <v>63</v>
      </c>
      <c r="E205" s="67" t="s">
        <v>143</v>
      </c>
      <c r="F205" s="67" t="s">
        <v>64</v>
      </c>
      <c r="G205" s="297"/>
      <c r="H205" s="69" t="s">
        <v>263</v>
      </c>
      <c r="I205" s="70">
        <v>6.1100000000000002E-2</v>
      </c>
      <c r="J205" s="71">
        <v>11</v>
      </c>
      <c r="K205" s="72">
        <v>46342</v>
      </c>
      <c r="L205" s="71">
        <v>11</v>
      </c>
      <c r="M205" s="71">
        <v>0</v>
      </c>
      <c r="N205" s="71">
        <v>0</v>
      </c>
      <c r="O205" s="73" t="s">
        <v>164</v>
      </c>
      <c r="P205" s="74">
        <v>0.15972222222222221</v>
      </c>
      <c r="Q205" s="71">
        <v>180</v>
      </c>
      <c r="R205" s="75" t="s">
        <v>279</v>
      </c>
    </row>
    <row r="206" spans="1:18" ht="18">
      <c r="A206" s="292" t="s">
        <v>266</v>
      </c>
      <c r="B206" s="303"/>
      <c r="C206" s="303"/>
      <c r="D206" s="303"/>
      <c r="E206" s="303"/>
      <c r="F206" s="304"/>
      <c r="G206" s="298"/>
      <c r="H206" s="138"/>
      <c r="I206" s="138"/>
      <c r="J206" s="138"/>
      <c r="K206" s="138"/>
      <c r="L206" s="138"/>
      <c r="M206" s="138"/>
      <c r="N206" s="138"/>
      <c r="O206" s="139"/>
      <c r="P206" s="138"/>
      <c r="Q206" s="107"/>
      <c r="R206" s="107"/>
    </row>
    <row r="207" spans="1:18" ht="15" customHeight="1">
      <c r="A207" s="17" t="s">
        <v>38</v>
      </c>
      <c r="B207" s="17" t="s">
        <v>87</v>
      </c>
      <c r="C207" s="18" t="s">
        <v>280</v>
      </c>
      <c r="D207" s="17" t="s">
        <v>40</v>
      </c>
      <c r="E207" s="17" t="s">
        <v>268</v>
      </c>
      <c r="F207" s="17" t="s">
        <v>78</v>
      </c>
      <c r="G207" s="298"/>
      <c r="H207" s="138"/>
      <c r="I207" s="138"/>
      <c r="J207" s="138"/>
      <c r="K207" s="138"/>
      <c r="L207" s="138"/>
      <c r="M207" s="138"/>
      <c r="N207" s="138"/>
      <c r="O207" s="139"/>
      <c r="P207" s="138"/>
      <c r="Q207" s="107"/>
      <c r="R207" s="107"/>
    </row>
    <row r="208" spans="1:18" ht="15" customHeight="1">
      <c r="A208" s="17" t="s">
        <v>38</v>
      </c>
      <c r="B208" s="17" t="s">
        <v>39</v>
      </c>
      <c r="C208" s="18" t="s">
        <v>257</v>
      </c>
      <c r="D208" s="17" t="s">
        <v>40</v>
      </c>
      <c r="E208" s="17" t="s">
        <v>294</v>
      </c>
      <c r="F208" s="17" t="s">
        <v>131</v>
      </c>
      <c r="G208" s="298"/>
      <c r="H208" s="138"/>
      <c r="I208" s="138"/>
      <c r="J208" s="138"/>
      <c r="K208" s="138"/>
      <c r="L208" s="138"/>
      <c r="M208" s="138"/>
      <c r="N208" s="138"/>
      <c r="O208" s="139"/>
      <c r="P208" s="138"/>
      <c r="Q208" s="107"/>
      <c r="R208" s="107"/>
    </row>
    <row r="209" spans="1:18" ht="15" customHeight="1">
      <c r="A209" s="17" t="s">
        <v>48</v>
      </c>
      <c r="B209" s="17" t="s">
        <v>56</v>
      </c>
      <c r="C209" s="18" t="s">
        <v>259</v>
      </c>
      <c r="D209" s="17" t="s">
        <v>50</v>
      </c>
      <c r="E209" s="17" t="s">
        <v>286</v>
      </c>
      <c r="F209" s="17" t="s">
        <v>96</v>
      </c>
      <c r="G209" s="298"/>
      <c r="H209" s="138"/>
      <c r="I209" s="138"/>
      <c r="J209" s="138"/>
      <c r="K209" s="138"/>
      <c r="L209" s="138"/>
      <c r="M209" s="138"/>
      <c r="N209" s="138"/>
      <c r="O209" s="139"/>
      <c r="P209" s="138"/>
      <c r="Q209" s="107"/>
      <c r="R209" s="107"/>
    </row>
    <row r="210" spans="1:18" ht="15" customHeight="1">
      <c r="A210" s="17" t="s">
        <v>26</v>
      </c>
      <c r="B210" s="17" t="s">
        <v>27</v>
      </c>
      <c r="C210" s="18" t="s">
        <v>255</v>
      </c>
      <c r="D210" s="17" t="s">
        <v>28</v>
      </c>
      <c r="E210" s="17" t="s">
        <v>267</v>
      </c>
      <c r="F210" s="17" t="s">
        <v>89</v>
      </c>
      <c r="G210" s="298"/>
      <c r="H210" s="138"/>
      <c r="I210" s="138"/>
      <c r="J210" s="138"/>
      <c r="K210" s="138"/>
      <c r="L210" s="138"/>
      <c r="M210" s="138"/>
      <c r="N210" s="138"/>
      <c r="O210" s="139"/>
      <c r="P210" s="138"/>
      <c r="Q210" s="107"/>
      <c r="R210" s="107"/>
    </row>
    <row r="211" spans="1:18" ht="15" customHeight="1">
      <c r="A211" s="17" t="s">
        <v>38</v>
      </c>
      <c r="B211" s="17" t="s">
        <v>87</v>
      </c>
      <c r="C211" s="18" t="s">
        <v>280</v>
      </c>
      <c r="D211" s="17" t="s">
        <v>43</v>
      </c>
      <c r="E211" s="17" t="s">
        <v>268</v>
      </c>
      <c r="F211" s="17" t="s">
        <v>79</v>
      </c>
      <c r="G211" s="298"/>
      <c r="H211" s="138"/>
      <c r="I211" s="138"/>
      <c r="J211" s="138"/>
      <c r="K211" s="138"/>
      <c r="L211" s="138"/>
      <c r="M211" s="138"/>
      <c r="N211" s="138"/>
      <c r="O211" s="139"/>
      <c r="P211" s="138"/>
      <c r="Q211" s="107"/>
      <c r="R211" s="107"/>
    </row>
    <row r="212" spans="1:18" ht="15" customHeight="1">
      <c r="A212" s="17" t="s">
        <v>38</v>
      </c>
      <c r="B212" s="17" t="s">
        <v>39</v>
      </c>
      <c r="C212" s="18" t="s">
        <v>257</v>
      </c>
      <c r="D212" s="17" t="s">
        <v>43</v>
      </c>
      <c r="E212" s="17" t="s">
        <v>294</v>
      </c>
      <c r="F212" s="17" t="s">
        <v>133</v>
      </c>
      <c r="G212" s="298"/>
      <c r="H212" s="138"/>
      <c r="I212" s="138"/>
      <c r="J212" s="138"/>
      <c r="K212" s="138"/>
      <c r="L212" s="138"/>
      <c r="M212" s="138"/>
      <c r="N212" s="138"/>
      <c r="O212" s="139"/>
      <c r="P212" s="138"/>
      <c r="Q212" s="107"/>
      <c r="R212" s="107"/>
    </row>
    <row r="213" spans="1:18" ht="15" customHeight="1">
      <c r="A213" s="17" t="s">
        <v>48</v>
      </c>
      <c r="B213" s="17" t="s">
        <v>49</v>
      </c>
      <c r="C213" s="18" t="s">
        <v>276</v>
      </c>
      <c r="D213" s="17" t="s">
        <v>50</v>
      </c>
      <c r="E213" s="17" t="s">
        <v>269</v>
      </c>
      <c r="F213" s="17" t="s">
        <v>52</v>
      </c>
      <c r="G213" s="298"/>
      <c r="H213" s="138"/>
      <c r="I213" s="138"/>
      <c r="J213" s="138"/>
      <c r="K213" s="138"/>
      <c r="L213" s="138"/>
      <c r="M213" s="138"/>
      <c r="N213" s="138"/>
      <c r="O213" s="139"/>
      <c r="P213" s="138"/>
      <c r="Q213" s="107"/>
      <c r="R213" s="107"/>
    </row>
    <row r="214" spans="1:18" ht="15" customHeight="1">
      <c r="A214" s="17" t="s">
        <v>48</v>
      </c>
      <c r="B214" s="17" t="s">
        <v>58</v>
      </c>
      <c r="C214" s="18" t="s">
        <v>260</v>
      </c>
      <c r="D214" s="17" t="s">
        <v>50</v>
      </c>
      <c r="E214" s="17" t="s">
        <v>269</v>
      </c>
      <c r="F214" s="17" t="s">
        <v>52</v>
      </c>
      <c r="G214" s="298"/>
      <c r="H214" s="138"/>
      <c r="I214" s="138"/>
      <c r="J214" s="138"/>
      <c r="K214" s="138"/>
      <c r="L214" s="138"/>
      <c r="M214" s="138"/>
      <c r="N214" s="138"/>
      <c r="O214" s="139"/>
      <c r="P214" s="138"/>
      <c r="Q214" s="107"/>
      <c r="R214" s="107"/>
    </row>
    <row r="215" spans="1:18" ht="15" customHeight="1">
      <c r="A215" s="17" t="s">
        <v>26</v>
      </c>
      <c r="B215" s="17" t="s">
        <v>27</v>
      </c>
      <c r="C215" s="18" t="s">
        <v>255</v>
      </c>
      <c r="D215" s="17" t="s">
        <v>31</v>
      </c>
      <c r="E215" s="17" t="s">
        <v>267</v>
      </c>
      <c r="F215" s="17" t="s">
        <v>138</v>
      </c>
      <c r="G215" s="298"/>
      <c r="H215" s="138"/>
      <c r="I215" s="138"/>
      <c r="J215" s="138"/>
      <c r="K215" s="138"/>
      <c r="L215" s="138"/>
      <c r="M215" s="138"/>
      <c r="N215" s="138"/>
      <c r="O215" s="139"/>
      <c r="P215" s="138"/>
      <c r="Q215" s="107"/>
      <c r="R215" s="107"/>
    </row>
    <row r="216" spans="1:18" ht="15" customHeight="1" thickBot="1">
      <c r="A216" s="30" t="s">
        <v>48</v>
      </c>
      <c r="B216" s="30" t="s">
        <v>56</v>
      </c>
      <c r="C216" s="31" t="s">
        <v>259</v>
      </c>
      <c r="D216" s="30" t="s">
        <v>53</v>
      </c>
      <c r="E216" s="30" t="s">
        <v>286</v>
      </c>
      <c r="F216" s="30" t="s">
        <v>97</v>
      </c>
      <c r="G216" s="299"/>
      <c r="H216" s="140"/>
      <c r="I216" s="140"/>
      <c r="J216" s="140"/>
      <c r="K216" s="140"/>
      <c r="L216" s="140"/>
      <c r="M216" s="140"/>
      <c r="N216" s="140"/>
      <c r="O216" s="141"/>
      <c r="P216" s="140"/>
      <c r="Q216" s="142"/>
      <c r="R216" s="142"/>
    </row>
    <row r="217" spans="1:18" ht="17.45" customHeight="1" thickBot="1">
      <c r="A217" s="283"/>
      <c r="B217" s="284"/>
      <c r="C217" s="284"/>
      <c r="D217" s="284"/>
      <c r="E217" s="284"/>
      <c r="F217" s="284"/>
      <c r="G217" s="284"/>
      <c r="H217" s="284"/>
      <c r="I217" s="284"/>
      <c r="J217" s="284"/>
      <c r="K217" s="284"/>
      <c r="L217" s="284"/>
      <c r="M217" s="284"/>
      <c r="N217" s="284"/>
      <c r="O217" s="284"/>
      <c r="P217" s="284"/>
      <c r="Q217" s="284"/>
      <c r="R217" s="285"/>
    </row>
    <row r="218" spans="1:18" ht="22.15" customHeight="1" thickTop="1" thickBot="1">
      <c r="A218" s="279" t="s">
        <v>6</v>
      </c>
      <c r="B218" s="295"/>
      <c r="C218" s="295"/>
      <c r="D218" s="295"/>
      <c r="E218" s="295"/>
      <c r="F218" s="296"/>
      <c r="G218" s="32">
        <v>46043</v>
      </c>
      <c r="H218" s="278" t="s">
        <v>7</v>
      </c>
      <c r="I218" s="295"/>
      <c r="J218" s="295"/>
      <c r="K218" s="295"/>
      <c r="L218" s="295"/>
      <c r="M218" s="295"/>
      <c r="N218" s="295"/>
      <c r="O218" s="295"/>
      <c r="P218" s="295"/>
      <c r="Q218" s="295"/>
      <c r="R218" s="296"/>
    </row>
    <row r="219" spans="1:18" ht="24" customHeight="1">
      <c r="A219" s="33" t="s">
        <v>8</v>
      </c>
      <c r="B219" s="33" t="s">
        <v>9</v>
      </c>
      <c r="C219" s="34" t="s">
        <v>10</v>
      </c>
      <c r="D219" s="33" t="s">
        <v>11</v>
      </c>
      <c r="E219" s="33" t="s">
        <v>12</v>
      </c>
      <c r="F219" s="35" t="s">
        <v>13</v>
      </c>
      <c r="G219" s="36" t="s">
        <v>14</v>
      </c>
      <c r="H219" s="33" t="s">
        <v>15</v>
      </c>
      <c r="I219" s="37" t="s">
        <v>16</v>
      </c>
      <c r="J219" s="38" t="s">
        <v>17</v>
      </c>
      <c r="K219" s="39" t="s">
        <v>18</v>
      </c>
      <c r="L219" s="38" t="s">
        <v>19</v>
      </c>
      <c r="M219" s="38" t="s">
        <v>20</v>
      </c>
      <c r="N219" s="38" t="s">
        <v>21</v>
      </c>
      <c r="O219" s="33" t="s">
        <v>22</v>
      </c>
      <c r="P219" s="34" t="s">
        <v>23</v>
      </c>
      <c r="Q219" s="38" t="s">
        <v>24</v>
      </c>
      <c r="R219" s="33" t="s">
        <v>25</v>
      </c>
    </row>
    <row r="220" spans="1:18" ht="15" customHeight="1">
      <c r="A220" s="98" t="s">
        <v>61</v>
      </c>
      <c r="B220" s="98" t="s">
        <v>262</v>
      </c>
      <c r="C220" s="99">
        <v>0.77777777777777779</v>
      </c>
      <c r="D220" s="98" t="s">
        <v>63</v>
      </c>
      <c r="E220" s="98" t="s">
        <v>143</v>
      </c>
      <c r="F220" s="98" t="s">
        <v>291</v>
      </c>
      <c r="G220" s="297"/>
      <c r="H220" s="100" t="s">
        <v>263</v>
      </c>
      <c r="I220" s="101">
        <v>3.8899999999999997E-2</v>
      </c>
      <c r="J220" s="102">
        <v>7</v>
      </c>
      <c r="K220" s="103">
        <v>46337</v>
      </c>
      <c r="L220" s="102">
        <v>7</v>
      </c>
      <c r="M220" s="102">
        <v>0</v>
      </c>
      <c r="N220" s="102">
        <v>0</v>
      </c>
      <c r="O220" s="104" t="s">
        <v>298</v>
      </c>
      <c r="P220" s="105">
        <v>0.77777777777777779</v>
      </c>
      <c r="Q220" s="102">
        <v>180</v>
      </c>
      <c r="R220" s="106" t="s">
        <v>299</v>
      </c>
    </row>
    <row r="221" spans="1:18" ht="18">
      <c r="A221" s="292" t="s">
        <v>266</v>
      </c>
      <c r="B221" s="303"/>
      <c r="C221" s="303"/>
      <c r="D221" s="303"/>
      <c r="E221" s="303"/>
      <c r="F221" s="304"/>
      <c r="G221" s="298"/>
      <c r="H221" s="138"/>
      <c r="I221" s="138"/>
      <c r="J221" s="138"/>
      <c r="K221" s="138"/>
      <c r="L221" s="138"/>
      <c r="M221" s="138"/>
      <c r="N221" s="138"/>
      <c r="O221" s="139"/>
      <c r="P221" s="138"/>
      <c r="Q221" s="107"/>
      <c r="R221" s="107"/>
    </row>
    <row r="222" spans="1:18" ht="15" customHeight="1">
      <c r="A222" s="17" t="s">
        <v>38</v>
      </c>
      <c r="B222" s="17" t="s">
        <v>39</v>
      </c>
      <c r="C222" s="18" t="s">
        <v>257</v>
      </c>
      <c r="D222" s="17" t="s">
        <v>40</v>
      </c>
      <c r="E222" s="17" t="s">
        <v>281</v>
      </c>
      <c r="F222" s="17" t="s">
        <v>78</v>
      </c>
      <c r="G222" s="298"/>
      <c r="H222" s="138"/>
      <c r="I222" s="138"/>
      <c r="J222" s="138"/>
      <c r="K222" s="138"/>
      <c r="L222" s="138"/>
      <c r="M222" s="138"/>
      <c r="N222" s="138"/>
      <c r="O222" s="139"/>
      <c r="P222" s="138"/>
      <c r="Q222" s="107"/>
      <c r="R222" s="107"/>
    </row>
    <row r="223" spans="1:18" ht="15" customHeight="1">
      <c r="A223" s="17" t="s">
        <v>48</v>
      </c>
      <c r="B223" s="17" t="s">
        <v>56</v>
      </c>
      <c r="C223" s="18" t="s">
        <v>259</v>
      </c>
      <c r="D223" s="17" t="s">
        <v>50</v>
      </c>
      <c r="E223" s="17" t="s">
        <v>288</v>
      </c>
      <c r="F223" s="17" t="s">
        <v>96</v>
      </c>
      <c r="G223" s="298"/>
      <c r="H223" s="138"/>
      <c r="I223" s="138"/>
      <c r="J223" s="138"/>
      <c r="K223" s="138"/>
      <c r="L223" s="138"/>
      <c r="M223" s="138"/>
      <c r="N223" s="138"/>
      <c r="O223" s="139"/>
      <c r="P223" s="138"/>
      <c r="Q223" s="107"/>
      <c r="R223" s="107"/>
    </row>
    <row r="224" spans="1:18" ht="15" customHeight="1">
      <c r="A224" s="17" t="s">
        <v>48</v>
      </c>
      <c r="B224" s="17" t="s">
        <v>58</v>
      </c>
      <c r="C224" s="18" t="s">
        <v>260</v>
      </c>
      <c r="D224" s="17" t="s">
        <v>50</v>
      </c>
      <c r="E224" s="17" t="s">
        <v>269</v>
      </c>
      <c r="F224" s="17" t="s">
        <v>96</v>
      </c>
      <c r="G224" s="298"/>
      <c r="H224" s="138"/>
      <c r="I224" s="138"/>
      <c r="J224" s="138"/>
      <c r="K224" s="138"/>
      <c r="L224" s="138"/>
      <c r="M224" s="138"/>
      <c r="N224" s="138"/>
      <c r="O224" s="139"/>
      <c r="P224" s="138"/>
      <c r="Q224" s="107"/>
      <c r="R224" s="107"/>
    </row>
    <row r="225" spans="1:18" ht="15" customHeight="1">
      <c r="A225" s="17" t="s">
        <v>38</v>
      </c>
      <c r="B225" s="17" t="s">
        <v>39</v>
      </c>
      <c r="C225" s="18" t="s">
        <v>257</v>
      </c>
      <c r="D225" s="17" t="s">
        <v>43</v>
      </c>
      <c r="E225" s="17" t="s">
        <v>281</v>
      </c>
      <c r="F225" s="17" t="s">
        <v>79</v>
      </c>
      <c r="G225" s="298"/>
      <c r="H225" s="138"/>
      <c r="I225" s="138"/>
      <c r="J225" s="138"/>
      <c r="K225" s="138"/>
      <c r="L225" s="138"/>
      <c r="M225" s="138"/>
      <c r="N225" s="138"/>
      <c r="O225" s="139"/>
      <c r="P225" s="138"/>
      <c r="Q225" s="107"/>
      <c r="R225" s="107"/>
    </row>
    <row r="226" spans="1:18" ht="15" customHeight="1">
      <c r="A226" s="17" t="s">
        <v>26</v>
      </c>
      <c r="B226" s="17" t="s">
        <v>27</v>
      </c>
      <c r="C226" s="18" t="s">
        <v>255</v>
      </c>
      <c r="D226" s="17" t="s">
        <v>28</v>
      </c>
      <c r="E226" s="17" t="s">
        <v>267</v>
      </c>
      <c r="F226" s="17" t="s">
        <v>161</v>
      </c>
      <c r="G226" s="298"/>
      <c r="H226" s="138"/>
      <c r="I226" s="138"/>
      <c r="J226" s="138"/>
      <c r="K226" s="138"/>
      <c r="L226" s="138"/>
      <c r="M226" s="138"/>
      <c r="N226" s="138"/>
      <c r="O226" s="139"/>
      <c r="P226" s="138"/>
      <c r="Q226" s="107"/>
      <c r="R226" s="107"/>
    </row>
    <row r="227" spans="1:18" ht="15" customHeight="1">
      <c r="A227" s="17" t="s">
        <v>48</v>
      </c>
      <c r="B227" s="17" t="s">
        <v>49</v>
      </c>
      <c r="C227" s="18" t="s">
        <v>276</v>
      </c>
      <c r="D227" s="17" t="s">
        <v>50</v>
      </c>
      <c r="E227" s="17" t="s">
        <v>269</v>
      </c>
      <c r="F227" s="17" t="s">
        <v>52</v>
      </c>
      <c r="G227" s="298"/>
      <c r="H227" s="138"/>
      <c r="I227" s="138"/>
      <c r="J227" s="138"/>
      <c r="K227" s="138"/>
      <c r="L227" s="138"/>
      <c r="M227" s="138"/>
      <c r="N227" s="138"/>
      <c r="O227" s="139"/>
      <c r="P227" s="138"/>
      <c r="Q227" s="107"/>
      <c r="R227" s="107"/>
    </row>
    <row r="228" spans="1:18" ht="15" customHeight="1">
      <c r="A228" s="17" t="s">
        <v>48</v>
      </c>
      <c r="B228" s="17" t="s">
        <v>56</v>
      </c>
      <c r="C228" s="18" t="s">
        <v>259</v>
      </c>
      <c r="D228" s="17" t="s">
        <v>53</v>
      </c>
      <c r="E228" s="17" t="s">
        <v>288</v>
      </c>
      <c r="F228" s="17" t="s">
        <v>97</v>
      </c>
      <c r="G228" s="298"/>
      <c r="H228" s="138"/>
      <c r="I228" s="138"/>
      <c r="J228" s="138"/>
      <c r="K228" s="138"/>
      <c r="L228" s="138"/>
      <c r="M228" s="138"/>
      <c r="N228" s="138"/>
      <c r="O228" s="139"/>
      <c r="P228" s="138"/>
      <c r="Q228" s="107"/>
      <c r="R228" s="107"/>
    </row>
    <row r="229" spans="1:18" ht="15" customHeight="1">
      <c r="A229" s="17" t="s">
        <v>48</v>
      </c>
      <c r="B229" s="17" t="s">
        <v>58</v>
      </c>
      <c r="C229" s="18" t="s">
        <v>260</v>
      </c>
      <c r="D229" s="17" t="s">
        <v>53</v>
      </c>
      <c r="E229" s="17" t="s">
        <v>269</v>
      </c>
      <c r="F229" s="17" t="s">
        <v>97</v>
      </c>
      <c r="G229" s="298"/>
      <c r="H229" s="138"/>
      <c r="I229" s="138"/>
      <c r="J229" s="138"/>
      <c r="K229" s="138"/>
      <c r="L229" s="138"/>
      <c r="M229" s="138"/>
      <c r="N229" s="138"/>
      <c r="O229" s="139"/>
      <c r="P229" s="138"/>
      <c r="Q229" s="107"/>
      <c r="R229" s="107"/>
    </row>
    <row r="230" spans="1:18" ht="15" customHeight="1">
      <c r="A230" s="17" t="s">
        <v>26</v>
      </c>
      <c r="B230" s="17" t="s">
        <v>27</v>
      </c>
      <c r="C230" s="18" t="s">
        <v>255</v>
      </c>
      <c r="D230" s="17" t="s">
        <v>31</v>
      </c>
      <c r="E230" s="17" t="s">
        <v>267</v>
      </c>
      <c r="F230" s="17" t="s">
        <v>162</v>
      </c>
      <c r="G230" s="298"/>
      <c r="H230" s="138"/>
      <c r="I230" s="138"/>
      <c r="J230" s="138"/>
      <c r="K230" s="138"/>
      <c r="L230" s="138"/>
      <c r="M230" s="138"/>
      <c r="N230" s="138"/>
      <c r="O230" s="139"/>
      <c r="P230" s="138"/>
      <c r="Q230" s="107"/>
      <c r="R230" s="107"/>
    </row>
    <row r="231" spans="1:18" ht="15" customHeight="1" thickBot="1">
      <c r="A231" s="30" t="s">
        <v>48</v>
      </c>
      <c r="B231" s="30" t="s">
        <v>49</v>
      </c>
      <c r="C231" s="31" t="s">
        <v>276</v>
      </c>
      <c r="D231" s="30" t="s">
        <v>53</v>
      </c>
      <c r="E231" s="30" t="s">
        <v>269</v>
      </c>
      <c r="F231" s="30" t="s">
        <v>55</v>
      </c>
      <c r="G231" s="299"/>
      <c r="H231" s="140"/>
      <c r="I231" s="140"/>
      <c r="J231" s="140"/>
      <c r="K231" s="140"/>
      <c r="L231" s="140"/>
      <c r="M231" s="140"/>
      <c r="N231" s="140"/>
      <c r="O231" s="141"/>
      <c r="P231" s="140"/>
      <c r="Q231" s="142"/>
      <c r="R231" s="142"/>
    </row>
    <row r="232" spans="1:18" ht="17.45" customHeight="1" thickBot="1">
      <c r="A232" s="283"/>
      <c r="B232" s="284"/>
      <c r="C232" s="284"/>
      <c r="D232" s="284"/>
      <c r="E232" s="284"/>
      <c r="F232" s="284"/>
      <c r="G232" s="284"/>
      <c r="H232" s="284"/>
      <c r="I232" s="284"/>
      <c r="J232" s="284"/>
      <c r="K232" s="284"/>
      <c r="L232" s="284"/>
      <c r="M232" s="284"/>
      <c r="N232" s="284"/>
      <c r="O232" s="284"/>
      <c r="P232" s="284"/>
      <c r="Q232" s="284"/>
      <c r="R232" s="285"/>
    </row>
    <row r="233" spans="1:18" ht="22.15" customHeight="1" thickTop="1" thickBot="1">
      <c r="A233" s="279" t="s">
        <v>6</v>
      </c>
      <c r="B233" s="295"/>
      <c r="C233" s="295"/>
      <c r="D233" s="295"/>
      <c r="E233" s="295"/>
      <c r="F233" s="296"/>
      <c r="G233" s="32">
        <v>46044</v>
      </c>
      <c r="H233" s="278" t="s">
        <v>7</v>
      </c>
      <c r="I233" s="295"/>
      <c r="J233" s="295"/>
      <c r="K233" s="295"/>
      <c r="L233" s="295"/>
      <c r="M233" s="295"/>
      <c r="N233" s="295"/>
      <c r="O233" s="295"/>
      <c r="P233" s="295"/>
      <c r="Q233" s="295"/>
      <c r="R233" s="296"/>
    </row>
    <row r="234" spans="1:18" ht="24" customHeight="1">
      <c r="A234" s="33" t="s">
        <v>8</v>
      </c>
      <c r="B234" s="33" t="s">
        <v>9</v>
      </c>
      <c r="C234" s="34" t="s">
        <v>10</v>
      </c>
      <c r="D234" s="33" t="s">
        <v>11</v>
      </c>
      <c r="E234" s="33" t="s">
        <v>12</v>
      </c>
      <c r="F234" s="35" t="s">
        <v>13</v>
      </c>
      <c r="G234" s="36" t="s">
        <v>14</v>
      </c>
      <c r="H234" s="33" t="s">
        <v>15</v>
      </c>
      <c r="I234" s="37" t="s">
        <v>16</v>
      </c>
      <c r="J234" s="38" t="s">
        <v>17</v>
      </c>
      <c r="K234" s="39" t="s">
        <v>18</v>
      </c>
      <c r="L234" s="38" t="s">
        <v>19</v>
      </c>
      <c r="M234" s="38" t="s">
        <v>20</v>
      </c>
      <c r="N234" s="38" t="s">
        <v>21</v>
      </c>
      <c r="O234" s="33" t="s">
        <v>22</v>
      </c>
      <c r="P234" s="34" t="s">
        <v>23</v>
      </c>
      <c r="Q234" s="38" t="s">
        <v>24</v>
      </c>
      <c r="R234" s="33" t="s">
        <v>25</v>
      </c>
    </row>
    <row r="235" spans="1:18" ht="15" customHeight="1">
      <c r="A235" s="49" t="s">
        <v>61</v>
      </c>
      <c r="B235" s="49" t="s">
        <v>262</v>
      </c>
      <c r="C235" s="50">
        <v>0.47916666666666669</v>
      </c>
      <c r="D235" s="49" t="s">
        <v>63</v>
      </c>
      <c r="E235" s="49" t="s">
        <v>29</v>
      </c>
      <c r="F235" s="49" t="s">
        <v>64</v>
      </c>
      <c r="G235" s="297"/>
      <c r="H235" s="51" t="s">
        <v>263</v>
      </c>
      <c r="I235" s="52">
        <v>0.05</v>
      </c>
      <c r="J235" s="53">
        <v>9</v>
      </c>
      <c r="K235" s="54">
        <v>46332</v>
      </c>
      <c r="L235" s="53">
        <v>9</v>
      </c>
      <c r="M235" s="53">
        <v>0</v>
      </c>
      <c r="N235" s="53">
        <v>0</v>
      </c>
      <c r="O235" s="55" t="s">
        <v>300</v>
      </c>
      <c r="P235" s="56">
        <v>0.47916666666666669</v>
      </c>
      <c r="Q235" s="53">
        <v>180</v>
      </c>
      <c r="R235" s="57" t="s">
        <v>292</v>
      </c>
    </row>
    <row r="236" spans="1:18" ht="18">
      <c r="A236" s="292" t="s">
        <v>266</v>
      </c>
      <c r="B236" s="303"/>
      <c r="C236" s="303"/>
      <c r="D236" s="303"/>
      <c r="E236" s="303"/>
      <c r="F236" s="304"/>
      <c r="G236" s="298"/>
      <c r="H236" s="138"/>
      <c r="I236" s="138"/>
      <c r="J236" s="138"/>
      <c r="K236" s="138"/>
      <c r="L236" s="138"/>
      <c r="M236" s="138"/>
      <c r="N236" s="138"/>
      <c r="O236" s="139"/>
      <c r="P236" s="138"/>
      <c r="Q236" s="107"/>
      <c r="R236" s="107"/>
    </row>
    <row r="237" spans="1:18" ht="15" customHeight="1">
      <c r="A237" s="17" t="s">
        <v>38</v>
      </c>
      <c r="B237" s="17" t="s">
        <v>39</v>
      </c>
      <c r="C237" s="18" t="s">
        <v>257</v>
      </c>
      <c r="D237" s="17" t="s">
        <v>40</v>
      </c>
      <c r="E237" s="17" t="s">
        <v>288</v>
      </c>
      <c r="F237" s="17" t="s">
        <v>78</v>
      </c>
      <c r="G237" s="298"/>
      <c r="H237" s="138"/>
      <c r="I237" s="138"/>
      <c r="J237" s="138"/>
      <c r="K237" s="138"/>
      <c r="L237" s="138"/>
      <c r="M237" s="138"/>
      <c r="N237" s="138"/>
      <c r="O237" s="139"/>
      <c r="P237" s="138"/>
      <c r="Q237" s="107"/>
      <c r="R237" s="107"/>
    </row>
    <row r="238" spans="1:18" ht="15" customHeight="1">
      <c r="A238" s="17" t="s">
        <v>38</v>
      </c>
      <c r="B238" s="17" t="s">
        <v>87</v>
      </c>
      <c r="C238" s="18" t="s">
        <v>280</v>
      </c>
      <c r="D238" s="17" t="s">
        <v>40</v>
      </c>
      <c r="E238" s="17" t="s">
        <v>293</v>
      </c>
      <c r="F238" s="17" t="s">
        <v>78</v>
      </c>
      <c r="G238" s="298"/>
      <c r="H238" s="138"/>
      <c r="I238" s="138"/>
      <c r="J238" s="138"/>
      <c r="K238" s="138"/>
      <c r="L238" s="138"/>
      <c r="M238" s="138"/>
      <c r="N238" s="138"/>
      <c r="O238" s="139"/>
      <c r="P238" s="138"/>
      <c r="Q238" s="107"/>
      <c r="R238" s="107"/>
    </row>
    <row r="239" spans="1:18" ht="15" customHeight="1">
      <c r="A239" s="17" t="s">
        <v>38</v>
      </c>
      <c r="B239" s="17" t="s">
        <v>39</v>
      </c>
      <c r="C239" s="18" t="s">
        <v>257</v>
      </c>
      <c r="D239" s="17" t="s">
        <v>43</v>
      </c>
      <c r="E239" s="17" t="s">
        <v>288</v>
      </c>
      <c r="F239" s="17" t="s">
        <v>79</v>
      </c>
      <c r="G239" s="298"/>
      <c r="H239" s="138"/>
      <c r="I239" s="138"/>
      <c r="J239" s="138"/>
      <c r="K239" s="138"/>
      <c r="L239" s="138"/>
      <c r="M239" s="138"/>
      <c r="N239" s="138"/>
      <c r="O239" s="139"/>
      <c r="P239" s="138"/>
      <c r="Q239" s="107"/>
      <c r="R239" s="107"/>
    </row>
    <row r="240" spans="1:18" ht="15" customHeight="1">
      <c r="A240" s="17" t="s">
        <v>38</v>
      </c>
      <c r="B240" s="17" t="s">
        <v>87</v>
      </c>
      <c r="C240" s="18" t="s">
        <v>280</v>
      </c>
      <c r="D240" s="17" t="s">
        <v>43</v>
      </c>
      <c r="E240" s="17" t="s">
        <v>293</v>
      </c>
      <c r="F240" s="17" t="s">
        <v>79</v>
      </c>
      <c r="G240" s="298"/>
      <c r="H240" s="138"/>
      <c r="I240" s="138"/>
      <c r="J240" s="138"/>
      <c r="K240" s="138"/>
      <c r="L240" s="138"/>
      <c r="M240" s="138"/>
      <c r="N240" s="138"/>
      <c r="O240" s="139"/>
      <c r="P240" s="138"/>
      <c r="Q240" s="107"/>
      <c r="R240" s="107"/>
    </row>
    <row r="241" spans="1:18" ht="15" customHeight="1">
      <c r="A241" s="17" t="s">
        <v>26</v>
      </c>
      <c r="B241" s="17" t="s">
        <v>27</v>
      </c>
      <c r="C241" s="18" t="s">
        <v>255</v>
      </c>
      <c r="D241" s="17" t="s">
        <v>28</v>
      </c>
      <c r="E241" s="17" t="s">
        <v>267</v>
      </c>
      <c r="F241" s="17" t="s">
        <v>159</v>
      </c>
      <c r="G241" s="298"/>
      <c r="H241" s="138"/>
      <c r="I241" s="138"/>
      <c r="J241" s="138"/>
      <c r="K241" s="138"/>
      <c r="L241" s="138"/>
      <c r="M241" s="138"/>
      <c r="N241" s="138"/>
      <c r="O241" s="139"/>
      <c r="P241" s="138"/>
      <c r="Q241" s="107"/>
      <c r="R241" s="107"/>
    </row>
    <row r="242" spans="1:18" ht="15" customHeight="1">
      <c r="A242" s="17" t="s">
        <v>26</v>
      </c>
      <c r="B242" s="17" t="s">
        <v>27</v>
      </c>
      <c r="C242" s="18" t="s">
        <v>255</v>
      </c>
      <c r="D242" s="17" t="s">
        <v>31</v>
      </c>
      <c r="E242" s="17" t="s">
        <v>267</v>
      </c>
      <c r="F242" s="17" t="s">
        <v>139</v>
      </c>
      <c r="G242" s="298"/>
      <c r="H242" s="138"/>
      <c r="I242" s="138"/>
      <c r="J242" s="138"/>
      <c r="K242" s="138"/>
      <c r="L242" s="138"/>
      <c r="M242" s="138"/>
      <c r="N242" s="138"/>
      <c r="O242" s="139"/>
      <c r="P242" s="138"/>
      <c r="Q242" s="107"/>
      <c r="R242" s="107"/>
    </row>
    <row r="243" spans="1:18" ht="15" customHeight="1">
      <c r="A243" s="17" t="s">
        <v>61</v>
      </c>
      <c r="B243" s="17" t="s">
        <v>62</v>
      </c>
      <c r="C243" s="18" t="s">
        <v>231</v>
      </c>
      <c r="D243" s="17" t="s">
        <v>63</v>
      </c>
      <c r="E243" s="17" t="s">
        <v>288</v>
      </c>
      <c r="F243" s="17" t="s">
        <v>173</v>
      </c>
      <c r="G243" s="298"/>
      <c r="H243" s="138"/>
      <c r="I243" s="138"/>
      <c r="J243" s="138"/>
      <c r="K243" s="138"/>
      <c r="L243" s="138"/>
      <c r="M243" s="138"/>
      <c r="N243" s="138"/>
      <c r="O243" s="139"/>
      <c r="P243" s="138"/>
      <c r="Q243" s="107"/>
      <c r="R243" s="107"/>
    </row>
    <row r="244" spans="1:18" ht="15" customHeight="1">
      <c r="A244" s="17" t="s">
        <v>26</v>
      </c>
      <c r="B244" s="17" t="s">
        <v>27</v>
      </c>
      <c r="C244" s="18" t="s">
        <v>255</v>
      </c>
      <c r="D244" s="17" t="s">
        <v>34</v>
      </c>
      <c r="E244" s="17" t="s">
        <v>267</v>
      </c>
      <c r="F244" s="17" t="s">
        <v>160</v>
      </c>
      <c r="G244" s="298"/>
      <c r="H244" s="138"/>
      <c r="I244" s="138"/>
      <c r="J244" s="138"/>
      <c r="K244" s="138"/>
      <c r="L244" s="138"/>
      <c r="M244" s="138"/>
      <c r="N244" s="138"/>
      <c r="O244" s="139"/>
      <c r="P244" s="138"/>
      <c r="Q244" s="107"/>
      <c r="R244" s="107"/>
    </row>
    <row r="245" spans="1:18" ht="15" customHeight="1">
      <c r="A245" s="17" t="s">
        <v>38</v>
      </c>
      <c r="B245" s="17" t="s">
        <v>39</v>
      </c>
      <c r="C245" s="18" t="s">
        <v>257</v>
      </c>
      <c r="D245" s="17" t="s">
        <v>46</v>
      </c>
      <c r="E245" s="17" t="s">
        <v>288</v>
      </c>
      <c r="F245" s="17" t="s">
        <v>47</v>
      </c>
      <c r="G245" s="298"/>
      <c r="H245" s="138"/>
      <c r="I245" s="138"/>
      <c r="J245" s="138"/>
      <c r="K245" s="138"/>
      <c r="L245" s="138"/>
      <c r="M245" s="138"/>
      <c r="N245" s="138"/>
      <c r="O245" s="139"/>
      <c r="P245" s="138"/>
      <c r="Q245" s="107"/>
      <c r="R245" s="107"/>
    </row>
    <row r="246" spans="1:18" ht="15" customHeight="1" thickBot="1">
      <c r="A246" s="30" t="s">
        <v>38</v>
      </c>
      <c r="B246" s="30" t="s">
        <v>87</v>
      </c>
      <c r="C246" s="31" t="s">
        <v>280</v>
      </c>
      <c r="D246" s="30" t="s">
        <v>46</v>
      </c>
      <c r="E246" s="30" t="s">
        <v>293</v>
      </c>
      <c r="F246" s="30" t="s">
        <v>47</v>
      </c>
      <c r="G246" s="299"/>
      <c r="H246" s="140"/>
      <c r="I246" s="140"/>
      <c r="J246" s="140"/>
      <c r="K246" s="140"/>
      <c r="L246" s="140"/>
      <c r="M246" s="140"/>
      <c r="N246" s="140"/>
      <c r="O246" s="141"/>
      <c r="P246" s="140"/>
      <c r="Q246" s="142"/>
      <c r="R246" s="142"/>
    </row>
    <row r="247" spans="1:18" ht="17.45" customHeight="1" thickBot="1">
      <c r="A247" s="283"/>
      <c r="B247" s="284"/>
      <c r="C247" s="284"/>
      <c r="D247" s="284"/>
      <c r="E247" s="284"/>
      <c r="F247" s="284"/>
      <c r="G247" s="284"/>
      <c r="H247" s="284"/>
      <c r="I247" s="284"/>
      <c r="J247" s="284"/>
      <c r="K247" s="284"/>
      <c r="L247" s="284"/>
      <c r="M247" s="284"/>
      <c r="N247" s="284"/>
      <c r="O247" s="284"/>
      <c r="P247" s="284"/>
      <c r="Q247" s="284"/>
      <c r="R247" s="285"/>
    </row>
    <row r="248" spans="1:18" ht="22.15" customHeight="1" thickTop="1" thickBot="1">
      <c r="A248" s="279" t="s">
        <v>6</v>
      </c>
      <c r="B248" s="295"/>
      <c r="C248" s="295"/>
      <c r="D248" s="295"/>
      <c r="E248" s="295"/>
      <c r="F248" s="296"/>
      <c r="G248" s="32">
        <v>46047</v>
      </c>
      <c r="H248" s="278" t="s">
        <v>7</v>
      </c>
      <c r="I248" s="295"/>
      <c r="J248" s="295"/>
      <c r="K248" s="295"/>
      <c r="L248" s="295"/>
      <c r="M248" s="295"/>
      <c r="N248" s="295"/>
      <c r="O248" s="295"/>
      <c r="P248" s="295"/>
      <c r="Q248" s="295"/>
      <c r="R248" s="296"/>
    </row>
    <row r="249" spans="1:18" ht="24" customHeight="1">
      <c r="A249" s="33" t="s">
        <v>8</v>
      </c>
      <c r="B249" s="33" t="s">
        <v>9</v>
      </c>
      <c r="C249" s="34" t="s">
        <v>10</v>
      </c>
      <c r="D249" s="33" t="s">
        <v>11</v>
      </c>
      <c r="E249" s="33" t="s">
        <v>12</v>
      </c>
      <c r="F249" s="35" t="s">
        <v>13</v>
      </c>
      <c r="G249" s="36" t="s">
        <v>14</v>
      </c>
      <c r="H249" s="33" t="s">
        <v>15</v>
      </c>
      <c r="I249" s="37" t="s">
        <v>16</v>
      </c>
      <c r="J249" s="38" t="s">
        <v>17</v>
      </c>
      <c r="K249" s="39" t="s">
        <v>18</v>
      </c>
      <c r="L249" s="38" t="s">
        <v>19</v>
      </c>
      <c r="M249" s="38" t="s">
        <v>20</v>
      </c>
      <c r="N249" s="38" t="s">
        <v>21</v>
      </c>
      <c r="O249" s="33" t="s">
        <v>22</v>
      </c>
      <c r="P249" s="34" t="s">
        <v>23</v>
      </c>
      <c r="Q249" s="38" t="s">
        <v>24</v>
      </c>
      <c r="R249" s="33" t="s">
        <v>25</v>
      </c>
    </row>
    <row r="250" spans="1:18" ht="15" customHeight="1">
      <c r="A250" s="40" t="s">
        <v>61</v>
      </c>
      <c r="B250" s="40" t="s">
        <v>262</v>
      </c>
      <c r="C250" s="41">
        <v>0.2361111111111111</v>
      </c>
      <c r="D250" s="40" t="s">
        <v>63</v>
      </c>
      <c r="E250" s="40" t="s">
        <v>100</v>
      </c>
      <c r="F250" s="40" t="s">
        <v>291</v>
      </c>
      <c r="G250" s="297"/>
      <c r="H250" s="42" t="s">
        <v>263</v>
      </c>
      <c r="I250" s="43">
        <v>5.5999999999999999E-3</v>
      </c>
      <c r="J250" s="44">
        <v>1</v>
      </c>
      <c r="K250" s="45">
        <v>46343</v>
      </c>
      <c r="L250" s="44">
        <v>2</v>
      </c>
      <c r="M250" s="44">
        <v>0</v>
      </c>
      <c r="N250" s="44">
        <v>0</v>
      </c>
      <c r="O250" s="46" t="s">
        <v>301</v>
      </c>
      <c r="P250" s="47">
        <v>0.2361111111111111</v>
      </c>
      <c r="Q250" s="44">
        <v>180</v>
      </c>
      <c r="R250" s="48" t="s">
        <v>302</v>
      </c>
    </row>
    <row r="251" spans="1:18" ht="18">
      <c r="A251" s="292" t="s">
        <v>266</v>
      </c>
      <c r="B251" s="303"/>
      <c r="C251" s="303"/>
      <c r="D251" s="303"/>
      <c r="E251" s="303"/>
      <c r="F251" s="304"/>
      <c r="G251" s="298"/>
      <c r="H251" s="138"/>
      <c r="I251" s="138"/>
      <c r="J251" s="138"/>
      <c r="K251" s="138"/>
      <c r="L251" s="138"/>
      <c r="M251" s="138"/>
      <c r="N251" s="138"/>
      <c r="O251" s="139"/>
      <c r="P251" s="138"/>
      <c r="Q251" s="107"/>
      <c r="R251" s="107"/>
    </row>
    <row r="252" spans="1:18" ht="15" customHeight="1">
      <c r="A252" s="17" t="s">
        <v>38</v>
      </c>
      <c r="B252" s="17" t="s">
        <v>39</v>
      </c>
      <c r="C252" s="18" t="s">
        <v>257</v>
      </c>
      <c r="D252" s="17" t="s">
        <v>40</v>
      </c>
      <c r="E252" s="17" t="s">
        <v>303</v>
      </c>
      <c r="F252" s="17" t="s">
        <v>131</v>
      </c>
      <c r="G252" s="298"/>
      <c r="H252" s="138"/>
      <c r="I252" s="138"/>
      <c r="J252" s="138"/>
      <c r="K252" s="138"/>
      <c r="L252" s="138"/>
      <c r="M252" s="138"/>
      <c r="N252" s="138"/>
      <c r="O252" s="139"/>
      <c r="P252" s="138"/>
      <c r="Q252" s="107"/>
      <c r="R252" s="107"/>
    </row>
    <row r="253" spans="1:18" ht="15" customHeight="1">
      <c r="A253" s="17" t="s">
        <v>38</v>
      </c>
      <c r="B253" s="17" t="s">
        <v>39</v>
      </c>
      <c r="C253" s="18" t="s">
        <v>257</v>
      </c>
      <c r="D253" s="17" t="s">
        <v>43</v>
      </c>
      <c r="E253" s="17" t="s">
        <v>303</v>
      </c>
      <c r="F253" s="17" t="s">
        <v>133</v>
      </c>
      <c r="G253" s="298"/>
      <c r="H253" s="138"/>
      <c r="I253" s="138"/>
      <c r="J253" s="138"/>
      <c r="K253" s="138"/>
      <c r="L253" s="138"/>
      <c r="M253" s="138"/>
      <c r="N253" s="138"/>
      <c r="O253" s="139"/>
      <c r="P253" s="138"/>
      <c r="Q253" s="107"/>
      <c r="R253" s="107"/>
    </row>
    <row r="254" spans="1:18" ht="15" customHeight="1">
      <c r="A254" s="17" t="s">
        <v>61</v>
      </c>
      <c r="B254" s="17" t="s">
        <v>62</v>
      </c>
      <c r="C254" s="18" t="s">
        <v>237</v>
      </c>
      <c r="D254" s="17" t="s">
        <v>63</v>
      </c>
      <c r="E254" s="17" t="s">
        <v>269</v>
      </c>
      <c r="F254" s="17" t="s">
        <v>64</v>
      </c>
      <c r="G254" s="298"/>
      <c r="H254" s="138"/>
      <c r="I254" s="138"/>
      <c r="J254" s="138"/>
      <c r="K254" s="138"/>
      <c r="L254" s="138"/>
      <c r="M254" s="138"/>
      <c r="N254" s="138"/>
      <c r="O254" s="139"/>
      <c r="P254" s="138"/>
      <c r="Q254" s="107"/>
      <c r="R254" s="107"/>
    </row>
    <row r="255" spans="1:18" ht="15" customHeight="1">
      <c r="A255" s="17" t="s">
        <v>38</v>
      </c>
      <c r="B255" s="17" t="s">
        <v>39</v>
      </c>
      <c r="C255" s="18" t="s">
        <v>257</v>
      </c>
      <c r="D255" s="17" t="s">
        <v>46</v>
      </c>
      <c r="E255" s="17" t="s">
        <v>303</v>
      </c>
      <c r="F255" s="17" t="s">
        <v>47</v>
      </c>
      <c r="G255" s="298"/>
      <c r="H255" s="138"/>
      <c r="I255" s="138"/>
      <c r="J255" s="138"/>
      <c r="K255" s="138"/>
      <c r="L255" s="138"/>
      <c r="M255" s="138"/>
      <c r="N255" s="138"/>
      <c r="O255" s="139"/>
      <c r="P255" s="138"/>
      <c r="Q255" s="107"/>
      <c r="R255" s="107"/>
    </row>
    <row r="256" spans="1:18" ht="15" customHeight="1">
      <c r="A256" s="17" t="s">
        <v>68</v>
      </c>
      <c r="B256" s="17" t="s">
        <v>69</v>
      </c>
      <c r="C256" s="18" t="s">
        <v>271</v>
      </c>
      <c r="D256" s="17" t="s">
        <v>70</v>
      </c>
      <c r="E256" s="17" t="s">
        <v>269</v>
      </c>
      <c r="F256" s="17" t="s">
        <v>84</v>
      </c>
      <c r="G256" s="298"/>
      <c r="H256" s="138"/>
      <c r="I256" s="138"/>
      <c r="J256" s="138"/>
      <c r="K256" s="138"/>
      <c r="L256" s="138"/>
      <c r="M256" s="138"/>
      <c r="N256" s="138"/>
      <c r="O256" s="139"/>
      <c r="P256" s="138"/>
      <c r="Q256" s="107"/>
      <c r="R256" s="107"/>
    </row>
    <row r="257" spans="1:18" ht="15" customHeight="1">
      <c r="A257" s="17" t="s">
        <v>48</v>
      </c>
      <c r="B257" s="17" t="s">
        <v>59</v>
      </c>
      <c r="C257" s="18" t="s">
        <v>257</v>
      </c>
      <c r="D257" s="17" t="s">
        <v>53</v>
      </c>
      <c r="E257" s="17" t="s">
        <v>267</v>
      </c>
      <c r="F257" s="17" t="s">
        <v>85</v>
      </c>
      <c r="G257" s="298"/>
      <c r="H257" s="138"/>
      <c r="I257" s="138"/>
      <c r="J257" s="138"/>
      <c r="K257" s="138"/>
      <c r="L257" s="138"/>
      <c r="M257" s="138"/>
      <c r="N257" s="138"/>
      <c r="O257" s="139"/>
      <c r="P257" s="138"/>
      <c r="Q257" s="107"/>
      <c r="R257" s="107"/>
    </row>
    <row r="258" spans="1:18" ht="15" customHeight="1">
      <c r="A258" s="17" t="s">
        <v>68</v>
      </c>
      <c r="B258" s="17" t="s">
        <v>76</v>
      </c>
      <c r="C258" s="18" t="s">
        <v>272</v>
      </c>
      <c r="D258" s="17" t="s">
        <v>70</v>
      </c>
      <c r="E258" s="17" t="s">
        <v>269</v>
      </c>
      <c r="F258" s="17" t="s">
        <v>77</v>
      </c>
      <c r="G258" s="298"/>
      <c r="H258" s="138"/>
      <c r="I258" s="138"/>
      <c r="J258" s="138"/>
      <c r="K258" s="138"/>
      <c r="L258" s="138"/>
      <c r="M258" s="138"/>
      <c r="N258" s="138"/>
      <c r="O258" s="139"/>
      <c r="P258" s="138"/>
      <c r="Q258" s="107"/>
      <c r="R258" s="107"/>
    </row>
    <row r="259" spans="1:18" ht="15" customHeight="1">
      <c r="A259" s="17" t="s">
        <v>26</v>
      </c>
      <c r="B259" s="17" t="s">
        <v>27</v>
      </c>
      <c r="C259" s="18" t="s">
        <v>255</v>
      </c>
      <c r="D259" s="17" t="s">
        <v>28</v>
      </c>
      <c r="E259" s="17" t="s">
        <v>270</v>
      </c>
      <c r="F259" s="17" t="s">
        <v>186</v>
      </c>
      <c r="G259" s="298"/>
      <c r="H259" s="138"/>
      <c r="I259" s="138"/>
      <c r="J259" s="138"/>
      <c r="K259" s="138"/>
      <c r="L259" s="138"/>
      <c r="M259" s="138"/>
      <c r="N259" s="138"/>
      <c r="O259" s="139"/>
      <c r="P259" s="138"/>
      <c r="Q259" s="107"/>
      <c r="R259" s="107"/>
    </row>
    <row r="260" spans="1:18" ht="15" customHeight="1">
      <c r="A260" s="17" t="s">
        <v>26</v>
      </c>
      <c r="B260" s="17" t="s">
        <v>27</v>
      </c>
      <c r="C260" s="18" t="s">
        <v>255</v>
      </c>
      <c r="D260" s="17" t="s">
        <v>31</v>
      </c>
      <c r="E260" s="17" t="s">
        <v>270</v>
      </c>
      <c r="F260" s="17" t="s">
        <v>187</v>
      </c>
      <c r="G260" s="298"/>
      <c r="H260" s="138"/>
      <c r="I260" s="138"/>
      <c r="J260" s="138"/>
      <c r="K260" s="138"/>
      <c r="L260" s="138"/>
      <c r="M260" s="138"/>
      <c r="N260" s="138"/>
      <c r="O260" s="139"/>
      <c r="P260" s="138"/>
      <c r="Q260" s="107"/>
      <c r="R260" s="107"/>
    </row>
    <row r="261" spans="1:18" ht="15" customHeight="1" thickBot="1">
      <c r="A261" s="30" t="s">
        <v>68</v>
      </c>
      <c r="B261" s="30" t="s">
        <v>72</v>
      </c>
      <c r="C261" s="31" t="s">
        <v>273</v>
      </c>
      <c r="D261" s="30" t="s">
        <v>70</v>
      </c>
      <c r="E261" s="30" t="s">
        <v>269</v>
      </c>
      <c r="F261" s="30" t="s">
        <v>169</v>
      </c>
      <c r="G261" s="299"/>
      <c r="H261" s="140"/>
      <c r="I261" s="140"/>
      <c r="J261" s="140"/>
      <c r="K261" s="140"/>
      <c r="L261" s="140"/>
      <c r="M261" s="140"/>
      <c r="N261" s="140"/>
      <c r="O261" s="141"/>
      <c r="P261" s="140"/>
      <c r="Q261" s="142"/>
      <c r="R261" s="142"/>
    </row>
    <row r="262" spans="1:18" ht="17.45" customHeight="1" thickBot="1">
      <c r="A262" s="283"/>
      <c r="B262" s="284"/>
      <c r="C262" s="284"/>
      <c r="D262" s="284"/>
      <c r="E262" s="284"/>
      <c r="F262" s="284"/>
      <c r="G262" s="284"/>
      <c r="H262" s="284"/>
      <c r="I262" s="284"/>
      <c r="J262" s="284"/>
      <c r="K262" s="284"/>
      <c r="L262" s="284"/>
      <c r="M262" s="284"/>
      <c r="N262" s="284"/>
      <c r="O262" s="284"/>
      <c r="P262" s="284"/>
      <c r="Q262" s="284"/>
      <c r="R262" s="285"/>
    </row>
    <row r="263" spans="1:18" ht="22.15" customHeight="1" thickTop="1" thickBot="1">
      <c r="A263" s="279" t="s">
        <v>6</v>
      </c>
      <c r="B263" s="295"/>
      <c r="C263" s="295"/>
      <c r="D263" s="295"/>
      <c r="E263" s="295"/>
      <c r="F263" s="296"/>
      <c r="G263" s="32">
        <v>46049</v>
      </c>
      <c r="H263" s="278" t="s">
        <v>7</v>
      </c>
      <c r="I263" s="295"/>
      <c r="J263" s="295"/>
      <c r="K263" s="295"/>
      <c r="L263" s="295"/>
      <c r="M263" s="295"/>
      <c r="N263" s="295"/>
      <c r="O263" s="295"/>
      <c r="P263" s="295"/>
      <c r="Q263" s="295"/>
      <c r="R263" s="296"/>
    </row>
    <row r="264" spans="1:18" ht="24" customHeight="1">
      <c r="A264" s="33" t="s">
        <v>8</v>
      </c>
      <c r="B264" s="33" t="s">
        <v>9</v>
      </c>
      <c r="C264" s="34" t="s">
        <v>10</v>
      </c>
      <c r="D264" s="33" t="s">
        <v>11</v>
      </c>
      <c r="E264" s="33" t="s">
        <v>12</v>
      </c>
      <c r="F264" s="35" t="s">
        <v>13</v>
      </c>
      <c r="G264" s="36" t="s">
        <v>14</v>
      </c>
      <c r="H264" s="33" t="s">
        <v>15</v>
      </c>
      <c r="I264" s="37" t="s">
        <v>16</v>
      </c>
      <c r="J264" s="38" t="s">
        <v>17</v>
      </c>
      <c r="K264" s="39" t="s">
        <v>18</v>
      </c>
      <c r="L264" s="38" t="s">
        <v>19</v>
      </c>
      <c r="M264" s="38" t="s">
        <v>20</v>
      </c>
      <c r="N264" s="38" t="s">
        <v>21</v>
      </c>
      <c r="O264" s="33" t="s">
        <v>22</v>
      </c>
      <c r="P264" s="34" t="s">
        <v>23</v>
      </c>
      <c r="Q264" s="38" t="s">
        <v>24</v>
      </c>
      <c r="R264" s="33" t="s">
        <v>25</v>
      </c>
    </row>
    <row r="265" spans="1:18" ht="15" customHeight="1">
      <c r="A265" s="40" t="s">
        <v>61</v>
      </c>
      <c r="B265" s="40" t="s">
        <v>262</v>
      </c>
      <c r="C265" s="41">
        <v>0.15972222222222221</v>
      </c>
      <c r="D265" s="40" t="s">
        <v>63</v>
      </c>
      <c r="E265" s="40" t="s">
        <v>126</v>
      </c>
      <c r="F265" s="40" t="s">
        <v>291</v>
      </c>
      <c r="G265" s="302"/>
      <c r="H265" s="42" t="s">
        <v>263</v>
      </c>
      <c r="I265" s="43">
        <v>3.3300000000000003E-2</v>
      </c>
      <c r="J265" s="44">
        <v>6</v>
      </c>
      <c r="K265" s="45">
        <v>46338</v>
      </c>
      <c r="L265" s="44">
        <v>7</v>
      </c>
      <c r="M265" s="44">
        <v>0</v>
      </c>
      <c r="N265" s="44">
        <v>0</v>
      </c>
      <c r="O265" s="46" t="s">
        <v>304</v>
      </c>
      <c r="P265" s="47">
        <v>0.15972222222222221</v>
      </c>
      <c r="Q265" s="44">
        <v>180</v>
      </c>
      <c r="R265" s="48" t="s">
        <v>305</v>
      </c>
    </row>
    <row r="266" spans="1:18" ht="18">
      <c r="A266" s="292" t="s">
        <v>266</v>
      </c>
      <c r="B266" s="303"/>
      <c r="C266" s="303"/>
      <c r="D266" s="303"/>
      <c r="E266" s="303"/>
      <c r="F266" s="304"/>
      <c r="G266" s="298"/>
      <c r="H266" s="138"/>
      <c r="I266" s="138"/>
      <c r="J266" s="138"/>
      <c r="K266" s="138"/>
      <c r="L266" s="138"/>
      <c r="M266" s="138"/>
      <c r="N266" s="138"/>
      <c r="O266" s="139"/>
      <c r="P266" s="138"/>
      <c r="Q266" s="107"/>
      <c r="R266" s="107"/>
    </row>
    <row r="267" spans="1:18" ht="15" customHeight="1">
      <c r="A267" s="17" t="s">
        <v>38</v>
      </c>
      <c r="B267" s="17" t="s">
        <v>39</v>
      </c>
      <c r="C267" s="18" t="s">
        <v>257</v>
      </c>
      <c r="D267" s="17" t="s">
        <v>40</v>
      </c>
      <c r="E267" s="17" t="s">
        <v>270</v>
      </c>
      <c r="F267" s="17" t="s">
        <v>78</v>
      </c>
      <c r="G267" s="298"/>
      <c r="H267" s="138"/>
      <c r="I267" s="138"/>
      <c r="J267" s="138"/>
      <c r="K267" s="138"/>
      <c r="L267" s="138"/>
      <c r="M267" s="138"/>
      <c r="N267" s="138"/>
      <c r="O267" s="139"/>
      <c r="P267" s="138"/>
      <c r="Q267" s="107"/>
      <c r="R267" s="107"/>
    </row>
    <row r="268" spans="1:18" ht="15" customHeight="1">
      <c r="A268" s="17" t="s">
        <v>38</v>
      </c>
      <c r="B268" s="17" t="s">
        <v>87</v>
      </c>
      <c r="C268" s="18" t="s">
        <v>280</v>
      </c>
      <c r="D268" s="17" t="s">
        <v>40</v>
      </c>
      <c r="E268" s="17" t="s">
        <v>268</v>
      </c>
      <c r="F268" s="17" t="s">
        <v>78</v>
      </c>
      <c r="G268" s="298"/>
      <c r="H268" s="138"/>
      <c r="I268" s="138"/>
      <c r="J268" s="138"/>
      <c r="K268" s="138"/>
      <c r="L268" s="138"/>
      <c r="M268" s="138"/>
      <c r="N268" s="138"/>
      <c r="O268" s="139"/>
      <c r="P268" s="138"/>
      <c r="Q268" s="107"/>
      <c r="R268" s="107"/>
    </row>
    <row r="269" spans="1:18" ht="15" customHeight="1">
      <c r="A269" s="17" t="s">
        <v>38</v>
      </c>
      <c r="B269" s="17" t="s">
        <v>39</v>
      </c>
      <c r="C269" s="18" t="s">
        <v>257</v>
      </c>
      <c r="D269" s="17" t="s">
        <v>43</v>
      </c>
      <c r="E269" s="17" t="s">
        <v>270</v>
      </c>
      <c r="F269" s="17" t="s">
        <v>79</v>
      </c>
      <c r="G269" s="298"/>
      <c r="H269" s="138"/>
      <c r="I269" s="138"/>
      <c r="J269" s="138"/>
      <c r="K269" s="138"/>
      <c r="L269" s="138"/>
      <c r="M269" s="138"/>
      <c r="N269" s="138"/>
      <c r="O269" s="139"/>
      <c r="P269" s="138"/>
      <c r="Q269" s="107"/>
      <c r="R269" s="107"/>
    </row>
    <row r="270" spans="1:18" ht="15" customHeight="1">
      <c r="A270" s="17" t="s">
        <v>38</v>
      </c>
      <c r="B270" s="17" t="s">
        <v>87</v>
      </c>
      <c r="C270" s="18" t="s">
        <v>280</v>
      </c>
      <c r="D270" s="17" t="s">
        <v>43</v>
      </c>
      <c r="E270" s="17" t="s">
        <v>268</v>
      </c>
      <c r="F270" s="17" t="s">
        <v>79</v>
      </c>
      <c r="G270" s="298"/>
      <c r="H270" s="138"/>
      <c r="I270" s="138"/>
      <c r="J270" s="138"/>
      <c r="K270" s="138"/>
      <c r="L270" s="138"/>
      <c r="M270" s="138"/>
      <c r="N270" s="138"/>
      <c r="O270" s="139"/>
      <c r="P270" s="138"/>
      <c r="Q270" s="107"/>
      <c r="R270" s="107"/>
    </row>
    <row r="271" spans="1:18" ht="15" customHeight="1">
      <c r="A271" s="17" t="s">
        <v>61</v>
      </c>
      <c r="B271" s="17" t="s">
        <v>62</v>
      </c>
      <c r="C271" s="18" t="s">
        <v>243</v>
      </c>
      <c r="D271" s="17" t="s">
        <v>63</v>
      </c>
      <c r="E271" s="17" t="s">
        <v>269</v>
      </c>
      <c r="F271" s="17" t="s">
        <v>64</v>
      </c>
      <c r="G271" s="298"/>
      <c r="H271" s="138"/>
      <c r="I271" s="138"/>
      <c r="J271" s="138"/>
      <c r="K271" s="138"/>
      <c r="L271" s="138"/>
      <c r="M271" s="138"/>
      <c r="N271" s="138"/>
      <c r="O271" s="139"/>
      <c r="P271" s="138"/>
      <c r="Q271" s="107"/>
      <c r="R271" s="107"/>
    </row>
    <row r="272" spans="1:18" ht="15" customHeight="1">
      <c r="A272" s="17" t="s">
        <v>38</v>
      </c>
      <c r="B272" s="17" t="s">
        <v>39</v>
      </c>
      <c r="C272" s="18" t="s">
        <v>257</v>
      </c>
      <c r="D272" s="17" t="s">
        <v>46</v>
      </c>
      <c r="E272" s="17" t="s">
        <v>270</v>
      </c>
      <c r="F272" s="17" t="s">
        <v>47</v>
      </c>
      <c r="G272" s="298"/>
      <c r="H272" s="138"/>
      <c r="I272" s="138"/>
      <c r="J272" s="138"/>
      <c r="K272" s="138"/>
      <c r="L272" s="138"/>
      <c r="M272" s="138"/>
      <c r="N272" s="138"/>
      <c r="O272" s="139"/>
      <c r="P272" s="138"/>
      <c r="Q272" s="107"/>
      <c r="R272" s="107"/>
    </row>
    <row r="273" spans="1:18" ht="15" customHeight="1">
      <c r="A273" s="17" t="s">
        <v>38</v>
      </c>
      <c r="B273" s="17" t="s">
        <v>87</v>
      </c>
      <c r="C273" s="18" t="s">
        <v>280</v>
      </c>
      <c r="D273" s="17" t="s">
        <v>46</v>
      </c>
      <c r="E273" s="17" t="s">
        <v>268</v>
      </c>
      <c r="F273" s="17" t="s">
        <v>47</v>
      </c>
      <c r="G273" s="298"/>
      <c r="H273" s="138"/>
      <c r="I273" s="138"/>
      <c r="J273" s="138"/>
      <c r="K273" s="138"/>
      <c r="L273" s="138"/>
      <c r="M273" s="138"/>
      <c r="N273" s="138"/>
      <c r="O273" s="139"/>
      <c r="P273" s="138"/>
      <c r="Q273" s="107"/>
      <c r="R273" s="107"/>
    </row>
    <row r="274" spans="1:18" ht="15" customHeight="1">
      <c r="A274" s="17" t="s">
        <v>26</v>
      </c>
      <c r="B274" s="17" t="s">
        <v>27</v>
      </c>
      <c r="C274" s="18" t="s">
        <v>255</v>
      </c>
      <c r="D274" s="17" t="s">
        <v>28</v>
      </c>
      <c r="E274" s="17" t="s">
        <v>270</v>
      </c>
      <c r="F274" s="17" t="s">
        <v>189</v>
      </c>
      <c r="G274" s="298"/>
      <c r="H274" s="138"/>
      <c r="I274" s="138"/>
      <c r="J274" s="138"/>
      <c r="K274" s="138"/>
      <c r="L274" s="138"/>
      <c r="M274" s="138"/>
      <c r="N274" s="138"/>
      <c r="O274" s="139"/>
      <c r="P274" s="138"/>
      <c r="Q274" s="107"/>
      <c r="R274" s="107"/>
    </row>
    <row r="275" spans="1:18" ht="15" customHeight="1">
      <c r="A275" s="17" t="s">
        <v>48</v>
      </c>
      <c r="B275" s="17" t="s">
        <v>59</v>
      </c>
      <c r="C275" s="18" t="s">
        <v>257</v>
      </c>
      <c r="D275" s="17" t="s">
        <v>53</v>
      </c>
      <c r="E275" s="17" t="s">
        <v>267</v>
      </c>
      <c r="F275" s="17" t="s">
        <v>93</v>
      </c>
      <c r="G275" s="298"/>
      <c r="H275" s="138"/>
      <c r="I275" s="138"/>
      <c r="J275" s="138"/>
      <c r="K275" s="138"/>
      <c r="L275" s="138"/>
      <c r="M275" s="138"/>
      <c r="N275" s="138"/>
      <c r="O275" s="139"/>
      <c r="P275" s="138"/>
      <c r="Q275" s="107"/>
      <c r="R275" s="107"/>
    </row>
    <row r="276" spans="1:18" ht="15" customHeight="1" thickBot="1">
      <c r="A276" s="30" t="s">
        <v>26</v>
      </c>
      <c r="B276" s="30" t="s">
        <v>27</v>
      </c>
      <c r="C276" s="31" t="s">
        <v>255</v>
      </c>
      <c r="D276" s="30" t="s">
        <v>31</v>
      </c>
      <c r="E276" s="30" t="s">
        <v>270</v>
      </c>
      <c r="F276" s="30" t="s">
        <v>190</v>
      </c>
      <c r="G276" s="299"/>
      <c r="H276" s="140"/>
      <c r="I276" s="140"/>
      <c r="J276" s="140"/>
      <c r="K276" s="140"/>
      <c r="L276" s="140"/>
      <c r="M276" s="140"/>
      <c r="N276" s="140"/>
      <c r="O276" s="141"/>
      <c r="P276" s="140"/>
      <c r="Q276" s="142"/>
      <c r="R276" s="142"/>
    </row>
    <row r="277" spans="1:18" ht="17.45" customHeight="1" thickBot="1">
      <c r="A277" s="283"/>
      <c r="B277" s="284"/>
      <c r="C277" s="284"/>
      <c r="D277" s="284"/>
      <c r="E277" s="284"/>
      <c r="F277" s="284"/>
      <c r="G277" s="284"/>
      <c r="H277" s="284"/>
      <c r="I277" s="284"/>
      <c r="J277" s="284"/>
      <c r="K277" s="284"/>
      <c r="L277" s="284"/>
      <c r="M277" s="284"/>
      <c r="N277" s="284"/>
      <c r="O277" s="284"/>
      <c r="P277" s="284"/>
      <c r="Q277" s="284"/>
      <c r="R277" s="285"/>
    </row>
    <row r="278" spans="1:18" ht="22.15" customHeight="1" thickTop="1" thickBot="1">
      <c r="A278" s="279" t="s">
        <v>6</v>
      </c>
      <c r="B278" s="295"/>
      <c r="C278" s="295"/>
      <c r="D278" s="295"/>
      <c r="E278" s="295"/>
      <c r="F278" s="296"/>
      <c r="G278" s="32">
        <v>46050</v>
      </c>
      <c r="H278" s="278" t="s">
        <v>7</v>
      </c>
      <c r="I278" s="295"/>
      <c r="J278" s="295"/>
      <c r="K278" s="295"/>
      <c r="L278" s="295"/>
      <c r="M278" s="295"/>
      <c r="N278" s="295"/>
      <c r="O278" s="295"/>
      <c r="P278" s="295"/>
      <c r="Q278" s="295"/>
      <c r="R278" s="296"/>
    </row>
    <row r="279" spans="1:18" ht="24" customHeight="1">
      <c r="A279" s="33" t="s">
        <v>8</v>
      </c>
      <c r="B279" s="33" t="s">
        <v>9</v>
      </c>
      <c r="C279" s="34" t="s">
        <v>10</v>
      </c>
      <c r="D279" s="33" t="s">
        <v>11</v>
      </c>
      <c r="E279" s="33" t="s">
        <v>12</v>
      </c>
      <c r="F279" s="35" t="s">
        <v>13</v>
      </c>
      <c r="G279" s="36" t="s">
        <v>14</v>
      </c>
      <c r="H279" s="33" t="s">
        <v>15</v>
      </c>
      <c r="I279" s="37" t="s">
        <v>16</v>
      </c>
      <c r="J279" s="38" t="s">
        <v>17</v>
      </c>
      <c r="K279" s="39" t="s">
        <v>18</v>
      </c>
      <c r="L279" s="38" t="s">
        <v>19</v>
      </c>
      <c r="M279" s="38" t="s">
        <v>20</v>
      </c>
      <c r="N279" s="38" t="s">
        <v>21</v>
      </c>
      <c r="O279" s="33" t="s">
        <v>22</v>
      </c>
      <c r="P279" s="34" t="s">
        <v>23</v>
      </c>
      <c r="Q279" s="38" t="s">
        <v>24</v>
      </c>
      <c r="R279" s="33" t="s">
        <v>25</v>
      </c>
    </row>
    <row r="280" spans="1:18" ht="15" customHeight="1">
      <c r="A280" s="67" t="s">
        <v>61</v>
      </c>
      <c r="B280" s="67" t="s">
        <v>262</v>
      </c>
      <c r="C280" s="68">
        <v>0.77777777777777779</v>
      </c>
      <c r="D280" s="67" t="s">
        <v>63</v>
      </c>
      <c r="E280" s="67" t="s">
        <v>103</v>
      </c>
      <c r="F280" s="67" t="s">
        <v>291</v>
      </c>
      <c r="G280" s="302"/>
      <c r="H280" s="69" t="s">
        <v>263</v>
      </c>
      <c r="I280" s="70">
        <v>2.2200000000000001E-2</v>
      </c>
      <c r="J280" s="71">
        <v>4</v>
      </c>
      <c r="K280" s="72">
        <v>46338</v>
      </c>
      <c r="L280" s="71">
        <v>6</v>
      </c>
      <c r="M280" s="71">
        <v>0</v>
      </c>
      <c r="N280" s="71">
        <v>0</v>
      </c>
      <c r="O280" s="73" t="s">
        <v>306</v>
      </c>
      <c r="P280" s="74">
        <v>0.77777777777777779</v>
      </c>
      <c r="Q280" s="71">
        <v>180</v>
      </c>
      <c r="R280" s="75" t="s">
        <v>307</v>
      </c>
    </row>
    <row r="281" spans="1:18" ht="18">
      <c r="A281" s="292" t="s">
        <v>266</v>
      </c>
      <c r="B281" s="303"/>
      <c r="C281" s="303"/>
      <c r="D281" s="303"/>
      <c r="E281" s="303"/>
      <c r="F281" s="304"/>
      <c r="G281" s="298"/>
      <c r="H281" s="138"/>
      <c r="I281" s="138"/>
      <c r="J281" s="138"/>
      <c r="K281" s="138"/>
      <c r="L281" s="138"/>
      <c r="M281" s="138"/>
      <c r="N281" s="138"/>
      <c r="O281" s="139"/>
      <c r="P281" s="138"/>
      <c r="Q281" s="107"/>
      <c r="R281" s="107"/>
    </row>
    <row r="282" spans="1:18" ht="15" customHeight="1">
      <c r="A282" s="17" t="s">
        <v>38</v>
      </c>
      <c r="B282" s="17" t="s">
        <v>39</v>
      </c>
      <c r="C282" s="18" t="s">
        <v>257</v>
      </c>
      <c r="D282" s="17" t="s">
        <v>40</v>
      </c>
      <c r="E282" s="17" t="s">
        <v>308</v>
      </c>
      <c r="F282" s="17" t="s">
        <v>78</v>
      </c>
      <c r="G282" s="298"/>
      <c r="H282" s="138"/>
      <c r="I282" s="138"/>
      <c r="J282" s="138"/>
      <c r="K282" s="138"/>
      <c r="L282" s="138"/>
      <c r="M282" s="138"/>
      <c r="N282" s="138"/>
      <c r="O282" s="139"/>
      <c r="P282" s="138"/>
      <c r="Q282" s="107"/>
      <c r="R282" s="107"/>
    </row>
    <row r="283" spans="1:18" ht="15" customHeight="1">
      <c r="A283" s="17" t="s">
        <v>26</v>
      </c>
      <c r="B283" s="17" t="s">
        <v>27</v>
      </c>
      <c r="C283" s="18" t="s">
        <v>255</v>
      </c>
      <c r="D283" s="17" t="s">
        <v>28</v>
      </c>
      <c r="E283" s="17" t="s">
        <v>294</v>
      </c>
      <c r="F283" s="17" t="s">
        <v>89</v>
      </c>
      <c r="G283" s="298"/>
      <c r="H283" s="138"/>
      <c r="I283" s="138"/>
      <c r="J283" s="138"/>
      <c r="K283" s="138"/>
      <c r="L283" s="138"/>
      <c r="M283" s="138"/>
      <c r="N283" s="138"/>
      <c r="O283" s="139"/>
      <c r="P283" s="138"/>
      <c r="Q283" s="107"/>
      <c r="R283" s="107"/>
    </row>
    <row r="284" spans="1:18" ht="15" customHeight="1">
      <c r="A284" s="17" t="s">
        <v>38</v>
      </c>
      <c r="B284" s="17" t="s">
        <v>39</v>
      </c>
      <c r="C284" s="18" t="s">
        <v>257</v>
      </c>
      <c r="D284" s="17" t="s">
        <v>43</v>
      </c>
      <c r="E284" s="17" t="s">
        <v>308</v>
      </c>
      <c r="F284" s="17" t="s">
        <v>79</v>
      </c>
      <c r="G284" s="298"/>
      <c r="H284" s="138"/>
      <c r="I284" s="138"/>
      <c r="J284" s="138"/>
      <c r="K284" s="138"/>
      <c r="L284" s="138"/>
      <c r="M284" s="138"/>
      <c r="N284" s="138"/>
      <c r="O284" s="139"/>
      <c r="P284" s="138"/>
      <c r="Q284" s="107"/>
      <c r="R284" s="107"/>
    </row>
    <row r="285" spans="1:18" ht="15" customHeight="1">
      <c r="A285" s="17" t="s">
        <v>26</v>
      </c>
      <c r="B285" s="17" t="s">
        <v>27</v>
      </c>
      <c r="C285" s="18" t="s">
        <v>255</v>
      </c>
      <c r="D285" s="17" t="s">
        <v>31</v>
      </c>
      <c r="E285" s="17" t="s">
        <v>294</v>
      </c>
      <c r="F285" s="17" t="s">
        <v>138</v>
      </c>
      <c r="G285" s="298"/>
      <c r="H285" s="138"/>
      <c r="I285" s="138"/>
      <c r="J285" s="138"/>
      <c r="K285" s="138"/>
      <c r="L285" s="138"/>
      <c r="M285" s="138"/>
      <c r="N285" s="138"/>
      <c r="O285" s="139"/>
      <c r="P285" s="138"/>
      <c r="Q285" s="107"/>
      <c r="R285" s="107"/>
    </row>
    <row r="286" spans="1:18" ht="15" customHeight="1">
      <c r="A286" s="17" t="s">
        <v>26</v>
      </c>
      <c r="B286" s="17" t="s">
        <v>27</v>
      </c>
      <c r="C286" s="18" t="s">
        <v>255</v>
      </c>
      <c r="D286" s="17" t="s">
        <v>34</v>
      </c>
      <c r="E286" s="17" t="s">
        <v>294</v>
      </c>
      <c r="F286" s="17" t="s">
        <v>139</v>
      </c>
      <c r="G286" s="298"/>
      <c r="H286" s="138"/>
      <c r="I286" s="138"/>
      <c r="J286" s="138"/>
      <c r="K286" s="138"/>
      <c r="L286" s="138"/>
      <c r="M286" s="138"/>
      <c r="N286" s="138"/>
      <c r="O286" s="139"/>
      <c r="P286" s="138"/>
      <c r="Q286" s="107"/>
      <c r="R286" s="107"/>
    </row>
    <row r="287" spans="1:18" ht="15" customHeight="1">
      <c r="A287" s="17" t="s">
        <v>38</v>
      </c>
      <c r="B287" s="17" t="s">
        <v>39</v>
      </c>
      <c r="C287" s="18" t="s">
        <v>257</v>
      </c>
      <c r="D287" s="17" t="s">
        <v>46</v>
      </c>
      <c r="E287" s="17" t="s">
        <v>308</v>
      </c>
      <c r="F287" s="17" t="s">
        <v>47</v>
      </c>
      <c r="G287" s="298"/>
      <c r="H287" s="138"/>
      <c r="I287" s="138"/>
      <c r="J287" s="138"/>
      <c r="K287" s="138"/>
      <c r="L287" s="138"/>
      <c r="M287" s="138"/>
      <c r="N287" s="138"/>
      <c r="O287" s="139"/>
      <c r="P287" s="138"/>
      <c r="Q287" s="107"/>
      <c r="R287" s="107"/>
    </row>
    <row r="288" spans="1:18" ht="15" customHeight="1">
      <c r="A288" s="17" t="s">
        <v>48</v>
      </c>
      <c r="B288" s="17" t="s">
        <v>59</v>
      </c>
      <c r="C288" s="18" t="s">
        <v>257</v>
      </c>
      <c r="D288" s="17" t="s">
        <v>53</v>
      </c>
      <c r="E288" s="17" t="s">
        <v>267</v>
      </c>
      <c r="F288" s="17" t="s">
        <v>93</v>
      </c>
      <c r="G288" s="298"/>
      <c r="H288" s="138"/>
      <c r="I288" s="138"/>
      <c r="J288" s="138"/>
      <c r="K288" s="138"/>
      <c r="L288" s="138"/>
      <c r="M288" s="138"/>
      <c r="N288" s="138"/>
      <c r="O288" s="139"/>
      <c r="P288" s="138"/>
      <c r="Q288" s="107"/>
      <c r="R288" s="107"/>
    </row>
    <row r="289" spans="1:18" ht="15" customHeight="1">
      <c r="A289" s="17" t="s">
        <v>68</v>
      </c>
      <c r="B289" s="17" t="s">
        <v>74</v>
      </c>
      <c r="C289" s="18" t="s">
        <v>282</v>
      </c>
      <c r="D289" s="17" t="s">
        <v>70</v>
      </c>
      <c r="E289" s="17" t="s">
        <v>269</v>
      </c>
      <c r="F289" s="17" t="s">
        <v>169</v>
      </c>
      <c r="G289" s="298"/>
      <c r="H289" s="138"/>
      <c r="I289" s="138"/>
      <c r="J289" s="138"/>
      <c r="K289" s="138"/>
      <c r="L289" s="138"/>
      <c r="M289" s="138"/>
      <c r="N289" s="138"/>
      <c r="O289" s="139"/>
      <c r="P289" s="138"/>
      <c r="Q289" s="107"/>
      <c r="R289" s="107"/>
    </row>
    <row r="290" spans="1:18" ht="15" customHeight="1">
      <c r="A290" s="17" t="s">
        <v>68</v>
      </c>
      <c r="B290" s="17" t="s">
        <v>76</v>
      </c>
      <c r="C290" s="18" t="s">
        <v>272</v>
      </c>
      <c r="D290" s="17" t="s">
        <v>70</v>
      </c>
      <c r="E290" s="17" t="s">
        <v>269</v>
      </c>
      <c r="F290" s="17" t="s">
        <v>169</v>
      </c>
      <c r="G290" s="298"/>
      <c r="H290" s="138"/>
      <c r="I290" s="138"/>
      <c r="J290" s="138"/>
      <c r="K290" s="138"/>
      <c r="L290" s="138"/>
      <c r="M290" s="138"/>
      <c r="N290" s="138"/>
      <c r="O290" s="139"/>
      <c r="P290" s="138"/>
      <c r="Q290" s="107"/>
      <c r="R290" s="107"/>
    </row>
    <row r="291" spans="1:18" ht="15" customHeight="1" thickBot="1">
      <c r="A291" s="30" t="s">
        <v>68</v>
      </c>
      <c r="B291" s="30" t="s">
        <v>73</v>
      </c>
      <c r="C291" s="31" t="s">
        <v>274</v>
      </c>
      <c r="D291" s="30" t="s">
        <v>70</v>
      </c>
      <c r="E291" s="30" t="s">
        <v>269</v>
      </c>
      <c r="F291" s="30" t="s">
        <v>169</v>
      </c>
      <c r="G291" s="299"/>
      <c r="H291" s="140"/>
      <c r="I291" s="140"/>
      <c r="J291" s="140"/>
      <c r="K291" s="140"/>
      <c r="L291" s="140"/>
      <c r="M291" s="140"/>
      <c r="N291" s="140"/>
      <c r="O291" s="141"/>
      <c r="P291" s="140"/>
      <c r="Q291" s="142"/>
      <c r="R291" s="142"/>
    </row>
    <row r="292" spans="1:18" ht="17.45" customHeight="1" thickBot="1">
      <c r="A292" s="283"/>
      <c r="B292" s="284"/>
      <c r="C292" s="284"/>
      <c r="D292" s="284"/>
      <c r="E292" s="284"/>
      <c r="F292" s="284"/>
      <c r="G292" s="284"/>
      <c r="H292" s="284"/>
      <c r="I292" s="284"/>
      <c r="J292" s="284"/>
      <c r="K292" s="284"/>
      <c r="L292" s="284"/>
      <c r="M292" s="284"/>
      <c r="N292" s="284"/>
      <c r="O292" s="284"/>
      <c r="P292" s="284"/>
      <c r="Q292" s="284"/>
      <c r="R292" s="285"/>
    </row>
    <row r="293" spans="1:18" ht="22.15" customHeight="1" thickTop="1" thickBot="1">
      <c r="A293" s="279" t="s">
        <v>6</v>
      </c>
      <c r="B293" s="295"/>
      <c r="C293" s="295"/>
      <c r="D293" s="295"/>
      <c r="E293" s="295"/>
      <c r="F293" s="296"/>
      <c r="G293" s="32">
        <v>46051</v>
      </c>
      <c r="H293" s="278" t="s">
        <v>7</v>
      </c>
      <c r="I293" s="295"/>
      <c r="J293" s="295"/>
      <c r="K293" s="295"/>
      <c r="L293" s="295"/>
      <c r="M293" s="295"/>
      <c r="N293" s="295"/>
      <c r="O293" s="295"/>
      <c r="P293" s="295"/>
      <c r="Q293" s="295"/>
      <c r="R293" s="296"/>
    </row>
    <row r="294" spans="1:18" ht="24" customHeight="1">
      <c r="A294" s="33" t="s">
        <v>8</v>
      </c>
      <c r="B294" s="33" t="s">
        <v>9</v>
      </c>
      <c r="C294" s="34" t="s">
        <v>10</v>
      </c>
      <c r="D294" s="33" t="s">
        <v>11</v>
      </c>
      <c r="E294" s="33" t="s">
        <v>12</v>
      </c>
      <c r="F294" s="35" t="s">
        <v>13</v>
      </c>
      <c r="G294" s="36" t="s">
        <v>14</v>
      </c>
      <c r="H294" s="33" t="s">
        <v>15</v>
      </c>
      <c r="I294" s="37" t="s">
        <v>16</v>
      </c>
      <c r="J294" s="38" t="s">
        <v>17</v>
      </c>
      <c r="K294" s="39" t="s">
        <v>18</v>
      </c>
      <c r="L294" s="38" t="s">
        <v>19</v>
      </c>
      <c r="M294" s="38" t="s">
        <v>20</v>
      </c>
      <c r="N294" s="38" t="s">
        <v>21</v>
      </c>
      <c r="O294" s="33" t="s">
        <v>22</v>
      </c>
      <c r="P294" s="34" t="s">
        <v>23</v>
      </c>
      <c r="Q294" s="38" t="s">
        <v>24</v>
      </c>
      <c r="R294" s="33" t="s">
        <v>25</v>
      </c>
    </row>
    <row r="295" spans="1:18" ht="15" customHeight="1">
      <c r="A295" s="98" t="s">
        <v>61</v>
      </c>
      <c r="B295" s="98" t="s">
        <v>262</v>
      </c>
      <c r="C295" s="99">
        <v>0.47916666666666669</v>
      </c>
      <c r="D295" s="98" t="s">
        <v>63</v>
      </c>
      <c r="E295" s="98" t="s">
        <v>126</v>
      </c>
      <c r="F295" s="98" t="s">
        <v>309</v>
      </c>
      <c r="G295" s="302"/>
      <c r="H295" s="100" t="s">
        <v>263</v>
      </c>
      <c r="I295" s="101">
        <v>0.1278</v>
      </c>
      <c r="J295" s="102">
        <v>23</v>
      </c>
      <c r="K295" s="103">
        <v>46344</v>
      </c>
      <c r="L295" s="102">
        <v>23</v>
      </c>
      <c r="M295" s="102">
        <v>0</v>
      </c>
      <c r="N295" s="102">
        <v>0</v>
      </c>
      <c r="O295" s="104" t="s">
        <v>310</v>
      </c>
      <c r="P295" s="105">
        <v>0.47916666666666669</v>
      </c>
      <c r="Q295" s="102">
        <v>180</v>
      </c>
      <c r="R295" s="106" t="s">
        <v>311</v>
      </c>
    </row>
    <row r="296" spans="1:18" ht="18">
      <c r="A296" s="292" t="s">
        <v>266</v>
      </c>
      <c r="B296" s="303"/>
      <c r="C296" s="303"/>
      <c r="D296" s="303"/>
      <c r="E296" s="303"/>
      <c r="F296" s="304"/>
      <c r="G296" s="298"/>
      <c r="H296" s="138"/>
      <c r="I296" s="138"/>
      <c r="J296" s="138"/>
      <c r="K296" s="138"/>
      <c r="L296" s="138"/>
      <c r="M296" s="138"/>
      <c r="N296" s="138"/>
      <c r="O296" s="139"/>
      <c r="P296" s="138"/>
      <c r="Q296" s="107"/>
      <c r="R296" s="107"/>
    </row>
    <row r="297" spans="1:18" ht="15" customHeight="1">
      <c r="A297" s="17" t="s">
        <v>38</v>
      </c>
      <c r="B297" s="17" t="s">
        <v>39</v>
      </c>
      <c r="C297" s="18" t="s">
        <v>257</v>
      </c>
      <c r="D297" s="17" t="s">
        <v>40</v>
      </c>
      <c r="E297" s="17" t="s">
        <v>303</v>
      </c>
      <c r="F297" s="17" t="s">
        <v>78</v>
      </c>
      <c r="G297" s="298"/>
      <c r="H297" s="138"/>
      <c r="I297" s="138"/>
      <c r="J297" s="138"/>
      <c r="K297" s="138"/>
      <c r="L297" s="138"/>
      <c r="M297" s="138"/>
      <c r="N297" s="138"/>
      <c r="O297" s="139"/>
      <c r="P297" s="138"/>
      <c r="Q297" s="107"/>
      <c r="R297" s="107"/>
    </row>
    <row r="298" spans="1:18" ht="15" customHeight="1">
      <c r="A298" s="17" t="s">
        <v>38</v>
      </c>
      <c r="B298" s="17" t="s">
        <v>87</v>
      </c>
      <c r="C298" s="18" t="s">
        <v>280</v>
      </c>
      <c r="D298" s="17" t="s">
        <v>40</v>
      </c>
      <c r="E298" s="17" t="s">
        <v>312</v>
      </c>
      <c r="F298" s="17" t="s">
        <v>78</v>
      </c>
      <c r="G298" s="298"/>
      <c r="H298" s="138"/>
      <c r="I298" s="138"/>
      <c r="J298" s="138"/>
      <c r="K298" s="138"/>
      <c r="L298" s="138"/>
      <c r="M298" s="138"/>
      <c r="N298" s="138"/>
      <c r="O298" s="139"/>
      <c r="P298" s="138"/>
      <c r="Q298" s="107"/>
      <c r="R298" s="107"/>
    </row>
    <row r="299" spans="1:18" ht="15" customHeight="1">
      <c r="A299" s="17" t="s">
        <v>26</v>
      </c>
      <c r="B299" s="17" t="s">
        <v>27</v>
      </c>
      <c r="C299" s="18" t="s">
        <v>255</v>
      </c>
      <c r="D299" s="17" t="s">
        <v>28</v>
      </c>
      <c r="E299" s="17" t="s">
        <v>277</v>
      </c>
      <c r="F299" s="17" t="s">
        <v>89</v>
      </c>
      <c r="G299" s="298"/>
      <c r="H299" s="138"/>
      <c r="I299" s="138"/>
      <c r="J299" s="138"/>
      <c r="K299" s="138"/>
      <c r="L299" s="138"/>
      <c r="M299" s="138"/>
      <c r="N299" s="138"/>
      <c r="O299" s="139"/>
      <c r="P299" s="138"/>
      <c r="Q299" s="107"/>
      <c r="R299" s="107"/>
    </row>
    <row r="300" spans="1:18" ht="15" customHeight="1">
      <c r="A300" s="17" t="s">
        <v>38</v>
      </c>
      <c r="B300" s="17" t="s">
        <v>39</v>
      </c>
      <c r="C300" s="18" t="s">
        <v>257</v>
      </c>
      <c r="D300" s="17" t="s">
        <v>43</v>
      </c>
      <c r="E300" s="17" t="s">
        <v>303</v>
      </c>
      <c r="F300" s="17" t="s">
        <v>79</v>
      </c>
      <c r="G300" s="298"/>
      <c r="H300" s="138"/>
      <c r="I300" s="138"/>
      <c r="J300" s="138"/>
      <c r="K300" s="138"/>
      <c r="L300" s="138"/>
      <c r="M300" s="138"/>
      <c r="N300" s="138"/>
      <c r="O300" s="139"/>
      <c r="P300" s="138"/>
      <c r="Q300" s="107"/>
      <c r="R300" s="107"/>
    </row>
    <row r="301" spans="1:18" ht="15" customHeight="1">
      <c r="A301" s="17" t="s">
        <v>38</v>
      </c>
      <c r="B301" s="17" t="s">
        <v>87</v>
      </c>
      <c r="C301" s="18" t="s">
        <v>280</v>
      </c>
      <c r="D301" s="17" t="s">
        <v>43</v>
      </c>
      <c r="E301" s="17" t="s">
        <v>312</v>
      </c>
      <c r="F301" s="17" t="s">
        <v>79</v>
      </c>
      <c r="G301" s="298"/>
      <c r="H301" s="138"/>
      <c r="I301" s="138"/>
      <c r="J301" s="138"/>
      <c r="K301" s="138"/>
      <c r="L301" s="138"/>
      <c r="M301" s="138"/>
      <c r="N301" s="138"/>
      <c r="O301" s="139"/>
      <c r="P301" s="138"/>
      <c r="Q301" s="107"/>
      <c r="R301" s="107"/>
    </row>
    <row r="302" spans="1:18" ht="15" customHeight="1">
      <c r="A302" s="17" t="s">
        <v>26</v>
      </c>
      <c r="B302" s="17" t="s">
        <v>27</v>
      </c>
      <c r="C302" s="18" t="s">
        <v>255</v>
      </c>
      <c r="D302" s="17" t="s">
        <v>31</v>
      </c>
      <c r="E302" s="17" t="s">
        <v>277</v>
      </c>
      <c r="F302" s="17" t="s">
        <v>138</v>
      </c>
      <c r="G302" s="298"/>
      <c r="H302" s="138"/>
      <c r="I302" s="138"/>
      <c r="J302" s="138"/>
      <c r="K302" s="138"/>
      <c r="L302" s="138"/>
      <c r="M302" s="138"/>
      <c r="N302" s="138"/>
      <c r="O302" s="139"/>
      <c r="P302" s="138"/>
      <c r="Q302" s="107"/>
      <c r="R302" s="107"/>
    </row>
    <row r="303" spans="1:18" ht="15" customHeight="1">
      <c r="A303" s="17" t="s">
        <v>26</v>
      </c>
      <c r="B303" s="17" t="s">
        <v>36</v>
      </c>
      <c r="C303" s="18" t="s">
        <v>256</v>
      </c>
      <c r="D303" s="17" t="s">
        <v>28</v>
      </c>
      <c r="E303" s="17" t="s">
        <v>267</v>
      </c>
      <c r="F303" s="17" t="s">
        <v>162</v>
      </c>
      <c r="G303" s="298"/>
      <c r="H303" s="138"/>
      <c r="I303" s="138"/>
      <c r="J303" s="138"/>
      <c r="K303" s="138"/>
      <c r="L303" s="138"/>
      <c r="M303" s="138"/>
      <c r="N303" s="138"/>
      <c r="O303" s="139"/>
      <c r="P303" s="138"/>
      <c r="Q303" s="107"/>
      <c r="R303" s="107"/>
    </row>
    <row r="304" spans="1:18" ht="15" customHeight="1">
      <c r="A304" s="17" t="s">
        <v>61</v>
      </c>
      <c r="B304" s="17" t="s">
        <v>62</v>
      </c>
      <c r="C304" s="18" t="s">
        <v>231</v>
      </c>
      <c r="D304" s="17" t="s">
        <v>63</v>
      </c>
      <c r="E304" s="17" t="s">
        <v>269</v>
      </c>
      <c r="F304" s="17" t="s">
        <v>64</v>
      </c>
      <c r="G304" s="298"/>
      <c r="H304" s="138"/>
      <c r="I304" s="138"/>
      <c r="J304" s="138"/>
      <c r="K304" s="138"/>
      <c r="L304" s="138"/>
      <c r="M304" s="138"/>
      <c r="N304" s="138"/>
      <c r="O304" s="139"/>
      <c r="P304" s="138"/>
      <c r="Q304" s="107"/>
      <c r="R304" s="107"/>
    </row>
    <row r="305" spans="1:18" ht="15" customHeight="1">
      <c r="A305" s="17" t="s">
        <v>26</v>
      </c>
      <c r="B305" s="17" t="s">
        <v>27</v>
      </c>
      <c r="C305" s="18" t="s">
        <v>255</v>
      </c>
      <c r="D305" s="17" t="s">
        <v>34</v>
      </c>
      <c r="E305" s="17" t="s">
        <v>277</v>
      </c>
      <c r="F305" s="17" t="s">
        <v>139</v>
      </c>
      <c r="G305" s="298"/>
      <c r="H305" s="138"/>
      <c r="I305" s="138"/>
      <c r="J305" s="138"/>
      <c r="K305" s="138"/>
      <c r="L305" s="138"/>
      <c r="M305" s="138"/>
      <c r="N305" s="138"/>
      <c r="O305" s="139"/>
      <c r="P305" s="138"/>
      <c r="Q305" s="107"/>
      <c r="R305" s="107"/>
    </row>
    <row r="306" spans="1:18" ht="15" customHeight="1" thickBot="1">
      <c r="A306" s="30" t="s">
        <v>26</v>
      </c>
      <c r="B306" s="30" t="s">
        <v>36</v>
      </c>
      <c r="C306" s="31" t="s">
        <v>256</v>
      </c>
      <c r="D306" s="30" t="s">
        <v>31</v>
      </c>
      <c r="E306" s="30" t="s">
        <v>267</v>
      </c>
      <c r="F306" s="30" t="s">
        <v>178</v>
      </c>
      <c r="G306" s="299"/>
      <c r="H306" s="140"/>
      <c r="I306" s="140"/>
      <c r="J306" s="140"/>
      <c r="K306" s="140"/>
      <c r="L306" s="140"/>
      <c r="M306" s="140"/>
      <c r="N306" s="140"/>
      <c r="O306" s="141"/>
      <c r="P306" s="140"/>
      <c r="Q306" s="142"/>
      <c r="R306" s="142"/>
    </row>
    <row r="307" spans="1:18" ht="17.45" customHeight="1" thickBot="1">
      <c r="A307" s="283"/>
      <c r="B307" s="284"/>
      <c r="C307" s="284"/>
      <c r="D307" s="284"/>
      <c r="E307" s="284"/>
      <c r="F307" s="284"/>
      <c r="G307" s="284"/>
      <c r="H307" s="284"/>
      <c r="I307" s="284"/>
      <c r="J307" s="284"/>
      <c r="K307" s="284"/>
      <c r="L307" s="284"/>
      <c r="M307" s="284"/>
      <c r="N307" s="284"/>
      <c r="O307" s="284"/>
      <c r="P307" s="284"/>
      <c r="Q307" s="284"/>
      <c r="R307" s="285"/>
    </row>
    <row r="308" spans="1:18" ht="15" thickTop="1"/>
  </sheetData>
  <mergeCells count="107">
    <mergeCell ref="A277:R277"/>
    <mergeCell ref="A292:R292"/>
    <mergeCell ref="H1:L1"/>
    <mergeCell ref="A1:E1"/>
    <mergeCell ref="G189:G201"/>
    <mergeCell ref="A160:F160"/>
    <mergeCell ref="A175:F175"/>
    <mergeCell ref="A2:F2"/>
    <mergeCell ref="A278:F278"/>
    <mergeCell ref="A69:F69"/>
    <mergeCell ref="H157:R157"/>
    <mergeCell ref="G22:G33"/>
    <mergeCell ref="A203:F203"/>
    <mergeCell ref="A8:F8"/>
    <mergeCell ref="G6:G18"/>
    <mergeCell ref="A247:R247"/>
    <mergeCell ref="G2:J2"/>
    <mergeCell ref="N1:R1"/>
    <mergeCell ref="A115:F115"/>
    <mergeCell ref="G280:G291"/>
    <mergeCell ref="A95:R95"/>
    <mergeCell ref="G295:G306"/>
    <mergeCell ref="A263:F263"/>
    <mergeCell ref="H142:R142"/>
    <mergeCell ref="A20:F20"/>
    <mergeCell ref="A141:R141"/>
    <mergeCell ref="A126:R126"/>
    <mergeCell ref="A81:F81"/>
    <mergeCell ref="A262:R262"/>
    <mergeCell ref="A19:R19"/>
    <mergeCell ref="H218:R218"/>
    <mergeCell ref="G113:G125"/>
    <mergeCell ref="H81:R81"/>
    <mergeCell ref="A51:F51"/>
    <mergeCell ref="A232:R232"/>
    <mergeCell ref="A266:F266"/>
    <mergeCell ref="G205:G216"/>
    <mergeCell ref="G235:G246"/>
    <mergeCell ref="H172:R172"/>
    <mergeCell ref="A172:F172"/>
    <mergeCell ref="A99:F99"/>
    <mergeCell ref="A221:F221"/>
    <mergeCell ref="A236:F236"/>
    <mergeCell ref="A217:R217"/>
    <mergeCell ref="G159:G170"/>
    <mergeCell ref="A307:R307"/>
    <mergeCell ref="A35:F35"/>
    <mergeCell ref="A206:F206"/>
    <mergeCell ref="A171:R171"/>
    <mergeCell ref="G174:G185"/>
    <mergeCell ref="A127:F127"/>
    <mergeCell ref="A34:R34"/>
    <mergeCell ref="H111:R111"/>
    <mergeCell ref="A142:F142"/>
    <mergeCell ref="G53:G64"/>
    <mergeCell ref="H233:R233"/>
    <mergeCell ref="A191:F191"/>
    <mergeCell ref="H96:R96"/>
    <mergeCell ref="A296:F296"/>
    <mergeCell ref="H248:R248"/>
    <mergeCell ref="G68:G79"/>
    <mergeCell ref="A218:F218"/>
    <mergeCell ref="A54:F54"/>
    <mergeCell ref="A65:R65"/>
    <mergeCell ref="G265:G276"/>
    <mergeCell ref="A80:R80"/>
    <mergeCell ref="A145:F145"/>
    <mergeCell ref="G144:G155"/>
    <mergeCell ref="A251:F251"/>
    <mergeCell ref="A293:F293"/>
    <mergeCell ref="A156:R156"/>
    <mergeCell ref="H187:R187"/>
    <mergeCell ref="A111:F111"/>
    <mergeCell ref="H278:R278"/>
    <mergeCell ref="G98:G109"/>
    <mergeCell ref="K2:R2"/>
    <mergeCell ref="A157:F157"/>
    <mergeCell ref="A39:F39"/>
    <mergeCell ref="H66:R66"/>
    <mergeCell ref="H293:R293"/>
    <mergeCell ref="G220:G231"/>
    <mergeCell ref="A281:F281"/>
    <mergeCell ref="A110:R110"/>
    <mergeCell ref="H263:R263"/>
    <mergeCell ref="G83:G94"/>
    <mergeCell ref="H20:R20"/>
    <mergeCell ref="A233:F233"/>
    <mergeCell ref="A248:F248"/>
    <mergeCell ref="H4:R4"/>
    <mergeCell ref="A50:R50"/>
    <mergeCell ref="H127:R127"/>
    <mergeCell ref="A3:R3"/>
    <mergeCell ref="G37:G49"/>
    <mergeCell ref="A23:F23"/>
    <mergeCell ref="H51:R51"/>
    <mergeCell ref="A4:F4"/>
    <mergeCell ref="A96:F96"/>
    <mergeCell ref="H203:R203"/>
    <mergeCell ref="A130:F130"/>
    <mergeCell ref="A202:R202"/>
    <mergeCell ref="A186:R186"/>
    <mergeCell ref="G250:G261"/>
    <mergeCell ref="A187:F187"/>
    <mergeCell ref="G129:G140"/>
    <mergeCell ref="A84:F84"/>
    <mergeCell ref="H35:R35"/>
    <mergeCell ref="A66:F6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9"/>
  <sheetViews>
    <sheetView workbookViewId="0"/>
  </sheetViews>
  <sheetFormatPr defaultColWidth="8.85546875" defaultRowHeight="15.6" outlineLevelCol="1"/>
  <cols>
    <col min="1" max="1" width="11.5703125" style="266" bestFit="1" customWidth="1"/>
    <col min="2" max="2" width="9.7109375" style="266" bestFit="1" customWidth="1"/>
    <col min="3" max="3" width="6.7109375" style="266" bestFit="1" customWidth="1"/>
    <col min="4" max="4" width="5.5703125" style="266" bestFit="1" customWidth="1"/>
    <col min="5" max="5" width="9.140625" style="266" bestFit="1" customWidth="1"/>
    <col min="6" max="6" width="4.28515625" style="266" bestFit="1" customWidth="1"/>
    <col min="7" max="7" width="8.42578125" style="266" bestFit="1" customWidth="1"/>
    <col min="8" max="8" width="8.5703125" style="266" bestFit="1" customWidth="1"/>
    <col min="9"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6" width="3.85546875" style="266" bestFit="1" customWidth="1"/>
    <col min="27" max="27" width="4" style="266" bestFit="1" customWidth="1"/>
    <col min="28" max="34" width="3.85546875" style="266" bestFit="1" customWidth="1"/>
    <col min="35" max="35" width="4.28515625" style="266" bestFit="1" customWidth="1"/>
    <col min="36"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230</v>
      </c>
      <c r="B2" s="268">
        <v>46023</v>
      </c>
      <c r="C2" s="269" t="s">
        <v>263</v>
      </c>
      <c r="D2" s="270" t="s">
        <v>313</v>
      </c>
      <c r="E2" s="269" t="s">
        <v>261</v>
      </c>
      <c r="F2" s="269" t="s">
        <v>232</v>
      </c>
      <c r="G2" s="271">
        <v>1.67E-2</v>
      </c>
      <c r="H2" s="272">
        <v>180</v>
      </c>
      <c r="I2" s="272">
        <v>3</v>
      </c>
      <c r="J2" s="272">
        <v>0</v>
      </c>
      <c r="K2" s="269" t="s">
        <v>233</v>
      </c>
      <c r="L2" s="273">
        <v>46340</v>
      </c>
      <c r="M2" s="272">
        <v>0</v>
      </c>
      <c r="N2" s="272">
        <v>0</v>
      </c>
      <c r="O2" s="272">
        <v>3</v>
      </c>
      <c r="P2" s="269" t="s">
        <v>183</v>
      </c>
      <c r="Q2" s="265"/>
      <c r="R2" s="265"/>
      <c r="S2" s="265"/>
      <c r="T2" s="265"/>
      <c r="U2" s="265"/>
      <c r="V2" s="265"/>
      <c r="W2" s="265"/>
      <c r="X2" s="265"/>
      <c r="Y2" s="265"/>
      <c r="Z2" s="265"/>
      <c r="AA2" s="265"/>
      <c r="AB2" s="272" t="s">
        <v>184</v>
      </c>
      <c r="AC2" s="265"/>
      <c r="AD2" s="265"/>
      <c r="AE2" s="265"/>
      <c r="AF2" s="265"/>
      <c r="AG2" s="265"/>
      <c r="AH2" s="265"/>
      <c r="AI2" s="265"/>
      <c r="AJ2" s="265"/>
    </row>
    <row r="3" spans="1:36">
      <c r="A3" s="267" t="s">
        <v>236</v>
      </c>
      <c r="B3" s="268">
        <v>46026</v>
      </c>
      <c r="C3" s="269" t="s">
        <v>263</v>
      </c>
      <c r="D3" s="270" t="s">
        <v>235</v>
      </c>
      <c r="E3" s="269" t="s">
        <v>261</v>
      </c>
      <c r="F3" s="269" t="s">
        <v>232</v>
      </c>
      <c r="G3" s="271">
        <v>0</v>
      </c>
      <c r="H3" s="272">
        <v>180</v>
      </c>
      <c r="I3" s="272">
        <v>0</v>
      </c>
      <c r="J3" s="272">
        <v>0</v>
      </c>
      <c r="K3" s="269" t="s">
        <v>233</v>
      </c>
      <c r="L3" s="273" t="s">
        <v>66</v>
      </c>
      <c r="M3" s="272">
        <v>0</v>
      </c>
      <c r="N3" s="272">
        <v>0</v>
      </c>
      <c r="O3" s="272">
        <v>0</v>
      </c>
      <c r="P3" s="269" t="s">
        <v>67</v>
      </c>
      <c r="Q3" s="265"/>
      <c r="R3" s="265"/>
      <c r="S3" s="265"/>
      <c r="T3" s="265"/>
      <c r="U3" s="265"/>
      <c r="V3" s="265"/>
      <c r="W3" s="265"/>
      <c r="X3" s="265"/>
      <c r="Y3" s="265"/>
      <c r="Z3" s="265"/>
      <c r="AA3" s="265"/>
      <c r="AB3" s="265"/>
      <c r="AC3" s="265"/>
      <c r="AD3" s="265"/>
      <c r="AE3" s="265"/>
      <c r="AF3" s="265"/>
      <c r="AG3" s="265"/>
      <c r="AH3" s="265"/>
      <c r="AI3" s="265"/>
      <c r="AJ3" s="265"/>
    </row>
    <row r="4" spans="1:36">
      <c r="A4" s="267" t="s">
        <v>242</v>
      </c>
      <c r="B4" s="268">
        <v>46028</v>
      </c>
      <c r="C4" s="269" t="s">
        <v>263</v>
      </c>
      <c r="D4" s="270" t="s">
        <v>314</v>
      </c>
      <c r="E4" s="269" t="s">
        <v>261</v>
      </c>
      <c r="F4" s="269" t="s">
        <v>232</v>
      </c>
      <c r="G4" s="271">
        <v>6.1100000000000002E-2</v>
      </c>
      <c r="H4" s="272">
        <v>180</v>
      </c>
      <c r="I4" s="272">
        <v>11</v>
      </c>
      <c r="J4" s="272">
        <v>0</v>
      </c>
      <c r="K4" s="269" t="s">
        <v>233</v>
      </c>
      <c r="L4" s="273">
        <v>46344</v>
      </c>
      <c r="M4" s="272">
        <v>0</v>
      </c>
      <c r="N4" s="272">
        <v>0</v>
      </c>
      <c r="O4" s="272">
        <v>11</v>
      </c>
      <c r="P4" s="269" t="s">
        <v>164</v>
      </c>
      <c r="Q4" s="265"/>
      <c r="R4" s="265"/>
      <c r="S4" s="265"/>
      <c r="T4" s="265"/>
      <c r="U4" s="265"/>
      <c r="V4" s="265"/>
      <c r="W4" s="265"/>
      <c r="X4" s="265"/>
      <c r="Y4" s="265"/>
      <c r="Z4" s="265"/>
      <c r="AA4" s="265"/>
      <c r="AB4" s="272" t="s">
        <v>164</v>
      </c>
      <c r="AC4" s="272" t="s">
        <v>292</v>
      </c>
      <c r="AD4" s="265"/>
      <c r="AE4" s="265"/>
      <c r="AF4" s="265"/>
      <c r="AG4" s="265"/>
      <c r="AH4" s="265"/>
      <c r="AI4" s="265"/>
      <c r="AJ4" s="265"/>
    </row>
    <row r="5" spans="1:36">
      <c r="A5" s="267" t="s">
        <v>315</v>
      </c>
      <c r="B5" s="268">
        <v>46029</v>
      </c>
      <c r="C5" s="269" t="s">
        <v>263</v>
      </c>
      <c r="D5" s="270" t="s">
        <v>316</v>
      </c>
      <c r="E5" s="269" t="s">
        <v>261</v>
      </c>
      <c r="F5" s="269" t="s">
        <v>232</v>
      </c>
      <c r="G5" s="271">
        <v>0.26669999999999999</v>
      </c>
      <c r="H5" s="272">
        <v>180</v>
      </c>
      <c r="I5" s="272">
        <v>48</v>
      </c>
      <c r="J5" s="272">
        <v>45</v>
      </c>
      <c r="K5" s="269" t="s">
        <v>233</v>
      </c>
      <c r="L5" s="273">
        <v>46331</v>
      </c>
      <c r="M5" s="272">
        <v>0</v>
      </c>
      <c r="N5" s="272">
        <v>0</v>
      </c>
      <c r="O5" s="272">
        <v>4</v>
      </c>
      <c r="P5" s="269" t="s">
        <v>183</v>
      </c>
      <c r="Q5" s="265"/>
      <c r="R5" s="265"/>
      <c r="S5" s="265"/>
      <c r="T5" s="265"/>
      <c r="U5" s="265"/>
      <c r="V5" s="265"/>
      <c r="W5" s="265"/>
      <c r="X5" s="265"/>
      <c r="Y5" s="265"/>
      <c r="Z5" s="265"/>
      <c r="AA5" s="265"/>
      <c r="AB5" s="272" t="s">
        <v>184</v>
      </c>
      <c r="AC5" s="265"/>
      <c r="AD5" s="265"/>
      <c r="AE5" s="265"/>
      <c r="AF5" s="265"/>
      <c r="AG5" s="265"/>
      <c r="AH5" s="265"/>
      <c r="AI5" s="272" t="s">
        <v>239</v>
      </c>
      <c r="AJ5" s="265"/>
    </row>
    <row r="6" spans="1:36">
      <c r="A6" s="267" t="s">
        <v>230</v>
      </c>
      <c r="B6" s="268">
        <v>46030</v>
      </c>
      <c r="C6" s="269" t="s">
        <v>263</v>
      </c>
      <c r="D6" s="270" t="s">
        <v>313</v>
      </c>
      <c r="E6" s="269" t="s">
        <v>261</v>
      </c>
      <c r="F6" s="269" t="s">
        <v>232</v>
      </c>
      <c r="G6" s="271">
        <v>0.2611</v>
      </c>
      <c r="H6" s="272">
        <v>180</v>
      </c>
      <c r="I6" s="272">
        <v>47</v>
      </c>
      <c r="J6" s="272">
        <v>45</v>
      </c>
      <c r="K6" s="269" t="s">
        <v>233</v>
      </c>
      <c r="L6" s="273">
        <v>46338</v>
      </c>
      <c r="M6" s="272">
        <v>0</v>
      </c>
      <c r="N6" s="272">
        <v>0</v>
      </c>
      <c r="O6" s="272">
        <v>3</v>
      </c>
      <c r="P6" s="269" t="s">
        <v>101</v>
      </c>
      <c r="Q6" s="265"/>
      <c r="R6" s="265"/>
      <c r="S6" s="265"/>
      <c r="T6" s="265"/>
      <c r="U6" s="265"/>
      <c r="V6" s="265"/>
      <c r="W6" s="265"/>
      <c r="X6" s="265"/>
      <c r="Y6" s="265"/>
      <c r="Z6" s="265"/>
      <c r="AA6" s="265"/>
      <c r="AB6" s="272" t="s">
        <v>164</v>
      </c>
      <c r="AC6" s="265"/>
      <c r="AD6" s="265"/>
      <c r="AE6" s="265"/>
      <c r="AF6" s="265"/>
      <c r="AG6" s="265"/>
      <c r="AH6" s="265"/>
      <c r="AI6" s="272" t="s">
        <v>239</v>
      </c>
      <c r="AJ6" s="265"/>
    </row>
    <row r="7" spans="1:36">
      <c r="A7" s="267" t="s">
        <v>236</v>
      </c>
      <c r="B7" s="268">
        <v>46033</v>
      </c>
      <c r="C7" s="269" t="s">
        <v>263</v>
      </c>
      <c r="D7" s="270" t="s">
        <v>235</v>
      </c>
      <c r="E7" s="269" t="s">
        <v>261</v>
      </c>
      <c r="F7" s="269" t="s">
        <v>232</v>
      </c>
      <c r="G7" s="271">
        <v>5.5999999999999999E-3</v>
      </c>
      <c r="H7" s="272">
        <v>180</v>
      </c>
      <c r="I7" s="272">
        <v>1</v>
      </c>
      <c r="J7" s="272">
        <v>0</v>
      </c>
      <c r="K7" s="269" t="s">
        <v>233</v>
      </c>
      <c r="L7" s="273">
        <v>46308</v>
      </c>
      <c r="M7" s="272">
        <v>0</v>
      </c>
      <c r="N7" s="272">
        <v>0</v>
      </c>
      <c r="O7" s="272">
        <v>1</v>
      </c>
      <c r="P7" s="269" t="s">
        <v>67</v>
      </c>
      <c r="Q7" s="265"/>
      <c r="R7" s="265"/>
      <c r="S7" s="265"/>
      <c r="T7" s="265"/>
      <c r="U7" s="265"/>
      <c r="V7" s="265"/>
      <c r="W7" s="265"/>
      <c r="X7" s="265"/>
      <c r="Y7" s="265"/>
      <c r="Z7" s="265"/>
      <c r="AA7" s="265"/>
      <c r="AB7" s="272" t="s">
        <v>128</v>
      </c>
      <c r="AC7" s="265"/>
      <c r="AD7" s="265"/>
      <c r="AE7" s="265"/>
      <c r="AF7" s="265"/>
      <c r="AG7" s="265"/>
      <c r="AH7" s="265"/>
      <c r="AI7" s="265"/>
      <c r="AJ7" s="265"/>
    </row>
    <row r="8" spans="1:36">
      <c r="A8" s="267" t="s">
        <v>242</v>
      </c>
      <c r="B8" s="268">
        <v>46035</v>
      </c>
      <c r="C8" s="269" t="s">
        <v>263</v>
      </c>
      <c r="D8" s="270" t="s">
        <v>314</v>
      </c>
      <c r="E8" s="269" t="s">
        <v>261</v>
      </c>
      <c r="F8" s="269" t="s">
        <v>232</v>
      </c>
      <c r="G8" s="271">
        <v>0</v>
      </c>
      <c r="H8" s="272">
        <v>180</v>
      </c>
      <c r="I8" s="272">
        <v>0</v>
      </c>
      <c r="J8" s="272">
        <v>0</v>
      </c>
      <c r="K8" s="269" t="s">
        <v>233</v>
      </c>
      <c r="L8" s="273" t="s">
        <v>66</v>
      </c>
      <c r="M8" s="272">
        <v>0</v>
      </c>
      <c r="N8" s="272">
        <v>0</v>
      </c>
      <c r="O8" s="272">
        <v>0</v>
      </c>
      <c r="P8" s="269" t="s">
        <v>292</v>
      </c>
      <c r="Q8" s="265"/>
      <c r="R8" s="265"/>
      <c r="S8" s="265"/>
      <c r="T8" s="265"/>
      <c r="U8" s="265"/>
      <c r="V8" s="265"/>
      <c r="W8" s="265"/>
      <c r="X8" s="265"/>
      <c r="Y8" s="265"/>
      <c r="Z8" s="265"/>
      <c r="AA8" s="265"/>
      <c r="AB8" s="265"/>
      <c r="AC8" s="265"/>
      <c r="AD8" s="265"/>
      <c r="AE8" s="265"/>
      <c r="AF8" s="265"/>
      <c r="AG8" s="265"/>
      <c r="AH8" s="265"/>
      <c r="AI8" s="265"/>
      <c r="AJ8" s="265"/>
    </row>
    <row r="9" spans="1:36">
      <c r="A9" s="267" t="s">
        <v>315</v>
      </c>
      <c r="B9" s="268">
        <v>46036</v>
      </c>
      <c r="C9" s="269" t="s">
        <v>263</v>
      </c>
      <c r="D9" s="270" t="s">
        <v>316</v>
      </c>
      <c r="E9" s="269" t="s">
        <v>261</v>
      </c>
      <c r="F9" s="269" t="s">
        <v>232</v>
      </c>
      <c r="G9" s="271">
        <v>0</v>
      </c>
      <c r="H9" s="272">
        <v>180</v>
      </c>
      <c r="I9" s="272">
        <v>0</v>
      </c>
      <c r="J9" s="272">
        <v>0</v>
      </c>
      <c r="K9" s="269" t="s">
        <v>233</v>
      </c>
      <c r="L9" s="273" t="s">
        <v>66</v>
      </c>
      <c r="M9" s="272">
        <v>0</v>
      </c>
      <c r="N9" s="272">
        <v>0</v>
      </c>
      <c r="O9" s="272">
        <v>0</v>
      </c>
      <c r="P9" s="269" t="s">
        <v>67</v>
      </c>
      <c r="Q9" s="265"/>
      <c r="R9" s="265"/>
      <c r="S9" s="265"/>
      <c r="T9" s="265"/>
      <c r="U9" s="265"/>
      <c r="V9" s="265"/>
      <c r="W9" s="265"/>
      <c r="X9" s="265"/>
      <c r="Y9" s="265"/>
      <c r="Z9" s="265"/>
      <c r="AA9" s="265"/>
      <c r="AB9" s="265"/>
      <c r="AC9" s="265"/>
      <c r="AD9" s="265"/>
      <c r="AE9" s="265"/>
      <c r="AF9" s="265"/>
      <c r="AG9" s="265"/>
      <c r="AH9" s="265"/>
      <c r="AI9" s="265"/>
      <c r="AJ9" s="265"/>
    </row>
    <row r="10" spans="1:36">
      <c r="A10" s="267" t="s">
        <v>230</v>
      </c>
      <c r="B10" s="268">
        <v>46037</v>
      </c>
      <c r="C10" s="269" t="s">
        <v>263</v>
      </c>
      <c r="D10" s="270" t="s">
        <v>313</v>
      </c>
      <c r="E10" s="269" t="s">
        <v>261</v>
      </c>
      <c r="F10" s="269" t="s">
        <v>232</v>
      </c>
      <c r="G10" s="271">
        <v>5.5999999999999999E-3</v>
      </c>
      <c r="H10" s="272">
        <v>180</v>
      </c>
      <c r="I10" s="272">
        <v>1</v>
      </c>
      <c r="J10" s="272">
        <v>0</v>
      </c>
      <c r="K10" s="269" t="s">
        <v>233</v>
      </c>
      <c r="L10" s="273">
        <v>46344</v>
      </c>
      <c r="M10" s="272">
        <v>0</v>
      </c>
      <c r="N10" s="272">
        <v>0</v>
      </c>
      <c r="O10" s="272">
        <v>1</v>
      </c>
      <c r="P10" s="269" t="s">
        <v>67</v>
      </c>
      <c r="Q10" s="265"/>
      <c r="R10" s="265"/>
      <c r="S10" s="265"/>
      <c r="T10" s="265"/>
      <c r="U10" s="265"/>
      <c r="V10" s="265"/>
      <c r="W10" s="265"/>
      <c r="X10" s="265"/>
      <c r="Y10" s="265"/>
      <c r="Z10" s="265"/>
      <c r="AA10" s="265"/>
      <c r="AB10" s="272" t="s">
        <v>128</v>
      </c>
      <c r="AC10" s="265"/>
      <c r="AD10" s="265"/>
      <c r="AE10" s="265"/>
      <c r="AF10" s="265"/>
      <c r="AG10" s="265"/>
      <c r="AH10" s="265"/>
      <c r="AI10" s="265"/>
      <c r="AJ10" s="265"/>
    </row>
    <row r="11" spans="1:36">
      <c r="A11" s="267" t="s">
        <v>236</v>
      </c>
      <c r="B11" s="268">
        <v>46040</v>
      </c>
      <c r="C11" s="269" t="s">
        <v>263</v>
      </c>
      <c r="D11" s="270" t="s">
        <v>235</v>
      </c>
      <c r="E11" s="269" t="s">
        <v>261</v>
      </c>
      <c r="F11" s="269" t="s">
        <v>232</v>
      </c>
      <c r="G11" s="271">
        <v>1.67E-2</v>
      </c>
      <c r="H11" s="272">
        <v>180</v>
      </c>
      <c r="I11" s="272">
        <v>3</v>
      </c>
      <c r="J11" s="272">
        <v>0</v>
      </c>
      <c r="K11" s="269" t="s">
        <v>233</v>
      </c>
      <c r="L11" s="273">
        <v>46344</v>
      </c>
      <c r="M11" s="272">
        <v>0</v>
      </c>
      <c r="N11" s="272">
        <v>0</v>
      </c>
      <c r="O11" s="272">
        <v>4</v>
      </c>
      <c r="P11" s="269" t="s">
        <v>183</v>
      </c>
      <c r="Q11" s="265"/>
      <c r="R11" s="265"/>
      <c r="S11" s="265"/>
      <c r="T11" s="265"/>
      <c r="U11" s="265"/>
      <c r="V11" s="265"/>
      <c r="W11" s="265"/>
      <c r="X11" s="265"/>
      <c r="Y11" s="265"/>
      <c r="Z11" s="265"/>
      <c r="AA11" s="265"/>
      <c r="AB11" s="272" t="s">
        <v>184</v>
      </c>
      <c r="AC11" s="265"/>
      <c r="AD11" s="265"/>
      <c r="AE11" s="265"/>
      <c r="AF11" s="265"/>
      <c r="AG11" s="265"/>
      <c r="AH11" s="265"/>
      <c r="AI11" s="265"/>
      <c r="AJ11" s="265"/>
    </row>
    <row r="12" spans="1:36">
      <c r="A12" s="267" t="s">
        <v>242</v>
      </c>
      <c r="B12" s="268">
        <v>46042</v>
      </c>
      <c r="C12" s="269" t="s">
        <v>263</v>
      </c>
      <c r="D12" s="270" t="s">
        <v>314</v>
      </c>
      <c r="E12" s="269" t="s">
        <v>261</v>
      </c>
      <c r="F12" s="269" t="s">
        <v>232</v>
      </c>
      <c r="G12" s="271">
        <v>6.1100000000000002E-2</v>
      </c>
      <c r="H12" s="272">
        <v>180</v>
      </c>
      <c r="I12" s="272">
        <v>11</v>
      </c>
      <c r="J12" s="272">
        <v>0</v>
      </c>
      <c r="K12" s="269" t="s">
        <v>233</v>
      </c>
      <c r="L12" s="273">
        <v>46342</v>
      </c>
      <c r="M12" s="272">
        <v>0</v>
      </c>
      <c r="N12" s="272">
        <v>0</v>
      </c>
      <c r="O12" s="272">
        <v>11</v>
      </c>
      <c r="P12" s="269" t="s">
        <v>164</v>
      </c>
      <c r="Q12" s="265"/>
      <c r="R12" s="265"/>
      <c r="S12" s="265"/>
      <c r="T12" s="265"/>
      <c r="U12" s="265"/>
      <c r="V12" s="265"/>
      <c r="W12" s="265"/>
      <c r="X12" s="265"/>
      <c r="Y12" s="265"/>
      <c r="Z12" s="265"/>
      <c r="AA12" s="265"/>
      <c r="AB12" s="272" t="s">
        <v>164</v>
      </c>
      <c r="AC12" s="272" t="s">
        <v>292</v>
      </c>
      <c r="AD12" s="265"/>
      <c r="AE12" s="265"/>
      <c r="AF12" s="265"/>
      <c r="AG12" s="265"/>
      <c r="AH12" s="265"/>
      <c r="AI12" s="265"/>
      <c r="AJ12" s="265"/>
    </row>
    <row r="13" spans="1:36">
      <c r="A13" s="267" t="s">
        <v>315</v>
      </c>
      <c r="B13" s="268">
        <v>46043</v>
      </c>
      <c r="C13" s="269" t="s">
        <v>263</v>
      </c>
      <c r="D13" s="270" t="s">
        <v>316</v>
      </c>
      <c r="E13" s="269" t="s">
        <v>261</v>
      </c>
      <c r="F13" s="269" t="s">
        <v>232</v>
      </c>
      <c r="G13" s="271">
        <v>3.8899999999999997E-2</v>
      </c>
      <c r="H13" s="272">
        <v>180</v>
      </c>
      <c r="I13" s="272">
        <v>7</v>
      </c>
      <c r="J13" s="272">
        <v>0</v>
      </c>
      <c r="K13" s="269" t="s">
        <v>233</v>
      </c>
      <c r="L13" s="273">
        <v>46337</v>
      </c>
      <c r="M13" s="272">
        <v>0</v>
      </c>
      <c r="N13" s="272">
        <v>0</v>
      </c>
      <c r="O13" s="272">
        <v>7</v>
      </c>
      <c r="P13" s="269" t="s">
        <v>298</v>
      </c>
      <c r="Q13" s="265"/>
      <c r="R13" s="265"/>
      <c r="S13" s="265"/>
      <c r="T13" s="265"/>
      <c r="U13" s="265"/>
      <c r="V13" s="265"/>
      <c r="W13" s="265"/>
      <c r="X13" s="265"/>
      <c r="Y13" s="265"/>
      <c r="Z13" s="265"/>
      <c r="AA13" s="265"/>
      <c r="AB13" s="265"/>
      <c r="AC13" s="272" t="s">
        <v>299</v>
      </c>
      <c r="AD13" s="265"/>
      <c r="AE13" s="265"/>
      <c r="AF13" s="265"/>
      <c r="AG13" s="265"/>
      <c r="AH13" s="265"/>
      <c r="AI13" s="265"/>
      <c r="AJ13" s="265"/>
    </row>
    <row r="14" spans="1:36">
      <c r="A14" s="267" t="s">
        <v>230</v>
      </c>
      <c r="B14" s="268">
        <v>46044</v>
      </c>
      <c r="C14" s="269" t="s">
        <v>263</v>
      </c>
      <c r="D14" s="270" t="s">
        <v>313</v>
      </c>
      <c r="E14" s="269" t="s">
        <v>261</v>
      </c>
      <c r="F14" s="269" t="s">
        <v>232</v>
      </c>
      <c r="G14" s="271">
        <v>0.05</v>
      </c>
      <c r="H14" s="272">
        <v>180</v>
      </c>
      <c r="I14" s="272">
        <v>9</v>
      </c>
      <c r="J14" s="272">
        <v>0</v>
      </c>
      <c r="K14" s="269" t="s">
        <v>233</v>
      </c>
      <c r="L14" s="273">
        <v>46332</v>
      </c>
      <c r="M14" s="272">
        <v>0</v>
      </c>
      <c r="N14" s="272">
        <v>0</v>
      </c>
      <c r="O14" s="272">
        <v>9</v>
      </c>
      <c r="P14" s="269" t="s">
        <v>300</v>
      </c>
      <c r="Q14" s="265"/>
      <c r="R14" s="265"/>
      <c r="S14" s="265"/>
      <c r="T14" s="265"/>
      <c r="U14" s="265"/>
      <c r="V14" s="265"/>
      <c r="W14" s="265"/>
      <c r="X14" s="265"/>
      <c r="Y14" s="265"/>
      <c r="Z14" s="265"/>
      <c r="AA14" s="265"/>
      <c r="AB14" s="265"/>
      <c r="AC14" s="272" t="s">
        <v>292</v>
      </c>
      <c r="AD14" s="265"/>
      <c r="AE14" s="265"/>
      <c r="AF14" s="265"/>
      <c r="AG14" s="265"/>
      <c r="AH14" s="265"/>
      <c r="AI14" s="265"/>
      <c r="AJ14" s="265"/>
    </row>
    <row r="15" spans="1:36">
      <c r="A15" s="267" t="s">
        <v>236</v>
      </c>
      <c r="B15" s="268">
        <v>46047</v>
      </c>
      <c r="C15" s="269" t="s">
        <v>263</v>
      </c>
      <c r="D15" s="270" t="s">
        <v>235</v>
      </c>
      <c r="E15" s="269" t="s">
        <v>261</v>
      </c>
      <c r="F15" s="269" t="s">
        <v>232</v>
      </c>
      <c r="G15" s="271">
        <v>5.5999999999999999E-3</v>
      </c>
      <c r="H15" s="272">
        <v>180</v>
      </c>
      <c r="I15" s="272">
        <v>1</v>
      </c>
      <c r="J15" s="272">
        <v>0</v>
      </c>
      <c r="K15" s="269" t="s">
        <v>233</v>
      </c>
      <c r="L15" s="273">
        <v>46343</v>
      </c>
      <c r="M15" s="272">
        <v>0</v>
      </c>
      <c r="N15" s="272">
        <v>0</v>
      </c>
      <c r="O15" s="272">
        <v>2</v>
      </c>
      <c r="P15" s="269" t="s">
        <v>301</v>
      </c>
      <c r="Q15" s="265"/>
      <c r="R15" s="265"/>
      <c r="S15" s="265"/>
      <c r="T15" s="265"/>
      <c r="U15" s="265"/>
      <c r="V15" s="265"/>
      <c r="W15" s="265"/>
      <c r="X15" s="265"/>
      <c r="Y15" s="265"/>
      <c r="Z15" s="265"/>
      <c r="AA15" s="265"/>
      <c r="AB15" s="265"/>
      <c r="AC15" s="272" t="s">
        <v>302</v>
      </c>
      <c r="AD15" s="265"/>
      <c r="AE15" s="265"/>
      <c r="AF15" s="265"/>
      <c r="AG15" s="265"/>
      <c r="AH15" s="265"/>
      <c r="AI15" s="265"/>
      <c r="AJ15" s="265"/>
    </row>
    <row r="16" spans="1:36">
      <c r="A16" s="267" t="s">
        <v>242</v>
      </c>
      <c r="B16" s="268">
        <v>46049</v>
      </c>
      <c r="C16" s="269" t="s">
        <v>263</v>
      </c>
      <c r="D16" s="270" t="s">
        <v>314</v>
      </c>
      <c r="E16" s="269" t="s">
        <v>261</v>
      </c>
      <c r="F16" s="269" t="s">
        <v>232</v>
      </c>
      <c r="G16" s="271">
        <v>3.3300000000000003E-2</v>
      </c>
      <c r="H16" s="272">
        <v>180</v>
      </c>
      <c r="I16" s="272">
        <v>6</v>
      </c>
      <c r="J16" s="272">
        <v>0</v>
      </c>
      <c r="K16" s="269" t="s">
        <v>233</v>
      </c>
      <c r="L16" s="273">
        <v>46338</v>
      </c>
      <c r="M16" s="272">
        <v>0</v>
      </c>
      <c r="N16" s="272">
        <v>0</v>
      </c>
      <c r="O16" s="272">
        <v>7</v>
      </c>
      <c r="P16" s="269" t="s">
        <v>304</v>
      </c>
      <c r="Q16" s="265"/>
      <c r="R16" s="265"/>
      <c r="S16" s="265"/>
      <c r="T16" s="265"/>
      <c r="U16" s="265"/>
      <c r="V16" s="265"/>
      <c r="W16" s="265"/>
      <c r="X16" s="265"/>
      <c r="Y16" s="265"/>
      <c r="Z16" s="265"/>
      <c r="AA16" s="265"/>
      <c r="AB16" s="265"/>
      <c r="AC16" s="272" t="s">
        <v>305</v>
      </c>
      <c r="AD16" s="265"/>
      <c r="AE16" s="265"/>
      <c r="AF16" s="265"/>
      <c r="AG16" s="265"/>
      <c r="AH16" s="265"/>
      <c r="AI16" s="265"/>
      <c r="AJ16" s="265"/>
    </row>
    <row r="17" spans="1:36">
      <c r="A17" s="267" t="s">
        <v>315</v>
      </c>
      <c r="B17" s="268">
        <v>46050</v>
      </c>
      <c r="C17" s="269" t="s">
        <v>263</v>
      </c>
      <c r="D17" s="270" t="s">
        <v>316</v>
      </c>
      <c r="E17" s="269" t="s">
        <v>261</v>
      </c>
      <c r="F17" s="269" t="s">
        <v>232</v>
      </c>
      <c r="G17" s="271">
        <v>2.2200000000000001E-2</v>
      </c>
      <c r="H17" s="272">
        <v>180</v>
      </c>
      <c r="I17" s="272">
        <v>4</v>
      </c>
      <c r="J17" s="272">
        <v>0</v>
      </c>
      <c r="K17" s="269" t="s">
        <v>233</v>
      </c>
      <c r="L17" s="273">
        <v>46338</v>
      </c>
      <c r="M17" s="272">
        <v>0</v>
      </c>
      <c r="N17" s="272">
        <v>0</v>
      </c>
      <c r="O17" s="272">
        <v>6</v>
      </c>
      <c r="P17" s="269" t="s">
        <v>306</v>
      </c>
      <c r="Q17" s="265"/>
      <c r="R17" s="265"/>
      <c r="S17" s="265"/>
      <c r="T17" s="265"/>
      <c r="U17" s="265"/>
      <c r="V17" s="265"/>
      <c r="W17" s="265"/>
      <c r="X17" s="265"/>
      <c r="Y17" s="265"/>
      <c r="Z17" s="265"/>
      <c r="AA17" s="265"/>
      <c r="AB17" s="265"/>
      <c r="AC17" s="272" t="s">
        <v>307</v>
      </c>
      <c r="AD17" s="265"/>
      <c r="AE17" s="265"/>
      <c r="AF17" s="265"/>
      <c r="AG17" s="265"/>
      <c r="AH17" s="265"/>
      <c r="AI17" s="265"/>
      <c r="AJ17" s="265"/>
    </row>
    <row r="18" spans="1:36">
      <c r="A18" s="267" t="s">
        <v>230</v>
      </c>
      <c r="B18" s="268">
        <v>46051</v>
      </c>
      <c r="C18" s="269" t="s">
        <v>263</v>
      </c>
      <c r="D18" s="270" t="s">
        <v>313</v>
      </c>
      <c r="E18" s="269" t="s">
        <v>261</v>
      </c>
      <c r="F18" s="269" t="s">
        <v>232</v>
      </c>
      <c r="G18" s="271">
        <v>0.1278</v>
      </c>
      <c r="H18" s="272">
        <v>180</v>
      </c>
      <c r="I18" s="272">
        <v>23</v>
      </c>
      <c r="J18" s="272">
        <v>0</v>
      </c>
      <c r="K18" s="269" t="s">
        <v>233</v>
      </c>
      <c r="L18" s="273">
        <v>46344</v>
      </c>
      <c r="M18" s="272">
        <v>0</v>
      </c>
      <c r="N18" s="272">
        <v>0</v>
      </c>
      <c r="O18" s="272">
        <v>23</v>
      </c>
      <c r="P18" s="269" t="s">
        <v>310</v>
      </c>
      <c r="Q18" s="265"/>
      <c r="R18" s="265"/>
      <c r="S18" s="265"/>
      <c r="T18" s="265"/>
      <c r="U18" s="265"/>
      <c r="V18" s="265"/>
      <c r="W18" s="265"/>
      <c r="X18" s="265"/>
      <c r="Y18" s="265"/>
      <c r="Z18" s="272" t="s">
        <v>317</v>
      </c>
      <c r="AA18" s="272" t="s">
        <v>318</v>
      </c>
      <c r="AB18" s="272" t="s">
        <v>300</v>
      </c>
      <c r="AC18" s="272" t="s">
        <v>292</v>
      </c>
      <c r="AD18" s="265"/>
      <c r="AE18" s="265"/>
      <c r="AF18" s="265"/>
      <c r="AG18" s="265"/>
      <c r="AH18" s="265"/>
      <c r="AI18" s="265"/>
      <c r="AJ18" s="265"/>
    </row>
    <row r="19" spans="1:36" ht="21">
      <c r="A19" s="274" t="s">
        <v>251</v>
      </c>
      <c r="B19" s="275"/>
      <c r="C19" s="274">
        <f>SUBTOTAL(103,HBE_MED_LF_LEGACY[Flt])</f>
        <v>17</v>
      </c>
      <c r="D19" s="274"/>
      <c r="E19" s="274">
        <f>SUBTOTAL(103,HBE_MED_LF_LEGACY[Brd-Off])</f>
        <v>17</v>
      </c>
      <c r="F19" s="274"/>
      <c r="G19" s="276">
        <f>SUBTOTAL(101,HBE_MED_LF_LEGACY[LF%])</f>
        <v>5.7200000000000022E-2</v>
      </c>
      <c r="H19" s="277">
        <f>SUBTOTAL(109,HBE_MED_LF_LEGACY[CAP])</f>
        <v>3060</v>
      </c>
      <c r="I19" s="277">
        <f>SUBTOTAL(109,HBE_MED_LF_LEGACY[BKG(Y)])</f>
        <v>175</v>
      </c>
      <c r="J19" s="277">
        <f>SUBTOTAL(109,HBE_MED_LF_LEGACY[GRP(Y)])</f>
        <v>90</v>
      </c>
      <c r="K19" s="274"/>
      <c r="L19" s="275"/>
      <c r="M19" s="277">
        <f>SUBTOTAL(109,HBE_MED_LF_LEGACY[TO-DAY])</f>
        <v>0</v>
      </c>
      <c r="N19" s="277">
        <f>SUBTOTAL(109,HBE_MED_LF_LEGACY[Y-DAY])</f>
        <v>0</v>
      </c>
      <c r="O19" s="277">
        <f>SUBTOTAL(109,HBE_MED_LF_LEGACY[WEEKLY])</f>
        <v>92</v>
      </c>
      <c r="P19" s="274"/>
      <c r="Q19" s="277">
        <f>SUBTOTAL(109,HBE_MED_LF_LEGACY[Y])</f>
        <v>0</v>
      </c>
      <c r="R19" s="277">
        <f>SUBTOTAL(109,HBE_MED_LF_LEGACY[B])</f>
        <v>0</v>
      </c>
      <c r="S19" s="277">
        <f>SUBTOTAL(109,HBE_MED_LF_LEGACY[M])</f>
        <v>0</v>
      </c>
      <c r="T19" s="277">
        <f>SUBTOTAL(109,HBE_MED_LF_LEGACY[H])</f>
        <v>0</v>
      </c>
      <c r="U19" s="277">
        <f>SUBTOTAL(109,HBE_MED_LF_LEGACY[Q])</f>
        <v>0</v>
      </c>
      <c r="V19" s="277">
        <f>SUBTOTAL(109,HBE_MED_LF_LEGACY[K])</f>
        <v>0</v>
      </c>
      <c r="W19" s="277">
        <f>SUBTOTAL(109,HBE_MED_LF_LEGACY[V])</f>
        <v>0</v>
      </c>
      <c r="X19" s="277">
        <f>SUBTOTAL(109,HBE_MED_LF_LEGACY[L])</f>
        <v>0</v>
      </c>
      <c r="Y19" s="277">
        <f>SUBTOTAL(109,HBE_MED_LF_LEGACY[G])</f>
        <v>0</v>
      </c>
      <c r="Z19" s="277">
        <f>SUBTOTAL(109,HBE_MED_LF_LEGACY[S])</f>
        <v>0</v>
      </c>
      <c r="AA19" s="277">
        <f>SUBTOTAL(109,HBE_MED_LF_LEGACY[W])</f>
        <v>0</v>
      </c>
      <c r="AB19" s="277">
        <f>SUBTOTAL(109,HBE_MED_LF_LEGACY[T])</f>
        <v>0</v>
      </c>
      <c r="AC19" s="277">
        <f>SUBTOTAL(109,HBE_MED_LF_LEGACY[X])</f>
        <v>0</v>
      </c>
      <c r="AD19" s="277">
        <f>SUBTOTAL(109,HBE_MED_LF_LEGACY[U])</f>
        <v>0</v>
      </c>
      <c r="AE19" s="277">
        <f>SUBTOTAL(109,HBE_MED_LF_LEGACY[O])</f>
        <v>0</v>
      </c>
      <c r="AF19" s="277">
        <f>SUBTOTAL(109,HBE_MED_LF_LEGACY[I])</f>
        <v>0</v>
      </c>
      <c r="AG19" s="277">
        <f>SUBTOTAL(109,HBE_MED_LF_LEGACY[E])</f>
        <v>0</v>
      </c>
      <c r="AH19" s="277">
        <f>SUBTOTAL(109,HBE_MED_LF_LEGACY[A])</f>
        <v>0</v>
      </c>
      <c r="AI19" s="277">
        <f>SUBTOTAL(109,HBE_MED_LF_LEGACY[P])</f>
        <v>0</v>
      </c>
      <c r="AJ19" s="277">
        <f>SUBTOTAL(103,HBE_MED_LF_LEGACY[N])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66"/>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33.28515625" bestFit="1" customWidth="1"/>
    <col min="7" max="7" width="20" bestFit="1" customWidth="1"/>
    <col min="8" max="8" width="23.7109375" bestFit="1" customWidth="1"/>
    <col min="9" max="9" width="162.8554687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6" t="s">
        <v>254</v>
      </c>
      <c r="B2" s="117" t="s">
        <v>61</v>
      </c>
      <c r="C2" s="118" t="s">
        <v>262</v>
      </c>
      <c r="D2" s="117" t="s">
        <v>261</v>
      </c>
      <c r="E2" s="117" t="s">
        <v>313</v>
      </c>
      <c r="F2" s="117" t="s">
        <v>63</v>
      </c>
      <c r="G2" s="119">
        <v>7</v>
      </c>
      <c r="H2" s="120" t="s">
        <v>64</v>
      </c>
    </row>
    <row r="3" spans="1:8" ht="19.899999999999999" customHeight="1">
      <c r="A3" s="121">
        <v>46023</v>
      </c>
      <c r="B3" s="112" t="s">
        <v>68</v>
      </c>
      <c r="C3" s="113" t="s">
        <v>264</v>
      </c>
      <c r="D3" s="112" t="s">
        <v>261</v>
      </c>
      <c r="E3" s="122">
        <v>1.3576388888888891</v>
      </c>
      <c r="F3" s="112" t="s">
        <v>70</v>
      </c>
      <c r="G3" s="114">
        <v>9</v>
      </c>
      <c r="H3" s="115" t="s">
        <v>265</v>
      </c>
    </row>
    <row r="4" spans="1:8" ht="19.899999999999999" customHeight="1">
      <c r="A4" s="143"/>
      <c r="B4" s="144"/>
      <c r="C4" s="144"/>
      <c r="D4" s="144"/>
      <c r="E4" s="144"/>
      <c r="F4" s="145" t="s">
        <v>319</v>
      </c>
      <c r="G4" s="144"/>
      <c r="H4" s="146"/>
    </row>
    <row r="5" spans="1:8" ht="19.899999999999999" customHeight="1">
      <c r="A5" s="121">
        <v>46023</v>
      </c>
      <c r="B5" s="112" t="s">
        <v>26</v>
      </c>
      <c r="C5" s="113" t="s">
        <v>27</v>
      </c>
      <c r="D5" s="112" t="s">
        <v>1</v>
      </c>
      <c r="E5" s="122">
        <v>1.6076388888888891</v>
      </c>
      <c r="F5" s="112" t="s">
        <v>28</v>
      </c>
      <c r="G5" s="114">
        <v>4</v>
      </c>
      <c r="H5" s="115" t="s">
        <v>30</v>
      </c>
    </row>
    <row r="6" spans="1:8" ht="19.899999999999999" customHeight="1">
      <c r="A6" s="121">
        <v>46023</v>
      </c>
      <c r="B6" s="112" t="s">
        <v>26</v>
      </c>
      <c r="C6" s="113" t="s">
        <v>36</v>
      </c>
      <c r="D6" s="112" t="s">
        <v>1</v>
      </c>
      <c r="E6" s="122">
        <v>1.4340277777777779</v>
      </c>
      <c r="F6" s="112" t="s">
        <v>28</v>
      </c>
      <c r="G6" s="114">
        <v>4</v>
      </c>
      <c r="H6" s="115" t="s">
        <v>30</v>
      </c>
    </row>
    <row r="7" spans="1:8" ht="19.899999999999999" customHeight="1">
      <c r="A7" s="121">
        <v>46023</v>
      </c>
      <c r="B7" s="112" t="s">
        <v>38</v>
      </c>
      <c r="C7" s="113" t="s">
        <v>39</v>
      </c>
      <c r="D7" s="112" t="s">
        <v>1</v>
      </c>
      <c r="E7" s="122">
        <v>1.229166666666667</v>
      </c>
      <c r="F7" s="112" t="s">
        <v>40</v>
      </c>
      <c r="G7" s="114">
        <v>20</v>
      </c>
      <c r="H7" s="115" t="s">
        <v>42</v>
      </c>
    </row>
    <row r="8" spans="1:8" ht="19.899999999999999" customHeight="1">
      <c r="A8" s="121">
        <v>46023</v>
      </c>
      <c r="B8" s="112" t="s">
        <v>26</v>
      </c>
      <c r="C8" s="113" t="s">
        <v>27</v>
      </c>
      <c r="D8" s="112" t="s">
        <v>1</v>
      </c>
      <c r="E8" s="122">
        <v>1.6076388888888891</v>
      </c>
      <c r="F8" s="112" t="s">
        <v>31</v>
      </c>
      <c r="G8" s="114">
        <v>4</v>
      </c>
      <c r="H8" s="115" t="s">
        <v>33</v>
      </c>
    </row>
    <row r="9" spans="1:8" ht="19.899999999999999" customHeight="1">
      <c r="A9" s="121">
        <v>46023</v>
      </c>
      <c r="B9" s="112" t="s">
        <v>26</v>
      </c>
      <c r="C9" s="113" t="s">
        <v>36</v>
      </c>
      <c r="D9" s="112" t="s">
        <v>1</v>
      </c>
      <c r="E9" s="122">
        <v>1.4340277777777779</v>
      </c>
      <c r="F9" s="112" t="s">
        <v>31</v>
      </c>
      <c r="G9" s="114">
        <v>4</v>
      </c>
      <c r="H9" s="115" t="s">
        <v>33</v>
      </c>
    </row>
    <row r="10" spans="1:8" ht="19.899999999999999" customHeight="1">
      <c r="A10" s="121">
        <v>46023</v>
      </c>
      <c r="B10" s="112" t="s">
        <v>48</v>
      </c>
      <c r="C10" s="113" t="s">
        <v>49</v>
      </c>
      <c r="D10" s="112" t="s">
        <v>1</v>
      </c>
      <c r="E10" s="122">
        <v>1.354166666666667</v>
      </c>
      <c r="F10" s="112" t="s">
        <v>50</v>
      </c>
      <c r="G10" s="114">
        <v>9</v>
      </c>
      <c r="H10" s="115" t="s">
        <v>52</v>
      </c>
    </row>
    <row r="11" spans="1:8" ht="19.899999999999999" customHeight="1">
      <c r="A11" s="121">
        <v>46023</v>
      </c>
      <c r="B11" s="112" t="s">
        <v>48</v>
      </c>
      <c r="C11" s="113" t="s">
        <v>56</v>
      </c>
      <c r="D11" s="112" t="s">
        <v>1</v>
      </c>
      <c r="E11" s="122">
        <v>1.895833333333333</v>
      </c>
      <c r="F11" s="112" t="s">
        <v>50</v>
      </c>
      <c r="G11" s="114">
        <v>9</v>
      </c>
      <c r="H11" s="115" t="s">
        <v>52</v>
      </c>
    </row>
    <row r="12" spans="1:8" ht="19.899999999999999" customHeight="1">
      <c r="A12" s="121">
        <v>46023</v>
      </c>
      <c r="B12" s="112" t="s">
        <v>48</v>
      </c>
      <c r="C12" s="113" t="s">
        <v>58</v>
      </c>
      <c r="D12" s="112" t="s">
        <v>1</v>
      </c>
      <c r="E12" s="122">
        <v>1.1840277777777779</v>
      </c>
      <c r="F12" s="112" t="s">
        <v>50</v>
      </c>
      <c r="G12" s="114">
        <v>9</v>
      </c>
      <c r="H12" s="115" t="s">
        <v>52</v>
      </c>
    </row>
    <row r="13" spans="1:8" ht="19.899999999999999" customHeight="1">
      <c r="A13" s="121">
        <v>46023</v>
      </c>
      <c r="B13" s="112" t="s">
        <v>38</v>
      </c>
      <c r="C13" s="113" t="s">
        <v>39</v>
      </c>
      <c r="D13" s="112" t="s">
        <v>1</v>
      </c>
      <c r="E13" s="122">
        <v>1.229166666666667</v>
      </c>
      <c r="F13" s="112" t="s">
        <v>43</v>
      </c>
      <c r="G13" s="114">
        <v>20</v>
      </c>
      <c r="H13" s="115" t="s">
        <v>45</v>
      </c>
    </row>
    <row r="14" spans="1:8" ht="19.899999999999999" customHeight="1">
      <c r="A14" s="123">
        <v>46023</v>
      </c>
      <c r="B14" s="124" t="s">
        <v>26</v>
      </c>
      <c r="C14" s="125" t="s">
        <v>27</v>
      </c>
      <c r="D14" s="124" t="s">
        <v>1</v>
      </c>
      <c r="E14" s="126">
        <v>1.6076388888888891</v>
      </c>
      <c r="F14" s="124" t="s">
        <v>34</v>
      </c>
      <c r="G14" s="127">
        <v>4</v>
      </c>
      <c r="H14" s="128" t="s">
        <v>35</v>
      </c>
    </row>
    <row r="15" spans="1:8" ht="19.899999999999999" customHeight="1">
      <c r="A15" s="121">
        <v>46024</v>
      </c>
      <c r="B15" s="112" t="s">
        <v>68</v>
      </c>
      <c r="C15" s="113" t="s">
        <v>264</v>
      </c>
      <c r="D15" s="112" t="s">
        <v>261</v>
      </c>
      <c r="E15" s="122">
        <v>1.3576388888888891</v>
      </c>
      <c r="F15" s="112" t="s">
        <v>70</v>
      </c>
      <c r="G15" s="114">
        <v>9</v>
      </c>
      <c r="H15" s="115" t="s">
        <v>265</v>
      </c>
    </row>
    <row r="16" spans="1:8" ht="19.899999999999999" customHeight="1">
      <c r="A16" s="143"/>
      <c r="B16" s="144"/>
      <c r="C16" s="144"/>
      <c r="D16" s="144"/>
      <c r="E16" s="144"/>
      <c r="F16" s="145" t="s">
        <v>319</v>
      </c>
      <c r="G16" s="144"/>
      <c r="H16" s="146"/>
    </row>
    <row r="17" spans="1:8" ht="19.899999999999999" customHeight="1">
      <c r="A17" s="121">
        <v>46024</v>
      </c>
      <c r="B17" s="112" t="s">
        <v>38</v>
      </c>
      <c r="C17" s="113" t="s">
        <v>39</v>
      </c>
      <c r="D17" s="112" t="s">
        <v>1</v>
      </c>
      <c r="E17" s="122">
        <v>1.229166666666667</v>
      </c>
      <c r="F17" s="112" t="s">
        <v>40</v>
      </c>
      <c r="G17" s="114">
        <v>4</v>
      </c>
      <c r="H17" s="115" t="s">
        <v>78</v>
      </c>
    </row>
    <row r="18" spans="1:8" ht="19.899999999999999" customHeight="1">
      <c r="A18" s="121">
        <v>46024</v>
      </c>
      <c r="B18" s="112" t="s">
        <v>26</v>
      </c>
      <c r="C18" s="113" t="s">
        <v>27</v>
      </c>
      <c r="D18" s="112" t="s">
        <v>1</v>
      </c>
      <c r="E18" s="122">
        <v>1.6076388888888891</v>
      </c>
      <c r="F18" s="112" t="s">
        <v>28</v>
      </c>
      <c r="G18" s="114">
        <v>9</v>
      </c>
      <c r="H18" s="115" t="s">
        <v>81</v>
      </c>
    </row>
    <row r="19" spans="1:8" ht="19.899999999999999" customHeight="1">
      <c r="A19" s="121">
        <v>46024</v>
      </c>
      <c r="B19" s="112" t="s">
        <v>26</v>
      </c>
      <c r="C19" s="113" t="s">
        <v>27</v>
      </c>
      <c r="D19" s="112" t="s">
        <v>1</v>
      </c>
      <c r="E19" s="122">
        <v>1.6076388888888891</v>
      </c>
      <c r="F19" s="112" t="s">
        <v>31</v>
      </c>
      <c r="G19" s="114">
        <v>9</v>
      </c>
      <c r="H19" s="115" t="s">
        <v>83</v>
      </c>
    </row>
    <row r="20" spans="1:8" ht="19.899999999999999" customHeight="1">
      <c r="A20" s="121">
        <v>46024</v>
      </c>
      <c r="B20" s="112" t="s">
        <v>38</v>
      </c>
      <c r="C20" s="113" t="s">
        <v>39</v>
      </c>
      <c r="D20" s="112" t="s">
        <v>1</v>
      </c>
      <c r="E20" s="122">
        <v>1.229166666666667</v>
      </c>
      <c r="F20" s="112" t="s">
        <v>43</v>
      </c>
      <c r="G20" s="114">
        <v>4</v>
      </c>
      <c r="H20" s="115" t="s">
        <v>79</v>
      </c>
    </row>
    <row r="21" spans="1:8" ht="19.899999999999999" customHeight="1">
      <c r="A21" s="121">
        <v>46024</v>
      </c>
      <c r="B21" s="112" t="s">
        <v>26</v>
      </c>
      <c r="C21" s="113" t="s">
        <v>27</v>
      </c>
      <c r="D21" s="112" t="s">
        <v>1</v>
      </c>
      <c r="E21" s="122">
        <v>1.6076388888888891</v>
      </c>
      <c r="F21" s="112" t="s">
        <v>34</v>
      </c>
      <c r="G21" s="114">
        <v>9</v>
      </c>
      <c r="H21" s="115" t="s">
        <v>45</v>
      </c>
    </row>
    <row r="22" spans="1:8" ht="19.899999999999999" customHeight="1">
      <c r="A22" s="121">
        <v>46024</v>
      </c>
      <c r="B22" s="112" t="s">
        <v>68</v>
      </c>
      <c r="C22" s="113" t="s">
        <v>69</v>
      </c>
      <c r="D22" s="112" t="s">
        <v>1</v>
      </c>
      <c r="E22" s="122">
        <v>1.9409722222222221</v>
      </c>
      <c r="F22" s="112" t="s">
        <v>70</v>
      </c>
      <c r="G22" s="114">
        <v>9</v>
      </c>
      <c r="H22" s="115" t="s">
        <v>71</v>
      </c>
    </row>
    <row r="23" spans="1:8" ht="19.899999999999999" customHeight="1">
      <c r="A23" s="121">
        <v>46024</v>
      </c>
      <c r="B23" s="112" t="s">
        <v>68</v>
      </c>
      <c r="C23" s="113" t="s">
        <v>76</v>
      </c>
      <c r="D23" s="112" t="s">
        <v>1</v>
      </c>
      <c r="E23" s="122">
        <v>1.697916666666667</v>
      </c>
      <c r="F23" s="112" t="s">
        <v>70</v>
      </c>
      <c r="G23" s="114">
        <v>9</v>
      </c>
      <c r="H23" s="115" t="s">
        <v>71</v>
      </c>
    </row>
    <row r="24" spans="1:8" ht="19.899999999999999" customHeight="1">
      <c r="A24" s="121">
        <v>46024</v>
      </c>
      <c r="B24" s="112" t="s">
        <v>68</v>
      </c>
      <c r="C24" s="113" t="s">
        <v>72</v>
      </c>
      <c r="D24" s="112" t="s">
        <v>1</v>
      </c>
      <c r="E24" s="122">
        <v>1.0659722222222221</v>
      </c>
      <c r="F24" s="112" t="s">
        <v>70</v>
      </c>
      <c r="G24" s="114">
        <v>9</v>
      </c>
      <c r="H24" s="115" t="s">
        <v>71</v>
      </c>
    </row>
    <row r="25" spans="1:8" ht="19.899999999999999" customHeight="1">
      <c r="A25" s="121">
        <v>46024</v>
      </c>
      <c r="B25" s="112" t="s">
        <v>68</v>
      </c>
      <c r="C25" s="113" t="s">
        <v>73</v>
      </c>
      <c r="D25" s="112" t="s">
        <v>1</v>
      </c>
      <c r="E25" s="122">
        <v>1.288194444444444</v>
      </c>
      <c r="F25" s="112" t="s">
        <v>70</v>
      </c>
      <c r="G25" s="114">
        <v>9</v>
      </c>
      <c r="H25" s="115" t="s">
        <v>71</v>
      </c>
    </row>
    <row r="26" spans="1:8" ht="19.899999999999999" customHeight="1">
      <c r="A26" s="123">
        <v>46024</v>
      </c>
      <c r="B26" s="124" t="s">
        <v>38</v>
      </c>
      <c r="C26" s="125" t="s">
        <v>39</v>
      </c>
      <c r="D26" s="124" t="s">
        <v>1</v>
      </c>
      <c r="E26" s="126">
        <v>1.229166666666667</v>
      </c>
      <c r="F26" s="124" t="s">
        <v>46</v>
      </c>
      <c r="G26" s="127">
        <v>4</v>
      </c>
      <c r="H26" s="128" t="s">
        <v>47</v>
      </c>
    </row>
    <row r="27" spans="1:8" ht="19.899999999999999" customHeight="1">
      <c r="A27" s="143"/>
      <c r="B27" s="144"/>
      <c r="C27" s="144"/>
      <c r="D27" s="144"/>
      <c r="E27" s="144"/>
      <c r="F27" s="145" t="s">
        <v>319</v>
      </c>
      <c r="G27" s="144"/>
      <c r="H27" s="146"/>
    </row>
    <row r="28" spans="1:8" ht="19.899999999999999" customHeight="1">
      <c r="A28" s="121">
        <v>46025</v>
      </c>
      <c r="B28" s="112" t="s">
        <v>38</v>
      </c>
      <c r="C28" s="113" t="s">
        <v>87</v>
      </c>
      <c r="D28" s="112" t="s">
        <v>1</v>
      </c>
      <c r="E28" s="122">
        <v>1.0625</v>
      </c>
      <c r="F28" s="112" t="s">
        <v>40</v>
      </c>
      <c r="G28" s="114">
        <v>20</v>
      </c>
      <c r="H28" s="115" t="s">
        <v>88</v>
      </c>
    </row>
    <row r="29" spans="1:8" ht="19.899999999999999" customHeight="1">
      <c r="A29" s="121">
        <v>46025</v>
      </c>
      <c r="B29" s="112" t="s">
        <v>38</v>
      </c>
      <c r="C29" s="113" t="s">
        <v>39</v>
      </c>
      <c r="D29" s="112" t="s">
        <v>1</v>
      </c>
      <c r="E29" s="122">
        <v>1.229166666666667</v>
      </c>
      <c r="F29" s="112" t="s">
        <v>40</v>
      </c>
      <c r="G29" s="114">
        <v>9</v>
      </c>
      <c r="H29" s="115" t="s">
        <v>78</v>
      </c>
    </row>
    <row r="30" spans="1:8" ht="19.899999999999999" customHeight="1">
      <c r="A30" s="121">
        <v>46025</v>
      </c>
      <c r="B30" s="112" t="s">
        <v>26</v>
      </c>
      <c r="C30" s="113" t="s">
        <v>27</v>
      </c>
      <c r="D30" s="112" t="s">
        <v>1</v>
      </c>
      <c r="E30" s="122">
        <v>1.6076388888888891</v>
      </c>
      <c r="F30" s="112" t="s">
        <v>28</v>
      </c>
      <c r="G30" s="114">
        <v>9</v>
      </c>
      <c r="H30" s="115" t="s">
        <v>30</v>
      </c>
    </row>
    <row r="31" spans="1:8" ht="19.899999999999999" customHeight="1">
      <c r="A31" s="121">
        <v>46025</v>
      </c>
      <c r="B31" s="112" t="s">
        <v>26</v>
      </c>
      <c r="C31" s="113" t="s">
        <v>36</v>
      </c>
      <c r="D31" s="112" t="s">
        <v>1</v>
      </c>
      <c r="E31" s="122">
        <v>1.4340277777777779</v>
      </c>
      <c r="F31" s="112" t="s">
        <v>28</v>
      </c>
      <c r="G31" s="114">
        <v>2</v>
      </c>
      <c r="H31" s="115" t="s">
        <v>30</v>
      </c>
    </row>
    <row r="32" spans="1:8" ht="19.899999999999999" customHeight="1">
      <c r="A32" s="121">
        <v>46025</v>
      </c>
      <c r="B32" s="112" t="s">
        <v>38</v>
      </c>
      <c r="C32" s="113" t="s">
        <v>87</v>
      </c>
      <c r="D32" s="112" t="s">
        <v>1</v>
      </c>
      <c r="E32" s="122">
        <v>1.0625</v>
      </c>
      <c r="F32" s="112" t="s">
        <v>43</v>
      </c>
      <c r="G32" s="114">
        <v>20</v>
      </c>
      <c r="H32" s="115" t="s">
        <v>89</v>
      </c>
    </row>
    <row r="33" spans="1:8" ht="19.899999999999999" customHeight="1">
      <c r="A33" s="121">
        <v>46025</v>
      </c>
      <c r="B33" s="112" t="s">
        <v>26</v>
      </c>
      <c r="C33" s="113" t="s">
        <v>27</v>
      </c>
      <c r="D33" s="112" t="s">
        <v>1</v>
      </c>
      <c r="E33" s="122">
        <v>1.6076388888888891</v>
      </c>
      <c r="F33" s="112" t="s">
        <v>31</v>
      </c>
      <c r="G33" s="114">
        <v>9</v>
      </c>
      <c r="H33" s="115" t="s">
        <v>33</v>
      </c>
    </row>
    <row r="34" spans="1:8" ht="19.899999999999999" customHeight="1">
      <c r="A34" s="121">
        <v>46025</v>
      </c>
      <c r="B34" s="112" t="s">
        <v>26</v>
      </c>
      <c r="C34" s="113" t="s">
        <v>36</v>
      </c>
      <c r="D34" s="112" t="s">
        <v>1</v>
      </c>
      <c r="E34" s="122">
        <v>1.4340277777777779</v>
      </c>
      <c r="F34" s="112" t="s">
        <v>31</v>
      </c>
      <c r="G34" s="114">
        <v>2</v>
      </c>
      <c r="H34" s="115" t="s">
        <v>33</v>
      </c>
    </row>
    <row r="35" spans="1:8" ht="19.899999999999999" customHeight="1">
      <c r="A35" s="121">
        <v>46025</v>
      </c>
      <c r="B35" s="112" t="s">
        <v>38</v>
      </c>
      <c r="C35" s="113" t="s">
        <v>39</v>
      </c>
      <c r="D35" s="112" t="s">
        <v>1</v>
      </c>
      <c r="E35" s="122">
        <v>1.229166666666667</v>
      </c>
      <c r="F35" s="112" t="s">
        <v>43</v>
      </c>
      <c r="G35" s="114">
        <v>9</v>
      </c>
      <c r="H35" s="115" t="s">
        <v>79</v>
      </c>
    </row>
    <row r="36" spans="1:8" ht="19.899999999999999" customHeight="1">
      <c r="A36" s="121">
        <v>46025</v>
      </c>
      <c r="B36" s="112" t="s">
        <v>26</v>
      </c>
      <c r="C36" s="113" t="s">
        <v>27</v>
      </c>
      <c r="D36" s="112" t="s">
        <v>1</v>
      </c>
      <c r="E36" s="122">
        <v>1.6076388888888891</v>
      </c>
      <c r="F36" s="112" t="s">
        <v>34</v>
      </c>
      <c r="G36" s="114">
        <v>9</v>
      </c>
      <c r="H36" s="115" t="s">
        <v>35</v>
      </c>
    </row>
    <row r="37" spans="1:8" ht="19.899999999999999" customHeight="1">
      <c r="A37" s="123">
        <v>46025</v>
      </c>
      <c r="B37" s="124" t="s">
        <v>26</v>
      </c>
      <c r="C37" s="125" t="s">
        <v>36</v>
      </c>
      <c r="D37" s="124" t="s">
        <v>1</v>
      </c>
      <c r="E37" s="126">
        <v>1.4340277777777779</v>
      </c>
      <c r="F37" s="124" t="s">
        <v>34</v>
      </c>
      <c r="G37" s="127">
        <v>2</v>
      </c>
      <c r="H37" s="128" t="s">
        <v>35</v>
      </c>
    </row>
    <row r="38" spans="1:8" ht="19.899999999999999" customHeight="1">
      <c r="A38" s="129">
        <v>46026</v>
      </c>
      <c r="B38" s="117" t="s">
        <v>61</v>
      </c>
      <c r="C38" s="118" t="s">
        <v>262</v>
      </c>
      <c r="D38" s="117" t="s">
        <v>261</v>
      </c>
      <c r="E38" s="130">
        <v>1.2361111111111109</v>
      </c>
      <c r="F38" s="117" t="s">
        <v>63</v>
      </c>
      <c r="G38" s="119">
        <v>9</v>
      </c>
      <c r="H38" s="120" t="s">
        <v>64</v>
      </c>
    </row>
    <row r="39" spans="1:8" ht="19.899999999999999" customHeight="1">
      <c r="A39" s="121">
        <v>46026</v>
      </c>
      <c r="B39" s="112" t="s">
        <v>68</v>
      </c>
      <c r="C39" s="113" t="s">
        <v>264</v>
      </c>
      <c r="D39" s="112" t="s">
        <v>261</v>
      </c>
      <c r="E39" s="122">
        <v>1.3576388888888891</v>
      </c>
      <c r="F39" s="112" t="s">
        <v>70</v>
      </c>
      <c r="G39" s="114">
        <v>9</v>
      </c>
      <c r="H39" s="115" t="s">
        <v>265</v>
      </c>
    </row>
    <row r="40" spans="1:8" ht="19.899999999999999" customHeight="1">
      <c r="A40" s="143"/>
      <c r="B40" s="144"/>
      <c r="C40" s="144"/>
      <c r="D40" s="144"/>
      <c r="E40" s="144"/>
      <c r="F40" s="145" t="s">
        <v>319</v>
      </c>
      <c r="G40" s="144"/>
      <c r="H40" s="146"/>
    </row>
    <row r="41" spans="1:8" ht="19.899999999999999" customHeight="1">
      <c r="A41" s="121">
        <v>46026</v>
      </c>
      <c r="B41" s="112" t="s">
        <v>38</v>
      </c>
      <c r="C41" s="113" t="s">
        <v>39</v>
      </c>
      <c r="D41" s="112" t="s">
        <v>1</v>
      </c>
      <c r="E41" s="122">
        <v>1.229166666666667</v>
      </c>
      <c r="F41" s="112" t="s">
        <v>40</v>
      </c>
      <c r="G41" s="114">
        <v>13</v>
      </c>
      <c r="H41" s="115" t="s">
        <v>78</v>
      </c>
    </row>
    <row r="42" spans="1:8" ht="19.899999999999999" customHeight="1">
      <c r="A42" s="121">
        <v>46026</v>
      </c>
      <c r="B42" s="112" t="s">
        <v>26</v>
      </c>
      <c r="C42" s="113" t="s">
        <v>27</v>
      </c>
      <c r="D42" s="112" t="s">
        <v>1</v>
      </c>
      <c r="E42" s="122">
        <v>1.6076388888888891</v>
      </c>
      <c r="F42" s="112" t="s">
        <v>28</v>
      </c>
      <c r="G42" s="114">
        <v>9</v>
      </c>
      <c r="H42" s="115" t="s">
        <v>81</v>
      </c>
    </row>
    <row r="43" spans="1:8" ht="19.899999999999999" customHeight="1">
      <c r="A43" s="121">
        <v>46026</v>
      </c>
      <c r="B43" s="112" t="s">
        <v>48</v>
      </c>
      <c r="C43" s="113" t="s">
        <v>56</v>
      </c>
      <c r="D43" s="112" t="s">
        <v>1</v>
      </c>
      <c r="E43" s="122">
        <v>1.895833333333333</v>
      </c>
      <c r="F43" s="112" t="s">
        <v>50</v>
      </c>
      <c r="G43" s="114">
        <v>4</v>
      </c>
      <c r="H43" s="115" t="s">
        <v>96</v>
      </c>
    </row>
    <row r="44" spans="1:8" ht="19.899999999999999" customHeight="1">
      <c r="A44" s="121">
        <v>46026</v>
      </c>
      <c r="B44" s="112" t="s">
        <v>26</v>
      </c>
      <c r="C44" s="113" t="s">
        <v>27</v>
      </c>
      <c r="D44" s="112" t="s">
        <v>1</v>
      </c>
      <c r="E44" s="122">
        <v>1.6076388888888891</v>
      </c>
      <c r="F44" s="112" t="s">
        <v>31</v>
      </c>
      <c r="G44" s="114">
        <v>9</v>
      </c>
      <c r="H44" s="115" t="s">
        <v>83</v>
      </c>
    </row>
    <row r="45" spans="1:8" ht="19.899999999999999" customHeight="1">
      <c r="A45" s="121">
        <v>46026</v>
      </c>
      <c r="B45" s="112" t="s">
        <v>38</v>
      </c>
      <c r="C45" s="113" t="s">
        <v>39</v>
      </c>
      <c r="D45" s="112" t="s">
        <v>1</v>
      </c>
      <c r="E45" s="122">
        <v>1.229166666666667</v>
      </c>
      <c r="F45" s="112" t="s">
        <v>43</v>
      </c>
      <c r="G45" s="114">
        <v>13</v>
      </c>
      <c r="H45" s="115" t="s">
        <v>79</v>
      </c>
    </row>
    <row r="46" spans="1:8" ht="19.899999999999999" customHeight="1">
      <c r="A46" s="121">
        <v>46026</v>
      </c>
      <c r="B46" s="112" t="s">
        <v>48</v>
      </c>
      <c r="C46" s="113" t="s">
        <v>49</v>
      </c>
      <c r="D46" s="112" t="s">
        <v>1</v>
      </c>
      <c r="E46" s="122">
        <v>1.350694444444444</v>
      </c>
      <c r="F46" s="112" t="s">
        <v>50</v>
      </c>
      <c r="G46" s="114">
        <v>9</v>
      </c>
      <c r="H46" s="115" t="s">
        <v>52</v>
      </c>
    </row>
    <row r="47" spans="1:8" ht="19.899999999999999" customHeight="1">
      <c r="A47" s="121">
        <v>46026</v>
      </c>
      <c r="B47" s="112" t="s">
        <v>48</v>
      </c>
      <c r="C47" s="113" t="s">
        <v>58</v>
      </c>
      <c r="D47" s="112" t="s">
        <v>1</v>
      </c>
      <c r="E47" s="122">
        <v>1.1840277777777779</v>
      </c>
      <c r="F47" s="112" t="s">
        <v>50</v>
      </c>
      <c r="G47" s="114">
        <v>5</v>
      </c>
      <c r="H47" s="115" t="s">
        <v>52</v>
      </c>
    </row>
    <row r="48" spans="1:8" ht="19.899999999999999" customHeight="1">
      <c r="A48" s="121">
        <v>46026</v>
      </c>
      <c r="B48" s="112" t="s">
        <v>26</v>
      </c>
      <c r="C48" s="113" t="s">
        <v>27</v>
      </c>
      <c r="D48" s="112" t="s">
        <v>1</v>
      </c>
      <c r="E48" s="122">
        <v>1.6076388888888891</v>
      </c>
      <c r="F48" s="112" t="s">
        <v>34</v>
      </c>
      <c r="G48" s="114">
        <v>9</v>
      </c>
      <c r="H48" s="115" t="s">
        <v>45</v>
      </c>
    </row>
    <row r="49" spans="1:8" ht="19.899999999999999" customHeight="1">
      <c r="A49" s="121">
        <v>46026</v>
      </c>
      <c r="B49" s="112" t="s">
        <v>48</v>
      </c>
      <c r="C49" s="113" t="s">
        <v>56</v>
      </c>
      <c r="D49" s="112" t="s">
        <v>1</v>
      </c>
      <c r="E49" s="122">
        <v>1.895833333333333</v>
      </c>
      <c r="F49" s="112" t="s">
        <v>53</v>
      </c>
      <c r="G49" s="114">
        <v>4</v>
      </c>
      <c r="H49" s="115" t="s">
        <v>97</v>
      </c>
    </row>
    <row r="50" spans="1:8" ht="19.899999999999999" customHeight="1">
      <c r="A50" s="123">
        <v>46026</v>
      </c>
      <c r="B50" s="124" t="s">
        <v>61</v>
      </c>
      <c r="C50" s="125" t="s">
        <v>62</v>
      </c>
      <c r="D50" s="124" t="s">
        <v>1</v>
      </c>
      <c r="E50" s="126">
        <v>1.743055555555556</v>
      </c>
      <c r="F50" s="124" t="s">
        <v>63</v>
      </c>
      <c r="G50" s="127">
        <v>8</v>
      </c>
      <c r="H50" s="128" t="s">
        <v>64</v>
      </c>
    </row>
    <row r="51" spans="1:8" ht="19.899999999999999" customHeight="1">
      <c r="A51" s="143"/>
      <c r="B51" s="144"/>
      <c r="C51" s="144"/>
      <c r="D51" s="144"/>
      <c r="E51" s="144"/>
      <c r="F51" s="145" t="s">
        <v>319</v>
      </c>
      <c r="G51" s="144"/>
      <c r="H51" s="146"/>
    </row>
    <row r="52" spans="1:8" ht="19.899999999999999" customHeight="1">
      <c r="A52" s="121">
        <v>46027</v>
      </c>
      <c r="B52" s="112" t="s">
        <v>38</v>
      </c>
      <c r="C52" s="113" t="s">
        <v>87</v>
      </c>
      <c r="D52" s="112" t="s">
        <v>1</v>
      </c>
      <c r="E52" s="122">
        <v>1.0625</v>
      </c>
      <c r="F52" s="112" t="s">
        <v>40</v>
      </c>
      <c r="G52" s="114">
        <v>20</v>
      </c>
      <c r="H52" s="115" t="s">
        <v>88</v>
      </c>
    </row>
    <row r="53" spans="1:8" ht="19.899999999999999" customHeight="1">
      <c r="A53" s="121">
        <v>46027</v>
      </c>
      <c r="B53" s="112" t="s">
        <v>38</v>
      </c>
      <c r="C53" s="113" t="s">
        <v>39</v>
      </c>
      <c r="D53" s="112" t="s">
        <v>1</v>
      </c>
      <c r="E53" s="122">
        <v>1.229166666666667</v>
      </c>
      <c r="F53" s="112" t="s">
        <v>40</v>
      </c>
      <c r="G53" s="114">
        <v>5</v>
      </c>
      <c r="H53" s="115" t="s">
        <v>78</v>
      </c>
    </row>
    <row r="54" spans="1:8" ht="19.899999999999999" customHeight="1">
      <c r="A54" s="121">
        <v>46027</v>
      </c>
      <c r="B54" s="112" t="s">
        <v>26</v>
      </c>
      <c r="C54" s="113" t="s">
        <v>27</v>
      </c>
      <c r="D54" s="112" t="s">
        <v>1</v>
      </c>
      <c r="E54" s="122">
        <v>1.6076388888888891</v>
      </c>
      <c r="F54" s="112" t="s">
        <v>28</v>
      </c>
      <c r="G54" s="114">
        <v>5</v>
      </c>
      <c r="H54" s="115" t="s">
        <v>81</v>
      </c>
    </row>
    <row r="55" spans="1:8" ht="19.899999999999999" customHeight="1">
      <c r="A55" s="121">
        <v>46027</v>
      </c>
      <c r="B55" s="112" t="s">
        <v>48</v>
      </c>
      <c r="C55" s="113" t="s">
        <v>58</v>
      </c>
      <c r="D55" s="112" t="s">
        <v>1</v>
      </c>
      <c r="E55" s="122">
        <v>1.1840277777777779</v>
      </c>
      <c r="F55" s="112" t="s">
        <v>50</v>
      </c>
      <c r="G55" s="114">
        <v>7</v>
      </c>
      <c r="H55" s="115" t="s">
        <v>96</v>
      </c>
    </row>
    <row r="56" spans="1:8" ht="19.899999999999999" customHeight="1">
      <c r="A56" s="121">
        <v>46027</v>
      </c>
      <c r="B56" s="112" t="s">
        <v>26</v>
      </c>
      <c r="C56" s="113" t="s">
        <v>27</v>
      </c>
      <c r="D56" s="112" t="s">
        <v>1</v>
      </c>
      <c r="E56" s="122">
        <v>1.6076388888888891</v>
      </c>
      <c r="F56" s="112" t="s">
        <v>31</v>
      </c>
      <c r="G56" s="114">
        <v>5</v>
      </c>
      <c r="H56" s="115" t="s">
        <v>83</v>
      </c>
    </row>
    <row r="57" spans="1:8" ht="19.899999999999999" customHeight="1">
      <c r="A57" s="121">
        <v>46027</v>
      </c>
      <c r="B57" s="112" t="s">
        <v>38</v>
      </c>
      <c r="C57" s="113" t="s">
        <v>87</v>
      </c>
      <c r="D57" s="112" t="s">
        <v>1</v>
      </c>
      <c r="E57" s="122">
        <v>1.0625</v>
      </c>
      <c r="F57" s="112" t="s">
        <v>43</v>
      </c>
      <c r="G57" s="114">
        <v>20</v>
      </c>
      <c r="H57" s="115" t="s">
        <v>89</v>
      </c>
    </row>
    <row r="58" spans="1:8" ht="19.899999999999999" customHeight="1">
      <c r="A58" s="121">
        <v>46027</v>
      </c>
      <c r="B58" s="112" t="s">
        <v>38</v>
      </c>
      <c r="C58" s="113" t="s">
        <v>39</v>
      </c>
      <c r="D58" s="112" t="s">
        <v>1</v>
      </c>
      <c r="E58" s="122">
        <v>1.229166666666667</v>
      </c>
      <c r="F58" s="112" t="s">
        <v>43</v>
      </c>
      <c r="G58" s="114">
        <v>5</v>
      </c>
      <c r="H58" s="115" t="s">
        <v>79</v>
      </c>
    </row>
    <row r="59" spans="1:8" ht="19.899999999999999" customHeight="1">
      <c r="A59" s="121">
        <v>46027</v>
      </c>
      <c r="B59" s="112" t="s">
        <v>48</v>
      </c>
      <c r="C59" s="113" t="s">
        <v>56</v>
      </c>
      <c r="D59" s="112" t="s">
        <v>1</v>
      </c>
      <c r="E59" s="122">
        <v>1.895833333333333</v>
      </c>
      <c r="F59" s="112" t="s">
        <v>50</v>
      </c>
      <c r="G59" s="114">
        <v>9</v>
      </c>
      <c r="H59" s="115" t="s">
        <v>52</v>
      </c>
    </row>
    <row r="60" spans="1:8" ht="19.899999999999999" customHeight="1">
      <c r="A60" s="121">
        <v>46027</v>
      </c>
      <c r="B60" s="112" t="s">
        <v>26</v>
      </c>
      <c r="C60" s="113" t="s">
        <v>27</v>
      </c>
      <c r="D60" s="112" t="s">
        <v>1</v>
      </c>
      <c r="E60" s="122">
        <v>1.6076388888888891</v>
      </c>
      <c r="F60" s="112" t="s">
        <v>34</v>
      </c>
      <c r="G60" s="114">
        <v>5</v>
      </c>
      <c r="H60" s="115" t="s">
        <v>45</v>
      </c>
    </row>
    <row r="61" spans="1:8" ht="19.899999999999999" customHeight="1">
      <c r="A61" s="123">
        <v>46027</v>
      </c>
      <c r="B61" s="124" t="s">
        <v>48</v>
      </c>
      <c r="C61" s="125" t="s">
        <v>58</v>
      </c>
      <c r="D61" s="124" t="s">
        <v>1</v>
      </c>
      <c r="E61" s="126">
        <v>1.1840277777777779</v>
      </c>
      <c r="F61" s="124" t="s">
        <v>53</v>
      </c>
      <c r="G61" s="127">
        <v>7</v>
      </c>
      <c r="H61" s="128" t="s">
        <v>97</v>
      </c>
    </row>
    <row r="62" spans="1:8" ht="19.899999999999999" customHeight="1">
      <c r="A62" s="129">
        <v>46028</v>
      </c>
      <c r="B62" s="117" t="s">
        <v>61</v>
      </c>
      <c r="C62" s="118" t="s">
        <v>262</v>
      </c>
      <c r="D62" s="117" t="s">
        <v>261</v>
      </c>
      <c r="E62" s="130">
        <v>1.1597222222222221</v>
      </c>
      <c r="F62" s="117" t="s">
        <v>63</v>
      </c>
      <c r="G62" s="119">
        <v>2</v>
      </c>
      <c r="H62" s="120" t="s">
        <v>64</v>
      </c>
    </row>
    <row r="63" spans="1:8" ht="19.899999999999999" customHeight="1">
      <c r="A63" s="143"/>
      <c r="B63" s="144"/>
      <c r="C63" s="144"/>
      <c r="D63" s="144"/>
      <c r="E63" s="144"/>
      <c r="F63" s="145" t="s">
        <v>319</v>
      </c>
      <c r="G63" s="144"/>
      <c r="H63" s="146"/>
    </row>
    <row r="64" spans="1:8" ht="19.899999999999999" customHeight="1">
      <c r="A64" s="121">
        <v>46028</v>
      </c>
      <c r="B64" s="112" t="s">
        <v>38</v>
      </c>
      <c r="C64" s="113" t="s">
        <v>87</v>
      </c>
      <c r="D64" s="112" t="s">
        <v>1</v>
      </c>
      <c r="E64" s="122">
        <v>1.0625</v>
      </c>
      <c r="F64" s="112" t="s">
        <v>40</v>
      </c>
      <c r="G64" s="114">
        <v>20</v>
      </c>
      <c r="H64" s="115" t="s">
        <v>78</v>
      </c>
    </row>
    <row r="65" spans="1:8" ht="19.899999999999999" customHeight="1">
      <c r="A65" s="121">
        <v>46028</v>
      </c>
      <c r="B65" s="112" t="s">
        <v>38</v>
      </c>
      <c r="C65" s="113" t="s">
        <v>39</v>
      </c>
      <c r="D65" s="112" t="s">
        <v>1</v>
      </c>
      <c r="E65" s="122">
        <v>1.229166666666667</v>
      </c>
      <c r="F65" s="112" t="s">
        <v>40</v>
      </c>
      <c r="G65" s="114">
        <v>14</v>
      </c>
      <c r="H65" s="115" t="s">
        <v>42</v>
      </c>
    </row>
    <row r="66" spans="1:8" ht="19.899999999999999" customHeight="1">
      <c r="A66" s="121">
        <v>46028</v>
      </c>
      <c r="B66" s="112" t="s">
        <v>48</v>
      </c>
      <c r="C66" s="113" t="s">
        <v>58</v>
      </c>
      <c r="D66" s="112" t="s">
        <v>1</v>
      </c>
      <c r="E66" s="122">
        <v>1.1840277777777779</v>
      </c>
      <c r="F66" s="112" t="s">
        <v>50</v>
      </c>
      <c r="G66" s="114">
        <v>8</v>
      </c>
      <c r="H66" s="115" t="s">
        <v>96</v>
      </c>
    </row>
    <row r="67" spans="1:8" ht="19.899999999999999" customHeight="1">
      <c r="A67" s="121">
        <v>46028</v>
      </c>
      <c r="B67" s="112" t="s">
        <v>38</v>
      </c>
      <c r="C67" s="113" t="s">
        <v>87</v>
      </c>
      <c r="D67" s="112" t="s">
        <v>1</v>
      </c>
      <c r="E67" s="122">
        <v>1.0625</v>
      </c>
      <c r="F67" s="112" t="s">
        <v>43</v>
      </c>
      <c r="G67" s="114">
        <v>20</v>
      </c>
      <c r="H67" s="115" t="s">
        <v>79</v>
      </c>
    </row>
    <row r="68" spans="1:8" ht="19.899999999999999" customHeight="1">
      <c r="A68" s="121">
        <v>46028</v>
      </c>
      <c r="B68" s="112" t="s">
        <v>38</v>
      </c>
      <c r="C68" s="113" t="s">
        <v>39</v>
      </c>
      <c r="D68" s="112" t="s">
        <v>1</v>
      </c>
      <c r="E68" s="122">
        <v>1.229166666666667</v>
      </c>
      <c r="F68" s="112" t="s">
        <v>43</v>
      </c>
      <c r="G68" s="114">
        <v>14</v>
      </c>
      <c r="H68" s="115" t="s">
        <v>45</v>
      </c>
    </row>
    <row r="69" spans="1:8" ht="19.899999999999999" customHeight="1">
      <c r="A69" s="121">
        <v>46028</v>
      </c>
      <c r="B69" s="112" t="s">
        <v>48</v>
      </c>
      <c r="C69" s="113" t="s">
        <v>58</v>
      </c>
      <c r="D69" s="112" t="s">
        <v>1</v>
      </c>
      <c r="E69" s="122">
        <v>1.1840277777777779</v>
      </c>
      <c r="F69" s="112" t="s">
        <v>53</v>
      </c>
      <c r="G69" s="114">
        <v>8</v>
      </c>
      <c r="H69" s="115" t="s">
        <v>97</v>
      </c>
    </row>
    <row r="70" spans="1:8" ht="19.899999999999999" customHeight="1">
      <c r="A70" s="121">
        <v>46028</v>
      </c>
      <c r="B70" s="112" t="s">
        <v>61</v>
      </c>
      <c r="C70" s="113" t="s">
        <v>62</v>
      </c>
      <c r="D70" s="112" t="s">
        <v>1</v>
      </c>
      <c r="E70" s="122">
        <v>1.819444444444444</v>
      </c>
      <c r="F70" s="112" t="s">
        <v>63</v>
      </c>
      <c r="G70" s="114">
        <v>9</v>
      </c>
      <c r="H70" s="115" t="s">
        <v>64</v>
      </c>
    </row>
    <row r="71" spans="1:8" ht="19.899999999999999" customHeight="1">
      <c r="A71" s="121">
        <v>46028</v>
      </c>
      <c r="B71" s="112" t="s">
        <v>26</v>
      </c>
      <c r="C71" s="113" t="s">
        <v>27</v>
      </c>
      <c r="D71" s="112" t="s">
        <v>1</v>
      </c>
      <c r="E71" s="122">
        <v>1.6076388888888891</v>
      </c>
      <c r="F71" s="112" t="s">
        <v>28</v>
      </c>
      <c r="G71" s="114">
        <v>9</v>
      </c>
      <c r="H71" s="115" t="s">
        <v>118</v>
      </c>
    </row>
    <row r="72" spans="1:8" ht="19.899999999999999" customHeight="1">
      <c r="A72" s="121">
        <v>46028</v>
      </c>
      <c r="B72" s="112" t="s">
        <v>68</v>
      </c>
      <c r="C72" s="113" t="s">
        <v>74</v>
      </c>
      <c r="D72" s="112" t="s">
        <v>1</v>
      </c>
      <c r="E72" s="122">
        <v>1.336805555555556</v>
      </c>
      <c r="F72" s="112" t="s">
        <v>70</v>
      </c>
      <c r="G72" s="114">
        <v>9</v>
      </c>
      <c r="H72" s="115" t="s">
        <v>71</v>
      </c>
    </row>
    <row r="73" spans="1:8" ht="19.899999999999999" customHeight="1">
      <c r="A73" s="123">
        <v>46028</v>
      </c>
      <c r="B73" s="124" t="s">
        <v>68</v>
      </c>
      <c r="C73" s="125" t="s">
        <v>69</v>
      </c>
      <c r="D73" s="124" t="s">
        <v>1</v>
      </c>
      <c r="E73" s="126">
        <v>1.9409722222222221</v>
      </c>
      <c r="F73" s="124" t="s">
        <v>70</v>
      </c>
      <c r="G73" s="127">
        <v>9</v>
      </c>
      <c r="H73" s="128" t="s">
        <v>71</v>
      </c>
    </row>
    <row r="74" spans="1:8" ht="19.899999999999999" customHeight="1">
      <c r="A74" s="129">
        <v>46029</v>
      </c>
      <c r="B74" s="117" t="s">
        <v>61</v>
      </c>
      <c r="C74" s="118" t="s">
        <v>262</v>
      </c>
      <c r="D74" s="117" t="s">
        <v>261</v>
      </c>
      <c r="E74" s="130">
        <v>1.7777777777777779</v>
      </c>
      <c r="F74" s="117" t="s">
        <v>63</v>
      </c>
      <c r="G74" s="119">
        <v>7</v>
      </c>
      <c r="H74" s="120" t="s">
        <v>64</v>
      </c>
    </row>
    <row r="75" spans="1:8" ht="19.899999999999999" customHeight="1">
      <c r="A75" s="143"/>
      <c r="B75" s="144"/>
      <c r="C75" s="144"/>
      <c r="D75" s="144"/>
      <c r="E75" s="144"/>
      <c r="F75" s="145" t="s">
        <v>319</v>
      </c>
      <c r="G75" s="144"/>
      <c r="H75" s="146"/>
    </row>
    <row r="76" spans="1:8" ht="19.899999999999999" customHeight="1">
      <c r="A76" s="121">
        <v>46029</v>
      </c>
      <c r="B76" s="112" t="s">
        <v>38</v>
      </c>
      <c r="C76" s="113" t="s">
        <v>39</v>
      </c>
      <c r="D76" s="112" t="s">
        <v>1</v>
      </c>
      <c r="E76" s="122">
        <v>1.229166666666667</v>
      </c>
      <c r="F76" s="112" t="s">
        <v>40</v>
      </c>
      <c r="G76" s="114">
        <v>18</v>
      </c>
      <c r="H76" s="115" t="s">
        <v>121</v>
      </c>
    </row>
    <row r="77" spans="1:8" ht="19.899999999999999" customHeight="1">
      <c r="A77" s="121">
        <v>46029</v>
      </c>
      <c r="B77" s="112" t="s">
        <v>48</v>
      </c>
      <c r="C77" s="113" t="s">
        <v>49</v>
      </c>
      <c r="D77" s="112" t="s">
        <v>1</v>
      </c>
      <c r="E77" s="122">
        <v>1.350694444444444</v>
      </c>
      <c r="F77" s="112" t="s">
        <v>50</v>
      </c>
      <c r="G77" s="114">
        <v>9</v>
      </c>
      <c r="H77" s="115" t="s">
        <v>52</v>
      </c>
    </row>
    <row r="78" spans="1:8" ht="19.899999999999999" customHeight="1">
      <c r="A78" s="121">
        <v>46029</v>
      </c>
      <c r="B78" s="112" t="s">
        <v>38</v>
      </c>
      <c r="C78" s="113" t="s">
        <v>39</v>
      </c>
      <c r="D78" s="112" t="s">
        <v>1</v>
      </c>
      <c r="E78" s="122">
        <v>1.229166666666667</v>
      </c>
      <c r="F78" s="112" t="s">
        <v>43</v>
      </c>
      <c r="G78" s="114">
        <v>18</v>
      </c>
      <c r="H78" s="115" t="s">
        <v>123</v>
      </c>
    </row>
    <row r="79" spans="1:8" ht="19.899999999999999" customHeight="1">
      <c r="A79" s="121">
        <v>46029</v>
      </c>
      <c r="B79" s="112" t="s">
        <v>48</v>
      </c>
      <c r="C79" s="113" t="s">
        <v>58</v>
      </c>
      <c r="D79" s="112" t="s">
        <v>1</v>
      </c>
      <c r="E79" s="122">
        <v>1.1840277777777779</v>
      </c>
      <c r="F79" s="112" t="s">
        <v>50</v>
      </c>
      <c r="G79" s="114">
        <v>9</v>
      </c>
      <c r="H79" s="115" t="s">
        <v>109</v>
      </c>
    </row>
    <row r="80" spans="1:8" ht="19.899999999999999" customHeight="1">
      <c r="A80" s="121">
        <v>46029</v>
      </c>
      <c r="B80" s="112" t="s">
        <v>48</v>
      </c>
      <c r="C80" s="113" t="s">
        <v>49</v>
      </c>
      <c r="D80" s="112" t="s">
        <v>1</v>
      </c>
      <c r="E80" s="122">
        <v>1.350694444444444</v>
      </c>
      <c r="F80" s="112" t="s">
        <v>53</v>
      </c>
      <c r="G80" s="114">
        <v>9</v>
      </c>
      <c r="H80" s="115" t="s">
        <v>55</v>
      </c>
    </row>
    <row r="81" spans="1:8" ht="19.899999999999999" customHeight="1">
      <c r="A81" s="121">
        <v>46029</v>
      </c>
      <c r="B81" s="112" t="s">
        <v>68</v>
      </c>
      <c r="C81" s="113" t="s">
        <v>74</v>
      </c>
      <c r="D81" s="112" t="s">
        <v>1</v>
      </c>
      <c r="E81" s="122">
        <v>1.336805555555556</v>
      </c>
      <c r="F81" s="112" t="s">
        <v>70</v>
      </c>
      <c r="G81" s="114">
        <v>9</v>
      </c>
      <c r="H81" s="115" t="s">
        <v>71</v>
      </c>
    </row>
    <row r="82" spans="1:8" ht="19.899999999999999" customHeight="1">
      <c r="A82" s="121">
        <v>46029</v>
      </c>
      <c r="B82" s="112" t="s">
        <v>68</v>
      </c>
      <c r="C82" s="113" t="s">
        <v>76</v>
      </c>
      <c r="D82" s="112" t="s">
        <v>1</v>
      </c>
      <c r="E82" s="122">
        <v>1.697916666666667</v>
      </c>
      <c r="F82" s="112" t="s">
        <v>70</v>
      </c>
      <c r="G82" s="114">
        <v>9</v>
      </c>
      <c r="H82" s="115" t="s">
        <v>71</v>
      </c>
    </row>
    <row r="83" spans="1:8" ht="19.899999999999999" customHeight="1">
      <c r="A83" s="121">
        <v>46029</v>
      </c>
      <c r="B83" s="112" t="s">
        <v>68</v>
      </c>
      <c r="C83" s="113" t="s">
        <v>72</v>
      </c>
      <c r="D83" s="112" t="s">
        <v>1</v>
      </c>
      <c r="E83" s="122">
        <v>1.0659722222222221</v>
      </c>
      <c r="F83" s="112" t="s">
        <v>70</v>
      </c>
      <c r="G83" s="114">
        <v>9</v>
      </c>
      <c r="H83" s="115" t="s">
        <v>71</v>
      </c>
    </row>
    <row r="84" spans="1:8" ht="19.899999999999999" customHeight="1">
      <c r="A84" s="121">
        <v>46029</v>
      </c>
      <c r="B84" s="112" t="s">
        <v>68</v>
      </c>
      <c r="C84" s="113" t="s">
        <v>73</v>
      </c>
      <c r="D84" s="112" t="s">
        <v>1</v>
      </c>
      <c r="E84" s="122">
        <v>1.288194444444444</v>
      </c>
      <c r="F84" s="112" t="s">
        <v>70</v>
      </c>
      <c r="G84" s="114">
        <v>9</v>
      </c>
      <c r="H84" s="115" t="s">
        <v>71</v>
      </c>
    </row>
    <row r="85" spans="1:8" ht="19.899999999999999" customHeight="1">
      <c r="A85" s="123">
        <v>46029</v>
      </c>
      <c r="B85" s="124" t="s">
        <v>48</v>
      </c>
      <c r="C85" s="125" t="s">
        <v>58</v>
      </c>
      <c r="D85" s="124" t="s">
        <v>1</v>
      </c>
      <c r="E85" s="126">
        <v>1.1840277777777779</v>
      </c>
      <c r="F85" s="124" t="s">
        <v>53</v>
      </c>
      <c r="G85" s="127">
        <v>9</v>
      </c>
      <c r="H85" s="128" t="s">
        <v>110</v>
      </c>
    </row>
    <row r="86" spans="1:8" ht="19.899999999999999" customHeight="1">
      <c r="A86" s="129">
        <v>46030</v>
      </c>
      <c r="B86" s="117" t="s">
        <v>61</v>
      </c>
      <c r="C86" s="118" t="s">
        <v>262</v>
      </c>
      <c r="D86" s="117" t="s">
        <v>261</v>
      </c>
      <c r="E86" s="130">
        <v>1.479166666666667</v>
      </c>
      <c r="F86" s="117" t="s">
        <v>63</v>
      </c>
      <c r="G86" s="119">
        <v>8</v>
      </c>
      <c r="H86" s="120" t="s">
        <v>64</v>
      </c>
    </row>
    <row r="87" spans="1:8" ht="19.899999999999999" customHeight="1">
      <c r="A87" s="143"/>
      <c r="B87" s="144"/>
      <c r="C87" s="144"/>
      <c r="D87" s="144"/>
      <c r="E87" s="144"/>
      <c r="F87" s="145" t="s">
        <v>319</v>
      </c>
      <c r="G87" s="144"/>
      <c r="H87" s="146"/>
    </row>
    <row r="88" spans="1:8" ht="19.899999999999999" customHeight="1">
      <c r="A88" s="121">
        <v>46030</v>
      </c>
      <c r="B88" s="112" t="s">
        <v>38</v>
      </c>
      <c r="C88" s="113" t="s">
        <v>39</v>
      </c>
      <c r="D88" s="112" t="s">
        <v>1</v>
      </c>
      <c r="E88" s="122">
        <v>1.229166666666667</v>
      </c>
      <c r="F88" s="112" t="s">
        <v>40</v>
      </c>
      <c r="G88" s="114">
        <v>9</v>
      </c>
      <c r="H88" s="115" t="s">
        <v>78</v>
      </c>
    </row>
    <row r="89" spans="1:8" ht="19.899999999999999" customHeight="1">
      <c r="A89" s="121">
        <v>46030</v>
      </c>
      <c r="B89" s="112" t="s">
        <v>38</v>
      </c>
      <c r="C89" s="113" t="s">
        <v>87</v>
      </c>
      <c r="D89" s="112" t="s">
        <v>1</v>
      </c>
      <c r="E89" s="122">
        <v>1.0625</v>
      </c>
      <c r="F89" s="112" t="s">
        <v>40</v>
      </c>
      <c r="G89" s="114">
        <v>20</v>
      </c>
      <c r="H89" s="115" t="s">
        <v>78</v>
      </c>
    </row>
    <row r="90" spans="1:8" ht="19.899999999999999" customHeight="1">
      <c r="A90" s="121">
        <v>46030</v>
      </c>
      <c r="B90" s="112" t="s">
        <v>26</v>
      </c>
      <c r="C90" s="113" t="s">
        <v>27</v>
      </c>
      <c r="D90" s="112" t="s">
        <v>1</v>
      </c>
      <c r="E90" s="122">
        <v>1.6076388888888891</v>
      </c>
      <c r="F90" s="112" t="s">
        <v>28</v>
      </c>
      <c r="G90" s="114">
        <v>3</v>
      </c>
      <c r="H90" s="115" t="s">
        <v>81</v>
      </c>
    </row>
    <row r="91" spans="1:8" ht="19.899999999999999" customHeight="1">
      <c r="A91" s="121">
        <v>46030</v>
      </c>
      <c r="B91" s="112" t="s">
        <v>26</v>
      </c>
      <c r="C91" s="113" t="s">
        <v>27</v>
      </c>
      <c r="D91" s="112" t="s">
        <v>1</v>
      </c>
      <c r="E91" s="122">
        <v>1.6076388888888891</v>
      </c>
      <c r="F91" s="112" t="s">
        <v>31</v>
      </c>
      <c r="G91" s="114">
        <v>3</v>
      </c>
      <c r="H91" s="115" t="s">
        <v>83</v>
      </c>
    </row>
    <row r="92" spans="1:8" ht="19.899999999999999" customHeight="1">
      <c r="A92" s="121">
        <v>46030</v>
      </c>
      <c r="B92" s="112" t="s">
        <v>38</v>
      </c>
      <c r="C92" s="113" t="s">
        <v>39</v>
      </c>
      <c r="D92" s="112" t="s">
        <v>1</v>
      </c>
      <c r="E92" s="122">
        <v>1.229166666666667</v>
      </c>
      <c r="F92" s="112" t="s">
        <v>43</v>
      </c>
      <c r="G92" s="114">
        <v>9</v>
      </c>
      <c r="H92" s="115" t="s">
        <v>79</v>
      </c>
    </row>
    <row r="93" spans="1:8" ht="19.899999999999999" customHeight="1">
      <c r="A93" s="121">
        <v>46030</v>
      </c>
      <c r="B93" s="112" t="s">
        <v>38</v>
      </c>
      <c r="C93" s="113" t="s">
        <v>87</v>
      </c>
      <c r="D93" s="112" t="s">
        <v>1</v>
      </c>
      <c r="E93" s="122">
        <v>1.0625</v>
      </c>
      <c r="F93" s="112" t="s">
        <v>43</v>
      </c>
      <c r="G93" s="114">
        <v>20</v>
      </c>
      <c r="H93" s="115" t="s">
        <v>79</v>
      </c>
    </row>
    <row r="94" spans="1:8" ht="19.899999999999999" customHeight="1">
      <c r="A94" s="121">
        <v>46030</v>
      </c>
      <c r="B94" s="112" t="s">
        <v>26</v>
      </c>
      <c r="C94" s="113" t="s">
        <v>27</v>
      </c>
      <c r="D94" s="112" t="s">
        <v>1</v>
      </c>
      <c r="E94" s="122">
        <v>1.6076388888888891</v>
      </c>
      <c r="F94" s="112" t="s">
        <v>34</v>
      </c>
      <c r="G94" s="114">
        <v>3</v>
      </c>
      <c r="H94" s="115" t="s">
        <v>45</v>
      </c>
    </row>
    <row r="95" spans="1:8" ht="19.899999999999999" customHeight="1">
      <c r="A95" s="121">
        <v>46030</v>
      </c>
      <c r="B95" s="112" t="s">
        <v>61</v>
      </c>
      <c r="C95" s="113" t="s">
        <v>62</v>
      </c>
      <c r="D95" s="112" t="s">
        <v>1</v>
      </c>
      <c r="E95" s="122">
        <v>1.381944444444444</v>
      </c>
      <c r="F95" s="112" t="s">
        <v>63</v>
      </c>
      <c r="G95" s="114">
        <v>9</v>
      </c>
      <c r="H95" s="115" t="s">
        <v>64</v>
      </c>
    </row>
    <row r="96" spans="1:8" ht="19.899999999999999" customHeight="1">
      <c r="A96" s="121">
        <v>46030</v>
      </c>
      <c r="B96" s="112" t="s">
        <v>48</v>
      </c>
      <c r="C96" s="113" t="s">
        <v>56</v>
      </c>
      <c r="D96" s="112" t="s">
        <v>1</v>
      </c>
      <c r="E96" s="122">
        <v>1.895833333333333</v>
      </c>
      <c r="F96" s="112" t="s">
        <v>50</v>
      </c>
      <c r="G96" s="114">
        <v>9</v>
      </c>
      <c r="H96" s="115" t="s">
        <v>109</v>
      </c>
    </row>
    <row r="97" spans="1:8" ht="19.899999999999999" customHeight="1">
      <c r="A97" s="123">
        <v>46030</v>
      </c>
      <c r="B97" s="124" t="s">
        <v>48</v>
      </c>
      <c r="C97" s="125" t="s">
        <v>58</v>
      </c>
      <c r="D97" s="124" t="s">
        <v>1</v>
      </c>
      <c r="E97" s="126">
        <v>1.1840277777777779</v>
      </c>
      <c r="F97" s="124" t="s">
        <v>50</v>
      </c>
      <c r="G97" s="127">
        <v>9</v>
      </c>
      <c r="H97" s="128" t="s">
        <v>109</v>
      </c>
    </row>
    <row r="98" spans="1:8" ht="19.899999999999999" customHeight="1">
      <c r="A98" s="121">
        <v>46031</v>
      </c>
      <c r="B98" s="112" t="s">
        <v>68</v>
      </c>
      <c r="C98" s="113" t="s">
        <v>264</v>
      </c>
      <c r="D98" s="112" t="s">
        <v>261</v>
      </c>
      <c r="E98" s="122">
        <v>1.3576388888888891</v>
      </c>
      <c r="F98" s="112" t="s">
        <v>70</v>
      </c>
      <c r="G98" s="114">
        <v>9</v>
      </c>
      <c r="H98" s="115" t="s">
        <v>265</v>
      </c>
    </row>
    <row r="99" spans="1:8" ht="19.899999999999999" customHeight="1">
      <c r="A99" s="143"/>
      <c r="B99" s="144"/>
      <c r="C99" s="144"/>
      <c r="D99" s="144"/>
      <c r="E99" s="144"/>
      <c r="F99" s="145" t="s">
        <v>319</v>
      </c>
      <c r="G99" s="144"/>
      <c r="H99" s="146"/>
    </row>
    <row r="100" spans="1:8" ht="19.899999999999999" customHeight="1">
      <c r="A100" s="121">
        <v>46031</v>
      </c>
      <c r="B100" s="112" t="s">
        <v>38</v>
      </c>
      <c r="C100" s="113" t="s">
        <v>39</v>
      </c>
      <c r="D100" s="112" t="s">
        <v>1</v>
      </c>
      <c r="E100" s="122">
        <v>1.229166666666667</v>
      </c>
      <c r="F100" s="112" t="s">
        <v>40</v>
      </c>
      <c r="G100" s="114">
        <v>11</v>
      </c>
      <c r="H100" s="115" t="s">
        <v>131</v>
      </c>
    </row>
    <row r="101" spans="1:8" ht="19.899999999999999" customHeight="1">
      <c r="A101" s="121">
        <v>46031</v>
      </c>
      <c r="B101" s="112" t="s">
        <v>48</v>
      </c>
      <c r="C101" s="113" t="s">
        <v>56</v>
      </c>
      <c r="D101" s="112" t="s">
        <v>1</v>
      </c>
      <c r="E101" s="122">
        <v>1.895833333333333</v>
      </c>
      <c r="F101" s="112" t="s">
        <v>50</v>
      </c>
      <c r="G101" s="114">
        <v>9</v>
      </c>
      <c r="H101" s="115" t="s">
        <v>96</v>
      </c>
    </row>
    <row r="102" spans="1:8" ht="19.899999999999999" customHeight="1">
      <c r="A102" s="121">
        <v>46031</v>
      </c>
      <c r="B102" s="112" t="s">
        <v>48</v>
      </c>
      <c r="C102" s="113" t="s">
        <v>58</v>
      </c>
      <c r="D102" s="112" t="s">
        <v>1</v>
      </c>
      <c r="E102" s="122">
        <v>1.1840277777777779</v>
      </c>
      <c r="F102" s="112" t="s">
        <v>50</v>
      </c>
      <c r="G102" s="114">
        <v>1</v>
      </c>
      <c r="H102" s="115" t="s">
        <v>96</v>
      </c>
    </row>
    <row r="103" spans="1:8" ht="19.899999999999999" customHeight="1">
      <c r="A103" s="121">
        <v>46031</v>
      </c>
      <c r="B103" s="112" t="s">
        <v>38</v>
      </c>
      <c r="C103" s="113" t="s">
        <v>39</v>
      </c>
      <c r="D103" s="112" t="s">
        <v>1</v>
      </c>
      <c r="E103" s="122">
        <v>1.229166666666667</v>
      </c>
      <c r="F103" s="112" t="s">
        <v>43</v>
      </c>
      <c r="G103" s="114">
        <v>11</v>
      </c>
      <c r="H103" s="115" t="s">
        <v>133</v>
      </c>
    </row>
    <row r="104" spans="1:8" ht="19.899999999999999" customHeight="1">
      <c r="A104" s="121">
        <v>46031</v>
      </c>
      <c r="B104" s="112" t="s">
        <v>48</v>
      </c>
      <c r="C104" s="113" t="s">
        <v>49</v>
      </c>
      <c r="D104" s="112" t="s">
        <v>1</v>
      </c>
      <c r="E104" s="122">
        <v>1.350694444444444</v>
      </c>
      <c r="F104" s="112" t="s">
        <v>50</v>
      </c>
      <c r="G104" s="114">
        <v>9</v>
      </c>
      <c r="H104" s="115" t="s">
        <v>52</v>
      </c>
    </row>
    <row r="105" spans="1:8" ht="19.899999999999999" customHeight="1">
      <c r="A105" s="121">
        <v>46031</v>
      </c>
      <c r="B105" s="112" t="s">
        <v>48</v>
      </c>
      <c r="C105" s="113" t="s">
        <v>56</v>
      </c>
      <c r="D105" s="112" t="s">
        <v>1</v>
      </c>
      <c r="E105" s="122">
        <v>1.895833333333333</v>
      </c>
      <c r="F105" s="112" t="s">
        <v>53</v>
      </c>
      <c r="G105" s="114">
        <v>9</v>
      </c>
      <c r="H105" s="115" t="s">
        <v>97</v>
      </c>
    </row>
    <row r="106" spans="1:8" ht="19.899999999999999" customHeight="1">
      <c r="A106" s="121">
        <v>46031</v>
      </c>
      <c r="B106" s="112" t="s">
        <v>48</v>
      </c>
      <c r="C106" s="113" t="s">
        <v>58</v>
      </c>
      <c r="D106" s="112" t="s">
        <v>1</v>
      </c>
      <c r="E106" s="122">
        <v>1.1840277777777779</v>
      </c>
      <c r="F106" s="112" t="s">
        <v>53</v>
      </c>
      <c r="G106" s="114">
        <v>1</v>
      </c>
      <c r="H106" s="115" t="s">
        <v>97</v>
      </c>
    </row>
    <row r="107" spans="1:8" ht="19.899999999999999" customHeight="1">
      <c r="A107" s="121">
        <v>46031</v>
      </c>
      <c r="B107" s="112" t="s">
        <v>48</v>
      </c>
      <c r="C107" s="113" t="s">
        <v>49</v>
      </c>
      <c r="D107" s="112" t="s">
        <v>1</v>
      </c>
      <c r="E107" s="122">
        <v>1.350694444444444</v>
      </c>
      <c r="F107" s="112" t="s">
        <v>53</v>
      </c>
      <c r="G107" s="114">
        <v>9</v>
      </c>
      <c r="H107" s="115" t="s">
        <v>55</v>
      </c>
    </row>
    <row r="108" spans="1:8" ht="19.899999999999999" customHeight="1">
      <c r="A108" s="121">
        <v>46031</v>
      </c>
      <c r="B108" s="112" t="s">
        <v>68</v>
      </c>
      <c r="C108" s="113" t="s">
        <v>74</v>
      </c>
      <c r="D108" s="112" t="s">
        <v>1</v>
      </c>
      <c r="E108" s="122">
        <v>1.336805555555556</v>
      </c>
      <c r="F108" s="112" t="s">
        <v>70</v>
      </c>
      <c r="G108" s="114">
        <v>9</v>
      </c>
      <c r="H108" s="115" t="s">
        <v>71</v>
      </c>
    </row>
    <row r="109" spans="1:8" ht="19.899999999999999" customHeight="1">
      <c r="A109" s="123">
        <v>46031</v>
      </c>
      <c r="B109" s="124" t="s">
        <v>68</v>
      </c>
      <c r="C109" s="125" t="s">
        <v>69</v>
      </c>
      <c r="D109" s="124" t="s">
        <v>1</v>
      </c>
      <c r="E109" s="126">
        <v>1.9409722222222221</v>
      </c>
      <c r="F109" s="124" t="s">
        <v>70</v>
      </c>
      <c r="G109" s="127">
        <v>9</v>
      </c>
      <c r="H109" s="128" t="s">
        <v>71</v>
      </c>
    </row>
    <row r="110" spans="1:8" ht="19.899999999999999" customHeight="1">
      <c r="A110" s="143"/>
      <c r="B110" s="144"/>
      <c r="C110" s="144"/>
      <c r="D110" s="144"/>
      <c r="E110" s="144"/>
      <c r="F110" s="145" t="s">
        <v>319</v>
      </c>
      <c r="G110" s="144"/>
      <c r="H110" s="146"/>
    </row>
    <row r="111" spans="1:8" ht="19.899999999999999" customHeight="1">
      <c r="A111" s="121">
        <v>46032</v>
      </c>
      <c r="B111" s="112" t="s">
        <v>38</v>
      </c>
      <c r="C111" s="113" t="s">
        <v>87</v>
      </c>
      <c r="D111" s="112" t="s">
        <v>1</v>
      </c>
      <c r="E111" s="122">
        <v>1.0625</v>
      </c>
      <c r="F111" s="112" t="s">
        <v>40</v>
      </c>
      <c r="G111" s="114">
        <v>20</v>
      </c>
      <c r="H111" s="115" t="s">
        <v>88</v>
      </c>
    </row>
    <row r="112" spans="1:8" ht="19.899999999999999" customHeight="1">
      <c r="A112" s="121">
        <v>46032</v>
      </c>
      <c r="B112" s="112" t="s">
        <v>38</v>
      </c>
      <c r="C112" s="113" t="s">
        <v>39</v>
      </c>
      <c r="D112" s="112" t="s">
        <v>1</v>
      </c>
      <c r="E112" s="122">
        <v>1.229166666666667</v>
      </c>
      <c r="F112" s="112" t="s">
        <v>40</v>
      </c>
      <c r="G112" s="114">
        <v>25</v>
      </c>
      <c r="H112" s="115" t="s">
        <v>78</v>
      </c>
    </row>
    <row r="113" spans="1:8" ht="19.899999999999999" customHeight="1">
      <c r="A113" s="121">
        <v>46032</v>
      </c>
      <c r="B113" s="112" t="s">
        <v>48</v>
      </c>
      <c r="C113" s="113" t="s">
        <v>58</v>
      </c>
      <c r="D113" s="112" t="s">
        <v>1</v>
      </c>
      <c r="E113" s="122">
        <v>1.1840277777777779</v>
      </c>
      <c r="F113" s="112" t="s">
        <v>50</v>
      </c>
      <c r="G113" s="114">
        <v>9</v>
      </c>
      <c r="H113" s="115" t="s">
        <v>96</v>
      </c>
    </row>
    <row r="114" spans="1:8" ht="19.899999999999999" customHeight="1">
      <c r="A114" s="121">
        <v>46032</v>
      </c>
      <c r="B114" s="112" t="s">
        <v>38</v>
      </c>
      <c r="C114" s="113" t="s">
        <v>87</v>
      </c>
      <c r="D114" s="112" t="s">
        <v>1</v>
      </c>
      <c r="E114" s="122">
        <v>1.0625</v>
      </c>
      <c r="F114" s="112" t="s">
        <v>43</v>
      </c>
      <c r="G114" s="114">
        <v>20</v>
      </c>
      <c r="H114" s="115" t="s">
        <v>89</v>
      </c>
    </row>
    <row r="115" spans="1:8" ht="19.899999999999999" customHeight="1">
      <c r="A115" s="121">
        <v>46032</v>
      </c>
      <c r="B115" s="112" t="s">
        <v>26</v>
      </c>
      <c r="C115" s="113" t="s">
        <v>27</v>
      </c>
      <c r="D115" s="112" t="s">
        <v>1</v>
      </c>
      <c r="E115" s="122">
        <v>1.6076388888888891</v>
      </c>
      <c r="F115" s="112" t="s">
        <v>28</v>
      </c>
      <c r="G115" s="114">
        <v>9</v>
      </c>
      <c r="H115" s="115" t="s">
        <v>89</v>
      </c>
    </row>
    <row r="116" spans="1:8" ht="19.899999999999999" customHeight="1">
      <c r="A116" s="121">
        <v>46032</v>
      </c>
      <c r="B116" s="112" t="s">
        <v>38</v>
      </c>
      <c r="C116" s="113" t="s">
        <v>39</v>
      </c>
      <c r="D116" s="112" t="s">
        <v>1</v>
      </c>
      <c r="E116" s="122">
        <v>1.229166666666667</v>
      </c>
      <c r="F116" s="112" t="s">
        <v>43</v>
      </c>
      <c r="G116" s="114">
        <v>25</v>
      </c>
      <c r="H116" s="115" t="s">
        <v>79</v>
      </c>
    </row>
    <row r="117" spans="1:8" ht="19.899999999999999" customHeight="1">
      <c r="A117" s="121">
        <v>46032</v>
      </c>
      <c r="B117" s="112" t="s">
        <v>26</v>
      </c>
      <c r="C117" s="113" t="s">
        <v>27</v>
      </c>
      <c r="D117" s="112" t="s">
        <v>1</v>
      </c>
      <c r="E117" s="122">
        <v>1.6076388888888891</v>
      </c>
      <c r="F117" s="112" t="s">
        <v>31</v>
      </c>
      <c r="G117" s="114">
        <v>9</v>
      </c>
      <c r="H117" s="115" t="s">
        <v>138</v>
      </c>
    </row>
    <row r="118" spans="1:8" ht="19.899999999999999" customHeight="1">
      <c r="A118" s="121">
        <v>46032</v>
      </c>
      <c r="B118" s="112" t="s">
        <v>48</v>
      </c>
      <c r="C118" s="113" t="s">
        <v>58</v>
      </c>
      <c r="D118" s="112" t="s">
        <v>1</v>
      </c>
      <c r="E118" s="122">
        <v>1.1840277777777779</v>
      </c>
      <c r="F118" s="112" t="s">
        <v>53</v>
      </c>
      <c r="G118" s="114">
        <v>9</v>
      </c>
      <c r="H118" s="115" t="s">
        <v>97</v>
      </c>
    </row>
    <row r="119" spans="1:8" ht="19.899999999999999" customHeight="1">
      <c r="A119" s="121">
        <v>46032</v>
      </c>
      <c r="B119" s="112" t="s">
        <v>61</v>
      </c>
      <c r="C119" s="113" t="s">
        <v>62</v>
      </c>
      <c r="D119" s="112" t="s">
        <v>1</v>
      </c>
      <c r="E119" s="122">
        <v>1.2361111111111109</v>
      </c>
      <c r="F119" s="112" t="s">
        <v>63</v>
      </c>
      <c r="G119" s="114">
        <v>9</v>
      </c>
      <c r="H119" s="115" t="s">
        <v>64</v>
      </c>
    </row>
    <row r="120" spans="1:8" ht="19.899999999999999" customHeight="1">
      <c r="A120" s="123">
        <v>46032</v>
      </c>
      <c r="B120" s="124" t="s">
        <v>48</v>
      </c>
      <c r="C120" s="125" t="s">
        <v>49</v>
      </c>
      <c r="D120" s="124" t="s">
        <v>1</v>
      </c>
      <c r="E120" s="126">
        <v>1.354166666666667</v>
      </c>
      <c r="F120" s="124" t="s">
        <v>50</v>
      </c>
      <c r="G120" s="127">
        <v>9</v>
      </c>
      <c r="H120" s="128" t="s">
        <v>109</v>
      </c>
    </row>
    <row r="121" spans="1:8" ht="19.899999999999999" customHeight="1">
      <c r="A121" s="129">
        <v>46033</v>
      </c>
      <c r="B121" s="117" t="s">
        <v>61</v>
      </c>
      <c r="C121" s="118" t="s">
        <v>262</v>
      </c>
      <c r="D121" s="117" t="s">
        <v>261</v>
      </c>
      <c r="E121" s="130">
        <v>1.2361111111111109</v>
      </c>
      <c r="F121" s="117" t="s">
        <v>63</v>
      </c>
      <c r="G121" s="119">
        <v>9</v>
      </c>
      <c r="H121" s="120" t="s">
        <v>64</v>
      </c>
    </row>
    <row r="122" spans="1:8" ht="19.899999999999999" customHeight="1">
      <c r="A122" s="121">
        <v>46033</v>
      </c>
      <c r="B122" s="112" t="s">
        <v>68</v>
      </c>
      <c r="C122" s="113" t="s">
        <v>264</v>
      </c>
      <c r="D122" s="112" t="s">
        <v>261</v>
      </c>
      <c r="E122" s="122">
        <v>1.3576388888888891</v>
      </c>
      <c r="F122" s="112" t="s">
        <v>70</v>
      </c>
      <c r="G122" s="114">
        <v>9</v>
      </c>
      <c r="H122" s="115" t="s">
        <v>289</v>
      </c>
    </row>
    <row r="123" spans="1:8" ht="19.899999999999999" customHeight="1">
      <c r="A123" s="143"/>
      <c r="B123" s="144"/>
      <c r="C123" s="144"/>
      <c r="D123" s="144"/>
      <c r="E123" s="144"/>
      <c r="F123" s="145" t="s">
        <v>319</v>
      </c>
      <c r="G123" s="144"/>
      <c r="H123" s="146"/>
    </row>
    <row r="124" spans="1:8" ht="19.899999999999999" customHeight="1">
      <c r="A124" s="121">
        <v>46033</v>
      </c>
      <c r="B124" s="112" t="s">
        <v>38</v>
      </c>
      <c r="C124" s="113" t="s">
        <v>39</v>
      </c>
      <c r="D124" s="112" t="s">
        <v>1</v>
      </c>
      <c r="E124" s="122">
        <v>1.229166666666667</v>
      </c>
      <c r="F124" s="112" t="s">
        <v>40</v>
      </c>
      <c r="G124" s="114">
        <v>24</v>
      </c>
      <c r="H124" s="115" t="s">
        <v>78</v>
      </c>
    </row>
    <row r="125" spans="1:8" ht="19.899999999999999" customHeight="1">
      <c r="A125" s="121">
        <v>46033</v>
      </c>
      <c r="B125" s="112" t="s">
        <v>38</v>
      </c>
      <c r="C125" s="113" t="s">
        <v>39</v>
      </c>
      <c r="D125" s="112" t="s">
        <v>1</v>
      </c>
      <c r="E125" s="122">
        <v>1.229166666666667</v>
      </c>
      <c r="F125" s="112" t="s">
        <v>43</v>
      </c>
      <c r="G125" s="114">
        <v>24</v>
      </c>
      <c r="H125" s="115" t="s">
        <v>79</v>
      </c>
    </row>
    <row r="126" spans="1:8" ht="19.899999999999999" customHeight="1">
      <c r="A126" s="121">
        <v>46033</v>
      </c>
      <c r="B126" s="112" t="s">
        <v>61</v>
      </c>
      <c r="C126" s="113" t="s">
        <v>62</v>
      </c>
      <c r="D126" s="112" t="s">
        <v>1</v>
      </c>
      <c r="E126" s="122">
        <v>1.743055555555556</v>
      </c>
      <c r="F126" s="112" t="s">
        <v>63</v>
      </c>
      <c r="G126" s="114">
        <v>9</v>
      </c>
      <c r="H126" s="115" t="s">
        <v>64</v>
      </c>
    </row>
    <row r="127" spans="1:8" ht="19.899999999999999" customHeight="1">
      <c r="A127" s="121">
        <v>46033</v>
      </c>
      <c r="B127" s="112" t="s">
        <v>48</v>
      </c>
      <c r="C127" s="113" t="s">
        <v>56</v>
      </c>
      <c r="D127" s="112" t="s">
        <v>1</v>
      </c>
      <c r="E127" s="122">
        <v>1.895833333333333</v>
      </c>
      <c r="F127" s="112" t="s">
        <v>50</v>
      </c>
      <c r="G127" s="114">
        <v>9</v>
      </c>
      <c r="H127" s="115" t="s">
        <v>109</v>
      </c>
    </row>
    <row r="128" spans="1:8" ht="19.899999999999999" customHeight="1">
      <c r="A128" s="121">
        <v>46033</v>
      </c>
      <c r="B128" s="112" t="s">
        <v>48</v>
      </c>
      <c r="C128" s="113" t="s">
        <v>58</v>
      </c>
      <c r="D128" s="112" t="s">
        <v>1</v>
      </c>
      <c r="E128" s="122">
        <v>1.1840277777777779</v>
      </c>
      <c r="F128" s="112" t="s">
        <v>50</v>
      </c>
      <c r="G128" s="114">
        <v>9</v>
      </c>
      <c r="H128" s="115" t="s">
        <v>109</v>
      </c>
    </row>
    <row r="129" spans="1:8" ht="19.899999999999999" customHeight="1">
      <c r="A129" s="121">
        <v>46033</v>
      </c>
      <c r="B129" s="112" t="s">
        <v>68</v>
      </c>
      <c r="C129" s="113" t="s">
        <v>74</v>
      </c>
      <c r="D129" s="112" t="s">
        <v>1</v>
      </c>
      <c r="E129" s="122">
        <v>1.336805555555556</v>
      </c>
      <c r="F129" s="112" t="s">
        <v>70</v>
      </c>
      <c r="G129" s="114">
        <v>9</v>
      </c>
      <c r="H129" s="115" t="s">
        <v>71</v>
      </c>
    </row>
    <row r="130" spans="1:8" ht="19.899999999999999" customHeight="1">
      <c r="A130" s="121">
        <v>46033</v>
      </c>
      <c r="B130" s="112" t="s">
        <v>68</v>
      </c>
      <c r="C130" s="113" t="s">
        <v>69</v>
      </c>
      <c r="D130" s="112" t="s">
        <v>1</v>
      </c>
      <c r="E130" s="122">
        <v>1.9409722222222221</v>
      </c>
      <c r="F130" s="112" t="s">
        <v>70</v>
      </c>
      <c r="G130" s="114">
        <v>9</v>
      </c>
      <c r="H130" s="115" t="s">
        <v>71</v>
      </c>
    </row>
    <row r="131" spans="1:8" ht="19.899999999999999" customHeight="1">
      <c r="A131" s="121">
        <v>46033</v>
      </c>
      <c r="B131" s="112" t="s">
        <v>68</v>
      </c>
      <c r="C131" s="113" t="s">
        <v>76</v>
      </c>
      <c r="D131" s="112" t="s">
        <v>1</v>
      </c>
      <c r="E131" s="122">
        <v>1.697916666666667</v>
      </c>
      <c r="F131" s="112" t="s">
        <v>70</v>
      </c>
      <c r="G131" s="114">
        <v>9</v>
      </c>
      <c r="H131" s="115" t="s">
        <v>71</v>
      </c>
    </row>
    <row r="132" spans="1:8" ht="19.899999999999999" customHeight="1">
      <c r="A132" s="121">
        <v>46033</v>
      </c>
      <c r="B132" s="112" t="s">
        <v>68</v>
      </c>
      <c r="C132" s="113" t="s">
        <v>72</v>
      </c>
      <c r="D132" s="112" t="s">
        <v>1</v>
      </c>
      <c r="E132" s="122">
        <v>1.0659722222222221</v>
      </c>
      <c r="F132" s="112" t="s">
        <v>70</v>
      </c>
      <c r="G132" s="114">
        <v>9</v>
      </c>
      <c r="H132" s="115" t="s">
        <v>71</v>
      </c>
    </row>
    <row r="133" spans="1:8" ht="19.899999999999999" customHeight="1">
      <c r="A133" s="123">
        <v>46033</v>
      </c>
      <c r="B133" s="124" t="s">
        <v>48</v>
      </c>
      <c r="C133" s="125" t="s">
        <v>56</v>
      </c>
      <c r="D133" s="124" t="s">
        <v>1</v>
      </c>
      <c r="E133" s="126">
        <v>1.895833333333333</v>
      </c>
      <c r="F133" s="124" t="s">
        <v>53</v>
      </c>
      <c r="G133" s="127">
        <v>9</v>
      </c>
      <c r="H133" s="128" t="s">
        <v>110</v>
      </c>
    </row>
    <row r="134" spans="1:8" ht="19.899999999999999" customHeight="1">
      <c r="A134" s="143"/>
      <c r="B134" s="144"/>
      <c r="C134" s="144"/>
      <c r="D134" s="144"/>
      <c r="E134" s="144"/>
      <c r="F134" s="145" t="s">
        <v>319</v>
      </c>
      <c r="G134" s="144"/>
      <c r="H134" s="146"/>
    </row>
    <row r="135" spans="1:8" ht="19.899999999999999" customHeight="1">
      <c r="A135" s="121">
        <v>46034</v>
      </c>
      <c r="B135" s="112" t="s">
        <v>38</v>
      </c>
      <c r="C135" s="113" t="s">
        <v>39</v>
      </c>
      <c r="D135" s="112" t="s">
        <v>1</v>
      </c>
      <c r="E135" s="122">
        <v>1.229166666666667</v>
      </c>
      <c r="F135" s="112" t="s">
        <v>40</v>
      </c>
      <c r="G135" s="114">
        <v>22</v>
      </c>
      <c r="H135" s="115" t="s">
        <v>78</v>
      </c>
    </row>
    <row r="136" spans="1:8" ht="19.899999999999999" customHeight="1">
      <c r="A136" s="121">
        <v>46034</v>
      </c>
      <c r="B136" s="112" t="s">
        <v>38</v>
      </c>
      <c r="C136" s="113" t="s">
        <v>87</v>
      </c>
      <c r="D136" s="112" t="s">
        <v>1</v>
      </c>
      <c r="E136" s="122">
        <v>1.0625</v>
      </c>
      <c r="F136" s="112" t="s">
        <v>40</v>
      </c>
      <c r="G136" s="114">
        <v>20</v>
      </c>
      <c r="H136" s="115" t="s">
        <v>78</v>
      </c>
    </row>
    <row r="137" spans="1:8" ht="19.899999999999999" customHeight="1">
      <c r="A137" s="121">
        <v>46034</v>
      </c>
      <c r="B137" s="112" t="s">
        <v>26</v>
      </c>
      <c r="C137" s="113" t="s">
        <v>27</v>
      </c>
      <c r="D137" s="112" t="s">
        <v>1</v>
      </c>
      <c r="E137" s="122">
        <v>1.6076388888888891</v>
      </c>
      <c r="F137" s="112" t="s">
        <v>28</v>
      </c>
      <c r="G137" s="114">
        <v>9</v>
      </c>
      <c r="H137" s="115" t="s">
        <v>149</v>
      </c>
    </row>
    <row r="138" spans="1:8" ht="19.899999999999999" customHeight="1">
      <c r="A138" s="121">
        <v>46034</v>
      </c>
      <c r="B138" s="112" t="s">
        <v>38</v>
      </c>
      <c r="C138" s="113" t="s">
        <v>39</v>
      </c>
      <c r="D138" s="112" t="s">
        <v>1</v>
      </c>
      <c r="E138" s="122">
        <v>1.229166666666667</v>
      </c>
      <c r="F138" s="112" t="s">
        <v>43</v>
      </c>
      <c r="G138" s="114">
        <v>22</v>
      </c>
      <c r="H138" s="115" t="s">
        <v>79</v>
      </c>
    </row>
    <row r="139" spans="1:8" ht="19.899999999999999" customHeight="1">
      <c r="A139" s="121">
        <v>46034</v>
      </c>
      <c r="B139" s="112" t="s">
        <v>38</v>
      </c>
      <c r="C139" s="113" t="s">
        <v>87</v>
      </c>
      <c r="D139" s="112" t="s">
        <v>1</v>
      </c>
      <c r="E139" s="122">
        <v>1.0625</v>
      </c>
      <c r="F139" s="112" t="s">
        <v>43</v>
      </c>
      <c r="G139" s="114">
        <v>20</v>
      </c>
      <c r="H139" s="115" t="s">
        <v>79</v>
      </c>
    </row>
    <row r="140" spans="1:8" ht="19.899999999999999" customHeight="1">
      <c r="A140" s="121">
        <v>46034</v>
      </c>
      <c r="B140" s="112" t="s">
        <v>26</v>
      </c>
      <c r="C140" s="113" t="s">
        <v>27</v>
      </c>
      <c r="D140" s="112" t="s">
        <v>1</v>
      </c>
      <c r="E140" s="122">
        <v>1.6076388888888891</v>
      </c>
      <c r="F140" s="112" t="s">
        <v>31</v>
      </c>
      <c r="G140" s="114">
        <v>9</v>
      </c>
      <c r="H140" s="115" t="s">
        <v>133</v>
      </c>
    </row>
    <row r="141" spans="1:8" ht="19.899999999999999" customHeight="1">
      <c r="A141" s="121">
        <v>46034</v>
      </c>
      <c r="B141" s="112" t="s">
        <v>61</v>
      </c>
      <c r="C141" s="113" t="s">
        <v>111</v>
      </c>
      <c r="D141" s="112" t="s">
        <v>1</v>
      </c>
      <c r="E141" s="122">
        <v>1.868055555555556</v>
      </c>
      <c r="F141" s="112" t="s">
        <v>63</v>
      </c>
      <c r="G141" s="114">
        <v>9</v>
      </c>
      <c r="H141" s="115" t="s">
        <v>64</v>
      </c>
    </row>
    <row r="142" spans="1:8" ht="19.899999999999999" customHeight="1">
      <c r="A142" s="121">
        <v>46034</v>
      </c>
      <c r="B142" s="112" t="s">
        <v>26</v>
      </c>
      <c r="C142" s="113" t="s">
        <v>27</v>
      </c>
      <c r="D142" s="112" t="s">
        <v>1</v>
      </c>
      <c r="E142" s="122">
        <v>1.6076388888888891</v>
      </c>
      <c r="F142" s="112" t="s">
        <v>34</v>
      </c>
      <c r="G142" s="114">
        <v>9</v>
      </c>
      <c r="H142" s="115" t="s">
        <v>150</v>
      </c>
    </row>
    <row r="143" spans="1:8" ht="19.899999999999999" customHeight="1">
      <c r="A143" s="121">
        <v>46034</v>
      </c>
      <c r="B143" s="112" t="s">
        <v>68</v>
      </c>
      <c r="C143" s="113" t="s">
        <v>74</v>
      </c>
      <c r="D143" s="112" t="s">
        <v>1</v>
      </c>
      <c r="E143" s="122">
        <v>1.336805555555556</v>
      </c>
      <c r="F143" s="112" t="s">
        <v>70</v>
      </c>
      <c r="G143" s="114">
        <v>9</v>
      </c>
      <c r="H143" s="115" t="s">
        <v>71</v>
      </c>
    </row>
    <row r="144" spans="1:8" ht="19.899999999999999" customHeight="1">
      <c r="A144" s="123">
        <v>46034</v>
      </c>
      <c r="B144" s="124" t="s">
        <v>68</v>
      </c>
      <c r="C144" s="125" t="s">
        <v>69</v>
      </c>
      <c r="D144" s="124" t="s">
        <v>1</v>
      </c>
      <c r="E144" s="126">
        <v>1.9409722222222221</v>
      </c>
      <c r="F144" s="124" t="s">
        <v>70</v>
      </c>
      <c r="G144" s="127">
        <v>9</v>
      </c>
      <c r="H144" s="128" t="s">
        <v>71</v>
      </c>
    </row>
    <row r="145" spans="1:8" ht="19.899999999999999" customHeight="1">
      <c r="A145" s="129">
        <v>46035</v>
      </c>
      <c r="B145" s="117" t="s">
        <v>61</v>
      </c>
      <c r="C145" s="118" t="s">
        <v>262</v>
      </c>
      <c r="D145" s="117" t="s">
        <v>261</v>
      </c>
      <c r="E145" s="130">
        <v>1.1597222222222221</v>
      </c>
      <c r="F145" s="117" t="s">
        <v>63</v>
      </c>
      <c r="G145" s="119">
        <v>9</v>
      </c>
      <c r="H145" s="120" t="s">
        <v>291</v>
      </c>
    </row>
    <row r="146" spans="1:8" ht="19.899999999999999" customHeight="1">
      <c r="A146" s="143"/>
      <c r="B146" s="144"/>
      <c r="C146" s="144"/>
      <c r="D146" s="144"/>
      <c r="E146" s="144"/>
      <c r="F146" s="145" t="s">
        <v>319</v>
      </c>
      <c r="G146" s="144"/>
      <c r="H146" s="146"/>
    </row>
    <row r="147" spans="1:8" ht="19.899999999999999" customHeight="1">
      <c r="A147" s="121">
        <v>46035</v>
      </c>
      <c r="B147" s="112" t="s">
        <v>38</v>
      </c>
      <c r="C147" s="113" t="s">
        <v>87</v>
      </c>
      <c r="D147" s="112" t="s">
        <v>1</v>
      </c>
      <c r="E147" s="122">
        <v>1.0625</v>
      </c>
      <c r="F147" s="112" t="s">
        <v>40</v>
      </c>
      <c r="G147" s="114">
        <v>19</v>
      </c>
      <c r="H147" s="115" t="s">
        <v>78</v>
      </c>
    </row>
    <row r="148" spans="1:8" ht="19.899999999999999" customHeight="1">
      <c r="A148" s="121">
        <v>46035</v>
      </c>
      <c r="B148" s="112" t="s">
        <v>38</v>
      </c>
      <c r="C148" s="113" t="s">
        <v>39</v>
      </c>
      <c r="D148" s="112" t="s">
        <v>1</v>
      </c>
      <c r="E148" s="122">
        <v>1.229166666666667</v>
      </c>
      <c r="F148" s="112" t="s">
        <v>40</v>
      </c>
      <c r="G148" s="114">
        <v>2</v>
      </c>
      <c r="H148" s="115" t="s">
        <v>131</v>
      </c>
    </row>
    <row r="149" spans="1:8" ht="19.899999999999999" customHeight="1">
      <c r="A149" s="121">
        <v>46035</v>
      </c>
      <c r="B149" s="112" t="s">
        <v>26</v>
      </c>
      <c r="C149" s="113" t="s">
        <v>27</v>
      </c>
      <c r="D149" s="112" t="s">
        <v>1</v>
      </c>
      <c r="E149" s="122">
        <v>1.6076388888888891</v>
      </c>
      <c r="F149" s="112" t="s">
        <v>28</v>
      </c>
      <c r="G149" s="114">
        <v>9</v>
      </c>
      <c r="H149" s="115" t="s">
        <v>149</v>
      </c>
    </row>
    <row r="150" spans="1:8" ht="19.899999999999999" customHeight="1">
      <c r="A150" s="121">
        <v>46035</v>
      </c>
      <c r="B150" s="112" t="s">
        <v>38</v>
      </c>
      <c r="C150" s="113" t="s">
        <v>87</v>
      </c>
      <c r="D150" s="112" t="s">
        <v>1</v>
      </c>
      <c r="E150" s="122">
        <v>1.0625</v>
      </c>
      <c r="F150" s="112" t="s">
        <v>43</v>
      </c>
      <c r="G150" s="114">
        <v>19</v>
      </c>
      <c r="H150" s="115" t="s">
        <v>79</v>
      </c>
    </row>
    <row r="151" spans="1:8" ht="19.899999999999999" customHeight="1">
      <c r="A151" s="121">
        <v>46035</v>
      </c>
      <c r="B151" s="112" t="s">
        <v>38</v>
      </c>
      <c r="C151" s="113" t="s">
        <v>39</v>
      </c>
      <c r="D151" s="112" t="s">
        <v>1</v>
      </c>
      <c r="E151" s="122">
        <v>1.229166666666667</v>
      </c>
      <c r="F151" s="112" t="s">
        <v>43</v>
      </c>
      <c r="G151" s="114">
        <v>2</v>
      </c>
      <c r="H151" s="115" t="s">
        <v>133</v>
      </c>
    </row>
    <row r="152" spans="1:8" ht="19.899999999999999" customHeight="1">
      <c r="A152" s="121">
        <v>46035</v>
      </c>
      <c r="B152" s="112" t="s">
        <v>26</v>
      </c>
      <c r="C152" s="113" t="s">
        <v>27</v>
      </c>
      <c r="D152" s="112" t="s">
        <v>1</v>
      </c>
      <c r="E152" s="122">
        <v>1.6076388888888891</v>
      </c>
      <c r="F152" s="112" t="s">
        <v>31</v>
      </c>
      <c r="G152" s="114">
        <v>9</v>
      </c>
      <c r="H152" s="115" t="s">
        <v>133</v>
      </c>
    </row>
    <row r="153" spans="1:8" ht="19.899999999999999" customHeight="1">
      <c r="A153" s="121">
        <v>46035</v>
      </c>
      <c r="B153" s="112" t="s">
        <v>61</v>
      </c>
      <c r="C153" s="113" t="s">
        <v>62</v>
      </c>
      <c r="D153" s="112" t="s">
        <v>1</v>
      </c>
      <c r="E153" s="122">
        <v>1.819444444444444</v>
      </c>
      <c r="F153" s="112" t="s">
        <v>63</v>
      </c>
      <c r="G153" s="114">
        <v>8</v>
      </c>
      <c r="H153" s="115" t="s">
        <v>64</v>
      </c>
    </row>
    <row r="154" spans="1:8" ht="19.899999999999999" customHeight="1">
      <c r="A154" s="121">
        <v>46035</v>
      </c>
      <c r="B154" s="112" t="s">
        <v>26</v>
      </c>
      <c r="C154" s="113" t="s">
        <v>27</v>
      </c>
      <c r="D154" s="112" t="s">
        <v>1</v>
      </c>
      <c r="E154" s="122">
        <v>1.6076388888888891</v>
      </c>
      <c r="F154" s="112" t="s">
        <v>34</v>
      </c>
      <c r="G154" s="114">
        <v>9</v>
      </c>
      <c r="H154" s="115" t="s">
        <v>150</v>
      </c>
    </row>
    <row r="155" spans="1:8" ht="19.899999999999999" customHeight="1">
      <c r="A155" s="121">
        <v>46035</v>
      </c>
      <c r="B155" s="112" t="s">
        <v>48</v>
      </c>
      <c r="C155" s="113" t="s">
        <v>58</v>
      </c>
      <c r="D155" s="112" t="s">
        <v>1</v>
      </c>
      <c r="E155" s="122">
        <v>1.1840277777777779</v>
      </c>
      <c r="F155" s="112" t="s">
        <v>50</v>
      </c>
      <c r="G155" s="114">
        <v>9</v>
      </c>
      <c r="H155" s="115" t="s">
        <v>109</v>
      </c>
    </row>
    <row r="156" spans="1:8" ht="19.899999999999999" customHeight="1">
      <c r="A156" s="123">
        <v>46035</v>
      </c>
      <c r="B156" s="124" t="s">
        <v>68</v>
      </c>
      <c r="C156" s="125" t="s">
        <v>74</v>
      </c>
      <c r="D156" s="124" t="s">
        <v>1</v>
      </c>
      <c r="E156" s="126">
        <v>1.336805555555556</v>
      </c>
      <c r="F156" s="124" t="s">
        <v>70</v>
      </c>
      <c r="G156" s="127">
        <v>9</v>
      </c>
      <c r="H156" s="128" t="s">
        <v>71</v>
      </c>
    </row>
    <row r="157" spans="1:8" ht="19.899999999999999" customHeight="1">
      <c r="A157" s="129">
        <v>46036</v>
      </c>
      <c r="B157" s="117" t="s">
        <v>61</v>
      </c>
      <c r="C157" s="118" t="s">
        <v>262</v>
      </c>
      <c r="D157" s="117" t="s">
        <v>261</v>
      </c>
      <c r="E157" s="130">
        <v>1.7777777777777779</v>
      </c>
      <c r="F157" s="117" t="s">
        <v>63</v>
      </c>
      <c r="G157" s="119">
        <v>9</v>
      </c>
      <c r="H157" s="120" t="s">
        <v>64</v>
      </c>
    </row>
    <row r="158" spans="1:8" ht="19.899999999999999" customHeight="1">
      <c r="A158" s="143"/>
      <c r="B158" s="144"/>
      <c r="C158" s="144"/>
      <c r="D158" s="144"/>
      <c r="E158" s="144"/>
      <c r="F158" s="145" t="s">
        <v>319</v>
      </c>
      <c r="G158" s="144"/>
      <c r="H158" s="146"/>
    </row>
    <row r="159" spans="1:8" ht="19.899999999999999" customHeight="1">
      <c r="A159" s="121">
        <v>46036</v>
      </c>
      <c r="B159" s="112" t="s">
        <v>38</v>
      </c>
      <c r="C159" s="113" t="s">
        <v>39</v>
      </c>
      <c r="D159" s="112" t="s">
        <v>1</v>
      </c>
      <c r="E159" s="122">
        <v>1.229166666666667</v>
      </c>
      <c r="F159" s="112" t="s">
        <v>40</v>
      </c>
      <c r="G159" s="114">
        <v>15</v>
      </c>
      <c r="H159" s="115" t="s">
        <v>131</v>
      </c>
    </row>
    <row r="160" spans="1:8" ht="19.899999999999999" customHeight="1">
      <c r="A160" s="121">
        <v>46036</v>
      </c>
      <c r="B160" s="112" t="s">
        <v>26</v>
      </c>
      <c r="C160" s="113" t="s">
        <v>27</v>
      </c>
      <c r="D160" s="112" t="s">
        <v>1</v>
      </c>
      <c r="E160" s="122">
        <v>1.6076388888888891</v>
      </c>
      <c r="F160" s="112" t="s">
        <v>28</v>
      </c>
      <c r="G160" s="114">
        <v>9</v>
      </c>
      <c r="H160" s="115" t="s">
        <v>149</v>
      </c>
    </row>
    <row r="161" spans="1:8" ht="19.899999999999999" customHeight="1">
      <c r="A161" s="121">
        <v>46036</v>
      </c>
      <c r="B161" s="112" t="s">
        <v>48</v>
      </c>
      <c r="C161" s="113" t="s">
        <v>49</v>
      </c>
      <c r="D161" s="112" t="s">
        <v>1</v>
      </c>
      <c r="E161" s="122">
        <v>1.350694444444444</v>
      </c>
      <c r="F161" s="112" t="s">
        <v>50</v>
      </c>
      <c r="G161" s="114">
        <v>1</v>
      </c>
      <c r="H161" s="115" t="s">
        <v>96</v>
      </c>
    </row>
    <row r="162" spans="1:8" ht="19.899999999999999" customHeight="1">
      <c r="A162" s="121">
        <v>46036</v>
      </c>
      <c r="B162" s="112" t="s">
        <v>38</v>
      </c>
      <c r="C162" s="113" t="s">
        <v>39</v>
      </c>
      <c r="D162" s="112" t="s">
        <v>1</v>
      </c>
      <c r="E162" s="122">
        <v>1.229166666666667</v>
      </c>
      <c r="F162" s="112" t="s">
        <v>43</v>
      </c>
      <c r="G162" s="114">
        <v>15</v>
      </c>
      <c r="H162" s="115" t="s">
        <v>133</v>
      </c>
    </row>
    <row r="163" spans="1:8" ht="19.899999999999999" customHeight="1">
      <c r="A163" s="121">
        <v>46036</v>
      </c>
      <c r="B163" s="112" t="s">
        <v>26</v>
      </c>
      <c r="C163" s="113" t="s">
        <v>27</v>
      </c>
      <c r="D163" s="112" t="s">
        <v>1</v>
      </c>
      <c r="E163" s="122">
        <v>1.6076388888888891</v>
      </c>
      <c r="F163" s="112" t="s">
        <v>31</v>
      </c>
      <c r="G163" s="114">
        <v>9</v>
      </c>
      <c r="H163" s="115" t="s">
        <v>133</v>
      </c>
    </row>
    <row r="164" spans="1:8" ht="19.899999999999999" customHeight="1">
      <c r="A164" s="121">
        <v>46036</v>
      </c>
      <c r="B164" s="112" t="s">
        <v>48</v>
      </c>
      <c r="C164" s="113" t="s">
        <v>49</v>
      </c>
      <c r="D164" s="112" t="s">
        <v>1</v>
      </c>
      <c r="E164" s="122">
        <v>1.350694444444444</v>
      </c>
      <c r="F164" s="112" t="s">
        <v>53</v>
      </c>
      <c r="G164" s="114">
        <v>1</v>
      </c>
      <c r="H164" s="115" t="s">
        <v>97</v>
      </c>
    </row>
    <row r="165" spans="1:8" ht="19.899999999999999" customHeight="1">
      <c r="A165" s="121">
        <v>46036</v>
      </c>
      <c r="B165" s="112" t="s">
        <v>26</v>
      </c>
      <c r="C165" s="113" t="s">
        <v>27</v>
      </c>
      <c r="D165" s="112" t="s">
        <v>1</v>
      </c>
      <c r="E165" s="122">
        <v>1.6076388888888891</v>
      </c>
      <c r="F165" s="112" t="s">
        <v>34</v>
      </c>
      <c r="G165" s="114">
        <v>9</v>
      </c>
      <c r="H165" s="115" t="s">
        <v>150</v>
      </c>
    </row>
    <row r="166" spans="1:8" ht="19.899999999999999" customHeight="1">
      <c r="A166" s="121">
        <v>46036</v>
      </c>
      <c r="B166" s="112" t="s">
        <v>68</v>
      </c>
      <c r="C166" s="113" t="s">
        <v>69</v>
      </c>
      <c r="D166" s="112" t="s">
        <v>1</v>
      </c>
      <c r="E166" s="122">
        <v>1.9409722222222221</v>
      </c>
      <c r="F166" s="112" t="s">
        <v>70</v>
      </c>
      <c r="G166" s="114">
        <v>9</v>
      </c>
      <c r="H166" s="115" t="s">
        <v>71</v>
      </c>
    </row>
    <row r="167" spans="1:8" ht="19.899999999999999" customHeight="1">
      <c r="A167" s="121">
        <v>46036</v>
      </c>
      <c r="B167" s="112" t="s">
        <v>68</v>
      </c>
      <c r="C167" s="113" t="s">
        <v>76</v>
      </c>
      <c r="D167" s="112" t="s">
        <v>1</v>
      </c>
      <c r="E167" s="122">
        <v>1.697916666666667</v>
      </c>
      <c r="F167" s="112" t="s">
        <v>70</v>
      </c>
      <c r="G167" s="114">
        <v>9</v>
      </c>
      <c r="H167" s="115" t="s">
        <v>71</v>
      </c>
    </row>
    <row r="168" spans="1:8" ht="19.899999999999999" customHeight="1">
      <c r="A168" s="123">
        <v>46036</v>
      </c>
      <c r="B168" s="124" t="s">
        <v>68</v>
      </c>
      <c r="C168" s="125" t="s">
        <v>72</v>
      </c>
      <c r="D168" s="124" t="s">
        <v>1</v>
      </c>
      <c r="E168" s="126">
        <v>1.0659722222222221</v>
      </c>
      <c r="F168" s="124" t="s">
        <v>70</v>
      </c>
      <c r="G168" s="127">
        <v>9</v>
      </c>
      <c r="H168" s="128" t="s">
        <v>71</v>
      </c>
    </row>
    <row r="169" spans="1:8" ht="19.899999999999999" customHeight="1">
      <c r="A169" s="129">
        <v>46037</v>
      </c>
      <c r="B169" s="117" t="s">
        <v>61</v>
      </c>
      <c r="C169" s="118" t="s">
        <v>262</v>
      </c>
      <c r="D169" s="117" t="s">
        <v>261</v>
      </c>
      <c r="E169" s="130">
        <v>1.479166666666667</v>
      </c>
      <c r="F169" s="117" t="s">
        <v>63</v>
      </c>
      <c r="G169" s="119">
        <v>9</v>
      </c>
      <c r="H169" s="120" t="s">
        <v>64</v>
      </c>
    </row>
    <row r="170" spans="1:8" ht="19.899999999999999" customHeight="1">
      <c r="A170" s="143"/>
      <c r="B170" s="144"/>
      <c r="C170" s="144"/>
      <c r="D170" s="144"/>
      <c r="E170" s="144"/>
      <c r="F170" s="145" t="s">
        <v>319</v>
      </c>
      <c r="G170" s="144"/>
      <c r="H170" s="146"/>
    </row>
    <row r="171" spans="1:8" ht="19.899999999999999" customHeight="1">
      <c r="A171" s="121">
        <v>46037</v>
      </c>
      <c r="B171" s="112" t="s">
        <v>38</v>
      </c>
      <c r="C171" s="113" t="s">
        <v>39</v>
      </c>
      <c r="D171" s="112" t="s">
        <v>1</v>
      </c>
      <c r="E171" s="122">
        <v>1.229166666666667</v>
      </c>
      <c r="F171" s="112" t="s">
        <v>40</v>
      </c>
      <c r="G171" s="114">
        <v>2</v>
      </c>
      <c r="H171" s="115" t="s">
        <v>78</v>
      </c>
    </row>
    <row r="172" spans="1:8" ht="19.899999999999999" customHeight="1">
      <c r="A172" s="121">
        <v>46037</v>
      </c>
      <c r="B172" s="112" t="s">
        <v>38</v>
      </c>
      <c r="C172" s="113" t="s">
        <v>87</v>
      </c>
      <c r="D172" s="112" t="s">
        <v>1</v>
      </c>
      <c r="E172" s="122">
        <v>1.0625</v>
      </c>
      <c r="F172" s="112" t="s">
        <v>40</v>
      </c>
      <c r="G172" s="114">
        <v>20</v>
      </c>
      <c r="H172" s="115" t="s">
        <v>78</v>
      </c>
    </row>
    <row r="173" spans="1:8" ht="19.899999999999999" customHeight="1">
      <c r="A173" s="121">
        <v>46037</v>
      </c>
      <c r="B173" s="112" t="s">
        <v>26</v>
      </c>
      <c r="C173" s="113" t="s">
        <v>27</v>
      </c>
      <c r="D173" s="112" t="s">
        <v>1</v>
      </c>
      <c r="E173" s="122">
        <v>1.6076388888888891</v>
      </c>
      <c r="F173" s="112" t="s">
        <v>28</v>
      </c>
      <c r="G173" s="114">
        <v>9</v>
      </c>
      <c r="H173" s="115" t="s">
        <v>89</v>
      </c>
    </row>
    <row r="174" spans="1:8" ht="19.899999999999999" customHeight="1">
      <c r="A174" s="121">
        <v>46037</v>
      </c>
      <c r="B174" s="112" t="s">
        <v>26</v>
      </c>
      <c r="C174" s="113" t="s">
        <v>36</v>
      </c>
      <c r="D174" s="112" t="s">
        <v>1</v>
      </c>
      <c r="E174" s="122">
        <v>1.4340277777777779</v>
      </c>
      <c r="F174" s="112" t="s">
        <v>28</v>
      </c>
      <c r="G174" s="114">
        <v>9</v>
      </c>
      <c r="H174" s="115" t="s">
        <v>89</v>
      </c>
    </row>
    <row r="175" spans="1:8" ht="19.899999999999999" customHeight="1">
      <c r="A175" s="121">
        <v>46037</v>
      </c>
      <c r="B175" s="112" t="s">
        <v>38</v>
      </c>
      <c r="C175" s="113" t="s">
        <v>39</v>
      </c>
      <c r="D175" s="112" t="s">
        <v>1</v>
      </c>
      <c r="E175" s="122">
        <v>1.229166666666667</v>
      </c>
      <c r="F175" s="112" t="s">
        <v>43</v>
      </c>
      <c r="G175" s="114">
        <v>2</v>
      </c>
      <c r="H175" s="115" t="s">
        <v>79</v>
      </c>
    </row>
    <row r="176" spans="1:8" ht="19.899999999999999" customHeight="1">
      <c r="A176" s="121">
        <v>46037</v>
      </c>
      <c r="B176" s="112" t="s">
        <v>38</v>
      </c>
      <c r="C176" s="113" t="s">
        <v>87</v>
      </c>
      <c r="D176" s="112" t="s">
        <v>1</v>
      </c>
      <c r="E176" s="122">
        <v>1.0625</v>
      </c>
      <c r="F176" s="112" t="s">
        <v>43</v>
      </c>
      <c r="G176" s="114">
        <v>20</v>
      </c>
      <c r="H176" s="115" t="s">
        <v>79</v>
      </c>
    </row>
    <row r="177" spans="1:8" ht="19.899999999999999" customHeight="1">
      <c r="A177" s="121">
        <v>46037</v>
      </c>
      <c r="B177" s="112" t="s">
        <v>26</v>
      </c>
      <c r="C177" s="113" t="s">
        <v>27</v>
      </c>
      <c r="D177" s="112" t="s">
        <v>1</v>
      </c>
      <c r="E177" s="122">
        <v>1.6076388888888891</v>
      </c>
      <c r="F177" s="112" t="s">
        <v>31</v>
      </c>
      <c r="G177" s="114">
        <v>9</v>
      </c>
      <c r="H177" s="115" t="s">
        <v>138</v>
      </c>
    </row>
    <row r="178" spans="1:8" ht="19.899999999999999" customHeight="1">
      <c r="A178" s="121">
        <v>46037</v>
      </c>
      <c r="B178" s="112" t="s">
        <v>26</v>
      </c>
      <c r="C178" s="113" t="s">
        <v>36</v>
      </c>
      <c r="D178" s="112" t="s">
        <v>1</v>
      </c>
      <c r="E178" s="122">
        <v>1.4340277777777779</v>
      </c>
      <c r="F178" s="112" t="s">
        <v>31</v>
      </c>
      <c r="G178" s="114">
        <v>9</v>
      </c>
      <c r="H178" s="115" t="s">
        <v>138</v>
      </c>
    </row>
    <row r="179" spans="1:8" ht="19.899999999999999" customHeight="1">
      <c r="A179" s="121">
        <v>46037</v>
      </c>
      <c r="B179" s="112" t="s">
        <v>61</v>
      </c>
      <c r="C179" s="113" t="s">
        <v>62</v>
      </c>
      <c r="D179" s="112" t="s">
        <v>1</v>
      </c>
      <c r="E179" s="122">
        <v>1.381944444444444</v>
      </c>
      <c r="F179" s="112" t="s">
        <v>63</v>
      </c>
      <c r="G179" s="114">
        <v>9</v>
      </c>
      <c r="H179" s="115" t="s">
        <v>64</v>
      </c>
    </row>
    <row r="180" spans="1:8" ht="19.899999999999999" customHeight="1">
      <c r="A180" s="123">
        <v>46037</v>
      </c>
      <c r="B180" s="124" t="s">
        <v>48</v>
      </c>
      <c r="C180" s="125" t="s">
        <v>49</v>
      </c>
      <c r="D180" s="124" t="s">
        <v>1</v>
      </c>
      <c r="E180" s="126">
        <v>1.354166666666667</v>
      </c>
      <c r="F180" s="124" t="s">
        <v>50</v>
      </c>
      <c r="G180" s="127">
        <v>9</v>
      </c>
      <c r="H180" s="128" t="s">
        <v>109</v>
      </c>
    </row>
    <row r="181" spans="1:8" ht="19.899999999999999" customHeight="1">
      <c r="A181" s="121">
        <v>46038</v>
      </c>
      <c r="B181" s="112" t="s">
        <v>68</v>
      </c>
      <c r="C181" s="113" t="s">
        <v>264</v>
      </c>
      <c r="D181" s="112" t="s">
        <v>261</v>
      </c>
      <c r="E181" s="122">
        <v>1.3576388888888891</v>
      </c>
      <c r="F181" s="112" t="s">
        <v>70</v>
      </c>
      <c r="G181" s="114">
        <v>9</v>
      </c>
      <c r="H181" s="115" t="s">
        <v>296</v>
      </c>
    </row>
    <row r="182" spans="1:8" ht="19.899999999999999" customHeight="1">
      <c r="A182" s="143"/>
      <c r="B182" s="144"/>
      <c r="C182" s="144"/>
      <c r="D182" s="144"/>
      <c r="E182" s="144"/>
      <c r="F182" s="145" t="s">
        <v>319</v>
      </c>
      <c r="G182" s="144"/>
      <c r="H182" s="146"/>
    </row>
    <row r="183" spans="1:8" ht="19.899999999999999" customHeight="1">
      <c r="A183" s="121">
        <v>46038</v>
      </c>
      <c r="B183" s="112" t="s">
        <v>38</v>
      </c>
      <c r="C183" s="113" t="s">
        <v>39</v>
      </c>
      <c r="D183" s="112" t="s">
        <v>1</v>
      </c>
      <c r="E183" s="122">
        <v>1.229166666666667</v>
      </c>
      <c r="F183" s="112" t="s">
        <v>40</v>
      </c>
      <c r="G183" s="114">
        <v>20</v>
      </c>
      <c r="H183" s="115" t="s">
        <v>121</v>
      </c>
    </row>
    <row r="184" spans="1:8" ht="19.899999999999999" customHeight="1">
      <c r="A184" s="121">
        <v>46038</v>
      </c>
      <c r="B184" s="112" t="s">
        <v>26</v>
      </c>
      <c r="C184" s="113" t="s">
        <v>27</v>
      </c>
      <c r="D184" s="112" t="s">
        <v>1</v>
      </c>
      <c r="E184" s="122">
        <v>1.6076388888888891</v>
      </c>
      <c r="F184" s="112" t="s">
        <v>28</v>
      </c>
      <c r="G184" s="114">
        <v>9</v>
      </c>
      <c r="H184" s="115" t="s">
        <v>159</v>
      </c>
    </row>
    <row r="185" spans="1:8" ht="19.899999999999999" customHeight="1">
      <c r="A185" s="121">
        <v>46038</v>
      </c>
      <c r="B185" s="112" t="s">
        <v>38</v>
      </c>
      <c r="C185" s="113" t="s">
        <v>39</v>
      </c>
      <c r="D185" s="112" t="s">
        <v>1</v>
      </c>
      <c r="E185" s="122">
        <v>1.229166666666667</v>
      </c>
      <c r="F185" s="112" t="s">
        <v>43</v>
      </c>
      <c r="G185" s="114">
        <v>20</v>
      </c>
      <c r="H185" s="115" t="s">
        <v>123</v>
      </c>
    </row>
    <row r="186" spans="1:8" ht="19.899999999999999" customHeight="1">
      <c r="A186" s="121">
        <v>46038</v>
      </c>
      <c r="B186" s="112" t="s">
        <v>26</v>
      </c>
      <c r="C186" s="113" t="s">
        <v>27</v>
      </c>
      <c r="D186" s="112" t="s">
        <v>1</v>
      </c>
      <c r="E186" s="122">
        <v>1.6076388888888891</v>
      </c>
      <c r="F186" s="112" t="s">
        <v>31</v>
      </c>
      <c r="G186" s="114">
        <v>9</v>
      </c>
      <c r="H186" s="115" t="s">
        <v>139</v>
      </c>
    </row>
    <row r="187" spans="1:8" ht="19.899999999999999" customHeight="1">
      <c r="A187" s="121">
        <v>46038</v>
      </c>
      <c r="B187" s="112" t="s">
        <v>26</v>
      </c>
      <c r="C187" s="113" t="s">
        <v>27</v>
      </c>
      <c r="D187" s="112" t="s">
        <v>1</v>
      </c>
      <c r="E187" s="122">
        <v>1.6076388888888891</v>
      </c>
      <c r="F187" s="112" t="s">
        <v>34</v>
      </c>
      <c r="G187" s="114">
        <v>9</v>
      </c>
      <c r="H187" s="115" t="s">
        <v>160</v>
      </c>
    </row>
    <row r="188" spans="1:8" ht="19.899999999999999" customHeight="1">
      <c r="A188" s="121">
        <v>46038</v>
      </c>
      <c r="B188" s="112" t="s">
        <v>38</v>
      </c>
      <c r="C188" s="113" t="s">
        <v>39</v>
      </c>
      <c r="D188" s="112" t="s">
        <v>1</v>
      </c>
      <c r="E188" s="122">
        <v>1.229166666666667</v>
      </c>
      <c r="F188" s="112" t="s">
        <v>46</v>
      </c>
      <c r="G188" s="114">
        <v>20</v>
      </c>
      <c r="H188" s="115" t="s">
        <v>47</v>
      </c>
    </row>
    <row r="189" spans="1:8" ht="19.899999999999999" customHeight="1">
      <c r="A189" s="121">
        <v>46038</v>
      </c>
      <c r="B189" s="112" t="s">
        <v>68</v>
      </c>
      <c r="C189" s="113" t="s">
        <v>74</v>
      </c>
      <c r="D189" s="112" t="s">
        <v>1</v>
      </c>
      <c r="E189" s="122">
        <v>1.336805555555556</v>
      </c>
      <c r="F189" s="112" t="s">
        <v>70</v>
      </c>
      <c r="G189" s="114">
        <v>9</v>
      </c>
      <c r="H189" s="115" t="s">
        <v>75</v>
      </c>
    </row>
    <row r="190" spans="1:8" ht="19.899999999999999" customHeight="1">
      <c r="A190" s="121">
        <v>46038</v>
      </c>
      <c r="B190" s="112" t="s">
        <v>68</v>
      </c>
      <c r="C190" s="113" t="s">
        <v>69</v>
      </c>
      <c r="D190" s="112" t="s">
        <v>1</v>
      </c>
      <c r="E190" s="122">
        <v>1.9409722222222221</v>
      </c>
      <c r="F190" s="112" t="s">
        <v>70</v>
      </c>
      <c r="G190" s="114">
        <v>9</v>
      </c>
      <c r="H190" s="115" t="s">
        <v>75</v>
      </c>
    </row>
    <row r="191" spans="1:8" ht="19.899999999999999" customHeight="1">
      <c r="A191" s="121">
        <v>46038</v>
      </c>
      <c r="B191" s="112" t="s">
        <v>68</v>
      </c>
      <c r="C191" s="113" t="s">
        <v>76</v>
      </c>
      <c r="D191" s="112" t="s">
        <v>1</v>
      </c>
      <c r="E191" s="122">
        <v>1.697916666666667</v>
      </c>
      <c r="F191" s="112" t="s">
        <v>70</v>
      </c>
      <c r="G191" s="114">
        <v>9</v>
      </c>
      <c r="H191" s="115" t="s">
        <v>75</v>
      </c>
    </row>
    <row r="192" spans="1:8" ht="19.899999999999999" customHeight="1">
      <c r="A192" s="123">
        <v>46038</v>
      </c>
      <c r="B192" s="124" t="s">
        <v>68</v>
      </c>
      <c r="C192" s="125" t="s">
        <v>72</v>
      </c>
      <c r="D192" s="124" t="s">
        <v>1</v>
      </c>
      <c r="E192" s="126">
        <v>1.0659722222222221</v>
      </c>
      <c r="F192" s="124" t="s">
        <v>70</v>
      </c>
      <c r="G192" s="127">
        <v>9</v>
      </c>
      <c r="H192" s="128" t="s">
        <v>75</v>
      </c>
    </row>
    <row r="193" spans="1:8" ht="19.899999999999999" customHeight="1">
      <c r="A193" s="143"/>
      <c r="B193" s="144"/>
      <c r="C193" s="144"/>
      <c r="D193" s="144"/>
      <c r="E193" s="144"/>
      <c r="F193" s="145" t="s">
        <v>319</v>
      </c>
      <c r="G193" s="144"/>
      <c r="H193" s="146"/>
    </row>
    <row r="194" spans="1:8" ht="19.899999999999999" customHeight="1">
      <c r="A194" s="121">
        <v>46039</v>
      </c>
      <c r="B194" s="112" t="s">
        <v>38</v>
      </c>
      <c r="C194" s="113" t="s">
        <v>39</v>
      </c>
      <c r="D194" s="112" t="s">
        <v>1</v>
      </c>
      <c r="E194" s="122">
        <v>1.229166666666667</v>
      </c>
      <c r="F194" s="112" t="s">
        <v>40</v>
      </c>
      <c r="G194" s="114">
        <v>11</v>
      </c>
      <c r="H194" s="115" t="s">
        <v>131</v>
      </c>
    </row>
    <row r="195" spans="1:8" ht="19.899999999999999" customHeight="1">
      <c r="A195" s="121">
        <v>46039</v>
      </c>
      <c r="B195" s="112" t="s">
        <v>38</v>
      </c>
      <c r="C195" s="113" t="s">
        <v>87</v>
      </c>
      <c r="D195" s="112" t="s">
        <v>1</v>
      </c>
      <c r="E195" s="122">
        <v>1.0625</v>
      </c>
      <c r="F195" s="112" t="s">
        <v>40</v>
      </c>
      <c r="G195" s="114">
        <v>20</v>
      </c>
      <c r="H195" s="115" t="s">
        <v>42</v>
      </c>
    </row>
    <row r="196" spans="1:8" ht="19.899999999999999" customHeight="1">
      <c r="A196" s="121">
        <v>46039</v>
      </c>
      <c r="B196" s="112" t="s">
        <v>26</v>
      </c>
      <c r="C196" s="113" t="s">
        <v>36</v>
      </c>
      <c r="D196" s="112" t="s">
        <v>1</v>
      </c>
      <c r="E196" s="122">
        <v>1.4340277777777779</v>
      </c>
      <c r="F196" s="112" t="s">
        <v>28</v>
      </c>
      <c r="G196" s="114">
        <v>9</v>
      </c>
      <c r="H196" s="115" t="s">
        <v>149</v>
      </c>
    </row>
    <row r="197" spans="1:8" ht="19.899999999999999" customHeight="1">
      <c r="A197" s="121">
        <v>46039</v>
      </c>
      <c r="B197" s="112" t="s">
        <v>26</v>
      </c>
      <c r="C197" s="113" t="s">
        <v>27</v>
      </c>
      <c r="D197" s="112" t="s">
        <v>1</v>
      </c>
      <c r="E197" s="122">
        <v>1.6076388888888891</v>
      </c>
      <c r="F197" s="112" t="s">
        <v>28</v>
      </c>
      <c r="G197" s="114">
        <v>9</v>
      </c>
      <c r="H197" s="115" t="s">
        <v>161</v>
      </c>
    </row>
    <row r="198" spans="1:8" ht="19.899999999999999" customHeight="1">
      <c r="A198" s="121">
        <v>46039</v>
      </c>
      <c r="B198" s="112" t="s">
        <v>38</v>
      </c>
      <c r="C198" s="113" t="s">
        <v>39</v>
      </c>
      <c r="D198" s="112" t="s">
        <v>1</v>
      </c>
      <c r="E198" s="122">
        <v>1.229166666666667</v>
      </c>
      <c r="F198" s="112" t="s">
        <v>43</v>
      </c>
      <c r="G198" s="114">
        <v>11</v>
      </c>
      <c r="H198" s="115" t="s">
        <v>133</v>
      </c>
    </row>
    <row r="199" spans="1:8" ht="19.899999999999999" customHeight="1">
      <c r="A199" s="121">
        <v>46039</v>
      </c>
      <c r="B199" s="112" t="s">
        <v>26</v>
      </c>
      <c r="C199" s="113" t="s">
        <v>36</v>
      </c>
      <c r="D199" s="112" t="s">
        <v>1</v>
      </c>
      <c r="E199" s="122">
        <v>1.4340277777777779</v>
      </c>
      <c r="F199" s="112" t="s">
        <v>31</v>
      </c>
      <c r="G199" s="114">
        <v>9</v>
      </c>
      <c r="H199" s="115" t="s">
        <v>133</v>
      </c>
    </row>
    <row r="200" spans="1:8" ht="19.899999999999999" customHeight="1">
      <c r="A200" s="121">
        <v>46039</v>
      </c>
      <c r="B200" s="112" t="s">
        <v>38</v>
      </c>
      <c r="C200" s="113" t="s">
        <v>87</v>
      </c>
      <c r="D200" s="112" t="s">
        <v>1</v>
      </c>
      <c r="E200" s="122">
        <v>1.0625</v>
      </c>
      <c r="F200" s="112" t="s">
        <v>43</v>
      </c>
      <c r="G200" s="114">
        <v>20</v>
      </c>
      <c r="H200" s="115" t="s">
        <v>45</v>
      </c>
    </row>
    <row r="201" spans="1:8" ht="19.899999999999999" customHeight="1">
      <c r="A201" s="121">
        <v>46039</v>
      </c>
      <c r="B201" s="112" t="s">
        <v>26</v>
      </c>
      <c r="C201" s="113" t="s">
        <v>27</v>
      </c>
      <c r="D201" s="112" t="s">
        <v>1</v>
      </c>
      <c r="E201" s="122">
        <v>1.6076388888888891</v>
      </c>
      <c r="F201" s="112" t="s">
        <v>31</v>
      </c>
      <c r="G201" s="114">
        <v>9</v>
      </c>
      <c r="H201" s="115" t="s">
        <v>162</v>
      </c>
    </row>
    <row r="202" spans="1:8" ht="19.899999999999999" customHeight="1">
      <c r="A202" s="121">
        <v>46039</v>
      </c>
      <c r="B202" s="112" t="s">
        <v>61</v>
      </c>
      <c r="C202" s="113" t="s">
        <v>62</v>
      </c>
      <c r="D202" s="112" t="s">
        <v>1</v>
      </c>
      <c r="E202" s="122">
        <v>1.2361111111111109</v>
      </c>
      <c r="F202" s="112" t="s">
        <v>63</v>
      </c>
      <c r="G202" s="114">
        <v>8</v>
      </c>
      <c r="H202" s="115" t="s">
        <v>64</v>
      </c>
    </row>
    <row r="203" spans="1:8" ht="19.899999999999999" customHeight="1">
      <c r="A203" s="123">
        <v>46039</v>
      </c>
      <c r="B203" s="124" t="s">
        <v>26</v>
      </c>
      <c r="C203" s="125" t="s">
        <v>36</v>
      </c>
      <c r="D203" s="124" t="s">
        <v>1</v>
      </c>
      <c r="E203" s="126">
        <v>1.4340277777777779</v>
      </c>
      <c r="F203" s="124" t="s">
        <v>34</v>
      </c>
      <c r="G203" s="127">
        <v>9</v>
      </c>
      <c r="H203" s="128" t="s">
        <v>150</v>
      </c>
    </row>
    <row r="204" spans="1:8" ht="19.899999999999999" customHeight="1">
      <c r="A204" s="129">
        <v>46040</v>
      </c>
      <c r="B204" s="117" t="s">
        <v>61</v>
      </c>
      <c r="C204" s="118" t="s">
        <v>262</v>
      </c>
      <c r="D204" s="117" t="s">
        <v>261</v>
      </c>
      <c r="E204" s="130">
        <v>1.2361111111111109</v>
      </c>
      <c r="F204" s="117" t="s">
        <v>63</v>
      </c>
      <c r="G204" s="119">
        <v>7</v>
      </c>
      <c r="H204" s="120" t="s">
        <v>64</v>
      </c>
    </row>
    <row r="205" spans="1:8" ht="19.899999999999999" customHeight="1">
      <c r="A205" s="121">
        <v>46040</v>
      </c>
      <c r="B205" s="112" t="s">
        <v>68</v>
      </c>
      <c r="C205" s="113" t="s">
        <v>264</v>
      </c>
      <c r="D205" s="112" t="s">
        <v>261</v>
      </c>
      <c r="E205" s="122">
        <v>1.3576388888888891</v>
      </c>
      <c r="F205" s="112" t="s">
        <v>70</v>
      </c>
      <c r="G205" s="114">
        <v>9</v>
      </c>
      <c r="H205" s="115" t="s">
        <v>297</v>
      </c>
    </row>
    <row r="206" spans="1:8" ht="19.899999999999999" customHeight="1">
      <c r="A206" s="143"/>
      <c r="B206" s="144"/>
      <c r="C206" s="144"/>
      <c r="D206" s="144"/>
      <c r="E206" s="144"/>
      <c r="F206" s="145" t="s">
        <v>319</v>
      </c>
      <c r="G206" s="144"/>
      <c r="H206" s="146"/>
    </row>
    <row r="207" spans="1:8" ht="19.899999999999999" customHeight="1">
      <c r="A207" s="121">
        <v>46040</v>
      </c>
      <c r="B207" s="112" t="s">
        <v>38</v>
      </c>
      <c r="C207" s="113" t="s">
        <v>39</v>
      </c>
      <c r="D207" s="112" t="s">
        <v>1</v>
      </c>
      <c r="E207" s="122">
        <v>1.229166666666667</v>
      </c>
      <c r="F207" s="112" t="s">
        <v>40</v>
      </c>
      <c r="G207" s="114">
        <v>1</v>
      </c>
      <c r="H207" s="115" t="s">
        <v>78</v>
      </c>
    </row>
    <row r="208" spans="1:8" ht="19.899999999999999" customHeight="1">
      <c r="A208" s="121">
        <v>46040</v>
      </c>
      <c r="B208" s="112" t="s">
        <v>38</v>
      </c>
      <c r="C208" s="113" t="s">
        <v>39</v>
      </c>
      <c r="D208" s="112" t="s">
        <v>1</v>
      </c>
      <c r="E208" s="122">
        <v>1.229166666666667</v>
      </c>
      <c r="F208" s="112" t="s">
        <v>43</v>
      </c>
      <c r="G208" s="114">
        <v>1</v>
      </c>
      <c r="H208" s="115" t="s">
        <v>79</v>
      </c>
    </row>
    <row r="209" spans="1:8" ht="19.899999999999999" customHeight="1">
      <c r="A209" s="121">
        <v>46040</v>
      </c>
      <c r="B209" s="112" t="s">
        <v>26</v>
      </c>
      <c r="C209" s="113" t="s">
        <v>27</v>
      </c>
      <c r="D209" s="112" t="s">
        <v>1</v>
      </c>
      <c r="E209" s="122">
        <v>1.6076388888888891</v>
      </c>
      <c r="F209" s="112" t="s">
        <v>28</v>
      </c>
      <c r="G209" s="114">
        <v>5</v>
      </c>
      <c r="H209" s="115" t="s">
        <v>159</v>
      </c>
    </row>
    <row r="210" spans="1:8" ht="19.899999999999999" customHeight="1">
      <c r="A210" s="121">
        <v>46040</v>
      </c>
      <c r="B210" s="112" t="s">
        <v>61</v>
      </c>
      <c r="C210" s="113" t="s">
        <v>62</v>
      </c>
      <c r="D210" s="112" t="s">
        <v>1</v>
      </c>
      <c r="E210" s="122">
        <v>1.743055555555556</v>
      </c>
      <c r="F210" s="112" t="s">
        <v>63</v>
      </c>
      <c r="G210" s="114">
        <v>9</v>
      </c>
      <c r="H210" s="115" t="s">
        <v>64</v>
      </c>
    </row>
    <row r="211" spans="1:8" ht="19.899999999999999" customHeight="1">
      <c r="A211" s="121">
        <v>46040</v>
      </c>
      <c r="B211" s="112" t="s">
        <v>26</v>
      </c>
      <c r="C211" s="113" t="s">
        <v>27</v>
      </c>
      <c r="D211" s="112" t="s">
        <v>1</v>
      </c>
      <c r="E211" s="122">
        <v>1.6076388888888891</v>
      </c>
      <c r="F211" s="112" t="s">
        <v>31</v>
      </c>
      <c r="G211" s="114">
        <v>5</v>
      </c>
      <c r="H211" s="115" t="s">
        <v>139</v>
      </c>
    </row>
    <row r="212" spans="1:8" ht="19.899999999999999" customHeight="1">
      <c r="A212" s="121">
        <v>46040</v>
      </c>
      <c r="B212" s="112" t="s">
        <v>26</v>
      </c>
      <c r="C212" s="113" t="s">
        <v>27</v>
      </c>
      <c r="D212" s="112" t="s">
        <v>1</v>
      </c>
      <c r="E212" s="122">
        <v>1.6076388888888891</v>
      </c>
      <c r="F212" s="112" t="s">
        <v>34</v>
      </c>
      <c r="G212" s="114">
        <v>5</v>
      </c>
      <c r="H212" s="115" t="s">
        <v>160</v>
      </c>
    </row>
    <row r="213" spans="1:8" ht="19.899999999999999" customHeight="1">
      <c r="A213" s="121">
        <v>46040</v>
      </c>
      <c r="B213" s="112" t="s">
        <v>38</v>
      </c>
      <c r="C213" s="113" t="s">
        <v>39</v>
      </c>
      <c r="D213" s="112" t="s">
        <v>1</v>
      </c>
      <c r="E213" s="122">
        <v>1.229166666666667</v>
      </c>
      <c r="F213" s="112" t="s">
        <v>46</v>
      </c>
      <c r="G213" s="114">
        <v>1</v>
      </c>
      <c r="H213" s="115" t="s">
        <v>47</v>
      </c>
    </row>
    <row r="214" spans="1:8" ht="19.899999999999999" customHeight="1">
      <c r="A214" s="121">
        <v>46040</v>
      </c>
      <c r="B214" s="112" t="s">
        <v>68</v>
      </c>
      <c r="C214" s="113" t="s">
        <v>74</v>
      </c>
      <c r="D214" s="112" t="s">
        <v>1</v>
      </c>
      <c r="E214" s="122">
        <v>1.336805555555556</v>
      </c>
      <c r="F214" s="112" t="s">
        <v>70</v>
      </c>
      <c r="G214" s="114">
        <v>9</v>
      </c>
      <c r="H214" s="115" t="s">
        <v>75</v>
      </c>
    </row>
    <row r="215" spans="1:8" ht="19.899999999999999" customHeight="1">
      <c r="A215" s="121">
        <v>46040</v>
      </c>
      <c r="B215" s="112" t="s">
        <v>68</v>
      </c>
      <c r="C215" s="113" t="s">
        <v>69</v>
      </c>
      <c r="D215" s="112" t="s">
        <v>1</v>
      </c>
      <c r="E215" s="122">
        <v>1.9409722222222221</v>
      </c>
      <c r="F215" s="112" t="s">
        <v>70</v>
      </c>
      <c r="G215" s="114">
        <v>9</v>
      </c>
      <c r="H215" s="115" t="s">
        <v>75</v>
      </c>
    </row>
    <row r="216" spans="1:8" ht="19.899999999999999" customHeight="1">
      <c r="A216" s="123">
        <v>46040</v>
      </c>
      <c r="B216" s="124" t="s">
        <v>68</v>
      </c>
      <c r="C216" s="125" t="s">
        <v>76</v>
      </c>
      <c r="D216" s="124" t="s">
        <v>1</v>
      </c>
      <c r="E216" s="126">
        <v>1.697916666666667</v>
      </c>
      <c r="F216" s="124" t="s">
        <v>70</v>
      </c>
      <c r="G216" s="127">
        <v>9</v>
      </c>
      <c r="H216" s="128" t="s">
        <v>75</v>
      </c>
    </row>
    <row r="217" spans="1:8" ht="19.899999999999999" customHeight="1">
      <c r="A217" s="143"/>
      <c r="B217" s="144"/>
      <c r="C217" s="144"/>
      <c r="D217" s="144"/>
      <c r="E217" s="144"/>
      <c r="F217" s="145" t="s">
        <v>319</v>
      </c>
      <c r="G217" s="144"/>
      <c r="H217" s="146"/>
    </row>
    <row r="218" spans="1:8" ht="19.899999999999999" customHeight="1">
      <c r="A218" s="121">
        <v>46041</v>
      </c>
      <c r="B218" s="112" t="s">
        <v>38</v>
      </c>
      <c r="C218" s="113" t="s">
        <v>39</v>
      </c>
      <c r="D218" s="112" t="s">
        <v>1</v>
      </c>
      <c r="E218" s="122">
        <v>1.229166666666667</v>
      </c>
      <c r="F218" s="112" t="s">
        <v>40</v>
      </c>
      <c r="G218" s="114">
        <v>8</v>
      </c>
      <c r="H218" s="115" t="s">
        <v>78</v>
      </c>
    </row>
    <row r="219" spans="1:8" ht="19.899999999999999" customHeight="1">
      <c r="A219" s="121">
        <v>46041</v>
      </c>
      <c r="B219" s="112" t="s">
        <v>38</v>
      </c>
      <c r="C219" s="113" t="s">
        <v>87</v>
      </c>
      <c r="D219" s="112" t="s">
        <v>1</v>
      </c>
      <c r="E219" s="122">
        <v>1.0625</v>
      </c>
      <c r="F219" s="112" t="s">
        <v>40</v>
      </c>
      <c r="G219" s="114">
        <v>20</v>
      </c>
      <c r="H219" s="115" t="s">
        <v>78</v>
      </c>
    </row>
    <row r="220" spans="1:8" ht="19.899999999999999" customHeight="1">
      <c r="A220" s="121">
        <v>46041</v>
      </c>
      <c r="B220" s="112" t="s">
        <v>48</v>
      </c>
      <c r="C220" s="113" t="s">
        <v>56</v>
      </c>
      <c r="D220" s="112" t="s">
        <v>1</v>
      </c>
      <c r="E220" s="122">
        <v>1.895833333333333</v>
      </c>
      <c r="F220" s="112" t="s">
        <v>50</v>
      </c>
      <c r="G220" s="114">
        <v>9</v>
      </c>
      <c r="H220" s="115" t="s">
        <v>96</v>
      </c>
    </row>
    <row r="221" spans="1:8" ht="19.899999999999999" customHeight="1">
      <c r="A221" s="121">
        <v>46041</v>
      </c>
      <c r="B221" s="112" t="s">
        <v>38</v>
      </c>
      <c r="C221" s="113" t="s">
        <v>39</v>
      </c>
      <c r="D221" s="112" t="s">
        <v>1</v>
      </c>
      <c r="E221" s="122">
        <v>1.229166666666667</v>
      </c>
      <c r="F221" s="112" t="s">
        <v>43</v>
      </c>
      <c r="G221" s="114">
        <v>8</v>
      </c>
      <c r="H221" s="115" t="s">
        <v>79</v>
      </c>
    </row>
    <row r="222" spans="1:8" ht="19.899999999999999" customHeight="1">
      <c r="A222" s="121">
        <v>46041</v>
      </c>
      <c r="B222" s="112" t="s">
        <v>38</v>
      </c>
      <c r="C222" s="113" t="s">
        <v>87</v>
      </c>
      <c r="D222" s="112" t="s">
        <v>1</v>
      </c>
      <c r="E222" s="122">
        <v>1.0625</v>
      </c>
      <c r="F222" s="112" t="s">
        <v>43</v>
      </c>
      <c r="G222" s="114">
        <v>20</v>
      </c>
      <c r="H222" s="115" t="s">
        <v>79</v>
      </c>
    </row>
    <row r="223" spans="1:8" ht="19.899999999999999" customHeight="1">
      <c r="A223" s="121">
        <v>46041</v>
      </c>
      <c r="B223" s="112" t="s">
        <v>26</v>
      </c>
      <c r="C223" s="113" t="s">
        <v>27</v>
      </c>
      <c r="D223" s="112" t="s">
        <v>1</v>
      </c>
      <c r="E223" s="122">
        <v>1.6076388888888891</v>
      </c>
      <c r="F223" s="112" t="s">
        <v>28</v>
      </c>
      <c r="G223" s="114">
        <v>5</v>
      </c>
      <c r="H223" s="115" t="s">
        <v>161</v>
      </c>
    </row>
    <row r="224" spans="1:8" ht="19.899999999999999" customHeight="1">
      <c r="A224" s="121">
        <v>46041</v>
      </c>
      <c r="B224" s="112" t="s">
        <v>26</v>
      </c>
      <c r="C224" s="113" t="s">
        <v>36</v>
      </c>
      <c r="D224" s="112" t="s">
        <v>1</v>
      </c>
      <c r="E224" s="122">
        <v>1.4340277777777779</v>
      </c>
      <c r="F224" s="112" t="s">
        <v>28</v>
      </c>
      <c r="G224" s="114">
        <v>5</v>
      </c>
      <c r="H224" s="115" t="s">
        <v>161</v>
      </c>
    </row>
    <row r="225" spans="1:8" ht="19.899999999999999" customHeight="1">
      <c r="A225" s="121">
        <v>46041</v>
      </c>
      <c r="B225" s="112" t="s">
        <v>48</v>
      </c>
      <c r="C225" s="113" t="s">
        <v>56</v>
      </c>
      <c r="D225" s="112" t="s">
        <v>1</v>
      </c>
      <c r="E225" s="122">
        <v>1.895833333333333</v>
      </c>
      <c r="F225" s="112" t="s">
        <v>53</v>
      </c>
      <c r="G225" s="114">
        <v>9</v>
      </c>
      <c r="H225" s="115" t="s">
        <v>97</v>
      </c>
    </row>
    <row r="226" spans="1:8" ht="19.899999999999999" customHeight="1">
      <c r="A226" s="121">
        <v>46041</v>
      </c>
      <c r="B226" s="112" t="s">
        <v>26</v>
      </c>
      <c r="C226" s="113" t="s">
        <v>27</v>
      </c>
      <c r="D226" s="112" t="s">
        <v>1</v>
      </c>
      <c r="E226" s="122">
        <v>1.6076388888888891</v>
      </c>
      <c r="F226" s="112" t="s">
        <v>31</v>
      </c>
      <c r="G226" s="114">
        <v>5</v>
      </c>
      <c r="H226" s="115" t="s">
        <v>162</v>
      </c>
    </row>
    <row r="227" spans="1:8" ht="19.899999999999999" customHeight="1">
      <c r="A227" s="123">
        <v>46041</v>
      </c>
      <c r="B227" s="124" t="s">
        <v>26</v>
      </c>
      <c r="C227" s="125" t="s">
        <v>36</v>
      </c>
      <c r="D227" s="124" t="s">
        <v>1</v>
      </c>
      <c r="E227" s="126">
        <v>1.4340277777777779</v>
      </c>
      <c r="F227" s="124" t="s">
        <v>31</v>
      </c>
      <c r="G227" s="127">
        <v>5</v>
      </c>
      <c r="H227" s="128" t="s">
        <v>162</v>
      </c>
    </row>
    <row r="228" spans="1:8" ht="19.899999999999999" customHeight="1">
      <c r="A228" s="129">
        <v>46042</v>
      </c>
      <c r="B228" s="117" t="s">
        <v>61</v>
      </c>
      <c r="C228" s="118" t="s">
        <v>262</v>
      </c>
      <c r="D228" s="117" t="s">
        <v>261</v>
      </c>
      <c r="E228" s="130">
        <v>1.1597222222222221</v>
      </c>
      <c r="F228" s="117" t="s">
        <v>63</v>
      </c>
      <c r="G228" s="119">
        <v>2</v>
      </c>
      <c r="H228" s="120" t="s">
        <v>64</v>
      </c>
    </row>
    <row r="229" spans="1:8" ht="19.899999999999999" customHeight="1">
      <c r="A229" s="143"/>
      <c r="B229" s="144"/>
      <c r="C229" s="144"/>
      <c r="D229" s="144"/>
      <c r="E229" s="144"/>
      <c r="F229" s="145" t="s">
        <v>319</v>
      </c>
      <c r="G229" s="144"/>
      <c r="H229" s="146"/>
    </row>
    <row r="230" spans="1:8" ht="19.899999999999999" customHeight="1">
      <c r="A230" s="121">
        <v>46042</v>
      </c>
      <c r="B230" s="112" t="s">
        <v>38</v>
      </c>
      <c r="C230" s="113" t="s">
        <v>87</v>
      </c>
      <c r="D230" s="112" t="s">
        <v>1</v>
      </c>
      <c r="E230" s="122">
        <v>1.0625</v>
      </c>
      <c r="F230" s="112" t="s">
        <v>40</v>
      </c>
      <c r="G230" s="114">
        <v>20</v>
      </c>
      <c r="H230" s="115" t="s">
        <v>78</v>
      </c>
    </row>
    <row r="231" spans="1:8" ht="19.899999999999999" customHeight="1">
      <c r="A231" s="121">
        <v>46042</v>
      </c>
      <c r="B231" s="112" t="s">
        <v>38</v>
      </c>
      <c r="C231" s="113" t="s">
        <v>39</v>
      </c>
      <c r="D231" s="112" t="s">
        <v>1</v>
      </c>
      <c r="E231" s="122">
        <v>1.229166666666667</v>
      </c>
      <c r="F231" s="112" t="s">
        <v>40</v>
      </c>
      <c r="G231" s="114">
        <v>2</v>
      </c>
      <c r="H231" s="115" t="s">
        <v>131</v>
      </c>
    </row>
    <row r="232" spans="1:8" ht="19.899999999999999" customHeight="1">
      <c r="A232" s="121">
        <v>46042</v>
      </c>
      <c r="B232" s="112" t="s">
        <v>48</v>
      </c>
      <c r="C232" s="113" t="s">
        <v>56</v>
      </c>
      <c r="D232" s="112" t="s">
        <v>1</v>
      </c>
      <c r="E232" s="122">
        <v>1.895833333333333</v>
      </c>
      <c r="F232" s="112" t="s">
        <v>50</v>
      </c>
      <c r="G232" s="114">
        <v>3</v>
      </c>
      <c r="H232" s="115" t="s">
        <v>96</v>
      </c>
    </row>
    <row r="233" spans="1:8" ht="19.899999999999999" customHeight="1">
      <c r="A233" s="121">
        <v>46042</v>
      </c>
      <c r="B233" s="112" t="s">
        <v>26</v>
      </c>
      <c r="C233" s="113" t="s">
        <v>27</v>
      </c>
      <c r="D233" s="112" t="s">
        <v>1</v>
      </c>
      <c r="E233" s="122">
        <v>1.6076388888888891</v>
      </c>
      <c r="F233" s="112" t="s">
        <v>28</v>
      </c>
      <c r="G233" s="114">
        <v>4</v>
      </c>
      <c r="H233" s="115" t="s">
        <v>89</v>
      </c>
    </row>
    <row r="234" spans="1:8" ht="19.899999999999999" customHeight="1">
      <c r="A234" s="121">
        <v>46042</v>
      </c>
      <c r="B234" s="112" t="s">
        <v>38</v>
      </c>
      <c r="C234" s="113" t="s">
        <v>87</v>
      </c>
      <c r="D234" s="112" t="s">
        <v>1</v>
      </c>
      <c r="E234" s="122">
        <v>1.0625</v>
      </c>
      <c r="F234" s="112" t="s">
        <v>43</v>
      </c>
      <c r="G234" s="114">
        <v>20</v>
      </c>
      <c r="H234" s="115" t="s">
        <v>79</v>
      </c>
    </row>
    <row r="235" spans="1:8" ht="19.899999999999999" customHeight="1">
      <c r="A235" s="121">
        <v>46042</v>
      </c>
      <c r="B235" s="112" t="s">
        <v>38</v>
      </c>
      <c r="C235" s="113" t="s">
        <v>39</v>
      </c>
      <c r="D235" s="112" t="s">
        <v>1</v>
      </c>
      <c r="E235" s="122">
        <v>1.229166666666667</v>
      </c>
      <c r="F235" s="112" t="s">
        <v>43</v>
      </c>
      <c r="G235" s="114">
        <v>2</v>
      </c>
      <c r="H235" s="115" t="s">
        <v>133</v>
      </c>
    </row>
    <row r="236" spans="1:8" ht="19.899999999999999" customHeight="1">
      <c r="A236" s="121">
        <v>46042</v>
      </c>
      <c r="B236" s="112" t="s">
        <v>48</v>
      </c>
      <c r="C236" s="113" t="s">
        <v>49</v>
      </c>
      <c r="D236" s="112" t="s">
        <v>1</v>
      </c>
      <c r="E236" s="122">
        <v>1.350694444444444</v>
      </c>
      <c r="F236" s="112" t="s">
        <v>50</v>
      </c>
      <c r="G236" s="114">
        <v>9</v>
      </c>
      <c r="H236" s="115" t="s">
        <v>52</v>
      </c>
    </row>
    <row r="237" spans="1:8" ht="19.899999999999999" customHeight="1">
      <c r="A237" s="121">
        <v>46042</v>
      </c>
      <c r="B237" s="112" t="s">
        <v>48</v>
      </c>
      <c r="C237" s="113" t="s">
        <v>58</v>
      </c>
      <c r="D237" s="112" t="s">
        <v>1</v>
      </c>
      <c r="E237" s="122">
        <v>1.1840277777777779</v>
      </c>
      <c r="F237" s="112" t="s">
        <v>50</v>
      </c>
      <c r="G237" s="114">
        <v>9</v>
      </c>
      <c r="H237" s="115" t="s">
        <v>52</v>
      </c>
    </row>
    <row r="238" spans="1:8" ht="19.899999999999999" customHeight="1">
      <c r="A238" s="121">
        <v>46042</v>
      </c>
      <c r="B238" s="112" t="s">
        <v>26</v>
      </c>
      <c r="C238" s="113" t="s">
        <v>27</v>
      </c>
      <c r="D238" s="112" t="s">
        <v>1</v>
      </c>
      <c r="E238" s="122">
        <v>1.6076388888888891</v>
      </c>
      <c r="F238" s="112" t="s">
        <v>31</v>
      </c>
      <c r="G238" s="114">
        <v>4</v>
      </c>
      <c r="H238" s="115" t="s">
        <v>138</v>
      </c>
    </row>
    <row r="239" spans="1:8" ht="19.899999999999999" customHeight="1">
      <c r="A239" s="123">
        <v>46042</v>
      </c>
      <c r="B239" s="124" t="s">
        <v>48</v>
      </c>
      <c r="C239" s="125" t="s">
        <v>56</v>
      </c>
      <c r="D239" s="124" t="s">
        <v>1</v>
      </c>
      <c r="E239" s="126">
        <v>1.895833333333333</v>
      </c>
      <c r="F239" s="124" t="s">
        <v>53</v>
      </c>
      <c r="G239" s="127">
        <v>3</v>
      </c>
      <c r="H239" s="128" t="s">
        <v>97</v>
      </c>
    </row>
    <row r="240" spans="1:8" ht="19.899999999999999" customHeight="1">
      <c r="A240" s="129">
        <v>46043</v>
      </c>
      <c r="B240" s="117" t="s">
        <v>61</v>
      </c>
      <c r="C240" s="118" t="s">
        <v>262</v>
      </c>
      <c r="D240" s="117" t="s">
        <v>261</v>
      </c>
      <c r="E240" s="130">
        <v>1.7777777777777779</v>
      </c>
      <c r="F240" s="117" t="s">
        <v>63</v>
      </c>
      <c r="G240" s="119">
        <v>2</v>
      </c>
      <c r="H240" s="120" t="s">
        <v>291</v>
      </c>
    </row>
    <row r="241" spans="1:8" ht="19.899999999999999" customHeight="1">
      <c r="A241" s="143"/>
      <c r="B241" s="144"/>
      <c r="C241" s="144"/>
      <c r="D241" s="144"/>
      <c r="E241" s="144"/>
      <c r="F241" s="145" t="s">
        <v>319</v>
      </c>
      <c r="G241" s="144"/>
      <c r="H241" s="146"/>
    </row>
    <row r="242" spans="1:8" ht="19.899999999999999" customHeight="1">
      <c r="A242" s="121">
        <v>46043</v>
      </c>
      <c r="B242" s="112" t="s">
        <v>38</v>
      </c>
      <c r="C242" s="113" t="s">
        <v>39</v>
      </c>
      <c r="D242" s="112" t="s">
        <v>1</v>
      </c>
      <c r="E242" s="122">
        <v>1.229166666666667</v>
      </c>
      <c r="F242" s="112" t="s">
        <v>40</v>
      </c>
      <c r="G242" s="114">
        <v>14</v>
      </c>
      <c r="H242" s="115" t="s">
        <v>78</v>
      </c>
    </row>
    <row r="243" spans="1:8" ht="19.899999999999999" customHeight="1">
      <c r="A243" s="121">
        <v>46043</v>
      </c>
      <c r="B243" s="112" t="s">
        <v>48</v>
      </c>
      <c r="C243" s="113" t="s">
        <v>56</v>
      </c>
      <c r="D243" s="112" t="s">
        <v>1</v>
      </c>
      <c r="E243" s="122">
        <v>1.895833333333333</v>
      </c>
      <c r="F243" s="112" t="s">
        <v>50</v>
      </c>
      <c r="G243" s="114">
        <v>1</v>
      </c>
      <c r="H243" s="115" t="s">
        <v>96</v>
      </c>
    </row>
    <row r="244" spans="1:8" ht="19.899999999999999" customHeight="1">
      <c r="A244" s="121">
        <v>46043</v>
      </c>
      <c r="B244" s="112" t="s">
        <v>48</v>
      </c>
      <c r="C244" s="113" t="s">
        <v>58</v>
      </c>
      <c r="D244" s="112" t="s">
        <v>1</v>
      </c>
      <c r="E244" s="122">
        <v>1.1840277777777779</v>
      </c>
      <c r="F244" s="112" t="s">
        <v>50</v>
      </c>
      <c r="G244" s="114">
        <v>9</v>
      </c>
      <c r="H244" s="115" t="s">
        <v>96</v>
      </c>
    </row>
    <row r="245" spans="1:8" ht="19.899999999999999" customHeight="1">
      <c r="A245" s="121">
        <v>46043</v>
      </c>
      <c r="B245" s="112" t="s">
        <v>38</v>
      </c>
      <c r="C245" s="113" t="s">
        <v>39</v>
      </c>
      <c r="D245" s="112" t="s">
        <v>1</v>
      </c>
      <c r="E245" s="122">
        <v>1.229166666666667</v>
      </c>
      <c r="F245" s="112" t="s">
        <v>43</v>
      </c>
      <c r="G245" s="114">
        <v>14</v>
      </c>
      <c r="H245" s="115" t="s">
        <v>79</v>
      </c>
    </row>
    <row r="246" spans="1:8" ht="19.899999999999999" customHeight="1">
      <c r="A246" s="121">
        <v>46043</v>
      </c>
      <c r="B246" s="112" t="s">
        <v>26</v>
      </c>
      <c r="C246" s="113" t="s">
        <v>27</v>
      </c>
      <c r="D246" s="112" t="s">
        <v>1</v>
      </c>
      <c r="E246" s="122">
        <v>1.6076388888888891</v>
      </c>
      <c r="F246" s="112" t="s">
        <v>28</v>
      </c>
      <c r="G246" s="114">
        <v>4</v>
      </c>
      <c r="H246" s="115" t="s">
        <v>161</v>
      </c>
    </row>
    <row r="247" spans="1:8" ht="19.899999999999999" customHeight="1">
      <c r="A247" s="121">
        <v>46043</v>
      </c>
      <c r="B247" s="112" t="s">
        <v>48</v>
      </c>
      <c r="C247" s="113" t="s">
        <v>49</v>
      </c>
      <c r="D247" s="112" t="s">
        <v>1</v>
      </c>
      <c r="E247" s="122">
        <v>1.350694444444444</v>
      </c>
      <c r="F247" s="112" t="s">
        <v>50</v>
      </c>
      <c r="G247" s="114">
        <v>9</v>
      </c>
      <c r="H247" s="115" t="s">
        <v>52</v>
      </c>
    </row>
    <row r="248" spans="1:8" ht="19.899999999999999" customHeight="1">
      <c r="A248" s="121">
        <v>46043</v>
      </c>
      <c r="B248" s="112" t="s">
        <v>48</v>
      </c>
      <c r="C248" s="113" t="s">
        <v>56</v>
      </c>
      <c r="D248" s="112" t="s">
        <v>1</v>
      </c>
      <c r="E248" s="122">
        <v>1.895833333333333</v>
      </c>
      <c r="F248" s="112" t="s">
        <v>53</v>
      </c>
      <c r="G248" s="114">
        <v>1</v>
      </c>
      <c r="H248" s="115" t="s">
        <v>97</v>
      </c>
    </row>
    <row r="249" spans="1:8" ht="19.899999999999999" customHeight="1">
      <c r="A249" s="121">
        <v>46043</v>
      </c>
      <c r="B249" s="112" t="s">
        <v>48</v>
      </c>
      <c r="C249" s="113" t="s">
        <v>58</v>
      </c>
      <c r="D249" s="112" t="s">
        <v>1</v>
      </c>
      <c r="E249" s="122">
        <v>1.1840277777777779</v>
      </c>
      <c r="F249" s="112" t="s">
        <v>53</v>
      </c>
      <c r="G249" s="114">
        <v>9</v>
      </c>
      <c r="H249" s="115" t="s">
        <v>97</v>
      </c>
    </row>
    <row r="250" spans="1:8" ht="19.899999999999999" customHeight="1">
      <c r="A250" s="121">
        <v>46043</v>
      </c>
      <c r="B250" s="112" t="s">
        <v>26</v>
      </c>
      <c r="C250" s="113" t="s">
        <v>27</v>
      </c>
      <c r="D250" s="112" t="s">
        <v>1</v>
      </c>
      <c r="E250" s="122">
        <v>1.6076388888888891</v>
      </c>
      <c r="F250" s="112" t="s">
        <v>31</v>
      </c>
      <c r="G250" s="114">
        <v>4</v>
      </c>
      <c r="H250" s="115" t="s">
        <v>162</v>
      </c>
    </row>
    <row r="251" spans="1:8" ht="19.899999999999999" customHeight="1">
      <c r="A251" s="123">
        <v>46043</v>
      </c>
      <c r="B251" s="124" t="s">
        <v>48</v>
      </c>
      <c r="C251" s="125" t="s">
        <v>49</v>
      </c>
      <c r="D251" s="124" t="s">
        <v>1</v>
      </c>
      <c r="E251" s="126">
        <v>1.350694444444444</v>
      </c>
      <c r="F251" s="124" t="s">
        <v>53</v>
      </c>
      <c r="G251" s="127">
        <v>9</v>
      </c>
      <c r="H251" s="128" t="s">
        <v>55</v>
      </c>
    </row>
    <row r="252" spans="1:8" ht="19.899999999999999" customHeight="1">
      <c r="A252" s="129">
        <v>46044</v>
      </c>
      <c r="B252" s="117" t="s">
        <v>61</v>
      </c>
      <c r="C252" s="118" t="s">
        <v>262</v>
      </c>
      <c r="D252" s="117" t="s">
        <v>261</v>
      </c>
      <c r="E252" s="130">
        <v>1.479166666666667</v>
      </c>
      <c r="F252" s="117" t="s">
        <v>63</v>
      </c>
      <c r="G252" s="119">
        <v>4</v>
      </c>
      <c r="H252" s="120" t="s">
        <v>64</v>
      </c>
    </row>
    <row r="253" spans="1:8" ht="19.899999999999999" customHeight="1">
      <c r="A253" s="143"/>
      <c r="B253" s="144"/>
      <c r="C253" s="144"/>
      <c r="D253" s="144"/>
      <c r="E253" s="144"/>
      <c r="F253" s="145" t="s">
        <v>319</v>
      </c>
      <c r="G253" s="144"/>
      <c r="H253" s="146"/>
    </row>
    <row r="254" spans="1:8" ht="19.899999999999999" customHeight="1">
      <c r="A254" s="121">
        <v>46044</v>
      </c>
      <c r="B254" s="112" t="s">
        <v>38</v>
      </c>
      <c r="C254" s="113" t="s">
        <v>39</v>
      </c>
      <c r="D254" s="112" t="s">
        <v>1</v>
      </c>
      <c r="E254" s="122">
        <v>1.229166666666667</v>
      </c>
      <c r="F254" s="112" t="s">
        <v>40</v>
      </c>
      <c r="G254" s="114">
        <v>1</v>
      </c>
      <c r="H254" s="115" t="s">
        <v>78</v>
      </c>
    </row>
    <row r="255" spans="1:8" ht="19.899999999999999" customHeight="1">
      <c r="A255" s="121">
        <v>46044</v>
      </c>
      <c r="B255" s="112" t="s">
        <v>38</v>
      </c>
      <c r="C255" s="113" t="s">
        <v>87</v>
      </c>
      <c r="D255" s="112" t="s">
        <v>1</v>
      </c>
      <c r="E255" s="122">
        <v>1.0625</v>
      </c>
      <c r="F255" s="112" t="s">
        <v>40</v>
      </c>
      <c r="G255" s="114">
        <v>19</v>
      </c>
      <c r="H255" s="115" t="s">
        <v>78</v>
      </c>
    </row>
    <row r="256" spans="1:8" ht="19.899999999999999" customHeight="1">
      <c r="A256" s="121">
        <v>46044</v>
      </c>
      <c r="B256" s="112" t="s">
        <v>38</v>
      </c>
      <c r="C256" s="113" t="s">
        <v>39</v>
      </c>
      <c r="D256" s="112" t="s">
        <v>1</v>
      </c>
      <c r="E256" s="122">
        <v>1.229166666666667</v>
      </c>
      <c r="F256" s="112" t="s">
        <v>43</v>
      </c>
      <c r="G256" s="114">
        <v>1</v>
      </c>
      <c r="H256" s="115" t="s">
        <v>79</v>
      </c>
    </row>
    <row r="257" spans="1:8" ht="19.899999999999999" customHeight="1">
      <c r="A257" s="121">
        <v>46044</v>
      </c>
      <c r="B257" s="112" t="s">
        <v>38</v>
      </c>
      <c r="C257" s="113" t="s">
        <v>87</v>
      </c>
      <c r="D257" s="112" t="s">
        <v>1</v>
      </c>
      <c r="E257" s="122">
        <v>1.0625</v>
      </c>
      <c r="F257" s="112" t="s">
        <v>43</v>
      </c>
      <c r="G257" s="114">
        <v>19</v>
      </c>
      <c r="H257" s="115" t="s">
        <v>79</v>
      </c>
    </row>
    <row r="258" spans="1:8" ht="19.899999999999999" customHeight="1">
      <c r="A258" s="121">
        <v>46044</v>
      </c>
      <c r="B258" s="112" t="s">
        <v>26</v>
      </c>
      <c r="C258" s="113" t="s">
        <v>27</v>
      </c>
      <c r="D258" s="112" t="s">
        <v>1</v>
      </c>
      <c r="E258" s="122">
        <v>1.6076388888888891</v>
      </c>
      <c r="F258" s="112" t="s">
        <v>28</v>
      </c>
      <c r="G258" s="114">
        <v>4</v>
      </c>
      <c r="H258" s="115" t="s">
        <v>159</v>
      </c>
    </row>
    <row r="259" spans="1:8" ht="19.899999999999999" customHeight="1">
      <c r="A259" s="121">
        <v>46044</v>
      </c>
      <c r="B259" s="112" t="s">
        <v>26</v>
      </c>
      <c r="C259" s="113" t="s">
        <v>27</v>
      </c>
      <c r="D259" s="112" t="s">
        <v>1</v>
      </c>
      <c r="E259" s="122">
        <v>1.6076388888888891</v>
      </c>
      <c r="F259" s="112" t="s">
        <v>31</v>
      </c>
      <c r="G259" s="114">
        <v>4</v>
      </c>
      <c r="H259" s="115" t="s">
        <v>139</v>
      </c>
    </row>
    <row r="260" spans="1:8" ht="19.899999999999999" customHeight="1">
      <c r="A260" s="121">
        <v>46044</v>
      </c>
      <c r="B260" s="112" t="s">
        <v>61</v>
      </c>
      <c r="C260" s="113" t="s">
        <v>62</v>
      </c>
      <c r="D260" s="112" t="s">
        <v>1</v>
      </c>
      <c r="E260" s="122">
        <v>1.381944444444444</v>
      </c>
      <c r="F260" s="112" t="s">
        <v>63</v>
      </c>
      <c r="G260" s="114">
        <v>1</v>
      </c>
      <c r="H260" s="115" t="s">
        <v>173</v>
      </c>
    </row>
    <row r="261" spans="1:8" ht="19.899999999999999" customHeight="1">
      <c r="A261" s="121">
        <v>46044</v>
      </c>
      <c r="B261" s="112" t="s">
        <v>26</v>
      </c>
      <c r="C261" s="113" t="s">
        <v>27</v>
      </c>
      <c r="D261" s="112" t="s">
        <v>1</v>
      </c>
      <c r="E261" s="122">
        <v>1.6076388888888891</v>
      </c>
      <c r="F261" s="112" t="s">
        <v>34</v>
      </c>
      <c r="G261" s="114">
        <v>4</v>
      </c>
      <c r="H261" s="115" t="s">
        <v>160</v>
      </c>
    </row>
    <row r="262" spans="1:8" ht="19.899999999999999" customHeight="1">
      <c r="A262" s="121">
        <v>46044</v>
      </c>
      <c r="B262" s="112" t="s">
        <v>38</v>
      </c>
      <c r="C262" s="113" t="s">
        <v>39</v>
      </c>
      <c r="D262" s="112" t="s">
        <v>1</v>
      </c>
      <c r="E262" s="122">
        <v>1.229166666666667</v>
      </c>
      <c r="F262" s="112" t="s">
        <v>46</v>
      </c>
      <c r="G262" s="114">
        <v>1</v>
      </c>
      <c r="H262" s="115" t="s">
        <v>47</v>
      </c>
    </row>
    <row r="263" spans="1:8" ht="19.899999999999999" customHeight="1">
      <c r="A263" s="123">
        <v>46044</v>
      </c>
      <c r="B263" s="124" t="s">
        <v>38</v>
      </c>
      <c r="C263" s="125" t="s">
        <v>87</v>
      </c>
      <c r="D263" s="124" t="s">
        <v>1</v>
      </c>
      <c r="E263" s="126">
        <v>1.0625</v>
      </c>
      <c r="F263" s="124" t="s">
        <v>46</v>
      </c>
      <c r="G263" s="127">
        <v>19</v>
      </c>
      <c r="H263" s="128" t="s">
        <v>47</v>
      </c>
    </row>
    <row r="264" spans="1:8" ht="19.899999999999999" customHeight="1">
      <c r="A264" s="143"/>
      <c r="B264" s="144"/>
      <c r="C264" s="144"/>
      <c r="D264" s="144"/>
      <c r="E264" s="144"/>
      <c r="F264" s="145" t="s">
        <v>319</v>
      </c>
      <c r="G264" s="144"/>
      <c r="H264" s="146"/>
    </row>
    <row r="265" spans="1:8" ht="19.899999999999999" customHeight="1">
      <c r="A265" s="121">
        <v>46045</v>
      </c>
      <c r="B265" s="112" t="s">
        <v>38</v>
      </c>
      <c r="C265" s="113" t="s">
        <v>39</v>
      </c>
      <c r="D265" s="112" t="s">
        <v>1</v>
      </c>
      <c r="E265" s="122">
        <v>1.229166666666667</v>
      </c>
      <c r="F265" s="112" t="s">
        <v>40</v>
      </c>
      <c r="G265" s="114">
        <v>19</v>
      </c>
      <c r="H265" s="115" t="s">
        <v>121</v>
      </c>
    </row>
    <row r="266" spans="1:8" ht="19.899999999999999" customHeight="1">
      <c r="A266" s="121">
        <v>46045</v>
      </c>
      <c r="B266" s="112" t="s">
        <v>38</v>
      </c>
      <c r="C266" s="113" t="s">
        <v>39</v>
      </c>
      <c r="D266" s="112" t="s">
        <v>1</v>
      </c>
      <c r="E266" s="122">
        <v>1.229166666666667</v>
      </c>
      <c r="F266" s="112" t="s">
        <v>43</v>
      </c>
      <c r="G266" s="114">
        <v>19</v>
      </c>
      <c r="H266" s="115" t="s">
        <v>123</v>
      </c>
    </row>
    <row r="267" spans="1:8" ht="19.899999999999999" customHeight="1">
      <c r="A267" s="121">
        <v>46045</v>
      </c>
      <c r="B267" s="112" t="s">
        <v>26</v>
      </c>
      <c r="C267" s="113" t="s">
        <v>27</v>
      </c>
      <c r="D267" s="112" t="s">
        <v>1</v>
      </c>
      <c r="E267" s="122">
        <v>1.6076388888888891</v>
      </c>
      <c r="F267" s="112" t="s">
        <v>28</v>
      </c>
      <c r="G267" s="114">
        <v>3</v>
      </c>
      <c r="H267" s="115" t="s">
        <v>162</v>
      </c>
    </row>
    <row r="268" spans="1:8" ht="19.899999999999999" customHeight="1">
      <c r="A268" s="121">
        <v>46045</v>
      </c>
      <c r="B268" s="112" t="s">
        <v>26</v>
      </c>
      <c r="C268" s="113" t="s">
        <v>27</v>
      </c>
      <c r="D268" s="112" t="s">
        <v>1</v>
      </c>
      <c r="E268" s="122">
        <v>1.6076388888888891</v>
      </c>
      <c r="F268" s="112" t="s">
        <v>31</v>
      </c>
      <c r="G268" s="114">
        <v>3</v>
      </c>
      <c r="H268" s="115" t="s">
        <v>178</v>
      </c>
    </row>
    <row r="269" spans="1:8" ht="19.899999999999999" customHeight="1">
      <c r="A269" s="121">
        <v>46045</v>
      </c>
      <c r="B269" s="112" t="s">
        <v>68</v>
      </c>
      <c r="C269" s="113" t="s">
        <v>69</v>
      </c>
      <c r="D269" s="112" t="s">
        <v>1</v>
      </c>
      <c r="E269" s="122">
        <v>1.9409722222222221</v>
      </c>
      <c r="F269" s="112" t="s">
        <v>70</v>
      </c>
      <c r="G269" s="114">
        <v>9</v>
      </c>
      <c r="H269" s="115" t="s">
        <v>71</v>
      </c>
    </row>
    <row r="270" spans="1:8" ht="19.899999999999999" customHeight="1">
      <c r="A270" s="121">
        <v>46045</v>
      </c>
      <c r="B270" s="112" t="s">
        <v>68</v>
      </c>
      <c r="C270" s="113" t="s">
        <v>76</v>
      </c>
      <c r="D270" s="112" t="s">
        <v>1</v>
      </c>
      <c r="E270" s="122">
        <v>1.697916666666667</v>
      </c>
      <c r="F270" s="112" t="s">
        <v>70</v>
      </c>
      <c r="G270" s="114">
        <v>9</v>
      </c>
      <c r="H270" s="115" t="s">
        <v>71</v>
      </c>
    </row>
    <row r="271" spans="1:8" ht="19.899999999999999" customHeight="1">
      <c r="A271" s="121">
        <v>46045</v>
      </c>
      <c r="B271" s="112" t="s">
        <v>26</v>
      </c>
      <c r="C271" s="113" t="s">
        <v>27</v>
      </c>
      <c r="D271" s="112" t="s">
        <v>1</v>
      </c>
      <c r="E271" s="122">
        <v>1.6076388888888891</v>
      </c>
      <c r="F271" s="112" t="s">
        <v>34</v>
      </c>
      <c r="G271" s="114">
        <v>3</v>
      </c>
      <c r="H271" s="115" t="s">
        <v>179</v>
      </c>
    </row>
    <row r="272" spans="1:8" ht="19.899999999999999" customHeight="1">
      <c r="A272" s="121">
        <v>46045</v>
      </c>
      <c r="B272" s="112" t="s">
        <v>38</v>
      </c>
      <c r="C272" s="113" t="s">
        <v>39</v>
      </c>
      <c r="D272" s="112" t="s">
        <v>1</v>
      </c>
      <c r="E272" s="122">
        <v>1.229166666666667</v>
      </c>
      <c r="F272" s="112" t="s">
        <v>46</v>
      </c>
      <c r="G272" s="114">
        <v>19</v>
      </c>
      <c r="H272" s="115" t="s">
        <v>47</v>
      </c>
    </row>
    <row r="273" spans="1:8" ht="19.899999999999999" customHeight="1">
      <c r="A273" s="121">
        <v>46045</v>
      </c>
      <c r="B273" s="112" t="s">
        <v>68</v>
      </c>
      <c r="C273" s="113" t="s">
        <v>74</v>
      </c>
      <c r="D273" s="112" t="s">
        <v>1</v>
      </c>
      <c r="E273" s="122">
        <v>1.336805555555556</v>
      </c>
      <c r="F273" s="112" t="s">
        <v>70</v>
      </c>
      <c r="G273" s="114">
        <v>9</v>
      </c>
      <c r="H273" s="115" t="s">
        <v>75</v>
      </c>
    </row>
    <row r="274" spans="1:8" ht="19.899999999999999" customHeight="1">
      <c r="A274" s="123">
        <v>46045</v>
      </c>
      <c r="B274" s="124" t="s">
        <v>48</v>
      </c>
      <c r="C274" s="125" t="s">
        <v>59</v>
      </c>
      <c r="D274" s="124" t="s">
        <v>1</v>
      </c>
      <c r="E274" s="126">
        <v>1.229166666666667</v>
      </c>
      <c r="F274" s="124" t="s">
        <v>53</v>
      </c>
      <c r="G274" s="127">
        <v>4</v>
      </c>
      <c r="H274" s="128" t="s">
        <v>124</v>
      </c>
    </row>
    <row r="275" spans="1:8" ht="19.899999999999999" customHeight="1">
      <c r="A275" s="143"/>
      <c r="B275" s="144"/>
      <c r="C275" s="144"/>
      <c r="D275" s="144"/>
      <c r="E275" s="144"/>
      <c r="F275" s="145" t="s">
        <v>319</v>
      </c>
      <c r="G275" s="144"/>
      <c r="H275" s="146"/>
    </row>
    <row r="276" spans="1:8" ht="19.899999999999999" customHeight="1">
      <c r="A276" s="121">
        <v>46046</v>
      </c>
      <c r="B276" s="112" t="s">
        <v>38</v>
      </c>
      <c r="C276" s="113" t="s">
        <v>39</v>
      </c>
      <c r="D276" s="112" t="s">
        <v>1</v>
      </c>
      <c r="E276" s="122">
        <v>1.229166666666667</v>
      </c>
      <c r="F276" s="112" t="s">
        <v>40</v>
      </c>
      <c r="G276" s="114">
        <v>12</v>
      </c>
      <c r="H276" s="115" t="s">
        <v>42</v>
      </c>
    </row>
    <row r="277" spans="1:8" ht="19.899999999999999" customHeight="1">
      <c r="A277" s="121">
        <v>46046</v>
      </c>
      <c r="B277" s="112" t="s">
        <v>38</v>
      </c>
      <c r="C277" s="113" t="s">
        <v>87</v>
      </c>
      <c r="D277" s="112" t="s">
        <v>1</v>
      </c>
      <c r="E277" s="122">
        <v>1.0625</v>
      </c>
      <c r="F277" s="112" t="s">
        <v>40</v>
      </c>
      <c r="G277" s="114">
        <v>20</v>
      </c>
      <c r="H277" s="115" t="s">
        <v>121</v>
      </c>
    </row>
    <row r="278" spans="1:8" ht="19.899999999999999" customHeight="1">
      <c r="A278" s="121">
        <v>46046</v>
      </c>
      <c r="B278" s="112" t="s">
        <v>38</v>
      </c>
      <c r="C278" s="113" t="s">
        <v>39</v>
      </c>
      <c r="D278" s="112" t="s">
        <v>1</v>
      </c>
      <c r="E278" s="122">
        <v>1.229166666666667</v>
      </c>
      <c r="F278" s="112" t="s">
        <v>43</v>
      </c>
      <c r="G278" s="114">
        <v>12</v>
      </c>
      <c r="H278" s="115" t="s">
        <v>45</v>
      </c>
    </row>
    <row r="279" spans="1:8" ht="19.899999999999999" customHeight="1">
      <c r="A279" s="121">
        <v>46046</v>
      </c>
      <c r="B279" s="112" t="s">
        <v>38</v>
      </c>
      <c r="C279" s="113" t="s">
        <v>87</v>
      </c>
      <c r="D279" s="112" t="s">
        <v>1</v>
      </c>
      <c r="E279" s="122">
        <v>1.0625</v>
      </c>
      <c r="F279" s="112" t="s">
        <v>43</v>
      </c>
      <c r="G279" s="114">
        <v>20</v>
      </c>
      <c r="H279" s="115" t="s">
        <v>123</v>
      </c>
    </row>
    <row r="280" spans="1:8" ht="19.899999999999999" customHeight="1">
      <c r="A280" s="121">
        <v>46046</v>
      </c>
      <c r="B280" s="112" t="s">
        <v>26</v>
      </c>
      <c r="C280" s="113" t="s">
        <v>36</v>
      </c>
      <c r="D280" s="112" t="s">
        <v>1</v>
      </c>
      <c r="E280" s="122">
        <v>1.4340277777777779</v>
      </c>
      <c r="F280" s="112" t="s">
        <v>28</v>
      </c>
      <c r="G280" s="114">
        <v>3</v>
      </c>
      <c r="H280" s="115" t="s">
        <v>162</v>
      </c>
    </row>
    <row r="281" spans="1:8" ht="19.899999999999999" customHeight="1">
      <c r="A281" s="121">
        <v>46046</v>
      </c>
      <c r="B281" s="112" t="s">
        <v>61</v>
      </c>
      <c r="C281" s="113" t="s">
        <v>62</v>
      </c>
      <c r="D281" s="112" t="s">
        <v>1</v>
      </c>
      <c r="E281" s="122">
        <v>1.2361111111111109</v>
      </c>
      <c r="F281" s="112" t="s">
        <v>63</v>
      </c>
      <c r="G281" s="114">
        <v>7</v>
      </c>
      <c r="H281" s="115" t="s">
        <v>64</v>
      </c>
    </row>
    <row r="282" spans="1:8" ht="19.899999999999999" customHeight="1">
      <c r="A282" s="121">
        <v>46046</v>
      </c>
      <c r="B282" s="112" t="s">
        <v>26</v>
      </c>
      <c r="C282" s="113" t="s">
        <v>36</v>
      </c>
      <c r="D282" s="112" t="s">
        <v>1</v>
      </c>
      <c r="E282" s="122">
        <v>1.4340277777777779</v>
      </c>
      <c r="F282" s="112" t="s">
        <v>31</v>
      </c>
      <c r="G282" s="114">
        <v>3</v>
      </c>
      <c r="H282" s="115" t="s">
        <v>178</v>
      </c>
    </row>
    <row r="283" spans="1:8" ht="19.899999999999999" customHeight="1">
      <c r="A283" s="121">
        <v>46046</v>
      </c>
      <c r="B283" s="112" t="s">
        <v>26</v>
      </c>
      <c r="C283" s="113" t="s">
        <v>36</v>
      </c>
      <c r="D283" s="112" t="s">
        <v>1</v>
      </c>
      <c r="E283" s="122">
        <v>1.4340277777777779</v>
      </c>
      <c r="F283" s="112" t="s">
        <v>34</v>
      </c>
      <c r="G283" s="114">
        <v>3</v>
      </c>
      <c r="H283" s="115" t="s">
        <v>179</v>
      </c>
    </row>
    <row r="284" spans="1:8" ht="19.899999999999999" customHeight="1">
      <c r="A284" s="121">
        <v>46046</v>
      </c>
      <c r="B284" s="112" t="s">
        <v>38</v>
      </c>
      <c r="C284" s="113" t="s">
        <v>39</v>
      </c>
      <c r="D284" s="112" t="s">
        <v>1</v>
      </c>
      <c r="E284" s="122">
        <v>1.229166666666667</v>
      </c>
      <c r="F284" s="112" t="s">
        <v>46</v>
      </c>
      <c r="G284" s="114">
        <v>12</v>
      </c>
      <c r="H284" s="115" t="s">
        <v>47</v>
      </c>
    </row>
    <row r="285" spans="1:8" ht="19.899999999999999" customHeight="1">
      <c r="A285" s="123">
        <v>46046</v>
      </c>
      <c r="B285" s="124" t="s">
        <v>38</v>
      </c>
      <c r="C285" s="125" t="s">
        <v>87</v>
      </c>
      <c r="D285" s="124" t="s">
        <v>1</v>
      </c>
      <c r="E285" s="126">
        <v>1.0625</v>
      </c>
      <c r="F285" s="124" t="s">
        <v>46</v>
      </c>
      <c r="G285" s="127">
        <v>20</v>
      </c>
      <c r="H285" s="128" t="s">
        <v>47</v>
      </c>
    </row>
    <row r="286" spans="1:8" ht="19.899999999999999" customHeight="1">
      <c r="A286" s="129">
        <v>46047</v>
      </c>
      <c r="B286" s="117" t="s">
        <v>61</v>
      </c>
      <c r="C286" s="118" t="s">
        <v>262</v>
      </c>
      <c r="D286" s="117" t="s">
        <v>261</v>
      </c>
      <c r="E286" s="130">
        <v>1.2361111111111109</v>
      </c>
      <c r="F286" s="117" t="s">
        <v>63</v>
      </c>
      <c r="G286" s="119">
        <v>8</v>
      </c>
      <c r="H286" s="120" t="s">
        <v>291</v>
      </c>
    </row>
    <row r="287" spans="1:8" ht="19.899999999999999" customHeight="1">
      <c r="A287" s="143"/>
      <c r="B287" s="144"/>
      <c r="C287" s="144"/>
      <c r="D287" s="144"/>
      <c r="E287" s="144"/>
      <c r="F287" s="145" t="s">
        <v>319</v>
      </c>
      <c r="G287" s="144"/>
      <c r="H287" s="146"/>
    </row>
    <row r="288" spans="1:8" ht="19.899999999999999" customHeight="1">
      <c r="A288" s="121">
        <v>46047</v>
      </c>
      <c r="B288" s="112" t="s">
        <v>38</v>
      </c>
      <c r="C288" s="113" t="s">
        <v>39</v>
      </c>
      <c r="D288" s="112" t="s">
        <v>1</v>
      </c>
      <c r="E288" s="122">
        <v>1.229166666666667</v>
      </c>
      <c r="F288" s="112" t="s">
        <v>40</v>
      </c>
      <c r="G288" s="114">
        <v>7</v>
      </c>
      <c r="H288" s="115" t="s">
        <v>131</v>
      </c>
    </row>
    <row r="289" spans="1:8" ht="19.899999999999999" customHeight="1">
      <c r="A289" s="121">
        <v>46047</v>
      </c>
      <c r="B289" s="112" t="s">
        <v>38</v>
      </c>
      <c r="C289" s="113" t="s">
        <v>39</v>
      </c>
      <c r="D289" s="112" t="s">
        <v>1</v>
      </c>
      <c r="E289" s="122">
        <v>1.229166666666667</v>
      </c>
      <c r="F289" s="112" t="s">
        <v>43</v>
      </c>
      <c r="G289" s="114">
        <v>7</v>
      </c>
      <c r="H289" s="115" t="s">
        <v>133</v>
      </c>
    </row>
    <row r="290" spans="1:8" ht="19.899999999999999" customHeight="1">
      <c r="A290" s="121">
        <v>46047</v>
      </c>
      <c r="B290" s="112" t="s">
        <v>61</v>
      </c>
      <c r="C290" s="113" t="s">
        <v>62</v>
      </c>
      <c r="D290" s="112" t="s">
        <v>1</v>
      </c>
      <c r="E290" s="122">
        <v>1.743055555555556</v>
      </c>
      <c r="F290" s="112" t="s">
        <v>63</v>
      </c>
      <c r="G290" s="114">
        <v>9</v>
      </c>
      <c r="H290" s="115" t="s">
        <v>64</v>
      </c>
    </row>
    <row r="291" spans="1:8" ht="19.899999999999999" customHeight="1">
      <c r="A291" s="121">
        <v>46047</v>
      </c>
      <c r="B291" s="112" t="s">
        <v>38</v>
      </c>
      <c r="C291" s="113" t="s">
        <v>39</v>
      </c>
      <c r="D291" s="112" t="s">
        <v>1</v>
      </c>
      <c r="E291" s="122">
        <v>1.229166666666667</v>
      </c>
      <c r="F291" s="112" t="s">
        <v>46</v>
      </c>
      <c r="G291" s="114">
        <v>7</v>
      </c>
      <c r="H291" s="115" t="s">
        <v>47</v>
      </c>
    </row>
    <row r="292" spans="1:8" ht="19.899999999999999" customHeight="1">
      <c r="A292" s="121">
        <v>46047</v>
      </c>
      <c r="B292" s="112" t="s">
        <v>68</v>
      </c>
      <c r="C292" s="113" t="s">
        <v>69</v>
      </c>
      <c r="D292" s="112" t="s">
        <v>1</v>
      </c>
      <c r="E292" s="122">
        <v>1.9409722222222221</v>
      </c>
      <c r="F292" s="112" t="s">
        <v>70</v>
      </c>
      <c r="G292" s="114">
        <v>9</v>
      </c>
      <c r="H292" s="115" t="s">
        <v>84</v>
      </c>
    </row>
    <row r="293" spans="1:8" ht="19.899999999999999" customHeight="1">
      <c r="A293" s="121">
        <v>46047</v>
      </c>
      <c r="B293" s="112" t="s">
        <v>48</v>
      </c>
      <c r="C293" s="113" t="s">
        <v>59</v>
      </c>
      <c r="D293" s="112" t="s">
        <v>1</v>
      </c>
      <c r="E293" s="122">
        <v>1.229166666666667</v>
      </c>
      <c r="F293" s="112" t="s">
        <v>53</v>
      </c>
      <c r="G293" s="114">
        <v>4</v>
      </c>
      <c r="H293" s="115" t="s">
        <v>85</v>
      </c>
    </row>
    <row r="294" spans="1:8" ht="19.899999999999999" customHeight="1">
      <c r="A294" s="121">
        <v>46047</v>
      </c>
      <c r="B294" s="112" t="s">
        <v>68</v>
      </c>
      <c r="C294" s="113" t="s">
        <v>76</v>
      </c>
      <c r="D294" s="112" t="s">
        <v>1</v>
      </c>
      <c r="E294" s="122">
        <v>1.697916666666667</v>
      </c>
      <c r="F294" s="112" t="s">
        <v>70</v>
      </c>
      <c r="G294" s="114">
        <v>9</v>
      </c>
      <c r="H294" s="115" t="s">
        <v>77</v>
      </c>
    </row>
    <row r="295" spans="1:8" ht="19.899999999999999" customHeight="1">
      <c r="A295" s="121">
        <v>46047</v>
      </c>
      <c r="B295" s="112" t="s">
        <v>26</v>
      </c>
      <c r="C295" s="113" t="s">
        <v>27</v>
      </c>
      <c r="D295" s="112" t="s">
        <v>1</v>
      </c>
      <c r="E295" s="122">
        <v>1.6076388888888891</v>
      </c>
      <c r="F295" s="112" t="s">
        <v>28</v>
      </c>
      <c r="G295" s="114">
        <v>9</v>
      </c>
      <c r="H295" s="115" t="s">
        <v>186</v>
      </c>
    </row>
    <row r="296" spans="1:8" ht="19.899999999999999" customHeight="1">
      <c r="A296" s="121">
        <v>46047</v>
      </c>
      <c r="B296" s="112" t="s">
        <v>26</v>
      </c>
      <c r="C296" s="113" t="s">
        <v>27</v>
      </c>
      <c r="D296" s="112" t="s">
        <v>1</v>
      </c>
      <c r="E296" s="122">
        <v>1.6076388888888891</v>
      </c>
      <c r="F296" s="112" t="s">
        <v>31</v>
      </c>
      <c r="G296" s="114">
        <v>9</v>
      </c>
      <c r="H296" s="115" t="s">
        <v>187</v>
      </c>
    </row>
    <row r="297" spans="1:8" ht="19.899999999999999" customHeight="1">
      <c r="A297" s="123">
        <v>46047</v>
      </c>
      <c r="B297" s="124" t="s">
        <v>68</v>
      </c>
      <c r="C297" s="125" t="s">
        <v>72</v>
      </c>
      <c r="D297" s="124" t="s">
        <v>1</v>
      </c>
      <c r="E297" s="126">
        <v>1.0659722222222221</v>
      </c>
      <c r="F297" s="124" t="s">
        <v>70</v>
      </c>
      <c r="G297" s="127">
        <v>9</v>
      </c>
      <c r="H297" s="128" t="s">
        <v>169</v>
      </c>
    </row>
    <row r="298" spans="1:8" ht="19.899999999999999" customHeight="1">
      <c r="A298" s="143"/>
      <c r="B298" s="144"/>
      <c r="C298" s="144"/>
      <c r="D298" s="144"/>
      <c r="E298" s="144"/>
      <c r="F298" s="145" t="s">
        <v>319</v>
      </c>
      <c r="G298" s="144"/>
      <c r="H298" s="146"/>
    </row>
    <row r="299" spans="1:8" ht="19.899999999999999" customHeight="1">
      <c r="A299" s="121">
        <v>46048</v>
      </c>
      <c r="B299" s="112" t="s">
        <v>38</v>
      </c>
      <c r="C299" s="113" t="s">
        <v>39</v>
      </c>
      <c r="D299" s="112" t="s">
        <v>1</v>
      </c>
      <c r="E299" s="122">
        <v>1.229166666666667</v>
      </c>
      <c r="F299" s="112" t="s">
        <v>40</v>
      </c>
      <c r="G299" s="114">
        <v>3</v>
      </c>
      <c r="H299" s="115" t="s">
        <v>78</v>
      </c>
    </row>
    <row r="300" spans="1:8" ht="19.899999999999999" customHeight="1">
      <c r="A300" s="121">
        <v>46048</v>
      </c>
      <c r="B300" s="112" t="s">
        <v>38</v>
      </c>
      <c r="C300" s="113" t="s">
        <v>87</v>
      </c>
      <c r="D300" s="112" t="s">
        <v>1</v>
      </c>
      <c r="E300" s="122">
        <v>1.0625</v>
      </c>
      <c r="F300" s="112" t="s">
        <v>40</v>
      </c>
      <c r="G300" s="114">
        <v>20</v>
      </c>
      <c r="H300" s="115" t="s">
        <v>121</v>
      </c>
    </row>
    <row r="301" spans="1:8" ht="19.899999999999999" customHeight="1">
      <c r="A301" s="121">
        <v>46048</v>
      </c>
      <c r="B301" s="112" t="s">
        <v>26</v>
      </c>
      <c r="C301" s="113" t="s">
        <v>27</v>
      </c>
      <c r="D301" s="112" t="s">
        <v>1</v>
      </c>
      <c r="E301" s="122">
        <v>1.6076388888888891</v>
      </c>
      <c r="F301" s="112" t="s">
        <v>28</v>
      </c>
      <c r="G301" s="114">
        <v>5</v>
      </c>
      <c r="H301" s="115" t="s">
        <v>89</v>
      </c>
    </row>
    <row r="302" spans="1:8" ht="19.899999999999999" customHeight="1">
      <c r="A302" s="121">
        <v>46048</v>
      </c>
      <c r="B302" s="112" t="s">
        <v>38</v>
      </c>
      <c r="C302" s="113" t="s">
        <v>39</v>
      </c>
      <c r="D302" s="112" t="s">
        <v>1</v>
      </c>
      <c r="E302" s="122">
        <v>1.229166666666667</v>
      </c>
      <c r="F302" s="112" t="s">
        <v>43</v>
      </c>
      <c r="G302" s="114">
        <v>3</v>
      </c>
      <c r="H302" s="115" t="s">
        <v>79</v>
      </c>
    </row>
    <row r="303" spans="1:8" ht="19.899999999999999" customHeight="1">
      <c r="A303" s="121">
        <v>46048</v>
      </c>
      <c r="B303" s="112" t="s">
        <v>26</v>
      </c>
      <c r="C303" s="113" t="s">
        <v>36</v>
      </c>
      <c r="D303" s="112" t="s">
        <v>1</v>
      </c>
      <c r="E303" s="122">
        <v>1.4340277777777779</v>
      </c>
      <c r="F303" s="112" t="s">
        <v>28</v>
      </c>
      <c r="G303" s="114">
        <v>1</v>
      </c>
      <c r="H303" s="115" t="s">
        <v>159</v>
      </c>
    </row>
    <row r="304" spans="1:8" ht="19.899999999999999" customHeight="1">
      <c r="A304" s="121">
        <v>46048</v>
      </c>
      <c r="B304" s="112" t="s">
        <v>26</v>
      </c>
      <c r="C304" s="113" t="s">
        <v>27</v>
      </c>
      <c r="D304" s="112" t="s">
        <v>1</v>
      </c>
      <c r="E304" s="122">
        <v>1.6076388888888891</v>
      </c>
      <c r="F304" s="112" t="s">
        <v>31</v>
      </c>
      <c r="G304" s="114">
        <v>5</v>
      </c>
      <c r="H304" s="115" t="s">
        <v>138</v>
      </c>
    </row>
    <row r="305" spans="1:8" ht="19.899999999999999" customHeight="1">
      <c r="A305" s="121">
        <v>46048</v>
      </c>
      <c r="B305" s="112" t="s">
        <v>38</v>
      </c>
      <c r="C305" s="113" t="s">
        <v>87</v>
      </c>
      <c r="D305" s="112" t="s">
        <v>1</v>
      </c>
      <c r="E305" s="122">
        <v>1.0625</v>
      </c>
      <c r="F305" s="112" t="s">
        <v>43</v>
      </c>
      <c r="G305" s="114">
        <v>20</v>
      </c>
      <c r="H305" s="115" t="s">
        <v>123</v>
      </c>
    </row>
    <row r="306" spans="1:8" ht="19.899999999999999" customHeight="1">
      <c r="A306" s="121">
        <v>46048</v>
      </c>
      <c r="B306" s="112" t="s">
        <v>61</v>
      </c>
      <c r="C306" s="113" t="s">
        <v>111</v>
      </c>
      <c r="D306" s="112" t="s">
        <v>1</v>
      </c>
      <c r="E306" s="122">
        <v>1.868055555555556</v>
      </c>
      <c r="F306" s="112" t="s">
        <v>63</v>
      </c>
      <c r="G306" s="114">
        <v>9</v>
      </c>
      <c r="H306" s="115" t="s">
        <v>64</v>
      </c>
    </row>
    <row r="307" spans="1:8" ht="19.899999999999999" customHeight="1">
      <c r="A307" s="121">
        <v>46048</v>
      </c>
      <c r="B307" s="112" t="s">
        <v>26</v>
      </c>
      <c r="C307" s="113" t="s">
        <v>27</v>
      </c>
      <c r="D307" s="112" t="s">
        <v>1</v>
      </c>
      <c r="E307" s="122">
        <v>1.6076388888888891</v>
      </c>
      <c r="F307" s="112" t="s">
        <v>34</v>
      </c>
      <c r="G307" s="114">
        <v>5</v>
      </c>
      <c r="H307" s="115" t="s">
        <v>139</v>
      </c>
    </row>
    <row r="308" spans="1:8" ht="19.899999999999999" customHeight="1">
      <c r="A308" s="123">
        <v>46048</v>
      </c>
      <c r="B308" s="124" t="s">
        <v>26</v>
      </c>
      <c r="C308" s="125" t="s">
        <v>36</v>
      </c>
      <c r="D308" s="124" t="s">
        <v>1</v>
      </c>
      <c r="E308" s="126">
        <v>1.4340277777777779</v>
      </c>
      <c r="F308" s="124" t="s">
        <v>31</v>
      </c>
      <c r="G308" s="127">
        <v>1</v>
      </c>
      <c r="H308" s="128" t="s">
        <v>139</v>
      </c>
    </row>
    <row r="309" spans="1:8" ht="19.899999999999999" customHeight="1">
      <c r="A309" s="129">
        <v>46049</v>
      </c>
      <c r="B309" s="117" t="s">
        <v>61</v>
      </c>
      <c r="C309" s="118" t="s">
        <v>262</v>
      </c>
      <c r="D309" s="117" t="s">
        <v>261</v>
      </c>
      <c r="E309" s="130">
        <v>1.1597222222222221</v>
      </c>
      <c r="F309" s="117" t="s">
        <v>63</v>
      </c>
      <c r="G309" s="119">
        <v>3</v>
      </c>
      <c r="H309" s="120" t="s">
        <v>291</v>
      </c>
    </row>
    <row r="310" spans="1:8" ht="19.899999999999999" customHeight="1">
      <c r="A310" s="143"/>
      <c r="B310" s="144"/>
      <c r="C310" s="144"/>
      <c r="D310" s="144"/>
      <c r="E310" s="144"/>
      <c r="F310" s="145" t="s">
        <v>319</v>
      </c>
      <c r="G310" s="144"/>
      <c r="H310" s="146"/>
    </row>
    <row r="311" spans="1:8" ht="19.899999999999999" customHeight="1">
      <c r="A311" s="121">
        <v>46049</v>
      </c>
      <c r="B311" s="112" t="s">
        <v>38</v>
      </c>
      <c r="C311" s="113" t="s">
        <v>39</v>
      </c>
      <c r="D311" s="112" t="s">
        <v>1</v>
      </c>
      <c r="E311" s="122">
        <v>1.229166666666667</v>
      </c>
      <c r="F311" s="112" t="s">
        <v>40</v>
      </c>
      <c r="G311" s="114">
        <v>9</v>
      </c>
      <c r="H311" s="115" t="s">
        <v>78</v>
      </c>
    </row>
    <row r="312" spans="1:8" ht="19.899999999999999" customHeight="1">
      <c r="A312" s="121">
        <v>46049</v>
      </c>
      <c r="B312" s="112" t="s">
        <v>38</v>
      </c>
      <c r="C312" s="113" t="s">
        <v>87</v>
      </c>
      <c r="D312" s="112" t="s">
        <v>1</v>
      </c>
      <c r="E312" s="122">
        <v>1.0625</v>
      </c>
      <c r="F312" s="112" t="s">
        <v>40</v>
      </c>
      <c r="G312" s="114">
        <v>20</v>
      </c>
      <c r="H312" s="115" t="s">
        <v>78</v>
      </c>
    </row>
    <row r="313" spans="1:8" ht="19.899999999999999" customHeight="1">
      <c r="A313" s="121">
        <v>46049</v>
      </c>
      <c r="B313" s="112" t="s">
        <v>38</v>
      </c>
      <c r="C313" s="113" t="s">
        <v>39</v>
      </c>
      <c r="D313" s="112" t="s">
        <v>1</v>
      </c>
      <c r="E313" s="122">
        <v>1.229166666666667</v>
      </c>
      <c r="F313" s="112" t="s">
        <v>43</v>
      </c>
      <c r="G313" s="114">
        <v>9</v>
      </c>
      <c r="H313" s="115" t="s">
        <v>79</v>
      </c>
    </row>
    <row r="314" spans="1:8" ht="19.899999999999999" customHeight="1">
      <c r="A314" s="121">
        <v>46049</v>
      </c>
      <c r="B314" s="112" t="s">
        <v>38</v>
      </c>
      <c r="C314" s="113" t="s">
        <v>87</v>
      </c>
      <c r="D314" s="112" t="s">
        <v>1</v>
      </c>
      <c r="E314" s="122">
        <v>1.0625</v>
      </c>
      <c r="F314" s="112" t="s">
        <v>43</v>
      </c>
      <c r="G314" s="114">
        <v>20</v>
      </c>
      <c r="H314" s="115" t="s">
        <v>79</v>
      </c>
    </row>
    <row r="315" spans="1:8" ht="19.899999999999999" customHeight="1">
      <c r="A315" s="121">
        <v>46049</v>
      </c>
      <c r="B315" s="112" t="s">
        <v>61</v>
      </c>
      <c r="C315" s="113" t="s">
        <v>62</v>
      </c>
      <c r="D315" s="112" t="s">
        <v>1</v>
      </c>
      <c r="E315" s="122">
        <v>1.819444444444444</v>
      </c>
      <c r="F315" s="112" t="s">
        <v>63</v>
      </c>
      <c r="G315" s="114">
        <v>9</v>
      </c>
      <c r="H315" s="115" t="s">
        <v>64</v>
      </c>
    </row>
    <row r="316" spans="1:8" ht="19.899999999999999" customHeight="1">
      <c r="A316" s="121">
        <v>46049</v>
      </c>
      <c r="B316" s="112" t="s">
        <v>38</v>
      </c>
      <c r="C316" s="113" t="s">
        <v>39</v>
      </c>
      <c r="D316" s="112" t="s">
        <v>1</v>
      </c>
      <c r="E316" s="122">
        <v>1.229166666666667</v>
      </c>
      <c r="F316" s="112" t="s">
        <v>46</v>
      </c>
      <c r="G316" s="114">
        <v>9</v>
      </c>
      <c r="H316" s="115" t="s">
        <v>47</v>
      </c>
    </row>
    <row r="317" spans="1:8" ht="19.899999999999999" customHeight="1">
      <c r="A317" s="121">
        <v>46049</v>
      </c>
      <c r="B317" s="112" t="s">
        <v>38</v>
      </c>
      <c r="C317" s="113" t="s">
        <v>87</v>
      </c>
      <c r="D317" s="112" t="s">
        <v>1</v>
      </c>
      <c r="E317" s="122">
        <v>1.0625</v>
      </c>
      <c r="F317" s="112" t="s">
        <v>46</v>
      </c>
      <c r="G317" s="114">
        <v>20</v>
      </c>
      <c r="H317" s="115" t="s">
        <v>47</v>
      </c>
    </row>
    <row r="318" spans="1:8" ht="19.899999999999999" customHeight="1">
      <c r="A318" s="121">
        <v>46049</v>
      </c>
      <c r="B318" s="112" t="s">
        <v>26</v>
      </c>
      <c r="C318" s="113" t="s">
        <v>27</v>
      </c>
      <c r="D318" s="112" t="s">
        <v>1</v>
      </c>
      <c r="E318" s="122">
        <v>1.6076388888888891</v>
      </c>
      <c r="F318" s="112" t="s">
        <v>28</v>
      </c>
      <c r="G318" s="114">
        <v>9</v>
      </c>
      <c r="H318" s="115" t="s">
        <v>189</v>
      </c>
    </row>
    <row r="319" spans="1:8" ht="19.899999999999999" customHeight="1">
      <c r="A319" s="121">
        <v>46049</v>
      </c>
      <c r="B319" s="112" t="s">
        <v>48</v>
      </c>
      <c r="C319" s="113" t="s">
        <v>59</v>
      </c>
      <c r="D319" s="112" t="s">
        <v>1</v>
      </c>
      <c r="E319" s="122">
        <v>1.229166666666667</v>
      </c>
      <c r="F319" s="112" t="s">
        <v>53</v>
      </c>
      <c r="G319" s="114">
        <v>4</v>
      </c>
      <c r="H319" s="115" t="s">
        <v>93</v>
      </c>
    </row>
    <row r="320" spans="1:8" ht="19.899999999999999" customHeight="1">
      <c r="A320" s="123">
        <v>46049</v>
      </c>
      <c r="B320" s="124" t="s">
        <v>26</v>
      </c>
      <c r="C320" s="125" t="s">
        <v>27</v>
      </c>
      <c r="D320" s="124" t="s">
        <v>1</v>
      </c>
      <c r="E320" s="126">
        <v>1.6076388888888891</v>
      </c>
      <c r="F320" s="124" t="s">
        <v>31</v>
      </c>
      <c r="G320" s="127">
        <v>9</v>
      </c>
      <c r="H320" s="128" t="s">
        <v>190</v>
      </c>
    </row>
    <row r="321" spans="1:8" ht="19.899999999999999" customHeight="1">
      <c r="A321" s="129">
        <v>46050</v>
      </c>
      <c r="B321" s="117" t="s">
        <v>61</v>
      </c>
      <c r="C321" s="118" t="s">
        <v>262</v>
      </c>
      <c r="D321" s="117" t="s">
        <v>261</v>
      </c>
      <c r="E321" s="130">
        <v>1.7777777777777779</v>
      </c>
      <c r="F321" s="117" t="s">
        <v>63</v>
      </c>
      <c r="G321" s="119">
        <v>5</v>
      </c>
      <c r="H321" s="120" t="s">
        <v>291</v>
      </c>
    </row>
    <row r="322" spans="1:8" ht="19.899999999999999" customHeight="1">
      <c r="A322" s="143"/>
      <c r="B322" s="144"/>
      <c r="C322" s="144"/>
      <c r="D322" s="144"/>
      <c r="E322" s="144"/>
      <c r="F322" s="145" t="s">
        <v>319</v>
      </c>
      <c r="G322" s="144"/>
      <c r="H322" s="146"/>
    </row>
    <row r="323" spans="1:8" ht="19.899999999999999" customHeight="1">
      <c r="A323" s="121">
        <v>46050</v>
      </c>
      <c r="B323" s="112" t="s">
        <v>38</v>
      </c>
      <c r="C323" s="113" t="s">
        <v>39</v>
      </c>
      <c r="D323" s="112" t="s">
        <v>1</v>
      </c>
      <c r="E323" s="122">
        <v>1.229166666666667</v>
      </c>
      <c r="F323" s="112" t="s">
        <v>40</v>
      </c>
      <c r="G323" s="114">
        <v>16</v>
      </c>
      <c r="H323" s="115" t="s">
        <v>78</v>
      </c>
    </row>
    <row r="324" spans="1:8" ht="19.899999999999999" customHeight="1">
      <c r="A324" s="121">
        <v>46050</v>
      </c>
      <c r="B324" s="112" t="s">
        <v>26</v>
      </c>
      <c r="C324" s="113" t="s">
        <v>27</v>
      </c>
      <c r="D324" s="112" t="s">
        <v>1</v>
      </c>
      <c r="E324" s="122">
        <v>1.6076388888888891</v>
      </c>
      <c r="F324" s="112" t="s">
        <v>28</v>
      </c>
      <c r="G324" s="114">
        <v>2</v>
      </c>
      <c r="H324" s="115" t="s">
        <v>89</v>
      </c>
    </row>
    <row r="325" spans="1:8" ht="19.899999999999999" customHeight="1">
      <c r="A325" s="121">
        <v>46050</v>
      </c>
      <c r="B325" s="112" t="s">
        <v>38</v>
      </c>
      <c r="C325" s="113" t="s">
        <v>39</v>
      </c>
      <c r="D325" s="112" t="s">
        <v>1</v>
      </c>
      <c r="E325" s="122">
        <v>1.229166666666667</v>
      </c>
      <c r="F325" s="112" t="s">
        <v>43</v>
      </c>
      <c r="G325" s="114">
        <v>16</v>
      </c>
      <c r="H325" s="115" t="s">
        <v>79</v>
      </c>
    </row>
    <row r="326" spans="1:8" ht="19.899999999999999" customHeight="1">
      <c r="A326" s="121">
        <v>46050</v>
      </c>
      <c r="B326" s="112" t="s">
        <v>26</v>
      </c>
      <c r="C326" s="113" t="s">
        <v>27</v>
      </c>
      <c r="D326" s="112" t="s">
        <v>1</v>
      </c>
      <c r="E326" s="122">
        <v>1.6076388888888891</v>
      </c>
      <c r="F326" s="112" t="s">
        <v>31</v>
      </c>
      <c r="G326" s="114">
        <v>2</v>
      </c>
      <c r="H326" s="115" t="s">
        <v>138</v>
      </c>
    </row>
    <row r="327" spans="1:8" ht="19.899999999999999" customHeight="1">
      <c r="A327" s="121">
        <v>46050</v>
      </c>
      <c r="B327" s="112" t="s">
        <v>26</v>
      </c>
      <c r="C327" s="113" t="s">
        <v>27</v>
      </c>
      <c r="D327" s="112" t="s">
        <v>1</v>
      </c>
      <c r="E327" s="122">
        <v>1.6076388888888891</v>
      </c>
      <c r="F327" s="112" t="s">
        <v>34</v>
      </c>
      <c r="G327" s="114">
        <v>2</v>
      </c>
      <c r="H327" s="115" t="s">
        <v>139</v>
      </c>
    </row>
    <row r="328" spans="1:8" ht="19.899999999999999" customHeight="1">
      <c r="A328" s="121">
        <v>46050</v>
      </c>
      <c r="B328" s="112" t="s">
        <v>38</v>
      </c>
      <c r="C328" s="113" t="s">
        <v>39</v>
      </c>
      <c r="D328" s="112" t="s">
        <v>1</v>
      </c>
      <c r="E328" s="122">
        <v>1.229166666666667</v>
      </c>
      <c r="F328" s="112" t="s">
        <v>46</v>
      </c>
      <c r="G328" s="114">
        <v>16</v>
      </c>
      <c r="H328" s="115" t="s">
        <v>47</v>
      </c>
    </row>
    <row r="329" spans="1:8" ht="19.899999999999999" customHeight="1">
      <c r="A329" s="121">
        <v>46050</v>
      </c>
      <c r="B329" s="112" t="s">
        <v>48</v>
      </c>
      <c r="C329" s="113" t="s">
        <v>59</v>
      </c>
      <c r="D329" s="112" t="s">
        <v>1</v>
      </c>
      <c r="E329" s="122">
        <v>1.229166666666667</v>
      </c>
      <c r="F329" s="112" t="s">
        <v>53</v>
      </c>
      <c r="G329" s="114">
        <v>4</v>
      </c>
      <c r="H329" s="115" t="s">
        <v>93</v>
      </c>
    </row>
    <row r="330" spans="1:8" ht="19.899999999999999" customHeight="1">
      <c r="A330" s="121">
        <v>46050</v>
      </c>
      <c r="B330" s="112" t="s">
        <v>68</v>
      </c>
      <c r="C330" s="113" t="s">
        <v>74</v>
      </c>
      <c r="D330" s="112" t="s">
        <v>1</v>
      </c>
      <c r="E330" s="122">
        <v>1.336805555555556</v>
      </c>
      <c r="F330" s="112" t="s">
        <v>70</v>
      </c>
      <c r="G330" s="114">
        <v>9</v>
      </c>
      <c r="H330" s="115" t="s">
        <v>169</v>
      </c>
    </row>
    <row r="331" spans="1:8" ht="19.899999999999999" customHeight="1">
      <c r="A331" s="121">
        <v>46050</v>
      </c>
      <c r="B331" s="112" t="s">
        <v>68</v>
      </c>
      <c r="C331" s="113" t="s">
        <v>76</v>
      </c>
      <c r="D331" s="112" t="s">
        <v>1</v>
      </c>
      <c r="E331" s="122">
        <v>1.697916666666667</v>
      </c>
      <c r="F331" s="112" t="s">
        <v>70</v>
      </c>
      <c r="G331" s="114">
        <v>9</v>
      </c>
      <c r="H331" s="115" t="s">
        <v>169</v>
      </c>
    </row>
    <row r="332" spans="1:8" ht="19.899999999999999" customHeight="1">
      <c r="A332" s="123">
        <v>46050</v>
      </c>
      <c r="B332" s="124" t="s">
        <v>68</v>
      </c>
      <c r="C332" s="125" t="s">
        <v>73</v>
      </c>
      <c r="D332" s="124" t="s">
        <v>1</v>
      </c>
      <c r="E332" s="126">
        <v>1.288194444444444</v>
      </c>
      <c r="F332" s="124" t="s">
        <v>70</v>
      </c>
      <c r="G332" s="127">
        <v>9</v>
      </c>
      <c r="H332" s="128" t="s">
        <v>169</v>
      </c>
    </row>
    <row r="333" spans="1:8" ht="19.899999999999999" customHeight="1">
      <c r="A333" s="129">
        <v>46051</v>
      </c>
      <c r="B333" s="117" t="s">
        <v>61</v>
      </c>
      <c r="C333" s="118" t="s">
        <v>262</v>
      </c>
      <c r="D333" s="117" t="s">
        <v>261</v>
      </c>
      <c r="E333" s="130">
        <v>1.479166666666667</v>
      </c>
      <c r="F333" s="117" t="s">
        <v>63</v>
      </c>
      <c r="G333" s="119">
        <v>3</v>
      </c>
      <c r="H333" s="120" t="s">
        <v>309</v>
      </c>
    </row>
    <row r="334" spans="1:8" ht="19.899999999999999" customHeight="1">
      <c r="A334" s="143"/>
      <c r="B334" s="144"/>
      <c r="C334" s="144"/>
      <c r="D334" s="144"/>
      <c r="E334" s="144"/>
      <c r="F334" s="145" t="s">
        <v>319</v>
      </c>
      <c r="G334" s="144"/>
      <c r="H334" s="146"/>
    </row>
    <row r="335" spans="1:8" ht="19.899999999999999" customHeight="1">
      <c r="A335" s="121">
        <v>46051</v>
      </c>
      <c r="B335" s="112" t="s">
        <v>38</v>
      </c>
      <c r="C335" s="113" t="s">
        <v>39</v>
      </c>
      <c r="D335" s="112" t="s">
        <v>1</v>
      </c>
      <c r="E335" s="122">
        <v>1.229166666666667</v>
      </c>
      <c r="F335" s="112" t="s">
        <v>40</v>
      </c>
      <c r="G335" s="114">
        <v>7</v>
      </c>
      <c r="H335" s="115" t="s">
        <v>78</v>
      </c>
    </row>
    <row r="336" spans="1:8" ht="19.899999999999999" customHeight="1">
      <c r="A336" s="121">
        <v>46051</v>
      </c>
      <c r="B336" s="112" t="s">
        <v>38</v>
      </c>
      <c r="C336" s="113" t="s">
        <v>87</v>
      </c>
      <c r="D336" s="112" t="s">
        <v>1</v>
      </c>
      <c r="E336" s="122">
        <v>1.0625</v>
      </c>
      <c r="F336" s="112" t="s">
        <v>40</v>
      </c>
      <c r="G336" s="114">
        <v>17</v>
      </c>
      <c r="H336" s="115" t="s">
        <v>78</v>
      </c>
    </row>
    <row r="337" spans="1:8" ht="19.899999999999999" customHeight="1">
      <c r="A337" s="121">
        <v>46051</v>
      </c>
      <c r="B337" s="112" t="s">
        <v>26</v>
      </c>
      <c r="C337" s="113" t="s">
        <v>27</v>
      </c>
      <c r="D337" s="112" t="s">
        <v>1</v>
      </c>
      <c r="E337" s="122">
        <v>1.6076388888888891</v>
      </c>
      <c r="F337" s="112" t="s">
        <v>28</v>
      </c>
      <c r="G337" s="114">
        <v>5</v>
      </c>
      <c r="H337" s="115" t="s">
        <v>89</v>
      </c>
    </row>
    <row r="338" spans="1:8" ht="19.899999999999999" customHeight="1">
      <c r="A338" s="121">
        <v>46051</v>
      </c>
      <c r="B338" s="112" t="s">
        <v>38</v>
      </c>
      <c r="C338" s="113" t="s">
        <v>39</v>
      </c>
      <c r="D338" s="112" t="s">
        <v>1</v>
      </c>
      <c r="E338" s="122">
        <v>1.229166666666667</v>
      </c>
      <c r="F338" s="112" t="s">
        <v>43</v>
      </c>
      <c r="G338" s="114">
        <v>7</v>
      </c>
      <c r="H338" s="115" t="s">
        <v>79</v>
      </c>
    </row>
    <row r="339" spans="1:8" ht="19.899999999999999" customHeight="1">
      <c r="A339" s="121">
        <v>46051</v>
      </c>
      <c r="B339" s="112" t="s">
        <v>38</v>
      </c>
      <c r="C339" s="113" t="s">
        <v>87</v>
      </c>
      <c r="D339" s="112" t="s">
        <v>1</v>
      </c>
      <c r="E339" s="122">
        <v>1.0625</v>
      </c>
      <c r="F339" s="112" t="s">
        <v>43</v>
      </c>
      <c r="G339" s="114">
        <v>17</v>
      </c>
      <c r="H339" s="115" t="s">
        <v>79</v>
      </c>
    </row>
    <row r="340" spans="1:8" ht="19.899999999999999" customHeight="1">
      <c r="A340" s="121">
        <v>46051</v>
      </c>
      <c r="B340" s="112" t="s">
        <v>26</v>
      </c>
      <c r="C340" s="113" t="s">
        <v>27</v>
      </c>
      <c r="D340" s="112" t="s">
        <v>1</v>
      </c>
      <c r="E340" s="122">
        <v>1.6076388888888891</v>
      </c>
      <c r="F340" s="112" t="s">
        <v>31</v>
      </c>
      <c r="G340" s="114">
        <v>5</v>
      </c>
      <c r="H340" s="115" t="s">
        <v>138</v>
      </c>
    </row>
    <row r="341" spans="1:8" ht="19.899999999999999" customHeight="1">
      <c r="A341" s="121">
        <v>46051</v>
      </c>
      <c r="B341" s="112" t="s">
        <v>26</v>
      </c>
      <c r="C341" s="113" t="s">
        <v>36</v>
      </c>
      <c r="D341" s="112" t="s">
        <v>1</v>
      </c>
      <c r="E341" s="122">
        <v>1.4340277777777779</v>
      </c>
      <c r="F341" s="112" t="s">
        <v>28</v>
      </c>
      <c r="G341" s="114">
        <v>4</v>
      </c>
      <c r="H341" s="115" t="s">
        <v>162</v>
      </c>
    </row>
    <row r="342" spans="1:8" ht="19.899999999999999" customHeight="1">
      <c r="A342" s="121">
        <v>46051</v>
      </c>
      <c r="B342" s="112" t="s">
        <v>61</v>
      </c>
      <c r="C342" s="113" t="s">
        <v>62</v>
      </c>
      <c r="D342" s="112" t="s">
        <v>1</v>
      </c>
      <c r="E342" s="122">
        <v>1.381944444444444</v>
      </c>
      <c r="F342" s="112" t="s">
        <v>63</v>
      </c>
      <c r="G342" s="114">
        <v>9</v>
      </c>
      <c r="H342" s="115" t="s">
        <v>64</v>
      </c>
    </row>
    <row r="343" spans="1:8" ht="19.899999999999999" customHeight="1">
      <c r="A343" s="121">
        <v>46051</v>
      </c>
      <c r="B343" s="112" t="s">
        <v>26</v>
      </c>
      <c r="C343" s="113" t="s">
        <v>27</v>
      </c>
      <c r="D343" s="112" t="s">
        <v>1</v>
      </c>
      <c r="E343" s="122">
        <v>1.6076388888888891</v>
      </c>
      <c r="F343" s="112" t="s">
        <v>34</v>
      </c>
      <c r="G343" s="114">
        <v>5</v>
      </c>
      <c r="H343" s="115" t="s">
        <v>139</v>
      </c>
    </row>
    <row r="344" spans="1:8" ht="19.899999999999999" customHeight="1">
      <c r="A344" s="123">
        <v>46051</v>
      </c>
      <c r="B344" s="124" t="s">
        <v>26</v>
      </c>
      <c r="C344" s="125" t="s">
        <v>36</v>
      </c>
      <c r="D344" s="124" t="s">
        <v>1</v>
      </c>
      <c r="E344" s="126">
        <v>1.4340277777777779</v>
      </c>
      <c r="F344" s="124" t="s">
        <v>31</v>
      </c>
      <c r="G344" s="127">
        <v>4</v>
      </c>
      <c r="H344" s="128" t="s">
        <v>178</v>
      </c>
    </row>
    <row r="345" spans="1:8" ht="19.899999999999999" customHeight="1">
      <c r="A345" s="143"/>
      <c r="B345" s="144"/>
      <c r="C345" s="144"/>
      <c r="D345" s="144"/>
      <c r="E345" s="144"/>
      <c r="F345" s="145" t="s">
        <v>319</v>
      </c>
      <c r="G345" s="144"/>
      <c r="H345" s="146"/>
    </row>
    <row r="346" spans="1:8" ht="19.899999999999999" customHeight="1">
      <c r="A346" s="121">
        <v>46052</v>
      </c>
      <c r="B346" s="112" t="s">
        <v>38</v>
      </c>
      <c r="C346" s="113" t="s">
        <v>39</v>
      </c>
      <c r="D346" s="112" t="s">
        <v>1</v>
      </c>
      <c r="E346" s="122">
        <v>1.229166666666667</v>
      </c>
      <c r="F346" s="112" t="s">
        <v>40</v>
      </c>
      <c r="G346" s="114">
        <v>28</v>
      </c>
      <c r="H346" s="115" t="s">
        <v>121</v>
      </c>
    </row>
    <row r="347" spans="1:8" ht="19.899999999999999" customHeight="1">
      <c r="A347" s="121">
        <v>46052</v>
      </c>
      <c r="B347" s="112" t="s">
        <v>26</v>
      </c>
      <c r="C347" s="113" t="s">
        <v>27</v>
      </c>
      <c r="D347" s="112" t="s">
        <v>1</v>
      </c>
      <c r="E347" s="122">
        <v>1.6076388888888891</v>
      </c>
      <c r="F347" s="112" t="s">
        <v>28</v>
      </c>
      <c r="G347" s="114">
        <v>5</v>
      </c>
      <c r="H347" s="115" t="s">
        <v>161</v>
      </c>
    </row>
    <row r="348" spans="1:8" ht="19.899999999999999" customHeight="1">
      <c r="A348" s="121">
        <v>46052</v>
      </c>
      <c r="B348" s="112" t="s">
        <v>38</v>
      </c>
      <c r="C348" s="113" t="s">
        <v>39</v>
      </c>
      <c r="D348" s="112" t="s">
        <v>1</v>
      </c>
      <c r="E348" s="122">
        <v>1.229166666666667</v>
      </c>
      <c r="F348" s="112" t="s">
        <v>43</v>
      </c>
      <c r="G348" s="114">
        <v>28</v>
      </c>
      <c r="H348" s="115" t="s">
        <v>123</v>
      </c>
    </row>
    <row r="349" spans="1:8" ht="19.899999999999999" customHeight="1">
      <c r="A349" s="121">
        <v>46052</v>
      </c>
      <c r="B349" s="112" t="s">
        <v>26</v>
      </c>
      <c r="C349" s="113" t="s">
        <v>27</v>
      </c>
      <c r="D349" s="112" t="s">
        <v>1</v>
      </c>
      <c r="E349" s="122">
        <v>1.6076388888888891</v>
      </c>
      <c r="F349" s="112" t="s">
        <v>31</v>
      </c>
      <c r="G349" s="114">
        <v>5</v>
      </c>
      <c r="H349" s="115" t="s">
        <v>162</v>
      </c>
    </row>
    <row r="350" spans="1:8" ht="19.899999999999999" customHeight="1">
      <c r="A350" s="121">
        <v>46052</v>
      </c>
      <c r="B350" s="112" t="s">
        <v>26</v>
      </c>
      <c r="C350" s="113" t="s">
        <v>27</v>
      </c>
      <c r="D350" s="112" t="s">
        <v>1</v>
      </c>
      <c r="E350" s="122">
        <v>1.6076388888888891</v>
      </c>
      <c r="F350" s="112" t="s">
        <v>34</v>
      </c>
      <c r="G350" s="114">
        <v>5</v>
      </c>
      <c r="H350" s="115" t="s">
        <v>163</v>
      </c>
    </row>
    <row r="351" spans="1:8" ht="19.899999999999999" customHeight="1">
      <c r="A351" s="121">
        <v>46052</v>
      </c>
      <c r="B351" s="112" t="s">
        <v>68</v>
      </c>
      <c r="C351" s="113" t="s">
        <v>74</v>
      </c>
      <c r="D351" s="112" t="s">
        <v>1</v>
      </c>
      <c r="E351" s="122">
        <v>1.336805555555556</v>
      </c>
      <c r="F351" s="112" t="s">
        <v>70</v>
      </c>
      <c r="G351" s="114">
        <v>9</v>
      </c>
      <c r="H351" s="115" t="s">
        <v>71</v>
      </c>
    </row>
    <row r="352" spans="1:8" ht="19.899999999999999" customHeight="1">
      <c r="A352" s="121">
        <v>46052</v>
      </c>
      <c r="B352" s="112" t="s">
        <v>68</v>
      </c>
      <c r="C352" s="113" t="s">
        <v>69</v>
      </c>
      <c r="D352" s="112" t="s">
        <v>1</v>
      </c>
      <c r="E352" s="122">
        <v>1.9409722222222221</v>
      </c>
      <c r="F352" s="112" t="s">
        <v>70</v>
      </c>
      <c r="G352" s="114">
        <v>9</v>
      </c>
      <c r="H352" s="115" t="s">
        <v>71</v>
      </c>
    </row>
    <row r="353" spans="1:8" ht="19.899999999999999" customHeight="1">
      <c r="A353" s="121">
        <v>46052</v>
      </c>
      <c r="B353" s="112" t="s">
        <v>38</v>
      </c>
      <c r="C353" s="113" t="s">
        <v>39</v>
      </c>
      <c r="D353" s="112" t="s">
        <v>1</v>
      </c>
      <c r="E353" s="122">
        <v>1.229166666666667</v>
      </c>
      <c r="F353" s="112" t="s">
        <v>46</v>
      </c>
      <c r="G353" s="114">
        <v>28</v>
      </c>
      <c r="H353" s="115" t="s">
        <v>47</v>
      </c>
    </row>
    <row r="354" spans="1:8" ht="19.899999999999999" customHeight="1">
      <c r="A354" s="121">
        <v>46052</v>
      </c>
      <c r="B354" s="112" t="s">
        <v>68</v>
      </c>
      <c r="C354" s="113" t="s">
        <v>76</v>
      </c>
      <c r="D354" s="112" t="s">
        <v>1</v>
      </c>
      <c r="E354" s="122">
        <v>1.697916666666667</v>
      </c>
      <c r="F354" s="112" t="s">
        <v>70</v>
      </c>
      <c r="G354" s="114">
        <v>9</v>
      </c>
      <c r="H354" s="115" t="s">
        <v>185</v>
      </c>
    </row>
    <row r="355" spans="1:8" ht="19.899999999999999" customHeight="1">
      <c r="A355" s="123">
        <v>46052</v>
      </c>
      <c r="B355" s="124" t="s">
        <v>68</v>
      </c>
      <c r="C355" s="125" t="s">
        <v>73</v>
      </c>
      <c r="D355" s="124" t="s">
        <v>1</v>
      </c>
      <c r="E355" s="126">
        <v>1.288194444444444</v>
      </c>
      <c r="F355" s="124" t="s">
        <v>70</v>
      </c>
      <c r="G355" s="127">
        <v>9</v>
      </c>
      <c r="H355" s="128" t="s">
        <v>185</v>
      </c>
    </row>
    <row r="356" spans="1:8" ht="19.899999999999999" customHeight="1">
      <c r="A356" s="143"/>
      <c r="B356" s="144"/>
      <c r="C356" s="144"/>
      <c r="D356" s="144"/>
      <c r="E356" s="144"/>
      <c r="F356" s="145" t="s">
        <v>319</v>
      </c>
      <c r="G356" s="144"/>
      <c r="H356" s="146"/>
    </row>
    <row r="357" spans="1:8" ht="19.899999999999999" customHeight="1">
      <c r="A357" s="121">
        <v>46053</v>
      </c>
      <c r="B357" s="112" t="s">
        <v>38</v>
      </c>
      <c r="C357" s="113" t="s">
        <v>39</v>
      </c>
      <c r="D357" s="112" t="s">
        <v>1</v>
      </c>
      <c r="E357" s="122">
        <v>1.229166666666667</v>
      </c>
      <c r="F357" s="112" t="s">
        <v>40</v>
      </c>
      <c r="G357" s="114">
        <v>21</v>
      </c>
      <c r="H357" s="115" t="s">
        <v>78</v>
      </c>
    </row>
    <row r="358" spans="1:8" ht="19.899999999999999" customHeight="1">
      <c r="A358" s="121">
        <v>46053</v>
      </c>
      <c r="B358" s="112" t="s">
        <v>38</v>
      </c>
      <c r="C358" s="113" t="s">
        <v>87</v>
      </c>
      <c r="D358" s="112" t="s">
        <v>1</v>
      </c>
      <c r="E358" s="122">
        <v>1.0625</v>
      </c>
      <c r="F358" s="112" t="s">
        <v>40</v>
      </c>
      <c r="G358" s="114">
        <v>20</v>
      </c>
      <c r="H358" s="115" t="s">
        <v>78</v>
      </c>
    </row>
    <row r="359" spans="1:8" ht="19.899999999999999" customHeight="1">
      <c r="A359" s="121">
        <v>46053</v>
      </c>
      <c r="B359" s="112" t="s">
        <v>26</v>
      </c>
      <c r="C359" s="113" t="s">
        <v>27</v>
      </c>
      <c r="D359" s="112" t="s">
        <v>1</v>
      </c>
      <c r="E359" s="122">
        <v>1.6076388888888891</v>
      </c>
      <c r="F359" s="112" t="s">
        <v>28</v>
      </c>
      <c r="G359" s="114">
        <v>4</v>
      </c>
      <c r="H359" s="115" t="s">
        <v>89</v>
      </c>
    </row>
    <row r="360" spans="1:8" ht="19.899999999999999" customHeight="1">
      <c r="A360" s="121">
        <v>46053</v>
      </c>
      <c r="B360" s="112" t="s">
        <v>26</v>
      </c>
      <c r="C360" s="113" t="s">
        <v>36</v>
      </c>
      <c r="D360" s="112" t="s">
        <v>1</v>
      </c>
      <c r="E360" s="122">
        <v>1.4340277777777779</v>
      </c>
      <c r="F360" s="112" t="s">
        <v>28</v>
      </c>
      <c r="G360" s="114">
        <v>3</v>
      </c>
      <c r="H360" s="115" t="s">
        <v>89</v>
      </c>
    </row>
    <row r="361" spans="1:8" ht="19.899999999999999" customHeight="1">
      <c r="A361" s="121">
        <v>46053</v>
      </c>
      <c r="B361" s="112" t="s">
        <v>38</v>
      </c>
      <c r="C361" s="113" t="s">
        <v>39</v>
      </c>
      <c r="D361" s="112" t="s">
        <v>1</v>
      </c>
      <c r="E361" s="122">
        <v>1.229166666666667</v>
      </c>
      <c r="F361" s="112" t="s">
        <v>43</v>
      </c>
      <c r="G361" s="114">
        <v>21</v>
      </c>
      <c r="H361" s="115" t="s">
        <v>79</v>
      </c>
    </row>
    <row r="362" spans="1:8" ht="19.899999999999999" customHeight="1">
      <c r="A362" s="121">
        <v>46053</v>
      </c>
      <c r="B362" s="112" t="s">
        <v>38</v>
      </c>
      <c r="C362" s="113" t="s">
        <v>87</v>
      </c>
      <c r="D362" s="112" t="s">
        <v>1</v>
      </c>
      <c r="E362" s="122">
        <v>1.0625</v>
      </c>
      <c r="F362" s="112" t="s">
        <v>43</v>
      </c>
      <c r="G362" s="114">
        <v>20</v>
      </c>
      <c r="H362" s="115" t="s">
        <v>79</v>
      </c>
    </row>
    <row r="363" spans="1:8" ht="19.899999999999999" customHeight="1">
      <c r="A363" s="121">
        <v>46053</v>
      </c>
      <c r="B363" s="112" t="s">
        <v>26</v>
      </c>
      <c r="C363" s="113" t="s">
        <v>27</v>
      </c>
      <c r="D363" s="112" t="s">
        <v>1</v>
      </c>
      <c r="E363" s="122">
        <v>1.6076388888888891</v>
      </c>
      <c r="F363" s="112" t="s">
        <v>31</v>
      </c>
      <c r="G363" s="114">
        <v>4</v>
      </c>
      <c r="H363" s="115" t="s">
        <v>138</v>
      </c>
    </row>
    <row r="364" spans="1:8" ht="19.899999999999999" customHeight="1">
      <c r="A364" s="121">
        <v>46053</v>
      </c>
      <c r="B364" s="112" t="s">
        <v>26</v>
      </c>
      <c r="C364" s="113" t="s">
        <v>36</v>
      </c>
      <c r="D364" s="112" t="s">
        <v>1</v>
      </c>
      <c r="E364" s="122">
        <v>1.4340277777777779</v>
      </c>
      <c r="F364" s="112" t="s">
        <v>31</v>
      </c>
      <c r="G364" s="114">
        <v>3</v>
      </c>
      <c r="H364" s="115" t="s">
        <v>138</v>
      </c>
    </row>
    <row r="365" spans="1:8" ht="19.899999999999999" customHeight="1">
      <c r="A365" s="121">
        <v>46053</v>
      </c>
      <c r="B365" s="112" t="s">
        <v>61</v>
      </c>
      <c r="C365" s="113" t="s">
        <v>62</v>
      </c>
      <c r="D365" s="112" t="s">
        <v>1</v>
      </c>
      <c r="E365" s="122">
        <v>1.2361111111111109</v>
      </c>
      <c r="F365" s="112" t="s">
        <v>63</v>
      </c>
      <c r="G365" s="114">
        <v>9</v>
      </c>
      <c r="H365" s="115" t="s">
        <v>64</v>
      </c>
    </row>
    <row r="366" spans="1:8" ht="19.899999999999999" customHeight="1">
      <c r="A366" s="123">
        <v>46053</v>
      </c>
      <c r="B366" s="124" t="s">
        <v>26</v>
      </c>
      <c r="C366" s="125" t="s">
        <v>27</v>
      </c>
      <c r="D366" s="124" t="s">
        <v>1</v>
      </c>
      <c r="E366" s="126">
        <v>1.6076388888888891</v>
      </c>
      <c r="F366" s="124" t="s">
        <v>34</v>
      </c>
      <c r="G366" s="127">
        <v>4</v>
      </c>
      <c r="H366" s="128" t="s">
        <v>139</v>
      </c>
    </row>
  </sheetData>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257"/>
  <sheetViews>
    <sheetView workbookViewId="0"/>
  </sheetViews>
  <sheetFormatPr defaultRowHeight="14.45"/>
  <cols>
    <col min="1" max="1" width="10.28515625" bestFit="1" customWidth="1"/>
    <col min="2" max="2" width="15.7109375" bestFit="1" customWidth="1"/>
    <col min="3" max="3" width="14.7109375" bestFit="1" customWidth="1"/>
    <col min="4" max="4" width="34.28515625" bestFit="1" customWidth="1"/>
    <col min="5" max="5" width="20.140625" bestFit="1" customWidth="1"/>
    <col min="6" max="6" width="23.42578125" bestFit="1" customWidth="1"/>
    <col min="7" max="7" width="44.7109375" bestFit="1" customWidth="1"/>
    <col min="8" max="8" width="9.42578125" bestFit="1" customWidth="1"/>
    <col min="9" max="9" width="6.710937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10.7109375" bestFit="1" customWidth="1"/>
  </cols>
  <sheetData>
    <row r="1" spans="1:92" ht="28.9" customHeight="1">
      <c r="A1" s="291" t="s">
        <v>0</v>
      </c>
      <c r="B1" s="294"/>
      <c r="C1" s="294"/>
      <c r="D1" s="294"/>
      <c r="E1" s="294"/>
      <c r="F1" s="1" t="s">
        <v>320</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45980.609229891023</v>
      </c>
      <c r="H2" s="294"/>
      <c r="I2" s="294"/>
      <c r="J2" s="294"/>
      <c r="K2" s="287">
        <v>45980.609229891328</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46025</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78" t="s">
        <v>61</v>
      </c>
      <c r="B6" s="78" t="s">
        <v>321</v>
      </c>
      <c r="C6" s="79">
        <v>0.80208333333333337</v>
      </c>
      <c r="D6" s="78" t="s">
        <v>63</v>
      </c>
      <c r="E6" s="78" t="s">
        <v>100</v>
      </c>
      <c r="F6" s="78" t="s">
        <v>322</v>
      </c>
      <c r="G6" s="297"/>
      <c r="H6" s="80" t="s">
        <v>323</v>
      </c>
      <c r="I6" s="81">
        <v>1.11E-2</v>
      </c>
      <c r="J6" s="82">
        <v>2</v>
      </c>
      <c r="K6" s="83">
        <v>46344</v>
      </c>
      <c r="L6" s="82">
        <v>2</v>
      </c>
      <c r="M6" s="82">
        <v>0</v>
      </c>
      <c r="N6" s="82">
        <v>0</v>
      </c>
      <c r="O6" s="84" t="s">
        <v>324</v>
      </c>
      <c r="P6" s="85">
        <v>0.80208333333333337</v>
      </c>
      <c r="Q6" s="82">
        <v>180</v>
      </c>
      <c r="R6" s="86" t="s">
        <v>325</v>
      </c>
    </row>
    <row r="7" spans="1:92" ht="18">
      <c r="A7" s="292" t="s">
        <v>266</v>
      </c>
      <c r="B7" s="303"/>
      <c r="C7" s="303"/>
      <c r="D7" s="303"/>
      <c r="E7" s="303"/>
      <c r="F7" s="304"/>
      <c r="G7" s="298"/>
      <c r="H7" s="138"/>
      <c r="I7" s="138"/>
      <c r="J7" s="138"/>
      <c r="K7" s="138"/>
      <c r="L7" s="138"/>
      <c r="M7" s="138"/>
      <c r="N7" s="138"/>
      <c r="O7" s="139"/>
      <c r="P7" s="138"/>
      <c r="Q7" s="107"/>
      <c r="R7" s="107"/>
    </row>
    <row r="8" spans="1:92" ht="15" customHeight="1">
      <c r="A8" s="17" t="s">
        <v>38</v>
      </c>
      <c r="B8" s="17" t="s">
        <v>87</v>
      </c>
      <c r="C8" s="18" t="s">
        <v>280</v>
      </c>
      <c r="D8" s="17" t="s">
        <v>40</v>
      </c>
      <c r="E8" s="17" t="s">
        <v>268</v>
      </c>
      <c r="F8" s="17" t="s">
        <v>88</v>
      </c>
      <c r="G8" s="298"/>
      <c r="H8" s="138"/>
      <c r="I8" s="138"/>
      <c r="J8" s="138"/>
      <c r="K8" s="138"/>
      <c r="L8" s="138"/>
      <c r="M8" s="138"/>
      <c r="N8" s="138"/>
      <c r="O8" s="139"/>
      <c r="P8" s="138"/>
      <c r="Q8" s="107"/>
      <c r="R8" s="107"/>
    </row>
    <row r="9" spans="1:92" ht="15" customHeight="1">
      <c r="A9" s="17" t="s">
        <v>38</v>
      </c>
      <c r="B9" s="17" t="s">
        <v>39</v>
      </c>
      <c r="C9" s="18" t="s">
        <v>257</v>
      </c>
      <c r="D9" s="17" t="s">
        <v>40</v>
      </c>
      <c r="E9" s="17" t="s">
        <v>270</v>
      </c>
      <c r="F9" s="17" t="s">
        <v>78</v>
      </c>
      <c r="G9" s="298"/>
      <c r="H9" s="138"/>
      <c r="I9" s="138"/>
      <c r="J9" s="138"/>
      <c r="K9" s="138"/>
      <c r="L9" s="138"/>
      <c r="M9" s="138"/>
      <c r="N9" s="138"/>
      <c r="O9" s="139"/>
      <c r="P9" s="138"/>
      <c r="Q9" s="107"/>
      <c r="R9" s="107"/>
    </row>
    <row r="10" spans="1:92" ht="15" customHeight="1">
      <c r="A10" s="17" t="s">
        <v>26</v>
      </c>
      <c r="B10" s="17" t="s">
        <v>27</v>
      </c>
      <c r="C10" s="18" t="s">
        <v>255</v>
      </c>
      <c r="D10" s="17" t="s">
        <v>28</v>
      </c>
      <c r="E10" s="17" t="s">
        <v>270</v>
      </c>
      <c r="F10" s="17" t="s">
        <v>30</v>
      </c>
      <c r="G10" s="298"/>
      <c r="H10" s="138"/>
      <c r="I10" s="138"/>
      <c r="J10" s="138"/>
      <c r="K10" s="138"/>
      <c r="L10" s="138"/>
      <c r="M10" s="138"/>
      <c r="N10" s="138"/>
      <c r="O10" s="139"/>
      <c r="P10" s="138"/>
      <c r="Q10" s="107"/>
      <c r="R10" s="107"/>
    </row>
    <row r="11" spans="1:92" ht="15" customHeight="1">
      <c r="A11" s="17" t="s">
        <v>26</v>
      </c>
      <c r="B11" s="17" t="s">
        <v>36</v>
      </c>
      <c r="C11" s="18" t="s">
        <v>256</v>
      </c>
      <c r="D11" s="17" t="s">
        <v>28</v>
      </c>
      <c r="E11" s="17" t="s">
        <v>294</v>
      </c>
      <c r="F11" s="17" t="s">
        <v>30</v>
      </c>
      <c r="G11" s="298"/>
      <c r="H11" s="138"/>
      <c r="I11" s="138"/>
      <c r="J11" s="138"/>
      <c r="K11" s="138"/>
      <c r="L11" s="138"/>
      <c r="M11" s="138"/>
      <c r="N11" s="138"/>
      <c r="O11" s="139"/>
      <c r="P11" s="138"/>
      <c r="Q11" s="107"/>
      <c r="R11" s="107"/>
    </row>
    <row r="12" spans="1:92" ht="15" customHeight="1">
      <c r="A12" s="17" t="s">
        <v>38</v>
      </c>
      <c r="B12" s="17" t="s">
        <v>87</v>
      </c>
      <c r="C12" s="18" t="s">
        <v>280</v>
      </c>
      <c r="D12" s="17" t="s">
        <v>43</v>
      </c>
      <c r="E12" s="17" t="s">
        <v>268</v>
      </c>
      <c r="F12" s="17" t="s">
        <v>89</v>
      </c>
      <c r="G12" s="298"/>
      <c r="H12" s="138"/>
      <c r="I12" s="138"/>
      <c r="J12" s="138"/>
      <c r="K12" s="138"/>
      <c r="L12" s="138"/>
      <c r="M12" s="138"/>
      <c r="N12" s="138"/>
      <c r="O12" s="139"/>
      <c r="P12" s="138"/>
      <c r="Q12" s="107"/>
      <c r="R12" s="107"/>
    </row>
    <row r="13" spans="1:92" ht="15" customHeight="1">
      <c r="A13" s="17" t="s">
        <v>26</v>
      </c>
      <c r="B13" s="17" t="s">
        <v>27</v>
      </c>
      <c r="C13" s="18" t="s">
        <v>255</v>
      </c>
      <c r="D13" s="17" t="s">
        <v>31</v>
      </c>
      <c r="E13" s="17" t="s">
        <v>270</v>
      </c>
      <c r="F13" s="17" t="s">
        <v>33</v>
      </c>
      <c r="G13" s="298"/>
      <c r="H13" s="138"/>
      <c r="I13" s="138"/>
      <c r="J13" s="138"/>
      <c r="K13" s="138"/>
      <c r="L13" s="138"/>
      <c r="M13" s="138"/>
      <c r="N13" s="138"/>
      <c r="O13" s="139"/>
      <c r="P13" s="138"/>
      <c r="Q13" s="107"/>
      <c r="R13" s="107"/>
    </row>
    <row r="14" spans="1:92" ht="15" customHeight="1">
      <c r="A14" s="17" t="s">
        <v>26</v>
      </c>
      <c r="B14" s="17" t="s">
        <v>36</v>
      </c>
      <c r="C14" s="18" t="s">
        <v>256</v>
      </c>
      <c r="D14" s="17" t="s">
        <v>31</v>
      </c>
      <c r="E14" s="17" t="s">
        <v>294</v>
      </c>
      <c r="F14" s="17" t="s">
        <v>33</v>
      </c>
      <c r="G14" s="298"/>
      <c r="H14" s="138"/>
      <c r="I14" s="138"/>
      <c r="J14" s="138"/>
      <c r="K14" s="138"/>
      <c r="L14" s="138"/>
      <c r="M14" s="138"/>
      <c r="N14" s="138"/>
      <c r="O14" s="139"/>
      <c r="P14" s="138"/>
      <c r="Q14" s="107"/>
      <c r="R14" s="107"/>
    </row>
    <row r="15" spans="1:92" ht="15" customHeight="1">
      <c r="A15" s="17" t="s">
        <v>38</v>
      </c>
      <c r="B15" s="17" t="s">
        <v>39</v>
      </c>
      <c r="C15" s="18" t="s">
        <v>257</v>
      </c>
      <c r="D15" s="17" t="s">
        <v>43</v>
      </c>
      <c r="E15" s="17" t="s">
        <v>270</v>
      </c>
      <c r="F15" s="17" t="s">
        <v>79</v>
      </c>
      <c r="G15" s="298"/>
      <c r="H15" s="138"/>
      <c r="I15" s="138"/>
      <c r="J15" s="138"/>
      <c r="K15" s="138"/>
      <c r="L15" s="138"/>
      <c r="M15" s="138"/>
      <c r="N15" s="138"/>
      <c r="O15" s="139"/>
      <c r="P15" s="138"/>
      <c r="Q15" s="107"/>
      <c r="R15" s="107"/>
    </row>
    <row r="16" spans="1:92" ht="15" customHeight="1">
      <c r="A16" s="17" t="s">
        <v>26</v>
      </c>
      <c r="B16" s="17" t="s">
        <v>27</v>
      </c>
      <c r="C16" s="18" t="s">
        <v>255</v>
      </c>
      <c r="D16" s="17" t="s">
        <v>34</v>
      </c>
      <c r="E16" s="17" t="s">
        <v>270</v>
      </c>
      <c r="F16" s="17" t="s">
        <v>35</v>
      </c>
      <c r="G16" s="298"/>
      <c r="H16" s="138"/>
      <c r="I16" s="138"/>
      <c r="J16" s="138"/>
      <c r="K16" s="138"/>
      <c r="L16" s="138"/>
      <c r="M16" s="138"/>
      <c r="N16" s="138"/>
      <c r="O16" s="139"/>
      <c r="P16" s="138"/>
      <c r="Q16" s="107"/>
      <c r="R16" s="107"/>
    </row>
    <row r="17" spans="1:18" ht="15" customHeight="1" thickBot="1">
      <c r="A17" s="30" t="s">
        <v>26</v>
      </c>
      <c r="B17" s="30" t="s">
        <v>36</v>
      </c>
      <c r="C17" s="31" t="s">
        <v>256</v>
      </c>
      <c r="D17" s="30" t="s">
        <v>34</v>
      </c>
      <c r="E17" s="30" t="s">
        <v>294</v>
      </c>
      <c r="F17" s="30" t="s">
        <v>35</v>
      </c>
      <c r="G17" s="299"/>
      <c r="H17" s="140"/>
      <c r="I17" s="140"/>
      <c r="J17" s="140"/>
      <c r="K17" s="140"/>
      <c r="L17" s="140"/>
      <c r="M17" s="140"/>
      <c r="N17" s="140"/>
      <c r="O17" s="141"/>
      <c r="P17" s="140"/>
      <c r="Q17" s="142"/>
      <c r="R17" s="142"/>
    </row>
    <row r="18" spans="1:18" ht="17.45" customHeight="1" thickBot="1">
      <c r="A18" s="283"/>
      <c r="B18" s="284"/>
      <c r="C18" s="284"/>
      <c r="D18" s="284"/>
      <c r="E18" s="284"/>
      <c r="F18" s="284"/>
      <c r="G18" s="284"/>
      <c r="H18" s="284"/>
      <c r="I18" s="284"/>
      <c r="J18" s="284"/>
      <c r="K18" s="284"/>
      <c r="L18" s="284"/>
      <c r="M18" s="284"/>
      <c r="N18" s="284"/>
      <c r="O18" s="284"/>
      <c r="P18" s="284"/>
      <c r="Q18" s="284"/>
      <c r="R18" s="285"/>
    </row>
    <row r="19" spans="1:18" ht="22.15" customHeight="1" thickTop="1" thickBot="1">
      <c r="A19" s="279" t="s">
        <v>6</v>
      </c>
      <c r="B19" s="295"/>
      <c r="C19" s="295"/>
      <c r="D19" s="295"/>
      <c r="E19" s="295"/>
      <c r="F19" s="296"/>
      <c r="G19" s="32">
        <v>46027</v>
      </c>
      <c r="H19" s="278" t="s">
        <v>7</v>
      </c>
      <c r="I19" s="295"/>
      <c r="J19" s="295"/>
      <c r="K19" s="295"/>
      <c r="L19" s="295"/>
      <c r="M19" s="295"/>
      <c r="N19" s="295"/>
      <c r="O19" s="295"/>
      <c r="P19" s="295"/>
      <c r="Q19" s="295"/>
      <c r="R19" s="296"/>
    </row>
    <row r="20" spans="1:18" ht="24" customHeight="1">
      <c r="A20" s="33" t="s">
        <v>8</v>
      </c>
      <c r="B20" s="33" t="s">
        <v>9</v>
      </c>
      <c r="C20" s="34" t="s">
        <v>10</v>
      </c>
      <c r="D20" s="33" t="s">
        <v>11</v>
      </c>
      <c r="E20" s="33" t="s">
        <v>12</v>
      </c>
      <c r="F20" s="35" t="s">
        <v>13</v>
      </c>
      <c r="G20" s="36" t="s">
        <v>14</v>
      </c>
      <c r="H20" s="33" t="s">
        <v>15</v>
      </c>
      <c r="I20" s="37" t="s">
        <v>16</v>
      </c>
      <c r="J20" s="38" t="s">
        <v>17</v>
      </c>
      <c r="K20" s="39" t="s">
        <v>18</v>
      </c>
      <c r="L20" s="38" t="s">
        <v>19</v>
      </c>
      <c r="M20" s="38" t="s">
        <v>20</v>
      </c>
      <c r="N20" s="38" t="s">
        <v>21</v>
      </c>
      <c r="O20" s="33" t="s">
        <v>22</v>
      </c>
      <c r="P20" s="34" t="s">
        <v>23</v>
      </c>
      <c r="Q20" s="38" t="s">
        <v>24</v>
      </c>
      <c r="R20" s="33" t="s">
        <v>25</v>
      </c>
    </row>
    <row r="21" spans="1:18" ht="15" customHeight="1">
      <c r="A21" s="58" t="s">
        <v>61</v>
      </c>
      <c r="B21" s="58" t="s">
        <v>321</v>
      </c>
      <c r="C21" s="59">
        <v>0.64583333333333337</v>
      </c>
      <c r="D21" s="58" t="s">
        <v>63</v>
      </c>
      <c r="E21" s="58" t="s">
        <v>51</v>
      </c>
      <c r="F21" s="58" t="s">
        <v>322</v>
      </c>
      <c r="G21" s="297"/>
      <c r="H21" s="60" t="s">
        <v>323</v>
      </c>
      <c r="I21" s="61">
        <v>3.3300000000000003E-2</v>
      </c>
      <c r="J21" s="62">
        <v>6</v>
      </c>
      <c r="K21" s="63">
        <v>46335</v>
      </c>
      <c r="L21" s="62">
        <v>6</v>
      </c>
      <c r="M21" s="62">
        <v>0</v>
      </c>
      <c r="N21" s="62">
        <v>0</v>
      </c>
      <c r="O21" s="64" t="s">
        <v>326</v>
      </c>
      <c r="P21" s="65">
        <v>0.64583333333333337</v>
      </c>
      <c r="Q21" s="62">
        <v>180</v>
      </c>
      <c r="R21" s="66" t="s">
        <v>305</v>
      </c>
    </row>
    <row r="22" spans="1:18" ht="18">
      <c r="A22" s="292" t="s">
        <v>266</v>
      </c>
      <c r="B22" s="303"/>
      <c r="C22" s="303"/>
      <c r="D22" s="303"/>
      <c r="E22" s="303"/>
      <c r="F22" s="304"/>
      <c r="G22" s="298"/>
      <c r="H22" s="138"/>
      <c r="I22" s="138"/>
      <c r="J22" s="138"/>
      <c r="K22" s="138"/>
      <c r="L22" s="138"/>
      <c r="M22" s="138"/>
      <c r="N22" s="138"/>
      <c r="O22" s="139"/>
      <c r="P22" s="138"/>
      <c r="Q22" s="107"/>
      <c r="R22" s="107"/>
    </row>
    <row r="23" spans="1:18" ht="15" customHeight="1">
      <c r="A23" s="17" t="s">
        <v>38</v>
      </c>
      <c r="B23" s="17" t="s">
        <v>87</v>
      </c>
      <c r="C23" s="18" t="s">
        <v>280</v>
      </c>
      <c r="D23" s="17" t="s">
        <v>40</v>
      </c>
      <c r="E23" s="17" t="s">
        <v>268</v>
      </c>
      <c r="F23" s="17" t="s">
        <v>88</v>
      </c>
      <c r="G23" s="298"/>
      <c r="H23" s="138"/>
      <c r="I23" s="138"/>
      <c r="J23" s="138"/>
      <c r="K23" s="138"/>
      <c r="L23" s="138"/>
      <c r="M23" s="138"/>
      <c r="N23" s="138"/>
      <c r="O23" s="139"/>
      <c r="P23" s="138"/>
      <c r="Q23" s="107"/>
      <c r="R23" s="107"/>
    </row>
    <row r="24" spans="1:18" ht="15" customHeight="1">
      <c r="A24" s="17" t="s">
        <v>38</v>
      </c>
      <c r="B24" s="17" t="s">
        <v>39</v>
      </c>
      <c r="C24" s="18" t="s">
        <v>257</v>
      </c>
      <c r="D24" s="17" t="s">
        <v>40</v>
      </c>
      <c r="E24" s="17" t="s">
        <v>277</v>
      </c>
      <c r="F24" s="17" t="s">
        <v>78</v>
      </c>
      <c r="G24" s="298"/>
      <c r="H24" s="138"/>
      <c r="I24" s="138"/>
      <c r="J24" s="138"/>
      <c r="K24" s="138"/>
      <c r="L24" s="138"/>
      <c r="M24" s="138"/>
      <c r="N24" s="138"/>
      <c r="O24" s="139"/>
      <c r="P24" s="138"/>
      <c r="Q24" s="107"/>
      <c r="R24" s="107"/>
    </row>
    <row r="25" spans="1:18" ht="15" customHeight="1">
      <c r="A25" s="17" t="s">
        <v>26</v>
      </c>
      <c r="B25" s="17" t="s">
        <v>27</v>
      </c>
      <c r="C25" s="18" t="s">
        <v>255</v>
      </c>
      <c r="D25" s="17" t="s">
        <v>28</v>
      </c>
      <c r="E25" s="17" t="s">
        <v>277</v>
      </c>
      <c r="F25" s="17" t="s">
        <v>81</v>
      </c>
      <c r="G25" s="298"/>
      <c r="H25" s="138"/>
      <c r="I25" s="138"/>
      <c r="J25" s="138"/>
      <c r="K25" s="138"/>
      <c r="L25" s="138"/>
      <c r="M25" s="138"/>
      <c r="N25" s="138"/>
      <c r="O25" s="139"/>
      <c r="P25" s="138"/>
      <c r="Q25" s="107"/>
      <c r="R25" s="107"/>
    </row>
    <row r="26" spans="1:18" ht="15" customHeight="1">
      <c r="A26" s="17" t="s">
        <v>48</v>
      </c>
      <c r="B26" s="17" t="s">
        <v>58</v>
      </c>
      <c r="C26" s="18" t="s">
        <v>260</v>
      </c>
      <c r="D26" s="17" t="s">
        <v>50</v>
      </c>
      <c r="E26" s="17" t="s">
        <v>303</v>
      </c>
      <c r="F26" s="17" t="s">
        <v>96</v>
      </c>
      <c r="G26" s="298"/>
      <c r="H26" s="138"/>
      <c r="I26" s="138"/>
      <c r="J26" s="138"/>
      <c r="K26" s="138"/>
      <c r="L26" s="138"/>
      <c r="M26" s="138"/>
      <c r="N26" s="138"/>
      <c r="O26" s="139"/>
      <c r="P26" s="138"/>
      <c r="Q26" s="107"/>
      <c r="R26" s="107"/>
    </row>
    <row r="27" spans="1:18" ht="15" customHeight="1">
      <c r="A27" s="17" t="s">
        <v>26</v>
      </c>
      <c r="B27" s="17" t="s">
        <v>27</v>
      </c>
      <c r="C27" s="18" t="s">
        <v>255</v>
      </c>
      <c r="D27" s="17" t="s">
        <v>31</v>
      </c>
      <c r="E27" s="17" t="s">
        <v>277</v>
      </c>
      <c r="F27" s="17" t="s">
        <v>83</v>
      </c>
      <c r="G27" s="298"/>
      <c r="H27" s="138"/>
      <c r="I27" s="138"/>
      <c r="J27" s="138"/>
      <c r="K27" s="138"/>
      <c r="L27" s="138"/>
      <c r="M27" s="138"/>
      <c r="N27" s="138"/>
      <c r="O27" s="139"/>
      <c r="P27" s="138"/>
      <c r="Q27" s="107"/>
      <c r="R27" s="107"/>
    </row>
    <row r="28" spans="1:18" ht="15" customHeight="1">
      <c r="A28" s="17" t="s">
        <v>38</v>
      </c>
      <c r="B28" s="17" t="s">
        <v>87</v>
      </c>
      <c r="C28" s="18" t="s">
        <v>280</v>
      </c>
      <c r="D28" s="17" t="s">
        <v>43</v>
      </c>
      <c r="E28" s="17" t="s">
        <v>268</v>
      </c>
      <c r="F28" s="17" t="s">
        <v>89</v>
      </c>
      <c r="G28" s="298"/>
      <c r="H28" s="138"/>
      <c r="I28" s="138"/>
      <c r="J28" s="138"/>
      <c r="K28" s="138"/>
      <c r="L28" s="138"/>
      <c r="M28" s="138"/>
      <c r="N28" s="138"/>
      <c r="O28" s="139"/>
      <c r="P28" s="138"/>
      <c r="Q28" s="107"/>
      <c r="R28" s="107"/>
    </row>
    <row r="29" spans="1:18" ht="15" customHeight="1">
      <c r="A29" s="17" t="s">
        <v>38</v>
      </c>
      <c r="B29" s="17" t="s">
        <v>39</v>
      </c>
      <c r="C29" s="18" t="s">
        <v>257</v>
      </c>
      <c r="D29" s="17" t="s">
        <v>43</v>
      </c>
      <c r="E29" s="17" t="s">
        <v>277</v>
      </c>
      <c r="F29" s="17" t="s">
        <v>79</v>
      </c>
      <c r="G29" s="298"/>
      <c r="H29" s="138"/>
      <c r="I29" s="138"/>
      <c r="J29" s="138"/>
      <c r="K29" s="138"/>
      <c r="L29" s="138"/>
      <c r="M29" s="138"/>
      <c r="N29" s="138"/>
      <c r="O29" s="139"/>
      <c r="P29" s="138"/>
      <c r="Q29" s="107"/>
      <c r="R29" s="107"/>
    </row>
    <row r="30" spans="1:18" ht="15" customHeight="1">
      <c r="A30" s="17" t="s">
        <v>48</v>
      </c>
      <c r="B30" s="17" t="s">
        <v>56</v>
      </c>
      <c r="C30" s="18" t="s">
        <v>259</v>
      </c>
      <c r="D30" s="17" t="s">
        <v>50</v>
      </c>
      <c r="E30" s="17" t="s">
        <v>269</v>
      </c>
      <c r="F30" s="17" t="s">
        <v>52</v>
      </c>
      <c r="G30" s="298"/>
      <c r="H30" s="138"/>
      <c r="I30" s="138"/>
      <c r="J30" s="138"/>
      <c r="K30" s="138"/>
      <c r="L30" s="138"/>
      <c r="M30" s="138"/>
      <c r="N30" s="138"/>
      <c r="O30" s="139"/>
      <c r="P30" s="138"/>
      <c r="Q30" s="107"/>
      <c r="R30" s="107"/>
    </row>
    <row r="31" spans="1:18" ht="15" customHeight="1">
      <c r="A31" s="17" t="s">
        <v>26</v>
      </c>
      <c r="B31" s="17" t="s">
        <v>27</v>
      </c>
      <c r="C31" s="18" t="s">
        <v>255</v>
      </c>
      <c r="D31" s="17" t="s">
        <v>34</v>
      </c>
      <c r="E31" s="17" t="s">
        <v>277</v>
      </c>
      <c r="F31" s="17" t="s">
        <v>45</v>
      </c>
      <c r="G31" s="298"/>
      <c r="H31" s="138"/>
      <c r="I31" s="138"/>
      <c r="J31" s="138"/>
      <c r="K31" s="138"/>
      <c r="L31" s="138"/>
      <c r="M31" s="138"/>
      <c r="N31" s="138"/>
      <c r="O31" s="139"/>
      <c r="P31" s="138"/>
      <c r="Q31" s="107"/>
      <c r="R31" s="107"/>
    </row>
    <row r="32" spans="1:18" ht="15" customHeight="1" thickBot="1">
      <c r="A32" s="30" t="s">
        <v>48</v>
      </c>
      <c r="B32" s="30" t="s">
        <v>58</v>
      </c>
      <c r="C32" s="31" t="s">
        <v>260</v>
      </c>
      <c r="D32" s="30" t="s">
        <v>53</v>
      </c>
      <c r="E32" s="30" t="s">
        <v>303</v>
      </c>
      <c r="F32" s="30" t="s">
        <v>97</v>
      </c>
      <c r="G32" s="299"/>
      <c r="H32" s="140"/>
      <c r="I32" s="140"/>
      <c r="J32" s="140"/>
      <c r="K32" s="140"/>
      <c r="L32" s="140"/>
      <c r="M32" s="140"/>
      <c r="N32" s="140"/>
      <c r="O32" s="141"/>
      <c r="P32" s="140"/>
      <c r="Q32" s="142"/>
      <c r="R32" s="142"/>
    </row>
    <row r="33" spans="1:18" ht="17.45" customHeight="1" thickBot="1">
      <c r="A33" s="283"/>
      <c r="B33" s="284"/>
      <c r="C33" s="284"/>
      <c r="D33" s="284"/>
      <c r="E33" s="284"/>
      <c r="F33" s="284"/>
      <c r="G33" s="284"/>
      <c r="H33" s="284"/>
      <c r="I33" s="284"/>
      <c r="J33" s="284"/>
      <c r="K33" s="284"/>
      <c r="L33" s="284"/>
      <c r="M33" s="284"/>
      <c r="N33" s="284"/>
      <c r="O33" s="284"/>
      <c r="P33" s="284"/>
      <c r="Q33" s="284"/>
      <c r="R33" s="285"/>
    </row>
    <row r="34" spans="1:18" ht="22.15" customHeight="1" thickTop="1" thickBot="1">
      <c r="A34" s="279" t="s">
        <v>6</v>
      </c>
      <c r="B34" s="295"/>
      <c r="C34" s="295"/>
      <c r="D34" s="295"/>
      <c r="E34" s="295"/>
      <c r="F34" s="296"/>
      <c r="G34" s="32">
        <v>46028</v>
      </c>
      <c r="H34" s="278" t="s">
        <v>7</v>
      </c>
      <c r="I34" s="295"/>
      <c r="J34" s="295"/>
      <c r="K34" s="295"/>
      <c r="L34" s="295"/>
      <c r="M34" s="295"/>
      <c r="N34" s="295"/>
      <c r="O34" s="295"/>
      <c r="P34" s="295"/>
      <c r="Q34" s="295"/>
      <c r="R34" s="296"/>
    </row>
    <row r="35" spans="1:18" ht="24" customHeight="1">
      <c r="A35" s="33" t="s">
        <v>8</v>
      </c>
      <c r="B35" s="33" t="s">
        <v>9</v>
      </c>
      <c r="C35" s="34" t="s">
        <v>10</v>
      </c>
      <c r="D35" s="33" t="s">
        <v>11</v>
      </c>
      <c r="E35" s="33" t="s">
        <v>12</v>
      </c>
      <c r="F35" s="35" t="s">
        <v>13</v>
      </c>
      <c r="G35" s="36" t="s">
        <v>14</v>
      </c>
      <c r="H35" s="33" t="s">
        <v>15</v>
      </c>
      <c r="I35" s="37" t="s">
        <v>16</v>
      </c>
      <c r="J35" s="38" t="s">
        <v>17</v>
      </c>
      <c r="K35" s="39" t="s">
        <v>18</v>
      </c>
      <c r="L35" s="38" t="s">
        <v>19</v>
      </c>
      <c r="M35" s="38" t="s">
        <v>20</v>
      </c>
      <c r="N35" s="38" t="s">
        <v>21</v>
      </c>
      <c r="O35" s="33" t="s">
        <v>22</v>
      </c>
      <c r="P35" s="34" t="s">
        <v>23</v>
      </c>
      <c r="Q35" s="38" t="s">
        <v>24</v>
      </c>
      <c r="R35" s="33" t="s">
        <v>25</v>
      </c>
    </row>
    <row r="36" spans="1:18" ht="15" customHeight="1">
      <c r="A36" s="67" t="s">
        <v>61</v>
      </c>
      <c r="B36" s="67" t="s">
        <v>321</v>
      </c>
      <c r="C36" s="68">
        <v>0.125</v>
      </c>
      <c r="D36" s="67" t="s">
        <v>63</v>
      </c>
      <c r="E36" s="67" t="s">
        <v>51</v>
      </c>
      <c r="F36" s="67" t="s">
        <v>322</v>
      </c>
      <c r="G36" s="297"/>
      <c r="H36" s="69" t="s">
        <v>323</v>
      </c>
      <c r="I36" s="70">
        <v>0</v>
      </c>
      <c r="J36" s="71">
        <v>0</v>
      </c>
      <c r="K36" s="72" t="s">
        <v>66</v>
      </c>
      <c r="L36" s="71">
        <v>0</v>
      </c>
      <c r="M36" s="71">
        <v>0</v>
      </c>
      <c r="N36" s="71">
        <v>0</v>
      </c>
      <c r="O36" s="73" t="s">
        <v>326</v>
      </c>
      <c r="P36" s="74">
        <v>0.125</v>
      </c>
      <c r="Q36" s="71">
        <v>180</v>
      </c>
      <c r="R36" s="75" t="s">
        <v>66</v>
      </c>
    </row>
    <row r="37" spans="1:18" ht="18">
      <c r="A37" s="292" t="s">
        <v>266</v>
      </c>
      <c r="B37" s="303"/>
      <c r="C37" s="303"/>
      <c r="D37" s="303"/>
      <c r="E37" s="303"/>
      <c r="F37" s="304"/>
      <c r="G37" s="298"/>
      <c r="H37" s="138"/>
      <c r="I37" s="138"/>
      <c r="J37" s="138"/>
      <c r="K37" s="138"/>
      <c r="L37" s="138"/>
      <c r="M37" s="138"/>
      <c r="N37" s="138"/>
      <c r="O37" s="139"/>
      <c r="P37" s="138"/>
      <c r="Q37" s="107"/>
      <c r="R37" s="107"/>
    </row>
    <row r="38" spans="1:18" ht="15" customHeight="1">
      <c r="A38" s="17" t="s">
        <v>38</v>
      </c>
      <c r="B38" s="17" t="s">
        <v>87</v>
      </c>
      <c r="C38" s="18" t="s">
        <v>280</v>
      </c>
      <c r="D38" s="17" t="s">
        <v>40</v>
      </c>
      <c r="E38" s="17" t="s">
        <v>268</v>
      </c>
      <c r="F38" s="17" t="s">
        <v>78</v>
      </c>
      <c r="G38" s="298"/>
      <c r="H38" s="138"/>
      <c r="I38" s="138"/>
      <c r="J38" s="138"/>
      <c r="K38" s="138"/>
      <c r="L38" s="138"/>
      <c r="M38" s="138"/>
      <c r="N38" s="138"/>
      <c r="O38" s="139"/>
      <c r="P38" s="138"/>
      <c r="Q38" s="107"/>
      <c r="R38" s="107"/>
    </row>
    <row r="39" spans="1:18" ht="15" customHeight="1">
      <c r="A39" s="17" t="s">
        <v>38</v>
      </c>
      <c r="B39" s="17" t="s">
        <v>39</v>
      </c>
      <c r="C39" s="18" t="s">
        <v>257</v>
      </c>
      <c r="D39" s="17" t="s">
        <v>40</v>
      </c>
      <c r="E39" s="17" t="s">
        <v>281</v>
      </c>
      <c r="F39" s="17" t="s">
        <v>42</v>
      </c>
      <c r="G39" s="298"/>
      <c r="H39" s="138"/>
      <c r="I39" s="138"/>
      <c r="J39" s="138"/>
      <c r="K39" s="138"/>
      <c r="L39" s="138"/>
      <c r="M39" s="138"/>
      <c r="N39" s="138"/>
      <c r="O39" s="139"/>
      <c r="P39" s="138"/>
      <c r="Q39" s="107"/>
      <c r="R39" s="107"/>
    </row>
    <row r="40" spans="1:18" ht="15" customHeight="1">
      <c r="A40" s="17" t="s">
        <v>48</v>
      </c>
      <c r="B40" s="17" t="s">
        <v>58</v>
      </c>
      <c r="C40" s="18" t="s">
        <v>260</v>
      </c>
      <c r="D40" s="17" t="s">
        <v>50</v>
      </c>
      <c r="E40" s="17" t="s">
        <v>278</v>
      </c>
      <c r="F40" s="17" t="s">
        <v>96</v>
      </c>
      <c r="G40" s="298"/>
      <c r="H40" s="138"/>
      <c r="I40" s="138"/>
      <c r="J40" s="138"/>
      <c r="K40" s="138"/>
      <c r="L40" s="138"/>
      <c r="M40" s="138"/>
      <c r="N40" s="138"/>
      <c r="O40" s="139"/>
      <c r="P40" s="138"/>
      <c r="Q40" s="107"/>
      <c r="R40" s="107"/>
    </row>
    <row r="41" spans="1:18" ht="15" customHeight="1">
      <c r="A41" s="17" t="s">
        <v>38</v>
      </c>
      <c r="B41" s="17" t="s">
        <v>87</v>
      </c>
      <c r="C41" s="18" t="s">
        <v>280</v>
      </c>
      <c r="D41" s="17" t="s">
        <v>43</v>
      </c>
      <c r="E41" s="17" t="s">
        <v>268</v>
      </c>
      <c r="F41" s="17" t="s">
        <v>79</v>
      </c>
      <c r="G41" s="298"/>
      <c r="H41" s="138"/>
      <c r="I41" s="138"/>
      <c r="J41" s="138"/>
      <c r="K41" s="138"/>
      <c r="L41" s="138"/>
      <c r="M41" s="138"/>
      <c r="N41" s="138"/>
      <c r="O41" s="139"/>
      <c r="P41" s="138"/>
      <c r="Q41" s="107"/>
      <c r="R41" s="107"/>
    </row>
    <row r="42" spans="1:18" ht="15" customHeight="1">
      <c r="A42" s="17" t="s">
        <v>38</v>
      </c>
      <c r="B42" s="17" t="s">
        <v>39</v>
      </c>
      <c r="C42" s="18" t="s">
        <v>257</v>
      </c>
      <c r="D42" s="17" t="s">
        <v>43</v>
      </c>
      <c r="E42" s="17" t="s">
        <v>281</v>
      </c>
      <c r="F42" s="17" t="s">
        <v>45</v>
      </c>
      <c r="G42" s="298"/>
      <c r="H42" s="138"/>
      <c r="I42" s="138"/>
      <c r="J42" s="138"/>
      <c r="K42" s="138"/>
      <c r="L42" s="138"/>
      <c r="M42" s="138"/>
      <c r="N42" s="138"/>
      <c r="O42" s="139"/>
      <c r="P42" s="138"/>
      <c r="Q42" s="107"/>
      <c r="R42" s="107"/>
    </row>
    <row r="43" spans="1:18" ht="15" customHeight="1">
      <c r="A43" s="17" t="s">
        <v>48</v>
      </c>
      <c r="B43" s="17" t="s">
        <v>58</v>
      </c>
      <c r="C43" s="18" t="s">
        <v>260</v>
      </c>
      <c r="D43" s="17" t="s">
        <v>53</v>
      </c>
      <c r="E43" s="17" t="s">
        <v>278</v>
      </c>
      <c r="F43" s="17" t="s">
        <v>97</v>
      </c>
      <c r="G43" s="298"/>
      <c r="H43" s="138"/>
      <c r="I43" s="138"/>
      <c r="J43" s="138"/>
      <c r="K43" s="138"/>
      <c r="L43" s="138"/>
      <c r="M43" s="138"/>
      <c r="N43" s="138"/>
      <c r="O43" s="139"/>
      <c r="P43" s="138"/>
      <c r="Q43" s="107"/>
      <c r="R43" s="107"/>
    </row>
    <row r="44" spans="1:18" ht="15" customHeight="1">
      <c r="A44" s="17" t="s">
        <v>61</v>
      </c>
      <c r="B44" s="17" t="s">
        <v>62</v>
      </c>
      <c r="C44" s="18" t="s">
        <v>243</v>
      </c>
      <c r="D44" s="17" t="s">
        <v>63</v>
      </c>
      <c r="E44" s="17" t="s">
        <v>269</v>
      </c>
      <c r="F44" s="17" t="s">
        <v>64</v>
      </c>
      <c r="G44" s="298"/>
      <c r="H44" s="138"/>
      <c r="I44" s="138"/>
      <c r="J44" s="138"/>
      <c r="K44" s="138"/>
      <c r="L44" s="138"/>
      <c r="M44" s="138"/>
      <c r="N44" s="138"/>
      <c r="O44" s="139"/>
      <c r="P44" s="138"/>
      <c r="Q44" s="107"/>
      <c r="R44" s="107"/>
    </row>
    <row r="45" spans="1:18" ht="15" customHeight="1">
      <c r="A45" s="17" t="s">
        <v>26</v>
      </c>
      <c r="B45" s="17" t="s">
        <v>27</v>
      </c>
      <c r="C45" s="18" t="s">
        <v>255</v>
      </c>
      <c r="D45" s="17" t="s">
        <v>28</v>
      </c>
      <c r="E45" s="17" t="s">
        <v>270</v>
      </c>
      <c r="F45" s="17" t="s">
        <v>118</v>
      </c>
      <c r="G45" s="298"/>
      <c r="H45" s="138"/>
      <c r="I45" s="138"/>
      <c r="J45" s="138"/>
      <c r="K45" s="138"/>
      <c r="L45" s="138"/>
      <c r="M45" s="138"/>
      <c r="N45" s="138"/>
      <c r="O45" s="139"/>
      <c r="P45" s="138"/>
      <c r="Q45" s="107"/>
      <c r="R45" s="107"/>
    </row>
    <row r="46" spans="1:18" ht="15" customHeight="1">
      <c r="A46" s="17" t="s">
        <v>68</v>
      </c>
      <c r="B46" s="17" t="s">
        <v>74</v>
      </c>
      <c r="C46" s="18" t="s">
        <v>282</v>
      </c>
      <c r="D46" s="17" t="s">
        <v>70</v>
      </c>
      <c r="E46" s="17" t="s">
        <v>269</v>
      </c>
      <c r="F46" s="17" t="s">
        <v>71</v>
      </c>
      <c r="G46" s="298"/>
      <c r="H46" s="138"/>
      <c r="I46" s="138"/>
      <c r="J46" s="138"/>
      <c r="K46" s="138"/>
      <c r="L46" s="138"/>
      <c r="M46" s="138"/>
      <c r="N46" s="138"/>
      <c r="O46" s="139"/>
      <c r="P46" s="138"/>
      <c r="Q46" s="107"/>
      <c r="R46" s="107"/>
    </row>
    <row r="47" spans="1:18" ht="15" customHeight="1" thickBot="1">
      <c r="A47" s="30" t="s">
        <v>68</v>
      </c>
      <c r="B47" s="30" t="s">
        <v>69</v>
      </c>
      <c r="C47" s="31" t="s">
        <v>271</v>
      </c>
      <c r="D47" s="30" t="s">
        <v>70</v>
      </c>
      <c r="E47" s="30" t="s">
        <v>269</v>
      </c>
      <c r="F47" s="30" t="s">
        <v>71</v>
      </c>
      <c r="G47" s="299"/>
      <c r="H47" s="140"/>
      <c r="I47" s="140"/>
      <c r="J47" s="140"/>
      <c r="K47" s="140"/>
      <c r="L47" s="140"/>
      <c r="M47" s="140"/>
      <c r="N47" s="140"/>
      <c r="O47" s="141"/>
      <c r="P47" s="140"/>
      <c r="Q47" s="142"/>
      <c r="R47" s="142"/>
    </row>
    <row r="48" spans="1:18" ht="17.45" customHeight="1" thickBot="1">
      <c r="A48" s="283"/>
      <c r="B48" s="284"/>
      <c r="C48" s="284"/>
      <c r="D48" s="284"/>
      <c r="E48" s="284"/>
      <c r="F48" s="284"/>
      <c r="G48" s="284"/>
      <c r="H48" s="284"/>
      <c r="I48" s="284"/>
      <c r="J48" s="284"/>
      <c r="K48" s="284"/>
      <c r="L48" s="284"/>
      <c r="M48" s="284"/>
      <c r="N48" s="284"/>
      <c r="O48" s="284"/>
      <c r="P48" s="284"/>
      <c r="Q48" s="284"/>
      <c r="R48" s="285"/>
    </row>
    <row r="49" spans="1:18" ht="22.15" customHeight="1" thickTop="1" thickBot="1">
      <c r="A49" s="279" t="s">
        <v>6</v>
      </c>
      <c r="B49" s="295"/>
      <c r="C49" s="295"/>
      <c r="D49" s="295"/>
      <c r="E49" s="295"/>
      <c r="F49" s="296"/>
      <c r="G49" s="32">
        <v>46029</v>
      </c>
      <c r="H49" s="278" t="s">
        <v>7</v>
      </c>
      <c r="I49" s="295"/>
      <c r="J49" s="295"/>
      <c r="K49" s="295"/>
      <c r="L49" s="295"/>
      <c r="M49" s="295"/>
      <c r="N49" s="295"/>
      <c r="O49" s="295"/>
      <c r="P49" s="295"/>
      <c r="Q49" s="295"/>
      <c r="R49" s="296"/>
    </row>
    <row r="50" spans="1:18" ht="24" customHeight="1">
      <c r="A50" s="33" t="s">
        <v>8</v>
      </c>
      <c r="B50" s="33" t="s">
        <v>9</v>
      </c>
      <c r="C50" s="34" t="s">
        <v>10</v>
      </c>
      <c r="D50" s="33" t="s">
        <v>11</v>
      </c>
      <c r="E50" s="33" t="s">
        <v>12</v>
      </c>
      <c r="F50" s="35" t="s">
        <v>13</v>
      </c>
      <c r="G50" s="36" t="s">
        <v>14</v>
      </c>
      <c r="H50" s="33" t="s">
        <v>15</v>
      </c>
      <c r="I50" s="37" t="s">
        <v>16</v>
      </c>
      <c r="J50" s="38" t="s">
        <v>17</v>
      </c>
      <c r="K50" s="39" t="s">
        <v>18</v>
      </c>
      <c r="L50" s="38" t="s">
        <v>19</v>
      </c>
      <c r="M50" s="38" t="s">
        <v>20</v>
      </c>
      <c r="N50" s="38" t="s">
        <v>21</v>
      </c>
      <c r="O50" s="33" t="s">
        <v>22</v>
      </c>
      <c r="P50" s="34" t="s">
        <v>23</v>
      </c>
      <c r="Q50" s="38" t="s">
        <v>24</v>
      </c>
      <c r="R50" s="33" t="s">
        <v>25</v>
      </c>
    </row>
    <row r="51" spans="1:18" ht="15" customHeight="1">
      <c r="A51" s="49" t="s">
        <v>61</v>
      </c>
      <c r="B51" s="49" t="s">
        <v>327</v>
      </c>
      <c r="C51" s="50">
        <v>0.46180555555555558</v>
      </c>
      <c r="D51" s="49" t="s">
        <v>63</v>
      </c>
      <c r="E51" s="49" t="s">
        <v>51</v>
      </c>
      <c r="F51" s="49" t="s">
        <v>322</v>
      </c>
      <c r="G51" s="297"/>
      <c r="H51" s="51" t="s">
        <v>328</v>
      </c>
      <c r="I51" s="52">
        <v>2.2200000000000001E-2</v>
      </c>
      <c r="J51" s="53">
        <v>4</v>
      </c>
      <c r="K51" s="54">
        <v>46336</v>
      </c>
      <c r="L51" s="53">
        <v>4</v>
      </c>
      <c r="M51" s="53">
        <v>0</v>
      </c>
      <c r="N51" s="53">
        <v>0</v>
      </c>
      <c r="O51" s="55" t="s">
        <v>326</v>
      </c>
      <c r="P51" s="56">
        <v>0.46180555555555558</v>
      </c>
      <c r="Q51" s="53">
        <v>180</v>
      </c>
      <c r="R51" s="57" t="s">
        <v>329</v>
      </c>
    </row>
    <row r="52" spans="1:18" ht="18">
      <c r="A52" s="292" t="s">
        <v>266</v>
      </c>
      <c r="B52" s="303"/>
      <c r="C52" s="303"/>
      <c r="D52" s="303"/>
      <c r="E52" s="303"/>
      <c r="F52" s="304"/>
      <c r="G52" s="298"/>
      <c r="H52" s="138"/>
      <c r="I52" s="138"/>
      <c r="J52" s="138"/>
      <c r="K52" s="138"/>
      <c r="L52" s="138"/>
      <c r="M52" s="138"/>
      <c r="N52" s="138"/>
      <c r="O52" s="139"/>
      <c r="P52" s="138"/>
      <c r="Q52" s="107"/>
      <c r="R52" s="107"/>
    </row>
    <row r="53" spans="1:18" ht="15" customHeight="1">
      <c r="A53" s="17" t="s">
        <v>38</v>
      </c>
      <c r="B53" s="17" t="s">
        <v>39</v>
      </c>
      <c r="C53" s="18" t="s">
        <v>257</v>
      </c>
      <c r="D53" s="17" t="s">
        <v>40</v>
      </c>
      <c r="E53" s="17" t="s">
        <v>284</v>
      </c>
      <c r="F53" s="17" t="s">
        <v>121</v>
      </c>
      <c r="G53" s="298"/>
      <c r="H53" s="138"/>
      <c r="I53" s="138"/>
      <c r="J53" s="138"/>
      <c r="K53" s="138"/>
      <c r="L53" s="138"/>
      <c r="M53" s="138"/>
      <c r="N53" s="138"/>
      <c r="O53" s="139"/>
      <c r="P53" s="138"/>
      <c r="Q53" s="107"/>
      <c r="R53" s="107"/>
    </row>
    <row r="54" spans="1:18" ht="15" customHeight="1">
      <c r="A54" s="17" t="s">
        <v>48</v>
      </c>
      <c r="B54" s="17" t="s">
        <v>49</v>
      </c>
      <c r="C54" s="18" t="s">
        <v>276</v>
      </c>
      <c r="D54" s="17" t="s">
        <v>50</v>
      </c>
      <c r="E54" s="17" t="s">
        <v>269</v>
      </c>
      <c r="F54" s="17" t="s">
        <v>52</v>
      </c>
      <c r="G54" s="298"/>
      <c r="H54" s="138"/>
      <c r="I54" s="138"/>
      <c r="J54" s="138"/>
      <c r="K54" s="138"/>
      <c r="L54" s="138"/>
      <c r="M54" s="138"/>
      <c r="N54" s="138"/>
      <c r="O54" s="139"/>
      <c r="P54" s="138"/>
      <c r="Q54" s="107"/>
      <c r="R54" s="107"/>
    </row>
    <row r="55" spans="1:18" ht="15" customHeight="1">
      <c r="A55" s="17" t="s">
        <v>38</v>
      </c>
      <c r="B55" s="17" t="s">
        <v>39</v>
      </c>
      <c r="C55" s="18" t="s">
        <v>257</v>
      </c>
      <c r="D55" s="17" t="s">
        <v>43</v>
      </c>
      <c r="E55" s="17" t="s">
        <v>284</v>
      </c>
      <c r="F55" s="17" t="s">
        <v>123</v>
      </c>
      <c r="G55" s="298"/>
      <c r="H55" s="138"/>
      <c r="I55" s="138"/>
      <c r="J55" s="138"/>
      <c r="K55" s="138"/>
      <c r="L55" s="138"/>
      <c r="M55" s="138"/>
      <c r="N55" s="138"/>
      <c r="O55" s="139"/>
      <c r="P55" s="138"/>
      <c r="Q55" s="107"/>
      <c r="R55" s="107"/>
    </row>
    <row r="56" spans="1:18" ht="15" customHeight="1">
      <c r="A56" s="17" t="s">
        <v>48</v>
      </c>
      <c r="B56" s="17" t="s">
        <v>58</v>
      </c>
      <c r="C56" s="18" t="s">
        <v>260</v>
      </c>
      <c r="D56" s="17" t="s">
        <v>50</v>
      </c>
      <c r="E56" s="17" t="s">
        <v>269</v>
      </c>
      <c r="F56" s="17" t="s">
        <v>109</v>
      </c>
      <c r="G56" s="298"/>
      <c r="H56" s="138"/>
      <c r="I56" s="138"/>
      <c r="J56" s="138"/>
      <c r="K56" s="138"/>
      <c r="L56" s="138"/>
      <c r="M56" s="138"/>
      <c r="N56" s="138"/>
      <c r="O56" s="139"/>
      <c r="P56" s="138"/>
      <c r="Q56" s="107"/>
      <c r="R56" s="107"/>
    </row>
    <row r="57" spans="1:18" ht="15" customHeight="1">
      <c r="A57" s="17" t="s">
        <v>48</v>
      </c>
      <c r="B57" s="17" t="s">
        <v>49</v>
      </c>
      <c r="C57" s="18" t="s">
        <v>276</v>
      </c>
      <c r="D57" s="17" t="s">
        <v>53</v>
      </c>
      <c r="E57" s="17" t="s">
        <v>269</v>
      </c>
      <c r="F57" s="17" t="s">
        <v>55</v>
      </c>
      <c r="G57" s="298"/>
      <c r="H57" s="138"/>
      <c r="I57" s="138"/>
      <c r="J57" s="138"/>
      <c r="K57" s="138"/>
      <c r="L57" s="138"/>
      <c r="M57" s="138"/>
      <c r="N57" s="138"/>
      <c r="O57" s="139"/>
      <c r="P57" s="138"/>
      <c r="Q57" s="107"/>
      <c r="R57" s="107"/>
    </row>
    <row r="58" spans="1:18" ht="15" customHeight="1">
      <c r="A58" s="17" t="s">
        <v>68</v>
      </c>
      <c r="B58" s="17" t="s">
        <v>74</v>
      </c>
      <c r="C58" s="18" t="s">
        <v>282</v>
      </c>
      <c r="D58" s="17" t="s">
        <v>70</v>
      </c>
      <c r="E58" s="17" t="s">
        <v>269</v>
      </c>
      <c r="F58" s="17" t="s">
        <v>71</v>
      </c>
      <c r="G58" s="298"/>
      <c r="H58" s="138"/>
      <c r="I58" s="138"/>
      <c r="J58" s="138"/>
      <c r="K58" s="138"/>
      <c r="L58" s="138"/>
      <c r="M58" s="138"/>
      <c r="N58" s="138"/>
      <c r="O58" s="139"/>
      <c r="P58" s="138"/>
      <c r="Q58" s="107"/>
      <c r="R58" s="107"/>
    </row>
    <row r="59" spans="1:18" ht="15" customHeight="1">
      <c r="A59" s="17" t="s">
        <v>68</v>
      </c>
      <c r="B59" s="17" t="s">
        <v>76</v>
      </c>
      <c r="C59" s="18" t="s">
        <v>272</v>
      </c>
      <c r="D59" s="17" t="s">
        <v>70</v>
      </c>
      <c r="E59" s="17" t="s">
        <v>269</v>
      </c>
      <c r="F59" s="17" t="s">
        <v>71</v>
      </c>
      <c r="G59" s="298"/>
      <c r="H59" s="138"/>
      <c r="I59" s="138"/>
      <c r="J59" s="138"/>
      <c r="K59" s="138"/>
      <c r="L59" s="138"/>
      <c r="M59" s="138"/>
      <c r="N59" s="138"/>
      <c r="O59" s="139"/>
      <c r="P59" s="138"/>
      <c r="Q59" s="107"/>
      <c r="R59" s="107"/>
    </row>
    <row r="60" spans="1:18" ht="15" customHeight="1">
      <c r="A60" s="17" t="s">
        <v>68</v>
      </c>
      <c r="B60" s="17" t="s">
        <v>72</v>
      </c>
      <c r="C60" s="18" t="s">
        <v>273</v>
      </c>
      <c r="D60" s="17" t="s">
        <v>70</v>
      </c>
      <c r="E60" s="17" t="s">
        <v>269</v>
      </c>
      <c r="F60" s="17" t="s">
        <v>71</v>
      </c>
      <c r="G60" s="298"/>
      <c r="H60" s="138"/>
      <c r="I60" s="138"/>
      <c r="J60" s="138"/>
      <c r="K60" s="138"/>
      <c r="L60" s="138"/>
      <c r="M60" s="138"/>
      <c r="N60" s="138"/>
      <c r="O60" s="139"/>
      <c r="P60" s="138"/>
      <c r="Q60" s="107"/>
      <c r="R60" s="107"/>
    </row>
    <row r="61" spans="1:18" ht="15" customHeight="1">
      <c r="A61" s="17" t="s">
        <v>68</v>
      </c>
      <c r="B61" s="17" t="s">
        <v>73</v>
      </c>
      <c r="C61" s="18" t="s">
        <v>274</v>
      </c>
      <c r="D61" s="17" t="s">
        <v>70</v>
      </c>
      <c r="E61" s="17" t="s">
        <v>269</v>
      </c>
      <c r="F61" s="17" t="s">
        <v>71</v>
      </c>
      <c r="G61" s="298"/>
      <c r="H61" s="138"/>
      <c r="I61" s="138"/>
      <c r="J61" s="138"/>
      <c r="K61" s="138"/>
      <c r="L61" s="138"/>
      <c r="M61" s="138"/>
      <c r="N61" s="138"/>
      <c r="O61" s="139"/>
      <c r="P61" s="138"/>
      <c r="Q61" s="107"/>
      <c r="R61" s="107"/>
    </row>
    <row r="62" spans="1:18" ht="15" customHeight="1" thickBot="1">
      <c r="A62" s="30" t="s">
        <v>48</v>
      </c>
      <c r="B62" s="30" t="s">
        <v>58</v>
      </c>
      <c r="C62" s="31" t="s">
        <v>260</v>
      </c>
      <c r="D62" s="30" t="s">
        <v>53</v>
      </c>
      <c r="E62" s="30" t="s">
        <v>269</v>
      </c>
      <c r="F62" s="30" t="s">
        <v>110</v>
      </c>
      <c r="G62" s="299"/>
      <c r="H62" s="140"/>
      <c r="I62" s="140"/>
      <c r="J62" s="140"/>
      <c r="K62" s="140"/>
      <c r="L62" s="140"/>
      <c r="M62" s="140"/>
      <c r="N62" s="140"/>
      <c r="O62" s="141"/>
      <c r="P62" s="140"/>
      <c r="Q62" s="142"/>
      <c r="R62" s="142"/>
    </row>
    <row r="63" spans="1:18" ht="17.45" customHeight="1" thickBot="1">
      <c r="A63" s="283"/>
      <c r="B63" s="284"/>
      <c r="C63" s="284"/>
      <c r="D63" s="284"/>
      <c r="E63" s="284"/>
      <c r="F63" s="284"/>
      <c r="G63" s="284"/>
      <c r="H63" s="284"/>
      <c r="I63" s="284"/>
      <c r="J63" s="284"/>
      <c r="K63" s="284"/>
      <c r="L63" s="284"/>
      <c r="M63" s="284"/>
      <c r="N63" s="284"/>
      <c r="O63" s="284"/>
      <c r="P63" s="284"/>
      <c r="Q63" s="284"/>
      <c r="R63" s="285"/>
    </row>
    <row r="64" spans="1:18" ht="22.15" customHeight="1" thickTop="1" thickBot="1">
      <c r="A64" s="279" t="s">
        <v>6</v>
      </c>
      <c r="B64" s="295"/>
      <c r="C64" s="295"/>
      <c r="D64" s="295"/>
      <c r="E64" s="295"/>
      <c r="F64" s="296"/>
      <c r="G64" s="32">
        <v>46032</v>
      </c>
      <c r="H64" s="278" t="s">
        <v>7</v>
      </c>
      <c r="I64" s="295"/>
      <c r="J64" s="295"/>
      <c r="K64" s="295"/>
      <c r="L64" s="295"/>
      <c r="M64" s="295"/>
      <c r="N64" s="295"/>
      <c r="O64" s="295"/>
      <c r="P64" s="295"/>
      <c r="Q64" s="295"/>
      <c r="R64" s="296"/>
    </row>
    <row r="65" spans="1:18" ht="24" customHeight="1">
      <c r="A65" s="33" t="s">
        <v>8</v>
      </c>
      <c r="B65" s="33" t="s">
        <v>9</v>
      </c>
      <c r="C65" s="34" t="s">
        <v>10</v>
      </c>
      <c r="D65" s="33" t="s">
        <v>11</v>
      </c>
      <c r="E65" s="33" t="s">
        <v>12</v>
      </c>
      <c r="F65" s="35" t="s">
        <v>13</v>
      </c>
      <c r="G65" s="36" t="s">
        <v>14</v>
      </c>
      <c r="H65" s="33" t="s">
        <v>15</v>
      </c>
      <c r="I65" s="37" t="s">
        <v>16</v>
      </c>
      <c r="J65" s="38" t="s">
        <v>17</v>
      </c>
      <c r="K65" s="39" t="s">
        <v>18</v>
      </c>
      <c r="L65" s="38" t="s">
        <v>19</v>
      </c>
      <c r="M65" s="38" t="s">
        <v>20</v>
      </c>
      <c r="N65" s="38" t="s">
        <v>21</v>
      </c>
      <c r="O65" s="33" t="s">
        <v>22</v>
      </c>
      <c r="P65" s="34" t="s">
        <v>23</v>
      </c>
      <c r="Q65" s="38" t="s">
        <v>24</v>
      </c>
      <c r="R65" s="33" t="s">
        <v>25</v>
      </c>
    </row>
    <row r="66" spans="1:18" ht="15" customHeight="1">
      <c r="A66" s="40" t="s">
        <v>61</v>
      </c>
      <c r="B66" s="40" t="s">
        <v>321</v>
      </c>
      <c r="C66" s="41">
        <v>0.80208333333333337</v>
      </c>
      <c r="D66" s="40" t="s">
        <v>63</v>
      </c>
      <c r="E66" s="40" t="s">
        <v>51</v>
      </c>
      <c r="F66" s="40" t="s">
        <v>322</v>
      </c>
      <c r="G66" s="297"/>
      <c r="H66" s="42" t="s">
        <v>323</v>
      </c>
      <c r="I66" s="43">
        <v>5.5999999999999999E-3</v>
      </c>
      <c r="J66" s="44">
        <v>1</v>
      </c>
      <c r="K66" s="45">
        <v>46325</v>
      </c>
      <c r="L66" s="44">
        <v>1</v>
      </c>
      <c r="M66" s="44">
        <v>0</v>
      </c>
      <c r="N66" s="44">
        <v>0</v>
      </c>
      <c r="O66" s="46" t="s">
        <v>326</v>
      </c>
      <c r="P66" s="47">
        <v>0.80208333333333337</v>
      </c>
      <c r="Q66" s="44">
        <v>180</v>
      </c>
      <c r="R66" s="48" t="s">
        <v>302</v>
      </c>
    </row>
    <row r="67" spans="1:18" ht="18">
      <c r="A67" s="292" t="s">
        <v>266</v>
      </c>
      <c r="B67" s="303"/>
      <c r="C67" s="303"/>
      <c r="D67" s="303"/>
      <c r="E67" s="303"/>
      <c r="F67" s="304"/>
      <c r="G67" s="298"/>
      <c r="H67" s="138"/>
      <c r="I67" s="138"/>
      <c r="J67" s="138"/>
      <c r="K67" s="138"/>
      <c r="L67" s="138"/>
      <c r="M67" s="138"/>
      <c r="N67" s="138"/>
      <c r="O67" s="139"/>
      <c r="P67" s="138"/>
      <c r="Q67" s="107"/>
      <c r="R67" s="107"/>
    </row>
    <row r="68" spans="1:18" ht="15" customHeight="1">
      <c r="A68" s="17" t="s">
        <v>38</v>
      </c>
      <c r="B68" s="17" t="s">
        <v>87</v>
      </c>
      <c r="C68" s="18" t="s">
        <v>280</v>
      </c>
      <c r="D68" s="17" t="s">
        <v>40</v>
      </c>
      <c r="E68" s="17" t="s">
        <v>268</v>
      </c>
      <c r="F68" s="17" t="s">
        <v>88</v>
      </c>
      <c r="G68" s="298"/>
      <c r="H68" s="138"/>
      <c r="I68" s="138"/>
      <c r="J68" s="138"/>
      <c r="K68" s="138"/>
      <c r="L68" s="138"/>
      <c r="M68" s="138"/>
      <c r="N68" s="138"/>
      <c r="O68" s="139"/>
      <c r="P68" s="138"/>
      <c r="Q68" s="107"/>
      <c r="R68" s="107"/>
    </row>
    <row r="69" spans="1:18" ht="15" customHeight="1">
      <c r="A69" s="17" t="s">
        <v>38</v>
      </c>
      <c r="B69" s="17" t="s">
        <v>39</v>
      </c>
      <c r="C69" s="18" t="s">
        <v>257</v>
      </c>
      <c r="D69" s="17" t="s">
        <v>40</v>
      </c>
      <c r="E69" s="17" t="s">
        <v>330</v>
      </c>
      <c r="F69" s="17" t="s">
        <v>78</v>
      </c>
      <c r="G69" s="298"/>
      <c r="H69" s="138"/>
      <c r="I69" s="138"/>
      <c r="J69" s="138"/>
      <c r="K69" s="138"/>
      <c r="L69" s="138"/>
      <c r="M69" s="138"/>
      <c r="N69" s="138"/>
      <c r="O69" s="139"/>
      <c r="P69" s="138"/>
      <c r="Q69" s="107"/>
      <c r="R69" s="107"/>
    </row>
    <row r="70" spans="1:18" ht="15" customHeight="1">
      <c r="A70" s="17" t="s">
        <v>48</v>
      </c>
      <c r="B70" s="17" t="s">
        <v>58</v>
      </c>
      <c r="C70" s="18" t="s">
        <v>260</v>
      </c>
      <c r="D70" s="17" t="s">
        <v>50</v>
      </c>
      <c r="E70" s="17" t="s">
        <v>269</v>
      </c>
      <c r="F70" s="17" t="s">
        <v>96</v>
      </c>
      <c r="G70" s="298"/>
      <c r="H70" s="138"/>
      <c r="I70" s="138"/>
      <c r="J70" s="138"/>
      <c r="K70" s="138"/>
      <c r="L70" s="138"/>
      <c r="M70" s="138"/>
      <c r="N70" s="138"/>
      <c r="O70" s="139"/>
      <c r="P70" s="138"/>
      <c r="Q70" s="107"/>
      <c r="R70" s="107"/>
    </row>
    <row r="71" spans="1:18" ht="15" customHeight="1">
      <c r="A71" s="17" t="s">
        <v>38</v>
      </c>
      <c r="B71" s="17" t="s">
        <v>87</v>
      </c>
      <c r="C71" s="18" t="s">
        <v>280</v>
      </c>
      <c r="D71" s="17" t="s">
        <v>43</v>
      </c>
      <c r="E71" s="17" t="s">
        <v>268</v>
      </c>
      <c r="F71" s="17" t="s">
        <v>89</v>
      </c>
      <c r="G71" s="298"/>
      <c r="H71" s="138"/>
      <c r="I71" s="138"/>
      <c r="J71" s="138"/>
      <c r="K71" s="138"/>
      <c r="L71" s="138"/>
      <c r="M71" s="138"/>
      <c r="N71" s="138"/>
      <c r="O71" s="139"/>
      <c r="P71" s="138"/>
      <c r="Q71" s="107"/>
      <c r="R71" s="107"/>
    </row>
    <row r="72" spans="1:18" ht="15" customHeight="1">
      <c r="A72" s="17" t="s">
        <v>26</v>
      </c>
      <c r="B72" s="17" t="s">
        <v>27</v>
      </c>
      <c r="C72" s="18" t="s">
        <v>255</v>
      </c>
      <c r="D72" s="17" t="s">
        <v>28</v>
      </c>
      <c r="E72" s="17" t="s">
        <v>270</v>
      </c>
      <c r="F72" s="17" t="s">
        <v>89</v>
      </c>
      <c r="G72" s="298"/>
      <c r="H72" s="138"/>
      <c r="I72" s="138"/>
      <c r="J72" s="138"/>
      <c r="K72" s="138"/>
      <c r="L72" s="138"/>
      <c r="M72" s="138"/>
      <c r="N72" s="138"/>
      <c r="O72" s="139"/>
      <c r="P72" s="138"/>
      <c r="Q72" s="107"/>
      <c r="R72" s="107"/>
    </row>
    <row r="73" spans="1:18" ht="15" customHeight="1">
      <c r="A73" s="17" t="s">
        <v>38</v>
      </c>
      <c r="B73" s="17" t="s">
        <v>39</v>
      </c>
      <c r="C73" s="18" t="s">
        <v>257</v>
      </c>
      <c r="D73" s="17" t="s">
        <v>43</v>
      </c>
      <c r="E73" s="17" t="s">
        <v>330</v>
      </c>
      <c r="F73" s="17" t="s">
        <v>79</v>
      </c>
      <c r="G73" s="298"/>
      <c r="H73" s="138"/>
      <c r="I73" s="138"/>
      <c r="J73" s="138"/>
      <c r="K73" s="138"/>
      <c r="L73" s="138"/>
      <c r="M73" s="138"/>
      <c r="N73" s="138"/>
      <c r="O73" s="139"/>
      <c r="P73" s="138"/>
      <c r="Q73" s="107"/>
      <c r="R73" s="107"/>
    </row>
    <row r="74" spans="1:18" ht="15" customHeight="1">
      <c r="A74" s="17" t="s">
        <v>26</v>
      </c>
      <c r="B74" s="17" t="s">
        <v>27</v>
      </c>
      <c r="C74" s="18" t="s">
        <v>255</v>
      </c>
      <c r="D74" s="17" t="s">
        <v>31</v>
      </c>
      <c r="E74" s="17" t="s">
        <v>270</v>
      </c>
      <c r="F74" s="17" t="s">
        <v>138</v>
      </c>
      <c r="G74" s="298"/>
      <c r="H74" s="138"/>
      <c r="I74" s="138"/>
      <c r="J74" s="138"/>
      <c r="K74" s="138"/>
      <c r="L74" s="138"/>
      <c r="M74" s="138"/>
      <c r="N74" s="138"/>
      <c r="O74" s="139"/>
      <c r="P74" s="138"/>
      <c r="Q74" s="107"/>
      <c r="R74" s="107"/>
    </row>
    <row r="75" spans="1:18" ht="15" customHeight="1">
      <c r="A75" s="17" t="s">
        <v>48</v>
      </c>
      <c r="B75" s="17" t="s">
        <v>58</v>
      </c>
      <c r="C75" s="18" t="s">
        <v>260</v>
      </c>
      <c r="D75" s="17" t="s">
        <v>53</v>
      </c>
      <c r="E75" s="17" t="s">
        <v>269</v>
      </c>
      <c r="F75" s="17" t="s">
        <v>97</v>
      </c>
      <c r="G75" s="298"/>
      <c r="H75" s="138"/>
      <c r="I75" s="138"/>
      <c r="J75" s="138"/>
      <c r="K75" s="138"/>
      <c r="L75" s="138"/>
      <c r="M75" s="138"/>
      <c r="N75" s="138"/>
      <c r="O75" s="139"/>
      <c r="P75" s="138"/>
      <c r="Q75" s="107"/>
      <c r="R75" s="107"/>
    </row>
    <row r="76" spans="1:18" ht="15" customHeight="1">
      <c r="A76" s="17" t="s">
        <v>61</v>
      </c>
      <c r="B76" s="17" t="s">
        <v>62</v>
      </c>
      <c r="C76" s="18" t="s">
        <v>235</v>
      </c>
      <c r="D76" s="17" t="s">
        <v>63</v>
      </c>
      <c r="E76" s="17" t="s">
        <v>269</v>
      </c>
      <c r="F76" s="17" t="s">
        <v>64</v>
      </c>
      <c r="G76" s="298"/>
      <c r="H76" s="138"/>
      <c r="I76" s="138"/>
      <c r="J76" s="138"/>
      <c r="K76" s="138"/>
      <c r="L76" s="138"/>
      <c r="M76" s="138"/>
      <c r="N76" s="138"/>
      <c r="O76" s="139"/>
      <c r="P76" s="138"/>
      <c r="Q76" s="107"/>
      <c r="R76" s="107"/>
    </row>
    <row r="77" spans="1:18" ht="15" customHeight="1" thickBot="1">
      <c r="A77" s="30" t="s">
        <v>48</v>
      </c>
      <c r="B77" s="30" t="s">
        <v>49</v>
      </c>
      <c r="C77" s="31" t="s">
        <v>258</v>
      </c>
      <c r="D77" s="30" t="s">
        <v>50</v>
      </c>
      <c r="E77" s="30" t="s">
        <v>269</v>
      </c>
      <c r="F77" s="30" t="s">
        <v>109</v>
      </c>
      <c r="G77" s="299"/>
      <c r="H77" s="140"/>
      <c r="I77" s="140"/>
      <c r="J77" s="140"/>
      <c r="K77" s="140"/>
      <c r="L77" s="140"/>
      <c r="M77" s="140"/>
      <c r="N77" s="140"/>
      <c r="O77" s="141"/>
      <c r="P77" s="140"/>
      <c r="Q77" s="142"/>
      <c r="R77" s="142"/>
    </row>
    <row r="78" spans="1:18" ht="17.45" customHeight="1" thickBot="1">
      <c r="A78" s="283"/>
      <c r="B78" s="284"/>
      <c r="C78" s="284"/>
      <c r="D78" s="284"/>
      <c r="E78" s="284"/>
      <c r="F78" s="284"/>
      <c r="G78" s="284"/>
      <c r="H78" s="284"/>
      <c r="I78" s="284"/>
      <c r="J78" s="284"/>
      <c r="K78" s="284"/>
      <c r="L78" s="284"/>
      <c r="M78" s="284"/>
      <c r="N78" s="284"/>
      <c r="O78" s="284"/>
      <c r="P78" s="284"/>
      <c r="Q78" s="284"/>
      <c r="R78" s="285"/>
    </row>
    <row r="79" spans="1:18" ht="22.15" customHeight="1" thickTop="1" thickBot="1">
      <c r="A79" s="279" t="s">
        <v>6</v>
      </c>
      <c r="B79" s="295"/>
      <c r="C79" s="295"/>
      <c r="D79" s="295"/>
      <c r="E79" s="295"/>
      <c r="F79" s="296"/>
      <c r="G79" s="32">
        <v>46034</v>
      </c>
      <c r="H79" s="278" t="s">
        <v>7</v>
      </c>
      <c r="I79" s="295"/>
      <c r="J79" s="295"/>
      <c r="K79" s="295"/>
      <c r="L79" s="295"/>
      <c r="M79" s="295"/>
      <c r="N79" s="295"/>
      <c r="O79" s="295"/>
      <c r="P79" s="295"/>
      <c r="Q79" s="295"/>
      <c r="R79" s="296"/>
    </row>
    <row r="80" spans="1:18" ht="24" customHeight="1">
      <c r="A80" s="33" t="s">
        <v>8</v>
      </c>
      <c r="B80" s="33" t="s">
        <v>9</v>
      </c>
      <c r="C80" s="34" t="s">
        <v>10</v>
      </c>
      <c r="D80" s="33" t="s">
        <v>11</v>
      </c>
      <c r="E80" s="33" t="s">
        <v>12</v>
      </c>
      <c r="F80" s="35" t="s">
        <v>13</v>
      </c>
      <c r="G80" s="36" t="s">
        <v>14</v>
      </c>
      <c r="H80" s="33" t="s">
        <v>15</v>
      </c>
      <c r="I80" s="37" t="s">
        <v>16</v>
      </c>
      <c r="J80" s="38" t="s">
        <v>17</v>
      </c>
      <c r="K80" s="39" t="s">
        <v>18</v>
      </c>
      <c r="L80" s="38" t="s">
        <v>19</v>
      </c>
      <c r="M80" s="38" t="s">
        <v>20</v>
      </c>
      <c r="N80" s="38" t="s">
        <v>21</v>
      </c>
      <c r="O80" s="33" t="s">
        <v>22</v>
      </c>
      <c r="P80" s="34" t="s">
        <v>23</v>
      </c>
      <c r="Q80" s="38" t="s">
        <v>24</v>
      </c>
      <c r="R80" s="33" t="s">
        <v>25</v>
      </c>
    </row>
    <row r="81" spans="1:18" ht="15" customHeight="1">
      <c r="A81" s="87" t="s">
        <v>61</v>
      </c>
      <c r="B81" s="87" t="s">
        <v>321</v>
      </c>
      <c r="C81" s="88">
        <v>0.64583333333333337</v>
      </c>
      <c r="D81" s="87" t="s">
        <v>63</v>
      </c>
      <c r="E81" s="87" t="s">
        <v>51</v>
      </c>
      <c r="F81" s="87" t="s">
        <v>322</v>
      </c>
      <c r="G81" s="297"/>
      <c r="H81" s="89" t="s">
        <v>323</v>
      </c>
      <c r="I81" s="90">
        <v>1.11E-2</v>
      </c>
      <c r="J81" s="91">
        <v>2</v>
      </c>
      <c r="K81" s="92">
        <v>46307</v>
      </c>
      <c r="L81" s="91">
        <v>2</v>
      </c>
      <c r="M81" s="91">
        <v>0</v>
      </c>
      <c r="N81" s="91">
        <v>0</v>
      </c>
      <c r="O81" s="93" t="s">
        <v>326</v>
      </c>
      <c r="P81" s="94">
        <v>0.64583333333333337</v>
      </c>
      <c r="Q81" s="91">
        <v>180</v>
      </c>
      <c r="R81" s="95" t="s">
        <v>298</v>
      </c>
    </row>
    <row r="82" spans="1:18" ht="18">
      <c r="A82" s="292" t="s">
        <v>266</v>
      </c>
      <c r="B82" s="303"/>
      <c r="C82" s="303"/>
      <c r="D82" s="303"/>
      <c r="E82" s="303"/>
      <c r="F82" s="304"/>
      <c r="G82" s="298"/>
      <c r="H82" s="138"/>
      <c r="I82" s="138"/>
      <c r="J82" s="138"/>
      <c r="K82" s="138"/>
      <c r="L82" s="138"/>
      <c r="M82" s="138"/>
      <c r="N82" s="138"/>
      <c r="O82" s="139"/>
      <c r="P82" s="138"/>
      <c r="Q82" s="107"/>
      <c r="R82" s="107"/>
    </row>
    <row r="83" spans="1:18" ht="15" customHeight="1">
      <c r="A83" s="17" t="s">
        <v>38</v>
      </c>
      <c r="B83" s="17" t="s">
        <v>39</v>
      </c>
      <c r="C83" s="18" t="s">
        <v>257</v>
      </c>
      <c r="D83" s="17" t="s">
        <v>40</v>
      </c>
      <c r="E83" s="17" t="s">
        <v>331</v>
      </c>
      <c r="F83" s="17" t="s">
        <v>78</v>
      </c>
      <c r="G83" s="298"/>
      <c r="H83" s="138"/>
      <c r="I83" s="138"/>
      <c r="J83" s="138"/>
      <c r="K83" s="138"/>
      <c r="L83" s="138"/>
      <c r="M83" s="138"/>
      <c r="N83" s="138"/>
      <c r="O83" s="139"/>
      <c r="P83" s="138"/>
      <c r="Q83" s="107"/>
      <c r="R83" s="107"/>
    </row>
    <row r="84" spans="1:18" ht="15" customHeight="1">
      <c r="A84" s="17" t="s">
        <v>38</v>
      </c>
      <c r="B84" s="17" t="s">
        <v>87</v>
      </c>
      <c r="C84" s="18" t="s">
        <v>280</v>
      </c>
      <c r="D84" s="17" t="s">
        <v>40</v>
      </c>
      <c r="E84" s="17" t="s">
        <v>268</v>
      </c>
      <c r="F84" s="17" t="s">
        <v>78</v>
      </c>
      <c r="G84" s="298"/>
      <c r="H84" s="138"/>
      <c r="I84" s="138"/>
      <c r="J84" s="138"/>
      <c r="K84" s="138"/>
      <c r="L84" s="138"/>
      <c r="M84" s="138"/>
      <c r="N84" s="138"/>
      <c r="O84" s="139"/>
      <c r="P84" s="138"/>
      <c r="Q84" s="107"/>
      <c r="R84" s="107"/>
    </row>
    <row r="85" spans="1:18" ht="15" customHeight="1">
      <c r="A85" s="17" t="s">
        <v>26</v>
      </c>
      <c r="B85" s="17" t="s">
        <v>27</v>
      </c>
      <c r="C85" s="18" t="s">
        <v>255</v>
      </c>
      <c r="D85" s="17" t="s">
        <v>28</v>
      </c>
      <c r="E85" s="17" t="s">
        <v>270</v>
      </c>
      <c r="F85" s="17" t="s">
        <v>149</v>
      </c>
      <c r="G85" s="298"/>
      <c r="H85" s="138"/>
      <c r="I85" s="138"/>
      <c r="J85" s="138"/>
      <c r="K85" s="138"/>
      <c r="L85" s="138"/>
      <c r="M85" s="138"/>
      <c r="N85" s="138"/>
      <c r="O85" s="139"/>
      <c r="P85" s="138"/>
      <c r="Q85" s="107"/>
      <c r="R85" s="107"/>
    </row>
    <row r="86" spans="1:18" ht="15" customHeight="1">
      <c r="A86" s="17" t="s">
        <v>38</v>
      </c>
      <c r="B86" s="17" t="s">
        <v>39</v>
      </c>
      <c r="C86" s="18" t="s">
        <v>257</v>
      </c>
      <c r="D86" s="17" t="s">
        <v>43</v>
      </c>
      <c r="E86" s="17" t="s">
        <v>331</v>
      </c>
      <c r="F86" s="17" t="s">
        <v>79</v>
      </c>
      <c r="G86" s="298"/>
      <c r="H86" s="138"/>
      <c r="I86" s="138"/>
      <c r="J86" s="138"/>
      <c r="K86" s="138"/>
      <c r="L86" s="138"/>
      <c r="M86" s="138"/>
      <c r="N86" s="138"/>
      <c r="O86" s="139"/>
      <c r="P86" s="138"/>
      <c r="Q86" s="107"/>
      <c r="R86" s="107"/>
    </row>
    <row r="87" spans="1:18" ht="15" customHeight="1">
      <c r="A87" s="17" t="s">
        <v>38</v>
      </c>
      <c r="B87" s="17" t="s">
        <v>87</v>
      </c>
      <c r="C87" s="18" t="s">
        <v>280</v>
      </c>
      <c r="D87" s="17" t="s">
        <v>43</v>
      </c>
      <c r="E87" s="17" t="s">
        <v>268</v>
      </c>
      <c r="F87" s="17" t="s">
        <v>79</v>
      </c>
      <c r="G87" s="298"/>
      <c r="H87" s="138"/>
      <c r="I87" s="138"/>
      <c r="J87" s="138"/>
      <c r="K87" s="138"/>
      <c r="L87" s="138"/>
      <c r="M87" s="138"/>
      <c r="N87" s="138"/>
      <c r="O87" s="139"/>
      <c r="P87" s="138"/>
      <c r="Q87" s="107"/>
      <c r="R87" s="107"/>
    </row>
    <row r="88" spans="1:18" ht="15" customHeight="1">
      <c r="A88" s="17" t="s">
        <v>26</v>
      </c>
      <c r="B88" s="17" t="s">
        <v>27</v>
      </c>
      <c r="C88" s="18" t="s">
        <v>255</v>
      </c>
      <c r="D88" s="17" t="s">
        <v>31</v>
      </c>
      <c r="E88" s="17" t="s">
        <v>270</v>
      </c>
      <c r="F88" s="17" t="s">
        <v>133</v>
      </c>
      <c r="G88" s="298"/>
      <c r="H88" s="138"/>
      <c r="I88" s="138"/>
      <c r="J88" s="138"/>
      <c r="K88" s="138"/>
      <c r="L88" s="138"/>
      <c r="M88" s="138"/>
      <c r="N88" s="138"/>
      <c r="O88" s="139"/>
      <c r="P88" s="138"/>
      <c r="Q88" s="107"/>
      <c r="R88" s="107"/>
    </row>
    <row r="89" spans="1:18" ht="15" customHeight="1">
      <c r="A89" s="17" t="s">
        <v>61</v>
      </c>
      <c r="B89" s="17" t="s">
        <v>111</v>
      </c>
      <c r="C89" s="18" t="s">
        <v>241</v>
      </c>
      <c r="D89" s="17" t="s">
        <v>63</v>
      </c>
      <c r="E89" s="17" t="s">
        <v>269</v>
      </c>
      <c r="F89" s="17" t="s">
        <v>64</v>
      </c>
      <c r="G89" s="298"/>
      <c r="H89" s="138"/>
      <c r="I89" s="138"/>
      <c r="J89" s="138"/>
      <c r="K89" s="138"/>
      <c r="L89" s="138"/>
      <c r="M89" s="138"/>
      <c r="N89" s="138"/>
      <c r="O89" s="139"/>
      <c r="P89" s="138"/>
      <c r="Q89" s="107"/>
      <c r="R89" s="107"/>
    </row>
    <row r="90" spans="1:18" ht="15" customHeight="1">
      <c r="A90" s="17" t="s">
        <v>26</v>
      </c>
      <c r="B90" s="17" t="s">
        <v>27</v>
      </c>
      <c r="C90" s="18" t="s">
        <v>255</v>
      </c>
      <c r="D90" s="17" t="s">
        <v>34</v>
      </c>
      <c r="E90" s="17" t="s">
        <v>270</v>
      </c>
      <c r="F90" s="17" t="s">
        <v>150</v>
      </c>
      <c r="G90" s="298"/>
      <c r="H90" s="138"/>
      <c r="I90" s="138"/>
      <c r="J90" s="138"/>
      <c r="K90" s="138"/>
      <c r="L90" s="138"/>
      <c r="M90" s="138"/>
      <c r="N90" s="138"/>
      <c r="O90" s="139"/>
      <c r="P90" s="138"/>
      <c r="Q90" s="107"/>
      <c r="R90" s="107"/>
    </row>
    <row r="91" spans="1:18" ht="15" customHeight="1">
      <c r="A91" s="17" t="s">
        <v>68</v>
      </c>
      <c r="B91" s="17" t="s">
        <v>74</v>
      </c>
      <c r="C91" s="18" t="s">
        <v>282</v>
      </c>
      <c r="D91" s="17" t="s">
        <v>70</v>
      </c>
      <c r="E91" s="17" t="s">
        <v>269</v>
      </c>
      <c r="F91" s="17" t="s">
        <v>71</v>
      </c>
      <c r="G91" s="298"/>
      <c r="H91" s="138"/>
      <c r="I91" s="138"/>
      <c r="J91" s="138"/>
      <c r="K91" s="138"/>
      <c r="L91" s="138"/>
      <c r="M91" s="138"/>
      <c r="N91" s="138"/>
      <c r="O91" s="139"/>
      <c r="P91" s="138"/>
      <c r="Q91" s="107"/>
      <c r="R91" s="107"/>
    </row>
    <row r="92" spans="1:18" ht="15" customHeight="1" thickBot="1">
      <c r="A92" s="30" t="s">
        <v>68</v>
      </c>
      <c r="B92" s="30" t="s">
        <v>69</v>
      </c>
      <c r="C92" s="31" t="s">
        <v>271</v>
      </c>
      <c r="D92" s="30" t="s">
        <v>70</v>
      </c>
      <c r="E92" s="30" t="s">
        <v>269</v>
      </c>
      <c r="F92" s="30" t="s">
        <v>71</v>
      </c>
      <c r="G92" s="299"/>
      <c r="H92" s="140"/>
      <c r="I92" s="140"/>
      <c r="J92" s="140"/>
      <c r="K92" s="140"/>
      <c r="L92" s="140"/>
      <c r="M92" s="140"/>
      <c r="N92" s="140"/>
      <c r="O92" s="141"/>
      <c r="P92" s="140"/>
      <c r="Q92" s="142"/>
      <c r="R92" s="142"/>
    </row>
    <row r="93" spans="1:18" ht="17.45" customHeight="1" thickBot="1">
      <c r="A93" s="283"/>
      <c r="B93" s="284"/>
      <c r="C93" s="284"/>
      <c r="D93" s="284"/>
      <c r="E93" s="284"/>
      <c r="F93" s="284"/>
      <c r="G93" s="284"/>
      <c r="H93" s="284"/>
      <c r="I93" s="284"/>
      <c r="J93" s="284"/>
      <c r="K93" s="284"/>
      <c r="L93" s="284"/>
      <c r="M93" s="284"/>
      <c r="N93" s="284"/>
      <c r="O93" s="284"/>
      <c r="P93" s="284"/>
      <c r="Q93" s="284"/>
      <c r="R93" s="285"/>
    </row>
    <row r="94" spans="1:18" ht="22.15" customHeight="1" thickTop="1" thickBot="1">
      <c r="A94" s="279" t="s">
        <v>6</v>
      </c>
      <c r="B94" s="295"/>
      <c r="C94" s="295"/>
      <c r="D94" s="295"/>
      <c r="E94" s="295"/>
      <c r="F94" s="296"/>
      <c r="G94" s="32">
        <v>46035</v>
      </c>
      <c r="H94" s="278" t="s">
        <v>7</v>
      </c>
      <c r="I94" s="295"/>
      <c r="J94" s="295"/>
      <c r="K94" s="295"/>
      <c r="L94" s="295"/>
      <c r="M94" s="295"/>
      <c r="N94" s="295"/>
      <c r="O94" s="295"/>
      <c r="P94" s="295"/>
      <c r="Q94" s="295"/>
      <c r="R94" s="296"/>
    </row>
    <row r="95" spans="1:18" ht="24" customHeight="1">
      <c r="A95" s="33" t="s">
        <v>8</v>
      </c>
      <c r="B95" s="33" t="s">
        <v>9</v>
      </c>
      <c r="C95" s="34" t="s">
        <v>10</v>
      </c>
      <c r="D95" s="33" t="s">
        <v>11</v>
      </c>
      <c r="E95" s="33" t="s">
        <v>12</v>
      </c>
      <c r="F95" s="35" t="s">
        <v>13</v>
      </c>
      <c r="G95" s="36" t="s">
        <v>14</v>
      </c>
      <c r="H95" s="33" t="s">
        <v>15</v>
      </c>
      <c r="I95" s="37" t="s">
        <v>16</v>
      </c>
      <c r="J95" s="38" t="s">
        <v>17</v>
      </c>
      <c r="K95" s="39" t="s">
        <v>18</v>
      </c>
      <c r="L95" s="38" t="s">
        <v>19</v>
      </c>
      <c r="M95" s="38" t="s">
        <v>20</v>
      </c>
      <c r="N95" s="38" t="s">
        <v>21</v>
      </c>
      <c r="O95" s="33" t="s">
        <v>22</v>
      </c>
      <c r="P95" s="34" t="s">
        <v>23</v>
      </c>
      <c r="Q95" s="38" t="s">
        <v>24</v>
      </c>
      <c r="R95" s="33" t="s">
        <v>25</v>
      </c>
    </row>
    <row r="96" spans="1:18" ht="15" customHeight="1">
      <c r="A96" s="21" t="s">
        <v>61</v>
      </c>
      <c r="B96" s="21" t="s">
        <v>321</v>
      </c>
      <c r="C96" s="22">
        <v>0.125</v>
      </c>
      <c r="D96" s="21" t="s">
        <v>63</v>
      </c>
      <c r="E96" s="21" t="s">
        <v>51</v>
      </c>
      <c r="F96" s="21" t="s">
        <v>322</v>
      </c>
      <c r="G96" s="297"/>
      <c r="H96" s="23" t="s">
        <v>323</v>
      </c>
      <c r="I96" s="24">
        <v>1.11E-2</v>
      </c>
      <c r="J96" s="25">
        <v>2</v>
      </c>
      <c r="K96" s="26">
        <v>46311</v>
      </c>
      <c r="L96" s="25">
        <v>2</v>
      </c>
      <c r="M96" s="25">
        <v>0</v>
      </c>
      <c r="N96" s="25">
        <v>0</v>
      </c>
      <c r="O96" s="27" t="s">
        <v>326</v>
      </c>
      <c r="P96" s="28">
        <v>0.125</v>
      </c>
      <c r="Q96" s="25">
        <v>180</v>
      </c>
      <c r="R96" s="29" t="s">
        <v>298</v>
      </c>
    </row>
    <row r="97" spans="1:18" ht="18">
      <c r="A97" s="292" t="s">
        <v>266</v>
      </c>
      <c r="B97" s="303"/>
      <c r="C97" s="303"/>
      <c r="D97" s="303"/>
      <c r="E97" s="303"/>
      <c r="F97" s="304"/>
      <c r="G97" s="298"/>
      <c r="H97" s="138"/>
      <c r="I97" s="138"/>
      <c r="J97" s="138"/>
      <c r="K97" s="138"/>
      <c r="L97" s="138"/>
      <c r="M97" s="138"/>
      <c r="N97" s="138"/>
      <c r="O97" s="139"/>
      <c r="P97" s="138"/>
      <c r="Q97" s="107"/>
      <c r="R97" s="107"/>
    </row>
    <row r="98" spans="1:18" ht="15" customHeight="1">
      <c r="A98" s="17" t="s">
        <v>38</v>
      </c>
      <c r="B98" s="17" t="s">
        <v>87</v>
      </c>
      <c r="C98" s="18" t="s">
        <v>280</v>
      </c>
      <c r="D98" s="17" t="s">
        <v>40</v>
      </c>
      <c r="E98" s="17" t="s">
        <v>293</v>
      </c>
      <c r="F98" s="17" t="s">
        <v>78</v>
      </c>
      <c r="G98" s="298"/>
      <c r="H98" s="138"/>
      <c r="I98" s="138"/>
      <c r="J98" s="138"/>
      <c r="K98" s="138"/>
      <c r="L98" s="138"/>
      <c r="M98" s="138"/>
      <c r="N98" s="138"/>
      <c r="O98" s="139"/>
      <c r="P98" s="138"/>
      <c r="Q98" s="107"/>
      <c r="R98" s="107"/>
    </row>
    <row r="99" spans="1:18" ht="15" customHeight="1">
      <c r="A99" s="17" t="s">
        <v>38</v>
      </c>
      <c r="B99" s="17" t="s">
        <v>39</v>
      </c>
      <c r="C99" s="18" t="s">
        <v>257</v>
      </c>
      <c r="D99" s="17" t="s">
        <v>40</v>
      </c>
      <c r="E99" s="17" t="s">
        <v>294</v>
      </c>
      <c r="F99" s="17" t="s">
        <v>131</v>
      </c>
      <c r="G99" s="298"/>
      <c r="H99" s="138"/>
      <c r="I99" s="138"/>
      <c r="J99" s="138"/>
      <c r="K99" s="138"/>
      <c r="L99" s="138"/>
      <c r="M99" s="138"/>
      <c r="N99" s="138"/>
      <c r="O99" s="139"/>
      <c r="P99" s="138"/>
      <c r="Q99" s="107"/>
      <c r="R99" s="107"/>
    </row>
    <row r="100" spans="1:18" ht="15" customHeight="1">
      <c r="A100" s="17" t="s">
        <v>26</v>
      </c>
      <c r="B100" s="17" t="s">
        <v>27</v>
      </c>
      <c r="C100" s="18" t="s">
        <v>255</v>
      </c>
      <c r="D100" s="17" t="s">
        <v>28</v>
      </c>
      <c r="E100" s="17" t="s">
        <v>270</v>
      </c>
      <c r="F100" s="17" t="s">
        <v>149</v>
      </c>
      <c r="G100" s="298"/>
      <c r="H100" s="138"/>
      <c r="I100" s="138"/>
      <c r="J100" s="138"/>
      <c r="K100" s="138"/>
      <c r="L100" s="138"/>
      <c r="M100" s="138"/>
      <c r="N100" s="138"/>
      <c r="O100" s="139"/>
      <c r="P100" s="138"/>
      <c r="Q100" s="107"/>
      <c r="R100" s="107"/>
    </row>
    <row r="101" spans="1:18" ht="15" customHeight="1">
      <c r="A101" s="17" t="s">
        <v>38</v>
      </c>
      <c r="B101" s="17" t="s">
        <v>87</v>
      </c>
      <c r="C101" s="18" t="s">
        <v>280</v>
      </c>
      <c r="D101" s="17" t="s">
        <v>43</v>
      </c>
      <c r="E101" s="17" t="s">
        <v>293</v>
      </c>
      <c r="F101" s="17" t="s">
        <v>79</v>
      </c>
      <c r="G101" s="298"/>
      <c r="H101" s="138"/>
      <c r="I101" s="138"/>
      <c r="J101" s="138"/>
      <c r="K101" s="138"/>
      <c r="L101" s="138"/>
      <c r="M101" s="138"/>
      <c r="N101" s="138"/>
      <c r="O101" s="139"/>
      <c r="P101" s="138"/>
      <c r="Q101" s="107"/>
      <c r="R101" s="107"/>
    </row>
    <row r="102" spans="1:18" ht="15" customHeight="1">
      <c r="A102" s="17" t="s">
        <v>38</v>
      </c>
      <c r="B102" s="17" t="s">
        <v>39</v>
      </c>
      <c r="C102" s="18" t="s">
        <v>257</v>
      </c>
      <c r="D102" s="17" t="s">
        <v>43</v>
      </c>
      <c r="E102" s="17" t="s">
        <v>294</v>
      </c>
      <c r="F102" s="17" t="s">
        <v>133</v>
      </c>
      <c r="G102" s="298"/>
      <c r="H102" s="138"/>
      <c r="I102" s="138"/>
      <c r="J102" s="138"/>
      <c r="K102" s="138"/>
      <c r="L102" s="138"/>
      <c r="M102" s="138"/>
      <c r="N102" s="138"/>
      <c r="O102" s="139"/>
      <c r="P102" s="138"/>
      <c r="Q102" s="107"/>
      <c r="R102" s="107"/>
    </row>
    <row r="103" spans="1:18" ht="15" customHeight="1">
      <c r="A103" s="17" t="s">
        <v>26</v>
      </c>
      <c r="B103" s="17" t="s">
        <v>27</v>
      </c>
      <c r="C103" s="18" t="s">
        <v>255</v>
      </c>
      <c r="D103" s="17" t="s">
        <v>31</v>
      </c>
      <c r="E103" s="17" t="s">
        <v>270</v>
      </c>
      <c r="F103" s="17" t="s">
        <v>133</v>
      </c>
      <c r="G103" s="298"/>
      <c r="H103" s="138"/>
      <c r="I103" s="138"/>
      <c r="J103" s="138"/>
      <c r="K103" s="138"/>
      <c r="L103" s="138"/>
      <c r="M103" s="138"/>
      <c r="N103" s="138"/>
      <c r="O103" s="139"/>
      <c r="P103" s="138"/>
      <c r="Q103" s="107"/>
      <c r="R103" s="107"/>
    </row>
    <row r="104" spans="1:18" ht="15" customHeight="1">
      <c r="A104" s="17" t="s">
        <v>61</v>
      </c>
      <c r="B104" s="17" t="s">
        <v>62</v>
      </c>
      <c r="C104" s="18" t="s">
        <v>243</v>
      </c>
      <c r="D104" s="17" t="s">
        <v>63</v>
      </c>
      <c r="E104" s="17" t="s">
        <v>278</v>
      </c>
      <c r="F104" s="17" t="s">
        <v>64</v>
      </c>
      <c r="G104" s="298"/>
      <c r="H104" s="138"/>
      <c r="I104" s="138"/>
      <c r="J104" s="138"/>
      <c r="K104" s="138"/>
      <c r="L104" s="138"/>
      <c r="M104" s="138"/>
      <c r="N104" s="138"/>
      <c r="O104" s="139"/>
      <c r="P104" s="138"/>
      <c r="Q104" s="107"/>
      <c r="R104" s="107"/>
    </row>
    <row r="105" spans="1:18" ht="15" customHeight="1">
      <c r="A105" s="17" t="s">
        <v>26</v>
      </c>
      <c r="B105" s="17" t="s">
        <v>27</v>
      </c>
      <c r="C105" s="18" t="s">
        <v>255</v>
      </c>
      <c r="D105" s="17" t="s">
        <v>34</v>
      </c>
      <c r="E105" s="17" t="s">
        <v>270</v>
      </c>
      <c r="F105" s="17" t="s">
        <v>150</v>
      </c>
      <c r="G105" s="298"/>
      <c r="H105" s="138"/>
      <c r="I105" s="138"/>
      <c r="J105" s="138"/>
      <c r="K105" s="138"/>
      <c r="L105" s="138"/>
      <c r="M105" s="138"/>
      <c r="N105" s="138"/>
      <c r="O105" s="139"/>
      <c r="P105" s="138"/>
      <c r="Q105" s="107"/>
      <c r="R105" s="107"/>
    </row>
    <row r="106" spans="1:18" ht="15" customHeight="1">
      <c r="A106" s="17" t="s">
        <v>48</v>
      </c>
      <c r="B106" s="17" t="s">
        <v>58</v>
      </c>
      <c r="C106" s="18" t="s">
        <v>260</v>
      </c>
      <c r="D106" s="17" t="s">
        <v>50</v>
      </c>
      <c r="E106" s="17" t="s">
        <v>269</v>
      </c>
      <c r="F106" s="17" t="s">
        <v>109</v>
      </c>
      <c r="G106" s="298"/>
      <c r="H106" s="138"/>
      <c r="I106" s="138"/>
      <c r="J106" s="138"/>
      <c r="K106" s="138"/>
      <c r="L106" s="138"/>
      <c r="M106" s="138"/>
      <c r="N106" s="138"/>
      <c r="O106" s="139"/>
      <c r="P106" s="138"/>
      <c r="Q106" s="107"/>
      <c r="R106" s="107"/>
    </row>
    <row r="107" spans="1:18" ht="15" customHeight="1" thickBot="1">
      <c r="A107" s="30" t="s">
        <v>68</v>
      </c>
      <c r="B107" s="30" t="s">
        <v>74</v>
      </c>
      <c r="C107" s="31" t="s">
        <v>282</v>
      </c>
      <c r="D107" s="30" t="s">
        <v>70</v>
      </c>
      <c r="E107" s="30" t="s">
        <v>269</v>
      </c>
      <c r="F107" s="30" t="s">
        <v>71</v>
      </c>
      <c r="G107" s="299"/>
      <c r="H107" s="140"/>
      <c r="I107" s="140"/>
      <c r="J107" s="140"/>
      <c r="K107" s="140"/>
      <c r="L107" s="140"/>
      <c r="M107" s="140"/>
      <c r="N107" s="140"/>
      <c r="O107" s="141"/>
      <c r="P107" s="140"/>
      <c r="Q107" s="142"/>
      <c r="R107" s="142"/>
    </row>
    <row r="108" spans="1:18" ht="17.45" customHeight="1" thickBot="1">
      <c r="A108" s="283"/>
      <c r="B108" s="284"/>
      <c r="C108" s="284"/>
      <c r="D108" s="284"/>
      <c r="E108" s="284"/>
      <c r="F108" s="284"/>
      <c r="G108" s="284"/>
      <c r="H108" s="284"/>
      <c r="I108" s="284"/>
      <c r="J108" s="284"/>
      <c r="K108" s="284"/>
      <c r="L108" s="284"/>
      <c r="M108" s="284"/>
      <c r="N108" s="284"/>
      <c r="O108" s="284"/>
      <c r="P108" s="284"/>
      <c r="Q108" s="284"/>
      <c r="R108" s="285"/>
    </row>
    <row r="109" spans="1:18" ht="22.15" customHeight="1" thickTop="1" thickBot="1">
      <c r="A109" s="279" t="s">
        <v>6</v>
      </c>
      <c r="B109" s="295"/>
      <c r="C109" s="295"/>
      <c r="D109" s="295"/>
      <c r="E109" s="295"/>
      <c r="F109" s="296"/>
      <c r="G109" s="32">
        <v>46036</v>
      </c>
      <c r="H109" s="278" t="s">
        <v>7</v>
      </c>
      <c r="I109" s="295"/>
      <c r="J109" s="295"/>
      <c r="K109" s="295"/>
      <c r="L109" s="295"/>
      <c r="M109" s="295"/>
      <c r="N109" s="295"/>
      <c r="O109" s="295"/>
      <c r="P109" s="295"/>
      <c r="Q109" s="295"/>
      <c r="R109" s="296"/>
    </row>
    <row r="110" spans="1:18" ht="24" customHeight="1">
      <c r="A110" s="33" t="s">
        <v>8</v>
      </c>
      <c r="B110" s="33" t="s">
        <v>9</v>
      </c>
      <c r="C110" s="34" t="s">
        <v>10</v>
      </c>
      <c r="D110" s="33" t="s">
        <v>11</v>
      </c>
      <c r="E110" s="33" t="s">
        <v>12</v>
      </c>
      <c r="F110" s="35" t="s">
        <v>13</v>
      </c>
      <c r="G110" s="36" t="s">
        <v>14</v>
      </c>
      <c r="H110" s="33" t="s">
        <v>15</v>
      </c>
      <c r="I110" s="37" t="s">
        <v>16</v>
      </c>
      <c r="J110" s="38" t="s">
        <v>17</v>
      </c>
      <c r="K110" s="39" t="s">
        <v>18</v>
      </c>
      <c r="L110" s="38" t="s">
        <v>19</v>
      </c>
      <c r="M110" s="38" t="s">
        <v>20</v>
      </c>
      <c r="N110" s="38" t="s">
        <v>21</v>
      </c>
      <c r="O110" s="33" t="s">
        <v>22</v>
      </c>
      <c r="P110" s="34" t="s">
        <v>23</v>
      </c>
      <c r="Q110" s="38" t="s">
        <v>24</v>
      </c>
      <c r="R110" s="33" t="s">
        <v>25</v>
      </c>
    </row>
    <row r="111" spans="1:18" ht="15" customHeight="1">
      <c r="A111" s="87" t="s">
        <v>61</v>
      </c>
      <c r="B111" s="87" t="s">
        <v>327</v>
      </c>
      <c r="C111" s="88">
        <v>0.46180555555555558</v>
      </c>
      <c r="D111" s="87" t="s">
        <v>63</v>
      </c>
      <c r="E111" s="87" t="s">
        <v>51</v>
      </c>
      <c r="F111" s="87" t="s">
        <v>322</v>
      </c>
      <c r="G111" s="297"/>
      <c r="H111" s="89" t="s">
        <v>328</v>
      </c>
      <c r="I111" s="90">
        <v>1.67E-2</v>
      </c>
      <c r="J111" s="91">
        <v>3</v>
      </c>
      <c r="K111" s="92">
        <v>46316</v>
      </c>
      <c r="L111" s="91">
        <v>3</v>
      </c>
      <c r="M111" s="91">
        <v>0</v>
      </c>
      <c r="N111" s="91">
        <v>0</v>
      </c>
      <c r="O111" s="93" t="s">
        <v>326</v>
      </c>
      <c r="P111" s="94">
        <v>0.46180555555555558</v>
      </c>
      <c r="Q111" s="91">
        <v>180</v>
      </c>
      <c r="R111" s="95" t="s">
        <v>304</v>
      </c>
    </row>
    <row r="112" spans="1:18" ht="18">
      <c r="A112" s="292" t="s">
        <v>266</v>
      </c>
      <c r="B112" s="303"/>
      <c r="C112" s="303"/>
      <c r="D112" s="303"/>
      <c r="E112" s="303"/>
      <c r="F112" s="304"/>
      <c r="G112" s="298"/>
      <c r="H112" s="138"/>
      <c r="I112" s="138"/>
      <c r="J112" s="138"/>
      <c r="K112" s="138"/>
      <c r="L112" s="138"/>
      <c r="M112" s="138"/>
      <c r="N112" s="138"/>
      <c r="O112" s="139"/>
      <c r="P112" s="138"/>
      <c r="Q112" s="107"/>
      <c r="R112" s="107"/>
    </row>
    <row r="113" spans="1:18" ht="15" customHeight="1">
      <c r="A113" s="17" t="s">
        <v>38</v>
      </c>
      <c r="B113" s="17" t="s">
        <v>39</v>
      </c>
      <c r="C113" s="18" t="s">
        <v>257</v>
      </c>
      <c r="D113" s="17" t="s">
        <v>40</v>
      </c>
      <c r="E113" s="17" t="s">
        <v>295</v>
      </c>
      <c r="F113" s="17" t="s">
        <v>131</v>
      </c>
      <c r="G113" s="298"/>
      <c r="H113" s="138"/>
      <c r="I113" s="138"/>
      <c r="J113" s="138"/>
      <c r="K113" s="138"/>
      <c r="L113" s="138"/>
      <c r="M113" s="138"/>
      <c r="N113" s="138"/>
      <c r="O113" s="139"/>
      <c r="P113" s="138"/>
      <c r="Q113" s="107"/>
      <c r="R113" s="107"/>
    </row>
    <row r="114" spans="1:18" ht="15" customHeight="1">
      <c r="A114" s="17" t="s">
        <v>26</v>
      </c>
      <c r="B114" s="17" t="s">
        <v>27</v>
      </c>
      <c r="C114" s="18" t="s">
        <v>255</v>
      </c>
      <c r="D114" s="17" t="s">
        <v>28</v>
      </c>
      <c r="E114" s="17" t="s">
        <v>270</v>
      </c>
      <c r="F114" s="17" t="s">
        <v>149</v>
      </c>
      <c r="G114" s="298"/>
      <c r="H114" s="138"/>
      <c r="I114" s="138"/>
      <c r="J114" s="138"/>
      <c r="K114" s="138"/>
      <c r="L114" s="138"/>
      <c r="M114" s="138"/>
      <c r="N114" s="138"/>
      <c r="O114" s="139"/>
      <c r="P114" s="138"/>
      <c r="Q114" s="107"/>
      <c r="R114" s="107"/>
    </row>
    <row r="115" spans="1:18" ht="15" customHeight="1">
      <c r="A115" s="17" t="s">
        <v>48</v>
      </c>
      <c r="B115" s="17" t="s">
        <v>49</v>
      </c>
      <c r="C115" s="18" t="s">
        <v>276</v>
      </c>
      <c r="D115" s="17" t="s">
        <v>50</v>
      </c>
      <c r="E115" s="17" t="s">
        <v>288</v>
      </c>
      <c r="F115" s="17" t="s">
        <v>96</v>
      </c>
      <c r="G115" s="298"/>
      <c r="H115" s="138"/>
      <c r="I115" s="138"/>
      <c r="J115" s="138"/>
      <c r="K115" s="138"/>
      <c r="L115" s="138"/>
      <c r="M115" s="138"/>
      <c r="N115" s="138"/>
      <c r="O115" s="139"/>
      <c r="P115" s="138"/>
      <c r="Q115" s="107"/>
      <c r="R115" s="107"/>
    </row>
    <row r="116" spans="1:18" ht="15" customHeight="1">
      <c r="A116" s="17" t="s">
        <v>38</v>
      </c>
      <c r="B116" s="17" t="s">
        <v>39</v>
      </c>
      <c r="C116" s="18" t="s">
        <v>257</v>
      </c>
      <c r="D116" s="17" t="s">
        <v>43</v>
      </c>
      <c r="E116" s="17" t="s">
        <v>295</v>
      </c>
      <c r="F116" s="17" t="s">
        <v>133</v>
      </c>
      <c r="G116" s="298"/>
      <c r="H116" s="138"/>
      <c r="I116" s="138"/>
      <c r="J116" s="138"/>
      <c r="K116" s="138"/>
      <c r="L116" s="138"/>
      <c r="M116" s="138"/>
      <c r="N116" s="138"/>
      <c r="O116" s="139"/>
      <c r="P116" s="138"/>
      <c r="Q116" s="107"/>
      <c r="R116" s="107"/>
    </row>
    <row r="117" spans="1:18" ht="15" customHeight="1">
      <c r="A117" s="17" t="s">
        <v>26</v>
      </c>
      <c r="B117" s="17" t="s">
        <v>27</v>
      </c>
      <c r="C117" s="18" t="s">
        <v>255</v>
      </c>
      <c r="D117" s="17" t="s">
        <v>31</v>
      </c>
      <c r="E117" s="17" t="s">
        <v>270</v>
      </c>
      <c r="F117" s="17" t="s">
        <v>133</v>
      </c>
      <c r="G117" s="298"/>
      <c r="H117" s="138"/>
      <c r="I117" s="138"/>
      <c r="J117" s="138"/>
      <c r="K117" s="138"/>
      <c r="L117" s="138"/>
      <c r="M117" s="138"/>
      <c r="N117" s="138"/>
      <c r="O117" s="139"/>
      <c r="P117" s="138"/>
      <c r="Q117" s="107"/>
      <c r="R117" s="107"/>
    </row>
    <row r="118" spans="1:18" ht="15" customHeight="1">
      <c r="A118" s="17" t="s">
        <v>48</v>
      </c>
      <c r="B118" s="17" t="s">
        <v>49</v>
      </c>
      <c r="C118" s="18" t="s">
        <v>276</v>
      </c>
      <c r="D118" s="17" t="s">
        <v>53</v>
      </c>
      <c r="E118" s="17" t="s">
        <v>288</v>
      </c>
      <c r="F118" s="17" t="s">
        <v>97</v>
      </c>
      <c r="G118" s="298"/>
      <c r="H118" s="138"/>
      <c r="I118" s="138"/>
      <c r="J118" s="138"/>
      <c r="K118" s="138"/>
      <c r="L118" s="138"/>
      <c r="M118" s="138"/>
      <c r="N118" s="138"/>
      <c r="O118" s="139"/>
      <c r="P118" s="138"/>
      <c r="Q118" s="107"/>
      <c r="R118" s="107"/>
    </row>
    <row r="119" spans="1:18" ht="15" customHeight="1">
      <c r="A119" s="17" t="s">
        <v>26</v>
      </c>
      <c r="B119" s="17" t="s">
        <v>27</v>
      </c>
      <c r="C119" s="18" t="s">
        <v>255</v>
      </c>
      <c r="D119" s="17" t="s">
        <v>34</v>
      </c>
      <c r="E119" s="17" t="s">
        <v>270</v>
      </c>
      <c r="F119" s="17" t="s">
        <v>150</v>
      </c>
      <c r="G119" s="298"/>
      <c r="H119" s="138"/>
      <c r="I119" s="138"/>
      <c r="J119" s="138"/>
      <c r="K119" s="138"/>
      <c r="L119" s="138"/>
      <c r="M119" s="138"/>
      <c r="N119" s="138"/>
      <c r="O119" s="139"/>
      <c r="P119" s="138"/>
      <c r="Q119" s="107"/>
      <c r="R119" s="107"/>
    </row>
    <row r="120" spans="1:18" ht="15" customHeight="1">
      <c r="A120" s="17" t="s">
        <v>68</v>
      </c>
      <c r="B120" s="17" t="s">
        <v>69</v>
      </c>
      <c r="C120" s="18" t="s">
        <v>271</v>
      </c>
      <c r="D120" s="17" t="s">
        <v>70</v>
      </c>
      <c r="E120" s="17" t="s">
        <v>269</v>
      </c>
      <c r="F120" s="17" t="s">
        <v>71</v>
      </c>
      <c r="G120" s="298"/>
      <c r="H120" s="138"/>
      <c r="I120" s="138"/>
      <c r="J120" s="138"/>
      <c r="K120" s="138"/>
      <c r="L120" s="138"/>
      <c r="M120" s="138"/>
      <c r="N120" s="138"/>
      <c r="O120" s="139"/>
      <c r="P120" s="138"/>
      <c r="Q120" s="107"/>
      <c r="R120" s="107"/>
    </row>
    <row r="121" spans="1:18" ht="15" customHeight="1">
      <c r="A121" s="17" t="s">
        <v>68</v>
      </c>
      <c r="B121" s="17" t="s">
        <v>76</v>
      </c>
      <c r="C121" s="18" t="s">
        <v>272</v>
      </c>
      <c r="D121" s="17" t="s">
        <v>70</v>
      </c>
      <c r="E121" s="17" t="s">
        <v>269</v>
      </c>
      <c r="F121" s="17" t="s">
        <v>71</v>
      </c>
      <c r="G121" s="298"/>
      <c r="H121" s="138"/>
      <c r="I121" s="138"/>
      <c r="J121" s="138"/>
      <c r="K121" s="138"/>
      <c r="L121" s="138"/>
      <c r="M121" s="138"/>
      <c r="N121" s="138"/>
      <c r="O121" s="139"/>
      <c r="P121" s="138"/>
      <c r="Q121" s="107"/>
      <c r="R121" s="107"/>
    </row>
    <row r="122" spans="1:18" ht="15" customHeight="1" thickBot="1">
      <c r="A122" s="30" t="s">
        <v>68</v>
      </c>
      <c r="B122" s="30" t="s">
        <v>72</v>
      </c>
      <c r="C122" s="31" t="s">
        <v>273</v>
      </c>
      <c r="D122" s="30" t="s">
        <v>70</v>
      </c>
      <c r="E122" s="30" t="s">
        <v>269</v>
      </c>
      <c r="F122" s="30" t="s">
        <v>71</v>
      </c>
      <c r="G122" s="299"/>
      <c r="H122" s="140"/>
      <c r="I122" s="140"/>
      <c r="J122" s="140"/>
      <c r="K122" s="140"/>
      <c r="L122" s="140"/>
      <c r="M122" s="140"/>
      <c r="N122" s="140"/>
      <c r="O122" s="141"/>
      <c r="P122" s="140"/>
      <c r="Q122" s="142"/>
      <c r="R122" s="142"/>
    </row>
    <row r="123" spans="1:18" ht="17.45" customHeight="1" thickBot="1">
      <c r="A123" s="283"/>
      <c r="B123" s="284"/>
      <c r="C123" s="284"/>
      <c r="D123" s="284"/>
      <c r="E123" s="284"/>
      <c r="F123" s="284"/>
      <c r="G123" s="284"/>
      <c r="H123" s="284"/>
      <c r="I123" s="284"/>
      <c r="J123" s="284"/>
      <c r="K123" s="284"/>
      <c r="L123" s="284"/>
      <c r="M123" s="284"/>
      <c r="N123" s="284"/>
      <c r="O123" s="284"/>
      <c r="P123" s="284"/>
      <c r="Q123" s="284"/>
      <c r="R123" s="285"/>
    </row>
    <row r="124" spans="1:18" ht="22.15" customHeight="1" thickTop="1" thickBot="1">
      <c r="A124" s="279" t="s">
        <v>6</v>
      </c>
      <c r="B124" s="295"/>
      <c r="C124" s="295"/>
      <c r="D124" s="295"/>
      <c r="E124" s="295"/>
      <c r="F124" s="296"/>
      <c r="G124" s="32">
        <v>46039</v>
      </c>
      <c r="H124" s="278" t="s">
        <v>7</v>
      </c>
      <c r="I124" s="295"/>
      <c r="J124" s="295"/>
      <c r="K124" s="295"/>
      <c r="L124" s="295"/>
      <c r="M124" s="295"/>
      <c r="N124" s="295"/>
      <c r="O124" s="295"/>
      <c r="P124" s="295"/>
      <c r="Q124" s="295"/>
      <c r="R124" s="296"/>
    </row>
    <row r="125" spans="1:18" ht="24" customHeight="1">
      <c r="A125" s="33" t="s">
        <v>8</v>
      </c>
      <c r="B125" s="33" t="s">
        <v>9</v>
      </c>
      <c r="C125" s="34" t="s">
        <v>10</v>
      </c>
      <c r="D125" s="33" t="s">
        <v>11</v>
      </c>
      <c r="E125" s="33" t="s">
        <v>12</v>
      </c>
      <c r="F125" s="35" t="s">
        <v>13</v>
      </c>
      <c r="G125" s="36" t="s">
        <v>14</v>
      </c>
      <c r="H125" s="33" t="s">
        <v>15</v>
      </c>
      <c r="I125" s="37" t="s">
        <v>16</v>
      </c>
      <c r="J125" s="38" t="s">
        <v>17</v>
      </c>
      <c r="K125" s="39" t="s">
        <v>18</v>
      </c>
      <c r="L125" s="38" t="s">
        <v>19</v>
      </c>
      <c r="M125" s="38" t="s">
        <v>20</v>
      </c>
      <c r="N125" s="38" t="s">
        <v>21</v>
      </c>
      <c r="O125" s="33" t="s">
        <v>22</v>
      </c>
      <c r="P125" s="34" t="s">
        <v>23</v>
      </c>
      <c r="Q125" s="38" t="s">
        <v>24</v>
      </c>
      <c r="R125" s="33" t="s">
        <v>25</v>
      </c>
    </row>
    <row r="126" spans="1:18" ht="15" customHeight="1">
      <c r="A126" s="98" t="s">
        <v>61</v>
      </c>
      <c r="B126" s="98" t="s">
        <v>321</v>
      </c>
      <c r="C126" s="99">
        <v>0.80208333333333337</v>
      </c>
      <c r="D126" s="98" t="s">
        <v>63</v>
      </c>
      <c r="E126" s="98" t="s">
        <v>51</v>
      </c>
      <c r="F126" s="98" t="s">
        <v>322</v>
      </c>
      <c r="G126" s="297"/>
      <c r="H126" s="100" t="s">
        <v>323</v>
      </c>
      <c r="I126" s="101">
        <v>2.2200000000000001E-2</v>
      </c>
      <c r="J126" s="102">
        <v>4</v>
      </c>
      <c r="K126" s="103">
        <v>46338</v>
      </c>
      <c r="L126" s="102">
        <v>4</v>
      </c>
      <c r="M126" s="102">
        <v>0</v>
      </c>
      <c r="N126" s="102">
        <v>0</v>
      </c>
      <c r="O126" s="104" t="s">
        <v>326</v>
      </c>
      <c r="P126" s="105">
        <v>0.80208333333333337</v>
      </c>
      <c r="Q126" s="102">
        <v>180</v>
      </c>
      <c r="R126" s="106" t="s">
        <v>307</v>
      </c>
    </row>
    <row r="127" spans="1:18" ht="18">
      <c r="A127" s="292" t="s">
        <v>266</v>
      </c>
      <c r="B127" s="303"/>
      <c r="C127" s="303"/>
      <c r="D127" s="303"/>
      <c r="E127" s="303"/>
      <c r="F127" s="304"/>
      <c r="G127" s="298"/>
      <c r="H127" s="138"/>
      <c r="I127" s="138"/>
      <c r="J127" s="138"/>
      <c r="K127" s="138"/>
      <c r="L127" s="138"/>
      <c r="M127" s="138"/>
      <c r="N127" s="138"/>
      <c r="O127" s="139"/>
      <c r="P127" s="138"/>
      <c r="Q127" s="107"/>
      <c r="R127" s="107"/>
    </row>
    <row r="128" spans="1:18" ht="15" customHeight="1">
      <c r="A128" s="17" t="s">
        <v>38</v>
      </c>
      <c r="B128" s="17" t="s">
        <v>39</v>
      </c>
      <c r="C128" s="18" t="s">
        <v>257</v>
      </c>
      <c r="D128" s="17" t="s">
        <v>40</v>
      </c>
      <c r="E128" s="17" t="s">
        <v>287</v>
      </c>
      <c r="F128" s="17" t="s">
        <v>131</v>
      </c>
      <c r="G128" s="298"/>
      <c r="H128" s="138"/>
      <c r="I128" s="138"/>
      <c r="J128" s="138"/>
      <c r="K128" s="138"/>
      <c r="L128" s="138"/>
      <c r="M128" s="138"/>
      <c r="N128" s="138"/>
      <c r="O128" s="139"/>
      <c r="P128" s="138"/>
      <c r="Q128" s="107"/>
      <c r="R128" s="107"/>
    </row>
    <row r="129" spans="1:18" ht="15" customHeight="1">
      <c r="A129" s="17" t="s">
        <v>38</v>
      </c>
      <c r="B129" s="17" t="s">
        <v>87</v>
      </c>
      <c r="C129" s="18" t="s">
        <v>280</v>
      </c>
      <c r="D129" s="17" t="s">
        <v>40</v>
      </c>
      <c r="E129" s="17" t="s">
        <v>268</v>
      </c>
      <c r="F129" s="17" t="s">
        <v>42</v>
      </c>
      <c r="G129" s="298"/>
      <c r="H129" s="138"/>
      <c r="I129" s="138"/>
      <c r="J129" s="138"/>
      <c r="K129" s="138"/>
      <c r="L129" s="138"/>
      <c r="M129" s="138"/>
      <c r="N129" s="138"/>
      <c r="O129" s="139"/>
      <c r="P129" s="138"/>
      <c r="Q129" s="107"/>
      <c r="R129" s="107"/>
    </row>
    <row r="130" spans="1:18" ht="15" customHeight="1">
      <c r="A130" s="17" t="s">
        <v>26</v>
      </c>
      <c r="B130" s="17" t="s">
        <v>36</v>
      </c>
      <c r="C130" s="18" t="s">
        <v>256</v>
      </c>
      <c r="D130" s="17" t="s">
        <v>28</v>
      </c>
      <c r="E130" s="17" t="s">
        <v>270</v>
      </c>
      <c r="F130" s="17" t="s">
        <v>149</v>
      </c>
      <c r="G130" s="298"/>
      <c r="H130" s="138"/>
      <c r="I130" s="138"/>
      <c r="J130" s="138"/>
      <c r="K130" s="138"/>
      <c r="L130" s="138"/>
      <c r="M130" s="138"/>
      <c r="N130" s="138"/>
      <c r="O130" s="139"/>
      <c r="P130" s="138"/>
      <c r="Q130" s="107"/>
      <c r="R130" s="107"/>
    </row>
    <row r="131" spans="1:18" ht="15" customHeight="1">
      <c r="A131" s="17" t="s">
        <v>26</v>
      </c>
      <c r="B131" s="17" t="s">
        <v>27</v>
      </c>
      <c r="C131" s="18" t="s">
        <v>255</v>
      </c>
      <c r="D131" s="17" t="s">
        <v>28</v>
      </c>
      <c r="E131" s="17" t="s">
        <v>270</v>
      </c>
      <c r="F131" s="17" t="s">
        <v>161</v>
      </c>
      <c r="G131" s="298"/>
      <c r="H131" s="138"/>
      <c r="I131" s="138"/>
      <c r="J131" s="138"/>
      <c r="K131" s="138"/>
      <c r="L131" s="138"/>
      <c r="M131" s="138"/>
      <c r="N131" s="138"/>
      <c r="O131" s="139"/>
      <c r="P131" s="138"/>
      <c r="Q131" s="107"/>
      <c r="R131" s="107"/>
    </row>
    <row r="132" spans="1:18" ht="15" customHeight="1">
      <c r="A132" s="17" t="s">
        <v>38</v>
      </c>
      <c r="B132" s="17" t="s">
        <v>39</v>
      </c>
      <c r="C132" s="18" t="s">
        <v>257</v>
      </c>
      <c r="D132" s="17" t="s">
        <v>43</v>
      </c>
      <c r="E132" s="17" t="s">
        <v>287</v>
      </c>
      <c r="F132" s="17" t="s">
        <v>133</v>
      </c>
      <c r="G132" s="298"/>
      <c r="H132" s="138"/>
      <c r="I132" s="138"/>
      <c r="J132" s="138"/>
      <c r="K132" s="138"/>
      <c r="L132" s="138"/>
      <c r="M132" s="138"/>
      <c r="N132" s="138"/>
      <c r="O132" s="139"/>
      <c r="P132" s="138"/>
      <c r="Q132" s="107"/>
      <c r="R132" s="107"/>
    </row>
    <row r="133" spans="1:18" ht="15" customHeight="1">
      <c r="A133" s="17" t="s">
        <v>26</v>
      </c>
      <c r="B133" s="17" t="s">
        <v>36</v>
      </c>
      <c r="C133" s="18" t="s">
        <v>256</v>
      </c>
      <c r="D133" s="17" t="s">
        <v>31</v>
      </c>
      <c r="E133" s="17" t="s">
        <v>270</v>
      </c>
      <c r="F133" s="17" t="s">
        <v>133</v>
      </c>
      <c r="G133" s="298"/>
      <c r="H133" s="138"/>
      <c r="I133" s="138"/>
      <c r="J133" s="138"/>
      <c r="K133" s="138"/>
      <c r="L133" s="138"/>
      <c r="M133" s="138"/>
      <c r="N133" s="138"/>
      <c r="O133" s="139"/>
      <c r="P133" s="138"/>
      <c r="Q133" s="107"/>
      <c r="R133" s="107"/>
    </row>
    <row r="134" spans="1:18" ht="15" customHeight="1">
      <c r="A134" s="17" t="s">
        <v>38</v>
      </c>
      <c r="B134" s="17" t="s">
        <v>87</v>
      </c>
      <c r="C134" s="18" t="s">
        <v>280</v>
      </c>
      <c r="D134" s="17" t="s">
        <v>43</v>
      </c>
      <c r="E134" s="17" t="s">
        <v>268</v>
      </c>
      <c r="F134" s="17" t="s">
        <v>45</v>
      </c>
      <c r="G134" s="298"/>
      <c r="H134" s="138"/>
      <c r="I134" s="138"/>
      <c r="J134" s="138"/>
      <c r="K134" s="138"/>
      <c r="L134" s="138"/>
      <c r="M134" s="138"/>
      <c r="N134" s="138"/>
      <c r="O134" s="139"/>
      <c r="P134" s="138"/>
      <c r="Q134" s="107"/>
      <c r="R134" s="107"/>
    </row>
    <row r="135" spans="1:18" ht="15" customHeight="1">
      <c r="A135" s="17" t="s">
        <v>26</v>
      </c>
      <c r="B135" s="17" t="s">
        <v>27</v>
      </c>
      <c r="C135" s="18" t="s">
        <v>255</v>
      </c>
      <c r="D135" s="17" t="s">
        <v>31</v>
      </c>
      <c r="E135" s="17" t="s">
        <v>270</v>
      </c>
      <c r="F135" s="17" t="s">
        <v>162</v>
      </c>
      <c r="G135" s="298"/>
      <c r="H135" s="138"/>
      <c r="I135" s="138"/>
      <c r="J135" s="138"/>
      <c r="K135" s="138"/>
      <c r="L135" s="138"/>
      <c r="M135" s="138"/>
      <c r="N135" s="138"/>
      <c r="O135" s="139"/>
      <c r="P135" s="138"/>
      <c r="Q135" s="107"/>
      <c r="R135" s="107"/>
    </row>
    <row r="136" spans="1:18" ht="15" customHeight="1">
      <c r="A136" s="17" t="s">
        <v>61</v>
      </c>
      <c r="B136" s="17" t="s">
        <v>62</v>
      </c>
      <c r="C136" s="18" t="s">
        <v>235</v>
      </c>
      <c r="D136" s="17" t="s">
        <v>63</v>
      </c>
      <c r="E136" s="17" t="s">
        <v>278</v>
      </c>
      <c r="F136" s="17" t="s">
        <v>64</v>
      </c>
      <c r="G136" s="298"/>
      <c r="H136" s="138"/>
      <c r="I136" s="138"/>
      <c r="J136" s="138"/>
      <c r="K136" s="138"/>
      <c r="L136" s="138"/>
      <c r="M136" s="138"/>
      <c r="N136" s="138"/>
      <c r="O136" s="139"/>
      <c r="P136" s="138"/>
      <c r="Q136" s="107"/>
      <c r="R136" s="107"/>
    </row>
    <row r="137" spans="1:18" ht="15" customHeight="1" thickBot="1">
      <c r="A137" s="30" t="s">
        <v>26</v>
      </c>
      <c r="B137" s="30" t="s">
        <v>36</v>
      </c>
      <c r="C137" s="31" t="s">
        <v>256</v>
      </c>
      <c r="D137" s="30" t="s">
        <v>34</v>
      </c>
      <c r="E137" s="30" t="s">
        <v>270</v>
      </c>
      <c r="F137" s="30" t="s">
        <v>150</v>
      </c>
      <c r="G137" s="299"/>
      <c r="H137" s="140"/>
      <c r="I137" s="140"/>
      <c r="J137" s="140"/>
      <c r="K137" s="140"/>
      <c r="L137" s="140"/>
      <c r="M137" s="140"/>
      <c r="N137" s="140"/>
      <c r="O137" s="141"/>
      <c r="P137" s="140"/>
      <c r="Q137" s="142"/>
      <c r="R137" s="142"/>
    </row>
    <row r="138" spans="1:18" ht="17.45" customHeight="1" thickBot="1">
      <c r="A138" s="283"/>
      <c r="B138" s="284"/>
      <c r="C138" s="284"/>
      <c r="D138" s="284"/>
      <c r="E138" s="284"/>
      <c r="F138" s="284"/>
      <c r="G138" s="284"/>
      <c r="H138" s="284"/>
      <c r="I138" s="284"/>
      <c r="J138" s="284"/>
      <c r="K138" s="284"/>
      <c r="L138" s="284"/>
      <c r="M138" s="284"/>
      <c r="N138" s="284"/>
      <c r="O138" s="284"/>
      <c r="P138" s="284"/>
      <c r="Q138" s="284"/>
      <c r="R138" s="285"/>
    </row>
    <row r="139" spans="1:18" ht="22.15" customHeight="1" thickTop="1" thickBot="1">
      <c r="A139" s="279" t="s">
        <v>6</v>
      </c>
      <c r="B139" s="295"/>
      <c r="C139" s="295"/>
      <c r="D139" s="295"/>
      <c r="E139" s="295"/>
      <c r="F139" s="296"/>
      <c r="G139" s="32">
        <v>46041</v>
      </c>
      <c r="H139" s="278" t="s">
        <v>7</v>
      </c>
      <c r="I139" s="295"/>
      <c r="J139" s="295"/>
      <c r="K139" s="295"/>
      <c r="L139" s="295"/>
      <c r="M139" s="295"/>
      <c r="N139" s="295"/>
      <c r="O139" s="295"/>
      <c r="P139" s="295"/>
      <c r="Q139" s="295"/>
      <c r="R139" s="296"/>
    </row>
    <row r="140" spans="1:18" ht="24" customHeight="1">
      <c r="A140" s="33" t="s">
        <v>8</v>
      </c>
      <c r="B140" s="33" t="s">
        <v>9</v>
      </c>
      <c r="C140" s="34" t="s">
        <v>10</v>
      </c>
      <c r="D140" s="33" t="s">
        <v>11</v>
      </c>
      <c r="E140" s="33" t="s">
        <v>12</v>
      </c>
      <c r="F140" s="35" t="s">
        <v>13</v>
      </c>
      <c r="G140" s="36" t="s">
        <v>14</v>
      </c>
      <c r="H140" s="33" t="s">
        <v>15</v>
      </c>
      <c r="I140" s="37" t="s">
        <v>16</v>
      </c>
      <c r="J140" s="38" t="s">
        <v>17</v>
      </c>
      <c r="K140" s="39" t="s">
        <v>18</v>
      </c>
      <c r="L140" s="38" t="s">
        <v>19</v>
      </c>
      <c r="M140" s="38" t="s">
        <v>20</v>
      </c>
      <c r="N140" s="38" t="s">
        <v>21</v>
      </c>
      <c r="O140" s="33" t="s">
        <v>22</v>
      </c>
      <c r="P140" s="34" t="s">
        <v>23</v>
      </c>
      <c r="Q140" s="38" t="s">
        <v>24</v>
      </c>
      <c r="R140" s="33" t="s">
        <v>25</v>
      </c>
    </row>
    <row r="141" spans="1:18" ht="15" customHeight="1">
      <c r="A141" s="87" t="s">
        <v>61</v>
      </c>
      <c r="B141" s="87" t="s">
        <v>321</v>
      </c>
      <c r="C141" s="88">
        <v>0.64583333333333337</v>
      </c>
      <c r="D141" s="87" t="s">
        <v>63</v>
      </c>
      <c r="E141" s="87" t="s">
        <v>51</v>
      </c>
      <c r="F141" s="87" t="s">
        <v>322</v>
      </c>
      <c r="G141" s="297"/>
      <c r="H141" s="89" t="s">
        <v>323</v>
      </c>
      <c r="I141" s="90">
        <v>0</v>
      </c>
      <c r="J141" s="91">
        <v>0</v>
      </c>
      <c r="K141" s="92" t="s">
        <v>66</v>
      </c>
      <c r="L141" s="91">
        <v>0</v>
      </c>
      <c r="M141" s="91">
        <v>0</v>
      </c>
      <c r="N141" s="91">
        <v>0</v>
      </c>
      <c r="O141" s="93" t="s">
        <v>326</v>
      </c>
      <c r="P141" s="94">
        <v>0.64583333333333337</v>
      </c>
      <c r="Q141" s="91">
        <v>180</v>
      </c>
      <c r="R141" s="95" t="s">
        <v>66</v>
      </c>
    </row>
    <row r="142" spans="1:18" ht="18">
      <c r="A142" s="292" t="s">
        <v>266</v>
      </c>
      <c r="B142" s="303"/>
      <c r="C142" s="303"/>
      <c r="D142" s="303"/>
      <c r="E142" s="303"/>
      <c r="F142" s="304"/>
      <c r="G142" s="298"/>
      <c r="H142" s="138"/>
      <c r="I142" s="138"/>
      <c r="J142" s="138"/>
      <c r="K142" s="138"/>
      <c r="L142" s="138"/>
      <c r="M142" s="138"/>
      <c r="N142" s="138"/>
      <c r="O142" s="139"/>
      <c r="P142" s="138"/>
      <c r="Q142" s="107"/>
      <c r="R142" s="107"/>
    </row>
    <row r="143" spans="1:18" ht="15" customHeight="1">
      <c r="A143" s="17" t="s">
        <v>38</v>
      </c>
      <c r="B143" s="17" t="s">
        <v>39</v>
      </c>
      <c r="C143" s="18" t="s">
        <v>257</v>
      </c>
      <c r="D143" s="17" t="s">
        <v>40</v>
      </c>
      <c r="E143" s="17" t="s">
        <v>278</v>
      </c>
      <c r="F143" s="17" t="s">
        <v>78</v>
      </c>
      <c r="G143" s="298"/>
      <c r="H143" s="138"/>
      <c r="I143" s="138"/>
      <c r="J143" s="138"/>
      <c r="K143" s="138"/>
      <c r="L143" s="138"/>
      <c r="M143" s="138"/>
      <c r="N143" s="138"/>
      <c r="O143" s="139"/>
      <c r="P143" s="138"/>
      <c r="Q143" s="107"/>
      <c r="R143" s="107"/>
    </row>
    <row r="144" spans="1:18" ht="15" customHeight="1">
      <c r="A144" s="17" t="s">
        <v>38</v>
      </c>
      <c r="B144" s="17" t="s">
        <v>87</v>
      </c>
      <c r="C144" s="18" t="s">
        <v>280</v>
      </c>
      <c r="D144" s="17" t="s">
        <v>40</v>
      </c>
      <c r="E144" s="17" t="s">
        <v>268</v>
      </c>
      <c r="F144" s="17" t="s">
        <v>78</v>
      </c>
      <c r="G144" s="298"/>
      <c r="H144" s="138"/>
      <c r="I144" s="138"/>
      <c r="J144" s="138"/>
      <c r="K144" s="138"/>
      <c r="L144" s="138"/>
      <c r="M144" s="138"/>
      <c r="N144" s="138"/>
      <c r="O144" s="139"/>
      <c r="P144" s="138"/>
      <c r="Q144" s="107"/>
      <c r="R144" s="107"/>
    </row>
    <row r="145" spans="1:18" ht="15" customHeight="1">
      <c r="A145" s="17" t="s">
        <v>48</v>
      </c>
      <c r="B145" s="17" t="s">
        <v>56</v>
      </c>
      <c r="C145" s="18" t="s">
        <v>259</v>
      </c>
      <c r="D145" s="17" t="s">
        <v>50</v>
      </c>
      <c r="E145" s="17" t="s">
        <v>269</v>
      </c>
      <c r="F145" s="17" t="s">
        <v>96</v>
      </c>
      <c r="G145" s="298"/>
      <c r="H145" s="138"/>
      <c r="I145" s="138"/>
      <c r="J145" s="138"/>
      <c r="K145" s="138"/>
      <c r="L145" s="138"/>
      <c r="M145" s="138"/>
      <c r="N145" s="138"/>
      <c r="O145" s="139"/>
      <c r="P145" s="138"/>
      <c r="Q145" s="107"/>
      <c r="R145" s="107"/>
    </row>
    <row r="146" spans="1:18" ht="15" customHeight="1">
      <c r="A146" s="17" t="s">
        <v>38</v>
      </c>
      <c r="B146" s="17" t="s">
        <v>39</v>
      </c>
      <c r="C146" s="18" t="s">
        <v>257</v>
      </c>
      <c r="D146" s="17" t="s">
        <v>43</v>
      </c>
      <c r="E146" s="17" t="s">
        <v>278</v>
      </c>
      <c r="F146" s="17" t="s">
        <v>79</v>
      </c>
      <c r="G146" s="298"/>
      <c r="H146" s="138"/>
      <c r="I146" s="138"/>
      <c r="J146" s="138"/>
      <c r="K146" s="138"/>
      <c r="L146" s="138"/>
      <c r="M146" s="138"/>
      <c r="N146" s="138"/>
      <c r="O146" s="139"/>
      <c r="P146" s="138"/>
      <c r="Q146" s="107"/>
      <c r="R146" s="107"/>
    </row>
    <row r="147" spans="1:18" ht="15" customHeight="1">
      <c r="A147" s="17" t="s">
        <v>38</v>
      </c>
      <c r="B147" s="17" t="s">
        <v>87</v>
      </c>
      <c r="C147" s="18" t="s">
        <v>280</v>
      </c>
      <c r="D147" s="17" t="s">
        <v>43</v>
      </c>
      <c r="E147" s="17" t="s">
        <v>268</v>
      </c>
      <c r="F147" s="17" t="s">
        <v>79</v>
      </c>
      <c r="G147" s="298"/>
      <c r="H147" s="138"/>
      <c r="I147" s="138"/>
      <c r="J147" s="138"/>
      <c r="K147" s="138"/>
      <c r="L147" s="138"/>
      <c r="M147" s="138"/>
      <c r="N147" s="138"/>
      <c r="O147" s="139"/>
      <c r="P147" s="138"/>
      <c r="Q147" s="107"/>
      <c r="R147" s="107"/>
    </row>
    <row r="148" spans="1:18" ht="15" customHeight="1">
      <c r="A148" s="17" t="s">
        <v>26</v>
      </c>
      <c r="B148" s="17" t="s">
        <v>27</v>
      </c>
      <c r="C148" s="18" t="s">
        <v>255</v>
      </c>
      <c r="D148" s="17" t="s">
        <v>28</v>
      </c>
      <c r="E148" s="17" t="s">
        <v>277</v>
      </c>
      <c r="F148" s="17" t="s">
        <v>161</v>
      </c>
      <c r="G148" s="298"/>
      <c r="H148" s="138"/>
      <c r="I148" s="138"/>
      <c r="J148" s="138"/>
      <c r="K148" s="138"/>
      <c r="L148" s="138"/>
      <c r="M148" s="138"/>
      <c r="N148" s="138"/>
      <c r="O148" s="139"/>
      <c r="P148" s="138"/>
      <c r="Q148" s="107"/>
      <c r="R148" s="107"/>
    </row>
    <row r="149" spans="1:18" ht="15" customHeight="1">
      <c r="A149" s="17" t="s">
        <v>26</v>
      </c>
      <c r="B149" s="17" t="s">
        <v>36</v>
      </c>
      <c r="C149" s="18" t="s">
        <v>256</v>
      </c>
      <c r="D149" s="17" t="s">
        <v>28</v>
      </c>
      <c r="E149" s="17" t="s">
        <v>277</v>
      </c>
      <c r="F149" s="17" t="s">
        <v>161</v>
      </c>
      <c r="G149" s="298"/>
      <c r="H149" s="138"/>
      <c r="I149" s="138"/>
      <c r="J149" s="138"/>
      <c r="K149" s="138"/>
      <c r="L149" s="138"/>
      <c r="M149" s="138"/>
      <c r="N149" s="138"/>
      <c r="O149" s="139"/>
      <c r="P149" s="138"/>
      <c r="Q149" s="107"/>
      <c r="R149" s="107"/>
    </row>
    <row r="150" spans="1:18" ht="15" customHeight="1">
      <c r="A150" s="17" t="s">
        <v>48</v>
      </c>
      <c r="B150" s="17" t="s">
        <v>56</v>
      </c>
      <c r="C150" s="18" t="s">
        <v>259</v>
      </c>
      <c r="D150" s="17" t="s">
        <v>53</v>
      </c>
      <c r="E150" s="17" t="s">
        <v>269</v>
      </c>
      <c r="F150" s="17" t="s">
        <v>97</v>
      </c>
      <c r="G150" s="298"/>
      <c r="H150" s="138"/>
      <c r="I150" s="138"/>
      <c r="J150" s="138"/>
      <c r="K150" s="138"/>
      <c r="L150" s="138"/>
      <c r="M150" s="138"/>
      <c r="N150" s="138"/>
      <c r="O150" s="139"/>
      <c r="P150" s="138"/>
      <c r="Q150" s="107"/>
      <c r="R150" s="107"/>
    </row>
    <row r="151" spans="1:18" ht="15" customHeight="1">
      <c r="A151" s="17" t="s">
        <v>26</v>
      </c>
      <c r="B151" s="17" t="s">
        <v>27</v>
      </c>
      <c r="C151" s="18" t="s">
        <v>255</v>
      </c>
      <c r="D151" s="17" t="s">
        <v>31</v>
      </c>
      <c r="E151" s="17" t="s">
        <v>277</v>
      </c>
      <c r="F151" s="17" t="s">
        <v>162</v>
      </c>
      <c r="G151" s="298"/>
      <c r="H151" s="138"/>
      <c r="I151" s="138"/>
      <c r="J151" s="138"/>
      <c r="K151" s="138"/>
      <c r="L151" s="138"/>
      <c r="M151" s="138"/>
      <c r="N151" s="138"/>
      <c r="O151" s="139"/>
      <c r="P151" s="138"/>
      <c r="Q151" s="107"/>
      <c r="R151" s="107"/>
    </row>
    <row r="152" spans="1:18" ht="15" customHeight="1" thickBot="1">
      <c r="A152" s="30" t="s">
        <v>26</v>
      </c>
      <c r="B152" s="30" t="s">
        <v>36</v>
      </c>
      <c r="C152" s="31" t="s">
        <v>256</v>
      </c>
      <c r="D152" s="30" t="s">
        <v>31</v>
      </c>
      <c r="E152" s="30" t="s">
        <v>277</v>
      </c>
      <c r="F152" s="30" t="s">
        <v>162</v>
      </c>
      <c r="G152" s="299"/>
      <c r="H152" s="140"/>
      <c r="I152" s="140"/>
      <c r="J152" s="140"/>
      <c r="K152" s="140"/>
      <c r="L152" s="140"/>
      <c r="M152" s="140"/>
      <c r="N152" s="140"/>
      <c r="O152" s="141"/>
      <c r="P152" s="140"/>
      <c r="Q152" s="142"/>
      <c r="R152" s="142"/>
    </row>
    <row r="153" spans="1:18" ht="17.45" customHeight="1" thickBot="1">
      <c r="A153" s="283"/>
      <c r="B153" s="284"/>
      <c r="C153" s="284"/>
      <c r="D153" s="284"/>
      <c r="E153" s="284"/>
      <c r="F153" s="284"/>
      <c r="G153" s="284"/>
      <c r="H153" s="284"/>
      <c r="I153" s="284"/>
      <c r="J153" s="284"/>
      <c r="K153" s="284"/>
      <c r="L153" s="284"/>
      <c r="M153" s="284"/>
      <c r="N153" s="284"/>
      <c r="O153" s="284"/>
      <c r="P153" s="284"/>
      <c r="Q153" s="284"/>
      <c r="R153" s="285"/>
    </row>
    <row r="154" spans="1:18" ht="22.15" customHeight="1" thickTop="1" thickBot="1">
      <c r="A154" s="279" t="s">
        <v>6</v>
      </c>
      <c r="B154" s="295"/>
      <c r="C154" s="295"/>
      <c r="D154" s="295"/>
      <c r="E154" s="295"/>
      <c r="F154" s="296"/>
      <c r="G154" s="32">
        <v>46042</v>
      </c>
      <c r="H154" s="278" t="s">
        <v>7</v>
      </c>
      <c r="I154" s="295"/>
      <c r="J154" s="295"/>
      <c r="K154" s="295"/>
      <c r="L154" s="295"/>
      <c r="M154" s="295"/>
      <c r="N154" s="295"/>
      <c r="O154" s="295"/>
      <c r="P154" s="295"/>
      <c r="Q154" s="295"/>
      <c r="R154" s="296"/>
    </row>
    <row r="155" spans="1:18" ht="24" customHeight="1">
      <c r="A155" s="33" t="s">
        <v>8</v>
      </c>
      <c r="B155" s="33" t="s">
        <v>9</v>
      </c>
      <c r="C155" s="34" t="s">
        <v>10</v>
      </c>
      <c r="D155" s="33" t="s">
        <v>11</v>
      </c>
      <c r="E155" s="33" t="s">
        <v>12</v>
      </c>
      <c r="F155" s="35" t="s">
        <v>13</v>
      </c>
      <c r="G155" s="36" t="s">
        <v>14</v>
      </c>
      <c r="H155" s="33" t="s">
        <v>15</v>
      </c>
      <c r="I155" s="37" t="s">
        <v>16</v>
      </c>
      <c r="J155" s="38" t="s">
        <v>17</v>
      </c>
      <c r="K155" s="39" t="s">
        <v>18</v>
      </c>
      <c r="L155" s="38" t="s">
        <v>19</v>
      </c>
      <c r="M155" s="38" t="s">
        <v>20</v>
      </c>
      <c r="N155" s="38" t="s">
        <v>21</v>
      </c>
      <c r="O155" s="33" t="s">
        <v>22</v>
      </c>
      <c r="P155" s="34" t="s">
        <v>23</v>
      </c>
      <c r="Q155" s="38" t="s">
        <v>24</v>
      </c>
      <c r="R155" s="33" t="s">
        <v>25</v>
      </c>
    </row>
    <row r="156" spans="1:18" ht="15" customHeight="1">
      <c r="A156" s="87" t="s">
        <v>61</v>
      </c>
      <c r="B156" s="87" t="s">
        <v>321</v>
      </c>
      <c r="C156" s="88">
        <v>0.125</v>
      </c>
      <c r="D156" s="87" t="s">
        <v>63</v>
      </c>
      <c r="E156" s="87" t="s">
        <v>51</v>
      </c>
      <c r="F156" s="87" t="s">
        <v>322</v>
      </c>
      <c r="G156" s="297"/>
      <c r="H156" s="89" t="s">
        <v>323</v>
      </c>
      <c r="I156" s="90">
        <v>0</v>
      </c>
      <c r="J156" s="91">
        <v>0</v>
      </c>
      <c r="K156" s="92" t="s">
        <v>66</v>
      </c>
      <c r="L156" s="91">
        <v>0</v>
      </c>
      <c r="M156" s="91">
        <v>0</v>
      </c>
      <c r="N156" s="91">
        <v>0</v>
      </c>
      <c r="O156" s="93" t="s">
        <v>326</v>
      </c>
      <c r="P156" s="94">
        <v>0.125</v>
      </c>
      <c r="Q156" s="91">
        <v>180</v>
      </c>
      <c r="R156" s="95" t="s">
        <v>66</v>
      </c>
    </row>
    <row r="157" spans="1:18" ht="18">
      <c r="A157" s="292" t="s">
        <v>266</v>
      </c>
      <c r="B157" s="303"/>
      <c r="C157" s="303"/>
      <c r="D157" s="303"/>
      <c r="E157" s="303"/>
      <c r="F157" s="304"/>
      <c r="G157" s="298"/>
      <c r="H157" s="138"/>
      <c r="I157" s="138"/>
      <c r="J157" s="138"/>
      <c r="K157" s="138"/>
      <c r="L157" s="138"/>
      <c r="M157" s="138"/>
      <c r="N157" s="138"/>
      <c r="O157" s="139"/>
      <c r="P157" s="138"/>
      <c r="Q157" s="107"/>
      <c r="R157" s="107"/>
    </row>
    <row r="158" spans="1:18" ht="15" customHeight="1">
      <c r="A158" s="17" t="s">
        <v>38</v>
      </c>
      <c r="B158" s="17" t="s">
        <v>87</v>
      </c>
      <c r="C158" s="18" t="s">
        <v>280</v>
      </c>
      <c r="D158" s="17" t="s">
        <v>40</v>
      </c>
      <c r="E158" s="17" t="s">
        <v>268</v>
      </c>
      <c r="F158" s="17" t="s">
        <v>78</v>
      </c>
      <c r="G158" s="298"/>
      <c r="H158" s="138"/>
      <c r="I158" s="138"/>
      <c r="J158" s="138"/>
      <c r="K158" s="138"/>
      <c r="L158" s="138"/>
      <c r="M158" s="138"/>
      <c r="N158" s="138"/>
      <c r="O158" s="139"/>
      <c r="P158" s="138"/>
      <c r="Q158" s="107"/>
      <c r="R158" s="107"/>
    </row>
    <row r="159" spans="1:18" ht="15" customHeight="1">
      <c r="A159" s="17" t="s">
        <v>38</v>
      </c>
      <c r="B159" s="17" t="s">
        <v>39</v>
      </c>
      <c r="C159" s="18" t="s">
        <v>257</v>
      </c>
      <c r="D159" s="17" t="s">
        <v>40</v>
      </c>
      <c r="E159" s="17" t="s">
        <v>294</v>
      </c>
      <c r="F159" s="17" t="s">
        <v>131</v>
      </c>
      <c r="G159" s="298"/>
      <c r="H159" s="138"/>
      <c r="I159" s="138"/>
      <c r="J159" s="138"/>
      <c r="K159" s="138"/>
      <c r="L159" s="138"/>
      <c r="M159" s="138"/>
      <c r="N159" s="138"/>
      <c r="O159" s="139"/>
      <c r="P159" s="138"/>
      <c r="Q159" s="107"/>
      <c r="R159" s="107"/>
    </row>
    <row r="160" spans="1:18" ht="15" customHeight="1">
      <c r="A160" s="17" t="s">
        <v>48</v>
      </c>
      <c r="B160" s="17" t="s">
        <v>56</v>
      </c>
      <c r="C160" s="18" t="s">
        <v>259</v>
      </c>
      <c r="D160" s="17" t="s">
        <v>50</v>
      </c>
      <c r="E160" s="17" t="s">
        <v>286</v>
      </c>
      <c r="F160" s="17" t="s">
        <v>96</v>
      </c>
      <c r="G160" s="298"/>
      <c r="H160" s="138"/>
      <c r="I160" s="138"/>
      <c r="J160" s="138"/>
      <c r="K160" s="138"/>
      <c r="L160" s="138"/>
      <c r="M160" s="138"/>
      <c r="N160" s="138"/>
      <c r="O160" s="139"/>
      <c r="P160" s="138"/>
      <c r="Q160" s="107"/>
      <c r="R160" s="107"/>
    </row>
    <row r="161" spans="1:18" ht="15" customHeight="1">
      <c r="A161" s="17" t="s">
        <v>26</v>
      </c>
      <c r="B161" s="17" t="s">
        <v>27</v>
      </c>
      <c r="C161" s="18" t="s">
        <v>255</v>
      </c>
      <c r="D161" s="17" t="s">
        <v>28</v>
      </c>
      <c r="E161" s="17" t="s">
        <v>267</v>
      </c>
      <c r="F161" s="17" t="s">
        <v>89</v>
      </c>
      <c r="G161" s="298"/>
      <c r="H161" s="138"/>
      <c r="I161" s="138"/>
      <c r="J161" s="138"/>
      <c r="K161" s="138"/>
      <c r="L161" s="138"/>
      <c r="M161" s="138"/>
      <c r="N161" s="138"/>
      <c r="O161" s="139"/>
      <c r="P161" s="138"/>
      <c r="Q161" s="107"/>
      <c r="R161" s="107"/>
    </row>
    <row r="162" spans="1:18" ht="15" customHeight="1">
      <c r="A162" s="17" t="s">
        <v>38</v>
      </c>
      <c r="B162" s="17" t="s">
        <v>87</v>
      </c>
      <c r="C162" s="18" t="s">
        <v>280</v>
      </c>
      <c r="D162" s="17" t="s">
        <v>43</v>
      </c>
      <c r="E162" s="17" t="s">
        <v>268</v>
      </c>
      <c r="F162" s="17" t="s">
        <v>79</v>
      </c>
      <c r="G162" s="298"/>
      <c r="H162" s="138"/>
      <c r="I162" s="138"/>
      <c r="J162" s="138"/>
      <c r="K162" s="138"/>
      <c r="L162" s="138"/>
      <c r="M162" s="138"/>
      <c r="N162" s="138"/>
      <c r="O162" s="139"/>
      <c r="P162" s="138"/>
      <c r="Q162" s="107"/>
      <c r="R162" s="107"/>
    </row>
    <row r="163" spans="1:18" ht="15" customHeight="1">
      <c r="A163" s="17" t="s">
        <v>38</v>
      </c>
      <c r="B163" s="17" t="s">
        <v>39</v>
      </c>
      <c r="C163" s="18" t="s">
        <v>257</v>
      </c>
      <c r="D163" s="17" t="s">
        <v>43</v>
      </c>
      <c r="E163" s="17" t="s">
        <v>294</v>
      </c>
      <c r="F163" s="17" t="s">
        <v>133</v>
      </c>
      <c r="G163" s="298"/>
      <c r="H163" s="138"/>
      <c r="I163" s="138"/>
      <c r="J163" s="138"/>
      <c r="K163" s="138"/>
      <c r="L163" s="138"/>
      <c r="M163" s="138"/>
      <c r="N163" s="138"/>
      <c r="O163" s="139"/>
      <c r="P163" s="138"/>
      <c r="Q163" s="107"/>
      <c r="R163" s="107"/>
    </row>
    <row r="164" spans="1:18" ht="15" customHeight="1">
      <c r="A164" s="17" t="s">
        <v>48</v>
      </c>
      <c r="B164" s="17" t="s">
        <v>49</v>
      </c>
      <c r="C164" s="18" t="s">
        <v>276</v>
      </c>
      <c r="D164" s="17" t="s">
        <v>50</v>
      </c>
      <c r="E164" s="17" t="s">
        <v>269</v>
      </c>
      <c r="F164" s="17" t="s">
        <v>52</v>
      </c>
      <c r="G164" s="298"/>
      <c r="H164" s="138"/>
      <c r="I164" s="138"/>
      <c r="J164" s="138"/>
      <c r="K164" s="138"/>
      <c r="L164" s="138"/>
      <c r="M164" s="138"/>
      <c r="N164" s="138"/>
      <c r="O164" s="139"/>
      <c r="P164" s="138"/>
      <c r="Q164" s="107"/>
      <c r="R164" s="107"/>
    </row>
    <row r="165" spans="1:18" ht="15" customHeight="1">
      <c r="A165" s="17" t="s">
        <v>48</v>
      </c>
      <c r="B165" s="17" t="s">
        <v>58</v>
      </c>
      <c r="C165" s="18" t="s">
        <v>260</v>
      </c>
      <c r="D165" s="17" t="s">
        <v>50</v>
      </c>
      <c r="E165" s="17" t="s">
        <v>269</v>
      </c>
      <c r="F165" s="17" t="s">
        <v>52</v>
      </c>
      <c r="G165" s="298"/>
      <c r="H165" s="138"/>
      <c r="I165" s="138"/>
      <c r="J165" s="138"/>
      <c r="K165" s="138"/>
      <c r="L165" s="138"/>
      <c r="M165" s="138"/>
      <c r="N165" s="138"/>
      <c r="O165" s="139"/>
      <c r="P165" s="138"/>
      <c r="Q165" s="107"/>
      <c r="R165" s="107"/>
    </row>
    <row r="166" spans="1:18" ht="15" customHeight="1">
      <c r="A166" s="17" t="s">
        <v>26</v>
      </c>
      <c r="B166" s="17" t="s">
        <v>27</v>
      </c>
      <c r="C166" s="18" t="s">
        <v>255</v>
      </c>
      <c r="D166" s="17" t="s">
        <v>31</v>
      </c>
      <c r="E166" s="17" t="s">
        <v>267</v>
      </c>
      <c r="F166" s="17" t="s">
        <v>138</v>
      </c>
      <c r="G166" s="298"/>
      <c r="H166" s="138"/>
      <c r="I166" s="138"/>
      <c r="J166" s="138"/>
      <c r="K166" s="138"/>
      <c r="L166" s="138"/>
      <c r="M166" s="138"/>
      <c r="N166" s="138"/>
      <c r="O166" s="139"/>
      <c r="P166" s="138"/>
      <c r="Q166" s="107"/>
      <c r="R166" s="107"/>
    </row>
    <row r="167" spans="1:18" ht="15" customHeight="1" thickBot="1">
      <c r="A167" s="30" t="s">
        <v>48</v>
      </c>
      <c r="B167" s="30" t="s">
        <v>56</v>
      </c>
      <c r="C167" s="31" t="s">
        <v>259</v>
      </c>
      <c r="D167" s="30" t="s">
        <v>53</v>
      </c>
      <c r="E167" s="30" t="s">
        <v>286</v>
      </c>
      <c r="F167" s="30" t="s">
        <v>97</v>
      </c>
      <c r="G167" s="299"/>
      <c r="H167" s="140"/>
      <c r="I167" s="140"/>
      <c r="J167" s="140"/>
      <c r="K167" s="140"/>
      <c r="L167" s="140"/>
      <c r="M167" s="140"/>
      <c r="N167" s="140"/>
      <c r="O167" s="141"/>
      <c r="P167" s="140"/>
      <c r="Q167" s="142"/>
      <c r="R167" s="142"/>
    </row>
    <row r="168" spans="1:18" ht="17.45" customHeight="1" thickBot="1">
      <c r="A168" s="283"/>
      <c r="B168" s="284"/>
      <c r="C168" s="284"/>
      <c r="D168" s="284"/>
      <c r="E168" s="284"/>
      <c r="F168" s="284"/>
      <c r="G168" s="284"/>
      <c r="H168" s="284"/>
      <c r="I168" s="284"/>
      <c r="J168" s="284"/>
      <c r="K168" s="284"/>
      <c r="L168" s="284"/>
      <c r="M168" s="284"/>
      <c r="N168" s="284"/>
      <c r="O168" s="284"/>
      <c r="P168" s="284"/>
      <c r="Q168" s="284"/>
      <c r="R168" s="285"/>
    </row>
    <row r="169" spans="1:18" ht="22.15" customHeight="1" thickTop="1" thickBot="1">
      <c r="A169" s="279" t="s">
        <v>6</v>
      </c>
      <c r="B169" s="295"/>
      <c r="C169" s="295"/>
      <c r="D169" s="295"/>
      <c r="E169" s="295"/>
      <c r="F169" s="296"/>
      <c r="G169" s="32">
        <v>46043</v>
      </c>
      <c r="H169" s="278" t="s">
        <v>7</v>
      </c>
      <c r="I169" s="295"/>
      <c r="J169" s="295"/>
      <c r="K169" s="295"/>
      <c r="L169" s="295"/>
      <c r="M169" s="295"/>
      <c r="N169" s="295"/>
      <c r="O169" s="295"/>
      <c r="P169" s="295"/>
      <c r="Q169" s="295"/>
      <c r="R169" s="296"/>
    </row>
    <row r="170" spans="1:18" ht="24" customHeight="1">
      <c r="A170" s="33" t="s">
        <v>8</v>
      </c>
      <c r="B170" s="33" t="s">
        <v>9</v>
      </c>
      <c r="C170" s="34" t="s">
        <v>10</v>
      </c>
      <c r="D170" s="33" t="s">
        <v>11</v>
      </c>
      <c r="E170" s="33" t="s">
        <v>12</v>
      </c>
      <c r="F170" s="35" t="s">
        <v>13</v>
      </c>
      <c r="G170" s="36" t="s">
        <v>14</v>
      </c>
      <c r="H170" s="33" t="s">
        <v>15</v>
      </c>
      <c r="I170" s="37" t="s">
        <v>16</v>
      </c>
      <c r="J170" s="38" t="s">
        <v>17</v>
      </c>
      <c r="K170" s="39" t="s">
        <v>18</v>
      </c>
      <c r="L170" s="38" t="s">
        <v>19</v>
      </c>
      <c r="M170" s="38" t="s">
        <v>20</v>
      </c>
      <c r="N170" s="38" t="s">
        <v>21</v>
      </c>
      <c r="O170" s="33" t="s">
        <v>22</v>
      </c>
      <c r="P170" s="34" t="s">
        <v>23</v>
      </c>
      <c r="Q170" s="38" t="s">
        <v>24</v>
      </c>
      <c r="R170" s="33" t="s">
        <v>25</v>
      </c>
    </row>
    <row r="171" spans="1:18" ht="15" customHeight="1">
      <c r="A171" s="40" t="s">
        <v>61</v>
      </c>
      <c r="B171" s="40" t="s">
        <v>327</v>
      </c>
      <c r="C171" s="41">
        <v>0.46180555555555558</v>
      </c>
      <c r="D171" s="40" t="s">
        <v>63</v>
      </c>
      <c r="E171" s="40" t="s">
        <v>100</v>
      </c>
      <c r="F171" s="40" t="s">
        <v>322</v>
      </c>
      <c r="G171" s="297"/>
      <c r="H171" s="42" t="s">
        <v>328</v>
      </c>
      <c r="I171" s="43">
        <v>5.5999999999999999E-3</v>
      </c>
      <c r="J171" s="44">
        <v>1</v>
      </c>
      <c r="K171" s="45">
        <v>46340</v>
      </c>
      <c r="L171" s="44">
        <v>1</v>
      </c>
      <c r="M171" s="44">
        <v>0</v>
      </c>
      <c r="N171" s="44">
        <v>0</v>
      </c>
      <c r="O171" s="46" t="s">
        <v>324</v>
      </c>
      <c r="P171" s="47">
        <v>0.46180555555555558</v>
      </c>
      <c r="Q171" s="44">
        <v>180</v>
      </c>
      <c r="R171" s="48" t="s">
        <v>244</v>
      </c>
    </row>
    <row r="172" spans="1:18" ht="18">
      <c r="A172" s="292" t="s">
        <v>266</v>
      </c>
      <c r="B172" s="303"/>
      <c r="C172" s="303"/>
      <c r="D172" s="303"/>
      <c r="E172" s="303"/>
      <c r="F172" s="304"/>
      <c r="G172" s="298"/>
      <c r="H172" s="138"/>
      <c r="I172" s="138"/>
      <c r="J172" s="138"/>
      <c r="K172" s="138"/>
      <c r="L172" s="138"/>
      <c r="M172" s="138"/>
      <c r="N172" s="138"/>
      <c r="O172" s="139"/>
      <c r="P172" s="138"/>
      <c r="Q172" s="107"/>
      <c r="R172" s="107"/>
    </row>
    <row r="173" spans="1:18" ht="15" customHeight="1">
      <c r="A173" s="17" t="s">
        <v>38</v>
      </c>
      <c r="B173" s="17" t="s">
        <v>39</v>
      </c>
      <c r="C173" s="18" t="s">
        <v>257</v>
      </c>
      <c r="D173" s="17" t="s">
        <v>40</v>
      </c>
      <c r="E173" s="17" t="s">
        <v>281</v>
      </c>
      <c r="F173" s="17" t="s">
        <v>78</v>
      </c>
      <c r="G173" s="298"/>
      <c r="H173" s="138"/>
      <c r="I173" s="138"/>
      <c r="J173" s="138"/>
      <c r="K173" s="138"/>
      <c r="L173" s="138"/>
      <c r="M173" s="138"/>
      <c r="N173" s="138"/>
      <c r="O173" s="139"/>
      <c r="P173" s="138"/>
      <c r="Q173" s="107"/>
      <c r="R173" s="107"/>
    </row>
    <row r="174" spans="1:18" ht="15" customHeight="1">
      <c r="A174" s="17" t="s">
        <v>48</v>
      </c>
      <c r="B174" s="17" t="s">
        <v>56</v>
      </c>
      <c r="C174" s="18" t="s">
        <v>259</v>
      </c>
      <c r="D174" s="17" t="s">
        <v>50</v>
      </c>
      <c r="E174" s="17" t="s">
        <v>288</v>
      </c>
      <c r="F174" s="17" t="s">
        <v>96</v>
      </c>
      <c r="G174" s="298"/>
      <c r="H174" s="138"/>
      <c r="I174" s="138"/>
      <c r="J174" s="138"/>
      <c r="K174" s="138"/>
      <c r="L174" s="138"/>
      <c r="M174" s="138"/>
      <c r="N174" s="138"/>
      <c r="O174" s="139"/>
      <c r="P174" s="138"/>
      <c r="Q174" s="107"/>
      <c r="R174" s="107"/>
    </row>
    <row r="175" spans="1:18" ht="15" customHeight="1">
      <c r="A175" s="17" t="s">
        <v>48</v>
      </c>
      <c r="B175" s="17" t="s">
        <v>58</v>
      </c>
      <c r="C175" s="18" t="s">
        <v>260</v>
      </c>
      <c r="D175" s="17" t="s">
        <v>50</v>
      </c>
      <c r="E175" s="17" t="s">
        <v>269</v>
      </c>
      <c r="F175" s="17" t="s">
        <v>96</v>
      </c>
      <c r="G175" s="298"/>
      <c r="H175" s="138"/>
      <c r="I175" s="138"/>
      <c r="J175" s="138"/>
      <c r="K175" s="138"/>
      <c r="L175" s="138"/>
      <c r="M175" s="138"/>
      <c r="N175" s="138"/>
      <c r="O175" s="139"/>
      <c r="P175" s="138"/>
      <c r="Q175" s="107"/>
      <c r="R175" s="107"/>
    </row>
    <row r="176" spans="1:18" ht="15" customHeight="1">
      <c r="A176" s="17" t="s">
        <v>38</v>
      </c>
      <c r="B176" s="17" t="s">
        <v>39</v>
      </c>
      <c r="C176" s="18" t="s">
        <v>257</v>
      </c>
      <c r="D176" s="17" t="s">
        <v>43</v>
      </c>
      <c r="E176" s="17" t="s">
        <v>281</v>
      </c>
      <c r="F176" s="17" t="s">
        <v>79</v>
      </c>
      <c r="G176" s="298"/>
      <c r="H176" s="138"/>
      <c r="I176" s="138"/>
      <c r="J176" s="138"/>
      <c r="K176" s="138"/>
      <c r="L176" s="138"/>
      <c r="M176" s="138"/>
      <c r="N176" s="138"/>
      <c r="O176" s="139"/>
      <c r="P176" s="138"/>
      <c r="Q176" s="107"/>
      <c r="R176" s="107"/>
    </row>
    <row r="177" spans="1:18" ht="15" customHeight="1">
      <c r="A177" s="17" t="s">
        <v>26</v>
      </c>
      <c r="B177" s="17" t="s">
        <v>27</v>
      </c>
      <c r="C177" s="18" t="s">
        <v>255</v>
      </c>
      <c r="D177" s="17" t="s">
        <v>28</v>
      </c>
      <c r="E177" s="17" t="s">
        <v>267</v>
      </c>
      <c r="F177" s="17" t="s">
        <v>161</v>
      </c>
      <c r="G177" s="298"/>
      <c r="H177" s="138"/>
      <c r="I177" s="138"/>
      <c r="J177" s="138"/>
      <c r="K177" s="138"/>
      <c r="L177" s="138"/>
      <c r="M177" s="138"/>
      <c r="N177" s="138"/>
      <c r="O177" s="139"/>
      <c r="P177" s="138"/>
      <c r="Q177" s="107"/>
      <c r="R177" s="107"/>
    </row>
    <row r="178" spans="1:18" ht="15" customHeight="1">
      <c r="A178" s="17" t="s">
        <v>48</v>
      </c>
      <c r="B178" s="17" t="s">
        <v>49</v>
      </c>
      <c r="C178" s="18" t="s">
        <v>276</v>
      </c>
      <c r="D178" s="17" t="s">
        <v>50</v>
      </c>
      <c r="E178" s="17" t="s">
        <v>269</v>
      </c>
      <c r="F178" s="17" t="s">
        <v>52</v>
      </c>
      <c r="G178" s="298"/>
      <c r="H178" s="138"/>
      <c r="I178" s="138"/>
      <c r="J178" s="138"/>
      <c r="K178" s="138"/>
      <c r="L178" s="138"/>
      <c r="M178" s="138"/>
      <c r="N178" s="138"/>
      <c r="O178" s="139"/>
      <c r="P178" s="138"/>
      <c r="Q178" s="107"/>
      <c r="R178" s="107"/>
    </row>
    <row r="179" spans="1:18" ht="15" customHeight="1">
      <c r="A179" s="17" t="s">
        <v>48</v>
      </c>
      <c r="B179" s="17" t="s">
        <v>56</v>
      </c>
      <c r="C179" s="18" t="s">
        <v>259</v>
      </c>
      <c r="D179" s="17" t="s">
        <v>53</v>
      </c>
      <c r="E179" s="17" t="s">
        <v>288</v>
      </c>
      <c r="F179" s="17" t="s">
        <v>97</v>
      </c>
      <c r="G179" s="298"/>
      <c r="H179" s="138"/>
      <c r="I179" s="138"/>
      <c r="J179" s="138"/>
      <c r="K179" s="138"/>
      <c r="L179" s="138"/>
      <c r="M179" s="138"/>
      <c r="N179" s="138"/>
      <c r="O179" s="139"/>
      <c r="P179" s="138"/>
      <c r="Q179" s="107"/>
      <c r="R179" s="107"/>
    </row>
    <row r="180" spans="1:18" ht="15" customHeight="1">
      <c r="A180" s="17" t="s">
        <v>48</v>
      </c>
      <c r="B180" s="17" t="s">
        <v>58</v>
      </c>
      <c r="C180" s="18" t="s">
        <v>260</v>
      </c>
      <c r="D180" s="17" t="s">
        <v>53</v>
      </c>
      <c r="E180" s="17" t="s">
        <v>269</v>
      </c>
      <c r="F180" s="17" t="s">
        <v>97</v>
      </c>
      <c r="G180" s="298"/>
      <c r="H180" s="138"/>
      <c r="I180" s="138"/>
      <c r="J180" s="138"/>
      <c r="K180" s="138"/>
      <c r="L180" s="138"/>
      <c r="M180" s="138"/>
      <c r="N180" s="138"/>
      <c r="O180" s="139"/>
      <c r="P180" s="138"/>
      <c r="Q180" s="107"/>
      <c r="R180" s="107"/>
    </row>
    <row r="181" spans="1:18" ht="15" customHeight="1">
      <c r="A181" s="17" t="s">
        <v>26</v>
      </c>
      <c r="B181" s="17" t="s">
        <v>27</v>
      </c>
      <c r="C181" s="18" t="s">
        <v>255</v>
      </c>
      <c r="D181" s="17" t="s">
        <v>31</v>
      </c>
      <c r="E181" s="17" t="s">
        <v>267</v>
      </c>
      <c r="F181" s="17" t="s">
        <v>162</v>
      </c>
      <c r="G181" s="298"/>
      <c r="H181" s="138"/>
      <c r="I181" s="138"/>
      <c r="J181" s="138"/>
      <c r="K181" s="138"/>
      <c r="L181" s="138"/>
      <c r="M181" s="138"/>
      <c r="N181" s="138"/>
      <c r="O181" s="139"/>
      <c r="P181" s="138"/>
      <c r="Q181" s="107"/>
      <c r="R181" s="107"/>
    </row>
    <row r="182" spans="1:18" ht="15" customHeight="1" thickBot="1">
      <c r="A182" s="30" t="s">
        <v>48</v>
      </c>
      <c r="B182" s="30" t="s">
        <v>49</v>
      </c>
      <c r="C182" s="31" t="s">
        <v>276</v>
      </c>
      <c r="D182" s="30" t="s">
        <v>53</v>
      </c>
      <c r="E182" s="30" t="s">
        <v>269</v>
      </c>
      <c r="F182" s="30" t="s">
        <v>55</v>
      </c>
      <c r="G182" s="299"/>
      <c r="H182" s="140"/>
      <c r="I182" s="140"/>
      <c r="J182" s="140"/>
      <c r="K182" s="140"/>
      <c r="L182" s="140"/>
      <c r="M182" s="140"/>
      <c r="N182" s="140"/>
      <c r="O182" s="141"/>
      <c r="P182" s="140"/>
      <c r="Q182" s="142"/>
      <c r="R182" s="142"/>
    </row>
    <row r="183" spans="1:18" ht="17.45" customHeight="1" thickBot="1">
      <c r="A183" s="283"/>
      <c r="B183" s="284"/>
      <c r="C183" s="284"/>
      <c r="D183" s="284"/>
      <c r="E183" s="284"/>
      <c r="F183" s="284"/>
      <c r="G183" s="284"/>
      <c r="H183" s="284"/>
      <c r="I183" s="284"/>
      <c r="J183" s="284"/>
      <c r="K183" s="284"/>
      <c r="L183" s="284"/>
      <c r="M183" s="284"/>
      <c r="N183" s="284"/>
      <c r="O183" s="284"/>
      <c r="P183" s="284"/>
      <c r="Q183" s="284"/>
      <c r="R183" s="285"/>
    </row>
    <row r="184" spans="1:18" ht="22.15" customHeight="1" thickTop="1" thickBot="1">
      <c r="A184" s="279" t="s">
        <v>6</v>
      </c>
      <c r="B184" s="295"/>
      <c r="C184" s="295"/>
      <c r="D184" s="295"/>
      <c r="E184" s="295"/>
      <c r="F184" s="296"/>
      <c r="G184" s="32">
        <v>46046</v>
      </c>
      <c r="H184" s="278" t="s">
        <v>7</v>
      </c>
      <c r="I184" s="295"/>
      <c r="J184" s="295"/>
      <c r="K184" s="295"/>
      <c r="L184" s="295"/>
      <c r="M184" s="295"/>
      <c r="N184" s="295"/>
      <c r="O184" s="295"/>
      <c r="P184" s="295"/>
      <c r="Q184" s="295"/>
      <c r="R184" s="296"/>
    </row>
    <row r="185" spans="1:18" ht="24" customHeight="1">
      <c r="A185" s="33" t="s">
        <v>8</v>
      </c>
      <c r="B185" s="33" t="s">
        <v>9</v>
      </c>
      <c r="C185" s="34" t="s">
        <v>10</v>
      </c>
      <c r="D185" s="33" t="s">
        <v>11</v>
      </c>
      <c r="E185" s="33" t="s">
        <v>12</v>
      </c>
      <c r="F185" s="35" t="s">
        <v>13</v>
      </c>
      <c r="G185" s="36" t="s">
        <v>14</v>
      </c>
      <c r="H185" s="33" t="s">
        <v>15</v>
      </c>
      <c r="I185" s="37" t="s">
        <v>16</v>
      </c>
      <c r="J185" s="38" t="s">
        <v>17</v>
      </c>
      <c r="K185" s="39" t="s">
        <v>18</v>
      </c>
      <c r="L185" s="38" t="s">
        <v>19</v>
      </c>
      <c r="M185" s="38" t="s">
        <v>20</v>
      </c>
      <c r="N185" s="38" t="s">
        <v>21</v>
      </c>
      <c r="O185" s="33" t="s">
        <v>22</v>
      </c>
      <c r="P185" s="34" t="s">
        <v>23</v>
      </c>
      <c r="Q185" s="38" t="s">
        <v>24</v>
      </c>
      <c r="R185" s="33" t="s">
        <v>25</v>
      </c>
    </row>
    <row r="186" spans="1:18" ht="15" customHeight="1">
      <c r="A186" s="67" t="s">
        <v>61</v>
      </c>
      <c r="B186" s="67" t="s">
        <v>321</v>
      </c>
      <c r="C186" s="68">
        <v>0.80208333333333337</v>
      </c>
      <c r="D186" s="67" t="s">
        <v>63</v>
      </c>
      <c r="E186" s="67" t="s">
        <v>51</v>
      </c>
      <c r="F186" s="67" t="s">
        <v>322</v>
      </c>
      <c r="G186" s="297"/>
      <c r="H186" s="69" t="s">
        <v>323</v>
      </c>
      <c r="I186" s="70">
        <v>1.11E-2</v>
      </c>
      <c r="J186" s="71">
        <v>2</v>
      </c>
      <c r="K186" s="72">
        <v>46334</v>
      </c>
      <c r="L186" s="71">
        <v>2</v>
      </c>
      <c r="M186" s="71">
        <v>0</v>
      </c>
      <c r="N186" s="71">
        <v>0</v>
      </c>
      <c r="O186" s="73" t="s">
        <v>326</v>
      </c>
      <c r="P186" s="74">
        <v>0.80208333333333337</v>
      </c>
      <c r="Q186" s="71">
        <v>180</v>
      </c>
      <c r="R186" s="75" t="s">
        <v>298</v>
      </c>
    </row>
    <row r="187" spans="1:18" ht="18">
      <c r="A187" s="292" t="s">
        <v>266</v>
      </c>
      <c r="B187" s="303"/>
      <c r="C187" s="303"/>
      <c r="D187" s="303"/>
      <c r="E187" s="303"/>
      <c r="F187" s="304"/>
      <c r="G187" s="298"/>
      <c r="H187" s="138"/>
      <c r="I187" s="138"/>
      <c r="J187" s="138"/>
      <c r="K187" s="138"/>
      <c r="L187" s="138"/>
      <c r="M187" s="138"/>
      <c r="N187" s="138"/>
      <c r="O187" s="139"/>
      <c r="P187" s="138"/>
      <c r="Q187" s="107"/>
      <c r="R187" s="107"/>
    </row>
    <row r="188" spans="1:18" ht="15" customHeight="1">
      <c r="A188" s="17" t="s">
        <v>38</v>
      </c>
      <c r="B188" s="17" t="s">
        <v>39</v>
      </c>
      <c r="C188" s="18" t="s">
        <v>257</v>
      </c>
      <c r="D188" s="17" t="s">
        <v>40</v>
      </c>
      <c r="E188" s="17" t="s">
        <v>332</v>
      </c>
      <c r="F188" s="17" t="s">
        <v>42</v>
      </c>
      <c r="G188" s="298"/>
      <c r="H188" s="138"/>
      <c r="I188" s="138"/>
      <c r="J188" s="138"/>
      <c r="K188" s="138"/>
      <c r="L188" s="138"/>
      <c r="M188" s="138"/>
      <c r="N188" s="138"/>
      <c r="O188" s="139"/>
      <c r="P188" s="138"/>
      <c r="Q188" s="107"/>
      <c r="R188" s="107"/>
    </row>
    <row r="189" spans="1:18" ht="15" customHeight="1">
      <c r="A189" s="17" t="s">
        <v>38</v>
      </c>
      <c r="B189" s="17" t="s">
        <v>87</v>
      </c>
      <c r="C189" s="18" t="s">
        <v>280</v>
      </c>
      <c r="D189" s="17" t="s">
        <v>40</v>
      </c>
      <c r="E189" s="17" t="s">
        <v>268</v>
      </c>
      <c r="F189" s="17" t="s">
        <v>121</v>
      </c>
      <c r="G189" s="298"/>
      <c r="H189" s="138"/>
      <c r="I189" s="138"/>
      <c r="J189" s="138"/>
      <c r="K189" s="138"/>
      <c r="L189" s="138"/>
      <c r="M189" s="138"/>
      <c r="N189" s="138"/>
      <c r="O189" s="139"/>
      <c r="P189" s="138"/>
      <c r="Q189" s="107"/>
      <c r="R189" s="107"/>
    </row>
    <row r="190" spans="1:18" ht="15" customHeight="1">
      <c r="A190" s="17" t="s">
        <v>38</v>
      </c>
      <c r="B190" s="17" t="s">
        <v>39</v>
      </c>
      <c r="C190" s="18" t="s">
        <v>257</v>
      </c>
      <c r="D190" s="17" t="s">
        <v>43</v>
      </c>
      <c r="E190" s="17" t="s">
        <v>332</v>
      </c>
      <c r="F190" s="17" t="s">
        <v>45</v>
      </c>
      <c r="G190" s="298"/>
      <c r="H190" s="138"/>
      <c r="I190" s="138"/>
      <c r="J190" s="138"/>
      <c r="K190" s="138"/>
      <c r="L190" s="138"/>
      <c r="M190" s="138"/>
      <c r="N190" s="138"/>
      <c r="O190" s="139"/>
      <c r="P190" s="138"/>
      <c r="Q190" s="107"/>
      <c r="R190" s="107"/>
    </row>
    <row r="191" spans="1:18" ht="15" customHeight="1">
      <c r="A191" s="17" t="s">
        <v>38</v>
      </c>
      <c r="B191" s="17" t="s">
        <v>87</v>
      </c>
      <c r="C191" s="18" t="s">
        <v>280</v>
      </c>
      <c r="D191" s="17" t="s">
        <v>43</v>
      </c>
      <c r="E191" s="17" t="s">
        <v>268</v>
      </c>
      <c r="F191" s="17" t="s">
        <v>123</v>
      </c>
      <c r="G191" s="298"/>
      <c r="H191" s="138"/>
      <c r="I191" s="138"/>
      <c r="J191" s="138"/>
      <c r="K191" s="138"/>
      <c r="L191" s="138"/>
      <c r="M191" s="138"/>
      <c r="N191" s="138"/>
      <c r="O191" s="139"/>
      <c r="P191" s="138"/>
      <c r="Q191" s="107"/>
      <c r="R191" s="107"/>
    </row>
    <row r="192" spans="1:18" ht="15" customHeight="1">
      <c r="A192" s="17" t="s">
        <v>26</v>
      </c>
      <c r="B192" s="17" t="s">
        <v>36</v>
      </c>
      <c r="C192" s="18" t="s">
        <v>256</v>
      </c>
      <c r="D192" s="17" t="s">
        <v>28</v>
      </c>
      <c r="E192" s="17" t="s">
        <v>286</v>
      </c>
      <c r="F192" s="17" t="s">
        <v>162</v>
      </c>
      <c r="G192" s="298"/>
      <c r="H192" s="138"/>
      <c r="I192" s="138"/>
      <c r="J192" s="138"/>
      <c r="K192" s="138"/>
      <c r="L192" s="138"/>
      <c r="M192" s="138"/>
      <c r="N192" s="138"/>
      <c r="O192" s="139"/>
      <c r="P192" s="138"/>
      <c r="Q192" s="107"/>
      <c r="R192" s="107"/>
    </row>
    <row r="193" spans="1:18" ht="15" customHeight="1">
      <c r="A193" s="17" t="s">
        <v>61</v>
      </c>
      <c r="B193" s="17" t="s">
        <v>62</v>
      </c>
      <c r="C193" s="18" t="s">
        <v>235</v>
      </c>
      <c r="D193" s="17" t="s">
        <v>63</v>
      </c>
      <c r="E193" s="17" t="s">
        <v>303</v>
      </c>
      <c r="F193" s="17" t="s">
        <v>64</v>
      </c>
      <c r="G193" s="298"/>
      <c r="H193" s="138"/>
      <c r="I193" s="138"/>
      <c r="J193" s="138"/>
      <c r="K193" s="138"/>
      <c r="L193" s="138"/>
      <c r="M193" s="138"/>
      <c r="N193" s="138"/>
      <c r="O193" s="139"/>
      <c r="P193" s="138"/>
      <c r="Q193" s="107"/>
      <c r="R193" s="107"/>
    </row>
    <row r="194" spans="1:18" ht="15" customHeight="1">
      <c r="A194" s="17" t="s">
        <v>26</v>
      </c>
      <c r="B194" s="17" t="s">
        <v>36</v>
      </c>
      <c r="C194" s="18" t="s">
        <v>256</v>
      </c>
      <c r="D194" s="17" t="s">
        <v>31</v>
      </c>
      <c r="E194" s="17" t="s">
        <v>286</v>
      </c>
      <c r="F194" s="17" t="s">
        <v>178</v>
      </c>
      <c r="G194" s="298"/>
      <c r="H194" s="138"/>
      <c r="I194" s="138"/>
      <c r="J194" s="138"/>
      <c r="K194" s="138"/>
      <c r="L194" s="138"/>
      <c r="M194" s="138"/>
      <c r="N194" s="138"/>
      <c r="O194" s="139"/>
      <c r="P194" s="138"/>
      <c r="Q194" s="107"/>
      <c r="R194" s="107"/>
    </row>
    <row r="195" spans="1:18" ht="15" customHeight="1">
      <c r="A195" s="17" t="s">
        <v>26</v>
      </c>
      <c r="B195" s="17" t="s">
        <v>36</v>
      </c>
      <c r="C195" s="18" t="s">
        <v>256</v>
      </c>
      <c r="D195" s="17" t="s">
        <v>34</v>
      </c>
      <c r="E195" s="17" t="s">
        <v>286</v>
      </c>
      <c r="F195" s="17" t="s">
        <v>179</v>
      </c>
      <c r="G195" s="298"/>
      <c r="H195" s="138"/>
      <c r="I195" s="138"/>
      <c r="J195" s="138"/>
      <c r="K195" s="138"/>
      <c r="L195" s="138"/>
      <c r="M195" s="138"/>
      <c r="N195" s="138"/>
      <c r="O195" s="139"/>
      <c r="P195" s="138"/>
      <c r="Q195" s="107"/>
      <c r="R195" s="107"/>
    </row>
    <row r="196" spans="1:18" ht="15" customHeight="1">
      <c r="A196" s="17" t="s">
        <v>38</v>
      </c>
      <c r="B196" s="17" t="s">
        <v>39</v>
      </c>
      <c r="C196" s="18" t="s">
        <v>257</v>
      </c>
      <c r="D196" s="17" t="s">
        <v>46</v>
      </c>
      <c r="E196" s="17" t="s">
        <v>332</v>
      </c>
      <c r="F196" s="17" t="s">
        <v>47</v>
      </c>
      <c r="G196" s="298"/>
      <c r="H196" s="138"/>
      <c r="I196" s="138"/>
      <c r="J196" s="138"/>
      <c r="K196" s="138"/>
      <c r="L196" s="138"/>
      <c r="M196" s="138"/>
      <c r="N196" s="138"/>
      <c r="O196" s="139"/>
      <c r="P196" s="138"/>
      <c r="Q196" s="107"/>
      <c r="R196" s="107"/>
    </row>
    <row r="197" spans="1:18" ht="15" customHeight="1" thickBot="1">
      <c r="A197" s="30" t="s">
        <v>38</v>
      </c>
      <c r="B197" s="30" t="s">
        <v>87</v>
      </c>
      <c r="C197" s="31" t="s">
        <v>280</v>
      </c>
      <c r="D197" s="30" t="s">
        <v>46</v>
      </c>
      <c r="E197" s="30" t="s">
        <v>268</v>
      </c>
      <c r="F197" s="30" t="s">
        <v>47</v>
      </c>
      <c r="G197" s="299"/>
      <c r="H197" s="140"/>
      <c r="I197" s="140"/>
      <c r="J197" s="140"/>
      <c r="K197" s="140"/>
      <c r="L197" s="140"/>
      <c r="M197" s="140"/>
      <c r="N197" s="140"/>
      <c r="O197" s="141"/>
      <c r="P197" s="140"/>
      <c r="Q197" s="142"/>
      <c r="R197" s="142"/>
    </row>
    <row r="198" spans="1:18" ht="17.45" customHeight="1" thickBot="1">
      <c r="A198" s="283"/>
      <c r="B198" s="284"/>
      <c r="C198" s="284"/>
      <c r="D198" s="284"/>
      <c r="E198" s="284"/>
      <c r="F198" s="284"/>
      <c r="G198" s="284"/>
      <c r="H198" s="284"/>
      <c r="I198" s="284"/>
      <c r="J198" s="284"/>
      <c r="K198" s="284"/>
      <c r="L198" s="284"/>
      <c r="M198" s="284"/>
      <c r="N198" s="284"/>
      <c r="O198" s="284"/>
      <c r="P198" s="284"/>
      <c r="Q198" s="284"/>
      <c r="R198" s="285"/>
    </row>
    <row r="199" spans="1:18" ht="22.15" customHeight="1" thickTop="1" thickBot="1">
      <c r="A199" s="279" t="s">
        <v>6</v>
      </c>
      <c r="B199" s="295"/>
      <c r="C199" s="295"/>
      <c r="D199" s="295"/>
      <c r="E199" s="295"/>
      <c r="F199" s="296"/>
      <c r="G199" s="32">
        <v>46048</v>
      </c>
      <c r="H199" s="278" t="s">
        <v>7</v>
      </c>
      <c r="I199" s="295"/>
      <c r="J199" s="295"/>
      <c r="K199" s="295"/>
      <c r="L199" s="295"/>
      <c r="M199" s="295"/>
      <c r="N199" s="295"/>
      <c r="O199" s="295"/>
      <c r="P199" s="295"/>
      <c r="Q199" s="295"/>
      <c r="R199" s="296"/>
    </row>
    <row r="200" spans="1:18" ht="24" customHeight="1">
      <c r="A200" s="33" t="s">
        <v>8</v>
      </c>
      <c r="B200" s="33" t="s">
        <v>9</v>
      </c>
      <c r="C200" s="34" t="s">
        <v>10</v>
      </c>
      <c r="D200" s="33" t="s">
        <v>11</v>
      </c>
      <c r="E200" s="33" t="s">
        <v>12</v>
      </c>
      <c r="F200" s="35" t="s">
        <v>13</v>
      </c>
      <c r="G200" s="36" t="s">
        <v>14</v>
      </c>
      <c r="H200" s="33" t="s">
        <v>15</v>
      </c>
      <c r="I200" s="37" t="s">
        <v>16</v>
      </c>
      <c r="J200" s="38" t="s">
        <v>17</v>
      </c>
      <c r="K200" s="39" t="s">
        <v>18</v>
      </c>
      <c r="L200" s="38" t="s">
        <v>19</v>
      </c>
      <c r="M200" s="38" t="s">
        <v>20</v>
      </c>
      <c r="N200" s="38" t="s">
        <v>21</v>
      </c>
      <c r="O200" s="33" t="s">
        <v>22</v>
      </c>
      <c r="P200" s="34" t="s">
        <v>23</v>
      </c>
      <c r="Q200" s="38" t="s">
        <v>24</v>
      </c>
      <c r="R200" s="33" t="s">
        <v>25</v>
      </c>
    </row>
    <row r="201" spans="1:18" ht="15" customHeight="1">
      <c r="A201" s="58" t="s">
        <v>61</v>
      </c>
      <c r="B201" s="58" t="s">
        <v>321</v>
      </c>
      <c r="C201" s="59">
        <v>0.64583333333333337</v>
      </c>
      <c r="D201" s="58" t="s">
        <v>63</v>
      </c>
      <c r="E201" s="58" t="s">
        <v>51</v>
      </c>
      <c r="F201" s="58" t="s">
        <v>322</v>
      </c>
      <c r="G201" s="297"/>
      <c r="H201" s="60" t="s">
        <v>323</v>
      </c>
      <c r="I201" s="61">
        <v>5.5999999999999999E-3</v>
      </c>
      <c r="J201" s="62">
        <v>1</v>
      </c>
      <c r="K201" s="63">
        <v>46337</v>
      </c>
      <c r="L201" s="62">
        <v>1</v>
      </c>
      <c r="M201" s="62">
        <v>0</v>
      </c>
      <c r="N201" s="62">
        <v>0</v>
      </c>
      <c r="O201" s="64" t="s">
        <v>326</v>
      </c>
      <c r="P201" s="65">
        <v>0.64583333333333337</v>
      </c>
      <c r="Q201" s="62">
        <v>180</v>
      </c>
      <c r="R201" s="66" t="s">
        <v>302</v>
      </c>
    </row>
    <row r="202" spans="1:18" ht="18">
      <c r="A202" s="292" t="s">
        <v>266</v>
      </c>
      <c r="B202" s="303"/>
      <c r="C202" s="303"/>
      <c r="D202" s="303"/>
      <c r="E202" s="303"/>
      <c r="F202" s="304"/>
      <c r="G202" s="298"/>
      <c r="H202" s="138"/>
      <c r="I202" s="138"/>
      <c r="J202" s="138"/>
      <c r="K202" s="138"/>
      <c r="L202" s="138"/>
      <c r="M202" s="138"/>
      <c r="N202" s="138"/>
      <c r="O202" s="139"/>
      <c r="P202" s="138"/>
      <c r="Q202" s="107"/>
      <c r="R202" s="107"/>
    </row>
    <row r="203" spans="1:18" ht="15" customHeight="1">
      <c r="A203" s="17" t="s">
        <v>38</v>
      </c>
      <c r="B203" s="17" t="s">
        <v>39</v>
      </c>
      <c r="C203" s="18" t="s">
        <v>257</v>
      </c>
      <c r="D203" s="17" t="s">
        <v>40</v>
      </c>
      <c r="E203" s="17" t="s">
        <v>286</v>
      </c>
      <c r="F203" s="17" t="s">
        <v>78</v>
      </c>
      <c r="G203" s="298"/>
      <c r="H203" s="138"/>
      <c r="I203" s="138"/>
      <c r="J203" s="138"/>
      <c r="K203" s="138"/>
      <c r="L203" s="138"/>
      <c r="M203" s="138"/>
      <c r="N203" s="138"/>
      <c r="O203" s="139"/>
      <c r="P203" s="138"/>
      <c r="Q203" s="107"/>
      <c r="R203" s="107"/>
    </row>
    <row r="204" spans="1:18" ht="15" customHeight="1">
      <c r="A204" s="17" t="s">
        <v>38</v>
      </c>
      <c r="B204" s="17" t="s">
        <v>87</v>
      </c>
      <c r="C204" s="18" t="s">
        <v>280</v>
      </c>
      <c r="D204" s="17" t="s">
        <v>40</v>
      </c>
      <c r="E204" s="17" t="s">
        <v>268</v>
      </c>
      <c r="F204" s="17" t="s">
        <v>121</v>
      </c>
      <c r="G204" s="298"/>
      <c r="H204" s="138"/>
      <c r="I204" s="138"/>
      <c r="J204" s="138"/>
      <c r="K204" s="138"/>
      <c r="L204" s="138"/>
      <c r="M204" s="138"/>
      <c r="N204" s="138"/>
      <c r="O204" s="139"/>
      <c r="P204" s="138"/>
      <c r="Q204" s="107"/>
      <c r="R204" s="107"/>
    </row>
    <row r="205" spans="1:18" ht="15" customHeight="1">
      <c r="A205" s="17" t="s">
        <v>26</v>
      </c>
      <c r="B205" s="17" t="s">
        <v>27</v>
      </c>
      <c r="C205" s="18" t="s">
        <v>255</v>
      </c>
      <c r="D205" s="17" t="s">
        <v>28</v>
      </c>
      <c r="E205" s="17" t="s">
        <v>277</v>
      </c>
      <c r="F205" s="17" t="s">
        <v>89</v>
      </c>
      <c r="G205" s="298"/>
      <c r="H205" s="138"/>
      <c r="I205" s="138"/>
      <c r="J205" s="138"/>
      <c r="K205" s="138"/>
      <c r="L205" s="138"/>
      <c r="M205" s="138"/>
      <c r="N205" s="138"/>
      <c r="O205" s="139"/>
      <c r="P205" s="138"/>
      <c r="Q205" s="107"/>
      <c r="R205" s="107"/>
    </row>
    <row r="206" spans="1:18" ht="15" customHeight="1">
      <c r="A206" s="17" t="s">
        <v>38</v>
      </c>
      <c r="B206" s="17" t="s">
        <v>39</v>
      </c>
      <c r="C206" s="18" t="s">
        <v>257</v>
      </c>
      <c r="D206" s="17" t="s">
        <v>43</v>
      </c>
      <c r="E206" s="17" t="s">
        <v>286</v>
      </c>
      <c r="F206" s="17" t="s">
        <v>79</v>
      </c>
      <c r="G206" s="298"/>
      <c r="H206" s="138"/>
      <c r="I206" s="138"/>
      <c r="J206" s="138"/>
      <c r="K206" s="138"/>
      <c r="L206" s="138"/>
      <c r="M206" s="138"/>
      <c r="N206" s="138"/>
      <c r="O206" s="139"/>
      <c r="P206" s="138"/>
      <c r="Q206" s="107"/>
      <c r="R206" s="107"/>
    </row>
    <row r="207" spans="1:18" ht="15" customHeight="1">
      <c r="A207" s="17" t="s">
        <v>26</v>
      </c>
      <c r="B207" s="17" t="s">
        <v>36</v>
      </c>
      <c r="C207" s="18" t="s">
        <v>256</v>
      </c>
      <c r="D207" s="17" t="s">
        <v>28</v>
      </c>
      <c r="E207" s="17" t="s">
        <v>288</v>
      </c>
      <c r="F207" s="17" t="s">
        <v>159</v>
      </c>
      <c r="G207" s="298"/>
      <c r="H207" s="138"/>
      <c r="I207" s="138"/>
      <c r="J207" s="138"/>
      <c r="K207" s="138"/>
      <c r="L207" s="138"/>
      <c r="M207" s="138"/>
      <c r="N207" s="138"/>
      <c r="O207" s="139"/>
      <c r="P207" s="138"/>
      <c r="Q207" s="107"/>
      <c r="R207" s="107"/>
    </row>
    <row r="208" spans="1:18" ht="15" customHeight="1">
      <c r="A208" s="17" t="s">
        <v>26</v>
      </c>
      <c r="B208" s="17" t="s">
        <v>27</v>
      </c>
      <c r="C208" s="18" t="s">
        <v>255</v>
      </c>
      <c r="D208" s="17" t="s">
        <v>31</v>
      </c>
      <c r="E208" s="17" t="s">
        <v>277</v>
      </c>
      <c r="F208" s="17" t="s">
        <v>138</v>
      </c>
      <c r="G208" s="298"/>
      <c r="H208" s="138"/>
      <c r="I208" s="138"/>
      <c r="J208" s="138"/>
      <c r="K208" s="138"/>
      <c r="L208" s="138"/>
      <c r="M208" s="138"/>
      <c r="N208" s="138"/>
      <c r="O208" s="139"/>
      <c r="P208" s="138"/>
      <c r="Q208" s="107"/>
      <c r="R208" s="107"/>
    </row>
    <row r="209" spans="1:18" ht="15" customHeight="1">
      <c r="A209" s="17" t="s">
        <v>38</v>
      </c>
      <c r="B209" s="17" t="s">
        <v>87</v>
      </c>
      <c r="C209" s="18" t="s">
        <v>280</v>
      </c>
      <c r="D209" s="17" t="s">
        <v>43</v>
      </c>
      <c r="E209" s="17" t="s">
        <v>268</v>
      </c>
      <c r="F209" s="17" t="s">
        <v>123</v>
      </c>
      <c r="G209" s="298"/>
      <c r="H209" s="138"/>
      <c r="I209" s="138"/>
      <c r="J209" s="138"/>
      <c r="K209" s="138"/>
      <c r="L209" s="138"/>
      <c r="M209" s="138"/>
      <c r="N209" s="138"/>
      <c r="O209" s="139"/>
      <c r="P209" s="138"/>
      <c r="Q209" s="107"/>
      <c r="R209" s="107"/>
    </row>
    <row r="210" spans="1:18" ht="15" customHeight="1">
      <c r="A210" s="17" t="s">
        <v>61</v>
      </c>
      <c r="B210" s="17" t="s">
        <v>111</v>
      </c>
      <c r="C210" s="18" t="s">
        <v>241</v>
      </c>
      <c r="D210" s="17" t="s">
        <v>63</v>
      </c>
      <c r="E210" s="17" t="s">
        <v>269</v>
      </c>
      <c r="F210" s="17" t="s">
        <v>64</v>
      </c>
      <c r="G210" s="298"/>
      <c r="H210" s="138"/>
      <c r="I210" s="138"/>
      <c r="J210" s="138"/>
      <c r="K210" s="138"/>
      <c r="L210" s="138"/>
      <c r="M210" s="138"/>
      <c r="N210" s="138"/>
      <c r="O210" s="139"/>
      <c r="P210" s="138"/>
      <c r="Q210" s="107"/>
      <c r="R210" s="107"/>
    </row>
    <row r="211" spans="1:18" ht="15" customHeight="1">
      <c r="A211" s="17" t="s">
        <v>26</v>
      </c>
      <c r="B211" s="17" t="s">
        <v>27</v>
      </c>
      <c r="C211" s="18" t="s">
        <v>255</v>
      </c>
      <c r="D211" s="17" t="s">
        <v>34</v>
      </c>
      <c r="E211" s="17" t="s">
        <v>277</v>
      </c>
      <c r="F211" s="17" t="s">
        <v>139</v>
      </c>
      <c r="G211" s="298"/>
      <c r="H211" s="138"/>
      <c r="I211" s="138"/>
      <c r="J211" s="138"/>
      <c r="K211" s="138"/>
      <c r="L211" s="138"/>
      <c r="M211" s="138"/>
      <c r="N211" s="138"/>
      <c r="O211" s="139"/>
      <c r="P211" s="138"/>
      <c r="Q211" s="107"/>
      <c r="R211" s="107"/>
    </row>
    <row r="212" spans="1:18" ht="15" customHeight="1" thickBot="1">
      <c r="A212" s="30" t="s">
        <v>26</v>
      </c>
      <c r="B212" s="30" t="s">
        <v>36</v>
      </c>
      <c r="C212" s="31" t="s">
        <v>256</v>
      </c>
      <c r="D212" s="30" t="s">
        <v>31</v>
      </c>
      <c r="E212" s="30" t="s">
        <v>288</v>
      </c>
      <c r="F212" s="30" t="s">
        <v>139</v>
      </c>
      <c r="G212" s="299"/>
      <c r="H212" s="140"/>
      <c r="I212" s="140"/>
      <c r="J212" s="140"/>
      <c r="K212" s="140"/>
      <c r="L212" s="140"/>
      <c r="M212" s="140"/>
      <c r="N212" s="140"/>
      <c r="O212" s="141"/>
      <c r="P212" s="140"/>
      <c r="Q212" s="142"/>
      <c r="R212" s="142"/>
    </row>
    <row r="213" spans="1:18" ht="17.45" customHeight="1" thickBot="1">
      <c r="A213" s="283"/>
      <c r="B213" s="284"/>
      <c r="C213" s="284"/>
      <c r="D213" s="284"/>
      <c r="E213" s="284"/>
      <c r="F213" s="284"/>
      <c r="G213" s="284"/>
      <c r="H213" s="284"/>
      <c r="I213" s="284"/>
      <c r="J213" s="284"/>
      <c r="K213" s="284"/>
      <c r="L213" s="284"/>
      <c r="M213" s="284"/>
      <c r="N213" s="284"/>
      <c r="O213" s="284"/>
      <c r="P213" s="284"/>
      <c r="Q213" s="284"/>
      <c r="R213" s="285"/>
    </row>
    <row r="214" spans="1:18" ht="22.15" customHeight="1" thickTop="1" thickBot="1">
      <c r="A214" s="279" t="s">
        <v>6</v>
      </c>
      <c r="B214" s="295"/>
      <c r="C214" s="295"/>
      <c r="D214" s="295"/>
      <c r="E214" s="295"/>
      <c r="F214" s="296"/>
      <c r="G214" s="32">
        <v>46049</v>
      </c>
      <c r="H214" s="278" t="s">
        <v>7</v>
      </c>
      <c r="I214" s="295"/>
      <c r="J214" s="295"/>
      <c r="K214" s="295"/>
      <c r="L214" s="295"/>
      <c r="M214" s="295"/>
      <c r="N214" s="295"/>
      <c r="O214" s="295"/>
      <c r="P214" s="295"/>
      <c r="Q214" s="295"/>
      <c r="R214" s="296"/>
    </row>
    <row r="215" spans="1:18" ht="24" customHeight="1">
      <c r="A215" s="33" t="s">
        <v>8</v>
      </c>
      <c r="B215" s="33" t="s">
        <v>9</v>
      </c>
      <c r="C215" s="34" t="s">
        <v>10</v>
      </c>
      <c r="D215" s="33" t="s">
        <v>11</v>
      </c>
      <c r="E215" s="33" t="s">
        <v>12</v>
      </c>
      <c r="F215" s="35" t="s">
        <v>13</v>
      </c>
      <c r="G215" s="36" t="s">
        <v>14</v>
      </c>
      <c r="H215" s="33" t="s">
        <v>15</v>
      </c>
      <c r="I215" s="37" t="s">
        <v>16</v>
      </c>
      <c r="J215" s="38" t="s">
        <v>17</v>
      </c>
      <c r="K215" s="39" t="s">
        <v>18</v>
      </c>
      <c r="L215" s="38" t="s">
        <v>19</v>
      </c>
      <c r="M215" s="38" t="s">
        <v>20</v>
      </c>
      <c r="N215" s="38" t="s">
        <v>21</v>
      </c>
      <c r="O215" s="33" t="s">
        <v>22</v>
      </c>
      <c r="P215" s="34" t="s">
        <v>23</v>
      </c>
      <c r="Q215" s="38" t="s">
        <v>24</v>
      </c>
      <c r="R215" s="33" t="s">
        <v>25</v>
      </c>
    </row>
    <row r="216" spans="1:18" ht="15" customHeight="1">
      <c r="A216" s="67" t="s">
        <v>61</v>
      </c>
      <c r="B216" s="67" t="s">
        <v>321</v>
      </c>
      <c r="C216" s="68">
        <v>0.125</v>
      </c>
      <c r="D216" s="67" t="s">
        <v>63</v>
      </c>
      <c r="E216" s="67" t="s">
        <v>51</v>
      </c>
      <c r="F216" s="67" t="s">
        <v>322</v>
      </c>
      <c r="G216" s="297"/>
      <c r="H216" s="69" t="s">
        <v>323</v>
      </c>
      <c r="I216" s="70">
        <v>5.5999999999999999E-3</v>
      </c>
      <c r="J216" s="71">
        <v>1</v>
      </c>
      <c r="K216" s="72">
        <v>46334</v>
      </c>
      <c r="L216" s="71">
        <v>1</v>
      </c>
      <c r="M216" s="71">
        <v>0</v>
      </c>
      <c r="N216" s="71">
        <v>0</v>
      </c>
      <c r="O216" s="73" t="s">
        <v>326</v>
      </c>
      <c r="P216" s="74">
        <v>0.125</v>
      </c>
      <c r="Q216" s="71">
        <v>180</v>
      </c>
      <c r="R216" s="75" t="s">
        <v>302</v>
      </c>
    </row>
    <row r="217" spans="1:18" ht="18">
      <c r="A217" s="292" t="s">
        <v>266</v>
      </c>
      <c r="B217" s="303"/>
      <c r="C217" s="303"/>
      <c r="D217" s="303"/>
      <c r="E217" s="303"/>
      <c r="F217" s="304"/>
      <c r="G217" s="298"/>
      <c r="H217" s="138"/>
      <c r="I217" s="138"/>
      <c r="J217" s="138"/>
      <c r="K217" s="138"/>
      <c r="L217" s="138"/>
      <c r="M217" s="138"/>
      <c r="N217" s="138"/>
      <c r="O217" s="139"/>
      <c r="P217" s="138"/>
      <c r="Q217" s="107"/>
      <c r="R217" s="107"/>
    </row>
    <row r="218" spans="1:18" ht="15" customHeight="1">
      <c r="A218" s="17" t="s">
        <v>38</v>
      </c>
      <c r="B218" s="17" t="s">
        <v>39</v>
      </c>
      <c r="C218" s="18" t="s">
        <v>257</v>
      </c>
      <c r="D218" s="17" t="s">
        <v>40</v>
      </c>
      <c r="E218" s="17" t="s">
        <v>270</v>
      </c>
      <c r="F218" s="17" t="s">
        <v>78</v>
      </c>
      <c r="G218" s="298"/>
      <c r="H218" s="138"/>
      <c r="I218" s="138"/>
      <c r="J218" s="138"/>
      <c r="K218" s="138"/>
      <c r="L218" s="138"/>
      <c r="M218" s="138"/>
      <c r="N218" s="138"/>
      <c r="O218" s="139"/>
      <c r="P218" s="138"/>
      <c r="Q218" s="107"/>
      <c r="R218" s="107"/>
    </row>
    <row r="219" spans="1:18" ht="15" customHeight="1">
      <c r="A219" s="17" t="s">
        <v>38</v>
      </c>
      <c r="B219" s="17" t="s">
        <v>87</v>
      </c>
      <c r="C219" s="18" t="s">
        <v>280</v>
      </c>
      <c r="D219" s="17" t="s">
        <v>40</v>
      </c>
      <c r="E219" s="17" t="s">
        <v>268</v>
      </c>
      <c r="F219" s="17" t="s">
        <v>78</v>
      </c>
      <c r="G219" s="298"/>
      <c r="H219" s="138"/>
      <c r="I219" s="138"/>
      <c r="J219" s="138"/>
      <c r="K219" s="138"/>
      <c r="L219" s="138"/>
      <c r="M219" s="138"/>
      <c r="N219" s="138"/>
      <c r="O219" s="139"/>
      <c r="P219" s="138"/>
      <c r="Q219" s="107"/>
      <c r="R219" s="107"/>
    </row>
    <row r="220" spans="1:18" ht="15" customHeight="1">
      <c r="A220" s="17" t="s">
        <v>38</v>
      </c>
      <c r="B220" s="17" t="s">
        <v>39</v>
      </c>
      <c r="C220" s="18" t="s">
        <v>257</v>
      </c>
      <c r="D220" s="17" t="s">
        <v>43</v>
      </c>
      <c r="E220" s="17" t="s">
        <v>270</v>
      </c>
      <c r="F220" s="17" t="s">
        <v>79</v>
      </c>
      <c r="G220" s="298"/>
      <c r="H220" s="138"/>
      <c r="I220" s="138"/>
      <c r="J220" s="138"/>
      <c r="K220" s="138"/>
      <c r="L220" s="138"/>
      <c r="M220" s="138"/>
      <c r="N220" s="138"/>
      <c r="O220" s="139"/>
      <c r="P220" s="138"/>
      <c r="Q220" s="107"/>
      <c r="R220" s="107"/>
    </row>
    <row r="221" spans="1:18" ht="15" customHeight="1">
      <c r="A221" s="17" t="s">
        <v>38</v>
      </c>
      <c r="B221" s="17" t="s">
        <v>87</v>
      </c>
      <c r="C221" s="18" t="s">
        <v>280</v>
      </c>
      <c r="D221" s="17" t="s">
        <v>43</v>
      </c>
      <c r="E221" s="17" t="s">
        <v>268</v>
      </c>
      <c r="F221" s="17" t="s">
        <v>79</v>
      </c>
      <c r="G221" s="298"/>
      <c r="H221" s="138"/>
      <c r="I221" s="138"/>
      <c r="J221" s="138"/>
      <c r="K221" s="138"/>
      <c r="L221" s="138"/>
      <c r="M221" s="138"/>
      <c r="N221" s="138"/>
      <c r="O221" s="139"/>
      <c r="P221" s="138"/>
      <c r="Q221" s="107"/>
      <c r="R221" s="107"/>
    </row>
    <row r="222" spans="1:18" ht="15" customHeight="1">
      <c r="A222" s="17" t="s">
        <v>61</v>
      </c>
      <c r="B222" s="17" t="s">
        <v>62</v>
      </c>
      <c r="C222" s="18" t="s">
        <v>243</v>
      </c>
      <c r="D222" s="17" t="s">
        <v>63</v>
      </c>
      <c r="E222" s="17" t="s">
        <v>269</v>
      </c>
      <c r="F222" s="17" t="s">
        <v>64</v>
      </c>
      <c r="G222" s="298"/>
      <c r="H222" s="138"/>
      <c r="I222" s="138"/>
      <c r="J222" s="138"/>
      <c r="K222" s="138"/>
      <c r="L222" s="138"/>
      <c r="M222" s="138"/>
      <c r="N222" s="138"/>
      <c r="O222" s="139"/>
      <c r="P222" s="138"/>
      <c r="Q222" s="107"/>
      <c r="R222" s="107"/>
    </row>
    <row r="223" spans="1:18" ht="15" customHeight="1">
      <c r="A223" s="17" t="s">
        <v>38</v>
      </c>
      <c r="B223" s="17" t="s">
        <v>39</v>
      </c>
      <c r="C223" s="18" t="s">
        <v>257</v>
      </c>
      <c r="D223" s="17" t="s">
        <v>46</v>
      </c>
      <c r="E223" s="17" t="s">
        <v>270</v>
      </c>
      <c r="F223" s="17" t="s">
        <v>47</v>
      </c>
      <c r="G223" s="298"/>
      <c r="H223" s="138"/>
      <c r="I223" s="138"/>
      <c r="J223" s="138"/>
      <c r="K223" s="138"/>
      <c r="L223" s="138"/>
      <c r="M223" s="138"/>
      <c r="N223" s="138"/>
      <c r="O223" s="139"/>
      <c r="P223" s="138"/>
      <c r="Q223" s="107"/>
      <c r="R223" s="107"/>
    </row>
    <row r="224" spans="1:18" ht="15" customHeight="1">
      <c r="A224" s="17" t="s">
        <v>38</v>
      </c>
      <c r="B224" s="17" t="s">
        <v>87</v>
      </c>
      <c r="C224" s="18" t="s">
        <v>280</v>
      </c>
      <c r="D224" s="17" t="s">
        <v>46</v>
      </c>
      <c r="E224" s="17" t="s">
        <v>268</v>
      </c>
      <c r="F224" s="17" t="s">
        <v>47</v>
      </c>
      <c r="G224" s="298"/>
      <c r="H224" s="138"/>
      <c r="I224" s="138"/>
      <c r="J224" s="138"/>
      <c r="K224" s="138"/>
      <c r="L224" s="138"/>
      <c r="M224" s="138"/>
      <c r="N224" s="138"/>
      <c r="O224" s="139"/>
      <c r="P224" s="138"/>
      <c r="Q224" s="107"/>
      <c r="R224" s="107"/>
    </row>
    <row r="225" spans="1:18" ht="15" customHeight="1">
      <c r="A225" s="17" t="s">
        <v>26</v>
      </c>
      <c r="B225" s="17" t="s">
        <v>27</v>
      </c>
      <c r="C225" s="18" t="s">
        <v>255</v>
      </c>
      <c r="D225" s="17" t="s">
        <v>28</v>
      </c>
      <c r="E225" s="17" t="s">
        <v>270</v>
      </c>
      <c r="F225" s="17" t="s">
        <v>189</v>
      </c>
      <c r="G225" s="298"/>
      <c r="H225" s="138"/>
      <c r="I225" s="138"/>
      <c r="J225" s="138"/>
      <c r="K225" s="138"/>
      <c r="L225" s="138"/>
      <c r="M225" s="138"/>
      <c r="N225" s="138"/>
      <c r="O225" s="139"/>
      <c r="P225" s="138"/>
      <c r="Q225" s="107"/>
      <c r="R225" s="107"/>
    </row>
    <row r="226" spans="1:18" ht="15" customHeight="1">
      <c r="A226" s="17" t="s">
        <v>48</v>
      </c>
      <c r="B226" s="17" t="s">
        <v>59</v>
      </c>
      <c r="C226" s="18" t="s">
        <v>257</v>
      </c>
      <c r="D226" s="17" t="s">
        <v>53</v>
      </c>
      <c r="E226" s="17" t="s">
        <v>267</v>
      </c>
      <c r="F226" s="17" t="s">
        <v>93</v>
      </c>
      <c r="G226" s="298"/>
      <c r="H226" s="138"/>
      <c r="I226" s="138"/>
      <c r="J226" s="138"/>
      <c r="K226" s="138"/>
      <c r="L226" s="138"/>
      <c r="M226" s="138"/>
      <c r="N226" s="138"/>
      <c r="O226" s="139"/>
      <c r="P226" s="138"/>
      <c r="Q226" s="107"/>
      <c r="R226" s="107"/>
    </row>
    <row r="227" spans="1:18" ht="15" customHeight="1" thickBot="1">
      <c r="A227" s="30" t="s">
        <v>26</v>
      </c>
      <c r="B227" s="30" t="s">
        <v>27</v>
      </c>
      <c r="C227" s="31" t="s">
        <v>255</v>
      </c>
      <c r="D227" s="30" t="s">
        <v>31</v>
      </c>
      <c r="E227" s="30" t="s">
        <v>270</v>
      </c>
      <c r="F227" s="30" t="s">
        <v>190</v>
      </c>
      <c r="G227" s="299"/>
      <c r="H227" s="140"/>
      <c r="I227" s="140"/>
      <c r="J227" s="140"/>
      <c r="K227" s="140"/>
      <c r="L227" s="140"/>
      <c r="M227" s="140"/>
      <c r="N227" s="140"/>
      <c r="O227" s="141"/>
      <c r="P227" s="140"/>
      <c r="Q227" s="142"/>
      <c r="R227" s="142"/>
    </row>
    <row r="228" spans="1:18" ht="17.45" customHeight="1" thickBot="1">
      <c r="A228" s="283"/>
      <c r="B228" s="284"/>
      <c r="C228" s="284"/>
      <c r="D228" s="284"/>
      <c r="E228" s="284"/>
      <c r="F228" s="284"/>
      <c r="G228" s="284"/>
      <c r="H228" s="284"/>
      <c r="I228" s="284"/>
      <c r="J228" s="284"/>
      <c r="K228" s="284"/>
      <c r="L228" s="284"/>
      <c r="M228" s="284"/>
      <c r="N228" s="284"/>
      <c r="O228" s="284"/>
      <c r="P228" s="284"/>
      <c r="Q228" s="284"/>
      <c r="R228" s="285"/>
    </row>
    <row r="229" spans="1:18" ht="22.15" customHeight="1" thickTop="1" thickBot="1">
      <c r="A229" s="279" t="s">
        <v>6</v>
      </c>
      <c r="B229" s="295"/>
      <c r="C229" s="295"/>
      <c r="D229" s="295"/>
      <c r="E229" s="295"/>
      <c r="F229" s="296"/>
      <c r="G229" s="32">
        <v>46050</v>
      </c>
      <c r="H229" s="278" t="s">
        <v>7</v>
      </c>
      <c r="I229" s="295"/>
      <c r="J229" s="295"/>
      <c r="K229" s="295"/>
      <c r="L229" s="295"/>
      <c r="M229" s="295"/>
      <c r="N229" s="295"/>
      <c r="O229" s="295"/>
      <c r="P229" s="295"/>
      <c r="Q229" s="295"/>
      <c r="R229" s="296"/>
    </row>
    <row r="230" spans="1:18" ht="24" customHeight="1">
      <c r="A230" s="33" t="s">
        <v>8</v>
      </c>
      <c r="B230" s="33" t="s">
        <v>9</v>
      </c>
      <c r="C230" s="34" t="s">
        <v>10</v>
      </c>
      <c r="D230" s="33" t="s">
        <v>11</v>
      </c>
      <c r="E230" s="33" t="s">
        <v>12</v>
      </c>
      <c r="F230" s="35" t="s">
        <v>13</v>
      </c>
      <c r="G230" s="36" t="s">
        <v>14</v>
      </c>
      <c r="H230" s="33" t="s">
        <v>15</v>
      </c>
      <c r="I230" s="37" t="s">
        <v>16</v>
      </c>
      <c r="J230" s="38" t="s">
        <v>17</v>
      </c>
      <c r="K230" s="39" t="s">
        <v>18</v>
      </c>
      <c r="L230" s="38" t="s">
        <v>19</v>
      </c>
      <c r="M230" s="38" t="s">
        <v>20</v>
      </c>
      <c r="N230" s="38" t="s">
        <v>21</v>
      </c>
      <c r="O230" s="33" t="s">
        <v>22</v>
      </c>
      <c r="P230" s="34" t="s">
        <v>23</v>
      </c>
      <c r="Q230" s="38" t="s">
        <v>24</v>
      </c>
      <c r="R230" s="33" t="s">
        <v>25</v>
      </c>
    </row>
    <row r="231" spans="1:18" ht="15" customHeight="1">
      <c r="A231" s="21" t="s">
        <v>61</v>
      </c>
      <c r="B231" s="21" t="s">
        <v>327</v>
      </c>
      <c r="C231" s="22">
        <v>0.46180555555555558</v>
      </c>
      <c r="D231" s="21" t="s">
        <v>63</v>
      </c>
      <c r="E231" s="21" t="s">
        <v>51</v>
      </c>
      <c r="F231" s="21" t="s">
        <v>322</v>
      </c>
      <c r="G231" s="302"/>
      <c r="H231" s="23" t="s">
        <v>328</v>
      </c>
      <c r="I231" s="24">
        <v>5.5999999999999999E-3</v>
      </c>
      <c r="J231" s="25">
        <v>1</v>
      </c>
      <c r="K231" s="26">
        <v>46317</v>
      </c>
      <c r="L231" s="25">
        <v>1</v>
      </c>
      <c r="M231" s="25">
        <v>0</v>
      </c>
      <c r="N231" s="25">
        <v>0</v>
      </c>
      <c r="O231" s="27" t="s">
        <v>326</v>
      </c>
      <c r="P231" s="28">
        <v>0.46180555555555558</v>
      </c>
      <c r="Q231" s="25">
        <v>180</v>
      </c>
      <c r="R231" s="29" t="s">
        <v>302</v>
      </c>
    </row>
    <row r="232" spans="1:18" ht="18">
      <c r="A232" s="292" t="s">
        <v>266</v>
      </c>
      <c r="B232" s="303"/>
      <c r="C232" s="303"/>
      <c r="D232" s="303"/>
      <c r="E232" s="303"/>
      <c r="F232" s="304"/>
      <c r="G232" s="298"/>
      <c r="H232" s="138"/>
      <c r="I232" s="138"/>
      <c r="J232" s="138"/>
      <c r="K232" s="138"/>
      <c r="L232" s="138"/>
      <c r="M232" s="138"/>
      <c r="N232" s="138"/>
      <c r="O232" s="139"/>
      <c r="P232" s="138"/>
      <c r="Q232" s="107"/>
      <c r="R232" s="107"/>
    </row>
    <row r="233" spans="1:18" ht="15" customHeight="1">
      <c r="A233" s="17" t="s">
        <v>38</v>
      </c>
      <c r="B233" s="17" t="s">
        <v>39</v>
      </c>
      <c r="C233" s="18" t="s">
        <v>257</v>
      </c>
      <c r="D233" s="17" t="s">
        <v>40</v>
      </c>
      <c r="E233" s="17" t="s">
        <v>308</v>
      </c>
      <c r="F233" s="17" t="s">
        <v>78</v>
      </c>
      <c r="G233" s="298"/>
      <c r="H233" s="138"/>
      <c r="I233" s="138"/>
      <c r="J233" s="138"/>
      <c r="K233" s="138"/>
      <c r="L233" s="138"/>
      <c r="M233" s="138"/>
      <c r="N233" s="138"/>
      <c r="O233" s="139"/>
      <c r="P233" s="138"/>
      <c r="Q233" s="107"/>
      <c r="R233" s="107"/>
    </row>
    <row r="234" spans="1:18" ht="15" customHeight="1">
      <c r="A234" s="17" t="s">
        <v>26</v>
      </c>
      <c r="B234" s="17" t="s">
        <v>27</v>
      </c>
      <c r="C234" s="18" t="s">
        <v>255</v>
      </c>
      <c r="D234" s="17" t="s">
        <v>28</v>
      </c>
      <c r="E234" s="17" t="s">
        <v>294</v>
      </c>
      <c r="F234" s="17" t="s">
        <v>89</v>
      </c>
      <c r="G234" s="298"/>
      <c r="H234" s="138"/>
      <c r="I234" s="138"/>
      <c r="J234" s="138"/>
      <c r="K234" s="138"/>
      <c r="L234" s="138"/>
      <c r="M234" s="138"/>
      <c r="N234" s="138"/>
      <c r="O234" s="139"/>
      <c r="P234" s="138"/>
      <c r="Q234" s="107"/>
      <c r="R234" s="107"/>
    </row>
    <row r="235" spans="1:18" ht="15" customHeight="1">
      <c r="A235" s="17" t="s">
        <v>38</v>
      </c>
      <c r="B235" s="17" t="s">
        <v>39</v>
      </c>
      <c r="C235" s="18" t="s">
        <v>257</v>
      </c>
      <c r="D235" s="17" t="s">
        <v>43</v>
      </c>
      <c r="E235" s="17" t="s">
        <v>308</v>
      </c>
      <c r="F235" s="17" t="s">
        <v>79</v>
      </c>
      <c r="G235" s="298"/>
      <c r="H235" s="138"/>
      <c r="I235" s="138"/>
      <c r="J235" s="138"/>
      <c r="K235" s="138"/>
      <c r="L235" s="138"/>
      <c r="M235" s="138"/>
      <c r="N235" s="138"/>
      <c r="O235" s="139"/>
      <c r="P235" s="138"/>
      <c r="Q235" s="107"/>
      <c r="R235" s="107"/>
    </row>
    <row r="236" spans="1:18" ht="15" customHeight="1">
      <c r="A236" s="17" t="s">
        <v>26</v>
      </c>
      <c r="B236" s="17" t="s">
        <v>27</v>
      </c>
      <c r="C236" s="18" t="s">
        <v>255</v>
      </c>
      <c r="D236" s="17" t="s">
        <v>31</v>
      </c>
      <c r="E236" s="17" t="s">
        <v>294</v>
      </c>
      <c r="F236" s="17" t="s">
        <v>138</v>
      </c>
      <c r="G236" s="298"/>
      <c r="H236" s="138"/>
      <c r="I236" s="138"/>
      <c r="J236" s="138"/>
      <c r="K236" s="138"/>
      <c r="L236" s="138"/>
      <c r="M236" s="138"/>
      <c r="N236" s="138"/>
      <c r="O236" s="139"/>
      <c r="P236" s="138"/>
      <c r="Q236" s="107"/>
      <c r="R236" s="107"/>
    </row>
    <row r="237" spans="1:18" ht="15" customHeight="1">
      <c r="A237" s="17" t="s">
        <v>26</v>
      </c>
      <c r="B237" s="17" t="s">
        <v>27</v>
      </c>
      <c r="C237" s="18" t="s">
        <v>255</v>
      </c>
      <c r="D237" s="17" t="s">
        <v>34</v>
      </c>
      <c r="E237" s="17" t="s">
        <v>294</v>
      </c>
      <c r="F237" s="17" t="s">
        <v>139</v>
      </c>
      <c r="G237" s="298"/>
      <c r="H237" s="138"/>
      <c r="I237" s="138"/>
      <c r="J237" s="138"/>
      <c r="K237" s="138"/>
      <c r="L237" s="138"/>
      <c r="M237" s="138"/>
      <c r="N237" s="138"/>
      <c r="O237" s="139"/>
      <c r="P237" s="138"/>
      <c r="Q237" s="107"/>
      <c r="R237" s="107"/>
    </row>
    <row r="238" spans="1:18" ht="15" customHeight="1">
      <c r="A238" s="17" t="s">
        <v>38</v>
      </c>
      <c r="B238" s="17" t="s">
        <v>39</v>
      </c>
      <c r="C238" s="18" t="s">
        <v>257</v>
      </c>
      <c r="D238" s="17" t="s">
        <v>46</v>
      </c>
      <c r="E238" s="17" t="s">
        <v>308</v>
      </c>
      <c r="F238" s="17" t="s">
        <v>47</v>
      </c>
      <c r="G238" s="298"/>
      <c r="H238" s="138"/>
      <c r="I238" s="138"/>
      <c r="J238" s="138"/>
      <c r="K238" s="138"/>
      <c r="L238" s="138"/>
      <c r="M238" s="138"/>
      <c r="N238" s="138"/>
      <c r="O238" s="139"/>
      <c r="P238" s="138"/>
      <c r="Q238" s="107"/>
      <c r="R238" s="107"/>
    </row>
    <row r="239" spans="1:18" ht="15" customHeight="1">
      <c r="A239" s="17" t="s">
        <v>48</v>
      </c>
      <c r="B239" s="17" t="s">
        <v>59</v>
      </c>
      <c r="C239" s="18" t="s">
        <v>257</v>
      </c>
      <c r="D239" s="17" t="s">
        <v>53</v>
      </c>
      <c r="E239" s="17" t="s">
        <v>267</v>
      </c>
      <c r="F239" s="17" t="s">
        <v>93</v>
      </c>
      <c r="G239" s="298"/>
      <c r="H239" s="138"/>
      <c r="I239" s="138"/>
      <c r="J239" s="138"/>
      <c r="K239" s="138"/>
      <c r="L239" s="138"/>
      <c r="M239" s="138"/>
      <c r="N239" s="138"/>
      <c r="O239" s="139"/>
      <c r="P239" s="138"/>
      <c r="Q239" s="107"/>
      <c r="R239" s="107"/>
    </row>
    <row r="240" spans="1:18" ht="15" customHeight="1">
      <c r="A240" s="17" t="s">
        <v>68</v>
      </c>
      <c r="B240" s="17" t="s">
        <v>74</v>
      </c>
      <c r="C240" s="18" t="s">
        <v>282</v>
      </c>
      <c r="D240" s="17" t="s">
        <v>70</v>
      </c>
      <c r="E240" s="17" t="s">
        <v>269</v>
      </c>
      <c r="F240" s="17" t="s">
        <v>169</v>
      </c>
      <c r="G240" s="298"/>
      <c r="H240" s="138"/>
      <c r="I240" s="138"/>
      <c r="J240" s="138"/>
      <c r="K240" s="138"/>
      <c r="L240" s="138"/>
      <c r="M240" s="138"/>
      <c r="N240" s="138"/>
      <c r="O240" s="139"/>
      <c r="P240" s="138"/>
      <c r="Q240" s="107"/>
      <c r="R240" s="107"/>
    </row>
    <row r="241" spans="1:18" ht="15" customHeight="1">
      <c r="A241" s="17" t="s">
        <v>68</v>
      </c>
      <c r="B241" s="17" t="s">
        <v>76</v>
      </c>
      <c r="C241" s="18" t="s">
        <v>272</v>
      </c>
      <c r="D241" s="17" t="s">
        <v>70</v>
      </c>
      <c r="E241" s="17" t="s">
        <v>269</v>
      </c>
      <c r="F241" s="17" t="s">
        <v>169</v>
      </c>
      <c r="G241" s="298"/>
      <c r="H241" s="138"/>
      <c r="I241" s="138"/>
      <c r="J241" s="138"/>
      <c r="K241" s="138"/>
      <c r="L241" s="138"/>
      <c r="M241" s="138"/>
      <c r="N241" s="138"/>
      <c r="O241" s="139"/>
      <c r="P241" s="138"/>
      <c r="Q241" s="107"/>
      <c r="R241" s="107"/>
    </row>
    <row r="242" spans="1:18" ht="15" customHeight="1" thickBot="1">
      <c r="A242" s="30" t="s">
        <v>68</v>
      </c>
      <c r="B242" s="30" t="s">
        <v>73</v>
      </c>
      <c r="C242" s="31" t="s">
        <v>274</v>
      </c>
      <c r="D242" s="30" t="s">
        <v>70</v>
      </c>
      <c r="E242" s="30" t="s">
        <v>269</v>
      </c>
      <c r="F242" s="30" t="s">
        <v>169</v>
      </c>
      <c r="G242" s="299"/>
      <c r="H242" s="140"/>
      <c r="I242" s="140"/>
      <c r="J242" s="140"/>
      <c r="K242" s="140"/>
      <c r="L242" s="140"/>
      <c r="M242" s="140"/>
      <c r="N242" s="140"/>
      <c r="O242" s="141"/>
      <c r="P242" s="140"/>
      <c r="Q242" s="142"/>
      <c r="R242" s="142"/>
    </row>
    <row r="243" spans="1:18" ht="17.45" customHeight="1" thickBot="1">
      <c r="A243" s="283"/>
      <c r="B243" s="284"/>
      <c r="C243" s="284"/>
      <c r="D243" s="284"/>
      <c r="E243" s="284"/>
      <c r="F243" s="284"/>
      <c r="G243" s="284"/>
      <c r="H243" s="284"/>
      <c r="I243" s="284"/>
      <c r="J243" s="284"/>
      <c r="K243" s="284"/>
      <c r="L243" s="284"/>
      <c r="M243" s="284"/>
      <c r="N243" s="284"/>
      <c r="O243" s="284"/>
      <c r="P243" s="284"/>
      <c r="Q243" s="284"/>
      <c r="R243" s="285"/>
    </row>
    <row r="244" spans="1:18" ht="22.15" customHeight="1" thickTop="1" thickBot="1">
      <c r="A244" s="279" t="s">
        <v>6</v>
      </c>
      <c r="B244" s="295"/>
      <c r="C244" s="295"/>
      <c r="D244" s="295"/>
      <c r="E244" s="295"/>
      <c r="F244" s="296"/>
      <c r="G244" s="32">
        <v>46053</v>
      </c>
      <c r="H244" s="278" t="s">
        <v>7</v>
      </c>
      <c r="I244" s="295"/>
      <c r="J244" s="295"/>
      <c r="K244" s="295"/>
      <c r="L244" s="295"/>
      <c r="M244" s="295"/>
      <c r="N244" s="295"/>
      <c r="O244" s="295"/>
      <c r="P244" s="295"/>
      <c r="Q244" s="295"/>
      <c r="R244" s="296"/>
    </row>
    <row r="245" spans="1:18" ht="24" customHeight="1">
      <c r="A245" s="33" t="s">
        <v>8</v>
      </c>
      <c r="B245" s="33" t="s">
        <v>9</v>
      </c>
      <c r="C245" s="34" t="s">
        <v>10</v>
      </c>
      <c r="D245" s="33" t="s">
        <v>11</v>
      </c>
      <c r="E245" s="33" t="s">
        <v>12</v>
      </c>
      <c r="F245" s="35" t="s">
        <v>13</v>
      </c>
      <c r="G245" s="36" t="s">
        <v>14</v>
      </c>
      <c r="H245" s="33" t="s">
        <v>15</v>
      </c>
      <c r="I245" s="37" t="s">
        <v>16</v>
      </c>
      <c r="J245" s="38" t="s">
        <v>17</v>
      </c>
      <c r="K245" s="39" t="s">
        <v>18</v>
      </c>
      <c r="L245" s="38" t="s">
        <v>19</v>
      </c>
      <c r="M245" s="38" t="s">
        <v>20</v>
      </c>
      <c r="N245" s="38" t="s">
        <v>21</v>
      </c>
      <c r="O245" s="33" t="s">
        <v>22</v>
      </c>
      <c r="P245" s="34" t="s">
        <v>23</v>
      </c>
      <c r="Q245" s="38" t="s">
        <v>24</v>
      </c>
      <c r="R245" s="33" t="s">
        <v>25</v>
      </c>
    </row>
    <row r="246" spans="1:18" ht="15" customHeight="1">
      <c r="A246" s="98" t="s">
        <v>61</v>
      </c>
      <c r="B246" s="98" t="s">
        <v>321</v>
      </c>
      <c r="C246" s="99">
        <v>0.80208333333333337</v>
      </c>
      <c r="D246" s="98" t="s">
        <v>63</v>
      </c>
      <c r="E246" s="98" t="s">
        <v>100</v>
      </c>
      <c r="F246" s="98" t="s">
        <v>322</v>
      </c>
      <c r="G246" s="302"/>
      <c r="H246" s="100" t="s">
        <v>323</v>
      </c>
      <c r="I246" s="101">
        <v>1.11E-2</v>
      </c>
      <c r="J246" s="102">
        <v>2</v>
      </c>
      <c r="K246" s="103">
        <v>46343</v>
      </c>
      <c r="L246" s="102">
        <v>2</v>
      </c>
      <c r="M246" s="102">
        <v>0</v>
      </c>
      <c r="N246" s="102">
        <v>0</v>
      </c>
      <c r="O246" s="104" t="s">
        <v>324</v>
      </c>
      <c r="P246" s="105">
        <v>0.80208333333333337</v>
      </c>
      <c r="Q246" s="102">
        <v>180</v>
      </c>
      <c r="R246" s="106" t="s">
        <v>325</v>
      </c>
    </row>
    <row r="247" spans="1:18" ht="18">
      <c r="A247" s="292" t="s">
        <v>266</v>
      </c>
      <c r="B247" s="303"/>
      <c r="C247" s="303"/>
      <c r="D247" s="303"/>
      <c r="E247" s="303"/>
      <c r="F247" s="304"/>
      <c r="G247" s="298"/>
      <c r="H247" s="138"/>
      <c r="I247" s="138"/>
      <c r="J247" s="138"/>
      <c r="K247" s="138"/>
      <c r="L247" s="138"/>
      <c r="M247" s="138"/>
      <c r="N247" s="138"/>
      <c r="O247" s="139"/>
      <c r="P247" s="138"/>
      <c r="Q247" s="107"/>
      <c r="R247" s="107"/>
    </row>
    <row r="248" spans="1:18" ht="15" customHeight="1">
      <c r="A248" s="17" t="s">
        <v>38</v>
      </c>
      <c r="B248" s="17" t="s">
        <v>39</v>
      </c>
      <c r="C248" s="18" t="s">
        <v>257</v>
      </c>
      <c r="D248" s="17" t="s">
        <v>40</v>
      </c>
      <c r="E248" s="17" t="s">
        <v>333</v>
      </c>
      <c r="F248" s="17" t="s">
        <v>78</v>
      </c>
      <c r="G248" s="298"/>
      <c r="H248" s="138"/>
      <c r="I248" s="138"/>
      <c r="J248" s="138"/>
      <c r="K248" s="138"/>
      <c r="L248" s="138"/>
      <c r="M248" s="138"/>
      <c r="N248" s="138"/>
      <c r="O248" s="139"/>
      <c r="P248" s="138"/>
      <c r="Q248" s="107"/>
      <c r="R248" s="107"/>
    </row>
    <row r="249" spans="1:18" ht="15" customHeight="1">
      <c r="A249" s="17" t="s">
        <v>38</v>
      </c>
      <c r="B249" s="17" t="s">
        <v>87</v>
      </c>
      <c r="C249" s="18" t="s">
        <v>280</v>
      </c>
      <c r="D249" s="17" t="s">
        <v>40</v>
      </c>
      <c r="E249" s="17" t="s">
        <v>268</v>
      </c>
      <c r="F249" s="17" t="s">
        <v>78</v>
      </c>
      <c r="G249" s="298"/>
      <c r="H249" s="138"/>
      <c r="I249" s="138"/>
      <c r="J249" s="138"/>
      <c r="K249" s="138"/>
      <c r="L249" s="138"/>
      <c r="M249" s="138"/>
      <c r="N249" s="138"/>
      <c r="O249" s="139"/>
      <c r="P249" s="138"/>
      <c r="Q249" s="107"/>
      <c r="R249" s="107"/>
    </row>
    <row r="250" spans="1:18" ht="15" customHeight="1">
      <c r="A250" s="17" t="s">
        <v>26</v>
      </c>
      <c r="B250" s="17" t="s">
        <v>27</v>
      </c>
      <c r="C250" s="18" t="s">
        <v>255</v>
      </c>
      <c r="D250" s="17" t="s">
        <v>28</v>
      </c>
      <c r="E250" s="17" t="s">
        <v>267</v>
      </c>
      <c r="F250" s="17" t="s">
        <v>89</v>
      </c>
      <c r="G250" s="298"/>
      <c r="H250" s="138"/>
      <c r="I250" s="138"/>
      <c r="J250" s="138"/>
      <c r="K250" s="138"/>
      <c r="L250" s="138"/>
      <c r="M250" s="138"/>
      <c r="N250" s="138"/>
      <c r="O250" s="139"/>
      <c r="P250" s="138"/>
      <c r="Q250" s="107"/>
      <c r="R250" s="107"/>
    </row>
    <row r="251" spans="1:18" ht="15" customHeight="1">
      <c r="A251" s="17" t="s">
        <v>26</v>
      </c>
      <c r="B251" s="17" t="s">
        <v>36</v>
      </c>
      <c r="C251" s="18" t="s">
        <v>256</v>
      </c>
      <c r="D251" s="17" t="s">
        <v>28</v>
      </c>
      <c r="E251" s="17" t="s">
        <v>286</v>
      </c>
      <c r="F251" s="17" t="s">
        <v>89</v>
      </c>
      <c r="G251" s="298"/>
      <c r="H251" s="138"/>
      <c r="I251" s="138"/>
      <c r="J251" s="138"/>
      <c r="K251" s="138"/>
      <c r="L251" s="138"/>
      <c r="M251" s="138"/>
      <c r="N251" s="138"/>
      <c r="O251" s="139"/>
      <c r="P251" s="138"/>
      <c r="Q251" s="107"/>
      <c r="R251" s="107"/>
    </row>
    <row r="252" spans="1:18" ht="15" customHeight="1">
      <c r="A252" s="17" t="s">
        <v>38</v>
      </c>
      <c r="B252" s="17" t="s">
        <v>39</v>
      </c>
      <c r="C252" s="18" t="s">
        <v>257</v>
      </c>
      <c r="D252" s="17" t="s">
        <v>43</v>
      </c>
      <c r="E252" s="17" t="s">
        <v>333</v>
      </c>
      <c r="F252" s="17" t="s">
        <v>79</v>
      </c>
      <c r="G252" s="298"/>
      <c r="H252" s="138"/>
      <c r="I252" s="138"/>
      <c r="J252" s="138"/>
      <c r="K252" s="138"/>
      <c r="L252" s="138"/>
      <c r="M252" s="138"/>
      <c r="N252" s="138"/>
      <c r="O252" s="139"/>
      <c r="P252" s="138"/>
      <c r="Q252" s="107"/>
      <c r="R252" s="107"/>
    </row>
    <row r="253" spans="1:18" ht="15" customHeight="1">
      <c r="A253" s="17" t="s">
        <v>38</v>
      </c>
      <c r="B253" s="17" t="s">
        <v>87</v>
      </c>
      <c r="C253" s="18" t="s">
        <v>280</v>
      </c>
      <c r="D253" s="17" t="s">
        <v>43</v>
      </c>
      <c r="E253" s="17" t="s">
        <v>268</v>
      </c>
      <c r="F253" s="17" t="s">
        <v>79</v>
      </c>
      <c r="G253" s="298"/>
      <c r="H253" s="138"/>
      <c r="I253" s="138"/>
      <c r="J253" s="138"/>
      <c r="K253" s="138"/>
      <c r="L253" s="138"/>
      <c r="M253" s="138"/>
      <c r="N253" s="138"/>
      <c r="O253" s="139"/>
      <c r="P253" s="138"/>
      <c r="Q253" s="107"/>
      <c r="R253" s="107"/>
    </row>
    <row r="254" spans="1:18" ht="15" customHeight="1">
      <c r="A254" s="17" t="s">
        <v>26</v>
      </c>
      <c r="B254" s="17" t="s">
        <v>27</v>
      </c>
      <c r="C254" s="18" t="s">
        <v>255</v>
      </c>
      <c r="D254" s="17" t="s">
        <v>31</v>
      </c>
      <c r="E254" s="17" t="s">
        <v>267</v>
      </c>
      <c r="F254" s="17" t="s">
        <v>138</v>
      </c>
      <c r="G254" s="298"/>
      <c r="H254" s="138"/>
      <c r="I254" s="138"/>
      <c r="J254" s="138"/>
      <c r="K254" s="138"/>
      <c r="L254" s="138"/>
      <c r="M254" s="138"/>
      <c r="N254" s="138"/>
      <c r="O254" s="139"/>
      <c r="P254" s="138"/>
      <c r="Q254" s="107"/>
      <c r="R254" s="107"/>
    </row>
    <row r="255" spans="1:18" ht="15" customHeight="1">
      <c r="A255" s="17" t="s">
        <v>26</v>
      </c>
      <c r="B255" s="17" t="s">
        <v>36</v>
      </c>
      <c r="C255" s="18" t="s">
        <v>256</v>
      </c>
      <c r="D255" s="17" t="s">
        <v>31</v>
      </c>
      <c r="E255" s="17" t="s">
        <v>286</v>
      </c>
      <c r="F255" s="17" t="s">
        <v>138</v>
      </c>
      <c r="G255" s="298"/>
      <c r="H255" s="138"/>
      <c r="I255" s="138"/>
      <c r="J255" s="138"/>
      <c r="K255" s="138"/>
      <c r="L255" s="138"/>
      <c r="M255" s="138"/>
      <c r="N255" s="138"/>
      <c r="O255" s="139"/>
      <c r="P255" s="138"/>
      <c r="Q255" s="107"/>
      <c r="R255" s="107"/>
    </row>
    <row r="256" spans="1:18" ht="15" customHeight="1">
      <c r="A256" s="17" t="s">
        <v>61</v>
      </c>
      <c r="B256" s="17" t="s">
        <v>62</v>
      </c>
      <c r="C256" s="18" t="s">
        <v>235</v>
      </c>
      <c r="D256" s="17" t="s">
        <v>63</v>
      </c>
      <c r="E256" s="17" t="s">
        <v>269</v>
      </c>
      <c r="F256" s="17" t="s">
        <v>64</v>
      </c>
      <c r="G256" s="298"/>
      <c r="H256" s="138"/>
      <c r="I256" s="138"/>
      <c r="J256" s="138"/>
      <c r="K256" s="138"/>
      <c r="L256" s="138"/>
      <c r="M256" s="138"/>
      <c r="N256" s="138"/>
      <c r="O256" s="139"/>
      <c r="P256" s="138"/>
      <c r="Q256" s="107"/>
      <c r="R256" s="107"/>
    </row>
    <row r="257" spans="1:18" ht="15" customHeight="1">
      <c r="A257" s="30" t="s">
        <v>26</v>
      </c>
      <c r="B257" s="30" t="s">
        <v>27</v>
      </c>
      <c r="C257" s="31" t="s">
        <v>255</v>
      </c>
      <c r="D257" s="30" t="s">
        <v>34</v>
      </c>
      <c r="E257" s="30" t="s">
        <v>267</v>
      </c>
      <c r="F257" s="30" t="s">
        <v>139</v>
      </c>
      <c r="G257" s="299"/>
      <c r="H257" s="140"/>
      <c r="I257" s="140"/>
      <c r="J257" s="140"/>
      <c r="K257" s="140"/>
      <c r="L257" s="140"/>
      <c r="M257" s="140"/>
      <c r="N257" s="140"/>
      <c r="O257" s="141"/>
      <c r="P257" s="140"/>
      <c r="Q257" s="142"/>
      <c r="R257" s="142"/>
    </row>
  </sheetData>
  <mergeCells count="91">
    <mergeCell ref="A243:R243"/>
    <mergeCell ref="G231:G242"/>
    <mergeCell ref="A108:R108"/>
    <mergeCell ref="H1:L1"/>
    <mergeCell ref="A1:E1"/>
    <mergeCell ref="A18:R18"/>
    <mergeCell ref="A33:R33"/>
    <mergeCell ref="A213:R213"/>
    <mergeCell ref="A97:F97"/>
    <mergeCell ref="G36:G47"/>
    <mergeCell ref="H169:R169"/>
    <mergeCell ref="H79:R79"/>
    <mergeCell ref="A202:F202"/>
    <mergeCell ref="G141:G152"/>
    <mergeCell ref="A64:F64"/>
    <mergeCell ref="G216:G227"/>
    <mergeCell ref="A7:F7"/>
    <mergeCell ref="A172:F172"/>
    <mergeCell ref="A153:R153"/>
    <mergeCell ref="H184:R184"/>
    <mergeCell ref="H19:R19"/>
    <mergeCell ref="A78:R78"/>
    <mergeCell ref="G21:G32"/>
    <mergeCell ref="G6:G17"/>
    <mergeCell ref="A48:R48"/>
    <mergeCell ref="A82:F82"/>
    <mergeCell ref="H139:R139"/>
    <mergeCell ref="A124:F124"/>
    <mergeCell ref="G51:G62"/>
    <mergeCell ref="A199:F199"/>
    <mergeCell ref="A112:F112"/>
    <mergeCell ref="A63:R63"/>
    <mergeCell ref="H109:R109"/>
    <mergeCell ref="A93:R93"/>
    <mergeCell ref="A127:F127"/>
    <mergeCell ref="G156:G167"/>
    <mergeCell ref="A2:F2"/>
    <mergeCell ref="H34:R34"/>
    <mergeCell ref="G81:G92"/>
    <mergeCell ref="G96:G107"/>
    <mergeCell ref="A22:F22"/>
    <mergeCell ref="H49:R49"/>
    <mergeCell ref="H94:R94"/>
    <mergeCell ref="N1:R1"/>
    <mergeCell ref="A19:F19"/>
    <mergeCell ref="G66:G77"/>
    <mergeCell ref="A229:F229"/>
    <mergeCell ref="K2:R2"/>
    <mergeCell ref="A34:F34"/>
    <mergeCell ref="A157:F157"/>
    <mergeCell ref="A49:F49"/>
    <mergeCell ref="H229:R229"/>
    <mergeCell ref="G171:G182"/>
    <mergeCell ref="A94:F94"/>
    <mergeCell ref="A123:R123"/>
    <mergeCell ref="A138:R138"/>
    <mergeCell ref="H199:R199"/>
    <mergeCell ref="A142:F142"/>
    <mergeCell ref="A169:F169"/>
    <mergeCell ref="A183:R183"/>
    <mergeCell ref="H4:R4"/>
    <mergeCell ref="A198:R198"/>
    <mergeCell ref="G2:J2"/>
    <mergeCell ref="A244:F244"/>
    <mergeCell ref="A109:F109"/>
    <mergeCell ref="A232:F232"/>
    <mergeCell ref="A79:F79"/>
    <mergeCell ref="A168:R168"/>
    <mergeCell ref="H154:R154"/>
    <mergeCell ref="A217:F217"/>
    <mergeCell ref="A139:F139"/>
    <mergeCell ref="A154:F154"/>
    <mergeCell ref="G201:G212"/>
    <mergeCell ref="H244:R244"/>
    <mergeCell ref="A214:F214"/>
    <mergeCell ref="A3:R3"/>
    <mergeCell ref="A247:F247"/>
    <mergeCell ref="H64:R64"/>
    <mergeCell ref="A4:F4"/>
    <mergeCell ref="G111:G122"/>
    <mergeCell ref="A184:F184"/>
    <mergeCell ref="A52:F52"/>
    <mergeCell ref="G126:G137"/>
    <mergeCell ref="A67:F67"/>
    <mergeCell ref="G186:G197"/>
    <mergeCell ref="H214:R214"/>
    <mergeCell ref="H124:R124"/>
    <mergeCell ref="A187:F187"/>
    <mergeCell ref="A228:R228"/>
    <mergeCell ref="G246:G257"/>
    <mergeCell ref="A37:F3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19"/>
  <sheetViews>
    <sheetView workbookViewId="0"/>
  </sheetViews>
  <sheetFormatPr defaultColWidth="8.85546875" defaultRowHeight="15.6" outlineLevelCol="1"/>
  <cols>
    <col min="1" max="1" width="11.5703125" style="266" bestFit="1" customWidth="1"/>
    <col min="2" max="2" width="9.7109375" style="266" bestFit="1" customWidth="1"/>
    <col min="3" max="3" width="6.7109375" style="266" bestFit="1" customWidth="1"/>
    <col min="4" max="4" width="5.5703125" style="266" bestFit="1" customWidth="1"/>
    <col min="5" max="5" width="8.7109375" style="266" bestFit="1" customWidth="1"/>
    <col min="6" max="6" width="4.28515625" style="266" bestFit="1" customWidth="1"/>
    <col min="7" max="7" width="8.42578125" style="266" bestFit="1" customWidth="1"/>
    <col min="8" max="8" width="8.5703125" style="266" bestFit="1" customWidth="1"/>
    <col min="9"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234</v>
      </c>
      <c r="B2" s="268">
        <v>46025</v>
      </c>
      <c r="C2" s="269" t="s">
        <v>323</v>
      </c>
      <c r="D2" s="270" t="s">
        <v>334</v>
      </c>
      <c r="E2" s="269" t="s">
        <v>320</v>
      </c>
      <c r="F2" s="269" t="s">
        <v>232</v>
      </c>
      <c r="G2" s="271">
        <v>1.11E-2</v>
      </c>
      <c r="H2" s="272">
        <v>180</v>
      </c>
      <c r="I2" s="272">
        <v>2</v>
      </c>
      <c r="J2" s="272">
        <v>0</v>
      </c>
      <c r="K2" s="269" t="s">
        <v>233</v>
      </c>
      <c r="L2" s="273">
        <v>46344</v>
      </c>
      <c r="M2" s="272">
        <v>0</v>
      </c>
      <c r="N2" s="272">
        <v>0</v>
      </c>
      <c r="O2" s="272">
        <v>2</v>
      </c>
      <c r="P2" s="269" t="s">
        <v>324</v>
      </c>
      <c r="Q2" s="265"/>
      <c r="R2" s="265"/>
      <c r="S2" s="265"/>
      <c r="T2" s="265"/>
      <c r="U2" s="265"/>
      <c r="V2" s="265"/>
      <c r="W2" s="265"/>
      <c r="X2" s="265"/>
      <c r="Y2" s="265"/>
      <c r="Z2" s="265"/>
      <c r="AA2" s="265"/>
      <c r="AB2" s="265"/>
      <c r="AC2" s="272" t="s">
        <v>302</v>
      </c>
      <c r="AD2" s="265"/>
      <c r="AE2" s="265"/>
      <c r="AF2" s="272" t="s">
        <v>244</v>
      </c>
      <c r="AG2" s="265"/>
      <c r="AH2" s="265"/>
      <c r="AI2" s="265"/>
      <c r="AJ2" s="265"/>
    </row>
    <row r="3" spans="1:36">
      <c r="A3" s="267" t="s">
        <v>240</v>
      </c>
      <c r="B3" s="268">
        <v>46027</v>
      </c>
      <c r="C3" s="269" t="s">
        <v>323</v>
      </c>
      <c r="D3" s="270" t="s">
        <v>335</v>
      </c>
      <c r="E3" s="269" t="s">
        <v>320</v>
      </c>
      <c r="F3" s="269" t="s">
        <v>232</v>
      </c>
      <c r="G3" s="271">
        <v>3.3300000000000003E-2</v>
      </c>
      <c r="H3" s="272">
        <v>180</v>
      </c>
      <c r="I3" s="272">
        <v>6</v>
      </c>
      <c r="J3" s="272">
        <v>0</v>
      </c>
      <c r="K3" s="269" t="s">
        <v>233</v>
      </c>
      <c r="L3" s="273">
        <v>46335</v>
      </c>
      <c r="M3" s="272">
        <v>0</v>
      </c>
      <c r="N3" s="272">
        <v>0</v>
      </c>
      <c r="O3" s="272">
        <v>6</v>
      </c>
      <c r="P3" s="269" t="s">
        <v>326</v>
      </c>
      <c r="Q3" s="265"/>
      <c r="R3" s="265"/>
      <c r="S3" s="265"/>
      <c r="T3" s="265"/>
      <c r="U3" s="265"/>
      <c r="V3" s="265"/>
      <c r="W3" s="265"/>
      <c r="X3" s="265"/>
      <c r="Y3" s="265"/>
      <c r="Z3" s="265"/>
      <c r="AA3" s="265"/>
      <c r="AB3" s="265"/>
      <c r="AC3" s="272" t="s">
        <v>305</v>
      </c>
      <c r="AD3" s="265"/>
      <c r="AE3" s="265"/>
      <c r="AF3" s="265"/>
      <c r="AG3" s="265"/>
      <c r="AH3" s="265"/>
      <c r="AI3" s="265"/>
      <c r="AJ3" s="265"/>
    </row>
    <row r="4" spans="1:36">
      <c r="A4" s="267" t="s">
        <v>242</v>
      </c>
      <c r="B4" s="268">
        <v>46028</v>
      </c>
      <c r="C4" s="269" t="s">
        <v>323</v>
      </c>
      <c r="D4" s="270" t="s">
        <v>336</v>
      </c>
      <c r="E4" s="269" t="s">
        <v>320</v>
      </c>
      <c r="F4" s="269" t="s">
        <v>232</v>
      </c>
      <c r="G4" s="271">
        <v>0</v>
      </c>
      <c r="H4" s="272">
        <v>180</v>
      </c>
      <c r="I4" s="272">
        <v>0</v>
      </c>
      <c r="J4" s="272">
        <v>0</v>
      </c>
      <c r="K4" s="269" t="s">
        <v>233</v>
      </c>
      <c r="L4" s="273" t="s">
        <v>66</v>
      </c>
      <c r="M4" s="272">
        <v>0</v>
      </c>
      <c r="N4" s="272">
        <v>0</v>
      </c>
      <c r="O4" s="272">
        <v>0</v>
      </c>
      <c r="P4" s="269" t="s">
        <v>326</v>
      </c>
      <c r="Q4" s="265"/>
      <c r="R4" s="265"/>
      <c r="S4" s="265"/>
      <c r="T4" s="265"/>
      <c r="U4" s="265"/>
      <c r="V4" s="265"/>
      <c r="W4" s="265"/>
      <c r="X4" s="265"/>
      <c r="Y4" s="265"/>
      <c r="Z4" s="265"/>
      <c r="AA4" s="265"/>
      <c r="AB4" s="265"/>
      <c r="AC4" s="265"/>
      <c r="AD4" s="265"/>
      <c r="AE4" s="265"/>
      <c r="AF4" s="265"/>
      <c r="AG4" s="265"/>
      <c r="AH4" s="265"/>
      <c r="AI4" s="265"/>
      <c r="AJ4" s="265"/>
    </row>
    <row r="5" spans="1:36">
      <c r="A5" s="267" t="s">
        <v>315</v>
      </c>
      <c r="B5" s="268">
        <v>46029</v>
      </c>
      <c r="C5" s="269" t="s">
        <v>328</v>
      </c>
      <c r="D5" s="270" t="s">
        <v>337</v>
      </c>
      <c r="E5" s="269" t="s">
        <v>320</v>
      </c>
      <c r="F5" s="269" t="s">
        <v>232</v>
      </c>
      <c r="G5" s="271">
        <v>2.2200000000000001E-2</v>
      </c>
      <c r="H5" s="272">
        <v>180</v>
      </c>
      <c r="I5" s="272">
        <v>4</v>
      </c>
      <c r="J5" s="272">
        <v>0</v>
      </c>
      <c r="K5" s="269" t="s">
        <v>233</v>
      </c>
      <c r="L5" s="273">
        <v>46336</v>
      </c>
      <c r="M5" s="272">
        <v>0</v>
      </c>
      <c r="N5" s="272">
        <v>0</v>
      </c>
      <c r="O5" s="272">
        <v>4</v>
      </c>
      <c r="P5" s="269" t="s">
        <v>326</v>
      </c>
      <c r="Q5" s="272" t="s">
        <v>338</v>
      </c>
      <c r="R5" s="265"/>
      <c r="S5" s="265"/>
      <c r="T5" s="265"/>
      <c r="U5" s="265"/>
      <c r="V5" s="265"/>
      <c r="W5" s="265"/>
      <c r="X5" s="265"/>
      <c r="Y5" s="265"/>
      <c r="Z5" s="265"/>
      <c r="AA5" s="265"/>
      <c r="AB5" s="265"/>
      <c r="AC5" s="272" t="s">
        <v>304</v>
      </c>
      <c r="AD5" s="265"/>
      <c r="AE5" s="265"/>
      <c r="AF5" s="265"/>
      <c r="AG5" s="265"/>
      <c r="AH5" s="265"/>
      <c r="AI5" s="265"/>
      <c r="AJ5" s="265"/>
    </row>
    <row r="6" spans="1:36">
      <c r="A6" s="267" t="s">
        <v>234</v>
      </c>
      <c r="B6" s="268">
        <v>46032</v>
      </c>
      <c r="C6" s="269" t="s">
        <v>323</v>
      </c>
      <c r="D6" s="270" t="s">
        <v>334</v>
      </c>
      <c r="E6" s="269" t="s">
        <v>320</v>
      </c>
      <c r="F6" s="269" t="s">
        <v>232</v>
      </c>
      <c r="G6" s="271">
        <v>5.5999999999999999E-3</v>
      </c>
      <c r="H6" s="272">
        <v>180</v>
      </c>
      <c r="I6" s="272">
        <v>1</v>
      </c>
      <c r="J6" s="272">
        <v>0</v>
      </c>
      <c r="K6" s="269" t="s">
        <v>233</v>
      </c>
      <c r="L6" s="273">
        <v>46325</v>
      </c>
      <c r="M6" s="272">
        <v>0</v>
      </c>
      <c r="N6" s="272">
        <v>0</v>
      </c>
      <c r="O6" s="272">
        <v>1</v>
      </c>
      <c r="P6" s="269" t="s">
        <v>326</v>
      </c>
      <c r="Q6" s="265"/>
      <c r="R6" s="265"/>
      <c r="S6" s="265"/>
      <c r="T6" s="265"/>
      <c r="U6" s="265"/>
      <c r="V6" s="265"/>
      <c r="W6" s="265"/>
      <c r="X6" s="265"/>
      <c r="Y6" s="265"/>
      <c r="Z6" s="265"/>
      <c r="AA6" s="265"/>
      <c r="AB6" s="265"/>
      <c r="AC6" s="272" t="s">
        <v>302</v>
      </c>
      <c r="AD6" s="265"/>
      <c r="AE6" s="265"/>
      <c r="AF6" s="265"/>
      <c r="AG6" s="265"/>
      <c r="AH6" s="265"/>
      <c r="AI6" s="265"/>
      <c r="AJ6" s="265"/>
    </row>
    <row r="7" spans="1:36">
      <c r="A7" s="267" t="s">
        <v>240</v>
      </c>
      <c r="B7" s="268">
        <v>46034</v>
      </c>
      <c r="C7" s="269" t="s">
        <v>323</v>
      </c>
      <c r="D7" s="270" t="s">
        <v>335</v>
      </c>
      <c r="E7" s="269" t="s">
        <v>320</v>
      </c>
      <c r="F7" s="269" t="s">
        <v>232</v>
      </c>
      <c r="G7" s="271">
        <v>1.11E-2</v>
      </c>
      <c r="H7" s="272">
        <v>180</v>
      </c>
      <c r="I7" s="272">
        <v>2</v>
      </c>
      <c r="J7" s="272">
        <v>0</v>
      </c>
      <c r="K7" s="269" t="s">
        <v>233</v>
      </c>
      <c r="L7" s="273">
        <v>46307</v>
      </c>
      <c r="M7" s="272">
        <v>0</v>
      </c>
      <c r="N7" s="272">
        <v>0</v>
      </c>
      <c r="O7" s="272">
        <v>2</v>
      </c>
      <c r="P7" s="269" t="s">
        <v>326</v>
      </c>
      <c r="Q7" s="265"/>
      <c r="R7" s="265"/>
      <c r="S7" s="265"/>
      <c r="T7" s="265"/>
      <c r="U7" s="265"/>
      <c r="V7" s="265"/>
      <c r="W7" s="265"/>
      <c r="X7" s="265"/>
      <c r="Y7" s="265"/>
      <c r="Z7" s="265"/>
      <c r="AA7" s="265"/>
      <c r="AB7" s="265"/>
      <c r="AC7" s="272" t="s">
        <v>298</v>
      </c>
      <c r="AD7" s="265"/>
      <c r="AE7" s="265"/>
      <c r="AF7" s="265"/>
      <c r="AG7" s="265"/>
      <c r="AH7" s="265"/>
      <c r="AI7" s="265"/>
      <c r="AJ7" s="265"/>
    </row>
    <row r="8" spans="1:36">
      <c r="A8" s="267" t="s">
        <v>242</v>
      </c>
      <c r="B8" s="268">
        <v>46035</v>
      </c>
      <c r="C8" s="269" t="s">
        <v>323</v>
      </c>
      <c r="D8" s="270" t="s">
        <v>336</v>
      </c>
      <c r="E8" s="269" t="s">
        <v>320</v>
      </c>
      <c r="F8" s="269" t="s">
        <v>232</v>
      </c>
      <c r="G8" s="271">
        <v>1.11E-2</v>
      </c>
      <c r="H8" s="272">
        <v>180</v>
      </c>
      <c r="I8" s="272">
        <v>2</v>
      </c>
      <c r="J8" s="272">
        <v>0</v>
      </c>
      <c r="K8" s="269" t="s">
        <v>233</v>
      </c>
      <c r="L8" s="273">
        <v>46311</v>
      </c>
      <c r="M8" s="272">
        <v>0</v>
      </c>
      <c r="N8" s="272">
        <v>0</v>
      </c>
      <c r="O8" s="272">
        <v>2</v>
      </c>
      <c r="P8" s="269" t="s">
        <v>326</v>
      </c>
      <c r="Q8" s="265"/>
      <c r="R8" s="265"/>
      <c r="S8" s="265"/>
      <c r="T8" s="265"/>
      <c r="U8" s="265"/>
      <c r="V8" s="265"/>
      <c r="W8" s="265"/>
      <c r="X8" s="265"/>
      <c r="Y8" s="265"/>
      <c r="Z8" s="265"/>
      <c r="AA8" s="265"/>
      <c r="AB8" s="265"/>
      <c r="AC8" s="272" t="s">
        <v>298</v>
      </c>
      <c r="AD8" s="265"/>
      <c r="AE8" s="265"/>
      <c r="AF8" s="265"/>
      <c r="AG8" s="265"/>
      <c r="AH8" s="265"/>
      <c r="AI8" s="265"/>
      <c r="AJ8" s="265"/>
    </row>
    <row r="9" spans="1:36">
      <c r="A9" s="267" t="s">
        <v>315</v>
      </c>
      <c r="B9" s="268">
        <v>46036</v>
      </c>
      <c r="C9" s="269" t="s">
        <v>328</v>
      </c>
      <c r="D9" s="270" t="s">
        <v>337</v>
      </c>
      <c r="E9" s="269" t="s">
        <v>320</v>
      </c>
      <c r="F9" s="269" t="s">
        <v>232</v>
      </c>
      <c r="G9" s="271">
        <v>1.67E-2</v>
      </c>
      <c r="H9" s="272">
        <v>180</v>
      </c>
      <c r="I9" s="272">
        <v>3</v>
      </c>
      <c r="J9" s="272">
        <v>0</v>
      </c>
      <c r="K9" s="269" t="s">
        <v>233</v>
      </c>
      <c r="L9" s="273">
        <v>46316</v>
      </c>
      <c r="M9" s="272">
        <v>0</v>
      </c>
      <c r="N9" s="272">
        <v>0</v>
      </c>
      <c r="O9" s="272">
        <v>3</v>
      </c>
      <c r="P9" s="269" t="s">
        <v>326</v>
      </c>
      <c r="Q9" s="265"/>
      <c r="R9" s="265"/>
      <c r="S9" s="265"/>
      <c r="T9" s="265"/>
      <c r="U9" s="265"/>
      <c r="V9" s="265"/>
      <c r="W9" s="265"/>
      <c r="X9" s="265"/>
      <c r="Y9" s="265"/>
      <c r="Z9" s="265"/>
      <c r="AA9" s="265"/>
      <c r="AB9" s="265"/>
      <c r="AC9" s="272" t="s">
        <v>304</v>
      </c>
      <c r="AD9" s="265"/>
      <c r="AE9" s="265"/>
      <c r="AF9" s="265"/>
      <c r="AG9" s="265"/>
      <c r="AH9" s="265"/>
      <c r="AI9" s="265"/>
      <c r="AJ9" s="265"/>
    </row>
    <row r="10" spans="1:36">
      <c r="A10" s="267" t="s">
        <v>234</v>
      </c>
      <c r="B10" s="268">
        <v>46039</v>
      </c>
      <c r="C10" s="269" t="s">
        <v>323</v>
      </c>
      <c r="D10" s="270" t="s">
        <v>334</v>
      </c>
      <c r="E10" s="269" t="s">
        <v>320</v>
      </c>
      <c r="F10" s="269" t="s">
        <v>232</v>
      </c>
      <c r="G10" s="271">
        <v>2.2200000000000001E-2</v>
      </c>
      <c r="H10" s="272">
        <v>180</v>
      </c>
      <c r="I10" s="272">
        <v>4</v>
      </c>
      <c r="J10" s="272">
        <v>0</v>
      </c>
      <c r="K10" s="269" t="s">
        <v>233</v>
      </c>
      <c r="L10" s="273">
        <v>46338</v>
      </c>
      <c r="M10" s="272">
        <v>0</v>
      </c>
      <c r="N10" s="272">
        <v>0</v>
      </c>
      <c r="O10" s="272">
        <v>4</v>
      </c>
      <c r="P10" s="269" t="s">
        <v>326</v>
      </c>
      <c r="Q10" s="265"/>
      <c r="R10" s="265"/>
      <c r="S10" s="265"/>
      <c r="T10" s="265"/>
      <c r="U10" s="265"/>
      <c r="V10" s="265"/>
      <c r="W10" s="265"/>
      <c r="X10" s="265"/>
      <c r="Y10" s="265"/>
      <c r="Z10" s="265"/>
      <c r="AA10" s="265"/>
      <c r="AB10" s="265"/>
      <c r="AC10" s="272" t="s">
        <v>307</v>
      </c>
      <c r="AD10" s="265"/>
      <c r="AE10" s="265"/>
      <c r="AF10" s="265"/>
      <c r="AG10" s="265"/>
      <c r="AH10" s="265"/>
      <c r="AI10" s="265"/>
      <c r="AJ10" s="265"/>
    </row>
    <row r="11" spans="1:36">
      <c r="A11" s="267" t="s">
        <v>240</v>
      </c>
      <c r="B11" s="268">
        <v>46041</v>
      </c>
      <c r="C11" s="269" t="s">
        <v>323</v>
      </c>
      <c r="D11" s="270" t="s">
        <v>335</v>
      </c>
      <c r="E11" s="269" t="s">
        <v>320</v>
      </c>
      <c r="F11" s="269" t="s">
        <v>232</v>
      </c>
      <c r="G11" s="271">
        <v>0</v>
      </c>
      <c r="H11" s="272">
        <v>180</v>
      </c>
      <c r="I11" s="272">
        <v>0</v>
      </c>
      <c r="J11" s="272">
        <v>0</v>
      </c>
      <c r="K11" s="269" t="s">
        <v>233</v>
      </c>
      <c r="L11" s="273" t="s">
        <v>66</v>
      </c>
      <c r="M11" s="272">
        <v>0</v>
      </c>
      <c r="N11" s="272">
        <v>0</v>
      </c>
      <c r="O11" s="272">
        <v>0</v>
      </c>
      <c r="P11" s="269" t="s">
        <v>326</v>
      </c>
      <c r="Q11" s="265"/>
      <c r="R11" s="265"/>
      <c r="S11" s="265"/>
      <c r="T11" s="265"/>
      <c r="U11" s="265"/>
      <c r="V11" s="265"/>
      <c r="W11" s="265"/>
      <c r="X11" s="265"/>
      <c r="Y11" s="265"/>
      <c r="Z11" s="265"/>
      <c r="AA11" s="265"/>
      <c r="AB11" s="265"/>
      <c r="AC11" s="265"/>
      <c r="AD11" s="265"/>
      <c r="AE11" s="265"/>
      <c r="AF11" s="265"/>
      <c r="AG11" s="265"/>
      <c r="AH11" s="265"/>
      <c r="AI11" s="265"/>
      <c r="AJ11" s="265"/>
    </row>
    <row r="12" spans="1:36">
      <c r="A12" s="267" t="s">
        <v>242</v>
      </c>
      <c r="B12" s="268">
        <v>46042</v>
      </c>
      <c r="C12" s="269" t="s">
        <v>323</v>
      </c>
      <c r="D12" s="270" t="s">
        <v>336</v>
      </c>
      <c r="E12" s="269" t="s">
        <v>320</v>
      </c>
      <c r="F12" s="269" t="s">
        <v>232</v>
      </c>
      <c r="G12" s="271">
        <v>0</v>
      </c>
      <c r="H12" s="272">
        <v>180</v>
      </c>
      <c r="I12" s="272">
        <v>0</v>
      </c>
      <c r="J12" s="272">
        <v>0</v>
      </c>
      <c r="K12" s="269" t="s">
        <v>233</v>
      </c>
      <c r="L12" s="273" t="s">
        <v>66</v>
      </c>
      <c r="M12" s="272">
        <v>0</v>
      </c>
      <c r="N12" s="272">
        <v>0</v>
      </c>
      <c r="O12" s="272">
        <v>0</v>
      </c>
      <c r="P12" s="269" t="s">
        <v>326</v>
      </c>
      <c r="Q12" s="265"/>
      <c r="R12" s="265"/>
      <c r="S12" s="265"/>
      <c r="T12" s="265"/>
      <c r="U12" s="265"/>
      <c r="V12" s="265"/>
      <c r="W12" s="265"/>
      <c r="X12" s="265"/>
      <c r="Y12" s="265"/>
      <c r="Z12" s="265"/>
      <c r="AA12" s="265"/>
      <c r="AB12" s="265"/>
      <c r="AC12" s="265"/>
      <c r="AD12" s="265"/>
      <c r="AE12" s="265"/>
      <c r="AF12" s="265"/>
      <c r="AG12" s="265"/>
      <c r="AH12" s="265"/>
      <c r="AI12" s="265"/>
      <c r="AJ12" s="265"/>
    </row>
    <row r="13" spans="1:36">
      <c r="A13" s="267" t="s">
        <v>315</v>
      </c>
      <c r="B13" s="268">
        <v>46043</v>
      </c>
      <c r="C13" s="269" t="s">
        <v>328</v>
      </c>
      <c r="D13" s="270" t="s">
        <v>337</v>
      </c>
      <c r="E13" s="269" t="s">
        <v>320</v>
      </c>
      <c r="F13" s="269" t="s">
        <v>232</v>
      </c>
      <c r="G13" s="271">
        <v>5.5999999999999999E-3</v>
      </c>
      <c r="H13" s="272">
        <v>180</v>
      </c>
      <c r="I13" s="272">
        <v>1</v>
      </c>
      <c r="J13" s="272">
        <v>0</v>
      </c>
      <c r="K13" s="269" t="s">
        <v>233</v>
      </c>
      <c r="L13" s="273">
        <v>46340</v>
      </c>
      <c r="M13" s="272">
        <v>0</v>
      </c>
      <c r="N13" s="272">
        <v>0</v>
      </c>
      <c r="O13" s="272">
        <v>1</v>
      </c>
      <c r="P13" s="269" t="s">
        <v>324</v>
      </c>
      <c r="Q13" s="265"/>
      <c r="R13" s="265"/>
      <c r="S13" s="265"/>
      <c r="T13" s="265"/>
      <c r="U13" s="265"/>
      <c r="V13" s="265"/>
      <c r="W13" s="265"/>
      <c r="X13" s="265"/>
      <c r="Y13" s="265"/>
      <c r="Z13" s="265"/>
      <c r="AA13" s="265"/>
      <c r="AB13" s="265"/>
      <c r="AC13" s="265"/>
      <c r="AD13" s="265"/>
      <c r="AE13" s="265"/>
      <c r="AF13" s="272" t="s">
        <v>244</v>
      </c>
      <c r="AG13" s="265"/>
      <c r="AH13" s="265"/>
      <c r="AI13" s="265"/>
      <c r="AJ13" s="265"/>
    </row>
    <row r="14" spans="1:36">
      <c r="A14" s="267" t="s">
        <v>234</v>
      </c>
      <c r="B14" s="268">
        <v>46046</v>
      </c>
      <c r="C14" s="269" t="s">
        <v>323</v>
      </c>
      <c r="D14" s="270" t="s">
        <v>334</v>
      </c>
      <c r="E14" s="269" t="s">
        <v>320</v>
      </c>
      <c r="F14" s="269" t="s">
        <v>232</v>
      </c>
      <c r="G14" s="271">
        <v>1.11E-2</v>
      </c>
      <c r="H14" s="272">
        <v>180</v>
      </c>
      <c r="I14" s="272">
        <v>2</v>
      </c>
      <c r="J14" s="272">
        <v>0</v>
      </c>
      <c r="K14" s="269" t="s">
        <v>233</v>
      </c>
      <c r="L14" s="273">
        <v>46334</v>
      </c>
      <c r="M14" s="272">
        <v>0</v>
      </c>
      <c r="N14" s="272">
        <v>0</v>
      </c>
      <c r="O14" s="272">
        <v>2</v>
      </c>
      <c r="P14" s="269" t="s">
        <v>326</v>
      </c>
      <c r="Q14" s="265"/>
      <c r="R14" s="265"/>
      <c r="S14" s="265"/>
      <c r="T14" s="265"/>
      <c r="U14" s="265"/>
      <c r="V14" s="265"/>
      <c r="W14" s="265"/>
      <c r="X14" s="265"/>
      <c r="Y14" s="265"/>
      <c r="Z14" s="265"/>
      <c r="AA14" s="265"/>
      <c r="AB14" s="265"/>
      <c r="AC14" s="272" t="s">
        <v>298</v>
      </c>
      <c r="AD14" s="265"/>
      <c r="AE14" s="265"/>
      <c r="AF14" s="265"/>
      <c r="AG14" s="265"/>
      <c r="AH14" s="265"/>
      <c r="AI14" s="265"/>
      <c r="AJ14" s="265"/>
    </row>
    <row r="15" spans="1:36">
      <c r="A15" s="267" t="s">
        <v>240</v>
      </c>
      <c r="B15" s="268">
        <v>46048</v>
      </c>
      <c r="C15" s="269" t="s">
        <v>323</v>
      </c>
      <c r="D15" s="270" t="s">
        <v>335</v>
      </c>
      <c r="E15" s="269" t="s">
        <v>320</v>
      </c>
      <c r="F15" s="269" t="s">
        <v>232</v>
      </c>
      <c r="G15" s="271">
        <v>5.5999999999999999E-3</v>
      </c>
      <c r="H15" s="272">
        <v>180</v>
      </c>
      <c r="I15" s="272">
        <v>1</v>
      </c>
      <c r="J15" s="272">
        <v>0</v>
      </c>
      <c r="K15" s="269" t="s">
        <v>233</v>
      </c>
      <c r="L15" s="273">
        <v>46337</v>
      </c>
      <c r="M15" s="272">
        <v>0</v>
      </c>
      <c r="N15" s="272">
        <v>0</v>
      </c>
      <c r="O15" s="272">
        <v>1</v>
      </c>
      <c r="P15" s="269" t="s">
        <v>326</v>
      </c>
      <c r="Q15" s="265"/>
      <c r="R15" s="265"/>
      <c r="S15" s="265"/>
      <c r="T15" s="265"/>
      <c r="U15" s="265"/>
      <c r="V15" s="265"/>
      <c r="W15" s="265"/>
      <c r="X15" s="265"/>
      <c r="Y15" s="265"/>
      <c r="Z15" s="265"/>
      <c r="AA15" s="265"/>
      <c r="AB15" s="265"/>
      <c r="AC15" s="272" t="s">
        <v>302</v>
      </c>
      <c r="AD15" s="265"/>
      <c r="AE15" s="265"/>
      <c r="AF15" s="265"/>
      <c r="AG15" s="265"/>
      <c r="AH15" s="265"/>
      <c r="AI15" s="265"/>
      <c r="AJ15" s="265"/>
    </row>
    <row r="16" spans="1:36">
      <c r="A16" s="267" t="s">
        <v>242</v>
      </c>
      <c r="B16" s="268">
        <v>46049</v>
      </c>
      <c r="C16" s="269" t="s">
        <v>323</v>
      </c>
      <c r="D16" s="270" t="s">
        <v>336</v>
      </c>
      <c r="E16" s="269" t="s">
        <v>320</v>
      </c>
      <c r="F16" s="269" t="s">
        <v>232</v>
      </c>
      <c r="G16" s="271">
        <v>5.5999999999999999E-3</v>
      </c>
      <c r="H16" s="272">
        <v>180</v>
      </c>
      <c r="I16" s="272">
        <v>1</v>
      </c>
      <c r="J16" s="272">
        <v>0</v>
      </c>
      <c r="K16" s="269" t="s">
        <v>233</v>
      </c>
      <c r="L16" s="273">
        <v>46334</v>
      </c>
      <c r="M16" s="272">
        <v>0</v>
      </c>
      <c r="N16" s="272">
        <v>0</v>
      </c>
      <c r="O16" s="272">
        <v>1</v>
      </c>
      <c r="P16" s="269" t="s">
        <v>326</v>
      </c>
      <c r="Q16" s="265"/>
      <c r="R16" s="265"/>
      <c r="S16" s="265"/>
      <c r="T16" s="265"/>
      <c r="U16" s="265"/>
      <c r="V16" s="265"/>
      <c r="W16" s="265"/>
      <c r="X16" s="265"/>
      <c r="Y16" s="265"/>
      <c r="Z16" s="265"/>
      <c r="AA16" s="265"/>
      <c r="AB16" s="265"/>
      <c r="AC16" s="272" t="s">
        <v>302</v>
      </c>
      <c r="AD16" s="265"/>
      <c r="AE16" s="265"/>
      <c r="AF16" s="265"/>
      <c r="AG16" s="265"/>
      <c r="AH16" s="265"/>
      <c r="AI16" s="265"/>
      <c r="AJ16" s="265"/>
    </row>
    <row r="17" spans="1:36">
      <c r="A17" s="267" t="s">
        <v>315</v>
      </c>
      <c r="B17" s="268">
        <v>46050</v>
      </c>
      <c r="C17" s="269" t="s">
        <v>328</v>
      </c>
      <c r="D17" s="270" t="s">
        <v>337</v>
      </c>
      <c r="E17" s="269" t="s">
        <v>320</v>
      </c>
      <c r="F17" s="269" t="s">
        <v>232</v>
      </c>
      <c r="G17" s="271">
        <v>5.5999999999999999E-3</v>
      </c>
      <c r="H17" s="272">
        <v>180</v>
      </c>
      <c r="I17" s="272">
        <v>1</v>
      </c>
      <c r="J17" s="272">
        <v>0</v>
      </c>
      <c r="K17" s="269" t="s">
        <v>233</v>
      </c>
      <c r="L17" s="273">
        <v>46317</v>
      </c>
      <c r="M17" s="272">
        <v>0</v>
      </c>
      <c r="N17" s="272">
        <v>0</v>
      </c>
      <c r="O17" s="272">
        <v>1</v>
      </c>
      <c r="P17" s="269" t="s">
        <v>326</v>
      </c>
      <c r="Q17" s="265"/>
      <c r="R17" s="265"/>
      <c r="S17" s="265"/>
      <c r="T17" s="265"/>
      <c r="U17" s="265"/>
      <c r="V17" s="265"/>
      <c r="W17" s="265"/>
      <c r="X17" s="265"/>
      <c r="Y17" s="265"/>
      <c r="Z17" s="265"/>
      <c r="AA17" s="265"/>
      <c r="AB17" s="265"/>
      <c r="AC17" s="272" t="s">
        <v>302</v>
      </c>
      <c r="AD17" s="265"/>
      <c r="AE17" s="265"/>
      <c r="AF17" s="265"/>
      <c r="AG17" s="265"/>
      <c r="AH17" s="265"/>
      <c r="AI17" s="265"/>
      <c r="AJ17" s="265"/>
    </row>
    <row r="18" spans="1:36">
      <c r="A18" s="267" t="s">
        <v>234</v>
      </c>
      <c r="B18" s="268">
        <v>46053</v>
      </c>
      <c r="C18" s="269" t="s">
        <v>323</v>
      </c>
      <c r="D18" s="270" t="s">
        <v>334</v>
      </c>
      <c r="E18" s="269" t="s">
        <v>320</v>
      </c>
      <c r="F18" s="269" t="s">
        <v>232</v>
      </c>
      <c r="G18" s="271">
        <v>1.11E-2</v>
      </c>
      <c r="H18" s="272">
        <v>180</v>
      </c>
      <c r="I18" s="272">
        <v>2</v>
      </c>
      <c r="J18" s="272">
        <v>0</v>
      </c>
      <c r="K18" s="269" t="s">
        <v>233</v>
      </c>
      <c r="L18" s="273">
        <v>46343</v>
      </c>
      <c r="M18" s="272">
        <v>0</v>
      </c>
      <c r="N18" s="272">
        <v>0</v>
      </c>
      <c r="O18" s="272">
        <v>2</v>
      </c>
      <c r="P18" s="269" t="s">
        <v>324</v>
      </c>
      <c r="Q18" s="265"/>
      <c r="R18" s="265"/>
      <c r="S18" s="265"/>
      <c r="T18" s="265"/>
      <c r="U18" s="265"/>
      <c r="V18" s="265"/>
      <c r="W18" s="265"/>
      <c r="X18" s="265"/>
      <c r="Y18" s="265"/>
      <c r="Z18" s="265"/>
      <c r="AA18" s="265"/>
      <c r="AB18" s="265"/>
      <c r="AC18" s="272" t="s">
        <v>302</v>
      </c>
      <c r="AD18" s="265"/>
      <c r="AE18" s="265"/>
      <c r="AF18" s="272" t="s">
        <v>244</v>
      </c>
      <c r="AG18" s="265"/>
      <c r="AH18" s="265"/>
      <c r="AI18" s="265"/>
      <c r="AJ18" s="265"/>
    </row>
    <row r="19" spans="1:36" ht="21">
      <c r="A19" s="274" t="s">
        <v>251</v>
      </c>
      <c r="B19" s="275"/>
      <c r="C19" s="274">
        <f>SUBTOTAL(103,ATZ_MED_LF_LEGACY[Flt])</f>
        <v>17</v>
      </c>
      <c r="D19" s="274"/>
      <c r="E19" s="274">
        <f>SUBTOTAL(103,ATZ_MED_LF_LEGACY[Brd-Off])</f>
        <v>17</v>
      </c>
      <c r="F19" s="274"/>
      <c r="G19" s="276">
        <f>SUBTOTAL(101,ATZ_MED_LF_LEGACY[LF%])</f>
        <v>1.046470588235294E-2</v>
      </c>
      <c r="H19" s="277">
        <f>SUBTOTAL(109,ATZ_MED_LF_LEGACY[CAP])</f>
        <v>3060</v>
      </c>
      <c r="I19" s="277">
        <f>SUBTOTAL(109,ATZ_MED_LF_LEGACY[BKG(Y)])</f>
        <v>32</v>
      </c>
      <c r="J19" s="277">
        <f>SUBTOTAL(109,ATZ_MED_LF_LEGACY[GRP(Y)])</f>
        <v>0</v>
      </c>
      <c r="K19" s="274"/>
      <c r="L19" s="275"/>
      <c r="M19" s="277">
        <f>SUBTOTAL(109,ATZ_MED_LF_LEGACY[TO-DAY])</f>
        <v>0</v>
      </c>
      <c r="N19" s="277">
        <f>SUBTOTAL(109,ATZ_MED_LF_LEGACY[Y-DAY])</f>
        <v>0</v>
      </c>
      <c r="O19" s="277">
        <f>SUBTOTAL(109,ATZ_MED_LF_LEGACY[WEEKLY])</f>
        <v>32</v>
      </c>
      <c r="P19" s="274"/>
      <c r="Q19" s="277">
        <f>SUBTOTAL(109,ATZ_MED_LF_LEGACY[Y])</f>
        <v>0</v>
      </c>
      <c r="R19" s="277">
        <f>SUBTOTAL(109,ATZ_MED_LF_LEGACY[B])</f>
        <v>0</v>
      </c>
      <c r="S19" s="277">
        <f>SUBTOTAL(109,ATZ_MED_LF_LEGACY[M])</f>
        <v>0</v>
      </c>
      <c r="T19" s="277">
        <f>SUBTOTAL(109,ATZ_MED_LF_LEGACY[H])</f>
        <v>0</v>
      </c>
      <c r="U19" s="277">
        <f>SUBTOTAL(109,ATZ_MED_LF_LEGACY[Q])</f>
        <v>0</v>
      </c>
      <c r="V19" s="277">
        <f>SUBTOTAL(109,ATZ_MED_LF_LEGACY[K])</f>
        <v>0</v>
      </c>
      <c r="W19" s="277">
        <f>SUBTOTAL(109,ATZ_MED_LF_LEGACY[V])</f>
        <v>0</v>
      </c>
      <c r="X19" s="277">
        <f>SUBTOTAL(109,ATZ_MED_LF_LEGACY[L])</f>
        <v>0</v>
      </c>
      <c r="Y19" s="277">
        <f>SUBTOTAL(109,ATZ_MED_LF_LEGACY[G])</f>
        <v>0</v>
      </c>
      <c r="Z19" s="277">
        <f>SUBTOTAL(109,ATZ_MED_LF_LEGACY[S])</f>
        <v>0</v>
      </c>
      <c r="AA19" s="277">
        <f>SUBTOTAL(109,ATZ_MED_LF_LEGACY[W])</f>
        <v>0</v>
      </c>
      <c r="AB19" s="277">
        <f>SUBTOTAL(109,ATZ_MED_LF_LEGACY[T])</f>
        <v>0</v>
      </c>
      <c r="AC19" s="277">
        <f>SUBTOTAL(109,ATZ_MED_LF_LEGACY[X])</f>
        <v>0</v>
      </c>
      <c r="AD19" s="277">
        <f>SUBTOTAL(109,ATZ_MED_LF_LEGACY[U])</f>
        <v>0</v>
      </c>
      <c r="AE19" s="277">
        <f>SUBTOTAL(109,ATZ_MED_LF_LEGACY[O])</f>
        <v>0</v>
      </c>
      <c r="AF19" s="277">
        <f>SUBTOTAL(109,ATZ_MED_LF_LEGACY[I])</f>
        <v>0</v>
      </c>
      <c r="AG19" s="277">
        <f>SUBTOTAL(109,ATZ_MED_LF_LEGACY[E])</f>
        <v>0</v>
      </c>
      <c r="AH19" s="277">
        <f>SUBTOTAL(109,ATZ_MED_LF_LEGACY[A])</f>
        <v>0</v>
      </c>
      <c r="AI19" s="277">
        <f>SUBTOTAL(109,ATZ_MED_LF_LEGACY[P])</f>
        <v>0</v>
      </c>
      <c r="AJ19" s="277">
        <f>SUBTOTAL(103,ATZ_MED_LF_LEGACY[N])</f>
        <v>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59"/>
  <sheetViews>
    <sheetView workbookViewId="0"/>
  </sheetViews>
  <sheetFormatPr defaultRowHeight="14.45"/>
  <cols>
    <col min="1" max="1" width="11.85546875" bestFit="1" customWidth="1"/>
    <col min="2" max="2" width="13.7109375" bestFit="1" customWidth="1"/>
    <col min="3" max="3" width="19.28515625" bestFit="1" customWidth="1"/>
    <col min="4" max="4" width="12.7109375" bestFit="1" customWidth="1"/>
    <col min="5" max="5" width="18.28515625" bestFit="1" customWidth="1"/>
    <col min="6" max="6" width="33.28515625" bestFit="1" customWidth="1"/>
    <col min="7" max="7" width="20" bestFit="1" customWidth="1"/>
    <col min="8" max="8" width="23.7109375" bestFit="1" customWidth="1"/>
    <col min="9" max="9" width="149.28515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43"/>
      <c r="B2" s="144"/>
      <c r="C2" s="144"/>
      <c r="D2" s="144"/>
      <c r="E2" s="144"/>
      <c r="F2" s="145" t="s">
        <v>319</v>
      </c>
      <c r="G2" s="144"/>
      <c r="H2" s="146"/>
    </row>
    <row r="3" spans="1:8" ht="19.899999999999999" customHeight="1">
      <c r="A3" s="111" t="s">
        <v>254</v>
      </c>
      <c r="B3" s="112" t="s">
        <v>26</v>
      </c>
      <c r="C3" s="113" t="s">
        <v>27</v>
      </c>
      <c r="D3" s="112" t="s">
        <v>1</v>
      </c>
      <c r="E3" s="112" t="s">
        <v>255</v>
      </c>
      <c r="F3" s="112" t="s">
        <v>28</v>
      </c>
      <c r="G3" s="114">
        <v>4</v>
      </c>
      <c r="H3" s="115" t="s">
        <v>30</v>
      </c>
    </row>
    <row r="4" spans="1:8" ht="19.899999999999999" customHeight="1">
      <c r="A4" s="111" t="s">
        <v>254</v>
      </c>
      <c r="B4" s="112" t="s">
        <v>26</v>
      </c>
      <c r="C4" s="113" t="s">
        <v>36</v>
      </c>
      <c r="D4" s="112" t="s">
        <v>1</v>
      </c>
      <c r="E4" s="112" t="s">
        <v>256</v>
      </c>
      <c r="F4" s="112" t="s">
        <v>28</v>
      </c>
      <c r="G4" s="114">
        <v>4</v>
      </c>
      <c r="H4" s="115" t="s">
        <v>30</v>
      </c>
    </row>
    <row r="5" spans="1:8" ht="19.899999999999999" customHeight="1">
      <c r="A5" s="111" t="s">
        <v>254</v>
      </c>
      <c r="B5" s="112" t="s">
        <v>38</v>
      </c>
      <c r="C5" s="113" t="s">
        <v>39</v>
      </c>
      <c r="D5" s="112" t="s">
        <v>1</v>
      </c>
      <c r="E5" s="112" t="s">
        <v>257</v>
      </c>
      <c r="F5" s="112" t="s">
        <v>40</v>
      </c>
      <c r="G5" s="114">
        <v>20</v>
      </c>
      <c r="H5" s="115" t="s">
        <v>42</v>
      </c>
    </row>
    <row r="6" spans="1:8" ht="19.899999999999999" customHeight="1">
      <c r="A6" s="111" t="s">
        <v>254</v>
      </c>
      <c r="B6" s="112" t="s">
        <v>26</v>
      </c>
      <c r="C6" s="113" t="s">
        <v>27</v>
      </c>
      <c r="D6" s="112" t="s">
        <v>1</v>
      </c>
      <c r="E6" s="112" t="s">
        <v>255</v>
      </c>
      <c r="F6" s="112" t="s">
        <v>31</v>
      </c>
      <c r="G6" s="114">
        <v>4</v>
      </c>
      <c r="H6" s="115" t="s">
        <v>33</v>
      </c>
    </row>
    <row r="7" spans="1:8" ht="19.899999999999999" customHeight="1">
      <c r="A7" s="111" t="s">
        <v>254</v>
      </c>
      <c r="B7" s="112" t="s">
        <v>26</v>
      </c>
      <c r="C7" s="113" t="s">
        <v>36</v>
      </c>
      <c r="D7" s="112" t="s">
        <v>1</v>
      </c>
      <c r="E7" s="112" t="s">
        <v>256</v>
      </c>
      <c r="F7" s="112" t="s">
        <v>31</v>
      </c>
      <c r="G7" s="114">
        <v>4</v>
      </c>
      <c r="H7" s="115" t="s">
        <v>33</v>
      </c>
    </row>
    <row r="8" spans="1:8" ht="19.899999999999999" customHeight="1">
      <c r="A8" s="111" t="s">
        <v>254</v>
      </c>
      <c r="B8" s="112" t="s">
        <v>48</v>
      </c>
      <c r="C8" s="113" t="s">
        <v>49</v>
      </c>
      <c r="D8" s="112" t="s">
        <v>1</v>
      </c>
      <c r="E8" s="112" t="s">
        <v>258</v>
      </c>
      <c r="F8" s="112" t="s">
        <v>50</v>
      </c>
      <c r="G8" s="114">
        <v>9</v>
      </c>
      <c r="H8" s="115" t="s">
        <v>52</v>
      </c>
    </row>
    <row r="9" spans="1:8" ht="19.899999999999999" customHeight="1">
      <c r="A9" s="111" t="s">
        <v>254</v>
      </c>
      <c r="B9" s="112" t="s">
        <v>48</v>
      </c>
      <c r="C9" s="113" t="s">
        <v>56</v>
      </c>
      <c r="D9" s="112" t="s">
        <v>1</v>
      </c>
      <c r="E9" s="112" t="s">
        <v>259</v>
      </c>
      <c r="F9" s="112" t="s">
        <v>50</v>
      </c>
      <c r="G9" s="114">
        <v>9</v>
      </c>
      <c r="H9" s="115" t="s">
        <v>52</v>
      </c>
    </row>
    <row r="10" spans="1:8" ht="19.899999999999999" customHeight="1">
      <c r="A10" s="111" t="s">
        <v>254</v>
      </c>
      <c r="B10" s="112" t="s">
        <v>48</v>
      </c>
      <c r="C10" s="113" t="s">
        <v>58</v>
      </c>
      <c r="D10" s="112" t="s">
        <v>1</v>
      </c>
      <c r="E10" s="112" t="s">
        <v>260</v>
      </c>
      <c r="F10" s="112" t="s">
        <v>50</v>
      </c>
      <c r="G10" s="114">
        <v>9</v>
      </c>
      <c r="H10" s="115" t="s">
        <v>52</v>
      </c>
    </row>
    <row r="11" spans="1:8" ht="19.899999999999999" customHeight="1">
      <c r="A11" s="111" t="s">
        <v>254</v>
      </c>
      <c r="B11" s="112" t="s">
        <v>38</v>
      </c>
      <c r="C11" s="113" t="s">
        <v>39</v>
      </c>
      <c r="D11" s="112" t="s">
        <v>1</v>
      </c>
      <c r="E11" s="112" t="s">
        <v>257</v>
      </c>
      <c r="F11" s="112" t="s">
        <v>43</v>
      </c>
      <c r="G11" s="114">
        <v>20</v>
      </c>
      <c r="H11" s="115" t="s">
        <v>45</v>
      </c>
    </row>
    <row r="12" spans="1:8" ht="19.899999999999999" customHeight="1">
      <c r="A12" s="147" t="s">
        <v>254</v>
      </c>
      <c r="B12" s="124" t="s">
        <v>26</v>
      </c>
      <c r="C12" s="125" t="s">
        <v>27</v>
      </c>
      <c r="D12" s="124" t="s">
        <v>1</v>
      </c>
      <c r="E12" s="124" t="s">
        <v>255</v>
      </c>
      <c r="F12" s="124" t="s">
        <v>34</v>
      </c>
      <c r="G12" s="127">
        <v>4</v>
      </c>
      <c r="H12" s="128" t="s">
        <v>35</v>
      </c>
    </row>
    <row r="13" spans="1:8" ht="19.899999999999999" customHeight="1">
      <c r="A13" s="143"/>
      <c r="B13" s="144"/>
      <c r="C13" s="144"/>
      <c r="D13" s="144"/>
      <c r="E13" s="144"/>
      <c r="F13" s="145" t="s">
        <v>319</v>
      </c>
      <c r="G13" s="144"/>
      <c r="H13" s="146"/>
    </row>
    <row r="14" spans="1:8" ht="19.899999999999999" customHeight="1">
      <c r="A14" s="111" t="s">
        <v>339</v>
      </c>
      <c r="B14" s="112" t="s">
        <v>38</v>
      </c>
      <c r="C14" s="113" t="s">
        <v>39</v>
      </c>
      <c r="D14" s="112" t="s">
        <v>1</v>
      </c>
      <c r="E14" s="112" t="s">
        <v>257</v>
      </c>
      <c r="F14" s="112" t="s">
        <v>40</v>
      </c>
      <c r="G14" s="114">
        <v>4</v>
      </c>
      <c r="H14" s="115" t="s">
        <v>78</v>
      </c>
    </row>
    <row r="15" spans="1:8" ht="19.899999999999999" customHeight="1">
      <c r="A15" s="111" t="s">
        <v>339</v>
      </c>
      <c r="B15" s="112" t="s">
        <v>26</v>
      </c>
      <c r="C15" s="113" t="s">
        <v>27</v>
      </c>
      <c r="D15" s="112" t="s">
        <v>1</v>
      </c>
      <c r="E15" s="112" t="s">
        <v>255</v>
      </c>
      <c r="F15" s="112" t="s">
        <v>28</v>
      </c>
      <c r="G15" s="114">
        <v>9</v>
      </c>
      <c r="H15" s="115" t="s">
        <v>81</v>
      </c>
    </row>
    <row r="16" spans="1:8" ht="19.899999999999999" customHeight="1">
      <c r="A16" s="111" t="s">
        <v>339</v>
      </c>
      <c r="B16" s="112" t="s">
        <v>26</v>
      </c>
      <c r="C16" s="113" t="s">
        <v>27</v>
      </c>
      <c r="D16" s="112" t="s">
        <v>1</v>
      </c>
      <c r="E16" s="112" t="s">
        <v>255</v>
      </c>
      <c r="F16" s="112" t="s">
        <v>31</v>
      </c>
      <c r="G16" s="114">
        <v>9</v>
      </c>
      <c r="H16" s="115" t="s">
        <v>83</v>
      </c>
    </row>
    <row r="17" spans="1:8" ht="19.899999999999999" customHeight="1">
      <c r="A17" s="111" t="s">
        <v>339</v>
      </c>
      <c r="B17" s="112" t="s">
        <v>38</v>
      </c>
      <c r="C17" s="113" t="s">
        <v>39</v>
      </c>
      <c r="D17" s="112" t="s">
        <v>1</v>
      </c>
      <c r="E17" s="112" t="s">
        <v>257</v>
      </c>
      <c r="F17" s="112" t="s">
        <v>43</v>
      </c>
      <c r="G17" s="114">
        <v>4</v>
      </c>
      <c r="H17" s="115" t="s">
        <v>79</v>
      </c>
    </row>
    <row r="18" spans="1:8" ht="19.899999999999999" customHeight="1">
      <c r="A18" s="111" t="s">
        <v>339</v>
      </c>
      <c r="B18" s="112" t="s">
        <v>26</v>
      </c>
      <c r="C18" s="113" t="s">
        <v>27</v>
      </c>
      <c r="D18" s="112" t="s">
        <v>1</v>
      </c>
      <c r="E18" s="112" t="s">
        <v>255</v>
      </c>
      <c r="F18" s="112" t="s">
        <v>34</v>
      </c>
      <c r="G18" s="114">
        <v>9</v>
      </c>
      <c r="H18" s="115" t="s">
        <v>45</v>
      </c>
    </row>
    <row r="19" spans="1:8" ht="19.899999999999999" customHeight="1">
      <c r="A19" s="111" t="s">
        <v>339</v>
      </c>
      <c r="B19" s="112" t="s">
        <v>68</v>
      </c>
      <c r="C19" s="113" t="s">
        <v>69</v>
      </c>
      <c r="D19" s="112" t="s">
        <v>1</v>
      </c>
      <c r="E19" s="112" t="s">
        <v>271</v>
      </c>
      <c r="F19" s="112" t="s">
        <v>70</v>
      </c>
      <c r="G19" s="114">
        <v>9</v>
      </c>
      <c r="H19" s="115" t="s">
        <v>71</v>
      </c>
    </row>
    <row r="20" spans="1:8" ht="19.899999999999999" customHeight="1">
      <c r="A20" s="111" t="s">
        <v>339</v>
      </c>
      <c r="B20" s="112" t="s">
        <v>68</v>
      </c>
      <c r="C20" s="113" t="s">
        <v>76</v>
      </c>
      <c r="D20" s="112" t="s">
        <v>1</v>
      </c>
      <c r="E20" s="112" t="s">
        <v>272</v>
      </c>
      <c r="F20" s="112" t="s">
        <v>70</v>
      </c>
      <c r="G20" s="114">
        <v>9</v>
      </c>
      <c r="H20" s="115" t="s">
        <v>71</v>
      </c>
    </row>
    <row r="21" spans="1:8" ht="19.899999999999999" customHeight="1">
      <c r="A21" s="111" t="s">
        <v>339</v>
      </c>
      <c r="B21" s="112" t="s">
        <v>68</v>
      </c>
      <c r="C21" s="113" t="s">
        <v>72</v>
      </c>
      <c r="D21" s="112" t="s">
        <v>1</v>
      </c>
      <c r="E21" s="112" t="s">
        <v>273</v>
      </c>
      <c r="F21" s="112" t="s">
        <v>70</v>
      </c>
      <c r="G21" s="114">
        <v>9</v>
      </c>
      <c r="H21" s="115" t="s">
        <v>71</v>
      </c>
    </row>
    <row r="22" spans="1:8" ht="19.899999999999999" customHeight="1">
      <c r="A22" s="111" t="s">
        <v>339</v>
      </c>
      <c r="B22" s="112" t="s">
        <v>68</v>
      </c>
      <c r="C22" s="113" t="s">
        <v>73</v>
      </c>
      <c r="D22" s="112" t="s">
        <v>1</v>
      </c>
      <c r="E22" s="112" t="s">
        <v>274</v>
      </c>
      <c r="F22" s="112" t="s">
        <v>70</v>
      </c>
      <c r="G22" s="114">
        <v>9</v>
      </c>
      <c r="H22" s="115" t="s">
        <v>71</v>
      </c>
    </row>
    <row r="23" spans="1:8" ht="19.899999999999999" customHeight="1">
      <c r="A23" s="147" t="s">
        <v>339</v>
      </c>
      <c r="B23" s="124" t="s">
        <v>38</v>
      </c>
      <c r="C23" s="125" t="s">
        <v>39</v>
      </c>
      <c r="D23" s="124" t="s">
        <v>1</v>
      </c>
      <c r="E23" s="124" t="s">
        <v>257</v>
      </c>
      <c r="F23" s="124" t="s">
        <v>46</v>
      </c>
      <c r="G23" s="127">
        <v>4</v>
      </c>
      <c r="H23" s="128" t="s">
        <v>47</v>
      </c>
    </row>
    <row r="24" spans="1:8" ht="19.899999999999999" customHeight="1">
      <c r="A24" s="116" t="s">
        <v>340</v>
      </c>
      <c r="B24" s="117" t="s">
        <v>61</v>
      </c>
      <c r="C24" s="118" t="s">
        <v>321</v>
      </c>
      <c r="D24" s="117" t="s">
        <v>320</v>
      </c>
      <c r="E24" s="117" t="s">
        <v>334</v>
      </c>
      <c r="F24" s="117" t="s">
        <v>63</v>
      </c>
      <c r="G24" s="119">
        <v>8</v>
      </c>
      <c r="H24" s="120" t="s">
        <v>322</v>
      </c>
    </row>
    <row r="25" spans="1:8" ht="19.899999999999999" customHeight="1">
      <c r="A25" s="143"/>
      <c r="B25" s="144"/>
      <c r="C25" s="144"/>
      <c r="D25" s="144"/>
      <c r="E25" s="144"/>
      <c r="F25" s="145" t="s">
        <v>319</v>
      </c>
      <c r="G25" s="144"/>
      <c r="H25" s="146"/>
    </row>
    <row r="26" spans="1:8" ht="19.899999999999999" customHeight="1">
      <c r="A26" s="121">
        <v>46025</v>
      </c>
      <c r="B26" s="112" t="s">
        <v>38</v>
      </c>
      <c r="C26" s="113" t="s">
        <v>87</v>
      </c>
      <c r="D26" s="112" t="s">
        <v>1</v>
      </c>
      <c r="E26" s="122">
        <v>1.0625</v>
      </c>
      <c r="F26" s="112" t="s">
        <v>40</v>
      </c>
      <c r="G26" s="114">
        <v>20</v>
      </c>
      <c r="H26" s="115" t="s">
        <v>88</v>
      </c>
    </row>
    <row r="27" spans="1:8" ht="19.899999999999999" customHeight="1">
      <c r="A27" s="121">
        <v>46025</v>
      </c>
      <c r="B27" s="112" t="s">
        <v>38</v>
      </c>
      <c r="C27" s="113" t="s">
        <v>39</v>
      </c>
      <c r="D27" s="112" t="s">
        <v>1</v>
      </c>
      <c r="E27" s="122">
        <v>1.229166666666667</v>
      </c>
      <c r="F27" s="112" t="s">
        <v>40</v>
      </c>
      <c r="G27" s="114">
        <v>9</v>
      </c>
      <c r="H27" s="115" t="s">
        <v>78</v>
      </c>
    </row>
    <row r="28" spans="1:8" ht="19.899999999999999" customHeight="1">
      <c r="A28" s="121">
        <v>46025</v>
      </c>
      <c r="B28" s="112" t="s">
        <v>26</v>
      </c>
      <c r="C28" s="113" t="s">
        <v>27</v>
      </c>
      <c r="D28" s="112" t="s">
        <v>1</v>
      </c>
      <c r="E28" s="122">
        <v>1.6076388888888891</v>
      </c>
      <c r="F28" s="112" t="s">
        <v>28</v>
      </c>
      <c r="G28" s="114">
        <v>9</v>
      </c>
      <c r="H28" s="115" t="s">
        <v>30</v>
      </c>
    </row>
    <row r="29" spans="1:8" ht="19.899999999999999" customHeight="1">
      <c r="A29" s="121">
        <v>46025</v>
      </c>
      <c r="B29" s="112" t="s">
        <v>26</v>
      </c>
      <c r="C29" s="113" t="s">
        <v>36</v>
      </c>
      <c r="D29" s="112" t="s">
        <v>1</v>
      </c>
      <c r="E29" s="122">
        <v>1.4340277777777779</v>
      </c>
      <c r="F29" s="112" t="s">
        <v>28</v>
      </c>
      <c r="G29" s="114">
        <v>2</v>
      </c>
      <c r="H29" s="115" t="s">
        <v>30</v>
      </c>
    </row>
    <row r="30" spans="1:8" ht="19.899999999999999" customHeight="1">
      <c r="A30" s="121">
        <v>46025</v>
      </c>
      <c r="B30" s="112" t="s">
        <v>38</v>
      </c>
      <c r="C30" s="113" t="s">
        <v>87</v>
      </c>
      <c r="D30" s="112" t="s">
        <v>1</v>
      </c>
      <c r="E30" s="122">
        <v>1.0625</v>
      </c>
      <c r="F30" s="112" t="s">
        <v>43</v>
      </c>
      <c r="G30" s="114">
        <v>20</v>
      </c>
      <c r="H30" s="115" t="s">
        <v>89</v>
      </c>
    </row>
    <row r="31" spans="1:8" ht="19.899999999999999" customHeight="1">
      <c r="A31" s="121">
        <v>46025</v>
      </c>
      <c r="B31" s="112" t="s">
        <v>26</v>
      </c>
      <c r="C31" s="113" t="s">
        <v>27</v>
      </c>
      <c r="D31" s="112" t="s">
        <v>1</v>
      </c>
      <c r="E31" s="122">
        <v>1.6076388888888891</v>
      </c>
      <c r="F31" s="112" t="s">
        <v>31</v>
      </c>
      <c r="G31" s="114">
        <v>9</v>
      </c>
      <c r="H31" s="115" t="s">
        <v>33</v>
      </c>
    </row>
    <row r="32" spans="1:8" ht="19.899999999999999" customHeight="1">
      <c r="A32" s="121">
        <v>46025</v>
      </c>
      <c r="B32" s="112" t="s">
        <v>26</v>
      </c>
      <c r="C32" s="113" t="s">
        <v>36</v>
      </c>
      <c r="D32" s="112" t="s">
        <v>1</v>
      </c>
      <c r="E32" s="122">
        <v>1.4340277777777779</v>
      </c>
      <c r="F32" s="112" t="s">
        <v>31</v>
      </c>
      <c r="G32" s="114">
        <v>2</v>
      </c>
      <c r="H32" s="115" t="s">
        <v>33</v>
      </c>
    </row>
    <row r="33" spans="1:8" ht="19.899999999999999" customHeight="1">
      <c r="A33" s="121">
        <v>46025</v>
      </c>
      <c r="B33" s="112" t="s">
        <v>38</v>
      </c>
      <c r="C33" s="113" t="s">
        <v>39</v>
      </c>
      <c r="D33" s="112" t="s">
        <v>1</v>
      </c>
      <c r="E33" s="122">
        <v>1.229166666666667</v>
      </c>
      <c r="F33" s="112" t="s">
        <v>43</v>
      </c>
      <c r="G33" s="114">
        <v>9</v>
      </c>
      <c r="H33" s="115" t="s">
        <v>79</v>
      </c>
    </row>
    <row r="34" spans="1:8" ht="19.899999999999999" customHeight="1">
      <c r="A34" s="121">
        <v>46025</v>
      </c>
      <c r="B34" s="112" t="s">
        <v>26</v>
      </c>
      <c r="C34" s="113" t="s">
        <v>27</v>
      </c>
      <c r="D34" s="112" t="s">
        <v>1</v>
      </c>
      <c r="E34" s="122">
        <v>1.6076388888888891</v>
      </c>
      <c r="F34" s="112" t="s">
        <v>34</v>
      </c>
      <c r="G34" s="114">
        <v>9</v>
      </c>
      <c r="H34" s="115" t="s">
        <v>35</v>
      </c>
    </row>
    <row r="35" spans="1:8" ht="19.899999999999999" customHeight="1">
      <c r="A35" s="123">
        <v>46025</v>
      </c>
      <c r="B35" s="124" t="s">
        <v>26</v>
      </c>
      <c r="C35" s="125" t="s">
        <v>36</v>
      </c>
      <c r="D35" s="124" t="s">
        <v>1</v>
      </c>
      <c r="E35" s="126">
        <v>1.4340277777777779</v>
      </c>
      <c r="F35" s="124" t="s">
        <v>34</v>
      </c>
      <c r="G35" s="127">
        <v>2</v>
      </c>
      <c r="H35" s="128" t="s">
        <v>35</v>
      </c>
    </row>
    <row r="36" spans="1:8" ht="19.899999999999999" customHeight="1">
      <c r="A36" s="143"/>
      <c r="B36" s="144"/>
      <c r="C36" s="144"/>
      <c r="D36" s="144"/>
      <c r="E36" s="144"/>
      <c r="F36" s="145" t="s">
        <v>319</v>
      </c>
      <c r="G36" s="144"/>
      <c r="H36" s="146"/>
    </row>
    <row r="37" spans="1:8" ht="19.899999999999999" customHeight="1">
      <c r="A37" s="121">
        <v>46026</v>
      </c>
      <c r="B37" s="112" t="s">
        <v>38</v>
      </c>
      <c r="C37" s="113" t="s">
        <v>39</v>
      </c>
      <c r="D37" s="112" t="s">
        <v>1</v>
      </c>
      <c r="E37" s="122">
        <v>1.229166666666667</v>
      </c>
      <c r="F37" s="112" t="s">
        <v>40</v>
      </c>
      <c r="G37" s="114">
        <v>13</v>
      </c>
      <c r="H37" s="115" t="s">
        <v>78</v>
      </c>
    </row>
    <row r="38" spans="1:8" ht="19.899999999999999" customHeight="1">
      <c r="A38" s="121">
        <v>46026</v>
      </c>
      <c r="B38" s="112" t="s">
        <v>26</v>
      </c>
      <c r="C38" s="113" t="s">
        <v>27</v>
      </c>
      <c r="D38" s="112" t="s">
        <v>1</v>
      </c>
      <c r="E38" s="122">
        <v>1.6076388888888891</v>
      </c>
      <c r="F38" s="112" t="s">
        <v>28</v>
      </c>
      <c r="G38" s="114">
        <v>9</v>
      </c>
      <c r="H38" s="115" t="s">
        <v>81</v>
      </c>
    </row>
    <row r="39" spans="1:8" ht="19.899999999999999" customHeight="1">
      <c r="A39" s="121">
        <v>46026</v>
      </c>
      <c r="B39" s="112" t="s">
        <v>48</v>
      </c>
      <c r="C39" s="113" t="s">
        <v>56</v>
      </c>
      <c r="D39" s="112" t="s">
        <v>1</v>
      </c>
      <c r="E39" s="122">
        <v>1.895833333333333</v>
      </c>
      <c r="F39" s="112" t="s">
        <v>50</v>
      </c>
      <c r="G39" s="114">
        <v>4</v>
      </c>
      <c r="H39" s="115" t="s">
        <v>96</v>
      </c>
    </row>
    <row r="40" spans="1:8" ht="19.899999999999999" customHeight="1">
      <c r="A40" s="121">
        <v>46026</v>
      </c>
      <c r="B40" s="112" t="s">
        <v>26</v>
      </c>
      <c r="C40" s="113" t="s">
        <v>27</v>
      </c>
      <c r="D40" s="112" t="s">
        <v>1</v>
      </c>
      <c r="E40" s="122">
        <v>1.6076388888888891</v>
      </c>
      <c r="F40" s="112" t="s">
        <v>31</v>
      </c>
      <c r="G40" s="114">
        <v>9</v>
      </c>
      <c r="H40" s="115" t="s">
        <v>83</v>
      </c>
    </row>
    <row r="41" spans="1:8" ht="19.899999999999999" customHeight="1">
      <c r="A41" s="121">
        <v>46026</v>
      </c>
      <c r="B41" s="112" t="s">
        <v>38</v>
      </c>
      <c r="C41" s="113" t="s">
        <v>39</v>
      </c>
      <c r="D41" s="112" t="s">
        <v>1</v>
      </c>
      <c r="E41" s="122">
        <v>1.229166666666667</v>
      </c>
      <c r="F41" s="112" t="s">
        <v>43</v>
      </c>
      <c r="G41" s="114">
        <v>13</v>
      </c>
      <c r="H41" s="115" t="s">
        <v>79</v>
      </c>
    </row>
    <row r="42" spans="1:8" ht="19.899999999999999" customHeight="1">
      <c r="A42" s="121">
        <v>46026</v>
      </c>
      <c r="B42" s="112" t="s">
        <v>48</v>
      </c>
      <c r="C42" s="113" t="s">
        <v>49</v>
      </c>
      <c r="D42" s="112" t="s">
        <v>1</v>
      </c>
      <c r="E42" s="122">
        <v>1.350694444444444</v>
      </c>
      <c r="F42" s="112" t="s">
        <v>50</v>
      </c>
      <c r="G42" s="114">
        <v>9</v>
      </c>
      <c r="H42" s="115" t="s">
        <v>52</v>
      </c>
    </row>
    <row r="43" spans="1:8" ht="19.899999999999999" customHeight="1">
      <c r="A43" s="121">
        <v>46026</v>
      </c>
      <c r="B43" s="112" t="s">
        <v>48</v>
      </c>
      <c r="C43" s="113" t="s">
        <v>58</v>
      </c>
      <c r="D43" s="112" t="s">
        <v>1</v>
      </c>
      <c r="E43" s="122">
        <v>1.1840277777777779</v>
      </c>
      <c r="F43" s="112" t="s">
        <v>50</v>
      </c>
      <c r="G43" s="114">
        <v>5</v>
      </c>
      <c r="H43" s="115" t="s">
        <v>52</v>
      </c>
    </row>
    <row r="44" spans="1:8" ht="19.899999999999999" customHeight="1">
      <c r="A44" s="121">
        <v>46026</v>
      </c>
      <c r="B44" s="112" t="s">
        <v>26</v>
      </c>
      <c r="C44" s="113" t="s">
        <v>27</v>
      </c>
      <c r="D44" s="112" t="s">
        <v>1</v>
      </c>
      <c r="E44" s="122">
        <v>1.6076388888888891</v>
      </c>
      <c r="F44" s="112" t="s">
        <v>34</v>
      </c>
      <c r="G44" s="114">
        <v>9</v>
      </c>
      <c r="H44" s="115" t="s">
        <v>45</v>
      </c>
    </row>
    <row r="45" spans="1:8" ht="19.899999999999999" customHeight="1">
      <c r="A45" s="121">
        <v>46026</v>
      </c>
      <c r="B45" s="112" t="s">
        <v>48</v>
      </c>
      <c r="C45" s="113" t="s">
        <v>56</v>
      </c>
      <c r="D45" s="112" t="s">
        <v>1</v>
      </c>
      <c r="E45" s="122">
        <v>1.895833333333333</v>
      </c>
      <c r="F45" s="112" t="s">
        <v>53</v>
      </c>
      <c r="G45" s="114">
        <v>4</v>
      </c>
      <c r="H45" s="115" t="s">
        <v>97</v>
      </c>
    </row>
    <row r="46" spans="1:8" ht="19.899999999999999" customHeight="1">
      <c r="A46" s="123">
        <v>46026</v>
      </c>
      <c r="B46" s="124" t="s">
        <v>61</v>
      </c>
      <c r="C46" s="125" t="s">
        <v>62</v>
      </c>
      <c r="D46" s="124" t="s">
        <v>1</v>
      </c>
      <c r="E46" s="126">
        <v>1.743055555555556</v>
      </c>
      <c r="F46" s="124" t="s">
        <v>63</v>
      </c>
      <c r="G46" s="127">
        <v>8</v>
      </c>
      <c r="H46" s="128" t="s">
        <v>64</v>
      </c>
    </row>
    <row r="47" spans="1:8" ht="19.899999999999999" customHeight="1">
      <c r="A47" s="129">
        <v>46027</v>
      </c>
      <c r="B47" s="117" t="s">
        <v>61</v>
      </c>
      <c r="C47" s="118" t="s">
        <v>321</v>
      </c>
      <c r="D47" s="117" t="s">
        <v>320</v>
      </c>
      <c r="E47" s="130">
        <v>1.645833333333333</v>
      </c>
      <c r="F47" s="117" t="s">
        <v>63</v>
      </c>
      <c r="G47" s="119">
        <v>9</v>
      </c>
      <c r="H47" s="120" t="s">
        <v>322</v>
      </c>
    </row>
    <row r="48" spans="1:8" ht="19.899999999999999" customHeight="1">
      <c r="A48" s="143"/>
      <c r="B48" s="144"/>
      <c r="C48" s="144"/>
      <c r="D48" s="144"/>
      <c r="E48" s="144"/>
      <c r="F48" s="145" t="s">
        <v>319</v>
      </c>
      <c r="G48" s="144"/>
      <c r="H48" s="146"/>
    </row>
    <row r="49" spans="1:8" ht="19.899999999999999" customHeight="1">
      <c r="A49" s="121">
        <v>46027</v>
      </c>
      <c r="B49" s="112" t="s">
        <v>38</v>
      </c>
      <c r="C49" s="113" t="s">
        <v>87</v>
      </c>
      <c r="D49" s="112" t="s">
        <v>1</v>
      </c>
      <c r="E49" s="122">
        <v>1.0625</v>
      </c>
      <c r="F49" s="112" t="s">
        <v>40</v>
      </c>
      <c r="G49" s="114">
        <v>20</v>
      </c>
      <c r="H49" s="115" t="s">
        <v>88</v>
      </c>
    </row>
    <row r="50" spans="1:8" ht="19.899999999999999" customHeight="1">
      <c r="A50" s="121">
        <v>46027</v>
      </c>
      <c r="B50" s="112" t="s">
        <v>38</v>
      </c>
      <c r="C50" s="113" t="s">
        <v>39</v>
      </c>
      <c r="D50" s="112" t="s">
        <v>1</v>
      </c>
      <c r="E50" s="122">
        <v>1.229166666666667</v>
      </c>
      <c r="F50" s="112" t="s">
        <v>40</v>
      </c>
      <c r="G50" s="114">
        <v>5</v>
      </c>
      <c r="H50" s="115" t="s">
        <v>78</v>
      </c>
    </row>
    <row r="51" spans="1:8" ht="19.899999999999999" customHeight="1">
      <c r="A51" s="121">
        <v>46027</v>
      </c>
      <c r="B51" s="112" t="s">
        <v>26</v>
      </c>
      <c r="C51" s="113" t="s">
        <v>27</v>
      </c>
      <c r="D51" s="112" t="s">
        <v>1</v>
      </c>
      <c r="E51" s="122">
        <v>1.6076388888888891</v>
      </c>
      <c r="F51" s="112" t="s">
        <v>28</v>
      </c>
      <c r="G51" s="114">
        <v>5</v>
      </c>
      <c r="H51" s="115" t="s">
        <v>81</v>
      </c>
    </row>
    <row r="52" spans="1:8" ht="19.899999999999999" customHeight="1">
      <c r="A52" s="121">
        <v>46027</v>
      </c>
      <c r="B52" s="112" t="s">
        <v>48</v>
      </c>
      <c r="C52" s="113" t="s">
        <v>58</v>
      </c>
      <c r="D52" s="112" t="s">
        <v>1</v>
      </c>
      <c r="E52" s="122">
        <v>1.1840277777777779</v>
      </c>
      <c r="F52" s="112" t="s">
        <v>50</v>
      </c>
      <c r="G52" s="114">
        <v>7</v>
      </c>
      <c r="H52" s="115" t="s">
        <v>96</v>
      </c>
    </row>
    <row r="53" spans="1:8" ht="19.899999999999999" customHeight="1">
      <c r="A53" s="121">
        <v>46027</v>
      </c>
      <c r="B53" s="112" t="s">
        <v>26</v>
      </c>
      <c r="C53" s="113" t="s">
        <v>27</v>
      </c>
      <c r="D53" s="112" t="s">
        <v>1</v>
      </c>
      <c r="E53" s="122">
        <v>1.6076388888888891</v>
      </c>
      <c r="F53" s="112" t="s">
        <v>31</v>
      </c>
      <c r="G53" s="114">
        <v>5</v>
      </c>
      <c r="H53" s="115" t="s">
        <v>83</v>
      </c>
    </row>
    <row r="54" spans="1:8" ht="19.899999999999999" customHeight="1">
      <c r="A54" s="121">
        <v>46027</v>
      </c>
      <c r="B54" s="112" t="s">
        <v>38</v>
      </c>
      <c r="C54" s="113" t="s">
        <v>87</v>
      </c>
      <c r="D54" s="112" t="s">
        <v>1</v>
      </c>
      <c r="E54" s="122">
        <v>1.0625</v>
      </c>
      <c r="F54" s="112" t="s">
        <v>43</v>
      </c>
      <c r="G54" s="114">
        <v>20</v>
      </c>
      <c r="H54" s="115" t="s">
        <v>89</v>
      </c>
    </row>
    <row r="55" spans="1:8" ht="19.899999999999999" customHeight="1">
      <c r="A55" s="121">
        <v>46027</v>
      </c>
      <c r="B55" s="112" t="s">
        <v>38</v>
      </c>
      <c r="C55" s="113" t="s">
        <v>39</v>
      </c>
      <c r="D55" s="112" t="s">
        <v>1</v>
      </c>
      <c r="E55" s="122">
        <v>1.229166666666667</v>
      </c>
      <c r="F55" s="112" t="s">
        <v>43</v>
      </c>
      <c r="G55" s="114">
        <v>5</v>
      </c>
      <c r="H55" s="115" t="s">
        <v>79</v>
      </c>
    </row>
    <row r="56" spans="1:8" ht="19.899999999999999" customHeight="1">
      <c r="A56" s="121">
        <v>46027</v>
      </c>
      <c r="B56" s="112" t="s">
        <v>48</v>
      </c>
      <c r="C56" s="113" t="s">
        <v>56</v>
      </c>
      <c r="D56" s="112" t="s">
        <v>1</v>
      </c>
      <c r="E56" s="122">
        <v>1.895833333333333</v>
      </c>
      <c r="F56" s="112" t="s">
        <v>50</v>
      </c>
      <c r="G56" s="114">
        <v>9</v>
      </c>
      <c r="H56" s="115" t="s">
        <v>52</v>
      </c>
    </row>
    <row r="57" spans="1:8" ht="19.899999999999999" customHeight="1">
      <c r="A57" s="121">
        <v>46027</v>
      </c>
      <c r="B57" s="112" t="s">
        <v>26</v>
      </c>
      <c r="C57" s="113" t="s">
        <v>27</v>
      </c>
      <c r="D57" s="112" t="s">
        <v>1</v>
      </c>
      <c r="E57" s="122">
        <v>1.6076388888888891</v>
      </c>
      <c r="F57" s="112" t="s">
        <v>34</v>
      </c>
      <c r="G57" s="114">
        <v>5</v>
      </c>
      <c r="H57" s="115" t="s">
        <v>45</v>
      </c>
    </row>
    <row r="58" spans="1:8" ht="19.899999999999999" customHeight="1">
      <c r="A58" s="123">
        <v>46027</v>
      </c>
      <c r="B58" s="124" t="s">
        <v>48</v>
      </c>
      <c r="C58" s="125" t="s">
        <v>58</v>
      </c>
      <c r="D58" s="124" t="s">
        <v>1</v>
      </c>
      <c r="E58" s="126">
        <v>1.1840277777777779</v>
      </c>
      <c r="F58" s="124" t="s">
        <v>53</v>
      </c>
      <c r="G58" s="127">
        <v>7</v>
      </c>
      <c r="H58" s="128" t="s">
        <v>97</v>
      </c>
    </row>
    <row r="59" spans="1:8" ht="19.899999999999999" customHeight="1">
      <c r="A59" s="129">
        <v>46028</v>
      </c>
      <c r="B59" s="117" t="s">
        <v>61</v>
      </c>
      <c r="C59" s="118" t="s">
        <v>321</v>
      </c>
      <c r="D59" s="117" t="s">
        <v>320</v>
      </c>
      <c r="E59" s="130">
        <v>1.125</v>
      </c>
      <c r="F59" s="117" t="s">
        <v>63</v>
      </c>
      <c r="G59" s="119">
        <v>9</v>
      </c>
      <c r="H59" s="120" t="s">
        <v>322</v>
      </c>
    </row>
    <row r="60" spans="1:8" ht="19.899999999999999" customHeight="1">
      <c r="A60" s="143"/>
      <c r="B60" s="144"/>
      <c r="C60" s="144"/>
      <c r="D60" s="144"/>
      <c r="E60" s="144"/>
      <c r="F60" s="145" t="s">
        <v>319</v>
      </c>
      <c r="G60" s="144"/>
      <c r="H60" s="146"/>
    </row>
    <row r="61" spans="1:8" ht="19.899999999999999" customHeight="1">
      <c r="A61" s="121">
        <v>46028</v>
      </c>
      <c r="B61" s="112" t="s">
        <v>38</v>
      </c>
      <c r="C61" s="113" t="s">
        <v>87</v>
      </c>
      <c r="D61" s="112" t="s">
        <v>1</v>
      </c>
      <c r="E61" s="122">
        <v>1.0625</v>
      </c>
      <c r="F61" s="112" t="s">
        <v>40</v>
      </c>
      <c r="G61" s="114">
        <v>20</v>
      </c>
      <c r="H61" s="115" t="s">
        <v>78</v>
      </c>
    </row>
    <row r="62" spans="1:8" ht="19.899999999999999" customHeight="1">
      <c r="A62" s="121">
        <v>46028</v>
      </c>
      <c r="B62" s="112" t="s">
        <v>38</v>
      </c>
      <c r="C62" s="113" t="s">
        <v>39</v>
      </c>
      <c r="D62" s="112" t="s">
        <v>1</v>
      </c>
      <c r="E62" s="122">
        <v>1.229166666666667</v>
      </c>
      <c r="F62" s="112" t="s">
        <v>40</v>
      </c>
      <c r="G62" s="114">
        <v>14</v>
      </c>
      <c r="H62" s="115" t="s">
        <v>42</v>
      </c>
    </row>
    <row r="63" spans="1:8" ht="19.899999999999999" customHeight="1">
      <c r="A63" s="121">
        <v>46028</v>
      </c>
      <c r="B63" s="112" t="s">
        <v>48</v>
      </c>
      <c r="C63" s="113" t="s">
        <v>58</v>
      </c>
      <c r="D63" s="112" t="s">
        <v>1</v>
      </c>
      <c r="E63" s="122">
        <v>1.1840277777777779</v>
      </c>
      <c r="F63" s="112" t="s">
        <v>50</v>
      </c>
      <c r="G63" s="114">
        <v>8</v>
      </c>
      <c r="H63" s="115" t="s">
        <v>96</v>
      </c>
    </row>
    <row r="64" spans="1:8" ht="19.899999999999999" customHeight="1">
      <c r="A64" s="121">
        <v>46028</v>
      </c>
      <c r="B64" s="112" t="s">
        <v>38</v>
      </c>
      <c r="C64" s="113" t="s">
        <v>87</v>
      </c>
      <c r="D64" s="112" t="s">
        <v>1</v>
      </c>
      <c r="E64" s="122">
        <v>1.0625</v>
      </c>
      <c r="F64" s="112" t="s">
        <v>43</v>
      </c>
      <c r="G64" s="114">
        <v>20</v>
      </c>
      <c r="H64" s="115" t="s">
        <v>79</v>
      </c>
    </row>
    <row r="65" spans="1:8" ht="19.899999999999999" customHeight="1">
      <c r="A65" s="121">
        <v>46028</v>
      </c>
      <c r="B65" s="112" t="s">
        <v>38</v>
      </c>
      <c r="C65" s="113" t="s">
        <v>39</v>
      </c>
      <c r="D65" s="112" t="s">
        <v>1</v>
      </c>
      <c r="E65" s="122">
        <v>1.229166666666667</v>
      </c>
      <c r="F65" s="112" t="s">
        <v>43</v>
      </c>
      <c r="G65" s="114">
        <v>14</v>
      </c>
      <c r="H65" s="115" t="s">
        <v>45</v>
      </c>
    </row>
    <row r="66" spans="1:8" ht="19.899999999999999" customHeight="1">
      <c r="A66" s="121">
        <v>46028</v>
      </c>
      <c r="B66" s="112" t="s">
        <v>48</v>
      </c>
      <c r="C66" s="113" t="s">
        <v>58</v>
      </c>
      <c r="D66" s="112" t="s">
        <v>1</v>
      </c>
      <c r="E66" s="122">
        <v>1.1840277777777779</v>
      </c>
      <c r="F66" s="112" t="s">
        <v>53</v>
      </c>
      <c r="G66" s="114">
        <v>8</v>
      </c>
      <c r="H66" s="115" t="s">
        <v>97</v>
      </c>
    </row>
    <row r="67" spans="1:8" ht="19.899999999999999" customHeight="1">
      <c r="A67" s="121">
        <v>46028</v>
      </c>
      <c r="B67" s="112" t="s">
        <v>61</v>
      </c>
      <c r="C67" s="113" t="s">
        <v>62</v>
      </c>
      <c r="D67" s="112" t="s">
        <v>1</v>
      </c>
      <c r="E67" s="122">
        <v>1.819444444444444</v>
      </c>
      <c r="F67" s="112" t="s">
        <v>63</v>
      </c>
      <c r="G67" s="114">
        <v>9</v>
      </c>
      <c r="H67" s="115" t="s">
        <v>64</v>
      </c>
    </row>
    <row r="68" spans="1:8" ht="19.899999999999999" customHeight="1">
      <c r="A68" s="121">
        <v>46028</v>
      </c>
      <c r="B68" s="112" t="s">
        <v>26</v>
      </c>
      <c r="C68" s="113" t="s">
        <v>27</v>
      </c>
      <c r="D68" s="112" t="s">
        <v>1</v>
      </c>
      <c r="E68" s="122">
        <v>1.6076388888888891</v>
      </c>
      <c r="F68" s="112" t="s">
        <v>28</v>
      </c>
      <c r="G68" s="114">
        <v>9</v>
      </c>
      <c r="H68" s="115" t="s">
        <v>118</v>
      </c>
    </row>
    <row r="69" spans="1:8" ht="19.899999999999999" customHeight="1">
      <c r="A69" s="121">
        <v>46028</v>
      </c>
      <c r="B69" s="112" t="s">
        <v>68</v>
      </c>
      <c r="C69" s="113" t="s">
        <v>74</v>
      </c>
      <c r="D69" s="112" t="s">
        <v>1</v>
      </c>
      <c r="E69" s="122">
        <v>1.336805555555556</v>
      </c>
      <c r="F69" s="112" t="s">
        <v>70</v>
      </c>
      <c r="G69" s="114">
        <v>9</v>
      </c>
      <c r="H69" s="115" t="s">
        <v>71</v>
      </c>
    </row>
    <row r="70" spans="1:8" ht="19.899999999999999" customHeight="1">
      <c r="A70" s="123">
        <v>46028</v>
      </c>
      <c r="B70" s="124" t="s">
        <v>68</v>
      </c>
      <c r="C70" s="125" t="s">
        <v>69</v>
      </c>
      <c r="D70" s="124" t="s">
        <v>1</v>
      </c>
      <c r="E70" s="126">
        <v>1.9409722222222221</v>
      </c>
      <c r="F70" s="124" t="s">
        <v>70</v>
      </c>
      <c r="G70" s="127">
        <v>9</v>
      </c>
      <c r="H70" s="128" t="s">
        <v>71</v>
      </c>
    </row>
    <row r="71" spans="1:8" ht="19.899999999999999" customHeight="1">
      <c r="A71" s="129">
        <v>46029</v>
      </c>
      <c r="B71" s="117" t="s">
        <v>61</v>
      </c>
      <c r="C71" s="118" t="s">
        <v>327</v>
      </c>
      <c r="D71" s="117" t="s">
        <v>320</v>
      </c>
      <c r="E71" s="130">
        <v>1.461805555555556</v>
      </c>
      <c r="F71" s="117" t="s">
        <v>63</v>
      </c>
      <c r="G71" s="119">
        <v>9</v>
      </c>
      <c r="H71" s="120" t="s">
        <v>322</v>
      </c>
    </row>
    <row r="72" spans="1:8" ht="19.899999999999999" customHeight="1">
      <c r="A72" s="143"/>
      <c r="B72" s="144"/>
      <c r="C72" s="144"/>
      <c r="D72" s="144"/>
      <c r="E72" s="144"/>
      <c r="F72" s="145" t="s">
        <v>319</v>
      </c>
      <c r="G72" s="144"/>
      <c r="H72" s="146"/>
    </row>
    <row r="73" spans="1:8" ht="19.899999999999999" customHeight="1">
      <c r="A73" s="121">
        <v>46029</v>
      </c>
      <c r="B73" s="112" t="s">
        <v>38</v>
      </c>
      <c r="C73" s="113" t="s">
        <v>39</v>
      </c>
      <c r="D73" s="112" t="s">
        <v>1</v>
      </c>
      <c r="E73" s="122">
        <v>1.229166666666667</v>
      </c>
      <c r="F73" s="112" t="s">
        <v>40</v>
      </c>
      <c r="G73" s="114">
        <v>18</v>
      </c>
      <c r="H73" s="115" t="s">
        <v>121</v>
      </c>
    </row>
    <row r="74" spans="1:8" ht="19.899999999999999" customHeight="1">
      <c r="A74" s="121">
        <v>46029</v>
      </c>
      <c r="B74" s="112" t="s">
        <v>48</v>
      </c>
      <c r="C74" s="113" t="s">
        <v>49</v>
      </c>
      <c r="D74" s="112" t="s">
        <v>1</v>
      </c>
      <c r="E74" s="122">
        <v>1.350694444444444</v>
      </c>
      <c r="F74" s="112" t="s">
        <v>50</v>
      </c>
      <c r="G74" s="114">
        <v>9</v>
      </c>
      <c r="H74" s="115" t="s">
        <v>52</v>
      </c>
    </row>
    <row r="75" spans="1:8" ht="19.899999999999999" customHeight="1">
      <c r="A75" s="121">
        <v>46029</v>
      </c>
      <c r="B75" s="112" t="s">
        <v>38</v>
      </c>
      <c r="C75" s="113" t="s">
        <v>39</v>
      </c>
      <c r="D75" s="112" t="s">
        <v>1</v>
      </c>
      <c r="E75" s="122">
        <v>1.229166666666667</v>
      </c>
      <c r="F75" s="112" t="s">
        <v>43</v>
      </c>
      <c r="G75" s="114">
        <v>18</v>
      </c>
      <c r="H75" s="115" t="s">
        <v>123</v>
      </c>
    </row>
    <row r="76" spans="1:8" ht="19.899999999999999" customHeight="1">
      <c r="A76" s="121">
        <v>46029</v>
      </c>
      <c r="B76" s="112" t="s">
        <v>48</v>
      </c>
      <c r="C76" s="113" t="s">
        <v>58</v>
      </c>
      <c r="D76" s="112" t="s">
        <v>1</v>
      </c>
      <c r="E76" s="122">
        <v>1.1840277777777779</v>
      </c>
      <c r="F76" s="112" t="s">
        <v>50</v>
      </c>
      <c r="G76" s="114">
        <v>9</v>
      </c>
      <c r="H76" s="115" t="s">
        <v>109</v>
      </c>
    </row>
    <row r="77" spans="1:8" ht="19.899999999999999" customHeight="1">
      <c r="A77" s="121">
        <v>46029</v>
      </c>
      <c r="B77" s="112" t="s">
        <v>48</v>
      </c>
      <c r="C77" s="113" t="s">
        <v>49</v>
      </c>
      <c r="D77" s="112" t="s">
        <v>1</v>
      </c>
      <c r="E77" s="122">
        <v>1.350694444444444</v>
      </c>
      <c r="F77" s="112" t="s">
        <v>53</v>
      </c>
      <c r="G77" s="114">
        <v>9</v>
      </c>
      <c r="H77" s="115" t="s">
        <v>55</v>
      </c>
    </row>
    <row r="78" spans="1:8" ht="19.899999999999999" customHeight="1">
      <c r="A78" s="121">
        <v>46029</v>
      </c>
      <c r="B78" s="112" t="s">
        <v>68</v>
      </c>
      <c r="C78" s="113" t="s">
        <v>74</v>
      </c>
      <c r="D78" s="112" t="s">
        <v>1</v>
      </c>
      <c r="E78" s="122">
        <v>1.336805555555556</v>
      </c>
      <c r="F78" s="112" t="s">
        <v>70</v>
      </c>
      <c r="G78" s="114">
        <v>9</v>
      </c>
      <c r="H78" s="115" t="s">
        <v>71</v>
      </c>
    </row>
    <row r="79" spans="1:8" ht="19.899999999999999" customHeight="1">
      <c r="A79" s="121">
        <v>46029</v>
      </c>
      <c r="B79" s="112" t="s">
        <v>68</v>
      </c>
      <c r="C79" s="113" t="s">
        <v>76</v>
      </c>
      <c r="D79" s="112" t="s">
        <v>1</v>
      </c>
      <c r="E79" s="122">
        <v>1.697916666666667</v>
      </c>
      <c r="F79" s="112" t="s">
        <v>70</v>
      </c>
      <c r="G79" s="114">
        <v>9</v>
      </c>
      <c r="H79" s="115" t="s">
        <v>71</v>
      </c>
    </row>
    <row r="80" spans="1:8" ht="19.899999999999999" customHeight="1">
      <c r="A80" s="121">
        <v>46029</v>
      </c>
      <c r="B80" s="112" t="s">
        <v>68</v>
      </c>
      <c r="C80" s="113" t="s">
        <v>72</v>
      </c>
      <c r="D80" s="112" t="s">
        <v>1</v>
      </c>
      <c r="E80" s="122">
        <v>1.0659722222222221</v>
      </c>
      <c r="F80" s="112" t="s">
        <v>70</v>
      </c>
      <c r="G80" s="114">
        <v>9</v>
      </c>
      <c r="H80" s="115" t="s">
        <v>71</v>
      </c>
    </row>
    <row r="81" spans="1:8" ht="19.899999999999999" customHeight="1">
      <c r="A81" s="121">
        <v>46029</v>
      </c>
      <c r="B81" s="112" t="s">
        <v>68</v>
      </c>
      <c r="C81" s="113" t="s">
        <v>73</v>
      </c>
      <c r="D81" s="112" t="s">
        <v>1</v>
      </c>
      <c r="E81" s="122">
        <v>1.288194444444444</v>
      </c>
      <c r="F81" s="112" t="s">
        <v>70</v>
      </c>
      <c r="G81" s="114">
        <v>9</v>
      </c>
      <c r="H81" s="115" t="s">
        <v>71</v>
      </c>
    </row>
    <row r="82" spans="1:8" ht="19.899999999999999" customHeight="1">
      <c r="A82" s="123">
        <v>46029</v>
      </c>
      <c r="B82" s="124" t="s">
        <v>48</v>
      </c>
      <c r="C82" s="125" t="s">
        <v>58</v>
      </c>
      <c r="D82" s="124" t="s">
        <v>1</v>
      </c>
      <c r="E82" s="126">
        <v>1.1840277777777779</v>
      </c>
      <c r="F82" s="124" t="s">
        <v>53</v>
      </c>
      <c r="G82" s="127">
        <v>9</v>
      </c>
      <c r="H82" s="128" t="s">
        <v>110</v>
      </c>
    </row>
    <row r="83" spans="1:8" ht="19.899999999999999" customHeight="1">
      <c r="A83" s="143"/>
      <c r="B83" s="144"/>
      <c r="C83" s="144"/>
      <c r="D83" s="144"/>
      <c r="E83" s="144"/>
      <c r="F83" s="145" t="s">
        <v>319</v>
      </c>
      <c r="G83" s="144"/>
      <c r="H83" s="146"/>
    </row>
    <row r="84" spans="1:8" ht="19.899999999999999" customHeight="1">
      <c r="A84" s="121">
        <v>46030</v>
      </c>
      <c r="B84" s="112" t="s">
        <v>38</v>
      </c>
      <c r="C84" s="113" t="s">
        <v>39</v>
      </c>
      <c r="D84" s="112" t="s">
        <v>1</v>
      </c>
      <c r="E84" s="122">
        <v>1.229166666666667</v>
      </c>
      <c r="F84" s="112" t="s">
        <v>40</v>
      </c>
      <c r="G84" s="114">
        <v>9</v>
      </c>
      <c r="H84" s="115" t="s">
        <v>78</v>
      </c>
    </row>
    <row r="85" spans="1:8" ht="19.899999999999999" customHeight="1">
      <c r="A85" s="121">
        <v>46030</v>
      </c>
      <c r="B85" s="112" t="s">
        <v>38</v>
      </c>
      <c r="C85" s="113" t="s">
        <v>87</v>
      </c>
      <c r="D85" s="112" t="s">
        <v>1</v>
      </c>
      <c r="E85" s="122">
        <v>1.0625</v>
      </c>
      <c r="F85" s="112" t="s">
        <v>40</v>
      </c>
      <c r="G85" s="114">
        <v>20</v>
      </c>
      <c r="H85" s="115" t="s">
        <v>78</v>
      </c>
    </row>
    <row r="86" spans="1:8" ht="19.899999999999999" customHeight="1">
      <c r="A86" s="121">
        <v>46030</v>
      </c>
      <c r="B86" s="112" t="s">
        <v>26</v>
      </c>
      <c r="C86" s="113" t="s">
        <v>27</v>
      </c>
      <c r="D86" s="112" t="s">
        <v>1</v>
      </c>
      <c r="E86" s="122">
        <v>1.6076388888888891</v>
      </c>
      <c r="F86" s="112" t="s">
        <v>28</v>
      </c>
      <c r="G86" s="114">
        <v>3</v>
      </c>
      <c r="H86" s="115" t="s">
        <v>81</v>
      </c>
    </row>
    <row r="87" spans="1:8" ht="19.899999999999999" customHeight="1">
      <c r="A87" s="121">
        <v>46030</v>
      </c>
      <c r="B87" s="112" t="s">
        <v>26</v>
      </c>
      <c r="C87" s="113" t="s">
        <v>27</v>
      </c>
      <c r="D87" s="112" t="s">
        <v>1</v>
      </c>
      <c r="E87" s="122">
        <v>1.6076388888888891</v>
      </c>
      <c r="F87" s="112" t="s">
        <v>31</v>
      </c>
      <c r="G87" s="114">
        <v>3</v>
      </c>
      <c r="H87" s="115" t="s">
        <v>83</v>
      </c>
    </row>
    <row r="88" spans="1:8" ht="19.899999999999999" customHeight="1">
      <c r="A88" s="121">
        <v>46030</v>
      </c>
      <c r="B88" s="112" t="s">
        <v>38</v>
      </c>
      <c r="C88" s="113" t="s">
        <v>39</v>
      </c>
      <c r="D88" s="112" t="s">
        <v>1</v>
      </c>
      <c r="E88" s="122">
        <v>1.229166666666667</v>
      </c>
      <c r="F88" s="112" t="s">
        <v>43</v>
      </c>
      <c r="G88" s="114">
        <v>9</v>
      </c>
      <c r="H88" s="115" t="s">
        <v>79</v>
      </c>
    </row>
    <row r="89" spans="1:8" ht="19.899999999999999" customHeight="1">
      <c r="A89" s="121">
        <v>46030</v>
      </c>
      <c r="B89" s="112" t="s">
        <v>38</v>
      </c>
      <c r="C89" s="113" t="s">
        <v>87</v>
      </c>
      <c r="D89" s="112" t="s">
        <v>1</v>
      </c>
      <c r="E89" s="122">
        <v>1.0625</v>
      </c>
      <c r="F89" s="112" t="s">
        <v>43</v>
      </c>
      <c r="G89" s="114">
        <v>20</v>
      </c>
      <c r="H89" s="115" t="s">
        <v>79</v>
      </c>
    </row>
    <row r="90" spans="1:8" ht="19.899999999999999" customHeight="1">
      <c r="A90" s="121">
        <v>46030</v>
      </c>
      <c r="B90" s="112" t="s">
        <v>26</v>
      </c>
      <c r="C90" s="113" t="s">
        <v>27</v>
      </c>
      <c r="D90" s="112" t="s">
        <v>1</v>
      </c>
      <c r="E90" s="122">
        <v>1.6076388888888891</v>
      </c>
      <c r="F90" s="112" t="s">
        <v>34</v>
      </c>
      <c r="G90" s="114">
        <v>3</v>
      </c>
      <c r="H90" s="115" t="s">
        <v>45</v>
      </c>
    </row>
    <row r="91" spans="1:8" ht="19.899999999999999" customHeight="1">
      <c r="A91" s="121">
        <v>46030</v>
      </c>
      <c r="B91" s="112" t="s">
        <v>61</v>
      </c>
      <c r="C91" s="113" t="s">
        <v>62</v>
      </c>
      <c r="D91" s="112" t="s">
        <v>1</v>
      </c>
      <c r="E91" s="122">
        <v>1.381944444444444</v>
      </c>
      <c r="F91" s="112" t="s">
        <v>63</v>
      </c>
      <c r="G91" s="114">
        <v>9</v>
      </c>
      <c r="H91" s="115" t="s">
        <v>64</v>
      </c>
    </row>
    <row r="92" spans="1:8" ht="19.899999999999999" customHeight="1">
      <c r="A92" s="121">
        <v>46030</v>
      </c>
      <c r="B92" s="112" t="s">
        <v>48</v>
      </c>
      <c r="C92" s="113" t="s">
        <v>56</v>
      </c>
      <c r="D92" s="112" t="s">
        <v>1</v>
      </c>
      <c r="E92" s="122">
        <v>1.895833333333333</v>
      </c>
      <c r="F92" s="112" t="s">
        <v>50</v>
      </c>
      <c r="G92" s="114">
        <v>9</v>
      </c>
      <c r="H92" s="115" t="s">
        <v>109</v>
      </c>
    </row>
    <row r="93" spans="1:8" ht="19.899999999999999" customHeight="1">
      <c r="A93" s="123">
        <v>46030</v>
      </c>
      <c r="B93" s="124" t="s">
        <v>48</v>
      </c>
      <c r="C93" s="125" t="s">
        <v>58</v>
      </c>
      <c r="D93" s="124" t="s">
        <v>1</v>
      </c>
      <c r="E93" s="126">
        <v>1.1840277777777779</v>
      </c>
      <c r="F93" s="124" t="s">
        <v>50</v>
      </c>
      <c r="G93" s="127">
        <v>9</v>
      </c>
      <c r="H93" s="128" t="s">
        <v>109</v>
      </c>
    </row>
    <row r="94" spans="1:8" ht="19.899999999999999" customHeight="1">
      <c r="A94" s="143"/>
      <c r="B94" s="144"/>
      <c r="C94" s="144"/>
      <c r="D94" s="144"/>
      <c r="E94" s="144"/>
      <c r="F94" s="145" t="s">
        <v>319</v>
      </c>
      <c r="G94" s="144"/>
      <c r="H94" s="146"/>
    </row>
    <row r="95" spans="1:8" ht="19.899999999999999" customHeight="1">
      <c r="A95" s="121">
        <v>46031</v>
      </c>
      <c r="B95" s="112" t="s">
        <v>38</v>
      </c>
      <c r="C95" s="113" t="s">
        <v>39</v>
      </c>
      <c r="D95" s="112" t="s">
        <v>1</v>
      </c>
      <c r="E95" s="122">
        <v>1.229166666666667</v>
      </c>
      <c r="F95" s="112" t="s">
        <v>40</v>
      </c>
      <c r="G95" s="114">
        <v>11</v>
      </c>
      <c r="H95" s="115" t="s">
        <v>131</v>
      </c>
    </row>
    <row r="96" spans="1:8" ht="19.899999999999999" customHeight="1">
      <c r="A96" s="121">
        <v>46031</v>
      </c>
      <c r="B96" s="112" t="s">
        <v>48</v>
      </c>
      <c r="C96" s="113" t="s">
        <v>56</v>
      </c>
      <c r="D96" s="112" t="s">
        <v>1</v>
      </c>
      <c r="E96" s="122">
        <v>1.895833333333333</v>
      </c>
      <c r="F96" s="112" t="s">
        <v>50</v>
      </c>
      <c r="G96" s="114">
        <v>9</v>
      </c>
      <c r="H96" s="115" t="s">
        <v>96</v>
      </c>
    </row>
    <row r="97" spans="1:8" ht="19.899999999999999" customHeight="1">
      <c r="A97" s="121">
        <v>46031</v>
      </c>
      <c r="B97" s="112" t="s">
        <v>48</v>
      </c>
      <c r="C97" s="113" t="s">
        <v>58</v>
      </c>
      <c r="D97" s="112" t="s">
        <v>1</v>
      </c>
      <c r="E97" s="122">
        <v>1.1840277777777779</v>
      </c>
      <c r="F97" s="112" t="s">
        <v>50</v>
      </c>
      <c r="G97" s="114">
        <v>1</v>
      </c>
      <c r="H97" s="115" t="s">
        <v>96</v>
      </c>
    </row>
    <row r="98" spans="1:8" ht="19.899999999999999" customHeight="1">
      <c r="A98" s="121">
        <v>46031</v>
      </c>
      <c r="B98" s="112" t="s">
        <v>38</v>
      </c>
      <c r="C98" s="113" t="s">
        <v>39</v>
      </c>
      <c r="D98" s="112" t="s">
        <v>1</v>
      </c>
      <c r="E98" s="122">
        <v>1.229166666666667</v>
      </c>
      <c r="F98" s="112" t="s">
        <v>43</v>
      </c>
      <c r="G98" s="114">
        <v>11</v>
      </c>
      <c r="H98" s="115" t="s">
        <v>133</v>
      </c>
    </row>
    <row r="99" spans="1:8" ht="19.899999999999999" customHeight="1">
      <c r="A99" s="121">
        <v>46031</v>
      </c>
      <c r="B99" s="112" t="s">
        <v>48</v>
      </c>
      <c r="C99" s="113" t="s">
        <v>49</v>
      </c>
      <c r="D99" s="112" t="s">
        <v>1</v>
      </c>
      <c r="E99" s="122">
        <v>1.350694444444444</v>
      </c>
      <c r="F99" s="112" t="s">
        <v>50</v>
      </c>
      <c r="G99" s="114">
        <v>9</v>
      </c>
      <c r="H99" s="115" t="s">
        <v>52</v>
      </c>
    </row>
    <row r="100" spans="1:8" ht="19.899999999999999" customHeight="1">
      <c r="A100" s="121">
        <v>46031</v>
      </c>
      <c r="B100" s="112" t="s">
        <v>48</v>
      </c>
      <c r="C100" s="113" t="s">
        <v>56</v>
      </c>
      <c r="D100" s="112" t="s">
        <v>1</v>
      </c>
      <c r="E100" s="122">
        <v>1.895833333333333</v>
      </c>
      <c r="F100" s="112" t="s">
        <v>53</v>
      </c>
      <c r="G100" s="114">
        <v>9</v>
      </c>
      <c r="H100" s="115" t="s">
        <v>97</v>
      </c>
    </row>
    <row r="101" spans="1:8" ht="19.899999999999999" customHeight="1">
      <c r="A101" s="121">
        <v>46031</v>
      </c>
      <c r="B101" s="112" t="s">
        <v>48</v>
      </c>
      <c r="C101" s="113" t="s">
        <v>58</v>
      </c>
      <c r="D101" s="112" t="s">
        <v>1</v>
      </c>
      <c r="E101" s="122">
        <v>1.1840277777777779</v>
      </c>
      <c r="F101" s="112" t="s">
        <v>53</v>
      </c>
      <c r="G101" s="114">
        <v>1</v>
      </c>
      <c r="H101" s="115" t="s">
        <v>97</v>
      </c>
    </row>
    <row r="102" spans="1:8" ht="19.899999999999999" customHeight="1">
      <c r="A102" s="121">
        <v>46031</v>
      </c>
      <c r="B102" s="112" t="s">
        <v>48</v>
      </c>
      <c r="C102" s="113" t="s">
        <v>49</v>
      </c>
      <c r="D102" s="112" t="s">
        <v>1</v>
      </c>
      <c r="E102" s="122">
        <v>1.350694444444444</v>
      </c>
      <c r="F102" s="112" t="s">
        <v>53</v>
      </c>
      <c r="G102" s="114">
        <v>9</v>
      </c>
      <c r="H102" s="115" t="s">
        <v>55</v>
      </c>
    </row>
    <row r="103" spans="1:8" ht="19.899999999999999" customHeight="1">
      <c r="A103" s="121">
        <v>46031</v>
      </c>
      <c r="B103" s="112" t="s">
        <v>68</v>
      </c>
      <c r="C103" s="113" t="s">
        <v>74</v>
      </c>
      <c r="D103" s="112" t="s">
        <v>1</v>
      </c>
      <c r="E103" s="122">
        <v>1.336805555555556</v>
      </c>
      <c r="F103" s="112" t="s">
        <v>70</v>
      </c>
      <c r="G103" s="114">
        <v>9</v>
      </c>
      <c r="H103" s="115" t="s">
        <v>71</v>
      </c>
    </row>
    <row r="104" spans="1:8" ht="19.899999999999999" customHeight="1">
      <c r="A104" s="123">
        <v>46031</v>
      </c>
      <c r="B104" s="124" t="s">
        <v>68</v>
      </c>
      <c r="C104" s="125" t="s">
        <v>69</v>
      </c>
      <c r="D104" s="124" t="s">
        <v>1</v>
      </c>
      <c r="E104" s="126">
        <v>1.9409722222222221</v>
      </c>
      <c r="F104" s="124" t="s">
        <v>70</v>
      </c>
      <c r="G104" s="127">
        <v>9</v>
      </c>
      <c r="H104" s="128" t="s">
        <v>71</v>
      </c>
    </row>
    <row r="105" spans="1:8" ht="19.899999999999999" customHeight="1">
      <c r="A105" s="129">
        <v>46032</v>
      </c>
      <c r="B105" s="117" t="s">
        <v>61</v>
      </c>
      <c r="C105" s="118" t="s">
        <v>321</v>
      </c>
      <c r="D105" s="117" t="s">
        <v>320</v>
      </c>
      <c r="E105" s="130">
        <v>1.802083333333333</v>
      </c>
      <c r="F105" s="117" t="s">
        <v>63</v>
      </c>
      <c r="G105" s="119">
        <v>9</v>
      </c>
      <c r="H105" s="120" t="s">
        <v>322</v>
      </c>
    </row>
    <row r="106" spans="1:8" ht="19.899999999999999" customHeight="1">
      <c r="A106" s="143"/>
      <c r="B106" s="144"/>
      <c r="C106" s="144"/>
      <c r="D106" s="144"/>
      <c r="E106" s="144"/>
      <c r="F106" s="145" t="s">
        <v>319</v>
      </c>
      <c r="G106" s="144"/>
      <c r="H106" s="146"/>
    </row>
    <row r="107" spans="1:8" ht="19.899999999999999" customHeight="1">
      <c r="A107" s="121">
        <v>46032</v>
      </c>
      <c r="B107" s="112" t="s">
        <v>38</v>
      </c>
      <c r="C107" s="113" t="s">
        <v>87</v>
      </c>
      <c r="D107" s="112" t="s">
        <v>1</v>
      </c>
      <c r="E107" s="122">
        <v>1.0625</v>
      </c>
      <c r="F107" s="112" t="s">
        <v>40</v>
      </c>
      <c r="G107" s="114">
        <v>20</v>
      </c>
      <c r="H107" s="115" t="s">
        <v>88</v>
      </c>
    </row>
    <row r="108" spans="1:8" ht="19.899999999999999" customHeight="1">
      <c r="A108" s="121">
        <v>46032</v>
      </c>
      <c r="B108" s="112" t="s">
        <v>38</v>
      </c>
      <c r="C108" s="113" t="s">
        <v>39</v>
      </c>
      <c r="D108" s="112" t="s">
        <v>1</v>
      </c>
      <c r="E108" s="122">
        <v>1.229166666666667</v>
      </c>
      <c r="F108" s="112" t="s">
        <v>40</v>
      </c>
      <c r="G108" s="114">
        <v>25</v>
      </c>
      <c r="H108" s="115" t="s">
        <v>78</v>
      </c>
    </row>
    <row r="109" spans="1:8" ht="19.899999999999999" customHeight="1">
      <c r="A109" s="121">
        <v>46032</v>
      </c>
      <c r="B109" s="112" t="s">
        <v>48</v>
      </c>
      <c r="C109" s="113" t="s">
        <v>58</v>
      </c>
      <c r="D109" s="112" t="s">
        <v>1</v>
      </c>
      <c r="E109" s="122">
        <v>1.1840277777777779</v>
      </c>
      <c r="F109" s="112" t="s">
        <v>50</v>
      </c>
      <c r="G109" s="114">
        <v>9</v>
      </c>
      <c r="H109" s="115" t="s">
        <v>96</v>
      </c>
    </row>
    <row r="110" spans="1:8" ht="19.899999999999999" customHeight="1">
      <c r="A110" s="121">
        <v>46032</v>
      </c>
      <c r="B110" s="112" t="s">
        <v>38</v>
      </c>
      <c r="C110" s="113" t="s">
        <v>87</v>
      </c>
      <c r="D110" s="112" t="s">
        <v>1</v>
      </c>
      <c r="E110" s="122">
        <v>1.0625</v>
      </c>
      <c r="F110" s="112" t="s">
        <v>43</v>
      </c>
      <c r="G110" s="114">
        <v>20</v>
      </c>
      <c r="H110" s="115" t="s">
        <v>89</v>
      </c>
    </row>
    <row r="111" spans="1:8" ht="19.899999999999999" customHeight="1">
      <c r="A111" s="121">
        <v>46032</v>
      </c>
      <c r="B111" s="112" t="s">
        <v>26</v>
      </c>
      <c r="C111" s="113" t="s">
        <v>27</v>
      </c>
      <c r="D111" s="112" t="s">
        <v>1</v>
      </c>
      <c r="E111" s="122">
        <v>1.6076388888888891</v>
      </c>
      <c r="F111" s="112" t="s">
        <v>28</v>
      </c>
      <c r="G111" s="114">
        <v>9</v>
      </c>
      <c r="H111" s="115" t="s">
        <v>89</v>
      </c>
    </row>
    <row r="112" spans="1:8" ht="19.899999999999999" customHeight="1">
      <c r="A112" s="121">
        <v>46032</v>
      </c>
      <c r="B112" s="112" t="s">
        <v>38</v>
      </c>
      <c r="C112" s="113" t="s">
        <v>39</v>
      </c>
      <c r="D112" s="112" t="s">
        <v>1</v>
      </c>
      <c r="E112" s="122">
        <v>1.229166666666667</v>
      </c>
      <c r="F112" s="112" t="s">
        <v>43</v>
      </c>
      <c r="G112" s="114">
        <v>25</v>
      </c>
      <c r="H112" s="115" t="s">
        <v>79</v>
      </c>
    </row>
    <row r="113" spans="1:8" ht="19.899999999999999" customHeight="1">
      <c r="A113" s="121">
        <v>46032</v>
      </c>
      <c r="B113" s="112" t="s">
        <v>26</v>
      </c>
      <c r="C113" s="113" t="s">
        <v>27</v>
      </c>
      <c r="D113" s="112" t="s">
        <v>1</v>
      </c>
      <c r="E113" s="122">
        <v>1.6076388888888891</v>
      </c>
      <c r="F113" s="112" t="s">
        <v>31</v>
      </c>
      <c r="G113" s="114">
        <v>9</v>
      </c>
      <c r="H113" s="115" t="s">
        <v>138</v>
      </c>
    </row>
    <row r="114" spans="1:8" ht="19.899999999999999" customHeight="1">
      <c r="A114" s="121">
        <v>46032</v>
      </c>
      <c r="B114" s="112" t="s">
        <v>48</v>
      </c>
      <c r="C114" s="113" t="s">
        <v>58</v>
      </c>
      <c r="D114" s="112" t="s">
        <v>1</v>
      </c>
      <c r="E114" s="122">
        <v>1.1840277777777779</v>
      </c>
      <c r="F114" s="112" t="s">
        <v>53</v>
      </c>
      <c r="G114" s="114">
        <v>9</v>
      </c>
      <c r="H114" s="115" t="s">
        <v>97</v>
      </c>
    </row>
    <row r="115" spans="1:8" ht="19.899999999999999" customHeight="1">
      <c r="A115" s="121">
        <v>46032</v>
      </c>
      <c r="B115" s="112" t="s">
        <v>61</v>
      </c>
      <c r="C115" s="113" t="s">
        <v>62</v>
      </c>
      <c r="D115" s="112" t="s">
        <v>1</v>
      </c>
      <c r="E115" s="122">
        <v>1.2361111111111109</v>
      </c>
      <c r="F115" s="112" t="s">
        <v>63</v>
      </c>
      <c r="G115" s="114">
        <v>9</v>
      </c>
      <c r="H115" s="115" t="s">
        <v>64</v>
      </c>
    </row>
    <row r="116" spans="1:8" ht="19.899999999999999" customHeight="1">
      <c r="A116" s="123">
        <v>46032</v>
      </c>
      <c r="B116" s="124" t="s">
        <v>48</v>
      </c>
      <c r="C116" s="125" t="s">
        <v>49</v>
      </c>
      <c r="D116" s="124" t="s">
        <v>1</v>
      </c>
      <c r="E116" s="126">
        <v>1.354166666666667</v>
      </c>
      <c r="F116" s="124" t="s">
        <v>50</v>
      </c>
      <c r="G116" s="127">
        <v>9</v>
      </c>
      <c r="H116" s="128" t="s">
        <v>109</v>
      </c>
    </row>
    <row r="117" spans="1:8" ht="19.899999999999999" customHeight="1">
      <c r="A117" s="143"/>
      <c r="B117" s="144"/>
      <c r="C117" s="144"/>
      <c r="D117" s="144"/>
      <c r="E117" s="144"/>
      <c r="F117" s="145" t="s">
        <v>319</v>
      </c>
      <c r="G117" s="144"/>
      <c r="H117" s="146"/>
    </row>
    <row r="118" spans="1:8" ht="19.899999999999999" customHeight="1">
      <c r="A118" s="121">
        <v>46033</v>
      </c>
      <c r="B118" s="112" t="s">
        <v>38</v>
      </c>
      <c r="C118" s="113" t="s">
        <v>39</v>
      </c>
      <c r="D118" s="112" t="s">
        <v>1</v>
      </c>
      <c r="E118" s="122">
        <v>1.229166666666667</v>
      </c>
      <c r="F118" s="112" t="s">
        <v>40</v>
      </c>
      <c r="G118" s="114">
        <v>24</v>
      </c>
      <c r="H118" s="115" t="s">
        <v>78</v>
      </c>
    </row>
    <row r="119" spans="1:8" ht="19.899999999999999" customHeight="1">
      <c r="A119" s="121">
        <v>46033</v>
      </c>
      <c r="B119" s="112" t="s">
        <v>38</v>
      </c>
      <c r="C119" s="113" t="s">
        <v>39</v>
      </c>
      <c r="D119" s="112" t="s">
        <v>1</v>
      </c>
      <c r="E119" s="122">
        <v>1.229166666666667</v>
      </c>
      <c r="F119" s="112" t="s">
        <v>43</v>
      </c>
      <c r="G119" s="114">
        <v>24</v>
      </c>
      <c r="H119" s="115" t="s">
        <v>79</v>
      </c>
    </row>
    <row r="120" spans="1:8" ht="19.899999999999999" customHeight="1">
      <c r="A120" s="121">
        <v>46033</v>
      </c>
      <c r="B120" s="112" t="s">
        <v>61</v>
      </c>
      <c r="C120" s="113" t="s">
        <v>62</v>
      </c>
      <c r="D120" s="112" t="s">
        <v>1</v>
      </c>
      <c r="E120" s="122">
        <v>1.743055555555556</v>
      </c>
      <c r="F120" s="112" t="s">
        <v>63</v>
      </c>
      <c r="G120" s="114">
        <v>9</v>
      </c>
      <c r="H120" s="115" t="s">
        <v>64</v>
      </c>
    </row>
    <row r="121" spans="1:8" ht="19.899999999999999" customHeight="1">
      <c r="A121" s="121">
        <v>46033</v>
      </c>
      <c r="B121" s="112" t="s">
        <v>48</v>
      </c>
      <c r="C121" s="113" t="s">
        <v>56</v>
      </c>
      <c r="D121" s="112" t="s">
        <v>1</v>
      </c>
      <c r="E121" s="122">
        <v>1.895833333333333</v>
      </c>
      <c r="F121" s="112" t="s">
        <v>50</v>
      </c>
      <c r="G121" s="114">
        <v>9</v>
      </c>
      <c r="H121" s="115" t="s">
        <v>109</v>
      </c>
    </row>
    <row r="122" spans="1:8" ht="19.899999999999999" customHeight="1">
      <c r="A122" s="121">
        <v>46033</v>
      </c>
      <c r="B122" s="112" t="s">
        <v>48</v>
      </c>
      <c r="C122" s="113" t="s">
        <v>58</v>
      </c>
      <c r="D122" s="112" t="s">
        <v>1</v>
      </c>
      <c r="E122" s="122">
        <v>1.1840277777777779</v>
      </c>
      <c r="F122" s="112" t="s">
        <v>50</v>
      </c>
      <c r="G122" s="114">
        <v>9</v>
      </c>
      <c r="H122" s="115" t="s">
        <v>109</v>
      </c>
    </row>
    <row r="123" spans="1:8" ht="19.899999999999999" customHeight="1">
      <c r="A123" s="121">
        <v>46033</v>
      </c>
      <c r="B123" s="112" t="s">
        <v>68</v>
      </c>
      <c r="C123" s="113" t="s">
        <v>74</v>
      </c>
      <c r="D123" s="112" t="s">
        <v>1</v>
      </c>
      <c r="E123" s="122">
        <v>1.336805555555556</v>
      </c>
      <c r="F123" s="112" t="s">
        <v>70</v>
      </c>
      <c r="G123" s="114">
        <v>9</v>
      </c>
      <c r="H123" s="115" t="s">
        <v>71</v>
      </c>
    </row>
    <row r="124" spans="1:8" ht="19.899999999999999" customHeight="1">
      <c r="A124" s="121">
        <v>46033</v>
      </c>
      <c r="B124" s="112" t="s">
        <v>68</v>
      </c>
      <c r="C124" s="113" t="s">
        <v>69</v>
      </c>
      <c r="D124" s="112" t="s">
        <v>1</v>
      </c>
      <c r="E124" s="122">
        <v>1.9409722222222221</v>
      </c>
      <c r="F124" s="112" t="s">
        <v>70</v>
      </c>
      <c r="G124" s="114">
        <v>9</v>
      </c>
      <c r="H124" s="115" t="s">
        <v>71</v>
      </c>
    </row>
    <row r="125" spans="1:8" ht="19.899999999999999" customHeight="1">
      <c r="A125" s="121">
        <v>46033</v>
      </c>
      <c r="B125" s="112" t="s">
        <v>68</v>
      </c>
      <c r="C125" s="113" t="s">
        <v>76</v>
      </c>
      <c r="D125" s="112" t="s">
        <v>1</v>
      </c>
      <c r="E125" s="122">
        <v>1.697916666666667</v>
      </c>
      <c r="F125" s="112" t="s">
        <v>70</v>
      </c>
      <c r="G125" s="114">
        <v>9</v>
      </c>
      <c r="H125" s="115" t="s">
        <v>71</v>
      </c>
    </row>
    <row r="126" spans="1:8" ht="19.899999999999999" customHeight="1">
      <c r="A126" s="121">
        <v>46033</v>
      </c>
      <c r="B126" s="112" t="s">
        <v>68</v>
      </c>
      <c r="C126" s="113" t="s">
        <v>72</v>
      </c>
      <c r="D126" s="112" t="s">
        <v>1</v>
      </c>
      <c r="E126" s="122">
        <v>1.0659722222222221</v>
      </c>
      <c r="F126" s="112" t="s">
        <v>70</v>
      </c>
      <c r="G126" s="114">
        <v>9</v>
      </c>
      <c r="H126" s="115" t="s">
        <v>71</v>
      </c>
    </row>
    <row r="127" spans="1:8" ht="19.899999999999999" customHeight="1">
      <c r="A127" s="123">
        <v>46033</v>
      </c>
      <c r="B127" s="124" t="s">
        <v>48</v>
      </c>
      <c r="C127" s="125" t="s">
        <v>56</v>
      </c>
      <c r="D127" s="124" t="s">
        <v>1</v>
      </c>
      <c r="E127" s="126">
        <v>1.895833333333333</v>
      </c>
      <c r="F127" s="124" t="s">
        <v>53</v>
      </c>
      <c r="G127" s="127">
        <v>9</v>
      </c>
      <c r="H127" s="128" t="s">
        <v>110</v>
      </c>
    </row>
    <row r="128" spans="1:8" ht="19.899999999999999" customHeight="1">
      <c r="A128" s="129">
        <v>46034</v>
      </c>
      <c r="B128" s="117" t="s">
        <v>61</v>
      </c>
      <c r="C128" s="118" t="s">
        <v>321</v>
      </c>
      <c r="D128" s="117" t="s">
        <v>320</v>
      </c>
      <c r="E128" s="130">
        <v>1.645833333333333</v>
      </c>
      <c r="F128" s="117" t="s">
        <v>63</v>
      </c>
      <c r="G128" s="119">
        <v>9</v>
      </c>
      <c r="H128" s="120" t="s">
        <v>322</v>
      </c>
    </row>
    <row r="129" spans="1:8" ht="19.899999999999999" customHeight="1">
      <c r="A129" s="143"/>
      <c r="B129" s="144"/>
      <c r="C129" s="144"/>
      <c r="D129" s="144"/>
      <c r="E129" s="144"/>
      <c r="F129" s="145" t="s">
        <v>319</v>
      </c>
      <c r="G129" s="144"/>
      <c r="H129" s="146"/>
    </row>
    <row r="130" spans="1:8" ht="19.899999999999999" customHeight="1">
      <c r="A130" s="121">
        <v>46034</v>
      </c>
      <c r="B130" s="112" t="s">
        <v>38</v>
      </c>
      <c r="C130" s="113" t="s">
        <v>39</v>
      </c>
      <c r="D130" s="112" t="s">
        <v>1</v>
      </c>
      <c r="E130" s="122">
        <v>1.229166666666667</v>
      </c>
      <c r="F130" s="112" t="s">
        <v>40</v>
      </c>
      <c r="G130" s="114">
        <v>22</v>
      </c>
      <c r="H130" s="115" t="s">
        <v>78</v>
      </c>
    </row>
    <row r="131" spans="1:8" ht="19.899999999999999" customHeight="1">
      <c r="A131" s="121">
        <v>46034</v>
      </c>
      <c r="B131" s="112" t="s">
        <v>38</v>
      </c>
      <c r="C131" s="113" t="s">
        <v>87</v>
      </c>
      <c r="D131" s="112" t="s">
        <v>1</v>
      </c>
      <c r="E131" s="122">
        <v>1.0625</v>
      </c>
      <c r="F131" s="112" t="s">
        <v>40</v>
      </c>
      <c r="G131" s="114">
        <v>20</v>
      </c>
      <c r="H131" s="115" t="s">
        <v>78</v>
      </c>
    </row>
    <row r="132" spans="1:8" ht="19.899999999999999" customHeight="1">
      <c r="A132" s="121">
        <v>46034</v>
      </c>
      <c r="B132" s="112" t="s">
        <v>26</v>
      </c>
      <c r="C132" s="113" t="s">
        <v>27</v>
      </c>
      <c r="D132" s="112" t="s">
        <v>1</v>
      </c>
      <c r="E132" s="122">
        <v>1.6076388888888891</v>
      </c>
      <c r="F132" s="112" t="s">
        <v>28</v>
      </c>
      <c r="G132" s="114">
        <v>9</v>
      </c>
      <c r="H132" s="115" t="s">
        <v>149</v>
      </c>
    </row>
    <row r="133" spans="1:8" ht="19.899999999999999" customHeight="1">
      <c r="A133" s="121">
        <v>46034</v>
      </c>
      <c r="B133" s="112" t="s">
        <v>38</v>
      </c>
      <c r="C133" s="113" t="s">
        <v>39</v>
      </c>
      <c r="D133" s="112" t="s">
        <v>1</v>
      </c>
      <c r="E133" s="122">
        <v>1.229166666666667</v>
      </c>
      <c r="F133" s="112" t="s">
        <v>43</v>
      </c>
      <c r="G133" s="114">
        <v>22</v>
      </c>
      <c r="H133" s="115" t="s">
        <v>79</v>
      </c>
    </row>
    <row r="134" spans="1:8" ht="19.899999999999999" customHeight="1">
      <c r="A134" s="121">
        <v>46034</v>
      </c>
      <c r="B134" s="112" t="s">
        <v>38</v>
      </c>
      <c r="C134" s="113" t="s">
        <v>87</v>
      </c>
      <c r="D134" s="112" t="s">
        <v>1</v>
      </c>
      <c r="E134" s="122">
        <v>1.0625</v>
      </c>
      <c r="F134" s="112" t="s">
        <v>43</v>
      </c>
      <c r="G134" s="114">
        <v>20</v>
      </c>
      <c r="H134" s="115" t="s">
        <v>79</v>
      </c>
    </row>
    <row r="135" spans="1:8" ht="19.899999999999999" customHeight="1">
      <c r="A135" s="121">
        <v>46034</v>
      </c>
      <c r="B135" s="112" t="s">
        <v>26</v>
      </c>
      <c r="C135" s="113" t="s">
        <v>27</v>
      </c>
      <c r="D135" s="112" t="s">
        <v>1</v>
      </c>
      <c r="E135" s="122">
        <v>1.6076388888888891</v>
      </c>
      <c r="F135" s="112" t="s">
        <v>31</v>
      </c>
      <c r="G135" s="114">
        <v>9</v>
      </c>
      <c r="H135" s="115" t="s">
        <v>133</v>
      </c>
    </row>
    <row r="136" spans="1:8" ht="19.899999999999999" customHeight="1">
      <c r="A136" s="121">
        <v>46034</v>
      </c>
      <c r="B136" s="112" t="s">
        <v>61</v>
      </c>
      <c r="C136" s="113" t="s">
        <v>111</v>
      </c>
      <c r="D136" s="112" t="s">
        <v>1</v>
      </c>
      <c r="E136" s="122">
        <v>1.868055555555556</v>
      </c>
      <c r="F136" s="112" t="s">
        <v>63</v>
      </c>
      <c r="G136" s="114">
        <v>9</v>
      </c>
      <c r="H136" s="115" t="s">
        <v>64</v>
      </c>
    </row>
    <row r="137" spans="1:8" ht="19.899999999999999" customHeight="1">
      <c r="A137" s="121">
        <v>46034</v>
      </c>
      <c r="B137" s="112" t="s">
        <v>26</v>
      </c>
      <c r="C137" s="113" t="s">
        <v>27</v>
      </c>
      <c r="D137" s="112" t="s">
        <v>1</v>
      </c>
      <c r="E137" s="122">
        <v>1.6076388888888891</v>
      </c>
      <c r="F137" s="112" t="s">
        <v>34</v>
      </c>
      <c r="G137" s="114">
        <v>9</v>
      </c>
      <c r="H137" s="115" t="s">
        <v>150</v>
      </c>
    </row>
    <row r="138" spans="1:8" ht="19.899999999999999" customHeight="1">
      <c r="A138" s="121">
        <v>46034</v>
      </c>
      <c r="B138" s="112" t="s">
        <v>68</v>
      </c>
      <c r="C138" s="113" t="s">
        <v>74</v>
      </c>
      <c r="D138" s="112" t="s">
        <v>1</v>
      </c>
      <c r="E138" s="122">
        <v>1.336805555555556</v>
      </c>
      <c r="F138" s="112" t="s">
        <v>70</v>
      </c>
      <c r="G138" s="114">
        <v>9</v>
      </c>
      <c r="H138" s="115" t="s">
        <v>71</v>
      </c>
    </row>
    <row r="139" spans="1:8" ht="19.899999999999999" customHeight="1">
      <c r="A139" s="123">
        <v>46034</v>
      </c>
      <c r="B139" s="124" t="s">
        <v>68</v>
      </c>
      <c r="C139" s="125" t="s">
        <v>69</v>
      </c>
      <c r="D139" s="124" t="s">
        <v>1</v>
      </c>
      <c r="E139" s="126">
        <v>1.9409722222222221</v>
      </c>
      <c r="F139" s="124" t="s">
        <v>70</v>
      </c>
      <c r="G139" s="127">
        <v>9</v>
      </c>
      <c r="H139" s="128" t="s">
        <v>71</v>
      </c>
    </row>
    <row r="140" spans="1:8" ht="19.899999999999999" customHeight="1">
      <c r="A140" s="129">
        <v>46035</v>
      </c>
      <c r="B140" s="117" t="s">
        <v>61</v>
      </c>
      <c r="C140" s="118" t="s">
        <v>321</v>
      </c>
      <c r="D140" s="117" t="s">
        <v>320</v>
      </c>
      <c r="E140" s="130">
        <v>1.125</v>
      </c>
      <c r="F140" s="117" t="s">
        <v>63</v>
      </c>
      <c r="G140" s="119">
        <v>9</v>
      </c>
      <c r="H140" s="120" t="s">
        <v>322</v>
      </c>
    </row>
    <row r="141" spans="1:8" ht="19.899999999999999" customHeight="1">
      <c r="A141" s="143"/>
      <c r="B141" s="144"/>
      <c r="C141" s="144"/>
      <c r="D141" s="144"/>
      <c r="E141" s="144"/>
      <c r="F141" s="145" t="s">
        <v>319</v>
      </c>
      <c r="G141" s="144"/>
      <c r="H141" s="146"/>
    </row>
    <row r="142" spans="1:8" ht="19.899999999999999" customHeight="1">
      <c r="A142" s="121">
        <v>46035</v>
      </c>
      <c r="B142" s="112" t="s">
        <v>38</v>
      </c>
      <c r="C142" s="113" t="s">
        <v>87</v>
      </c>
      <c r="D142" s="112" t="s">
        <v>1</v>
      </c>
      <c r="E142" s="122">
        <v>1.0625</v>
      </c>
      <c r="F142" s="112" t="s">
        <v>40</v>
      </c>
      <c r="G142" s="114">
        <v>19</v>
      </c>
      <c r="H142" s="115" t="s">
        <v>78</v>
      </c>
    </row>
    <row r="143" spans="1:8" ht="19.899999999999999" customHeight="1">
      <c r="A143" s="121">
        <v>46035</v>
      </c>
      <c r="B143" s="112" t="s">
        <v>38</v>
      </c>
      <c r="C143" s="113" t="s">
        <v>39</v>
      </c>
      <c r="D143" s="112" t="s">
        <v>1</v>
      </c>
      <c r="E143" s="122">
        <v>1.229166666666667</v>
      </c>
      <c r="F143" s="112" t="s">
        <v>40</v>
      </c>
      <c r="G143" s="114">
        <v>2</v>
      </c>
      <c r="H143" s="115" t="s">
        <v>131</v>
      </c>
    </row>
    <row r="144" spans="1:8" ht="19.899999999999999" customHeight="1">
      <c r="A144" s="121">
        <v>46035</v>
      </c>
      <c r="B144" s="112" t="s">
        <v>26</v>
      </c>
      <c r="C144" s="113" t="s">
        <v>27</v>
      </c>
      <c r="D144" s="112" t="s">
        <v>1</v>
      </c>
      <c r="E144" s="122">
        <v>1.6076388888888891</v>
      </c>
      <c r="F144" s="112" t="s">
        <v>28</v>
      </c>
      <c r="G144" s="114">
        <v>9</v>
      </c>
      <c r="H144" s="115" t="s">
        <v>149</v>
      </c>
    </row>
    <row r="145" spans="1:8" ht="19.899999999999999" customHeight="1">
      <c r="A145" s="121">
        <v>46035</v>
      </c>
      <c r="B145" s="112" t="s">
        <v>38</v>
      </c>
      <c r="C145" s="113" t="s">
        <v>87</v>
      </c>
      <c r="D145" s="112" t="s">
        <v>1</v>
      </c>
      <c r="E145" s="122">
        <v>1.0625</v>
      </c>
      <c r="F145" s="112" t="s">
        <v>43</v>
      </c>
      <c r="G145" s="114">
        <v>19</v>
      </c>
      <c r="H145" s="115" t="s">
        <v>79</v>
      </c>
    </row>
    <row r="146" spans="1:8" ht="19.899999999999999" customHeight="1">
      <c r="A146" s="121">
        <v>46035</v>
      </c>
      <c r="B146" s="112" t="s">
        <v>38</v>
      </c>
      <c r="C146" s="113" t="s">
        <v>39</v>
      </c>
      <c r="D146" s="112" t="s">
        <v>1</v>
      </c>
      <c r="E146" s="122">
        <v>1.229166666666667</v>
      </c>
      <c r="F146" s="112" t="s">
        <v>43</v>
      </c>
      <c r="G146" s="114">
        <v>2</v>
      </c>
      <c r="H146" s="115" t="s">
        <v>133</v>
      </c>
    </row>
    <row r="147" spans="1:8" ht="19.899999999999999" customHeight="1">
      <c r="A147" s="121">
        <v>46035</v>
      </c>
      <c r="B147" s="112" t="s">
        <v>26</v>
      </c>
      <c r="C147" s="113" t="s">
        <v>27</v>
      </c>
      <c r="D147" s="112" t="s">
        <v>1</v>
      </c>
      <c r="E147" s="122">
        <v>1.6076388888888891</v>
      </c>
      <c r="F147" s="112" t="s">
        <v>31</v>
      </c>
      <c r="G147" s="114">
        <v>9</v>
      </c>
      <c r="H147" s="115" t="s">
        <v>133</v>
      </c>
    </row>
    <row r="148" spans="1:8" ht="19.899999999999999" customHeight="1">
      <c r="A148" s="121">
        <v>46035</v>
      </c>
      <c r="B148" s="112" t="s">
        <v>61</v>
      </c>
      <c r="C148" s="113" t="s">
        <v>62</v>
      </c>
      <c r="D148" s="112" t="s">
        <v>1</v>
      </c>
      <c r="E148" s="122">
        <v>1.819444444444444</v>
      </c>
      <c r="F148" s="112" t="s">
        <v>63</v>
      </c>
      <c r="G148" s="114">
        <v>8</v>
      </c>
      <c r="H148" s="115" t="s">
        <v>64</v>
      </c>
    </row>
    <row r="149" spans="1:8" ht="19.899999999999999" customHeight="1">
      <c r="A149" s="121">
        <v>46035</v>
      </c>
      <c r="B149" s="112" t="s">
        <v>26</v>
      </c>
      <c r="C149" s="113" t="s">
        <v>27</v>
      </c>
      <c r="D149" s="112" t="s">
        <v>1</v>
      </c>
      <c r="E149" s="122">
        <v>1.6076388888888891</v>
      </c>
      <c r="F149" s="112" t="s">
        <v>34</v>
      </c>
      <c r="G149" s="114">
        <v>9</v>
      </c>
      <c r="H149" s="115" t="s">
        <v>150</v>
      </c>
    </row>
    <row r="150" spans="1:8" ht="19.899999999999999" customHeight="1">
      <c r="A150" s="121">
        <v>46035</v>
      </c>
      <c r="B150" s="112" t="s">
        <v>48</v>
      </c>
      <c r="C150" s="113" t="s">
        <v>58</v>
      </c>
      <c r="D150" s="112" t="s">
        <v>1</v>
      </c>
      <c r="E150" s="122">
        <v>1.1840277777777779</v>
      </c>
      <c r="F150" s="112" t="s">
        <v>50</v>
      </c>
      <c r="G150" s="114">
        <v>9</v>
      </c>
      <c r="H150" s="115" t="s">
        <v>109</v>
      </c>
    </row>
    <row r="151" spans="1:8" ht="19.899999999999999" customHeight="1">
      <c r="A151" s="123">
        <v>46035</v>
      </c>
      <c r="B151" s="124" t="s">
        <v>68</v>
      </c>
      <c r="C151" s="125" t="s">
        <v>74</v>
      </c>
      <c r="D151" s="124" t="s">
        <v>1</v>
      </c>
      <c r="E151" s="126">
        <v>1.336805555555556</v>
      </c>
      <c r="F151" s="124" t="s">
        <v>70</v>
      </c>
      <c r="G151" s="127">
        <v>9</v>
      </c>
      <c r="H151" s="128" t="s">
        <v>71</v>
      </c>
    </row>
    <row r="152" spans="1:8" ht="19.899999999999999" customHeight="1">
      <c r="A152" s="129">
        <v>46036</v>
      </c>
      <c r="B152" s="117" t="s">
        <v>61</v>
      </c>
      <c r="C152" s="118" t="s">
        <v>327</v>
      </c>
      <c r="D152" s="117" t="s">
        <v>320</v>
      </c>
      <c r="E152" s="130">
        <v>1.461805555555556</v>
      </c>
      <c r="F152" s="117" t="s">
        <v>63</v>
      </c>
      <c r="G152" s="119">
        <v>9</v>
      </c>
      <c r="H152" s="120" t="s">
        <v>322</v>
      </c>
    </row>
    <row r="153" spans="1:8" ht="19.899999999999999" customHeight="1">
      <c r="A153" s="143"/>
      <c r="B153" s="144"/>
      <c r="C153" s="144"/>
      <c r="D153" s="144"/>
      <c r="E153" s="144"/>
      <c r="F153" s="145" t="s">
        <v>319</v>
      </c>
      <c r="G153" s="144"/>
      <c r="H153" s="146"/>
    </row>
    <row r="154" spans="1:8" ht="19.899999999999999" customHeight="1">
      <c r="A154" s="121">
        <v>46036</v>
      </c>
      <c r="B154" s="112" t="s">
        <v>38</v>
      </c>
      <c r="C154" s="113" t="s">
        <v>39</v>
      </c>
      <c r="D154" s="112" t="s">
        <v>1</v>
      </c>
      <c r="E154" s="122">
        <v>1.229166666666667</v>
      </c>
      <c r="F154" s="112" t="s">
        <v>40</v>
      </c>
      <c r="G154" s="114">
        <v>15</v>
      </c>
      <c r="H154" s="115" t="s">
        <v>131</v>
      </c>
    </row>
    <row r="155" spans="1:8" ht="19.899999999999999" customHeight="1">
      <c r="A155" s="121">
        <v>46036</v>
      </c>
      <c r="B155" s="112" t="s">
        <v>26</v>
      </c>
      <c r="C155" s="113" t="s">
        <v>27</v>
      </c>
      <c r="D155" s="112" t="s">
        <v>1</v>
      </c>
      <c r="E155" s="122">
        <v>1.6076388888888891</v>
      </c>
      <c r="F155" s="112" t="s">
        <v>28</v>
      </c>
      <c r="G155" s="114">
        <v>9</v>
      </c>
      <c r="H155" s="115" t="s">
        <v>149</v>
      </c>
    </row>
    <row r="156" spans="1:8" ht="19.899999999999999" customHeight="1">
      <c r="A156" s="121">
        <v>46036</v>
      </c>
      <c r="B156" s="112" t="s">
        <v>48</v>
      </c>
      <c r="C156" s="113" t="s">
        <v>49</v>
      </c>
      <c r="D156" s="112" t="s">
        <v>1</v>
      </c>
      <c r="E156" s="122">
        <v>1.350694444444444</v>
      </c>
      <c r="F156" s="112" t="s">
        <v>50</v>
      </c>
      <c r="G156" s="114">
        <v>1</v>
      </c>
      <c r="H156" s="115" t="s">
        <v>96</v>
      </c>
    </row>
    <row r="157" spans="1:8" ht="19.899999999999999" customHeight="1">
      <c r="A157" s="121">
        <v>46036</v>
      </c>
      <c r="B157" s="112" t="s">
        <v>38</v>
      </c>
      <c r="C157" s="113" t="s">
        <v>39</v>
      </c>
      <c r="D157" s="112" t="s">
        <v>1</v>
      </c>
      <c r="E157" s="122">
        <v>1.229166666666667</v>
      </c>
      <c r="F157" s="112" t="s">
        <v>43</v>
      </c>
      <c r="G157" s="114">
        <v>15</v>
      </c>
      <c r="H157" s="115" t="s">
        <v>133</v>
      </c>
    </row>
    <row r="158" spans="1:8" ht="19.899999999999999" customHeight="1">
      <c r="A158" s="121">
        <v>46036</v>
      </c>
      <c r="B158" s="112" t="s">
        <v>26</v>
      </c>
      <c r="C158" s="113" t="s">
        <v>27</v>
      </c>
      <c r="D158" s="112" t="s">
        <v>1</v>
      </c>
      <c r="E158" s="122">
        <v>1.6076388888888891</v>
      </c>
      <c r="F158" s="112" t="s">
        <v>31</v>
      </c>
      <c r="G158" s="114">
        <v>9</v>
      </c>
      <c r="H158" s="115" t="s">
        <v>133</v>
      </c>
    </row>
    <row r="159" spans="1:8" ht="19.899999999999999" customHeight="1">
      <c r="A159" s="121">
        <v>46036</v>
      </c>
      <c r="B159" s="112" t="s">
        <v>48</v>
      </c>
      <c r="C159" s="113" t="s">
        <v>49</v>
      </c>
      <c r="D159" s="112" t="s">
        <v>1</v>
      </c>
      <c r="E159" s="122">
        <v>1.350694444444444</v>
      </c>
      <c r="F159" s="112" t="s">
        <v>53</v>
      </c>
      <c r="G159" s="114">
        <v>1</v>
      </c>
      <c r="H159" s="115" t="s">
        <v>97</v>
      </c>
    </row>
    <row r="160" spans="1:8" ht="19.899999999999999" customHeight="1">
      <c r="A160" s="121">
        <v>46036</v>
      </c>
      <c r="B160" s="112" t="s">
        <v>26</v>
      </c>
      <c r="C160" s="113" t="s">
        <v>27</v>
      </c>
      <c r="D160" s="112" t="s">
        <v>1</v>
      </c>
      <c r="E160" s="122">
        <v>1.6076388888888891</v>
      </c>
      <c r="F160" s="112" t="s">
        <v>34</v>
      </c>
      <c r="G160" s="114">
        <v>9</v>
      </c>
      <c r="H160" s="115" t="s">
        <v>150</v>
      </c>
    </row>
    <row r="161" spans="1:8" ht="19.899999999999999" customHeight="1">
      <c r="A161" s="121">
        <v>46036</v>
      </c>
      <c r="B161" s="112" t="s">
        <v>68</v>
      </c>
      <c r="C161" s="113" t="s">
        <v>69</v>
      </c>
      <c r="D161" s="112" t="s">
        <v>1</v>
      </c>
      <c r="E161" s="122">
        <v>1.9409722222222221</v>
      </c>
      <c r="F161" s="112" t="s">
        <v>70</v>
      </c>
      <c r="G161" s="114">
        <v>9</v>
      </c>
      <c r="H161" s="115" t="s">
        <v>71</v>
      </c>
    </row>
    <row r="162" spans="1:8" ht="19.899999999999999" customHeight="1">
      <c r="A162" s="121">
        <v>46036</v>
      </c>
      <c r="B162" s="112" t="s">
        <v>68</v>
      </c>
      <c r="C162" s="113" t="s">
        <v>76</v>
      </c>
      <c r="D162" s="112" t="s">
        <v>1</v>
      </c>
      <c r="E162" s="122">
        <v>1.697916666666667</v>
      </c>
      <c r="F162" s="112" t="s">
        <v>70</v>
      </c>
      <c r="G162" s="114">
        <v>9</v>
      </c>
      <c r="H162" s="115" t="s">
        <v>71</v>
      </c>
    </row>
    <row r="163" spans="1:8" ht="19.899999999999999" customHeight="1">
      <c r="A163" s="123">
        <v>46036</v>
      </c>
      <c r="B163" s="124" t="s">
        <v>68</v>
      </c>
      <c r="C163" s="125" t="s">
        <v>72</v>
      </c>
      <c r="D163" s="124" t="s">
        <v>1</v>
      </c>
      <c r="E163" s="126">
        <v>1.0659722222222221</v>
      </c>
      <c r="F163" s="124" t="s">
        <v>70</v>
      </c>
      <c r="G163" s="127">
        <v>9</v>
      </c>
      <c r="H163" s="128" t="s">
        <v>71</v>
      </c>
    </row>
    <row r="164" spans="1:8" ht="19.899999999999999" customHeight="1">
      <c r="A164" s="143"/>
      <c r="B164" s="144"/>
      <c r="C164" s="144"/>
      <c r="D164" s="144"/>
      <c r="E164" s="144"/>
      <c r="F164" s="145" t="s">
        <v>319</v>
      </c>
      <c r="G164" s="144"/>
      <c r="H164" s="146"/>
    </row>
    <row r="165" spans="1:8" ht="19.899999999999999" customHeight="1">
      <c r="A165" s="121">
        <v>46037</v>
      </c>
      <c r="B165" s="112" t="s">
        <v>38</v>
      </c>
      <c r="C165" s="113" t="s">
        <v>39</v>
      </c>
      <c r="D165" s="112" t="s">
        <v>1</v>
      </c>
      <c r="E165" s="122">
        <v>1.229166666666667</v>
      </c>
      <c r="F165" s="112" t="s">
        <v>40</v>
      </c>
      <c r="G165" s="114">
        <v>2</v>
      </c>
      <c r="H165" s="115" t="s">
        <v>78</v>
      </c>
    </row>
    <row r="166" spans="1:8" ht="19.899999999999999" customHeight="1">
      <c r="A166" s="121">
        <v>46037</v>
      </c>
      <c r="B166" s="112" t="s">
        <v>38</v>
      </c>
      <c r="C166" s="113" t="s">
        <v>87</v>
      </c>
      <c r="D166" s="112" t="s">
        <v>1</v>
      </c>
      <c r="E166" s="122">
        <v>1.0625</v>
      </c>
      <c r="F166" s="112" t="s">
        <v>40</v>
      </c>
      <c r="G166" s="114">
        <v>20</v>
      </c>
      <c r="H166" s="115" t="s">
        <v>78</v>
      </c>
    </row>
    <row r="167" spans="1:8" ht="19.899999999999999" customHeight="1">
      <c r="A167" s="121">
        <v>46037</v>
      </c>
      <c r="B167" s="112" t="s">
        <v>26</v>
      </c>
      <c r="C167" s="113" t="s">
        <v>27</v>
      </c>
      <c r="D167" s="112" t="s">
        <v>1</v>
      </c>
      <c r="E167" s="122">
        <v>1.6076388888888891</v>
      </c>
      <c r="F167" s="112" t="s">
        <v>28</v>
      </c>
      <c r="G167" s="114">
        <v>9</v>
      </c>
      <c r="H167" s="115" t="s">
        <v>89</v>
      </c>
    </row>
    <row r="168" spans="1:8" ht="19.899999999999999" customHeight="1">
      <c r="A168" s="121">
        <v>46037</v>
      </c>
      <c r="B168" s="112" t="s">
        <v>26</v>
      </c>
      <c r="C168" s="113" t="s">
        <v>36</v>
      </c>
      <c r="D168" s="112" t="s">
        <v>1</v>
      </c>
      <c r="E168" s="122">
        <v>1.4340277777777779</v>
      </c>
      <c r="F168" s="112" t="s">
        <v>28</v>
      </c>
      <c r="G168" s="114">
        <v>9</v>
      </c>
      <c r="H168" s="115" t="s">
        <v>89</v>
      </c>
    </row>
    <row r="169" spans="1:8" ht="19.899999999999999" customHeight="1">
      <c r="A169" s="121">
        <v>46037</v>
      </c>
      <c r="B169" s="112" t="s">
        <v>38</v>
      </c>
      <c r="C169" s="113" t="s">
        <v>39</v>
      </c>
      <c r="D169" s="112" t="s">
        <v>1</v>
      </c>
      <c r="E169" s="122">
        <v>1.229166666666667</v>
      </c>
      <c r="F169" s="112" t="s">
        <v>43</v>
      </c>
      <c r="G169" s="114">
        <v>2</v>
      </c>
      <c r="H169" s="115" t="s">
        <v>79</v>
      </c>
    </row>
    <row r="170" spans="1:8" ht="19.899999999999999" customHeight="1">
      <c r="A170" s="121">
        <v>46037</v>
      </c>
      <c r="B170" s="112" t="s">
        <v>38</v>
      </c>
      <c r="C170" s="113" t="s">
        <v>87</v>
      </c>
      <c r="D170" s="112" t="s">
        <v>1</v>
      </c>
      <c r="E170" s="122">
        <v>1.0625</v>
      </c>
      <c r="F170" s="112" t="s">
        <v>43</v>
      </c>
      <c r="G170" s="114">
        <v>20</v>
      </c>
      <c r="H170" s="115" t="s">
        <v>79</v>
      </c>
    </row>
    <row r="171" spans="1:8" ht="19.899999999999999" customHeight="1">
      <c r="A171" s="121">
        <v>46037</v>
      </c>
      <c r="B171" s="112" t="s">
        <v>26</v>
      </c>
      <c r="C171" s="113" t="s">
        <v>27</v>
      </c>
      <c r="D171" s="112" t="s">
        <v>1</v>
      </c>
      <c r="E171" s="122">
        <v>1.6076388888888891</v>
      </c>
      <c r="F171" s="112" t="s">
        <v>31</v>
      </c>
      <c r="G171" s="114">
        <v>9</v>
      </c>
      <c r="H171" s="115" t="s">
        <v>138</v>
      </c>
    </row>
    <row r="172" spans="1:8" ht="19.899999999999999" customHeight="1">
      <c r="A172" s="121">
        <v>46037</v>
      </c>
      <c r="B172" s="112" t="s">
        <v>26</v>
      </c>
      <c r="C172" s="113" t="s">
        <v>36</v>
      </c>
      <c r="D172" s="112" t="s">
        <v>1</v>
      </c>
      <c r="E172" s="122">
        <v>1.4340277777777779</v>
      </c>
      <c r="F172" s="112" t="s">
        <v>31</v>
      </c>
      <c r="G172" s="114">
        <v>9</v>
      </c>
      <c r="H172" s="115" t="s">
        <v>138</v>
      </c>
    </row>
    <row r="173" spans="1:8" ht="19.899999999999999" customHeight="1">
      <c r="A173" s="121">
        <v>46037</v>
      </c>
      <c r="B173" s="112" t="s">
        <v>61</v>
      </c>
      <c r="C173" s="113" t="s">
        <v>62</v>
      </c>
      <c r="D173" s="112" t="s">
        <v>1</v>
      </c>
      <c r="E173" s="122">
        <v>1.381944444444444</v>
      </c>
      <c r="F173" s="112" t="s">
        <v>63</v>
      </c>
      <c r="G173" s="114">
        <v>9</v>
      </c>
      <c r="H173" s="115" t="s">
        <v>64</v>
      </c>
    </row>
    <row r="174" spans="1:8" ht="19.899999999999999" customHeight="1">
      <c r="A174" s="123">
        <v>46037</v>
      </c>
      <c r="B174" s="124" t="s">
        <v>48</v>
      </c>
      <c r="C174" s="125" t="s">
        <v>49</v>
      </c>
      <c r="D174" s="124" t="s">
        <v>1</v>
      </c>
      <c r="E174" s="126">
        <v>1.354166666666667</v>
      </c>
      <c r="F174" s="124" t="s">
        <v>50</v>
      </c>
      <c r="G174" s="127">
        <v>9</v>
      </c>
      <c r="H174" s="128" t="s">
        <v>109</v>
      </c>
    </row>
    <row r="175" spans="1:8" ht="19.899999999999999" customHeight="1">
      <c r="A175" s="143"/>
      <c r="B175" s="144"/>
      <c r="C175" s="144"/>
      <c r="D175" s="144"/>
      <c r="E175" s="144"/>
      <c r="F175" s="145" t="s">
        <v>319</v>
      </c>
      <c r="G175" s="144"/>
      <c r="H175" s="146"/>
    </row>
    <row r="176" spans="1:8" ht="19.899999999999999" customHeight="1">
      <c r="A176" s="121">
        <v>46038</v>
      </c>
      <c r="B176" s="112" t="s">
        <v>38</v>
      </c>
      <c r="C176" s="113" t="s">
        <v>39</v>
      </c>
      <c r="D176" s="112" t="s">
        <v>1</v>
      </c>
      <c r="E176" s="122">
        <v>1.229166666666667</v>
      </c>
      <c r="F176" s="112" t="s">
        <v>40</v>
      </c>
      <c r="G176" s="114">
        <v>20</v>
      </c>
      <c r="H176" s="115" t="s">
        <v>121</v>
      </c>
    </row>
    <row r="177" spans="1:8" ht="19.899999999999999" customHeight="1">
      <c r="A177" s="121">
        <v>46038</v>
      </c>
      <c r="B177" s="112" t="s">
        <v>26</v>
      </c>
      <c r="C177" s="113" t="s">
        <v>27</v>
      </c>
      <c r="D177" s="112" t="s">
        <v>1</v>
      </c>
      <c r="E177" s="122">
        <v>1.6076388888888891</v>
      </c>
      <c r="F177" s="112" t="s">
        <v>28</v>
      </c>
      <c r="G177" s="114">
        <v>9</v>
      </c>
      <c r="H177" s="115" t="s">
        <v>159</v>
      </c>
    </row>
    <row r="178" spans="1:8" ht="19.899999999999999" customHeight="1">
      <c r="A178" s="121">
        <v>46038</v>
      </c>
      <c r="B178" s="112" t="s">
        <v>38</v>
      </c>
      <c r="C178" s="113" t="s">
        <v>39</v>
      </c>
      <c r="D178" s="112" t="s">
        <v>1</v>
      </c>
      <c r="E178" s="122">
        <v>1.229166666666667</v>
      </c>
      <c r="F178" s="112" t="s">
        <v>43</v>
      </c>
      <c r="G178" s="114">
        <v>20</v>
      </c>
      <c r="H178" s="115" t="s">
        <v>123</v>
      </c>
    </row>
    <row r="179" spans="1:8" ht="19.899999999999999" customHeight="1">
      <c r="A179" s="121">
        <v>46038</v>
      </c>
      <c r="B179" s="112" t="s">
        <v>26</v>
      </c>
      <c r="C179" s="113" t="s">
        <v>27</v>
      </c>
      <c r="D179" s="112" t="s">
        <v>1</v>
      </c>
      <c r="E179" s="122">
        <v>1.6076388888888891</v>
      </c>
      <c r="F179" s="112" t="s">
        <v>31</v>
      </c>
      <c r="G179" s="114">
        <v>9</v>
      </c>
      <c r="H179" s="115" t="s">
        <v>139</v>
      </c>
    </row>
    <row r="180" spans="1:8" ht="19.899999999999999" customHeight="1">
      <c r="A180" s="121">
        <v>46038</v>
      </c>
      <c r="B180" s="112" t="s">
        <v>26</v>
      </c>
      <c r="C180" s="113" t="s">
        <v>27</v>
      </c>
      <c r="D180" s="112" t="s">
        <v>1</v>
      </c>
      <c r="E180" s="122">
        <v>1.6076388888888891</v>
      </c>
      <c r="F180" s="112" t="s">
        <v>34</v>
      </c>
      <c r="G180" s="114">
        <v>9</v>
      </c>
      <c r="H180" s="115" t="s">
        <v>160</v>
      </c>
    </row>
    <row r="181" spans="1:8" ht="19.899999999999999" customHeight="1">
      <c r="A181" s="121">
        <v>46038</v>
      </c>
      <c r="B181" s="112" t="s">
        <v>38</v>
      </c>
      <c r="C181" s="113" t="s">
        <v>39</v>
      </c>
      <c r="D181" s="112" t="s">
        <v>1</v>
      </c>
      <c r="E181" s="122">
        <v>1.229166666666667</v>
      </c>
      <c r="F181" s="112" t="s">
        <v>46</v>
      </c>
      <c r="G181" s="114">
        <v>20</v>
      </c>
      <c r="H181" s="115" t="s">
        <v>47</v>
      </c>
    </row>
    <row r="182" spans="1:8" ht="19.899999999999999" customHeight="1">
      <c r="A182" s="121">
        <v>46038</v>
      </c>
      <c r="B182" s="112" t="s">
        <v>68</v>
      </c>
      <c r="C182" s="113" t="s">
        <v>74</v>
      </c>
      <c r="D182" s="112" t="s">
        <v>1</v>
      </c>
      <c r="E182" s="122">
        <v>1.336805555555556</v>
      </c>
      <c r="F182" s="112" t="s">
        <v>70</v>
      </c>
      <c r="G182" s="114">
        <v>9</v>
      </c>
      <c r="H182" s="115" t="s">
        <v>75</v>
      </c>
    </row>
    <row r="183" spans="1:8" ht="19.899999999999999" customHeight="1">
      <c r="A183" s="121">
        <v>46038</v>
      </c>
      <c r="B183" s="112" t="s">
        <v>68</v>
      </c>
      <c r="C183" s="113" t="s">
        <v>69</v>
      </c>
      <c r="D183" s="112" t="s">
        <v>1</v>
      </c>
      <c r="E183" s="122">
        <v>1.9409722222222221</v>
      </c>
      <c r="F183" s="112" t="s">
        <v>70</v>
      </c>
      <c r="G183" s="114">
        <v>9</v>
      </c>
      <c r="H183" s="115" t="s">
        <v>75</v>
      </c>
    </row>
    <row r="184" spans="1:8" ht="19.899999999999999" customHeight="1">
      <c r="A184" s="121">
        <v>46038</v>
      </c>
      <c r="B184" s="112" t="s">
        <v>68</v>
      </c>
      <c r="C184" s="113" t="s">
        <v>76</v>
      </c>
      <c r="D184" s="112" t="s">
        <v>1</v>
      </c>
      <c r="E184" s="122">
        <v>1.697916666666667</v>
      </c>
      <c r="F184" s="112" t="s">
        <v>70</v>
      </c>
      <c r="G184" s="114">
        <v>9</v>
      </c>
      <c r="H184" s="115" t="s">
        <v>75</v>
      </c>
    </row>
    <row r="185" spans="1:8" ht="19.899999999999999" customHeight="1">
      <c r="A185" s="123">
        <v>46038</v>
      </c>
      <c r="B185" s="124" t="s">
        <v>68</v>
      </c>
      <c r="C185" s="125" t="s">
        <v>72</v>
      </c>
      <c r="D185" s="124" t="s">
        <v>1</v>
      </c>
      <c r="E185" s="126">
        <v>1.0659722222222221</v>
      </c>
      <c r="F185" s="124" t="s">
        <v>70</v>
      </c>
      <c r="G185" s="127">
        <v>9</v>
      </c>
      <c r="H185" s="128" t="s">
        <v>75</v>
      </c>
    </row>
    <row r="186" spans="1:8" ht="19.899999999999999" customHeight="1">
      <c r="A186" s="129">
        <v>46039</v>
      </c>
      <c r="B186" s="117" t="s">
        <v>61</v>
      </c>
      <c r="C186" s="118" t="s">
        <v>321</v>
      </c>
      <c r="D186" s="117" t="s">
        <v>320</v>
      </c>
      <c r="E186" s="130">
        <v>1.802083333333333</v>
      </c>
      <c r="F186" s="117" t="s">
        <v>63</v>
      </c>
      <c r="G186" s="119">
        <v>9</v>
      </c>
      <c r="H186" s="120" t="s">
        <v>322</v>
      </c>
    </row>
    <row r="187" spans="1:8" ht="19.899999999999999" customHeight="1">
      <c r="A187" s="143"/>
      <c r="B187" s="144"/>
      <c r="C187" s="144"/>
      <c r="D187" s="144"/>
      <c r="E187" s="144"/>
      <c r="F187" s="145" t="s">
        <v>319</v>
      </c>
      <c r="G187" s="144"/>
      <c r="H187" s="146"/>
    </row>
    <row r="188" spans="1:8" ht="19.899999999999999" customHeight="1">
      <c r="A188" s="121">
        <v>46039</v>
      </c>
      <c r="B188" s="112" t="s">
        <v>38</v>
      </c>
      <c r="C188" s="113" t="s">
        <v>39</v>
      </c>
      <c r="D188" s="112" t="s">
        <v>1</v>
      </c>
      <c r="E188" s="122">
        <v>1.229166666666667</v>
      </c>
      <c r="F188" s="112" t="s">
        <v>40</v>
      </c>
      <c r="G188" s="114">
        <v>11</v>
      </c>
      <c r="H188" s="115" t="s">
        <v>131</v>
      </c>
    </row>
    <row r="189" spans="1:8" ht="19.899999999999999" customHeight="1">
      <c r="A189" s="121">
        <v>46039</v>
      </c>
      <c r="B189" s="112" t="s">
        <v>38</v>
      </c>
      <c r="C189" s="113" t="s">
        <v>87</v>
      </c>
      <c r="D189" s="112" t="s">
        <v>1</v>
      </c>
      <c r="E189" s="122">
        <v>1.0625</v>
      </c>
      <c r="F189" s="112" t="s">
        <v>40</v>
      </c>
      <c r="G189" s="114">
        <v>20</v>
      </c>
      <c r="H189" s="115" t="s">
        <v>42</v>
      </c>
    </row>
    <row r="190" spans="1:8" ht="19.899999999999999" customHeight="1">
      <c r="A190" s="121">
        <v>46039</v>
      </c>
      <c r="B190" s="112" t="s">
        <v>26</v>
      </c>
      <c r="C190" s="113" t="s">
        <v>36</v>
      </c>
      <c r="D190" s="112" t="s">
        <v>1</v>
      </c>
      <c r="E190" s="122">
        <v>1.4340277777777779</v>
      </c>
      <c r="F190" s="112" t="s">
        <v>28</v>
      </c>
      <c r="G190" s="114">
        <v>9</v>
      </c>
      <c r="H190" s="115" t="s">
        <v>149</v>
      </c>
    </row>
    <row r="191" spans="1:8" ht="19.899999999999999" customHeight="1">
      <c r="A191" s="121">
        <v>46039</v>
      </c>
      <c r="B191" s="112" t="s">
        <v>26</v>
      </c>
      <c r="C191" s="113" t="s">
        <v>27</v>
      </c>
      <c r="D191" s="112" t="s">
        <v>1</v>
      </c>
      <c r="E191" s="122">
        <v>1.6076388888888891</v>
      </c>
      <c r="F191" s="112" t="s">
        <v>28</v>
      </c>
      <c r="G191" s="114">
        <v>9</v>
      </c>
      <c r="H191" s="115" t="s">
        <v>161</v>
      </c>
    </row>
    <row r="192" spans="1:8" ht="19.899999999999999" customHeight="1">
      <c r="A192" s="121">
        <v>46039</v>
      </c>
      <c r="B192" s="112" t="s">
        <v>38</v>
      </c>
      <c r="C192" s="113" t="s">
        <v>39</v>
      </c>
      <c r="D192" s="112" t="s">
        <v>1</v>
      </c>
      <c r="E192" s="122">
        <v>1.229166666666667</v>
      </c>
      <c r="F192" s="112" t="s">
        <v>43</v>
      </c>
      <c r="G192" s="114">
        <v>11</v>
      </c>
      <c r="H192" s="115" t="s">
        <v>133</v>
      </c>
    </row>
    <row r="193" spans="1:8" ht="19.899999999999999" customHeight="1">
      <c r="A193" s="121">
        <v>46039</v>
      </c>
      <c r="B193" s="112" t="s">
        <v>26</v>
      </c>
      <c r="C193" s="113" t="s">
        <v>36</v>
      </c>
      <c r="D193" s="112" t="s">
        <v>1</v>
      </c>
      <c r="E193" s="122">
        <v>1.4340277777777779</v>
      </c>
      <c r="F193" s="112" t="s">
        <v>31</v>
      </c>
      <c r="G193" s="114">
        <v>9</v>
      </c>
      <c r="H193" s="115" t="s">
        <v>133</v>
      </c>
    </row>
    <row r="194" spans="1:8" ht="19.899999999999999" customHeight="1">
      <c r="A194" s="121">
        <v>46039</v>
      </c>
      <c r="B194" s="112" t="s">
        <v>38</v>
      </c>
      <c r="C194" s="113" t="s">
        <v>87</v>
      </c>
      <c r="D194" s="112" t="s">
        <v>1</v>
      </c>
      <c r="E194" s="122">
        <v>1.0625</v>
      </c>
      <c r="F194" s="112" t="s">
        <v>43</v>
      </c>
      <c r="G194" s="114">
        <v>20</v>
      </c>
      <c r="H194" s="115" t="s">
        <v>45</v>
      </c>
    </row>
    <row r="195" spans="1:8" ht="19.899999999999999" customHeight="1">
      <c r="A195" s="121">
        <v>46039</v>
      </c>
      <c r="B195" s="112" t="s">
        <v>26</v>
      </c>
      <c r="C195" s="113" t="s">
        <v>27</v>
      </c>
      <c r="D195" s="112" t="s">
        <v>1</v>
      </c>
      <c r="E195" s="122">
        <v>1.6076388888888891</v>
      </c>
      <c r="F195" s="112" t="s">
        <v>31</v>
      </c>
      <c r="G195" s="114">
        <v>9</v>
      </c>
      <c r="H195" s="115" t="s">
        <v>162</v>
      </c>
    </row>
    <row r="196" spans="1:8" ht="19.899999999999999" customHeight="1">
      <c r="A196" s="121">
        <v>46039</v>
      </c>
      <c r="B196" s="112" t="s">
        <v>61</v>
      </c>
      <c r="C196" s="113" t="s">
        <v>62</v>
      </c>
      <c r="D196" s="112" t="s">
        <v>1</v>
      </c>
      <c r="E196" s="122">
        <v>1.2361111111111109</v>
      </c>
      <c r="F196" s="112" t="s">
        <v>63</v>
      </c>
      <c r="G196" s="114">
        <v>8</v>
      </c>
      <c r="H196" s="115" t="s">
        <v>64</v>
      </c>
    </row>
    <row r="197" spans="1:8" ht="19.899999999999999" customHeight="1">
      <c r="A197" s="123">
        <v>46039</v>
      </c>
      <c r="B197" s="124" t="s">
        <v>26</v>
      </c>
      <c r="C197" s="125" t="s">
        <v>36</v>
      </c>
      <c r="D197" s="124" t="s">
        <v>1</v>
      </c>
      <c r="E197" s="126">
        <v>1.4340277777777779</v>
      </c>
      <c r="F197" s="124" t="s">
        <v>34</v>
      </c>
      <c r="G197" s="127">
        <v>9</v>
      </c>
      <c r="H197" s="128" t="s">
        <v>150</v>
      </c>
    </row>
    <row r="198" spans="1:8" ht="19.899999999999999" customHeight="1">
      <c r="A198" s="143"/>
      <c r="B198" s="144"/>
      <c r="C198" s="144"/>
      <c r="D198" s="144"/>
      <c r="E198" s="144"/>
      <c r="F198" s="145" t="s">
        <v>319</v>
      </c>
      <c r="G198" s="144"/>
      <c r="H198" s="146"/>
    </row>
    <row r="199" spans="1:8" ht="19.899999999999999" customHeight="1">
      <c r="A199" s="121">
        <v>46040</v>
      </c>
      <c r="B199" s="112" t="s">
        <v>38</v>
      </c>
      <c r="C199" s="113" t="s">
        <v>39</v>
      </c>
      <c r="D199" s="112" t="s">
        <v>1</v>
      </c>
      <c r="E199" s="122">
        <v>1.229166666666667</v>
      </c>
      <c r="F199" s="112" t="s">
        <v>40</v>
      </c>
      <c r="G199" s="114">
        <v>1</v>
      </c>
      <c r="H199" s="115" t="s">
        <v>78</v>
      </c>
    </row>
    <row r="200" spans="1:8" ht="19.899999999999999" customHeight="1">
      <c r="A200" s="121">
        <v>46040</v>
      </c>
      <c r="B200" s="112" t="s">
        <v>38</v>
      </c>
      <c r="C200" s="113" t="s">
        <v>39</v>
      </c>
      <c r="D200" s="112" t="s">
        <v>1</v>
      </c>
      <c r="E200" s="122">
        <v>1.229166666666667</v>
      </c>
      <c r="F200" s="112" t="s">
        <v>43</v>
      </c>
      <c r="G200" s="114">
        <v>1</v>
      </c>
      <c r="H200" s="115" t="s">
        <v>79</v>
      </c>
    </row>
    <row r="201" spans="1:8" ht="19.899999999999999" customHeight="1">
      <c r="A201" s="121">
        <v>46040</v>
      </c>
      <c r="B201" s="112" t="s">
        <v>26</v>
      </c>
      <c r="C201" s="113" t="s">
        <v>27</v>
      </c>
      <c r="D201" s="112" t="s">
        <v>1</v>
      </c>
      <c r="E201" s="122">
        <v>1.6076388888888891</v>
      </c>
      <c r="F201" s="112" t="s">
        <v>28</v>
      </c>
      <c r="G201" s="114">
        <v>5</v>
      </c>
      <c r="H201" s="115" t="s">
        <v>159</v>
      </c>
    </row>
    <row r="202" spans="1:8" ht="19.899999999999999" customHeight="1">
      <c r="A202" s="121">
        <v>46040</v>
      </c>
      <c r="B202" s="112" t="s">
        <v>61</v>
      </c>
      <c r="C202" s="113" t="s">
        <v>62</v>
      </c>
      <c r="D202" s="112" t="s">
        <v>1</v>
      </c>
      <c r="E202" s="122">
        <v>1.743055555555556</v>
      </c>
      <c r="F202" s="112" t="s">
        <v>63</v>
      </c>
      <c r="G202" s="114">
        <v>9</v>
      </c>
      <c r="H202" s="115" t="s">
        <v>64</v>
      </c>
    </row>
    <row r="203" spans="1:8" ht="19.899999999999999" customHeight="1">
      <c r="A203" s="121">
        <v>46040</v>
      </c>
      <c r="B203" s="112" t="s">
        <v>26</v>
      </c>
      <c r="C203" s="113" t="s">
        <v>27</v>
      </c>
      <c r="D203" s="112" t="s">
        <v>1</v>
      </c>
      <c r="E203" s="122">
        <v>1.6076388888888891</v>
      </c>
      <c r="F203" s="112" t="s">
        <v>31</v>
      </c>
      <c r="G203" s="114">
        <v>5</v>
      </c>
      <c r="H203" s="115" t="s">
        <v>139</v>
      </c>
    </row>
    <row r="204" spans="1:8" ht="19.899999999999999" customHeight="1">
      <c r="A204" s="121">
        <v>46040</v>
      </c>
      <c r="B204" s="112" t="s">
        <v>26</v>
      </c>
      <c r="C204" s="113" t="s">
        <v>27</v>
      </c>
      <c r="D204" s="112" t="s">
        <v>1</v>
      </c>
      <c r="E204" s="122">
        <v>1.6076388888888891</v>
      </c>
      <c r="F204" s="112" t="s">
        <v>34</v>
      </c>
      <c r="G204" s="114">
        <v>5</v>
      </c>
      <c r="H204" s="115" t="s">
        <v>160</v>
      </c>
    </row>
    <row r="205" spans="1:8" ht="19.899999999999999" customHeight="1">
      <c r="A205" s="121">
        <v>46040</v>
      </c>
      <c r="B205" s="112" t="s">
        <v>38</v>
      </c>
      <c r="C205" s="113" t="s">
        <v>39</v>
      </c>
      <c r="D205" s="112" t="s">
        <v>1</v>
      </c>
      <c r="E205" s="122">
        <v>1.229166666666667</v>
      </c>
      <c r="F205" s="112" t="s">
        <v>46</v>
      </c>
      <c r="G205" s="114">
        <v>1</v>
      </c>
      <c r="H205" s="115" t="s">
        <v>47</v>
      </c>
    </row>
    <row r="206" spans="1:8" ht="19.899999999999999" customHeight="1">
      <c r="A206" s="121">
        <v>46040</v>
      </c>
      <c r="B206" s="112" t="s">
        <v>68</v>
      </c>
      <c r="C206" s="113" t="s">
        <v>74</v>
      </c>
      <c r="D206" s="112" t="s">
        <v>1</v>
      </c>
      <c r="E206" s="122">
        <v>1.336805555555556</v>
      </c>
      <c r="F206" s="112" t="s">
        <v>70</v>
      </c>
      <c r="G206" s="114">
        <v>9</v>
      </c>
      <c r="H206" s="115" t="s">
        <v>75</v>
      </c>
    </row>
    <row r="207" spans="1:8" ht="19.899999999999999" customHeight="1">
      <c r="A207" s="121">
        <v>46040</v>
      </c>
      <c r="B207" s="112" t="s">
        <v>68</v>
      </c>
      <c r="C207" s="113" t="s">
        <v>69</v>
      </c>
      <c r="D207" s="112" t="s">
        <v>1</v>
      </c>
      <c r="E207" s="122">
        <v>1.9409722222222221</v>
      </c>
      <c r="F207" s="112" t="s">
        <v>70</v>
      </c>
      <c r="G207" s="114">
        <v>9</v>
      </c>
      <c r="H207" s="115" t="s">
        <v>75</v>
      </c>
    </row>
    <row r="208" spans="1:8" ht="19.899999999999999" customHeight="1">
      <c r="A208" s="123">
        <v>46040</v>
      </c>
      <c r="B208" s="124" t="s">
        <v>68</v>
      </c>
      <c r="C208" s="125" t="s">
        <v>76</v>
      </c>
      <c r="D208" s="124" t="s">
        <v>1</v>
      </c>
      <c r="E208" s="126">
        <v>1.697916666666667</v>
      </c>
      <c r="F208" s="124" t="s">
        <v>70</v>
      </c>
      <c r="G208" s="127">
        <v>9</v>
      </c>
      <c r="H208" s="128" t="s">
        <v>75</v>
      </c>
    </row>
    <row r="209" spans="1:8" ht="19.899999999999999" customHeight="1">
      <c r="A209" s="129">
        <v>46041</v>
      </c>
      <c r="B209" s="117" t="s">
        <v>61</v>
      </c>
      <c r="C209" s="118" t="s">
        <v>321</v>
      </c>
      <c r="D209" s="117" t="s">
        <v>320</v>
      </c>
      <c r="E209" s="130">
        <v>1.645833333333333</v>
      </c>
      <c r="F209" s="117" t="s">
        <v>63</v>
      </c>
      <c r="G209" s="119">
        <v>9</v>
      </c>
      <c r="H209" s="120" t="s">
        <v>322</v>
      </c>
    </row>
    <row r="210" spans="1:8" ht="19.899999999999999" customHeight="1">
      <c r="A210" s="143"/>
      <c r="B210" s="144"/>
      <c r="C210" s="144"/>
      <c r="D210" s="144"/>
      <c r="E210" s="144"/>
      <c r="F210" s="145" t="s">
        <v>319</v>
      </c>
      <c r="G210" s="144"/>
      <c r="H210" s="146"/>
    </row>
    <row r="211" spans="1:8" ht="19.899999999999999" customHeight="1">
      <c r="A211" s="121">
        <v>46041</v>
      </c>
      <c r="B211" s="112" t="s">
        <v>38</v>
      </c>
      <c r="C211" s="113" t="s">
        <v>39</v>
      </c>
      <c r="D211" s="112" t="s">
        <v>1</v>
      </c>
      <c r="E211" s="122">
        <v>1.229166666666667</v>
      </c>
      <c r="F211" s="112" t="s">
        <v>40</v>
      </c>
      <c r="G211" s="114">
        <v>8</v>
      </c>
      <c r="H211" s="115" t="s">
        <v>78</v>
      </c>
    </row>
    <row r="212" spans="1:8" ht="19.899999999999999" customHeight="1">
      <c r="A212" s="121">
        <v>46041</v>
      </c>
      <c r="B212" s="112" t="s">
        <v>38</v>
      </c>
      <c r="C212" s="113" t="s">
        <v>87</v>
      </c>
      <c r="D212" s="112" t="s">
        <v>1</v>
      </c>
      <c r="E212" s="122">
        <v>1.0625</v>
      </c>
      <c r="F212" s="112" t="s">
        <v>40</v>
      </c>
      <c r="G212" s="114">
        <v>20</v>
      </c>
      <c r="H212" s="115" t="s">
        <v>78</v>
      </c>
    </row>
    <row r="213" spans="1:8" ht="19.899999999999999" customHeight="1">
      <c r="A213" s="121">
        <v>46041</v>
      </c>
      <c r="B213" s="112" t="s">
        <v>48</v>
      </c>
      <c r="C213" s="113" t="s">
        <v>56</v>
      </c>
      <c r="D213" s="112" t="s">
        <v>1</v>
      </c>
      <c r="E213" s="122">
        <v>1.895833333333333</v>
      </c>
      <c r="F213" s="112" t="s">
        <v>50</v>
      </c>
      <c r="G213" s="114">
        <v>9</v>
      </c>
      <c r="H213" s="115" t="s">
        <v>96</v>
      </c>
    </row>
    <row r="214" spans="1:8" ht="19.899999999999999" customHeight="1">
      <c r="A214" s="121">
        <v>46041</v>
      </c>
      <c r="B214" s="112" t="s">
        <v>38</v>
      </c>
      <c r="C214" s="113" t="s">
        <v>39</v>
      </c>
      <c r="D214" s="112" t="s">
        <v>1</v>
      </c>
      <c r="E214" s="122">
        <v>1.229166666666667</v>
      </c>
      <c r="F214" s="112" t="s">
        <v>43</v>
      </c>
      <c r="G214" s="114">
        <v>8</v>
      </c>
      <c r="H214" s="115" t="s">
        <v>79</v>
      </c>
    </row>
    <row r="215" spans="1:8" ht="19.899999999999999" customHeight="1">
      <c r="A215" s="121">
        <v>46041</v>
      </c>
      <c r="B215" s="112" t="s">
        <v>38</v>
      </c>
      <c r="C215" s="113" t="s">
        <v>87</v>
      </c>
      <c r="D215" s="112" t="s">
        <v>1</v>
      </c>
      <c r="E215" s="122">
        <v>1.0625</v>
      </c>
      <c r="F215" s="112" t="s">
        <v>43</v>
      </c>
      <c r="G215" s="114">
        <v>20</v>
      </c>
      <c r="H215" s="115" t="s">
        <v>79</v>
      </c>
    </row>
    <row r="216" spans="1:8" ht="19.899999999999999" customHeight="1">
      <c r="A216" s="121">
        <v>46041</v>
      </c>
      <c r="B216" s="112" t="s">
        <v>26</v>
      </c>
      <c r="C216" s="113" t="s">
        <v>27</v>
      </c>
      <c r="D216" s="112" t="s">
        <v>1</v>
      </c>
      <c r="E216" s="122">
        <v>1.6076388888888891</v>
      </c>
      <c r="F216" s="112" t="s">
        <v>28</v>
      </c>
      <c r="G216" s="114">
        <v>5</v>
      </c>
      <c r="H216" s="115" t="s">
        <v>161</v>
      </c>
    </row>
    <row r="217" spans="1:8" ht="19.899999999999999" customHeight="1">
      <c r="A217" s="121">
        <v>46041</v>
      </c>
      <c r="B217" s="112" t="s">
        <v>26</v>
      </c>
      <c r="C217" s="113" t="s">
        <v>36</v>
      </c>
      <c r="D217" s="112" t="s">
        <v>1</v>
      </c>
      <c r="E217" s="122">
        <v>1.4340277777777779</v>
      </c>
      <c r="F217" s="112" t="s">
        <v>28</v>
      </c>
      <c r="G217" s="114">
        <v>5</v>
      </c>
      <c r="H217" s="115" t="s">
        <v>161</v>
      </c>
    </row>
    <row r="218" spans="1:8" ht="19.899999999999999" customHeight="1">
      <c r="A218" s="121">
        <v>46041</v>
      </c>
      <c r="B218" s="112" t="s">
        <v>48</v>
      </c>
      <c r="C218" s="113" t="s">
        <v>56</v>
      </c>
      <c r="D218" s="112" t="s">
        <v>1</v>
      </c>
      <c r="E218" s="122">
        <v>1.895833333333333</v>
      </c>
      <c r="F218" s="112" t="s">
        <v>53</v>
      </c>
      <c r="G218" s="114">
        <v>9</v>
      </c>
      <c r="H218" s="115" t="s">
        <v>97</v>
      </c>
    </row>
    <row r="219" spans="1:8" ht="19.899999999999999" customHeight="1">
      <c r="A219" s="121">
        <v>46041</v>
      </c>
      <c r="B219" s="112" t="s">
        <v>26</v>
      </c>
      <c r="C219" s="113" t="s">
        <v>27</v>
      </c>
      <c r="D219" s="112" t="s">
        <v>1</v>
      </c>
      <c r="E219" s="122">
        <v>1.6076388888888891</v>
      </c>
      <c r="F219" s="112" t="s">
        <v>31</v>
      </c>
      <c r="G219" s="114">
        <v>5</v>
      </c>
      <c r="H219" s="115" t="s">
        <v>162</v>
      </c>
    </row>
    <row r="220" spans="1:8" ht="19.899999999999999" customHeight="1">
      <c r="A220" s="123">
        <v>46041</v>
      </c>
      <c r="B220" s="124" t="s">
        <v>26</v>
      </c>
      <c r="C220" s="125" t="s">
        <v>36</v>
      </c>
      <c r="D220" s="124" t="s">
        <v>1</v>
      </c>
      <c r="E220" s="126">
        <v>1.4340277777777779</v>
      </c>
      <c r="F220" s="124" t="s">
        <v>31</v>
      </c>
      <c r="G220" s="127">
        <v>5</v>
      </c>
      <c r="H220" s="128" t="s">
        <v>162</v>
      </c>
    </row>
    <row r="221" spans="1:8" ht="19.899999999999999" customHeight="1">
      <c r="A221" s="129">
        <v>46042</v>
      </c>
      <c r="B221" s="117" t="s">
        <v>61</v>
      </c>
      <c r="C221" s="118" t="s">
        <v>321</v>
      </c>
      <c r="D221" s="117" t="s">
        <v>320</v>
      </c>
      <c r="E221" s="130">
        <v>1.125</v>
      </c>
      <c r="F221" s="117" t="s">
        <v>63</v>
      </c>
      <c r="G221" s="119">
        <v>9</v>
      </c>
      <c r="H221" s="120" t="s">
        <v>322</v>
      </c>
    </row>
    <row r="222" spans="1:8" ht="19.899999999999999" customHeight="1">
      <c r="A222" s="143"/>
      <c r="B222" s="144"/>
      <c r="C222" s="144"/>
      <c r="D222" s="144"/>
      <c r="E222" s="144"/>
      <c r="F222" s="145" t="s">
        <v>319</v>
      </c>
      <c r="G222" s="144"/>
      <c r="H222" s="146"/>
    </row>
    <row r="223" spans="1:8" ht="19.899999999999999" customHeight="1">
      <c r="A223" s="121">
        <v>46042</v>
      </c>
      <c r="B223" s="112" t="s">
        <v>38</v>
      </c>
      <c r="C223" s="113" t="s">
        <v>87</v>
      </c>
      <c r="D223" s="112" t="s">
        <v>1</v>
      </c>
      <c r="E223" s="122">
        <v>1.0625</v>
      </c>
      <c r="F223" s="112" t="s">
        <v>40</v>
      </c>
      <c r="G223" s="114">
        <v>20</v>
      </c>
      <c r="H223" s="115" t="s">
        <v>78</v>
      </c>
    </row>
    <row r="224" spans="1:8" ht="19.899999999999999" customHeight="1">
      <c r="A224" s="121">
        <v>46042</v>
      </c>
      <c r="B224" s="112" t="s">
        <v>38</v>
      </c>
      <c r="C224" s="113" t="s">
        <v>39</v>
      </c>
      <c r="D224" s="112" t="s">
        <v>1</v>
      </c>
      <c r="E224" s="122">
        <v>1.229166666666667</v>
      </c>
      <c r="F224" s="112" t="s">
        <v>40</v>
      </c>
      <c r="G224" s="114">
        <v>2</v>
      </c>
      <c r="H224" s="115" t="s">
        <v>131</v>
      </c>
    </row>
    <row r="225" spans="1:8" ht="19.899999999999999" customHeight="1">
      <c r="A225" s="121">
        <v>46042</v>
      </c>
      <c r="B225" s="112" t="s">
        <v>48</v>
      </c>
      <c r="C225" s="113" t="s">
        <v>56</v>
      </c>
      <c r="D225" s="112" t="s">
        <v>1</v>
      </c>
      <c r="E225" s="122">
        <v>1.895833333333333</v>
      </c>
      <c r="F225" s="112" t="s">
        <v>50</v>
      </c>
      <c r="G225" s="114">
        <v>3</v>
      </c>
      <c r="H225" s="115" t="s">
        <v>96</v>
      </c>
    </row>
    <row r="226" spans="1:8" ht="19.899999999999999" customHeight="1">
      <c r="A226" s="121">
        <v>46042</v>
      </c>
      <c r="B226" s="112" t="s">
        <v>26</v>
      </c>
      <c r="C226" s="113" t="s">
        <v>27</v>
      </c>
      <c r="D226" s="112" t="s">
        <v>1</v>
      </c>
      <c r="E226" s="122">
        <v>1.6076388888888891</v>
      </c>
      <c r="F226" s="112" t="s">
        <v>28</v>
      </c>
      <c r="G226" s="114">
        <v>4</v>
      </c>
      <c r="H226" s="115" t="s">
        <v>89</v>
      </c>
    </row>
    <row r="227" spans="1:8" ht="19.899999999999999" customHeight="1">
      <c r="A227" s="121">
        <v>46042</v>
      </c>
      <c r="B227" s="112" t="s">
        <v>38</v>
      </c>
      <c r="C227" s="113" t="s">
        <v>87</v>
      </c>
      <c r="D227" s="112" t="s">
        <v>1</v>
      </c>
      <c r="E227" s="122">
        <v>1.0625</v>
      </c>
      <c r="F227" s="112" t="s">
        <v>43</v>
      </c>
      <c r="G227" s="114">
        <v>20</v>
      </c>
      <c r="H227" s="115" t="s">
        <v>79</v>
      </c>
    </row>
    <row r="228" spans="1:8" ht="19.899999999999999" customHeight="1">
      <c r="A228" s="121">
        <v>46042</v>
      </c>
      <c r="B228" s="112" t="s">
        <v>38</v>
      </c>
      <c r="C228" s="113" t="s">
        <v>39</v>
      </c>
      <c r="D228" s="112" t="s">
        <v>1</v>
      </c>
      <c r="E228" s="122">
        <v>1.229166666666667</v>
      </c>
      <c r="F228" s="112" t="s">
        <v>43</v>
      </c>
      <c r="G228" s="114">
        <v>2</v>
      </c>
      <c r="H228" s="115" t="s">
        <v>133</v>
      </c>
    </row>
    <row r="229" spans="1:8" ht="19.899999999999999" customHeight="1">
      <c r="A229" s="121">
        <v>46042</v>
      </c>
      <c r="B229" s="112" t="s">
        <v>48</v>
      </c>
      <c r="C229" s="113" t="s">
        <v>49</v>
      </c>
      <c r="D229" s="112" t="s">
        <v>1</v>
      </c>
      <c r="E229" s="122">
        <v>1.350694444444444</v>
      </c>
      <c r="F229" s="112" t="s">
        <v>50</v>
      </c>
      <c r="G229" s="114">
        <v>9</v>
      </c>
      <c r="H229" s="115" t="s">
        <v>52</v>
      </c>
    </row>
    <row r="230" spans="1:8" ht="19.899999999999999" customHeight="1">
      <c r="A230" s="121">
        <v>46042</v>
      </c>
      <c r="B230" s="112" t="s">
        <v>48</v>
      </c>
      <c r="C230" s="113" t="s">
        <v>58</v>
      </c>
      <c r="D230" s="112" t="s">
        <v>1</v>
      </c>
      <c r="E230" s="122">
        <v>1.1840277777777779</v>
      </c>
      <c r="F230" s="112" t="s">
        <v>50</v>
      </c>
      <c r="G230" s="114">
        <v>9</v>
      </c>
      <c r="H230" s="115" t="s">
        <v>52</v>
      </c>
    </row>
    <row r="231" spans="1:8" ht="19.899999999999999" customHeight="1">
      <c r="A231" s="121">
        <v>46042</v>
      </c>
      <c r="B231" s="112" t="s">
        <v>26</v>
      </c>
      <c r="C231" s="113" t="s">
        <v>27</v>
      </c>
      <c r="D231" s="112" t="s">
        <v>1</v>
      </c>
      <c r="E231" s="122">
        <v>1.6076388888888891</v>
      </c>
      <c r="F231" s="112" t="s">
        <v>31</v>
      </c>
      <c r="G231" s="114">
        <v>4</v>
      </c>
      <c r="H231" s="115" t="s">
        <v>138</v>
      </c>
    </row>
    <row r="232" spans="1:8" ht="19.899999999999999" customHeight="1">
      <c r="A232" s="123">
        <v>46042</v>
      </c>
      <c r="B232" s="124" t="s">
        <v>48</v>
      </c>
      <c r="C232" s="125" t="s">
        <v>56</v>
      </c>
      <c r="D232" s="124" t="s">
        <v>1</v>
      </c>
      <c r="E232" s="126">
        <v>1.895833333333333</v>
      </c>
      <c r="F232" s="124" t="s">
        <v>53</v>
      </c>
      <c r="G232" s="127">
        <v>3</v>
      </c>
      <c r="H232" s="128" t="s">
        <v>97</v>
      </c>
    </row>
    <row r="233" spans="1:8" ht="19.899999999999999" customHeight="1">
      <c r="A233" s="129">
        <v>46043</v>
      </c>
      <c r="B233" s="117" t="s">
        <v>61</v>
      </c>
      <c r="C233" s="118" t="s">
        <v>327</v>
      </c>
      <c r="D233" s="117" t="s">
        <v>320</v>
      </c>
      <c r="E233" s="130">
        <v>1.461805555555556</v>
      </c>
      <c r="F233" s="117" t="s">
        <v>63</v>
      </c>
      <c r="G233" s="119">
        <v>8</v>
      </c>
      <c r="H233" s="120" t="s">
        <v>322</v>
      </c>
    </row>
    <row r="234" spans="1:8" ht="19.899999999999999" customHeight="1">
      <c r="A234" s="143"/>
      <c r="B234" s="144"/>
      <c r="C234" s="144"/>
      <c r="D234" s="144"/>
      <c r="E234" s="144"/>
      <c r="F234" s="145" t="s">
        <v>319</v>
      </c>
      <c r="G234" s="144"/>
      <c r="H234" s="146"/>
    </row>
    <row r="235" spans="1:8" ht="19.899999999999999" customHeight="1">
      <c r="A235" s="121">
        <v>46043</v>
      </c>
      <c r="B235" s="112" t="s">
        <v>38</v>
      </c>
      <c r="C235" s="113" t="s">
        <v>39</v>
      </c>
      <c r="D235" s="112" t="s">
        <v>1</v>
      </c>
      <c r="E235" s="122">
        <v>1.229166666666667</v>
      </c>
      <c r="F235" s="112" t="s">
        <v>40</v>
      </c>
      <c r="G235" s="114">
        <v>14</v>
      </c>
      <c r="H235" s="115" t="s">
        <v>78</v>
      </c>
    </row>
    <row r="236" spans="1:8" ht="19.899999999999999" customHeight="1">
      <c r="A236" s="121">
        <v>46043</v>
      </c>
      <c r="B236" s="112" t="s">
        <v>48</v>
      </c>
      <c r="C236" s="113" t="s">
        <v>56</v>
      </c>
      <c r="D236" s="112" t="s">
        <v>1</v>
      </c>
      <c r="E236" s="122">
        <v>1.895833333333333</v>
      </c>
      <c r="F236" s="112" t="s">
        <v>50</v>
      </c>
      <c r="G236" s="114">
        <v>1</v>
      </c>
      <c r="H236" s="115" t="s">
        <v>96</v>
      </c>
    </row>
    <row r="237" spans="1:8" ht="19.899999999999999" customHeight="1">
      <c r="A237" s="121">
        <v>46043</v>
      </c>
      <c r="B237" s="112" t="s">
        <v>48</v>
      </c>
      <c r="C237" s="113" t="s">
        <v>58</v>
      </c>
      <c r="D237" s="112" t="s">
        <v>1</v>
      </c>
      <c r="E237" s="122">
        <v>1.1840277777777779</v>
      </c>
      <c r="F237" s="112" t="s">
        <v>50</v>
      </c>
      <c r="G237" s="114">
        <v>9</v>
      </c>
      <c r="H237" s="115" t="s">
        <v>96</v>
      </c>
    </row>
    <row r="238" spans="1:8" ht="19.899999999999999" customHeight="1">
      <c r="A238" s="121">
        <v>46043</v>
      </c>
      <c r="B238" s="112" t="s">
        <v>38</v>
      </c>
      <c r="C238" s="113" t="s">
        <v>39</v>
      </c>
      <c r="D238" s="112" t="s">
        <v>1</v>
      </c>
      <c r="E238" s="122">
        <v>1.229166666666667</v>
      </c>
      <c r="F238" s="112" t="s">
        <v>43</v>
      </c>
      <c r="G238" s="114">
        <v>14</v>
      </c>
      <c r="H238" s="115" t="s">
        <v>79</v>
      </c>
    </row>
    <row r="239" spans="1:8" ht="19.899999999999999" customHeight="1">
      <c r="A239" s="121">
        <v>46043</v>
      </c>
      <c r="B239" s="112" t="s">
        <v>26</v>
      </c>
      <c r="C239" s="113" t="s">
        <v>27</v>
      </c>
      <c r="D239" s="112" t="s">
        <v>1</v>
      </c>
      <c r="E239" s="122">
        <v>1.6076388888888891</v>
      </c>
      <c r="F239" s="112" t="s">
        <v>28</v>
      </c>
      <c r="G239" s="114">
        <v>4</v>
      </c>
      <c r="H239" s="115" t="s">
        <v>161</v>
      </c>
    </row>
    <row r="240" spans="1:8" ht="19.899999999999999" customHeight="1">
      <c r="A240" s="121">
        <v>46043</v>
      </c>
      <c r="B240" s="112" t="s">
        <v>48</v>
      </c>
      <c r="C240" s="113" t="s">
        <v>49</v>
      </c>
      <c r="D240" s="112" t="s">
        <v>1</v>
      </c>
      <c r="E240" s="122">
        <v>1.350694444444444</v>
      </c>
      <c r="F240" s="112" t="s">
        <v>50</v>
      </c>
      <c r="G240" s="114">
        <v>9</v>
      </c>
      <c r="H240" s="115" t="s">
        <v>52</v>
      </c>
    </row>
    <row r="241" spans="1:8" ht="19.899999999999999" customHeight="1">
      <c r="A241" s="121">
        <v>46043</v>
      </c>
      <c r="B241" s="112" t="s">
        <v>48</v>
      </c>
      <c r="C241" s="113" t="s">
        <v>56</v>
      </c>
      <c r="D241" s="112" t="s">
        <v>1</v>
      </c>
      <c r="E241" s="122">
        <v>1.895833333333333</v>
      </c>
      <c r="F241" s="112" t="s">
        <v>53</v>
      </c>
      <c r="G241" s="114">
        <v>1</v>
      </c>
      <c r="H241" s="115" t="s">
        <v>97</v>
      </c>
    </row>
    <row r="242" spans="1:8" ht="19.899999999999999" customHeight="1">
      <c r="A242" s="121">
        <v>46043</v>
      </c>
      <c r="B242" s="112" t="s">
        <v>48</v>
      </c>
      <c r="C242" s="113" t="s">
        <v>58</v>
      </c>
      <c r="D242" s="112" t="s">
        <v>1</v>
      </c>
      <c r="E242" s="122">
        <v>1.1840277777777779</v>
      </c>
      <c r="F242" s="112" t="s">
        <v>53</v>
      </c>
      <c r="G242" s="114">
        <v>9</v>
      </c>
      <c r="H242" s="115" t="s">
        <v>97</v>
      </c>
    </row>
    <row r="243" spans="1:8" ht="19.899999999999999" customHeight="1">
      <c r="A243" s="121">
        <v>46043</v>
      </c>
      <c r="B243" s="112" t="s">
        <v>26</v>
      </c>
      <c r="C243" s="113" t="s">
        <v>27</v>
      </c>
      <c r="D243" s="112" t="s">
        <v>1</v>
      </c>
      <c r="E243" s="122">
        <v>1.6076388888888891</v>
      </c>
      <c r="F243" s="112" t="s">
        <v>31</v>
      </c>
      <c r="G243" s="114">
        <v>4</v>
      </c>
      <c r="H243" s="115" t="s">
        <v>162</v>
      </c>
    </row>
    <row r="244" spans="1:8" ht="19.899999999999999" customHeight="1">
      <c r="A244" s="123">
        <v>46043</v>
      </c>
      <c r="B244" s="124" t="s">
        <v>48</v>
      </c>
      <c r="C244" s="125" t="s">
        <v>49</v>
      </c>
      <c r="D244" s="124" t="s">
        <v>1</v>
      </c>
      <c r="E244" s="126">
        <v>1.350694444444444</v>
      </c>
      <c r="F244" s="124" t="s">
        <v>53</v>
      </c>
      <c r="G244" s="127">
        <v>9</v>
      </c>
      <c r="H244" s="128" t="s">
        <v>55</v>
      </c>
    </row>
    <row r="245" spans="1:8" ht="19.899999999999999" customHeight="1">
      <c r="A245" s="143"/>
      <c r="B245" s="144"/>
      <c r="C245" s="144"/>
      <c r="D245" s="144"/>
      <c r="E245" s="144"/>
      <c r="F245" s="145" t="s">
        <v>319</v>
      </c>
      <c r="G245" s="144"/>
      <c r="H245" s="146"/>
    </row>
    <row r="246" spans="1:8" ht="19.899999999999999" customHeight="1">
      <c r="A246" s="121">
        <v>46044</v>
      </c>
      <c r="B246" s="112" t="s">
        <v>38</v>
      </c>
      <c r="C246" s="113" t="s">
        <v>39</v>
      </c>
      <c r="D246" s="112" t="s">
        <v>1</v>
      </c>
      <c r="E246" s="122">
        <v>1.229166666666667</v>
      </c>
      <c r="F246" s="112" t="s">
        <v>40</v>
      </c>
      <c r="G246" s="114">
        <v>1</v>
      </c>
      <c r="H246" s="115" t="s">
        <v>78</v>
      </c>
    </row>
    <row r="247" spans="1:8" ht="19.899999999999999" customHeight="1">
      <c r="A247" s="121">
        <v>46044</v>
      </c>
      <c r="B247" s="112" t="s">
        <v>38</v>
      </c>
      <c r="C247" s="113" t="s">
        <v>87</v>
      </c>
      <c r="D247" s="112" t="s">
        <v>1</v>
      </c>
      <c r="E247" s="122">
        <v>1.0625</v>
      </c>
      <c r="F247" s="112" t="s">
        <v>40</v>
      </c>
      <c r="G247" s="114">
        <v>19</v>
      </c>
      <c r="H247" s="115" t="s">
        <v>78</v>
      </c>
    </row>
    <row r="248" spans="1:8" ht="19.899999999999999" customHeight="1">
      <c r="A248" s="121">
        <v>46044</v>
      </c>
      <c r="B248" s="112" t="s">
        <v>38</v>
      </c>
      <c r="C248" s="113" t="s">
        <v>39</v>
      </c>
      <c r="D248" s="112" t="s">
        <v>1</v>
      </c>
      <c r="E248" s="122">
        <v>1.229166666666667</v>
      </c>
      <c r="F248" s="112" t="s">
        <v>43</v>
      </c>
      <c r="G248" s="114">
        <v>1</v>
      </c>
      <c r="H248" s="115" t="s">
        <v>79</v>
      </c>
    </row>
    <row r="249" spans="1:8" ht="19.899999999999999" customHeight="1">
      <c r="A249" s="121">
        <v>46044</v>
      </c>
      <c r="B249" s="112" t="s">
        <v>38</v>
      </c>
      <c r="C249" s="113" t="s">
        <v>87</v>
      </c>
      <c r="D249" s="112" t="s">
        <v>1</v>
      </c>
      <c r="E249" s="122">
        <v>1.0625</v>
      </c>
      <c r="F249" s="112" t="s">
        <v>43</v>
      </c>
      <c r="G249" s="114">
        <v>19</v>
      </c>
      <c r="H249" s="115" t="s">
        <v>79</v>
      </c>
    </row>
    <row r="250" spans="1:8" ht="19.899999999999999" customHeight="1">
      <c r="A250" s="121">
        <v>46044</v>
      </c>
      <c r="B250" s="112" t="s">
        <v>26</v>
      </c>
      <c r="C250" s="113" t="s">
        <v>27</v>
      </c>
      <c r="D250" s="112" t="s">
        <v>1</v>
      </c>
      <c r="E250" s="122">
        <v>1.6076388888888891</v>
      </c>
      <c r="F250" s="112" t="s">
        <v>28</v>
      </c>
      <c r="G250" s="114">
        <v>4</v>
      </c>
      <c r="H250" s="115" t="s">
        <v>159</v>
      </c>
    </row>
    <row r="251" spans="1:8" ht="19.899999999999999" customHeight="1">
      <c r="A251" s="121">
        <v>46044</v>
      </c>
      <c r="B251" s="112" t="s">
        <v>26</v>
      </c>
      <c r="C251" s="113" t="s">
        <v>27</v>
      </c>
      <c r="D251" s="112" t="s">
        <v>1</v>
      </c>
      <c r="E251" s="122">
        <v>1.6076388888888891</v>
      </c>
      <c r="F251" s="112" t="s">
        <v>31</v>
      </c>
      <c r="G251" s="114">
        <v>4</v>
      </c>
      <c r="H251" s="115" t="s">
        <v>139</v>
      </c>
    </row>
    <row r="252" spans="1:8" ht="19.899999999999999" customHeight="1">
      <c r="A252" s="121">
        <v>46044</v>
      </c>
      <c r="B252" s="112" t="s">
        <v>61</v>
      </c>
      <c r="C252" s="113" t="s">
        <v>62</v>
      </c>
      <c r="D252" s="112" t="s">
        <v>1</v>
      </c>
      <c r="E252" s="122">
        <v>1.381944444444444</v>
      </c>
      <c r="F252" s="112" t="s">
        <v>63</v>
      </c>
      <c r="G252" s="114">
        <v>1</v>
      </c>
      <c r="H252" s="115" t="s">
        <v>173</v>
      </c>
    </row>
    <row r="253" spans="1:8" ht="19.899999999999999" customHeight="1">
      <c r="A253" s="121">
        <v>46044</v>
      </c>
      <c r="B253" s="112" t="s">
        <v>26</v>
      </c>
      <c r="C253" s="113" t="s">
        <v>27</v>
      </c>
      <c r="D253" s="112" t="s">
        <v>1</v>
      </c>
      <c r="E253" s="122">
        <v>1.6076388888888891</v>
      </c>
      <c r="F253" s="112" t="s">
        <v>34</v>
      </c>
      <c r="G253" s="114">
        <v>4</v>
      </c>
      <c r="H253" s="115" t="s">
        <v>160</v>
      </c>
    </row>
    <row r="254" spans="1:8" ht="19.899999999999999" customHeight="1">
      <c r="A254" s="121">
        <v>46044</v>
      </c>
      <c r="B254" s="112" t="s">
        <v>38</v>
      </c>
      <c r="C254" s="113" t="s">
        <v>39</v>
      </c>
      <c r="D254" s="112" t="s">
        <v>1</v>
      </c>
      <c r="E254" s="122">
        <v>1.229166666666667</v>
      </c>
      <c r="F254" s="112" t="s">
        <v>46</v>
      </c>
      <c r="G254" s="114">
        <v>1</v>
      </c>
      <c r="H254" s="115" t="s">
        <v>47</v>
      </c>
    </row>
    <row r="255" spans="1:8" ht="19.899999999999999" customHeight="1">
      <c r="A255" s="123">
        <v>46044</v>
      </c>
      <c r="B255" s="124" t="s">
        <v>38</v>
      </c>
      <c r="C255" s="125" t="s">
        <v>87</v>
      </c>
      <c r="D255" s="124" t="s">
        <v>1</v>
      </c>
      <c r="E255" s="126">
        <v>1.0625</v>
      </c>
      <c r="F255" s="124" t="s">
        <v>46</v>
      </c>
      <c r="G255" s="127">
        <v>19</v>
      </c>
      <c r="H255" s="128" t="s">
        <v>47</v>
      </c>
    </row>
    <row r="256" spans="1:8" ht="19.899999999999999" customHeight="1">
      <c r="A256" s="143"/>
      <c r="B256" s="144"/>
      <c r="C256" s="144"/>
      <c r="D256" s="144"/>
      <c r="E256" s="144"/>
      <c r="F256" s="145" t="s">
        <v>319</v>
      </c>
      <c r="G256" s="144"/>
      <c r="H256" s="146"/>
    </row>
    <row r="257" spans="1:8" ht="19.899999999999999" customHeight="1">
      <c r="A257" s="121">
        <v>46045</v>
      </c>
      <c r="B257" s="112" t="s">
        <v>38</v>
      </c>
      <c r="C257" s="113" t="s">
        <v>39</v>
      </c>
      <c r="D257" s="112" t="s">
        <v>1</v>
      </c>
      <c r="E257" s="122">
        <v>1.229166666666667</v>
      </c>
      <c r="F257" s="112" t="s">
        <v>40</v>
      </c>
      <c r="G257" s="114">
        <v>19</v>
      </c>
      <c r="H257" s="115" t="s">
        <v>121</v>
      </c>
    </row>
    <row r="258" spans="1:8" ht="19.899999999999999" customHeight="1">
      <c r="A258" s="121">
        <v>46045</v>
      </c>
      <c r="B258" s="112" t="s">
        <v>38</v>
      </c>
      <c r="C258" s="113" t="s">
        <v>39</v>
      </c>
      <c r="D258" s="112" t="s">
        <v>1</v>
      </c>
      <c r="E258" s="122">
        <v>1.229166666666667</v>
      </c>
      <c r="F258" s="112" t="s">
        <v>43</v>
      </c>
      <c r="G258" s="114">
        <v>19</v>
      </c>
      <c r="H258" s="115" t="s">
        <v>123</v>
      </c>
    </row>
    <row r="259" spans="1:8" ht="19.899999999999999" customHeight="1">
      <c r="A259" s="121">
        <v>46045</v>
      </c>
      <c r="B259" s="112" t="s">
        <v>26</v>
      </c>
      <c r="C259" s="113" t="s">
        <v>27</v>
      </c>
      <c r="D259" s="112" t="s">
        <v>1</v>
      </c>
      <c r="E259" s="122">
        <v>1.6076388888888891</v>
      </c>
      <c r="F259" s="112" t="s">
        <v>28</v>
      </c>
      <c r="G259" s="114">
        <v>3</v>
      </c>
      <c r="H259" s="115" t="s">
        <v>162</v>
      </c>
    </row>
    <row r="260" spans="1:8" ht="19.899999999999999" customHeight="1">
      <c r="A260" s="121">
        <v>46045</v>
      </c>
      <c r="B260" s="112" t="s">
        <v>26</v>
      </c>
      <c r="C260" s="113" t="s">
        <v>27</v>
      </c>
      <c r="D260" s="112" t="s">
        <v>1</v>
      </c>
      <c r="E260" s="122">
        <v>1.6076388888888891</v>
      </c>
      <c r="F260" s="112" t="s">
        <v>31</v>
      </c>
      <c r="G260" s="114">
        <v>3</v>
      </c>
      <c r="H260" s="115" t="s">
        <v>178</v>
      </c>
    </row>
    <row r="261" spans="1:8" ht="19.899999999999999" customHeight="1">
      <c r="A261" s="121">
        <v>46045</v>
      </c>
      <c r="B261" s="112" t="s">
        <v>68</v>
      </c>
      <c r="C261" s="113" t="s">
        <v>69</v>
      </c>
      <c r="D261" s="112" t="s">
        <v>1</v>
      </c>
      <c r="E261" s="122">
        <v>1.9409722222222221</v>
      </c>
      <c r="F261" s="112" t="s">
        <v>70</v>
      </c>
      <c r="G261" s="114">
        <v>9</v>
      </c>
      <c r="H261" s="115" t="s">
        <v>71</v>
      </c>
    </row>
    <row r="262" spans="1:8" ht="19.899999999999999" customHeight="1">
      <c r="A262" s="121">
        <v>46045</v>
      </c>
      <c r="B262" s="112" t="s">
        <v>68</v>
      </c>
      <c r="C262" s="113" t="s">
        <v>76</v>
      </c>
      <c r="D262" s="112" t="s">
        <v>1</v>
      </c>
      <c r="E262" s="122">
        <v>1.697916666666667</v>
      </c>
      <c r="F262" s="112" t="s">
        <v>70</v>
      </c>
      <c r="G262" s="114">
        <v>9</v>
      </c>
      <c r="H262" s="115" t="s">
        <v>71</v>
      </c>
    </row>
    <row r="263" spans="1:8" ht="19.899999999999999" customHeight="1">
      <c r="A263" s="121">
        <v>46045</v>
      </c>
      <c r="B263" s="112" t="s">
        <v>26</v>
      </c>
      <c r="C263" s="113" t="s">
        <v>27</v>
      </c>
      <c r="D263" s="112" t="s">
        <v>1</v>
      </c>
      <c r="E263" s="122">
        <v>1.6076388888888891</v>
      </c>
      <c r="F263" s="112" t="s">
        <v>34</v>
      </c>
      <c r="G263" s="114">
        <v>3</v>
      </c>
      <c r="H263" s="115" t="s">
        <v>179</v>
      </c>
    </row>
    <row r="264" spans="1:8" ht="19.899999999999999" customHeight="1">
      <c r="A264" s="121">
        <v>46045</v>
      </c>
      <c r="B264" s="112" t="s">
        <v>38</v>
      </c>
      <c r="C264" s="113" t="s">
        <v>39</v>
      </c>
      <c r="D264" s="112" t="s">
        <v>1</v>
      </c>
      <c r="E264" s="122">
        <v>1.229166666666667</v>
      </c>
      <c r="F264" s="112" t="s">
        <v>46</v>
      </c>
      <c r="G264" s="114">
        <v>19</v>
      </c>
      <c r="H264" s="115" t="s">
        <v>47</v>
      </c>
    </row>
    <row r="265" spans="1:8" ht="19.899999999999999" customHeight="1">
      <c r="A265" s="121">
        <v>46045</v>
      </c>
      <c r="B265" s="112" t="s">
        <v>68</v>
      </c>
      <c r="C265" s="113" t="s">
        <v>74</v>
      </c>
      <c r="D265" s="112" t="s">
        <v>1</v>
      </c>
      <c r="E265" s="122">
        <v>1.336805555555556</v>
      </c>
      <c r="F265" s="112" t="s">
        <v>70</v>
      </c>
      <c r="G265" s="114">
        <v>9</v>
      </c>
      <c r="H265" s="115" t="s">
        <v>75</v>
      </c>
    </row>
    <row r="266" spans="1:8" ht="19.899999999999999" customHeight="1">
      <c r="A266" s="123">
        <v>46045</v>
      </c>
      <c r="B266" s="124" t="s">
        <v>48</v>
      </c>
      <c r="C266" s="125" t="s">
        <v>59</v>
      </c>
      <c r="D266" s="124" t="s">
        <v>1</v>
      </c>
      <c r="E266" s="126">
        <v>1.229166666666667</v>
      </c>
      <c r="F266" s="124" t="s">
        <v>53</v>
      </c>
      <c r="G266" s="127">
        <v>4</v>
      </c>
      <c r="H266" s="128" t="s">
        <v>124</v>
      </c>
    </row>
    <row r="267" spans="1:8" ht="19.899999999999999" customHeight="1">
      <c r="A267" s="129">
        <v>46046</v>
      </c>
      <c r="B267" s="117" t="s">
        <v>61</v>
      </c>
      <c r="C267" s="118" t="s">
        <v>321</v>
      </c>
      <c r="D267" s="117" t="s">
        <v>320</v>
      </c>
      <c r="E267" s="130">
        <v>1.802083333333333</v>
      </c>
      <c r="F267" s="117" t="s">
        <v>63</v>
      </c>
      <c r="G267" s="119">
        <v>9</v>
      </c>
      <c r="H267" s="120" t="s">
        <v>322</v>
      </c>
    </row>
    <row r="268" spans="1:8" ht="19.899999999999999" customHeight="1">
      <c r="A268" s="143"/>
      <c r="B268" s="144"/>
      <c r="C268" s="144"/>
      <c r="D268" s="144"/>
      <c r="E268" s="144"/>
      <c r="F268" s="145" t="s">
        <v>319</v>
      </c>
      <c r="G268" s="144"/>
      <c r="H268" s="146"/>
    </row>
    <row r="269" spans="1:8" ht="19.899999999999999" customHeight="1">
      <c r="A269" s="121">
        <v>46046</v>
      </c>
      <c r="B269" s="112" t="s">
        <v>38</v>
      </c>
      <c r="C269" s="113" t="s">
        <v>39</v>
      </c>
      <c r="D269" s="112" t="s">
        <v>1</v>
      </c>
      <c r="E269" s="122">
        <v>1.229166666666667</v>
      </c>
      <c r="F269" s="112" t="s">
        <v>40</v>
      </c>
      <c r="G269" s="114">
        <v>12</v>
      </c>
      <c r="H269" s="115" t="s">
        <v>42</v>
      </c>
    </row>
    <row r="270" spans="1:8" ht="19.899999999999999" customHeight="1">
      <c r="A270" s="121">
        <v>46046</v>
      </c>
      <c r="B270" s="112" t="s">
        <v>38</v>
      </c>
      <c r="C270" s="113" t="s">
        <v>87</v>
      </c>
      <c r="D270" s="112" t="s">
        <v>1</v>
      </c>
      <c r="E270" s="122">
        <v>1.0625</v>
      </c>
      <c r="F270" s="112" t="s">
        <v>40</v>
      </c>
      <c r="G270" s="114">
        <v>20</v>
      </c>
      <c r="H270" s="115" t="s">
        <v>121</v>
      </c>
    </row>
    <row r="271" spans="1:8" ht="19.899999999999999" customHeight="1">
      <c r="A271" s="121">
        <v>46046</v>
      </c>
      <c r="B271" s="112" t="s">
        <v>38</v>
      </c>
      <c r="C271" s="113" t="s">
        <v>39</v>
      </c>
      <c r="D271" s="112" t="s">
        <v>1</v>
      </c>
      <c r="E271" s="122">
        <v>1.229166666666667</v>
      </c>
      <c r="F271" s="112" t="s">
        <v>43</v>
      </c>
      <c r="G271" s="114">
        <v>12</v>
      </c>
      <c r="H271" s="115" t="s">
        <v>45</v>
      </c>
    </row>
    <row r="272" spans="1:8" ht="19.899999999999999" customHeight="1">
      <c r="A272" s="121">
        <v>46046</v>
      </c>
      <c r="B272" s="112" t="s">
        <v>38</v>
      </c>
      <c r="C272" s="113" t="s">
        <v>87</v>
      </c>
      <c r="D272" s="112" t="s">
        <v>1</v>
      </c>
      <c r="E272" s="122">
        <v>1.0625</v>
      </c>
      <c r="F272" s="112" t="s">
        <v>43</v>
      </c>
      <c r="G272" s="114">
        <v>20</v>
      </c>
      <c r="H272" s="115" t="s">
        <v>123</v>
      </c>
    </row>
    <row r="273" spans="1:8" ht="19.899999999999999" customHeight="1">
      <c r="A273" s="121">
        <v>46046</v>
      </c>
      <c r="B273" s="112" t="s">
        <v>26</v>
      </c>
      <c r="C273" s="113" t="s">
        <v>36</v>
      </c>
      <c r="D273" s="112" t="s">
        <v>1</v>
      </c>
      <c r="E273" s="122">
        <v>1.4340277777777779</v>
      </c>
      <c r="F273" s="112" t="s">
        <v>28</v>
      </c>
      <c r="G273" s="114">
        <v>3</v>
      </c>
      <c r="H273" s="115" t="s">
        <v>162</v>
      </c>
    </row>
    <row r="274" spans="1:8" ht="19.899999999999999" customHeight="1">
      <c r="A274" s="121">
        <v>46046</v>
      </c>
      <c r="B274" s="112" t="s">
        <v>61</v>
      </c>
      <c r="C274" s="113" t="s">
        <v>62</v>
      </c>
      <c r="D274" s="112" t="s">
        <v>1</v>
      </c>
      <c r="E274" s="122">
        <v>1.2361111111111109</v>
      </c>
      <c r="F274" s="112" t="s">
        <v>63</v>
      </c>
      <c r="G274" s="114">
        <v>7</v>
      </c>
      <c r="H274" s="115" t="s">
        <v>64</v>
      </c>
    </row>
    <row r="275" spans="1:8" ht="19.899999999999999" customHeight="1">
      <c r="A275" s="121">
        <v>46046</v>
      </c>
      <c r="B275" s="112" t="s">
        <v>26</v>
      </c>
      <c r="C275" s="113" t="s">
        <v>36</v>
      </c>
      <c r="D275" s="112" t="s">
        <v>1</v>
      </c>
      <c r="E275" s="122">
        <v>1.4340277777777779</v>
      </c>
      <c r="F275" s="112" t="s">
        <v>31</v>
      </c>
      <c r="G275" s="114">
        <v>3</v>
      </c>
      <c r="H275" s="115" t="s">
        <v>178</v>
      </c>
    </row>
    <row r="276" spans="1:8" ht="19.899999999999999" customHeight="1">
      <c r="A276" s="121">
        <v>46046</v>
      </c>
      <c r="B276" s="112" t="s">
        <v>26</v>
      </c>
      <c r="C276" s="113" t="s">
        <v>36</v>
      </c>
      <c r="D276" s="112" t="s">
        <v>1</v>
      </c>
      <c r="E276" s="122">
        <v>1.4340277777777779</v>
      </c>
      <c r="F276" s="112" t="s">
        <v>34</v>
      </c>
      <c r="G276" s="114">
        <v>3</v>
      </c>
      <c r="H276" s="115" t="s">
        <v>179</v>
      </c>
    </row>
    <row r="277" spans="1:8" ht="19.899999999999999" customHeight="1">
      <c r="A277" s="121">
        <v>46046</v>
      </c>
      <c r="B277" s="112" t="s">
        <v>38</v>
      </c>
      <c r="C277" s="113" t="s">
        <v>39</v>
      </c>
      <c r="D277" s="112" t="s">
        <v>1</v>
      </c>
      <c r="E277" s="122">
        <v>1.229166666666667</v>
      </c>
      <c r="F277" s="112" t="s">
        <v>46</v>
      </c>
      <c r="G277" s="114">
        <v>12</v>
      </c>
      <c r="H277" s="115" t="s">
        <v>47</v>
      </c>
    </row>
    <row r="278" spans="1:8" ht="19.899999999999999" customHeight="1">
      <c r="A278" s="123">
        <v>46046</v>
      </c>
      <c r="B278" s="124" t="s">
        <v>38</v>
      </c>
      <c r="C278" s="125" t="s">
        <v>87</v>
      </c>
      <c r="D278" s="124" t="s">
        <v>1</v>
      </c>
      <c r="E278" s="126">
        <v>1.0625</v>
      </c>
      <c r="F278" s="124" t="s">
        <v>46</v>
      </c>
      <c r="G278" s="127">
        <v>20</v>
      </c>
      <c r="H278" s="128" t="s">
        <v>47</v>
      </c>
    </row>
    <row r="279" spans="1:8" ht="19.899999999999999" customHeight="1">
      <c r="A279" s="143"/>
      <c r="B279" s="144"/>
      <c r="C279" s="144"/>
      <c r="D279" s="144"/>
      <c r="E279" s="144"/>
      <c r="F279" s="145" t="s">
        <v>319</v>
      </c>
      <c r="G279" s="144"/>
      <c r="H279" s="146"/>
    </row>
    <row r="280" spans="1:8" ht="19.899999999999999" customHeight="1">
      <c r="A280" s="121">
        <v>46047</v>
      </c>
      <c r="B280" s="112" t="s">
        <v>38</v>
      </c>
      <c r="C280" s="113" t="s">
        <v>39</v>
      </c>
      <c r="D280" s="112" t="s">
        <v>1</v>
      </c>
      <c r="E280" s="122">
        <v>1.229166666666667</v>
      </c>
      <c r="F280" s="112" t="s">
        <v>40</v>
      </c>
      <c r="G280" s="114">
        <v>7</v>
      </c>
      <c r="H280" s="115" t="s">
        <v>131</v>
      </c>
    </row>
    <row r="281" spans="1:8" ht="19.899999999999999" customHeight="1">
      <c r="A281" s="121">
        <v>46047</v>
      </c>
      <c r="B281" s="112" t="s">
        <v>38</v>
      </c>
      <c r="C281" s="113" t="s">
        <v>39</v>
      </c>
      <c r="D281" s="112" t="s">
        <v>1</v>
      </c>
      <c r="E281" s="122">
        <v>1.229166666666667</v>
      </c>
      <c r="F281" s="112" t="s">
        <v>43</v>
      </c>
      <c r="G281" s="114">
        <v>7</v>
      </c>
      <c r="H281" s="115" t="s">
        <v>133</v>
      </c>
    </row>
    <row r="282" spans="1:8" ht="19.899999999999999" customHeight="1">
      <c r="A282" s="121">
        <v>46047</v>
      </c>
      <c r="B282" s="112" t="s">
        <v>61</v>
      </c>
      <c r="C282" s="113" t="s">
        <v>62</v>
      </c>
      <c r="D282" s="112" t="s">
        <v>1</v>
      </c>
      <c r="E282" s="122">
        <v>1.743055555555556</v>
      </c>
      <c r="F282" s="112" t="s">
        <v>63</v>
      </c>
      <c r="G282" s="114">
        <v>9</v>
      </c>
      <c r="H282" s="115" t="s">
        <v>64</v>
      </c>
    </row>
    <row r="283" spans="1:8" ht="19.899999999999999" customHeight="1">
      <c r="A283" s="121">
        <v>46047</v>
      </c>
      <c r="B283" s="112" t="s">
        <v>38</v>
      </c>
      <c r="C283" s="113" t="s">
        <v>39</v>
      </c>
      <c r="D283" s="112" t="s">
        <v>1</v>
      </c>
      <c r="E283" s="122">
        <v>1.229166666666667</v>
      </c>
      <c r="F283" s="112" t="s">
        <v>46</v>
      </c>
      <c r="G283" s="114">
        <v>7</v>
      </c>
      <c r="H283" s="115" t="s">
        <v>47</v>
      </c>
    </row>
    <row r="284" spans="1:8" ht="19.899999999999999" customHeight="1">
      <c r="A284" s="121">
        <v>46047</v>
      </c>
      <c r="B284" s="112" t="s">
        <v>68</v>
      </c>
      <c r="C284" s="113" t="s">
        <v>69</v>
      </c>
      <c r="D284" s="112" t="s">
        <v>1</v>
      </c>
      <c r="E284" s="122">
        <v>1.9409722222222221</v>
      </c>
      <c r="F284" s="112" t="s">
        <v>70</v>
      </c>
      <c r="G284" s="114">
        <v>9</v>
      </c>
      <c r="H284" s="115" t="s">
        <v>84</v>
      </c>
    </row>
    <row r="285" spans="1:8" ht="19.899999999999999" customHeight="1">
      <c r="A285" s="121">
        <v>46047</v>
      </c>
      <c r="B285" s="112" t="s">
        <v>48</v>
      </c>
      <c r="C285" s="113" t="s">
        <v>59</v>
      </c>
      <c r="D285" s="112" t="s">
        <v>1</v>
      </c>
      <c r="E285" s="122">
        <v>1.229166666666667</v>
      </c>
      <c r="F285" s="112" t="s">
        <v>53</v>
      </c>
      <c r="G285" s="114">
        <v>4</v>
      </c>
      <c r="H285" s="115" t="s">
        <v>85</v>
      </c>
    </row>
    <row r="286" spans="1:8" ht="19.899999999999999" customHeight="1">
      <c r="A286" s="121">
        <v>46047</v>
      </c>
      <c r="B286" s="112" t="s">
        <v>68</v>
      </c>
      <c r="C286" s="113" t="s">
        <v>76</v>
      </c>
      <c r="D286" s="112" t="s">
        <v>1</v>
      </c>
      <c r="E286" s="122">
        <v>1.697916666666667</v>
      </c>
      <c r="F286" s="112" t="s">
        <v>70</v>
      </c>
      <c r="G286" s="114">
        <v>9</v>
      </c>
      <c r="H286" s="115" t="s">
        <v>77</v>
      </c>
    </row>
    <row r="287" spans="1:8" ht="19.899999999999999" customHeight="1">
      <c r="A287" s="121">
        <v>46047</v>
      </c>
      <c r="B287" s="112" t="s">
        <v>26</v>
      </c>
      <c r="C287" s="113" t="s">
        <v>27</v>
      </c>
      <c r="D287" s="112" t="s">
        <v>1</v>
      </c>
      <c r="E287" s="122">
        <v>1.6076388888888891</v>
      </c>
      <c r="F287" s="112" t="s">
        <v>28</v>
      </c>
      <c r="G287" s="114">
        <v>9</v>
      </c>
      <c r="H287" s="115" t="s">
        <v>186</v>
      </c>
    </row>
    <row r="288" spans="1:8" ht="19.899999999999999" customHeight="1">
      <c r="A288" s="121">
        <v>46047</v>
      </c>
      <c r="B288" s="112" t="s">
        <v>26</v>
      </c>
      <c r="C288" s="113" t="s">
        <v>27</v>
      </c>
      <c r="D288" s="112" t="s">
        <v>1</v>
      </c>
      <c r="E288" s="122">
        <v>1.6076388888888891</v>
      </c>
      <c r="F288" s="112" t="s">
        <v>31</v>
      </c>
      <c r="G288" s="114">
        <v>9</v>
      </c>
      <c r="H288" s="115" t="s">
        <v>187</v>
      </c>
    </row>
    <row r="289" spans="1:8" ht="19.899999999999999" customHeight="1">
      <c r="A289" s="123">
        <v>46047</v>
      </c>
      <c r="B289" s="124" t="s">
        <v>68</v>
      </c>
      <c r="C289" s="125" t="s">
        <v>72</v>
      </c>
      <c r="D289" s="124" t="s">
        <v>1</v>
      </c>
      <c r="E289" s="126">
        <v>1.0659722222222221</v>
      </c>
      <c r="F289" s="124" t="s">
        <v>70</v>
      </c>
      <c r="G289" s="127">
        <v>9</v>
      </c>
      <c r="H289" s="128" t="s">
        <v>169</v>
      </c>
    </row>
    <row r="290" spans="1:8" ht="19.899999999999999" customHeight="1">
      <c r="A290" s="129">
        <v>46048</v>
      </c>
      <c r="B290" s="117" t="s">
        <v>61</v>
      </c>
      <c r="C290" s="118" t="s">
        <v>321</v>
      </c>
      <c r="D290" s="117" t="s">
        <v>320</v>
      </c>
      <c r="E290" s="130">
        <v>1.645833333333333</v>
      </c>
      <c r="F290" s="117" t="s">
        <v>63</v>
      </c>
      <c r="G290" s="119">
        <v>9</v>
      </c>
      <c r="H290" s="120" t="s">
        <v>322</v>
      </c>
    </row>
    <row r="291" spans="1:8" ht="19.899999999999999" customHeight="1">
      <c r="A291" s="143"/>
      <c r="B291" s="144"/>
      <c r="C291" s="144"/>
      <c r="D291" s="144"/>
      <c r="E291" s="144"/>
      <c r="F291" s="145" t="s">
        <v>319</v>
      </c>
      <c r="G291" s="144"/>
      <c r="H291" s="146"/>
    </row>
    <row r="292" spans="1:8" ht="19.899999999999999" customHeight="1">
      <c r="A292" s="121">
        <v>46048</v>
      </c>
      <c r="B292" s="112" t="s">
        <v>38</v>
      </c>
      <c r="C292" s="113" t="s">
        <v>39</v>
      </c>
      <c r="D292" s="112" t="s">
        <v>1</v>
      </c>
      <c r="E292" s="122">
        <v>1.229166666666667</v>
      </c>
      <c r="F292" s="112" t="s">
        <v>40</v>
      </c>
      <c r="G292" s="114">
        <v>3</v>
      </c>
      <c r="H292" s="115" t="s">
        <v>78</v>
      </c>
    </row>
    <row r="293" spans="1:8" ht="19.899999999999999" customHeight="1">
      <c r="A293" s="121">
        <v>46048</v>
      </c>
      <c r="B293" s="112" t="s">
        <v>38</v>
      </c>
      <c r="C293" s="113" t="s">
        <v>87</v>
      </c>
      <c r="D293" s="112" t="s">
        <v>1</v>
      </c>
      <c r="E293" s="122">
        <v>1.0625</v>
      </c>
      <c r="F293" s="112" t="s">
        <v>40</v>
      </c>
      <c r="G293" s="114">
        <v>20</v>
      </c>
      <c r="H293" s="115" t="s">
        <v>121</v>
      </c>
    </row>
    <row r="294" spans="1:8" ht="19.899999999999999" customHeight="1">
      <c r="A294" s="121">
        <v>46048</v>
      </c>
      <c r="B294" s="112" t="s">
        <v>26</v>
      </c>
      <c r="C294" s="113" t="s">
        <v>27</v>
      </c>
      <c r="D294" s="112" t="s">
        <v>1</v>
      </c>
      <c r="E294" s="122">
        <v>1.6076388888888891</v>
      </c>
      <c r="F294" s="112" t="s">
        <v>28</v>
      </c>
      <c r="G294" s="114">
        <v>5</v>
      </c>
      <c r="H294" s="115" t="s">
        <v>89</v>
      </c>
    </row>
    <row r="295" spans="1:8" ht="19.899999999999999" customHeight="1">
      <c r="A295" s="121">
        <v>46048</v>
      </c>
      <c r="B295" s="112" t="s">
        <v>38</v>
      </c>
      <c r="C295" s="113" t="s">
        <v>39</v>
      </c>
      <c r="D295" s="112" t="s">
        <v>1</v>
      </c>
      <c r="E295" s="122">
        <v>1.229166666666667</v>
      </c>
      <c r="F295" s="112" t="s">
        <v>43</v>
      </c>
      <c r="G295" s="114">
        <v>3</v>
      </c>
      <c r="H295" s="115" t="s">
        <v>79</v>
      </c>
    </row>
    <row r="296" spans="1:8" ht="19.899999999999999" customHeight="1">
      <c r="A296" s="121">
        <v>46048</v>
      </c>
      <c r="B296" s="112" t="s">
        <v>26</v>
      </c>
      <c r="C296" s="113" t="s">
        <v>36</v>
      </c>
      <c r="D296" s="112" t="s">
        <v>1</v>
      </c>
      <c r="E296" s="122">
        <v>1.4340277777777779</v>
      </c>
      <c r="F296" s="112" t="s">
        <v>28</v>
      </c>
      <c r="G296" s="114">
        <v>1</v>
      </c>
      <c r="H296" s="115" t="s">
        <v>159</v>
      </c>
    </row>
    <row r="297" spans="1:8" ht="19.899999999999999" customHeight="1">
      <c r="A297" s="121">
        <v>46048</v>
      </c>
      <c r="B297" s="112" t="s">
        <v>26</v>
      </c>
      <c r="C297" s="113" t="s">
        <v>27</v>
      </c>
      <c r="D297" s="112" t="s">
        <v>1</v>
      </c>
      <c r="E297" s="122">
        <v>1.6076388888888891</v>
      </c>
      <c r="F297" s="112" t="s">
        <v>31</v>
      </c>
      <c r="G297" s="114">
        <v>5</v>
      </c>
      <c r="H297" s="115" t="s">
        <v>138</v>
      </c>
    </row>
    <row r="298" spans="1:8" ht="19.899999999999999" customHeight="1">
      <c r="A298" s="121">
        <v>46048</v>
      </c>
      <c r="B298" s="112" t="s">
        <v>38</v>
      </c>
      <c r="C298" s="113" t="s">
        <v>87</v>
      </c>
      <c r="D298" s="112" t="s">
        <v>1</v>
      </c>
      <c r="E298" s="122">
        <v>1.0625</v>
      </c>
      <c r="F298" s="112" t="s">
        <v>43</v>
      </c>
      <c r="G298" s="114">
        <v>20</v>
      </c>
      <c r="H298" s="115" t="s">
        <v>123</v>
      </c>
    </row>
    <row r="299" spans="1:8" ht="19.899999999999999" customHeight="1">
      <c r="A299" s="121">
        <v>46048</v>
      </c>
      <c r="B299" s="112" t="s">
        <v>61</v>
      </c>
      <c r="C299" s="113" t="s">
        <v>111</v>
      </c>
      <c r="D299" s="112" t="s">
        <v>1</v>
      </c>
      <c r="E299" s="122">
        <v>1.868055555555556</v>
      </c>
      <c r="F299" s="112" t="s">
        <v>63</v>
      </c>
      <c r="G299" s="114">
        <v>9</v>
      </c>
      <c r="H299" s="115" t="s">
        <v>64</v>
      </c>
    </row>
    <row r="300" spans="1:8" ht="19.899999999999999" customHeight="1">
      <c r="A300" s="121">
        <v>46048</v>
      </c>
      <c r="B300" s="112" t="s">
        <v>26</v>
      </c>
      <c r="C300" s="113" t="s">
        <v>27</v>
      </c>
      <c r="D300" s="112" t="s">
        <v>1</v>
      </c>
      <c r="E300" s="122">
        <v>1.6076388888888891</v>
      </c>
      <c r="F300" s="112" t="s">
        <v>34</v>
      </c>
      <c r="G300" s="114">
        <v>5</v>
      </c>
      <c r="H300" s="115" t="s">
        <v>139</v>
      </c>
    </row>
    <row r="301" spans="1:8" ht="19.899999999999999" customHeight="1">
      <c r="A301" s="123">
        <v>46048</v>
      </c>
      <c r="B301" s="124" t="s">
        <v>26</v>
      </c>
      <c r="C301" s="125" t="s">
        <v>36</v>
      </c>
      <c r="D301" s="124" t="s">
        <v>1</v>
      </c>
      <c r="E301" s="126">
        <v>1.4340277777777779</v>
      </c>
      <c r="F301" s="124" t="s">
        <v>31</v>
      </c>
      <c r="G301" s="127">
        <v>1</v>
      </c>
      <c r="H301" s="128" t="s">
        <v>139</v>
      </c>
    </row>
    <row r="302" spans="1:8" ht="19.899999999999999" customHeight="1">
      <c r="A302" s="129">
        <v>46049</v>
      </c>
      <c r="B302" s="117" t="s">
        <v>61</v>
      </c>
      <c r="C302" s="118" t="s">
        <v>321</v>
      </c>
      <c r="D302" s="117" t="s">
        <v>320</v>
      </c>
      <c r="E302" s="130">
        <v>1.125</v>
      </c>
      <c r="F302" s="117" t="s">
        <v>63</v>
      </c>
      <c r="G302" s="119">
        <v>9</v>
      </c>
      <c r="H302" s="120" t="s">
        <v>322</v>
      </c>
    </row>
    <row r="303" spans="1:8" ht="19.899999999999999" customHeight="1">
      <c r="A303" s="143"/>
      <c r="B303" s="144"/>
      <c r="C303" s="144"/>
      <c r="D303" s="144"/>
      <c r="E303" s="144"/>
      <c r="F303" s="145" t="s">
        <v>319</v>
      </c>
      <c r="G303" s="144"/>
      <c r="H303" s="146"/>
    </row>
    <row r="304" spans="1:8" ht="19.899999999999999" customHeight="1">
      <c r="A304" s="121">
        <v>46049</v>
      </c>
      <c r="B304" s="112" t="s">
        <v>38</v>
      </c>
      <c r="C304" s="113" t="s">
        <v>39</v>
      </c>
      <c r="D304" s="112" t="s">
        <v>1</v>
      </c>
      <c r="E304" s="122">
        <v>1.229166666666667</v>
      </c>
      <c r="F304" s="112" t="s">
        <v>40</v>
      </c>
      <c r="G304" s="114">
        <v>9</v>
      </c>
      <c r="H304" s="115" t="s">
        <v>78</v>
      </c>
    </row>
    <row r="305" spans="1:8" ht="19.899999999999999" customHeight="1">
      <c r="A305" s="121">
        <v>46049</v>
      </c>
      <c r="B305" s="112" t="s">
        <v>38</v>
      </c>
      <c r="C305" s="113" t="s">
        <v>87</v>
      </c>
      <c r="D305" s="112" t="s">
        <v>1</v>
      </c>
      <c r="E305" s="122">
        <v>1.0625</v>
      </c>
      <c r="F305" s="112" t="s">
        <v>40</v>
      </c>
      <c r="G305" s="114">
        <v>20</v>
      </c>
      <c r="H305" s="115" t="s">
        <v>78</v>
      </c>
    </row>
    <row r="306" spans="1:8" ht="19.899999999999999" customHeight="1">
      <c r="A306" s="121">
        <v>46049</v>
      </c>
      <c r="B306" s="112" t="s">
        <v>38</v>
      </c>
      <c r="C306" s="113" t="s">
        <v>39</v>
      </c>
      <c r="D306" s="112" t="s">
        <v>1</v>
      </c>
      <c r="E306" s="122">
        <v>1.229166666666667</v>
      </c>
      <c r="F306" s="112" t="s">
        <v>43</v>
      </c>
      <c r="G306" s="114">
        <v>9</v>
      </c>
      <c r="H306" s="115" t="s">
        <v>79</v>
      </c>
    </row>
    <row r="307" spans="1:8" ht="19.899999999999999" customHeight="1">
      <c r="A307" s="121">
        <v>46049</v>
      </c>
      <c r="B307" s="112" t="s">
        <v>38</v>
      </c>
      <c r="C307" s="113" t="s">
        <v>87</v>
      </c>
      <c r="D307" s="112" t="s">
        <v>1</v>
      </c>
      <c r="E307" s="122">
        <v>1.0625</v>
      </c>
      <c r="F307" s="112" t="s">
        <v>43</v>
      </c>
      <c r="G307" s="114">
        <v>20</v>
      </c>
      <c r="H307" s="115" t="s">
        <v>79</v>
      </c>
    </row>
    <row r="308" spans="1:8" ht="19.899999999999999" customHeight="1">
      <c r="A308" s="121">
        <v>46049</v>
      </c>
      <c r="B308" s="112" t="s">
        <v>61</v>
      </c>
      <c r="C308" s="113" t="s">
        <v>62</v>
      </c>
      <c r="D308" s="112" t="s">
        <v>1</v>
      </c>
      <c r="E308" s="122">
        <v>1.819444444444444</v>
      </c>
      <c r="F308" s="112" t="s">
        <v>63</v>
      </c>
      <c r="G308" s="114">
        <v>9</v>
      </c>
      <c r="H308" s="115" t="s">
        <v>64</v>
      </c>
    </row>
    <row r="309" spans="1:8" ht="19.899999999999999" customHeight="1">
      <c r="A309" s="121">
        <v>46049</v>
      </c>
      <c r="B309" s="112" t="s">
        <v>38</v>
      </c>
      <c r="C309" s="113" t="s">
        <v>39</v>
      </c>
      <c r="D309" s="112" t="s">
        <v>1</v>
      </c>
      <c r="E309" s="122">
        <v>1.229166666666667</v>
      </c>
      <c r="F309" s="112" t="s">
        <v>46</v>
      </c>
      <c r="G309" s="114">
        <v>9</v>
      </c>
      <c r="H309" s="115" t="s">
        <v>47</v>
      </c>
    </row>
    <row r="310" spans="1:8" ht="19.899999999999999" customHeight="1">
      <c r="A310" s="121">
        <v>46049</v>
      </c>
      <c r="B310" s="112" t="s">
        <v>38</v>
      </c>
      <c r="C310" s="113" t="s">
        <v>87</v>
      </c>
      <c r="D310" s="112" t="s">
        <v>1</v>
      </c>
      <c r="E310" s="122">
        <v>1.0625</v>
      </c>
      <c r="F310" s="112" t="s">
        <v>46</v>
      </c>
      <c r="G310" s="114">
        <v>20</v>
      </c>
      <c r="H310" s="115" t="s">
        <v>47</v>
      </c>
    </row>
    <row r="311" spans="1:8" ht="19.899999999999999" customHeight="1">
      <c r="A311" s="121">
        <v>46049</v>
      </c>
      <c r="B311" s="112" t="s">
        <v>26</v>
      </c>
      <c r="C311" s="113" t="s">
        <v>27</v>
      </c>
      <c r="D311" s="112" t="s">
        <v>1</v>
      </c>
      <c r="E311" s="122">
        <v>1.6076388888888891</v>
      </c>
      <c r="F311" s="112" t="s">
        <v>28</v>
      </c>
      <c r="G311" s="114">
        <v>9</v>
      </c>
      <c r="H311" s="115" t="s">
        <v>189</v>
      </c>
    </row>
    <row r="312" spans="1:8" ht="19.899999999999999" customHeight="1">
      <c r="A312" s="121">
        <v>46049</v>
      </c>
      <c r="B312" s="112" t="s">
        <v>48</v>
      </c>
      <c r="C312" s="113" t="s">
        <v>59</v>
      </c>
      <c r="D312" s="112" t="s">
        <v>1</v>
      </c>
      <c r="E312" s="122">
        <v>1.229166666666667</v>
      </c>
      <c r="F312" s="112" t="s">
        <v>53</v>
      </c>
      <c r="G312" s="114">
        <v>4</v>
      </c>
      <c r="H312" s="115" t="s">
        <v>93</v>
      </c>
    </row>
    <row r="313" spans="1:8" ht="19.899999999999999" customHeight="1">
      <c r="A313" s="123">
        <v>46049</v>
      </c>
      <c r="B313" s="124" t="s">
        <v>26</v>
      </c>
      <c r="C313" s="125" t="s">
        <v>27</v>
      </c>
      <c r="D313" s="124" t="s">
        <v>1</v>
      </c>
      <c r="E313" s="126">
        <v>1.6076388888888891</v>
      </c>
      <c r="F313" s="124" t="s">
        <v>31</v>
      </c>
      <c r="G313" s="127">
        <v>9</v>
      </c>
      <c r="H313" s="128" t="s">
        <v>190</v>
      </c>
    </row>
    <row r="314" spans="1:8" ht="19.899999999999999" customHeight="1">
      <c r="A314" s="129">
        <v>46050</v>
      </c>
      <c r="B314" s="117" t="s">
        <v>61</v>
      </c>
      <c r="C314" s="118" t="s">
        <v>327</v>
      </c>
      <c r="D314" s="117" t="s">
        <v>320</v>
      </c>
      <c r="E314" s="130">
        <v>1.461805555555556</v>
      </c>
      <c r="F314" s="117" t="s">
        <v>63</v>
      </c>
      <c r="G314" s="119">
        <v>9</v>
      </c>
      <c r="H314" s="120" t="s">
        <v>322</v>
      </c>
    </row>
    <row r="315" spans="1:8" ht="19.899999999999999" customHeight="1">
      <c r="A315" s="143"/>
      <c r="B315" s="144"/>
      <c r="C315" s="144"/>
      <c r="D315" s="144"/>
      <c r="E315" s="144"/>
      <c r="F315" s="145" t="s">
        <v>319</v>
      </c>
      <c r="G315" s="144"/>
      <c r="H315" s="146"/>
    </row>
    <row r="316" spans="1:8" ht="19.899999999999999" customHeight="1">
      <c r="A316" s="121">
        <v>46050</v>
      </c>
      <c r="B316" s="112" t="s">
        <v>38</v>
      </c>
      <c r="C316" s="113" t="s">
        <v>39</v>
      </c>
      <c r="D316" s="112" t="s">
        <v>1</v>
      </c>
      <c r="E316" s="122">
        <v>1.229166666666667</v>
      </c>
      <c r="F316" s="112" t="s">
        <v>40</v>
      </c>
      <c r="G316" s="114">
        <v>16</v>
      </c>
      <c r="H316" s="115" t="s">
        <v>78</v>
      </c>
    </row>
    <row r="317" spans="1:8" ht="19.899999999999999" customHeight="1">
      <c r="A317" s="121">
        <v>46050</v>
      </c>
      <c r="B317" s="112" t="s">
        <v>26</v>
      </c>
      <c r="C317" s="113" t="s">
        <v>27</v>
      </c>
      <c r="D317" s="112" t="s">
        <v>1</v>
      </c>
      <c r="E317" s="122">
        <v>1.6076388888888891</v>
      </c>
      <c r="F317" s="112" t="s">
        <v>28</v>
      </c>
      <c r="G317" s="114">
        <v>2</v>
      </c>
      <c r="H317" s="115" t="s">
        <v>89</v>
      </c>
    </row>
    <row r="318" spans="1:8" ht="19.899999999999999" customHeight="1">
      <c r="A318" s="121">
        <v>46050</v>
      </c>
      <c r="B318" s="112" t="s">
        <v>38</v>
      </c>
      <c r="C318" s="113" t="s">
        <v>39</v>
      </c>
      <c r="D318" s="112" t="s">
        <v>1</v>
      </c>
      <c r="E318" s="122">
        <v>1.229166666666667</v>
      </c>
      <c r="F318" s="112" t="s">
        <v>43</v>
      </c>
      <c r="G318" s="114">
        <v>16</v>
      </c>
      <c r="H318" s="115" t="s">
        <v>79</v>
      </c>
    </row>
    <row r="319" spans="1:8" ht="19.899999999999999" customHeight="1">
      <c r="A319" s="121">
        <v>46050</v>
      </c>
      <c r="B319" s="112" t="s">
        <v>26</v>
      </c>
      <c r="C319" s="113" t="s">
        <v>27</v>
      </c>
      <c r="D319" s="112" t="s">
        <v>1</v>
      </c>
      <c r="E319" s="122">
        <v>1.6076388888888891</v>
      </c>
      <c r="F319" s="112" t="s">
        <v>31</v>
      </c>
      <c r="G319" s="114">
        <v>2</v>
      </c>
      <c r="H319" s="115" t="s">
        <v>138</v>
      </c>
    </row>
    <row r="320" spans="1:8" ht="19.899999999999999" customHeight="1">
      <c r="A320" s="121">
        <v>46050</v>
      </c>
      <c r="B320" s="112" t="s">
        <v>26</v>
      </c>
      <c r="C320" s="113" t="s">
        <v>27</v>
      </c>
      <c r="D320" s="112" t="s">
        <v>1</v>
      </c>
      <c r="E320" s="122">
        <v>1.6076388888888891</v>
      </c>
      <c r="F320" s="112" t="s">
        <v>34</v>
      </c>
      <c r="G320" s="114">
        <v>2</v>
      </c>
      <c r="H320" s="115" t="s">
        <v>139</v>
      </c>
    </row>
    <row r="321" spans="1:8" ht="19.899999999999999" customHeight="1">
      <c r="A321" s="121">
        <v>46050</v>
      </c>
      <c r="B321" s="112" t="s">
        <v>38</v>
      </c>
      <c r="C321" s="113" t="s">
        <v>39</v>
      </c>
      <c r="D321" s="112" t="s">
        <v>1</v>
      </c>
      <c r="E321" s="122">
        <v>1.229166666666667</v>
      </c>
      <c r="F321" s="112" t="s">
        <v>46</v>
      </c>
      <c r="G321" s="114">
        <v>16</v>
      </c>
      <c r="H321" s="115" t="s">
        <v>47</v>
      </c>
    </row>
    <row r="322" spans="1:8" ht="19.899999999999999" customHeight="1">
      <c r="A322" s="121">
        <v>46050</v>
      </c>
      <c r="B322" s="112" t="s">
        <v>48</v>
      </c>
      <c r="C322" s="113" t="s">
        <v>59</v>
      </c>
      <c r="D322" s="112" t="s">
        <v>1</v>
      </c>
      <c r="E322" s="122">
        <v>1.229166666666667</v>
      </c>
      <c r="F322" s="112" t="s">
        <v>53</v>
      </c>
      <c r="G322" s="114">
        <v>4</v>
      </c>
      <c r="H322" s="115" t="s">
        <v>93</v>
      </c>
    </row>
    <row r="323" spans="1:8" ht="19.899999999999999" customHeight="1">
      <c r="A323" s="121">
        <v>46050</v>
      </c>
      <c r="B323" s="112" t="s">
        <v>68</v>
      </c>
      <c r="C323" s="113" t="s">
        <v>74</v>
      </c>
      <c r="D323" s="112" t="s">
        <v>1</v>
      </c>
      <c r="E323" s="122">
        <v>1.336805555555556</v>
      </c>
      <c r="F323" s="112" t="s">
        <v>70</v>
      </c>
      <c r="G323" s="114">
        <v>9</v>
      </c>
      <c r="H323" s="115" t="s">
        <v>169</v>
      </c>
    </row>
    <row r="324" spans="1:8" ht="19.899999999999999" customHeight="1">
      <c r="A324" s="121">
        <v>46050</v>
      </c>
      <c r="B324" s="112" t="s">
        <v>68</v>
      </c>
      <c r="C324" s="113" t="s">
        <v>76</v>
      </c>
      <c r="D324" s="112" t="s">
        <v>1</v>
      </c>
      <c r="E324" s="122">
        <v>1.697916666666667</v>
      </c>
      <c r="F324" s="112" t="s">
        <v>70</v>
      </c>
      <c r="G324" s="114">
        <v>9</v>
      </c>
      <c r="H324" s="115" t="s">
        <v>169</v>
      </c>
    </row>
    <row r="325" spans="1:8" ht="19.899999999999999" customHeight="1">
      <c r="A325" s="123">
        <v>46050</v>
      </c>
      <c r="B325" s="124" t="s">
        <v>68</v>
      </c>
      <c r="C325" s="125" t="s">
        <v>73</v>
      </c>
      <c r="D325" s="124" t="s">
        <v>1</v>
      </c>
      <c r="E325" s="126">
        <v>1.288194444444444</v>
      </c>
      <c r="F325" s="124" t="s">
        <v>70</v>
      </c>
      <c r="G325" s="127">
        <v>9</v>
      </c>
      <c r="H325" s="128" t="s">
        <v>169</v>
      </c>
    </row>
    <row r="326" spans="1:8" ht="19.899999999999999" customHeight="1">
      <c r="A326" s="143"/>
      <c r="B326" s="144"/>
      <c r="C326" s="144"/>
      <c r="D326" s="144"/>
      <c r="E326" s="144"/>
      <c r="F326" s="145" t="s">
        <v>319</v>
      </c>
      <c r="G326" s="144"/>
      <c r="H326" s="146"/>
    </row>
    <row r="327" spans="1:8" ht="19.899999999999999" customHeight="1">
      <c r="A327" s="121">
        <v>46051</v>
      </c>
      <c r="B327" s="112" t="s">
        <v>38</v>
      </c>
      <c r="C327" s="113" t="s">
        <v>39</v>
      </c>
      <c r="D327" s="112" t="s">
        <v>1</v>
      </c>
      <c r="E327" s="122">
        <v>1.229166666666667</v>
      </c>
      <c r="F327" s="112" t="s">
        <v>40</v>
      </c>
      <c r="G327" s="114">
        <v>7</v>
      </c>
      <c r="H327" s="115" t="s">
        <v>78</v>
      </c>
    </row>
    <row r="328" spans="1:8" ht="19.899999999999999" customHeight="1">
      <c r="A328" s="121">
        <v>46051</v>
      </c>
      <c r="B328" s="112" t="s">
        <v>38</v>
      </c>
      <c r="C328" s="113" t="s">
        <v>87</v>
      </c>
      <c r="D328" s="112" t="s">
        <v>1</v>
      </c>
      <c r="E328" s="122">
        <v>1.0625</v>
      </c>
      <c r="F328" s="112" t="s">
        <v>40</v>
      </c>
      <c r="G328" s="114">
        <v>17</v>
      </c>
      <c r="H328" s="115" t="s">
        <v>78</v>
      </c>
    </row>
    <row r="329" spans="1:8" ht="19.899999999999999" customHeight="1">
      <c r="A329" s="121">
        <v>46051</v>
      </c>
      <c r="B329" s="112" t="s">
        <v>26</v>
      </c>
      <c r="C329" s="113" t="s">
        <v>27</v>
      </c>
      <c r="D329" s="112" t="s">
        <v>1</v>
      </c>
      <c r="E329" s="122">
        <v>1.6076388888888891</v>
      </c>
      <c r="F329" s="112" t="s">
        <v>28</v>
      </c>
      <c r="G329" s="114">
        <v>5</v>
      </c>
      <c r="H329" s="115" t="s">
        <v>89</v>
      </c>
    </row>
    <row r="330" spans="1:8" ht="19.899999999999999" customHeight="1">
      <c r="A330" s="121">
        <v>46051</v>
      </c>
      <c r="B330" s="112" t="s">
        <v>38</v>
      </c>
      <c r="C330" s="113" t="s">
        <v>39</v>
      </c>
      <c r="D330" s="112" t="s">
        <v>1</v>
      </c>
      <c r="E330" s="122">
        <v>1.229166666666667</v>
      </c>
      <c r="F330" s="112" t="s">
        <v>43</v>
      </c>
      <c r="G330" s="114">
        <v>7</v>
      </c>
      <c r="H330" s="115" t="s">
        <v>79</v>
      </c>
    </row>
    <row r="331" spans="1:8" ht="19.899999999999999" customHeight="1">
      <c r="A331" s="121">
        <v>46051</v>
      </c>
      <c r="B331" s="112" t="s">
        <v>38</v>
      </c>
      <c r="C331" s="113" t="s">
        <v>87</v>
      </c>
      <c r="D331" s="112" t="s">
        <v>1</v>
      </c>
      <c r="E331" s="122">
        <v>1.0625</v>
      </c>
      <c r="F331" s="112" t="s">
        <v>43</v>
      </c>
      <c r="G331" s="114">
        <v>17</v>
      </c>
      <c r="H331" s="115" t="s">
        <v>79</v>
      </c>
    </row>
    <row r="332" spans="1:8" ht="19.899999999999999" customHeight="1">
      <c r="A332" s="121">
        <v>46051</v>
      </c>
      <c r="B332" s="112" t="s">
        <v>26</v>
      </c>
      <c r="C332" s="113" t="s">
        <v>27</v>
      </c>
      <c r="D332" s="112" t="s">
        <v>1</v>
      </c>
      <c r="E332" s="122">
        <v>1.6076388888888891</v>
      </c>
      <c r="F332" s="112" t="s">
        <v>31</v>
      </c>
      <c r="G332" s="114">
        <v>5</v>
      </c>
      <c r="H332" s="115" t="s">
        <v>138</v>
      </c>
    </row>
    <row r="333" spans="1:8" ht="19.899999999999999" customHeight="1">
      <c r="A333" s="121">
        <v>46051</v>
      </c>
      <c r="B333" s="112" t="s">
        <v>26</v>
      </c>
      <c r="C333" s="113" t="s">
        <v>36</v>
      </c>
      <c r="D333" s="112" t="s">
        <v>1</v>
      </c>
      <c r="E333" s="122">
        <v>1.4340277777777779</v>
      </c>
      <c r="F333" s="112" t="s">
        <v>28</v>
      </c>
      <c r="G333" s="114">
        <v>4</v>
      </c>
      <c r="H333" s="115" t="s">
        <v>162</v>
      </c>
    </row>
    <row r="334" spans="1:8" ht="19.899999999999999" customHeight="1">
      <c r="A334" s="121">
        <v>46051</v>
      </c>
      <c r="B334" s="112" t="s">
        <v>61</v>
      </c>
      <c r="C334" s="113" t="s">
        <v>62</v>
      </c>
      <c r="D334" s="112" t="s">
        <v>1</v>
      </c>
      <c r="E334" s="122">
        <v>1.381944444444444</v>
      </c>
      <c r="F334" s="112" t="s">
        <v>63</v>
      </c>
      <c r="G334" s="114">
        <v>9</v>
      </c>
      <c r="H334" s="115" t="s">
        <v>64</v>
      </c>
    </row>
    <row r="335" spans="1:8" ht="19.899999999999999" customHeight="1">
      <c r="A335" s="121">
        <v>46051</v>
      </c>
      <c r="B335" s="112" t="s">
        <v>26</v>
      </c>
      <c r="C335" s="113" t="s">
        <v>27</v>
      </c>
      <c r="D335" s="112" t="s">
        <v>1</v>
      </c>
      <c r="E335" s="122">
        <v>1.6076388888888891</v>
      </c>
      <c r="F335" s="112" t="s">
        <v>34</v>
      </c>
      <c r="G335" s="114">
        <v>5</v>
      </c>
      <c r="H335" s="115" t="s">
        <v>139</v>
      </c>
    </row>
    <row r="336" spans="1:8" ht="19.899999999999999" customHeight="1">
      <c r="A336" s="123">
        <v>46051</v>
      </c>
      <c r="B336" s="124" t="s">
        <v>26</v>
      </c>
      <c r="C336" s="125" t="s">
        <v>36</v>
      </c>
      <c r="D336" s="124" t="s">
        <v>1</v>
      </c>
      <c r="E336" s="126">
        <v>1.4340277777777779</v>
      </c>
      <c r="F336" s="124" t="s">
        <v>31</v>
      </c>
      <c r="G336" s="127">
        <v>4</v>
      </c>
      <c r="H336" s="128" t="s">
        <v>178</v>
      </c>
    </row>
    <row r="337" spans="1:8" ht="19.899999999999999" customHeight="1">
      <c r="A337" s="143"/>
      <c r="B337" s="144"/>
      <c r="C337" s="144"/>
      <c r="D337" s="144"/>
      <c r="E337" s="144"/>
      <c r="F337" s="145" t="s">
        <v>319</v>
      </c>
      <c r="G337" s="144"/>
      <c r="H337" s="146"/>
    </row>
    <row r="338" spans="1:8" ht="19.899999999999999" customHeight="1">
      <c r="A338" s="121">
        <v>46052</v>
      </c>
      <c r="B338" s="112" t="s">
        <v>38</v>
      </c>
      <c r="C338" s="113" t="s">
        <v>39</v>
      </c>
      <c r="D338" s="112" t="s">
        <v>1</v>
      </c>
      <c r="E338" s="122">
        <v>1.229166666666667</v>
      </c>
      <c r="F338" s="112" t="s">
        <v>40</v>
      </c>
      <c r="G338" s="114">
        <v>28</v>
      </c>
      <c r="H338" s="115" t="s">
        <v>121</v>
      </c>
    </row>
    <row r="339" spans="1:8" ht="19.899999999999999" customHeight="1">
      <c r="A339" s="121">
        <v>46052</v>
      </c>
      <c r="B339" s="112" t="s">
        <v>26</v>
      </c>
      <c r="C339" s="113" t="s">
        <v>27</v>
      </c>
      <c r="D339" s="112" t="s">
        <v>1</v>
      </c>
      <c r="E339" s="122">
        <v>1.6076388888888891</v>
      </c>
      <c r="F339" s="112" t="s">
        <v>28</v>
      </c>
      <c r="G339" s="114">
        <v>5</v>
      </c>
      <c r="H339" s="115" t="s">
        <v>161</v>
      </c>
    </row>
    <row r="340" spans="1:8" ht="19.899999999999999" customHeight="1">
      <c r="A340" s="121">
        <v>46052</v>
      </c>
      <c r="B340" s="112" t="s">
        <v>38</v>
      </c>
      <c r="C340" s="113" t="s">
        <v>39</v>
      </c>
      <c r="D340" s="112" t="s">
        <v>1</v>
      </c>
      <c r="E340" s="122">
        <v>1.229166666666667</v>
      </c>
      <c r="F340" s="112" t="s">
        <v>43</v>
      </c>
      <c r="G340" s="114">
        <v>28</v>
      </c>
      <c r="H340" s="115" t="s">
        <v>123</v>
      </c>
    </row>
    <row r="341" spans="1:8" ht="19.899999999999999" customHeight="1">
      <c r="A341" s="121">
        <v>46052</v>
      </c>
      <c r="B341" s="112" t="s">
        <v>26</v>
      </c>
      <c r="C341" s="113" t="s">
        <v>27</v>
      </c>
      <c r="D341" s="112" t="s">
        <v>1</v>
      </c>
      <c r="E341" s="122">
        <v>1.6076388888888891</v>
      </c>
      <c r="F341" s="112" t="s">
        <v>31</v>
      </c>
      <c r="G341" s="114">
        <v>5</v>
      </c>
      <c r="H341" s="115" t="s">
        <v>162</v>
      </c>
    </row>
    <row r="342" spans="1:8" ht="19.899999999999999" customHeight="1">
      <c r="A342" s="121">
        <v>46052</v>
      </c>
      <c r="B342" s="112" t="s">
        <v>26</v>
      </c>
      <c r="C342" s="113" t="s">
        <v>27</v>
      </c>
      <c r="D342" s="112" t="s">
        <v>1</v>
      </c>
      <c r="E342" s="122">
        <v>1.6076388888888891</v>
      </c>
      <c r="F342" s="112" t="s">
        <v>34</v>
      </c>
      <c r="G342" s="114">
        <v>5</v>
      </c>
      <c r="H342" s="115" t="s">
        <v>163</v>
      </c>
    </row>
    <row r="343" spans="1:8" ht="19.899999999999999" customHeight="1">
      <c r="A343" s="121">
        <v>46052</v>
      </c>
      <c r="B343" s="112" t="s">
        <v>68</v>
      </c>
      <c r="C343" s="113" t="s">
        <v>74</v>
      </c>
      <c r="D343" s="112" t="s">
        <v>1</v>
      </c>
      <c r="E343" s="122">
        <v>1.336805555555556</v>
      </c>
      <c r="F343" s="112" t="s">
        <v>70</v>
      </c>
      <c r="G343" s="114">
        <v>9</v>
      </c>
      <c r="H343" s="115" t="s">
        <v>71</v>
      </c>
    </row>
    <row r="344" spans="1:8" ht="19.899999999999999" customHeight="1">
      <c r="A344" s="121">
        <v>46052</v>
      </c>
      <c r="B344" s="112" t="s">
        <v>68</v>
      </c>
      <c r="C344" s="113" t="s">
        <v>69</v>
      </c>
      <c r="D344" s="112" t="s">
        <v>1</v>
      </c>
      <c r="E344" s="122">
        <v>1.9409722222222221</v>
      </c>
      <c r="F344" s="112" t="s">
        <v>70</v>
      </c>
      <c r="G344" s="114">
        <v>9</v>
      </c>
      <c r="H344" s="115" t="s">
        <v>71</v>
      </c>
    </row>
    <row r="345" spans="1:8" ht="19.899999999999999" customHeight="1">
      <c r="A345" s="121">
        <v>46052</v>
      </c>
      <c r="B345" s="112" t="s">
        <v>38</v>
      </c>
      <c r="C345" s="113" t="s">
        <v>39</v>
      </c>
      <c r="D345" s="112" t="s">
        <v>1</v>
      </c>
      <c r="E345" s="122">
        <v>1.229166666666667</v>
      </c>
      <c r="F345" s="112" t="s">
        <v>46</v>
      </c>
      <c r="G345" s="114">
        <v>28</v>
      </c>
      <c r="H345" s="115" t="s">
        <v>47</v>
      </c>
    </row>
    <row r="346" spans="1:8" ht="19.899999999999999" customHeight="1">
      <c r="A346" s="121">
        <v>46052</v>
      </c>
      <c r="B346" s="112" t="s">
        <v>68</v>
      </c>
      <c r="C346" s="113" t="s">
        <v>76</v>
      </c>
      <c r="D346" s="112" t="s">
        <v>1</v>
      </c>
      <c r="E346" s="122">
        <v>1.697916666666667</v>
      </c>
      <c r="F346" s="112" t="s">
        <v>70</v>
      </c>
      <c r="G346" s="114">
        <v>9</v>
      </c>
      <c r="H346" s="115" t="s">
        <v>185</v>
      </c>
    </row>
    <row r="347" spans="1:8" ht="19.899999999999999" customHeight="1">
      <c r="A347" s="123">
        <v>46052</v>
      </c>
      <c r="B347" s="124" t="s">
        <v>68</v>
      </c>
      <c r="C347" s="125" t="s">
        <v>73</v>
      </c>
      <c r="D347" s="124" t="s">
        <v>1</v>
      </c>
      <c r="E347" s="126">
        <v>1.288194444444444</v>
      </c>
      <c r="F347" s="124" t="s">
        <v>70</v>
      </c>
      <c r="G347" s="127">
        <v>9</v>
      </c>
      <c r="H347" s="128" t="s">
        <v>185</v>
      </c>
    </row>
    <row r="348" spans="1:8" ht="19.899999999999999" customHeight="1">
      <c r="A348" s="129">
        <v>46053</v>
      </c>
      <c r="B348" s="117" t="s">
        <v>61</v>
      </c>
      <c r="C348" s="118" t="s">
        <v>321</v>
      </c>
      <c r="D348" s="117" t="s">
        <v>320</v>
      </c>
      <c r="E348" s="130">
        <v>1.802083333333333</v>
      </c>
      <c r="F348" s="117" t="s">
        <v>63</v>
      </c>
      <c r="G348" s="119">
        <v>8</v>
      </c>
      <c r="H348" s="120" t="s">
        <v>322</v>
      </c>
    </row>
    <row r="349" spans="1:8" ht="19.899999999999999" customHeight="1">
      <c r="A349" s="143"/>
      <c r="B349" s="144"/>
      <c r="C349" s="144"/>
      <c r="D349" s="144"/>
      <c r="E349" s="144"/>
      <c r="F349" s="145" t="s">
        <v>319</v>
      </c>
      <c r="G349" s="144"/>
      <c r="H349" s="146"/>
    </row>
    <row r="350" spans="1:8" ht="19.899999999999999" customHeight="1">
      <c r="A350" s="121">
        <v>46053</v>
      </c>
      <c r="B350" s="112" t="s">
        <v>38</v>
      </c>
      <c r="C350" s="113" t="s">
        <v>39</v>
      </c>
      <c r="D350" s="112" t="s">
        <v>1</v>
      </c>
      <c r="E350" s="122">
        <v>1.229166666666667</v>
      </c>
      <c r="F350" s="112" t="s">
        <v>40</v>
      </c>
      <c r="G350" s="114">
        <v>21</v>
      </c>
      <c r="H350" s="115" t="s">
        <v>78</v>
      </c>
    </row>
    <row r="351" spans="1:8" ht="19.899999999999999" customHeight="1">
      <c r="A351" s="121">
        <v>46053</v>
      </c>
      <c r="B351" s="112" t="s">
        <v>38</v>
      </c>
      <c r="C351" s="113" t="s">
        <v>87</v>
      </c>
      <c r="D351" s="112" t="s">
        <v>1</v>
      </c>
      <c r="E351" s="122">
        <v>1.0625</v>
      </c>
      <c r="F351" s="112" t="s">
        <v>40</v>
      </c>
      <c r="G351" s="114">
        <v>20</v>
      </c>
      <c r="H351" s="115" t="s">
        <v>78</v>
      </c>
    </row>
    <row r="352" spans="1:8" ht="19.899999999999999" customHeight="1">
      <c r="A352" s="121">
        <v>46053</v>
      </c>
      <c r="B352" s="112" t="s">
        <v>26</v>
      </c>
      <c r="C352" s="113" t="s">
        <v>27</v>
      </c>
      <c r="D352" s="112" t="s">
        <v>1</v>
      </c>
      <c r="E352" s="122">
        <v>1.6076388888888891</v>
      </c>
      <c r="F352" s="112" t="s">
        <v>28</v>
      </c>
      <c r="G352" s="114">
        <v>4</v>
      </c>
      <c r="H352" s="115" t="s">
        <v>89</v>
      </c>
    </row>
    <row r="353" spans="1:8" ht="19.899999999999999" customHeight="1">
      <c r="A353" s="121">
        <v>46053</v>
      </c>
      <c r="B353" s="112" t="s">
        <v>26</v>
      </c>
      <c r="C353" s="113" t="s">
        <v>36</v>
      </c>
      <c r="D353" s="112" t="s">
        <v>1</v>
      </c>
      <c r="E353" s="122">
        <v>1.4340277777777779</v>
      </c>
      <c r="F353" s="112" t="s">
        <v>28</v>
      </c>
      <c r="G353" s="114">
        <v>3</v>
      </c>
      <c r="H353" s="115" t="s">
        <v>89</v>
      </c>
    </row>
    <row r="354" spans="1:8" ht="19.899999999999999" customHeight="1">
      <c r="A354" s="121">
        <v>46053</v>
      </c>
      <c r="B354" s="112" t="s">
        <v>38</v>
      </c>
      <c r="C354" s="113" t="s">
        <v>39</v>
      </c>
      <c r="D354" s="112" t="s">
        <v>1</v>
      </c>
      <c r="E354" s="122">
        <v>1.229166666666667</v>
      </c>
      <c r="F354" s="112" t="s">
        <v>43</v>
      </c>
      <c r="G354" s="114">
        <v>21</v>
      </c>
      <c r="H354" s="115" t="s">
        <v>79</v>
      </c>
    </row>
    <row r="355" spans="1:8" ht="19.899999999999999" customHeight="1">
      <c r="A355" s="121">
        <v>46053</v>
      </c>
      <c r="B355" s="112" t="s">
        <v>38</v>
      </c>
      <c r="C355" s="113" t="s">
        <v>87</v>
      </c>
      <c r="D355" s="112" t="s">
        <v>1</v>
      </c>
      <c r="E355" s="122">
        <v>1.0625</v>
      </c>
      <c r="F355" s="112" t="s">
        <v>43</v>
      </c>
      <c r="G355" s="114">
        <v>20</v>
      </c>
      <c r="H355" s="115" t="s">
        <v>79</v>
      </c>
    </row>
    <row r="356" spans="1:8" ht="19.899999999999999" customHeight="1">
      <c r="A356" s="121">
        <v>46053</v>
      </c>
      <c r="B356" s="112" t="s">
        <v>26</v>
      </c>
      <c r="C356" s="113" t="s">
        <v>27</v>
      </c>
      <c r="D356" s="112" t="s">
        <v>1</v>
      </c>
      <c r="E356" s="122">
        <v>1.6076388888888891</v>
      </c>
      <c r="F356" s="112" t="s">
        <v>31</v>
      </c>
      <c r="G356" s="114">
        <v>4</v>
      </c>
      <c r="H356" s="115" t="s">
        <v>138</v>
      </c>
    </row>
    <row r="357" spans="1:8" ht="19.899999999999999" customHeight="1">
      <c r="A357" s="121">
        <v>46053</v>
      </c>
      <c r="B357" s="112" t="s">
        <v>26</v>
      </c>
      <c r="C357" s="113" t="s">
        <v>36</v>
      </c>
      <c r="D357" s="112" t="s">
        <v>1</v>
      </c>
      <c r="E357" s="122">
        <v>1.4340277777777779</v>
      </c>
      <c r="F357" s="112" t="s">
        <v>31</v>
      </c>
      <c r="G357" s="114">
        <v>3</v>
      </c>
      <c r="H357" s="115" t="s">
        <v>138</v>
      </c>
    </row>
    <row r="358" spans="1:8" ht="19.899999999999999" customHeight="1">
      <c r="A358" s="121">
        <v>46053</v>
      </c>
      <c r="B358" s="112" t="s">
        <v>61</v>
      </c>
      <c r="C358" s="113" t="s">
        <v>62</v>
      </c>
      <c r="D358" s="112" t="s">
        <v>1</v>
      </c>
      <c r="E358" s="122">
        <v>1.2361111111111109</v>
      </c>
      <c r="F358" s="112" t="s">
        <v>63</v>
      </c>
      <c r="G358" s="114">
        <v>9</v>
      </c>
      <c r="H358" s="115" t="s">
        <v>64</v>
      </c>
    </row>
    <row r="359" spans="1:8" ht="19.899999999999999" customHeight="1">
      <c r="A359" s="123">
        <v>46053</v>
      </c>
      <c r="B359" s="124" t="s">
        <v>26</v>
      </c>
      <c r="C359" s="125" t="s">
        <v>27</v>
      </c>
      <c r="D359" s="124" t="s">
        <v>1</v>
      </c>
      <c r="E359" s="126">
        <v>1.6076388888888891</v>
      </c>
      <c r="F359" s="124" t="s">
        <v>34</v>
      </c>
      <c r="G359" s="127">
        <v>4</v>
      </c>
      <c r="H359" s="128" t="s">
        <v>139</v>
      </c>
    </row>
  </sheetData>
  <pageMargins left="0.75" right="0.75" top="1" bottom="1" header="0.5" footer="0.5"/>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2276"/>
  <sheetViews>
    <sheetView workbookViewId="0"/>
  </sheetViews>
  <sheetFormatPr defaultRowHeight="14.45"/>
  <cols>
    <col min="1" max="1" width="17.28515625" bestFit="1" customWidth="1"/>
    <col min="2" max="2" width="15.7109375" bestFit="1" customWidth="1"/>
    <col min="3" max="3" width="14.7109375" bestFit="1" customWidth="1"/>
    <col min="4" max="4" width="33" bestFit="1" customWidth="1"/>
    <col min="5" max="5" width="18.5703125" bestFit="1" customWidth="1"/>
    <col min="6" max="6" width="23.42578125" bestFit="1" customWidth="1"/>
    <col min="7" max="7" width="45.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30" bestFit="1" customWidth="1"/>
  </cols>
  <sheetData>
    <row r="1" spans="1:92" ht="28.9" customHeight="1">
      <c r="A1" s="291" t="s">
        <v>0</v>
      </c>
      <c r="B1" s="294"/>
      <c r="C1" s="294"/>
      <c r="D1" s="294"/>
      <c r="E1" s="294"/>
      <c r="F1" s="1" t="s">
        <v>341</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45980.609282140053</v>
      </c>
      <c r="H2" s="294"/>
      <c r="I2" s="294"/>
      <c r="J2" s="294"/>
      <c r="K2" s="287">
        <v>45980.609282140424</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46023</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38</v>
      </c>
      <c r="B6" s="8" t="s">
        <v>342</v>
      </c>
      <c r="C6" s="9">
        <v>0.48958333333333331</v>
      </c>
      <c r="D6" s="8" t="s">
        <v>40</v>
      </c>
      <c r="E6" s="8" t="s">
        <v>154</v>
      </c>
      <c r="F6" s="8" t="s">
        <v>343</v>
      </c>
      <c r="G6" s="297"/>
      <c r="H6" s="10"/>
      <c r="I6" s="11"/>
      <c r="J6" s="11"/>
      <c r="K6" s="11"/>
      <c r="L6" s="11"/>
      <c r="M6" s="11"/>
      <c r="N6" s="11"/>
      <c r="O6" s="12"/>
      <c r="P6" s="11"/>
      <c r="Q6" s="13"/>
      <c r="R6" s="14"/>
    </row>
    <row r="7" spans="1:92" ht="15" customHeight="1">
      <c r="A7" s="15" t="s">
        <v>38</v>
      </c>
      <c r="B7" s="15" t="s">
        <v>342</v>
      </c>
      <c r="C7" s="16">
        <v>0.48958333333333331</v>
      </c>
      <c r="D7" s="15" t="s">
        <v>43</v>
      </c>
      <c r="E7" s="15" t="s">
        <v>155</v>
      </c>
      <c r="F7" s="15" t="s">
        <v>33</v>
      </c>
      <c r="G7" s="298"/>
      <c r="H7" s="10"/>
      <c r="I7" s="11"/>
      <c r="J7" s="11"/>
      <c r="K7" s="11"/>
      <c r="L7" s="11"/>
      <c r="M7" s="11"/>
      <c r="N7" s="11"/>
      <c r="O7" s="12"/>
      <c r="P7" s="11"/>
      <c r="Q7" s="13"/>
      <c r="R7" s="14"/>
    </row>
    <row r="8" spans="1:92" ht="15" customHeight="1">
      <c r="A8" s="15" t="s">
        <v>38</v>
      </c>
      <c r="B8" s="15" t="s">
        <v>342</v>
      </c>
      <c r="C8" s="16">
        <v>0.48958333333333331</v>
      </c>
      <c r="D8" s="15" t="s">
        <v>46</v>
      </c>
      <c r="E8" s="15" t="s">
        <v>155</v>
      </c>
      <c r="F8" s="15" t="s">
        <v>47</v>
      </c>
      <c r="G8" s="298"/>
      <c r="H8" s="10"/>
      <c r="I8" s="11"/>
      <c r="J8" s="11"/>
      <c r="K8" s="11"/>
      <c r="L8" s="11"/>
      <c r="M8" s="11"/>
      <c r="N8" s="11"/>
      <c r="O8" s="12"/>
      <c r="P8" s="11"/>
      <c r="Q8" s="13"/>
      <c r="R8" s="14"/>
    </row>
    <row r="9" spans="1:92" ht="15" customHeight="1">
      <c r="A9" s="17" t="s">
        <v>38</v>
      </c>
      <c r="B9" s="17" t="s">
        <v>344</v>
      </c>
      <c r="C9" s="18">
        <v>0.88888888888888884</v>
      </c>
      <c r="D9" s="17" t="s">
        <v>40</v>
      </c>
      <c r="E9" s="17" t="s">
        <v>170</v>
      </c>
      <c r="F9" s="17" t="s">
        <v>343</v>
      </c>
      <c r="G9" s="298"/>
      <c r="H9" s="10"/>
      <c r="I9" s="11"/>
      <c r="J9" s="11"/>
      <c r="K9" s="11"/>
      <c r="L9" s="11"/>
      <c r="M9" s="11"/>
      <c r="N9" s="11"/>
      <c r="O9" s="12"/>
      <c r="P9" s="11"/>
      <c r="Q9" s="13"/>
      <c r="R9" s="14"/>
    </row>
    <row r="10" spans="1:92" ht="15" customHeight="1">
      <c r="A10" s="15" t="s">
        <v>38</v>
      </c>
      <c r="B10" s="15" t="s">
        <v>344</v>
      </c>
      <c r="C10" s="16">
        <v>0.88888888888888884</v>
      </c>
      <c r="D10" s="15" t="s">
        <v>43</v>
      </c>
      <c r="E10" s="15" t="s">
        <v>152</v>
      </c>
      <c r="F10" s="15" t="s">
        <v>33</v>
      </c>
      <c r="G10" s="298"/>
      <c r="H10" s="10"/>
      <c r="I10" s="11"/>
      <c r="J10" s="11"/>
      <c r="K10" s="11"/>
      <c r="L10" s="11"/>
      <c r="M10" s="11"/>
      <c r="N10" s="11"/>
      <c r="O10" s="12"/>
      <c r="P10" s="11"/>
      <c r="Q10" s="13"/>
      <c r="R10" s="14"/>
    </row>
    <row r="11" spans="1:92" ht="15" customHeight="1">
      <c r="A11" s="15" t="s">
        <v>38</v>
      </c>
      <c r="B11" s="15" t="s">
        <v>344</v>
      </c>
      <c r="C11" s="16">
        <v>0.88888888888888884</v>
      </c>
      <c r="D11" s="15" t="s">
        <v>46</v>
      </c>
      <c r="E11" s="15" t="s">
        <v>152</v>
      </c>
      <c r="F11" s="15" t="s">
        <v>47</v>
      </c>
      <c r="G11" s="298"/>
      <c r="H11" s="10"/>
      <c r="I11" s="11"/>
      <c r="J11" s="11"/>
      <c r="K11" s="11"/>
      <c r="L11" s="11"/>
      <c r="M11" s="11"/>
      <c r="N11" s="11"/>
      <c r="O11" s="12"/>
      <c r="P11" s="11"/>
      <c r="Q11" s="13"/>
      <c r="R11" s="14"/>
    </row>
    <row r="12" spans="1:92" ht="15" customHeight="1">
      <c r="A12" s="17" t="s">
        <v>38</v>
      </c>
      <c r="B12" s="17" t="s">
        <v>345</v>
      </c>
      <c r="C12" s="18">
        <v>0.98958333333333337</v>
      </c>
      <c r="D12" s="17" t="s">
        <v>40</v>
      </c>
      <c r="E12" s="17" t="s">
        <v>125</v>
      </c>
      <c r="F12" s="17" t="s">
        <v>343</v>
      </c>
      <c r="G12" s="298"/>
      <c r="H12" s="10"/>
      <c r="I12" s="11"/>
      <c r="J12" s="11"/>
      <c r="K12" s="11"/>
      <c r="L12" s="11"/>
      <c r="M12" s="11"/>
      <c r="N12" s="11"/>
      <c r="O12" s="12"/>
      <c r="P12" s="11"/>
      <c r="Q12" s="13"/>
      <c r="R12" s="14"/>
    </row>
    <row r="13" spans="1:92" ht="15" customHeight="1">
      <c r="A13" s="15" t="s">
        <v>38</v>
      </c>
      <c r="B13" s="15" t="s">
        <v>345</v>
      </c>
      <c r="C13" s="16">
        <v>0.98958333333333337</v>
      </c>
      <c r="D13" s="15" t="s">
        <v>43</v>
      </c>
      <c r="E13" s="15" t="s">
        <v>44</v>
      </c>
      <c r="F13" s="15" t="s">
        <v>33</v>
      </c>
      <c r="G13" s="298"/>
      <c r="H13" s="10"/>
      <c r="I13" s="11"/>
      <c r="J13" s="11"/>
      <c r="K13" s="11"/>
      <c r="L13" s="11"/>
      <c r="M13" s="11"/>
      <c r="N13" s="11"/>
      <c r="O13" s="12"/>
      <c r="P13" s="11"/>
      <c r="Q13" s="13"/>
      <c r="R13" s="14"/>
    </row>
    <row r="14" spans="1:92" ht="15" customHeight="1">
      <c r="A14" s="15" t="s">
        <v>38</v>
      </c>
      <c r="B14" s="15" t="s">
        <v>345</v>
      </c>
      <c r="C14" s="16">
        <v>0.98958333333333337</v>
      </c>
      <c r="D14" s="15" t="s">
        <v>46</v>
      </c>
      <c r="E14" s="15" t="s">
        <v>44</v>
      </c>
      <c r="F14" s="15" t="s">
        <v>47</v>
      </c>
      <c r="G14" s="298"/>
      <c r="H14" s="10"/>
      <c r="I14" s="11"/>
      <c r="J14" s="11"/>
      <c r="K14" s="11"/>
      <c r="L14" s="11"/>
      <c r="M14" s="11"/>
      <c r="N14" s="11"/>
      <c r="O14" s="12"/>
      <c r="P14" s="11"/>
      <c r="Q14" s="13"/>
      <c r="R14" s="14"/>
    </row>
    <row r="15" spans="1:92" ht="15" customHeight="1">
      <c r="A15" s="17" t="s">
        <v>38</v>
      </c>
      <c r="B15" s="17" t="s">
        <v>346</v>
      </c>
      <c r="C15" s="18">
        <v>0.39930555555555558</v>
      </c>
      <c r="D15" s="17" t="s">
        <v>40</v>
      </c>
      <c r="E15" s="17" t="s">
        <v>125</v>
      </c>
      <c r="F15" s="17" t="s">
        <v>347</v>
      </c>
      <c r="G15" s="298"/>
      <c r="H15" s="10"/>
      <c r="I15" s="11"/>
      <c r="J15" s="11"/>
      <c r="K15" s="11"/>
      <c r="L15" s="11"/>
      <c r="M15" s="11"/>
      <c r="N15" s="11"/>
      <c r="O15" s="12"/>
      <c r="P15" s="11"/>
      <c r="Q15" s="13"/>
      <c r="R15" s="14"/>
    </row>
    <row r="16" spans="1:92" ht="15" customHeight="1">
      <c r="A16" s="15" t="s">
        <v>38</v>
      </c>
      <c r="B16" s="15" t="s">
        <v>346</v>
      </c>
      <c r="C16" s="16">
        <v>0.39930555555555558</v>
      </c>
      <c r="D16" s="15" t="s">
        <v>43</v>
      </c>
      <c r="E16" s="15" t="s">
        <v>44</v>
      </c>
      <c r="F16" s="15" t="s">
        <v>138</v>
      </c>
      <c r="G16" s="298"/>
      <c r="H16" s="10"/>
      <c r="I16" s="11"/>
      <c r="J16" s="11"/>
      <c r="K16" s="11"/>
      <c r="L16" s="11"/>
      <c r="M16" s="11"/>
      <c r="N16" s="11"/>
      <c r="O16" s="12"/>
      <c r="P16" s="11"/>
      <c r="Q16" s="13"/>
      <c r="R16" s="14"/>
    </row>
    <row r="17" spans="1:18" ht="15" customHeight="1">
      <c r="A17" s="15" t="s">
        <v>38</v>
      </c>
      <c r="B17" s="15" t="s">
        <v>346</v>
      </c>
      <c r="C17" s="16">
        <v>0.39930555555555558</v>
      </c>
      <c r="D17" s="15" t="s">
        <v>46</v>
      </c>
      <c r="E17" s="15" t="s">
        <v>44</v>
      </c>
      <c r="F17" s="15" t="s">
        <v>47</v>
      </c>
      <c r="G17" s="298"/>
      <c r="H17" s="10"/>
      <c r="I17" s="11"/>
      <c r="J17" s="11"/>
      <c r="K17" s="11"/>
      <c r="L17" s="11"/>
      <c r="M17" s="11"/>
      <c r="N17" s="11"/>
      <c r="O17" s="12"/>
      <c r="P17" s="11"/>
      <c r="Q17" s="13"/>
      <c r="R17" s="14"/>
    </row>
    <row r="18" spans="1:18" ht="15" customHeight="1">
      <c r="A18" s="19" t="s">
        <v>26</v>
      </c>
      <c r="B18" s="19" t="s">
        <v>348</v>
      </c>
      <c r="C18" s="20">
        <v>0.99305555555555547</v>
      </c>
      <c r="D18" s="19" t="s">
        <v>28</v>
      </c>
      <c r="E18" s="19" t="s">
        <v>103</v>
      </c>
      <c r="F18" s="19" t="s">
        <v>131</v>
      </c>
      <c r="G18" s="298"/>
      <c r="H18" s="10"/>
      <c r="I18" s="11"/>
      <c r="J18" s="11"/>
      <c r="K18" s="11"/>
      <c r="L18" s="11"/>
      <c r="M18" s="11"/>
      <c r="N18" s="11"/>
      <c r="O18" s="12"/>
      <c r="P18" s="11"/>
      <c r="Q18" s="13"/>
      <c r="R18" s="14"/>
    </row>
    <row r="19" spans="1:18" ht="15" customHeight="1">
      <c r="A19" s="15" t="s">
        <v>26</v>
      </c>
      <c r="B19" s="15" t="s">
        <v>348</v>
      </c>
      <c r="C19" s="16">
        <v>0.99305555555555547</v>
      </c>
      <c r="D19" s="15" t="s">
        <v>31</v>
      </c>
      <c r="E19" s="15" t="s">
        <v>99</v>
      </c>
      <c r="F19" s="15" t="s">
        <v>349</v>
      </c>
      <c r="G19" s="298"/>
      <c r="H19" s="10"/>
      <c r="I19" s="11"/>
      <c r="J19" s="11"/>
      <c r="K19" s="11"/>
      <c r="L19" s="11"/>
      <c r="M19" s="11"/>
      <c r="N19" s="11"/>
      <c r="O19" s="12"/>
      <c r="P19" s="11"/>
      <c r="Q19" s="13"/>
      <c r="R19" s="14"/>
    </row>
    <row r="20" spans="1:18" ht="15" customHeight="1">
      <c r="A20" s="15" t="s">
        <v>26</v>
      </c>
      <c r="B20" s="15" t="s">
        <v>348</v>
      </c>
      <c r="C20" s="16">
        <v>0.99305555555555547</v>
      </c>
      <c r="D20" s="15" t="s">
        <v>34</v>
      </c>
      <c r="E20" s="15" t="s">
        <v>99</v>
      </c>
      <c r="F20" s="15" t="s">
        <v>138</v>
      </c>
      <c r="G20" s="298"/>
      <c r="H20" s="10"/>
      <c r="I20" s="11"/>
      <c r="J20" s="11"/>
      <c r="K20" s="11"/>
      <c r="L20" s="11"/>
      <c r="M20" s="11"/>
      <c r="N20" s="11"/>
      <c r="O20" s="12"/>
      <c r="P20" s="11"/>
      <c r="Q20" s="13"/>
      <c r="R20" s="14"/>
    </row>
    <row r="21" spans="1:18" ht="15" customHeight="1">
      <c r="A21" s="17" t="s">
        <v>26</v>
      </c>
      <c r="B21" s="17" t="s">
        <v>350</v>
      </c>
      <c r="C21" s="18">
        <v>0.73611111111111116</v>
      </c>
      <c r="D21" s="17" t="s">
        <v>28</v>
      </c>
      <c r="E21" s="17" t="s">
        <v>134</v>
      </c>
      <c r="F21" s="17" t="s">
        <v>131</v>
      </c>
      <c r="G21" s="298"/>
      <c r="H21" s="10"/>
      <c r="I21" s="11"/>
      <c r="J21" s="11"/>
      <c r="K21" s="11"/>
      <c r="L21" s="11"/>
      <c r="M21" s="11"/>
      <c r="N21" s="11"/>
      <c r="O21" s="12"/>
      <c r="P21" s="11"/>
      <c r="Q21" s="13"/>
      <c r="R21" s="14"/>
    </row>
    <row r="22" spans="1:18" ht="15" customHeight="1">
      <c r="A22" s="15" t="s">
        <v>26</v>
      </c>
      <c r="B22" s="15" t="s">
        <v>350</v>
      </c>
      <c r="C22" s="16">
        <v>0.73611111111111116</v>
      </c>
      <c r="D22" s="15" t="s">
        <v>31</v>
      </c>
      <c r="E22" s="15" t="s">
        <v>135</v>
      </c>
      <c r="F22" s="15" t="s">
        <v>349</v>
      </c>
      <c r="G22" s="298"/>
      <c r="H22" s="10"/>
      <c r="I22" s="11"/>
      <c r="J22" s="11"/>
      <c r="K22" s="11"/>
      <c r="L22" s="11"/>
      <c r="M22" s="11"/>
      <c r="N22" s="11"/>
      <c r="O22" s="12"/>
      <c r="P22" s="11"/>
      <c r="Q22" s="13"/>
      <c r="R22" s="14"/>
    </row>
    <row r="23" spans="1:18" ht="15" customHeight="1">
      <c r="A23" s="15" t="s">
        <v>26</v>
      </c>
      <c r="B23" s="15" t="s">
        <v>350</v>
      </c>
      <c r="C23" s="16">
        <v>0.73611111111111116</v>
      </c>
      <c r="D23" s="15" t="s">
        <v>34</v>
      </c>
      <c r="E23" s="15" t="s">
        <v>135</v>
      </c>
      <c r="F23" s="15" t="s">
        <v>138</v>
      </c>
      <c r="G23" s="298"/>
      <c r="H23" s="10"/>
      <c r="I23" s="11"/>
      <c r="J23" s="11"/>
      <c r="K23" s="11"/>
      <c r="L23" s="11"/>
      <c r="M23" s="11"/>
      <c r="N23" s="11"/>
      <c r="O23" s="12"/>
      <c r="P23" s="11"/>
      <c r="Q23" s="13"/>
      <c r="R23" s="14"/>
    </row>
    <row r="24" spans="1:18" ht="15" customHeight="1">
      <c r="A24" s="17" t="s">
        <v>26</v>
      </c>
      <c r="B24" s="17" t="s">
        <v>351</v>
      </c>
      <c r="C24" s="18">
        <v>0.83680555555555547</v>
      </c>
      <c r="D24" s="17" t="s">
        <v>28</v>
      </c>
      <c r="E24" s="17" t="s">
        <v>91</v>
      </c>
      <c r="F24" s="17" t="s">
        <v>131</v>
      </c>
      <c r="G24" s="298"/>
      <c r="H24" s="10"/>
      <c r="I24" s="11"/>
      <c r="J24" s="11"/>
      <c r="K24" s="11"/>
      <c r="L24" s="11"/>
      <c r="M24" s="11"/>
      <c r="N24" s="11"/>
      <c r="O24" s="12"/>
      <c r="P24" s="11"/>
      <c r="Q24" s="13"/>
      <c r="R24" s="14"/>
    </row>
    <row r="25" spans="1:18" ht="15" customHeight="1">
      <c r="A25" s="15" t="s">
        <v>26</v>
      </c>
      <c r="B25" s="15" t="s">
        <v>351</v>
      </c>
      <c r="C25" s="16">
        <v>0.83680555555555547</v>
      </c>
      <c r="D25" s="15" t="s">
        <v>31</v>
      </c>
      <c r="E25" s="15" t="s">
        <v>92</v>
      </c>
      <c r="F25" s="15" t="s">
        <v>349</v>
      </c>
      <c r="G25" s="298"/>
      <c r="H25" s="10"/>
      <c r="I25" s="11"/>
      <c r="J25" s="11"/>
      <c r="K25" s="11"/>
      <c r="L25" s="11"/>
      <c r="M25" s="11"/>
      <c r="N25" s="11"/>
      <c r="O25" s="12"/>
      <c r="P25" s="11"/>
      <c r="Q25" s="13"/>
      <c r="R25" s="14"/>
    </row>
    <row r="26" spans="1:18" ht="15" customHeight="1">
      <c r="A26" s="15" t="s">
        <v>26</v>
      </c>
      <c r="B26" s="15" t="s">
        <v>351</v>
      </c>
      <c r="C26" s="16">
        <v>0.83680555555555547</v>
      </c>
      <c r="D26" s="15" t="s">
        <v>34</v>
      </c>
      <c r="E26" s="15" t="s">
        <v>92</v>
      </c>
      <c r="F26" s="15" t="s">
        <v>138</v>
      </c>
      <c r="G26" s="298"/>
      <c r="H26" s="10"/>
      <c r="I26" s="11"/>
      <c r="J26" s="11"/>
      <c r="K26" s="11"/>
      <c r="L26" s="11"/>
      <c r="M26" s="11"/>
      <c r="N26" s="11"/>
      <c r="O26" s="12"/>
      <c r="P26" s="11"/>
      <c r="Q26" s="13"/>
      <c r="R26" s="14"/>
    </row>
    <row r="27" spans="1:18" ht="15" customHeight="1">
      <c r="A27" s="17" t="s">
        <v>26</v>
      </c>
      <c r="B27" s="17" t="s">
        <v>352</v>
      </c>
      <c r="C27" s="18">
        <v>0.94444444444444453</v>
      </c>
      <c r="D27" s="17" t="s">
        <v>28</v>
      </c>
      <c r="E27" s="17" t="s">
        <v>37</v>
      </c>
      <c r="F27" s="17" t="s">
        <v>131</v>
      </c>
      <c r="G27" s="298"/>
      <c r="H27" s="10"/>
      <c r="I27" s="11"/>
      <c r="J27" s="11"/>
      <c r="K27" s="11"/>
      <c r="L27" s="11"/>
      <c r="M27" s="11"/>
      <c r="N27" s="11"/>
      <c r="O27" s="12"/>
      <c r="P27" s="11"/>
      <c r="Q27" s="13"/>
      <c r="R27" s="14"/>
    </row>
    <row r="28" spans="1:18" ht="15" customHeight="1">
      <c r="A28" s="15" t="s">
        <v>26</v>
      </c>
      <c r="B28" s="15" t="s">
        <v>352</v>
      </c>
      <c r="C28" s="16">
        <v>0.94444444444444453</v>
      </c>
      <c r="D28" s="15" t="s">
        <v>31</v>
      </c>
      <c r="E28" s="15" t="s">
        <v>32</v>
      </c>
      <c r="F28" s="15" t="s">
        <v>349</v>
      </c>
      <c r="G28" s="298"/>
      <c r="H28" s="10"/>
      <c r="I28" s="11"/>
      <c r="J28" s="11"/>
      <c r="K28" s="11"/>
      <c r="L28" s="11"/>
      <c r="M28" s="11"/>
      <c r="N28" s="11"/>
      <c r="O28" s="12"/>
      <c r="P28" s="11"/>
      <c r="Q28" s="13"/>
      <c r="R28" s="14"/>
    </row>
    <row r="29" spans="1:18" ht="15" customHeight="1">
      <c r="A29" s="15" t="s">
        <v>26</v>
      </c>
      <c r="B29" s="15" t="s">
        <v>352</v>
      </c>
      <c r="C29" s="16">
        <v>0.94444444444444453</v>
      </c>
      <c r="D29" s="15" t="s">
        <v>34</v>
      </c>
      <c r="E29" s="15" t="s">
        <v>32</v>
      </c>
      <c r="F29" s="15" t="s">
        <v>138</v>
      </c>
      <c r="G29" s="298"/>
      <c r="H29" s="10"/>
      <c r="I29" s="11"/>
      <c r="J29" s="11"/>
      <c r="K29" s="11"/>
      <c r="L29" s="11"/>
      <c r="M29" s="11"/>
      <c r="N29" s="11"/>
      <c r="O29" s="12"/>
      <c r="P29" s="11"/>
      <c r="Q29" s="13"/>
      <c r="R29" s="14"/>
    </row>
    <row r="30" spans="1:18" ht="15" customHeight="1">
      <c r="A30" s="17" t="s">
        <v>26</v>
      </c>
      <c r="B30" s="17" t="s">
        <v>353</v>
      </c>
      <c r="C30" s="18">
        <v>0.88888888888888884</v>
      </c>
      <c r="D30" s="17" t="s">
        <v>28</v>
      </c>
      <c r="E30" s="17" t="s">
        <v>98</v>
      </c>
      <c r="F30" s="17" t="s">
        <v>131</v>
      </c>
      <c r="G30" s="298"/>
      <c r="H30" s="10"/>
      <c r="I30" s="11"/>
      <c r="J30" s="11"/>
      <c r="K30" s="11"/>
      <c r="L30" s="11"/>
      <c r="M30" s="11"/>
      <c r="N30" s="11"/>
      <c r="O30" s="12"/>
      <c r="P30" s="11"/>
      <c r="Q30" s="13"/>
      <c r="R30" s="14"/>
    </row>
    <row r="31" spans="1:18" ht="15" customHeight="1">
      <c r="A31" s="15" t="s">
        <v>26</v>
      </c>
      <c r="B31" s="15" t="s">
        <v>353</v>
      </c>
      <c r="C31" s="16">
        <v>0.88888888888888884</v>
      </c>
      <c r="D31" s="15" t="s">
        <v>31</v>
      </c>
      <c r="E31" s="15" t="s">
        <v>99</v>
      </c>
      <c r="F31" s="15" t="s">
        <v>349</v>
      </c>
      <c r="G31" s="298"/>
      <c r="H31" s="10"/>
      <c r="I31" s="11"/>
      <c r="J31" s="11"/>
      <c r="K31" s="11"/>
      <c r="L31" s="11"/>
      <c r="M31" s="11"/>
      <c r="N31" s="11"/>
      <c r="O31" s="12"/>
      <c r="P31" s="11"/>
      <c r="Q31" s="13"/>
      <c r="R31" s="14"/>
    </row>
    <row r="32" spans="1:18" ht="15" customHeight="1">
      <c r="A32" s="15" t="s">
        <v>26</v>
      </c>
      <c r="B32" s="15" t="s">
        <v>353</v>
      </c>
      <c r="C32" s="16">
        <v>0.88888888888888884</v>
      </c>
      <c r="D32" s="15" t="s">
        <v>34</v>
      </c>
      <c r="E32" s="15" t="s">
        <v>99</v>
      </c>
      <c r="F32" s="15" t="s">
        <v>138</v>
      </c>
      <c r="G32" s="298"/>
      <c r="H32" s="10"/>
      <c r="I32" s="11"/>
      <c r="J32" s="11"/>
      <c r="K32" s="11"/>
      <c r="L32" s="11"/>
      <c r="M32" s="11"/>
      <c r="N32" s="11"/>
      <c r="O32" s="12"/>
      <c r="P32" s="11"/>
      <c r="Q32" s="13"/>
      <c r="R32" s="14"/>
    </row>
    <row r="33" spans="1:18" ht="15" customHeight="1">
      <c r="A33" s="17" t="s">
        <v>26</v>
      </c>
      <c r="B33" s="17" t="s">
        <v>354</v>
      </c>
      <c r="C33" s="18">
        <v>0.34722222222222232</v>
      </c>
      <c r="D33" s="17" t="s">
        <v>28</v>
      </c>
      <c r="E33" s="17" t="s">
        <v>200</v>
      </c>
      <c r="F33" s="17" t="s">
        <v>83</v>
      </c>
      <c r="G33" s="298"/>
      <c r="H33" s="10"/>
      <c r="I33" s="11"/>
      <c r="J33" s="11"/>
      <c r="K33" s="11"/>
      <c r="L33" s="11"/>
      <c r="M33" s="11"/>
      <c r="N33" s="11"/>
      <c r="O33" s="12"/>
      <c r="P33" s="11"/>
      <c r="Q33" s="13"/>
      <c r="R33" s="14"/>
    </row>
    <row r="34" spans="1:18" ht="15" customHeight="1">
      <c r="A34" s="15" t="s">
        <v>26</v>
      </c>
      <c r="B34" s="15" t="s">
        <v>354</v>
      </c>
      <c r="C34" s="16">
        <v>0.34722222222222232</v>
      </c>
      <c r="D34" s="15" t="s">
        <v>31</v>
      </c>
      <c r="E34" s="15" t="s">
        <v>127</v>
      </c>
      <c r="F34" s="15" t="s">
        <v>159</v>
      </c>
      <c r="G34" s="298"/>
      <c r="H34" s="10"/>
      <c r="I34" s="11"/>
      <c r="J34" s="11"/>
      <c r="K34" s="11"/>
      <c r="L34" s="11"/>
      <c r="M34" s="11"/>
      <c r="N34" s="11"/>
      <c r="O34" s="12"/>
      <c r="P34" s="11"/>
      <c r="Q34" s="13"/>
      <c r="R34" s="14"/>
    </row>
    <row r="35" spans="1:18" ht="15" customHeight="1">
      <c r="A35" s="15" t="s">
        <v>26</v>
      </c>
      <c r="B35" s="15" t="s">
        <v>354</v>
      </c>
      <c r="C35" s="16">
        <v>0.34722222222222232</v>
      </c>
      <c r="D35" s="15" t="s">
        <v>34</v>
      </c>
      <c r="E35" s="15" t="s">
        <v>127</v>
      </c>
      <c r="F35" s="15" t="s">
        <v>355</v>
      </c>
      <c r="G35" s="298"/>
      <c r="H35" s="10"/>
      <c r="I35" s="11"/>
      <c r="J35" s="11"/>
      <c r="K35" s="11"/>
      <c r="L35" s="11"/>
      <c r="M35" s="11"/>
      <c r="N35" s="11"/>
      <c r="O35" s="12"/>
      <c r="P35" s="11"/>
      <c r="Q35" s="13"/>
      <c r="R35" s="14"/>
    </row>
    <row r="36" spans="1:18" ht="15" customHeight="1">
      <c r="A36" s="17" t="s">
        <v>26</v>
      </c>
      <c r="B36" s="17" t="s">
        <v>356</v>
      </c>
      <c r="C36" s="18">
        <v>0.4861111111111111</v>
      </c>
      <c r="D36" s="17" t="s">
        <v>28</v>
      </c>
      <c r="E36" s="17" t="s">
        <v>200</v>
      </c>
      <c r="F36" s="17" t="s">
        <v>83</v>
      </c>
      <c r="G36" s="298"/>
      <c r="H36" s="10"/>
      <c r="I36" s="11"/>
      <c r="J36" s="11"/>
      <c r="K36" s="11"/>
      <c r="L36" s="11"/>
      <c r="M36" s="11"/>
      <c r="N36" s="11"/>
      <c r="O36" s="12"/>
      <c r="P36" s="11"/>
      <c r="Q36" s="13"/>
      <c r="R36" s="14"/>
    </row>
    <row r="37" spans="1:18" ht="15" customHeight="1">
      <c r="A37" s="15" t="s">
        <v>26</v>
      </c>
      <c r="B37" s="15" t="s">
        <v>356</v>
      </c>
      <c r="C37" s="16">
        <v>0.4861111111111111</v>
      </c>
      <c r="D37" s="15" t="s">
        <v>31</v>
      </c>
      <c r="E37" s="15" t="s">
        <v>127</v>
      </c>
      <c r="F37" s="15" t="s">
        <v>159</v>
      </c>
      <c r="G37" s="298"/>
      <c r="H37" s="10"/>
      <c r="I37" s="11"/>
      <c r="J37" s="11"/>
      <c r="K37" s="11"/>
      <c r="L37" s="11"/>
      <c r="M37" s="11"/>
      <c r="N37" s="11"/>
      <c r="O37" s="12"/>
      <c r="P37" s="11"/>
      <c r="Q37" s="13"/>
      <c r="R37" s="14"/>
    </row>
    <row r="38" spans="1:18" ht="15" customHeight="1">
      <c r="A38" s="15" t="s">
        <v>26</v>
      </c>
      <c r="B38" s="15" t="s">
        <v>356</v>
      </c>
      <c r="C38" s="16">
        <v>0.4861111111111111</v>
      </c>
      <c r="D38" s="15" t="s">
        <v>34</v>
      </c>
      <c r="E38" s="15" t="s">
        <v>127</v>
      </c>
      <c r="F38" s="15" t="s">
        <v>355</v>
      </c>
      <c r="G38" s="298"/>
      <c r="H38" s="10"/>
      <c r="I38" s="11"/>
      <c r="J38" s="11"/>
      <c r="K38" s="11"/>
      <c r="L38" s="11"/>
      <c r="M38" s="11"/>
      <c r="N38" s="11"/>
      <c r="O38" s="12"/>
      <c r="P38" s="11"/>
      <c r="Q38" s="13"/>
      <c r="R38" s="14"/>
    </row>
    <row r="39" spans="1:18" ht="15" customHeight="1">
      <c r="A39" s="17" t="s">
        <v>26</v>
      </c>
      <c r="B39" s="17" t="s">
        <v>357</v>
      </c>
      <c r="C39" s="18">
        <v>0.3923611111111111</v>
      </c>
      <c r="D39" s="17" t="s">
        <v>28</v>
      </c>
      <c r="E39" s="17" t="s">
        <v>90</v>
      </c>
      <c r="F39" s="17" t="s">
        <v>45</v>
      </c>
      <c r="G39" s="298"/>
      <c r="H39" s="10"/>
      <c r="I39" s="11"/>
      <c r="J39" s="11"/>
      <c r="K39" s="11"/>
      <c r="L39" s="11"/>
      <c r="M39" s="11"/>
      <c r="N39" s="11"/>
      <c r="O39" s="12"/>
      <c r="P39" s="11"/>
      <c r="Q39" s="13"/>
      <c r="R39" s="14"/>
    </row>
    <row r="40" spans="1:18" ht="15" customHeight="1">
      <c r="A40" s="15" t="s">
        <v>26</v>
      </c>
      <c r="B40" s="15" t="s">
        <v>357</v>
      </c>
      <c r="C40" s="16">
        <v>0.3923611111111111</v>
      </c>
      <c r="D40" s="15" t="s">
        <v>31</v>
      </c>
      <c r="E40" s="15" t="s">
        <v>82</v>
      </c>
      <c r="F40" s="15" t="s">
        <v>355</v>
      </c>
      <c r="G40" s="298"/>
      <c r="H40" s="10"/>
      <c r="I40" s="11"/>
      <c r="J40" s="11"/>
      <c r="K40" s="11"/>
      <c r="L40" s="11"/>
      <c r="M40" s="11"/>
      <c r="N40" s="11"/>
      <c r="O40" s="12"/>
      <c r="P40" s="11"/>
      <c r="Q40" s="13"/>
      <c r="R40" s="14"/>
    </row>
    <row r="41" spans="1:18" ht="15" customHeight="1">
      <c r="A41" s="15" t="s">
        <v>26</v>
      </c>
      <c r="B41" s="15" t="s">
        <v>357</v>
      </c>
      <c r="C41" s="16">
        <v>0.3923611111111111</v>
      </c>
      <c r="D41" s="15" t="s">
        <v>34</v>
      </c>
      <c r="E41" s="15" t="s">
        <v>82</v>
      </c>
      <c r="F41" s="15" t="s">
        <v>358</v>
      </c>
      <c r="G41" s="298"/>
      <c r="H41" s="10"/>
      <c r="I41" s="11"/>
      <c r="J41" s="11"/>
      <c r="K41" s="11"/>
      <c r="L41" s="11"/>
      <c r="M41" s="11"/>
      <c r="N41" s="11"/>
      <c r="O41" s="12"/>
      <c r="P41" s="11"/>
      <c r="Q41" s="13"/>
      <c r="R41" s="14"/>
    </row>
    <row r="42" spans="1:18" ht="15" customHeight="1">
      <c r="A42" s="19" t="s">
        <v>359</v>
      </c>
      <c r="B42" s="19" t="s">
        <v>360</v>
      </c>
      <c r="C42" s="20">
        <v>0.1701388888888889</v>
      </c>
      <c r="D42" s="19" t="s">
        <v>361</v>
      </c>
      <c r="E42" s="19" t="s">
        <v>80</v>
      </c>
      <c r="F42" s="19" t="s">
        <v>362</v>
      </c>
      <c r="G42" s="298"/>
      <c r="H42" s="10"/>
      <c r="I42" s="11"/>
      <c r="J42" s="11"/>
      <c r="K42" s="11"/>
      <c r="L42" s="11"/>
      <c r="M42" s="11"/>
      <c r="N42" s="11"/>
      <c r="O42" s="12"/>
      <c r="P42" s="11"/>
      <c r="Q42" s="13"/>
      <c r="R42" s="14"/>
    </row>
    <row r="43" spans="1:18" ht="15" customHeight="1">
      <c r="A43" s="15" t="s">
        <v>359</v>
      </c>
      <c r="B43" s="15" t="s">
        <v>360</v>
      </c>
      <c r="C43" s="16">
        <v>0.1701388888888889</v>
      </c>
      <c r="D43" s="15" t="s">
        <v>46</v>
      </c>
      <c r="E43" s="15" t="s">
        <v>82</v>
      </c>
      <c r="F43" s="15" t="s">
        <v>363</v>
      </c>
      <c r="G43" s="298"/>
      <c r="H43" s="10"/>
      <c r="I43" s="11"/>
      <c r="J43" s="11"/>
      <c r="K43" s="11"/>
      <c r="L43" s="11"/>
      <c r="M43" s="11"/>
      <c r="N43" s="11"/>
      <c r="O43" s="12"/>
      <c r="P43" s="11"/>
      <c r="Q43" s="13"/>
      <c r="R43" s="14"/>
    </row>
    <row r="44" spans="1:18" ht="15" customHeight="1">
      <c r="A44" s="78" t="s">
        <v>61</v>
      </c>
      <c r="B44" s="78" t="s">
        <v>364</v>
      </c>
      <c r="C44" s="79">
        <v>0.9375</v>
      </c>
      <c r="D44" s="78" t="s">
        <v>63</v>
      </c>
      <c r="E44" s="78" t="s">
        <v>143</v>
      </c>
      <c r="F44" s="78" t="s">
        <v>365</v>
      </c>
      <c r="G44" s="298"/>
      <c r="H44" s="80" t="s">
        <v>366</v>
      </c>
      <c r="I44" s="81">
        <v>2.1499999999999998E-2</v>
      </c>
      <c r="J44" s="82">
        <v>4</v>
      </c>
      <c r="K44" s="83">
        <v>46342</v>
      </c>
      <c r="L44" s="82">
        <v>4</v>
      </c>
      <c r="M44" s="82">
        <v>0</v>
      </c>
      <c r="N44" s="82">
        <v>0</v>
      </c>
      <c r="O44" s="84" t="s">
        <v>367</v>
      </c>
      <c r="P44" s="85">
        <v>0.9375</v>
      </c>
      <c r="Q44" s="82">
        <v>186</v>
      </c>
      <c r="R44" s="86" t="s">
        <v>368</v>
      </c>
    </row>
    <row r="45" spans="1:18" ht="15" customHeight="1">
      <c r="A45" s="148" t="s">
        <v>61</v>
      </c>
      <c r="B45" s="148" t="s">
        <v>369</v>
      </c>
      <c r="C45" s="149">
        <v>0.1875</v>
      </c>
      <c r="D45" s="148" t="s">
        <v>63</v>
      </c>
      <c r="E45" s="148" t="s">
        <v>57</v>
      </c>
      <c r="F45" s="148" t="s">
        <v>79</v>
      </c>
      <c r="G45" s="298"/>
      <c r="H45" s="51" t="s">
        <v>370</v>
      </c>
      <c r="I45" s="52">
        <v>0</v>
      </c>
      <c r="J45" s="53">
        <v>0</v>
      </c>
      <c r="K45" s="54" t="s">
        <v>66</v>
      </c>
      <c r="L45" s="53">
        <v>0</v>
      </c>
      <c r="M45" s="53">
        <v>0</v>
      </c>
      <c r="N45" s="53">
        <v>0</v>
      </c>
      <c r="O45" s="55" t="s">
        <v>292</v>
      </c>
      <c r="P45" s="56">
        <v>0.1875</v>
      </c>
      <c r="Q45" s="53">
        <v>180</v>
      </c>
      <c r="R45" s="57" t="s">
        <v>66</v>
      </c>
    </row>
    <row r="46" spans="1:18" ht="15" customHeight="1">
      <c r="A46" s="150" t="s">
        <v>61</v>
      </c>
      <c r="B46" s="150" t="s">
        <v>371</v>
      </c>
      <c r="C46" s="151">
        <v>6.5972222222222224E-2</v>
      </c>
      <c r="D46" s="150" t="s">
        <v>63</v>
      </c>
      <c r="E46" s="150" t="s">
        <v>372</v>
      </c>
      <c r="F46" s="150" t="s">
        <v>79</v>
      </c>
      <c r="G46" s="298"/>
      <c r="H46" s="80" t="s">
        <v>373</v>
      </c>
      <c r="I46" s="81">
        <v>3.8899999999999997E-2</v>
      </c>
      <c r="J46" s="82">
        <v>7</v>
      </c>
      <c r="K46" s="83">
        <v>46317</v>
      </c>
      <c r="L46" s="82">
        <v>7</v>
      </c>
      <c r="M46" s="82">
        <v>0</v>
      </c>
      <c r="N46" s="82">
        <v>0</v>
      </c>
      <c r="O46" s="84" t="s">
        <v>305</v>
      </c>
      <c r="P46" s="85">
        <v>6.5972222222222224E-2</v>
      </c>
      <c r="Q46" s="82">
        <v>180</v>
      </c>
      <c r="R46" s="86" t="s">
        <v>374</v>
      </c>
    </row>
    <row r="47" spans="1:18" ht="15" customHeight="1">
      <c r="A47" s="152" t="s">
        <v>61</v>
      </c>
      <c r="B47" s="152" t="s">
        <v>375</v>
      </c>
      <c r="C47" s="153">
        <v>0.15625</v>
      </c>
      <c r="D47" s="152" t="s">
        <v>63</v>
      </c>
      <c r="E47" s="152" t="s">
        <v>37</v>
      </c>
      <c r="F47" s="152" t="s">
        <v>79</v>
      </c>
      <c r="G47" s="298"/>
      <c r="H47" s="100" t="s">
        <v>376</v>
      </c>
      <c r="I47" s="101">
        <v>0.05</v>
      </c>
      <c r="J47" s="102">
        <v>9</v>
      </c>
      <c r="K47" s="103">
        <v>46325</v>
      </c>
      <c r="L47" s="102">
        <v>12</v>
      </c>
      <c r="M47" s="102">
        <v>0</v>
      </c>
      <c r="N47" s="102">
        <v>0</v>
      </c>
      <c r="O47" s="104" t="s">
        <v>307</v>
      </c>
      <c r="P47" s="105">
        <v>0.15625</v>
      </c>
      <c r="Q47" s="102">
        <v>180</v>
      </c>
      <c r="R47" s="106" t="s">
        <v>326</v>
      </c>
    </row>
    <row r="48" spans="1:18" ht="15" customHeight="1">
      <c r="A48" s="154" t="s">
        <v>61</v>
      </c>
      <c r="B48" s="154" t="s">
        <v>377</v>
      </c>
      <c r="C48" s="155">
        <v>0.40625</v>
      </c>
      <c r="D48" s="154" t="s">
        <v>63</v>
      </c>
      <c r="E48" s="154" t="s">
        <v>37</v>
      </c>
      <c r="F48" s="154" t="s">
        <v>79</v>
      </c>
      <c r="G48" s="298"/>
      <c r="H48" s="69" t="s">
        <v>378</v>
      </c>
      <c r="I48" s="70">
        <v>0.05</v>
      </c>
      <c r="J48" s="71">
        <v>9</v>
      </c>
      <c r="K48" s="72">
        <v>46318</v>
      </c>
      <c r="L48" s="71">
        <v>9</v>
      </c>
      <c r="M48" s="71">
        <v>0</v>
      </c>
      <c r="N48" s="71">
        <v>0</v>
      </c>
      <c r="O48" s="73" t="s">
        <v>307</v>
      </c>
      <c r="P48" s="74">
        <v>0.40625</v>
      </c>
      <c r="Q48" s="71">
        <v>180</v>
      </c>
      <c r="R48" s="75" t="s">
        <v>326</v>
      </c>
    </row>
    <row r="49" spans="1:18" ht="15" customHeight="1">
      <c r="A49" s="156" t="s">
        <v>61</v>
      </c>
      <c r="B49" s="156" t="s">
        <v>379</v>
      </c>
      <c r="C49" s="157">
        <v>0.5625</v>
      </c>
      <c r="D49" s="156" t="s">
        <v>63</v>
      </c>
      <c r="E49" s="156" t="s">
        <v>200</v>
      </c>
      <c r="F49" s="156" t="s">
        <v>79</v>
      </c>
      <c r="G49" s="298"/>
      <c r="H49" s="42" t="s">
        <v>380</v>
      </c>
      <c r="I49" s="43">
        <v>7.7799999999999994E-2</v>
      </c>
      <c r="J49" s="44">
        <v>14</v>
      </c>
      <c r="K49" s="45">
        <v>46293</v>
      </c>
      <c r="L49" s="44">
        <v>14</v>
      </c>
      <c r="M49" s="44">
        <v>0</v>
      </c>
      <c r="N49" s="44">
        <v>0</v>
      </c>
      <c r="O49" s="46" t="s">
        <v>304</v>
      </c>
      <c r="P49" s="47">
        <v>0.5625</v>
      </c>
      <c r="Q49" s="44">
        <v>180</v>
      </c>
      <c r="R49" s="48" t="s">
        <v>381</v>
      </c>
    </row>
    <row r="50" spans="1:18" ht="15" customHeight="1">
      <c r="A50" s="19" t="s">
        <v>48</v>
      </c>
      <c r="B50" s="19" t="s">
        <v>382</v>
      </c>
      <c r="C50" s="20">
        <v>0.11805555555555559</v>
      </c>
      <c r="D50" s="19" t="s">
        <v>50</v>
      </c>
      <c r="E50" s="19" t="s">
        <v>156</v>
      </c>
      <c r="F50" s="19" t="s">
        <v>383</v>
      </c>
      <c r="G50" s="298"/>
      <c r="H50" s="10"/>
      <c r="I50" s="11"/>
      <c r="J50" s="11"/>
      <c r="K50" s="11"/>
      <c r="L50" s="11"/>
      <c r="M50" s="11"/>
      <c r="N50" s="11"/>
      <c r="O50" s="12"/>
      <c r="P50" s="11"/>
      <c r="Q50" s="13"/>
      <c r="R50" s="14"/>
    </row>
    <row r="51" spans="1:18" ht="15" customHeight="1">
      <c r="A51" s="15" t="s">
        <v>48</v>
      </c>
      <c r="B51" s="15" t="s">
        <v>382</v>
      </c>
      <c r="C51" s="16">
        <v>0.11805555555555559</v>
      </c>
      <c r="D51" s="15" t="s">
        <v>53</v>
      </c>
      <c r="E51" s="15" t="s">
        <v>135</v>
      </c>
      <c r="F51" s="15" t="s">
        <v>384</v>
      </c>
      <c r="G51" s="298"/>
      <c r="H51" s="10"/>
      <c r="I51" s="11"/>
      <c r="J51" s="11"/>
      <c r="K51" s="11"/>
      <c r="L51" s="11"/>
      <c r="M51" s="11"/>
      <c r="N51" s="11"/>
      <c r="O51" s="12"/>
      <c r="P51" s="11"/>
      <c r="Q51" s="13"/>
      <c r="R51" s="14"/>
    </row>
    <row r="52" spans="1:18" ht="15" customHeight="1">
      <c r="A52" s="17" t="s">
        <v>48</v>
      </c>
      <c r="B52" s="17" t="s">
        <v>385</v>
      </c>
      <c r="C52" s="18">
        <v>0.94097222222222221</v>
      </c>
      <c r="D52" s="17" t="s">
        <v>50</v>
      </c>
      <c r="E52" s="17" t="s">
        <v>57</v>
      </c>
      <c r="F52" s="17" t="s">
        <v>383</v>
      </c>
      <c r="G52" s="298"/>
      <c r="H52" s="10"/>
      <c r="I52" s="11"/>
      <c r="J52" s="11"/>
      <c r="K52" s="11"/>
      <c r="L52" s="11"/>
      <c r="M52" s="11"/>
      <c r="N52" s="11"/>
      <c r="O52" s="12"/>
      <c r="P52" s="11"/>
      <c r="Q52" s="13"/>
      <c r="R52" s="14"/>
    </row>
    <row r="53" spans="1:18" ht="15" customHeight="1">
      <c r="A53" s="15" t="s">
        <v>48</v>
      </c>
      <c r="B53" s="15" t="s">
        <v>385</v>
      </c>
      <c r="C53" s="16">
        <v>0.94097222222222221</v>
      </c>
      <c r="D53" s="15" t="s">
        <v>53</v>
      </c>
      <c r="E53" s="15" t="s">
        <v>54</v>
      </c>
      <c r="F53" s="15" t="s">
        <v>384</v>
      </c>
      <c r="G53" s="298"/>
      <c r="H53" s="10"/>
      <c r="I53" s="11"/>
      <c r="J53" s="11"/>
      <c r="K53" s="11"/>
      <c r="L53" s="11"/>
      <c r="M53" s="11"/>
      <c r="N53" s="11"/>
      <c r="O53" s="12"/>
      <c r="P53" s="11"/>
      <c r="Q53" s="13"/>
      <c r="R53" s="14"/>
    </row>
    <row r="54" spans="1:18" ht="15" customHeight="1">
      <c r="A54" s="17" t="s">
        <v>48</v>
      </c>
      <c r="B54" s="17" t="s">
        <v>386</v>
      </c>
      <c r="C54" s="18">
        <v>0.82986111111111116</v>
      </c>
      <c r="D54" s="17" t="s">
        <v>50</v>
      </c>
      <c r="E54" s="17" t="s">
        <v>57</v>
      </c>
      <c r="F54" s="17" t="s">
        <v>79</v>
      </c>
      <c r="G54" s="298"/>
      <c r="H54" s="10"/>
      <c r="I54" s="11"/>
      <c r="J54" s="11"/>
      <c r="K54" s="11"/>
      <c r="L54" s="11"/>
      <c r="M54" s="11"/>
      <c r="N54" s="11"/>
      <c r="O54" s="12"/>
      <c r="P54" s="11"/>
      <c r="Q54" s="13"/>
      <c r="R54" s="14"/>
    </row>
    <row r="55" spans="1:18" ht="15" customHeight="1">
      <c r="A55" s="15" t="s">
        <v>48</v>
      </c>
      <c r="B55" s="15" t="s">
        <v>386</v>
      </c>
      <c r="C55" s="16">
        <v>0.82986111111111116</v>
      </c>
      <c r="D55" s="15" t="s">
        <v>53</v>
      </c>
      <c r="E55" s="15" t="s">
        <v>54</v>
      </c>
      <c r="F55" s="15" t="s">
        <v>387</v>
      </c>
      <c r="G55" s="298"/>
      <c r="H55" s="10"/>
      <c r="I55" s="11"/>
      <c r="J55" s="11"/>
      <c r="K55" s="11"/>
      <c r="L55" s="11"/>
      <c r="M55" s="11"/>
      <c r="N55" s="11"/>
      <c r="O55" s="12"/>
      <c r="P55" s="11"/>
      <c r="Q55" s="13"/>
      <c r="R55" s="14"/>
    </row>
    <row r="56" spans="1:18" ht="15" customHeight="1">
      <c r="A56" s="17" t="s">
        <v>48</v>
      </c>
      <c r="B56" s="17" t="s">
        <v>388</v>
      </c>
      <c r="C56" s="18">
        <v>0.72222222222222221</v>
      </c>
      <c r="D56" s="17" t="s">
        <v>50</v>
      </c>
      <c r="E56" s="17" t="s">
        <v>57</v>
      </c>
      <c r="F56" s="17" t="s">
        <v>79</v>
      </c>
      <c r="G56" s="298"/>
      <c r="H56" s="10"/>
      <c r="I56" s="11"/>
      <c r="J56" s="11"/>
      <c r="K56" s="11"/>
      <c r="L56" s="11"/>
      <c r="M56" s="11"/>
      <c r="N56" s="11"/>
      <c r="O56" s="12"/>
      <c r="P56" s="11"/>
      <c r="Q56" s="13"/>
      <c r="R56" s="14"/>
    </row>
    <row r="57" spans="1:18" ht="15" customHeight="1">
      <c r="A57" s="15" t="s">
        <v>48</v>
      </c>
      <c r="B57" s="15" t="s">
        <v>388</v>
      </c>
      <c r="C57" s="16">
        <v>0.72222222222222221</v>
      </c>
      <c r="D57" s="15" t="s">
        <v>53</v>
      </c>
      <c r="E57" s="15" t="s">
        <v>54</v>
      </c>
      <c r="F57" s="15" t="s">
        <v>387</v>
      </c>
      <c r="G57" s="298"/>
      <c r="H57" s="10"/>
      <c r="I57" s="11"/>
      <c r="J57" s="11"/>
      <c r="K57" s="11"/>
      <c r="L57" s="11"/>
      <c r="M57" s="11"/>
      <c r="N57" s="11"/>
      <c r="O57" s="12"/>
      <c r="P57" s="11"/>
      <c r="Q57" s="13"/>
      <c r="R57" s="14"/>
    </row>
    <row r="58" spans="1:18" ht="15" customHeight="1">
      <c r="A58" s="17" t="s">
        <v>48</v>
      </c>
      <c r="B58" s="17" t="s">
        <v>389</v>
      </c>
      <c r="C58" s="18">
        <v>0.70486111111111116</v>
      </c>
      <c r="D58" s="17" t="s">
        <v>50</v>
      </c>
      <c r="E58" s="17" t="s">
        <v>57</v>
      </c>
      <c r="F58" s="17" t="s">
        <v>79</v>
      </c>
      <c r="G58" s="298"/>
      <c r="H58" s="10"/>
      <c r="I58" s="11"/>
      <c r="J58" s="11"/>
      <c r="K58" s="11"/>
      <c r="L58" s="11"/>
      <c r="M58" s="11"/>
      <c r="N58" s="11"/>
      <c r="O58" s="12"/>
      <c r="P58" s="11"/>
      <c r="Q58" s="13"/>
      <c r="R58" s="14"/>
    </row>
    <row r="59" spans="1:18" ht="15" customHeight="1">
      <c r="A59" s="15" t="s">
        <v>48</v>
      </c>
      <c r="B59" s="15" t="s">
        <v>389</v>
      </c>
      <c r="C59" s="16">
        <v>0.70486111111111116</v>
      </c>
      <c r="D59" s="15" t="s">
        <v>53</v>
      </c>
      <c r="E59" s="15" t="s">
        <v>54</v>
      </c>
      <c r="F59" s="15" t="s">
        <v>387</v>
      </c>
      <c r="G59" s="298"/>
      <c r="H59" s="10"/>
      <c r="I59" s="11"/>
      <c r="J59" s="11"/>
      <c r="K59" s="11"/>
      <c r="L59" s="11"/>
      <c r="M59" s="11"/>
      <c r="N59" s="11"/>
      <c r="O59" s="12"/>
      <c r="P59" s="11"/>
      <c r="Q59" s="13"/>
      <c r="R59" s="14"/>
    </row>
    <row r="60" spans="1:18" ht="15" customHeight="1">
      <c r="A60" s="17" t="s">
        <v>48</v>
      </c>
      <c r="B60" s="17" t="s">
        <v>390</v>
      </c>
      <c r="C60" s="18">
        <v>4.1666666666666657E-2</v>
      </c>
      <c r="D60" s="17" t="s">
        <v>50</v>
      </c>
      <c r="E60" s="17" t="s">
        <v>57</v>
      </c>
      <c r="F60" s="17" t="s">
        <v>79</v>
      </c>
      <c r="G60" s="298"/>
      <c r="H60" s="10"/>
      <c r="I60" s="11"/>
      <c r="J60" s="11"/>
      <c r="K60" s="11"/>
      <c r="L60" s="11"/>
      <c r="M60" s="11"/>
      <c r="N60" s="11"/>
      <c r="O60" s="12"/>
      <c r="P60" s="11"/>
      <c r="Q60" s="13"/>
      <c r="R60" s="14"/>
    </row>
    <row r="61" spans="1:18" ht="15" customHeight="1">
      <c r="A61" s="15" t="s">
        <v>48</v>
      </c>
      <c r="B61" s="15" t="s">
        <v>390</v>
      </c>
      <c r="C61" s="16">
        <v>4.1666666666666657E-2</v>
      </c>
      <c r="D61" s="15" t="s">
        <v>53</v>
      </c>
      <c r="E61" s="15" t="s">
        <v>54</v>
      </c>
      <c r="F61" s="15" t="s">
        <v>387</v>
      </c>
      <c r="G61" s="298"/>
      <c r="H61" s="10"/>
      <c r="I61" s="11"/>
      <c r="J61" s="11"/>
      <c r="K61" s="11"/>
      <c r="L61" s="11"/>
      <c r="M61" s="11"/>
      <c r="N61" s="11"/>
      <c r="O61" s="12"/>
      <c r="P61" s="11"/>
      <c r="Q61" s="13"/>
      <c r="R61" s="14"/>
    </row>
    <row r="62" spans="1:18" ht="15" customHeight="1">
      <c r="A62" s="17" t="s">
        <v>48</v>
      </c>
      <c r="B62" s="17" t="s">
        <v>391</v>
      </c>
      <c r="C62" s="18">
        <v>0.48958333333333331</v>
      </c>
      <c r="D62" s="17" t="s">
        <v>50</v>
      </c>
      <c r="E62" s="17" t="s">
        <v>57</v>
      </c>
      <c r="F62" s="17" t="s">
        <v>392</v>
      </c>
      <c r="G62" s="298"/>
      <c r="H62" s="10"/>
      <c r="I62" s="11"/>
      <c r="J62" s="11"/>
      <c r="K62" s="11"/>
      <c r="L62" s="11"/>
      <c r="M62" s="11"/>
      <c r="N62" s="11"/>
      <c r="O62" s="12"/>
      <c r="P62" s="11"/>
      <c r="Q62" s="13"/>
      <c r="R62" s="14"/>
    </row>
    <row r="63" spans="1:18" ht="15" customHeight="1">
      <c r="A63" s="15" t="s">
        <v>48</v>
      </c>
      <c r="B63" s="15" t="s">
        <v>391</v>
      </c>
      <c r="C63" s="16">
        <v>0.48958333333333331</v>
      </c>
      <c r="D63" s="15" t="s">
        <v>53</v>
      </c>
      <c r="E63" s="15" t="s">
        <v>54</v>
      </c>
      <c r="F63" s="15" t="s">
        <v>393</v>
      </c>
      <c r="G63" s="298"/>
      <c r="H63" s="10"/>
      <c r="I63" s="11"/>
      <c r="J63" s="11"/>
      <c r="K63" s="11"/>
      <c r="L63" s="11"/>
      <c r="M63" s="11"/>
      <c r="N63" s="11"/>
      <c r="O63" s="12"/>
      <c r="P63" s="11"/>
      <c r="Q63" s="13"/>
      <c r="R63" s="14"/>
    </row>
    <row r="64" spans="1:18" ht="15" customHeight="1">
      <c r="A64" s="17" t="s">
        <v>48</v>
      </c>
      <c r="B64" s="17" t="s">
        <v>394</v>
      </c>
      <c r="C64" s="18">
        <v>0.98958333333333337</v>
      </c>
      <c r="D64" s="17" t="s">
        <v>53</v>
      </c>
      <c r="E64" s="17" t="s">
        <v>37</v>
      </c>
      <c r="F64" s="17" t="s">
        <v>395</v>
      </c>
      <c r="G64" s="298"/>
      <c r="H64" s="10"/>
      <c r="I64" s="11"/>
      <c r="J64" s="11"/>
      <c r="K64" s="11"/>
      <c r="L64" s="11"/>
      <c r="M64" s="11"/>
      <c r="N64" s="11"/>
      <c r="O64" s="12"/>
      <c r="P64" s="11"/>
      <c r="Q64" s="13"/>
      <c r="R64" s="14"/>
    </row>
    <row r="65" spans="1:18" ht="15" customHeight="1">
      <c r="A65" s="17" t="s">
        <v>48</v>
      </c>
      <c r="B65" s="17" t="s">
        <v>396</v>
      </c>
      <c r="C65" s="18">
        <v>0.48958333333333331</v>
      </c>
      <c r="D65" s="17" t="s">
        <v>53</v>
      </c>
      <c r="E65" s="17" t="s">
        <v>37</v>
      </c>
      <c r="F65" s="17" t="s">
        <v>395</v>
      </c>
      <c r="G65" s="298"/>
      <c r="H65" s="10"/>
      <c r="I65" s="11"/>
      <c r="J65" s="11"/>
      <c r="K65" s="11"/>
      <c r="L65" s="11"/>
      <c r="M65" s="11"/>
      <c r="N65" s="11"/>
      <c r="O65" s="12"/>
      <c r="P65" s="11"/>
      <c r="Q65" s="13"/>
      <c r="R65" s="14"/>
    </row>
    <row r="66" spans="1:18" ht="15" customHeight="1">
      <c r="A66" s="17" t="s">
        <v>48</v>
      </c>
      <c r="B66" s="17" t="s">
        <v>397</v>
      </c>
      <c r="C66" s="18">
        <v>0.88888888888888884</v>
      </c>
      <c r="D66" s="17" t="s">
        <v>53</v>
      </c>
      <c r="E66" s="17" t="s">
        <v>37</v>
      </c>
      <c r="F66" s="17" t="s">
        <v>395</v>
      </c>
      <c r="G66" s="298"/>
      <c r="H66" s="10"/>
      <c r="I66" s="11"/>
      <c r="J66" s="11"/>
      <c r="K66" s="11"/>
      <c r="L66" s="11"/>
      <c r="M66" s="11"/>
      <c r="N66" s="11"/>
      <c r="O66" s="12"/>
      <c r="P66" s="11"/>
      <c r="Q66" s="13"/>
      <c r="R66" s="14"/>
    </row>
    <row r="67" spans="1:18" ht="15" customHeight="1">
      <c r="A67" s="17" t="s">
        <v>48</v>
      </c>
      <c r="B67" s="17" t="s">
        <v>398</v>
      </c>
      <c r="C67" s="18">
        <v>0.39930555555555558</v>
      </c>
      <c r="D67" s="17" t="s">
        <v>53</v>
      </c>
      <c r="E67" s="17" t="s">
        <v>37</v>
      </c>
      <c r="F67" s="17" t="s">
        <v>399</v>
      </c>
      <c r="G67" s="298"/>
      <c r="H67" s="10"/>
      <c r="I67" s="11"/>
      <c r="J67" s="11"/>
      <c r="K67" s="11"/>
      <c r="L67" s="11"/>
      <c r="M67" s="11"/>
      <c r="N67" s="11"/>
      <c r="O67" s="12"/>
      <c r="P67" s="11"/>
      <c r="Q67" s="13"/>
      <c r="R67" s="14"/>
    </row>
    <row r="68" spans="1:18" ht="15" customHeight="1">
      <c r="A68" s="17" t="s">
        <v>48</v>
      </c>
      <c r="B68" s="17" t="s">
        <v>400</v>
      </c>
      <c r="C68" s="18">
        <v>0.25347222222222221</v>
      </c>
      <c r="D68" s="17" t="s">
        <v>53</v>
      </c>
      <c r="E68" s="17" t="s">
        <v>57</v>
      </c>
      <c r="F68" s="17" t="s">
        <v>401</v>
      </c>
      <c r="G68" s="298"/>
      <c r="H68" s="10"/>
      <c r="I68" s="11"/>
      <c r="J68" s="11"/>
      <c r="K68" s="11"/>
      <c r="L68" s="11"/>
      <c r="M68" s="11"/>
      <c r="N68" s="11"/>
      <c r="O68" s="12"/>
      <c r="P68" s="11"/>
      <c r="Q68" s="13"/>
      <c r="R68" s="14"/>
    </row>
    <row r="69" spans="1:18" ht="15" customHeight="1">
      <c r="A69" s="19" t="s">
        <v>402</v>
      </c>
      <c r="B69" s="19" t="s">
        <v>403</v>
      </c>
      <c r="C69" s="20">
        <v>0.49305555555555558</v>
      </c>
      <c r="D69" s="19" t="s">
        <v>63</v>
      </c>
      <c r="E69" s="19" t="s">
        <v>103</v>
      </c>
      <c r="F69" s="19" t="s">
        <v>404</v>
      </c>
      <c r="G69" s="298"/>
      <c r="H69" s="10"/>
      <c r="I69" s="11"/>
      <c r="J69" s="11"/>
      <c r="K69" s="11"/>
      <c r="L69" s="11"/>
      <c r="M69" s="11"/>
      <c r="N69" s="11"/>
      <c r="O69" s="12"/>
      <c r="P69" s="11"/>
      <c r="Q69" s="13"/>
      <c r="R69" s="14"/>
    </row>
    <row r="70" spans="1:18" ht="15" customHeight="1">
      <c r="A70" s="19" t="s">
        <v>68</v>
      </c>
      <c r="B70" s="19" t="s">
        <v>405</v>
      </c>
      <c r="C70" s="20">
        <v>0.83680555555555547</v>
      </c>
      <c r="D70" s="19" t="s">
        <v>70</v>
      </c>
      <c r="E70" s="19" t="s">
        <v>51</v>
      </c>
      <c r="F70" s="19" t="s">
        <v>406</v>
      </c>
      <c r="G70" s="298"/>
      <c r="H70" s="10"/>
      <c r="I70" s="11"/>
      <c r="J70" s="11"/>
      <c r="K70" s="11"/>
      <c r="L70" s="11"/>
      <c r="M70" s="11"/>
      <c r="N70" s="11"/>
      <c r="O70" s="12"/>
      <c r="P70" s="11"/>
      <c r="Q70" s="13"/>
      <c r="R70" s="14"/>
    </row>
    <row r="71" spans="1:18" ht="15" customHeight="1">
      <c r="A71" s="17" t="s">
        <v>68</v>
      </c>
      <c r="B71" s="17" t="s">
        <v>407</v>
      </c>
      <c r="C71" s="18">
        <v>0.3125</v>
      </c>
      <c r="D71" s="17" t="s">
        <v>70</v>
      </c>
      <c r="E71" s="17" t="s">
        <v>57</v>
      </c>
      <c r="F71" s="17" t="s">
        <v>406</v>
      </c>
      <c r="G71" s="298"/>
      <c r="H71" s="10"/>
      <c r="I71" s="11"/>
      <c r="J71" s="11"/>
      <c r="K71" s="11"/>
      <c r="L71" s="11"/>
      <c r="M71" s="11"/>
      <c r="N71" s="11"/>
      <c r="O71" s="12"/>
      <c r="P71" s="11"/>
      <c r="Q71" s="13"/>
      <c r="R71" s="14"/>
    </row>
    <row r="72" spans="1:18" ht="15" customHeight="1">
      <c r="A72" s="17" t="s">
        <v>68</v>
      </c>
      <c r="B72" s="17" t="s">
        <v>408</v>
      </c>
      <c r="C72" s="18">
        <v>0.97222222222222221</v>
      </c>
      <c r="D72" s="17" t="s">
        <v>70</v>
      </c>
      <c r="E72" s="17" t="s">
        <v>57</v>
      </c>
      <c r="F72" s="17" t="s">
        <v>406</v>
      </c>
      <c r="G72" s="298"/>
      <c r="H72" s="10"/>
      <c r="I72" s="11"/>
      <c r="J72" s="11"/>
      <c r="K72" s="11"/>
      <c r="L72" s="11"/>
      <c r="M72" s="11"/>
      <c r="N72" s="11"/>
      <c r="O72" s="12"/>
      <c r="P72" s="11"/>
      <c r="Q72" s="13"/>
      <c r="R72" s="14"/>
    </row>
    <row r="73" spans="1:18" ht="15" customHeight="1">
      <c r="A73" s="17" t="s">
        <v>68</v>
      </c>
      <c r="B73" s="17" t="s">
        <v>409</v>
      </c>
      <c r="C73" s="18">
        <v>0.34027777777777768</v>
      </c>
      <c r="D73" s="17" t="s">
        <v>70</v>
      </c>
      <c r="E73" s="17" t="s">
        <v>57</v>
      </c>
      <c r="F73" s="17" t="s">
        <v>406</v>
      </c>
      <c r="G73" s="298"/>
      <c r="H73" s="10"/>
      <c r="I73" s="11"/>
      <c r="J73" s="11"/>
      <c r="K73" s="11"/>
      <c r="L73" s="11"/>
      <c r="M73" s="11"/>
      <c r="N73" s="11"/>
      <c r="O73" s="12"/>
      <c r="P73" s="11"/>
      <c r="Q73" s="13"/>
      <c r="R73" s="14"/>
    </row>
    <row r="74" spans="1:18" ht="15" customHeight="1">
      <c r="A74" s="17" t="s">
        <v>68</v>
      </c>
      <c r="B74" s="17" t="s">
        <v>410</v>
      </c>
      <c r="C74" s="18">
        <v>0.59722222222222221</v>
      </c>
      <c r="D74" s="17" t="s">
        <v>70</v>
      </c>
      <c r="E74" s="17" t="s">
        <v>57</v>
      </c>
      <c r="F74" s="17" t="s">
        <v>406</v>
      </c>
      <c r="G74" s="298"/>
      <c r="H74" s="10"/>
      <c r="I74" s="11"/>
      <c r="J74" s="11"/>
      <c r="K74" s="11"/>
      <c r="L74" s="11"/>
      <c r="M74" s="11"/>
      <c r="N74" s="11"/>
      <c r="O74" s="12"/>
      <c r="P74" s="11"/>
      <c r="Q74" s="13"/>
      <c r="R74" s="14"/>
    </row>
    <row r="75" spans="1:18" ht="15" customHeight="1">
      <c r="A75" s="17" t="s">
        <v>68</v>
      </c>
      <c r="B75" s="17" t="s">
        <v>411</v>
      </c>
      <c r="C75" s="18">
        <v>0.78472222222222221</v>
      </c>
      <c r="D75" s="17" t="s">
        <v>70</v>
      </c>
      <c r="E75" s="17" t="s">
        <v>57</v>
      </c>
      <c r="F75" s="17" t="s">
        <v>412</v>
      </c>
      <c r="G75" s="298"/>
      <c r="H75" s="10"/>
      <c r="I75" s="11"/>
      <c r="J75" s="11"/>
      <c r="K75" s="11"/>
      <c r="L75" s="11"/>
      <c r="M75" s="11"/>
      <c r="N75" s="11"/>
      <c r="O75" s="12"/>
      <c r="P75" s="11"/>
      <c r="Q75" s="13"/>
      <c r="R75" s="14"/>
    </row>
    <row r="76" spans="1:18" ht="15" customHeight="1">
      <c r="A76" s="17" t="s">
        <v>68</v>
      </c>
      <c r="B76" s="17" t="s">
        <v>413</v>
      </c>
      <c r="C76" s="18">
        <v>4.8611111111111112E-2</v>
      </c>
      <c r="D76" s="17" t="s">
        <v>70</v>
      </c>
      <c r="E76" s="17" t="s">
        <v>57</v>
      </c>
      <c r="F76" s="17" t="s">
        <v>414</v>
      </c>
      <c r="G76" s="298"/>
      <c r="H76" s="10"/>
      <c r="I76" s="11"/>
      <c r="J76" s="11"/>
      <c r="K76" s="11"/>
      <c r="L76" s="11"/>
      <c r="M76" s="11"/>
      <c r="N76" s="11"/>
      <c r="O76" s="12"/>
      <c r="P76" s="11"/>
      <c r="Q76" s="13"/>
      <c r="R76" s="14"/>
    </row>
    <row r="77" spans="1:18" ht="15" customHeight="1">
      <c r="A77" s="19" t="s">
        <v>415</v>
      </c>
      <c r="B77" s="19" t="s">
        <v>416</v>
      </c>
      <c r="C77" s="20">
        <v>0.11805555555555559</v>
      </c>
      <c r="D77" s="19" t="s">
        <v>63</v>
      </c>
      <c r="E77" s="19" t="s">
        <v>51</v>
      </c>
      <c r="F77" s="19" t="s">
        <v>417</v>
      </c>
      <c r="G77" s="298"/>
      <c r="H77" s="10"/>
      <c r="I77" s="11"/>
      <c r="J77" s="11"/>
      <c r="K77" s="11"/>
      <c r="L77" s="11"/>
      <c r="M77" s="11"/>
      <c r="N77" s="11"/>
      <c r="O77" s="12"/>
      <c r="P77" s="11"/>
      <c r="Q77" s="13"/>
      <c r="R77" s="14"/>
    </row>
    <row r="78" spans="1:18" ht="15" customHeight="1" thickBot="1">
      <c r="A78" s="30" t="s">
        <v>415</v>
      </c>
      <c r="B78" s="30" t="s">
        <v>418</v>
      </c>
      <c r="C78" s="31">
        <v>0.4201388888888889</v>
      </c>
      <c r="D78" s="30" t="s">
        <v>63</v>
      </c>
      <c r="E78" s="30" t="s">
        <v>57</v>
      </c>
      <c r="F78" s="30" t="s">
        <v>417</v>
      </c>
      <c r="G78" s="299"/>
      <c r="H78" s="300"/>
      <c r="I78" s="140"/>
      <c r="J78" s="140"/>
      <c r="K78" s="140"/>
      <c r="L78" s="140"/>
      <c r="M78" s="140"/>
      <c r="N78" s="140"/>
      <c r="O78" s="141"/>
      <c r="P78" s="140"/>
      <c r="Q78" s="142"/>
      <c r="R78" s="301"/>
    </row>
    <row r="79" spans="1:18" ht="17.45" customHeight="1" thickBot="1">
      <c r="A79" s="283"/>
      <c r="B79" s="284"/>
      <c r="C79" s="284"/>
      <c r="D79" s="284"/>
      <c r="E79" s="284"/>
      <c r="F79" s="284"/>
      <c r="G79" s="284"/>
      <c r="H79" s="284"/>
      <c r="I79" s="284"/>
      <c r="J79" s="284"/>
      <c r="K79" s="284"/>
      <c r="L79" s="284"/>
      <c r="M79" s="284"/>
      <c r="N79" s="284"/>
      <c r="O79" s="284"/>
      <c r="P79" s="284"/>
      <c r="Q79" s="284"/>
      <c r="R79" s="285"/>
    </row>
    <row r="80" spans="1:18" ht="22.15" customHeight="1" thickTop="1" thickBot="1">
      <c r="A80" s="279" t="s">
        <v>6</v>
      </c>
      <c r="B80" s="295"/>
      <c r="C80" s="295"/>
      <c r="D80" s="295"/>
      <c r="E80" s="295"/>
      <c r="F80" s="296"/>
      <c r="G80" s="32">
        <v>46024</v>
      </c>
      <c r="H80" s="278" t="s">
        <v>7</v>
      </c>
      <c r="I80" s="295"/>
      <c r="J80" s="295"/>
      <c r="K80" s="295"/>
      <c r="L80" s="295"/>
      <c r="M80" s="295"/>
      <c r="N80" s="295"/>
      <c r="O80" s="295"/>
      <c r="P80" s="295"/>
      <c r="Q80" s="295"/>
      <c r="R80" s="296"/>
    </row>
    <row r="81" spans="1:18" ht="24" customHeight="1">
      <c r="A81" s="33" t="s">
        <v>8</v>
      </c>
      <c r="B81" s="33" t="s">
        <v>9</v>
      </c>
      <c r="C81" s="34" t="s">
        <v>10</v>
      </c>
      <c r="D81" s="33" t="s">
        <v>11</v>
      </c>
      <c r="E81" s="33" t="s">
        <v>12</v>
      </c>
      <c r="F81" s="35" t="s">
        <v>13</v>
      </c>
      <c r="G81" s="36" t="s">
        <v>14</v>
      </c>
      <c r="H81" s="33" t="s">
        <v>15</v>
      </c>
      <c r="I81" s="37" t="s">
        <v>16</v>
      </c>
      <c r="J81" s="38" t="s">
        <v>17</v>
      </c>
      <c r="K81" s="39" t="s">
        <v>18</v>
      </c>
      <c r="L81" s="38" t="s">
        <v>19</v>
      </c>
      <c r="M81" s="38" t="s">
        <v>20</v>
      </c>
      <c r="N81" s="38" t="s">
        <v>21</v>
      </c>
      <c r="O81" s="33" t="s">
        <v>22</v>
      </c>
      <c r="P81" s="34" t="s">
        <v>23</v>
      </c>
      <c r="Q81" s="38" t="s">
        <v>24</v>
      </c>
      <c r="R81" s="33" t="s">
        <v>25</v>
      </c>
    </row>
    <row r="82" spans="1:18" ht="15" customHeight="1">
      <c r="A82" s="8" t="s">
        <v>38</v>
      </c>
      <c r="B82" s="8" t="s">
        <v>346</v>
      </c>
      <c r="C82" s="9">
        <v>0.39930555555555558</v>
      </c>
      <c r="D82" s="8" t="s">
        <v>40</v>
      </c>
      <c r="E82" s="8" t="s">
        <v>107</v>
      </c>
      <c r="F82" s="8" t="s">
        <v>343</v>
      </c>
      <c r="G82" s="297"/>
      <c r="H82" s="10"/>
      <c r="I82" s="11"/>
      <c r="J82" s="11"/>
      <c r="K82" s="11"/>
      <c r="L82" s="11"/>
      <c r="M82" s="11"/>
      <c r="N82" s="11"/>
      <c r="O82" s="12"/>
      <c r="P82" s="11"/>
      <c r="Q82" s="13"/>
      <c r="R82" s="14"/>
    </row>
    <row r="83" spans="1:18" ht="15" customHeight="1">
      <c r="A83" s="15" t="s">
        <v>38</v>
      </c>
      <c r="B83" s="15" t="s">
        <v>346</v>
      </c>
      <c r="C83" s="16">
        <v>0.39930555555555558</v>
      </c>
      <c r="D83" s="15" t="s">
        <v>43</v>
      </c>
      <c r="E83" s="15" t="s">
        <v>108</v>
      </c>
      <c r="F83" s="15" t="s">
        <v>33</v>
      </c>
      <c r="G83" s="298"/>
      <c r="H83" s="10"/>
      <c r="I83" s="11"/>
      <c r="J83" s="11"/>
      <c r="K83" s="11"/>
      <c r="L83" s="11"/>
      <c r="M83" s="11"/>
      <c r="N83" s="11"/>
      <c r="O83" s="12"/>
      <c r="P83" s="11"/>
      <c r="Q83" s="13"/>
      <c r="R83" s="14"/>
    </row>
    <row r="84" spans="1:18" ht="15" customHeight="1">
      <c r="A84" s="15" t="s">
        <v>38</v>
      </c>
      <c r="B84" s="15" t="s">
        <v>346</v>
      </c>
      <c r="C84" s="16">
        <v>0.39930555555555558</v>
      </c>
      <c r="D84" s="15" t="s">
        <v>46</v>
      </c>
      <c r="E84" s="15" t="s">
        <v>108</v>
      </c>
      <c r="F84" s="15" t="s">
        <v>419</v>
      </c>
      <c r="G84" s="298"/>
      <c r="H84" s="10"/>
      <c r="I84" s="11"/>
      <c r="J84" s="11"/>
      <c r="K84" s="11"/>
      <c r="L84" s="11"/>
      <c r="M84" s="11"/>
      <c r="N84" s="11"/>
      <c r="O84" s="12"/>
      <c r="P84" s="11"/>
      <c r="Q84" s="13"/>
      <c r="R84" s="14"/>
    </row>
    <row r="85" spans="1:18" ht="15" customHeight="1">
      <c r="A85" s="17" t="s">
        <v>38</v>
      </c>
      <c r="B85" s="17" t="s">
        <v>344</v>
      </c>
      <c r="C85" s="18">
        <v>0.88888888888888884</v>
      </c>
      <c r="D85" s="17" t="s">
        <v>40</v>
      </c>
      <c r="E85" s="17" t="s">
        <v>170</v>
      </c>
      <c r="F85" s="17" t="s">
        <v>30</v>
      </c>
      <c r="G85" s="298"/>
      <c r="H85" s="10"/>
      <c r="I85" s="11"/>
      <c r="J85" s="11"/>
      <c r="K85" s="11"/>
      <c r="L85" s="11"/>
      <c r="M85" s="11"/>
      <c r="N85" s="11"/>
      <c r="O85" s="12"/>
      <c r="P85" s="11"/>
      <c r="Q85" s="13"/>
      <c r="R85" s="14"/>
    </row>
    <row r="86" spans="1:18" ht="15" customHeight="1">
      <c r="A86" s="15" t="s">
        <v>38</v>
      </c>
      <c r="B86" s="15" t="s">
        <v>344</v>
      </c>
      <c r="C86" s="16">
        <v>0.88888888888888884</v>
      </c>
      <c r="D86" s="15" t="s">
        <v>43</v>
      </c>
      <c r="E86" s="15" t="s">
        <v>152</v>
      </c>
      <c r="F86" s="15" t="s">
        <v>420</v>
      </c>
      <c r="G86" s="298"/>
      <c r="H86" s="10"/>
      <c r="I86" s="11"/>
      <c r="J86" s="11"/>
      <c r="K86" s="11"/>
      <c r="L86" s="11"/>
      <c r="M86" s="11"/>
      <c r="N86" s="11"/>
      <c r="O86" s="12"/>
      <c r="P86" s="11"/>
      <c r="Q86" s="13"/>
      <c r="R86" s="14"/>
    </row>
    <row r="87" spans="1:18" ht="15" customHeight="1">
      <c r="A87" s="15" t="s">
        <v>38</v>
      </c>
      <c r="B87" s="15" t="s">
        <v>344</v>
      </c>
      <c r="C87" s="16">
        <v>0.88888888888888884</v>
      </c>
      <c r="D87" s="15" t="s">
        <v>46</v>
      </c>
      <c r="E87" s="15" t="s">
        <v>152</v>
      </c>
      <c r="F87" s="15" t="s">
        <v>47</v>
      </c>
      <c r="G87" s="298"/>
      <c r="H87" s="10"/>
      <c r="I87" s="11"/>
      <c r="J87" s="11"/>
      <c r="K87" s="11"/>
      <c r="L87" s="11"/>
      <c r="M87" s="11"/>
      <c r="N87" s="11"/>
      <c r="O87" s="12"/>
      <c r="P87" s="11"/>
      <c r="Q87" s="13"/>
      <c r="R87" s="14"/>
    </row>
    <row r="88" spans="1:18" ht="15" customHeight="1">
      <c r="A88" s="17" t="s">
        <v>38</v>
      </c>
      <c r="B88" s="17" t="s">
        <v>342</v>
      </c>
      <c r="C88" s="18">
        <v>0.48958333333333331</v>
      </c>
      <c r="D88" s="17" t="s">
        <v>40</v>
      </c>
      <c r="E88" s="17" t="s">
        <v>170</v>
      </c>
      <c r="F88" s="17" t="s">
        <v>347</v>
      </c>
      <c r="G88" s="298"/>
      <c r="H88" s="10"/>
      <c r="I88" s="11"/>
      <c r="J88" s="11"/>
      <c r="K88" s="11"/>
      <c r="L88" s="11"/>
      <c r="M88" s="11"/>
      <c r="N88" s="11"/>
      <c r="O88" s="12"/>
      <c r="P88" s="11"/>
      <c r="Q88" s="13"/>
      <c r="R88" s="14"/>
    </row>
    <row r="89" spans="1:18" ht="15" customHeight="1">
      <c r="A89" s="15" t="s">
        <v>38</v>
      </c>
      <c r="B89" s="15" t="s">
        <v>342</v>
      </c>
      <c r="C89" s="16">
        <v>0.48958333333333331</v>
      </c>
      <c r="D89" s="15" t="s">
        <v>43</v>
      </c>
      <c r="E89" s="15" t="s">
        <v>152</v>
      </c>
      <c r="F89" s="15" t="s">
        <v>138</v>
      </c>
      <c r="G89" s="298"/>
      <c r="H89" s="10"/>
      <c r="I89" s="11"/>
      <c r="J89" s="11"/>
      <c r="K89" s="11"/>
      <c r="L89" s="11"/>
      <c r="M89" s="11"/>
      <c r="N89" s="11"/>
      <c r="O89" s="12"/>
      <c r="P89" s="11"/>
      <c r="Q89" s="13"/>
      <c r="R89" s="14"/>
    </row>
    <row r="90" spans="1:18" ht="15" customHeight="1">
      <c r="A90" s="15" t="s">
        <v>38</v>
      </c>
      <c r="B90" s="15" t="s">
        <v>342</v>
      </c>
      <c r="C90" s="16">
        <v>0.48958333333333331</v>
      </c>
      <c r="D90" s="15" t="s">
        <v>46</v>
      </c>
      <c r="E90" s="15" t="s">
        <v>152</v>
      </c>
      <c r="F90" s="15" t="s">
        <v>419</v>
      </c>
      <c r="G90" s="298"/>
      <c r="H90" s="10"/>
      <c r="I90" s="11"/>
      <c r="J90" s="11"/>
      <c r="K90" s="11"/>
      <c r="L90" s="11"/>
      <c r="M90" s="11"/>
      <c r="N90" s="11"/>
      <c r="O90" s="12"/>
      <c r="P90" s="11"/>
      <c r="Q90" s="13"/>
      <c r="R90" s="14"/>
    </row>
    <row r="91" spans="1:18" ht="15" customHeight="1">
      <c r="A91" s="17" t="s">
        <v>38</v>
      </c>
      <c r="B91" s="17" t="s">
        <v>345</v>
      </c>
      <c r="C91" s="18">
        <v>0.98958333333333337</v>
      </c>
      <c r="D91" s="17" t="s">
        <v>40</v>
      </c>
      <c r="E91" s="17" t="s">
        <v>421</v>
      </c>
      <c r="F91" s="17" t="s">
        <v>347</v>
      </c>
      <c r="G91" s="298"/>
      <c r="H91" s="10"/>
      <c r="I91" s="11"/>
      <c r="J91" s="11"/>
      <c r="K91" s="11"/>
      <c r="L91" s="11"/>
      <c r="M91" s="11"/>
      <c r="N91" s="11"/>
      <c r="O91" s="12"/>
      <c r="P91" s="11"/>
      <c r="Q91" s="13"/>
      <c r="R91" s="14"/>
    </row>
    <row r="92" spans="1:18" ht="15" customHeight="1">
      <c r="A92" s="15" t="s">
        <v>38</v>
      </c>
      <c r="B92" s="15" t="s">
        <v>345</v>
      </c>
      <c r="C92" s="16">
        <v>0.98958333333333337</v>
      </c>
      <c r="D92" s="15" t="s">
        <v>43</v>
      </c>
      <c r="E92" s="15" t="s">
        <v>193</v>
      </c>
      <c r="F92" s="15" t="s">
        <v>138</v>
      </c>
      <c r="G92" s="298"/>
      <c r="H92" s="10"/>
      <c r="I92" s="11"/>
      <c r="J92" s="11"/>
      <c r="K92" s="11"/>
      <c r="L92" s="11"/>
      <c r="M92" s="11"/>
      <c r="N92" s="11"/>
      <c r="O92" s="12"/>
      <c r="P92" s="11"/>
      <c r="Q92" s="13"/>
      <c r="R92" s="14"/>
    </row>
    <row r="93" spans="1:18" ht="15" customHeight="1">
      <c r="A93" s="15" t="s">
        <v>38</v>
      </c>
      <c r="B93" s="15" t="s">
        <v>345</v>
      </c>
      <c r="C93" s="16">
        <v>0.98958333333333337</v>
      </c>
      <c r="D93" s="15" t="s">
        <v>46</v>
      </c>
      <c r="E93" s="15" t="s">
        <v>193</v>
      </c>
      <c r="F93" s="15" t="s">
        <v>47</v>
      </c>
      <c r="G93" s="298"/>
      <c r="H93" s="10"/>
      <c r="I93" s="11"/>
      <c r="J93" s="11"/>
      <c r="K93" s="11"/>
      <c r="L93" s="11"/>
      <c r="M93" s="11"/>
      <c r="N93" s="11"/>
      <c r="O93" s="12"/>
      <c r="P93" s="11"/>
      <c r="Q93" s="13"/>
      <c r="R93" s="14"/>
    </row>
    <row r="94" spans="1:18" ht="15" customHeight="1">
      <c r="A94" s="19" t="s">
        <v>359</v>
      </c>
      <c r="B94" s="19" t="s">
        <v>422</v>
      </c>
      <c r="C94" s="20">
        <v>0.80902777777777779</v>
      </c>
      <c r="D94" s="19" t="s">
        <v>361</v>
      </c>
      <c r="E94" s="19" t="s">
        <v>80</v>
      </c>
      <c r="F94" s="19" t="s">
        <v>423</v>
      </c>
      <c r="G94" s="298"/>
      <c r="H94" s="10"/>
      <c r="I94" s="11"/>
      <c r="J94" s="11"/>
      <c r="K94" s="11"/>
      <c r="L94" s="11"/>
      <c r="M94" s="11"/>
      <c r="N94" s="11"/>
      <c r="O94" s="12"/>
      <c r="P94" s="11"/>
      <c r="Q94" s="13"/>
      <c r="R94" s="14"/>
    </row>
    <row r="95" spans="1:18" ht="15" customHeight="1">
      <c r="A95" s="15" t="s">
        <v>359</v>
      </c>
      <c r="B95" s="15" t="s">
        <v>422</v>
      </c>
      <c r="C95" s="16">
        <v>0.80902777777777779</v>
      </c>
      <c r="D95" s="15" t="s">
        <v>46</v>
      </c>
      <c r="E95" s="15" t="s">
        <v>82</v>
      </c>
      <c r="F95" s="15" t="s">
        <v>424</v>
      </c>
      <c r="G95" s="298"/>
      <c r="H95" s="10"/>
      <c r="I95" s="11"/>
      <c r="J95" s="11"/>
      <c r="K95" s="11"/>
      <c r="L95" s="11"/>
      <c r="M95" s="11"/>
      <c r="N95" s="11"/>
      <c r="O95" s="12"/>
      <c r="P95" s="11"/>
      <c r="Q95" s="13"/>
      <c r="R95" s="14"/>
    </row>
    <row r="96" spans="1:18" ht="15" customHeight="1">
      <c r="A96" s="17" t="s">
        <v>359</v>
      </c>
      <c r="B96" s="17" t="s">
        <v>360</v>
      </c>
      <c r="C96" s="18">
        <v>0.22569444444444439</v>
      </c>
      <c r="D96" s="17" t="s">
        <v>361</v>
      </c>
      <c r="E96" s="17" t="s">
        <v>90</v>
      </c>
      <c r="F96" s="17" t="s">
        <v>423</v>
      </c>
      <c r="G96" s="298"/>
      <c r="H96" s="10"/>
      <c r="I96" s="11"/>
      <c r="J96" s="11"/>
      <c r="K96" s="11"/>
      <c r="L96" s="11"/>
      <c r="M96" s="11"/>
      <c r="N96" s="11"/>
      <c r="O96" s="12"/>
      <c r="P96" s="11"/>
      <c r="Q96" s="13"/>
      <c r="R96" s="14"/>
    </row>
    <row r="97" spans="1:18" ht="15" customHeight="1">
      <c r="A97" s="15" t="s">
        <v>359</v>
      </c>
      <c r="B97" s="15" t="s">
        <v>360</v>
      </c>
      <c r="C97" s="16">
        <v>0.22569444444444439</v>
      </c>
      <c r="D97" s="15" t="s">
        <v>46</v>
      </c>
      <c r="E97" s="15" t="s">
        <v>82</v>
      </c>
      <c r="F97" s="15" t="s">
        <v>424</v>
      </c>
      <c r="G97" s="298"/>
      <c r="H97" s="10"/>
      <c r="I97" s="11"/>
      <c r="J97" s="11"/>
      <c r="K97" s="11"/>
      <c r="L97" s="11"/>
      <c r="M97" s="11"/>
      <c r="N97" s="11"/>
      <c r="O97" s="12"/>
      <c r="P97" s="11"/>
      <c r="Q97" s="13"/>
      <c r="R97" s="14"/>
    </row>
    <row r="98" spans="1:18" ht="15" customHeight="1">
      <c r="A98" s="17" t="s">
        <v>359</v>
      </c>
      <c r="B98" s="17" t="s">
        <v>425</v>
      </c>
      <c r="C98" s="18">
        <v>0.51041666666666663</v>
      </c>
      <c r="D98" s="17" t="s">
        <v>361</v>
      </c>
      <c r="E98" s="17" t="s">
        <v>90</v>
      </c>
      <c r="F98" s="17" t="s">
        <v>423</v>
      </c>
      <c r="G98" s="298"/>
      <c r="H98" s="10"/>
      <c r="I98" s="11"/>
      <c r="J98" s="11"/>
      <c r="K98" s="11"/>
      <c r="L98" s="11"/>
      <c r="M98" s="11"/>
      <c r="N98" s="11"/>
      <c r="O98" s="12"/>
      <c r="P98" s="11"/>
      <c r="Q98" s="13"/>
      <c r="R98" s="14"/>
    </row>
    <row r="99" spans="1:18" ht="15" customHeight="1">
      <c r="A99" s="15" t="s">
        <v>359</v>
      </c>
      <c r="B99" s="15" t="s">
        <v>425</v>
      </c>
      <c r="C99" s="16">
        <v>0.51041666666666663</v>
      </c>
      <c r="D99" s="15" t="s">
        <v>46</v>
      </c>
      <c r="E99" s="15" t="s">
        <v>82</v>
      </c>
      <c r="F99" s="15" t="s">
        <v>424</v>
      </c>
      <c r="G99" s="298"/>
      <c r="H99" s="10"/>
      <c r="I99" s="11"/>
      <c r="J99" s="11"/>
      <c r="K99" s="11"/>
      <c r="L99" s="11"/>
      <c r="M99" s="11"/>
      <c r="N99" s="11"/>
      <c r="O99" s="12"/>
      <c r="P99" s="11"/>
      <c r="Q99" s="13"/>
      <c r="R99" s="14"/>
    </row>
    <row r="100" spans="1:18" ht="15" customHeight="1">
      <c r="A100" s="19" t="s">
        <v>26</v>
      </c>
      <c r="B100" s="19" t="s">
        <v>348</v>
      </c>
      <c r="C100" s="20">
        <v>0.99305555555555547</v>
      </c>
      <c r="D100" s="19" t="s">
        <v>28</v>
      </c>
      <c r="E100" s="19" t="s">
        <v>156</v>
      </c>
      <c r="F100" s="19" t="s">
        <v>347</v>
      </c>
      <c r="G100" s="298"/>
      <c r="H100" s="10"/>
      <c r="I100" s="11"/>
      <c r="J100" s="11"/>
      <c r="K100" s="11"/>
      <c r="L100" s="11"/>
      <c r="M100" s="11"/>
      <c r="N100" s="11"/>
      <c r="O100" s="12"/>
      <c r="P100" s="11"/>
      <c r="Q100" s="13"/>
      <c r="R100" s="14"/>
    </row>
    <row r="101" spans="1:18" ht="15" customHeight="1">
      <c r="A101" s="15" t="s">
        <v>26</v>
      </c>
      <c r="B101" s="15" t="s">
        <v>348</v>
      </c>
      <c r="C101" s="16">
        <v>0.99305555555555547</v>
      </c>
      <c r="D101" s="15" t="s">
        <v>31</v>
      </c>
      <c r="E101" s="15" t="s">
        <v>135</v>
      </c>
      <c r="F101" s="15" t="s">
        <v>426</v>
      </c>
      <c r="G101" s="298"/>
      <c r="H101" s="10"/>
      <c r="I101" s="11"/>
      <c r="J101" s="11"/>
      <c r="K101" s="11"/>
      <c r="L101" s="11"/>
      <c r="M101" s="11"/>
      <c r="N101" s="11"/>
      <c r="O101" s="12"/>
      <c r="P101" s="11"/>
      <c r="Q101" s="13"/>
      <c r="R101" s="14"/>
    </row>
    <row r="102" spans="1:18" ht="15" customHeight="1">
      <c r="A102" s="15" t="s">
        <v>26</v>
      </c>
      <c r="B102" s="15" t="s">
        <v>348</v>
      </c>
      <c r="C102" s="16">
        <v>0.99305555555555547</v>
      </c>
      <c r="D102" s="15" t="s">
        <v>34</v>
      </c>
      <c r="E102" s="15" t="s">
        <v>135</v>
      </c>
      <c r="F102" s="15" t="s">
        <v>162</v>
      </c>
      <c r="G102" s="298"/>
      <c r="H102" s="10"/>
      <c r="I102" s="11"/>
      <c r="J102" s="11"/>
      <c r="K102" s="11"/>
      <c r="L102" s="11"/>
      <c r="M102" s="11"/>
      <c r="N102" s="11"/>
      <c r="O102" s="12"/>
      <c r="P102" s="11"/>
      <c r="Q102" s="13"/>
      <c r="R102" s="14"/>
    </row>
    <row r="103" spans="1:18" ht="15" customHeight="1">
      <c r="A103" s="17" t="s">
        <v>26</v>
      </c>
      <c r="B103" s="17" t="s">
        <v>350</v>
      </c>
      <c r="C103" s="18">
        <v>0.73611111111111116</v>
      </c>
      <c r="D103" s="17" t="s">
        <v>28</v>
      </c>
      <c r="E103" s="17" t="s">
        <v>134</v>
      </c>
      <c r="F103" s="17" t="s">
        <v>347</v>
      </c>
      <c r="G103" s="298"/>
      <c r="H103" s="10"/>
      <c r="I103" s="11"/>
      <c r="J103" s="11"/>
      <c r="K103" s="11"/>
      <c r="L103" s="11"/>
      <c r="M103" s="11"/>
      <c r="N103" s="11"/>
      <c r="O103" s="12"/>
      <c r="P103" s="11"/>
      <c r="Q103" s="13"/>
      <c r="R103" s="14"/>
    </row>
    <row r="104" spans="1:18" ht="15" customHeight="1">
      <c r="A104" s="15" t="s">
        <v>26</v>
      </c>
      <c r="B104" s="15" t="s">
        <v>350</v>
      </c>
      <c r="C104" s="16">
        <v>0.73611111111111116</v>
      </c>
      <c r="D104" s="15" t="s">
        <v>31</v>
      </c>
      <c r="E104" s="15" t="s">
        <v>135</v>
      </c>
      <c r="F104" s="15" t="s">
        <v>426</v>
      </c>
      <c r="G104" s="298"/>
      <c r="H104" s="10"/>
      <c r="I104" s="11"/>
      <c r="J104" s="11"/>
      <c r="K104" s="11"/>
      <c r="L104" s="11"/>
      <c r="M104" s="11"/>
      <c r="N104" s="11"/>
      <c r="O104" s="12"/>
      <c r="P104" s="11"/>
      <c r="Q104" s="13"/>
      <c r="R104" s="14"/>
    </row>
    <row r="105" spans="1:18" ht="15" customHeight="1">
      <c r="A105" s="15" t="s">
        <v>26</v>
      </c>
      <c r="B105" s="15" t="s">
        <v>350</v>
      </c>
      <c r="C105" s="16">
        <v>0.73611111111111116</v>
      </c>
      <c r="D105" s="15" t="s">
        <v>34</v>
      </c>
      <c r="E105" s="15" t="s">
        <v>135</v>
      </c>
      <c r="F105" s="15" t="s">
        <v>162</v>
      </c>
      <c r="G105" s="298"/>
      <c r="H105" s="10"/>
      <c r="I105" s="11"/>
      <c r="J105" s="11"/>
      <c r="K105" s="11"/>
      <c r="L105" s="11"/>
      <c r="M105" s="11"/>
      <c r="N105" s="11"/>
      <c r="O105" s="12"/>
      <c r="P105" s="11"/>
      <c r="Q105" s="13"/>
      <c r="R105" s="14"/>
    </row>
    <row r="106" spans="1:18" ht="15" customHeight="1">
      <c r="A106" s="17" t="s">
        <v>26</v>
      </c>
      <c r="B106" s="17" t="s">
        <v>354</v>
      </c>
      <c r="C106" s="18">
        <v>0.34722222222222232</v>
      </c>
      <c r="D106" s="17" t="s">
        <v>28</v>
      </c>
      <c r="E106" s="17" t="s">
        <v>134</v>
      </c>
      <c r="F106" s="17" t="s">
        <v>83</v>
      </c>
      <c r="G106" s="298"/>
      <c r="H106" s="10"/>
      <c r="I106" s="11"/>
      <c r="J106" s="11"/>
      <c r="K106" s="11"/>
      <c r="L106" s="11"/>
      <c r="M106" s="11"/>
      <c r="N106" s="11"/>
      <c r="O106" s="12"/>
      <c r="P106" s="11"/>
      <c r="Q106" s="13"/>
      <c r="R106" s="14"/>
    </row>
    <row r="107" spans="1:18" ht="15" customHeight="1">
      <c r="A107" s="15" t="s">
        <v>26</v>
      </c>
      <c r="B107" s="15" t="s">
        <v>354</v>
      </c>
      <c r="C107" s="16">
        <v>0.34722222222222232</v>
      </c>
      <c r="D107" s="15" t="s">
        <v>31</v>
      </c>
      <c r="E107" s="15" t="s">
        <v>135</v>
      </c>
      <c r="F107" s="15" t="s">
        <v>159</v>
      </c>
      <c r="G107" s="298"/>
      <c r="H107" s="10"/>
      <c r="I107" s="11"/>
      <c r="J107" s="11"/>
      <c r="K107" s="11"/>
      <c r="L107" s="11"/>
      <c r="M107" s="11"/>
      <c r="N107" s="11"/>
      <c r="O107" s="12"/>
      <c r="P107" s="11"/>
      <c r="Q107" s="13"/>
      <c r="R107" s="14"/>
    </row>
    <row r="108" spans="1:18" ht="15" customHeight="1">
      <c r="A108" s="15" t="s">
        <v>26</v>
      </c>
      <c r="B108" s="15" t="s">
        <v>354</v>
      </c>
      <c r="C108" s="16">
        <v>0.34722222222222232</v>
      </c>
      <c r="D108" s="15" t="s">
        <v>34</v>
      </c>
      <c r="E108" s="15" t="s">
        <v>135</v>
      </c>
      <c r="F108" s="15" t="s">
        <v>355</v>
      </c>
      <c r="G108" s="298"/>
      <c r="H108" s="10"/>
      <c r="I108" s="11"/>
      <c r="J108" s="11"/>
      <c r="K108" s="11"/>
      <c r="L108" s="11"/>
      <c r="M108" s="11"/>
      <c r="N108" s="11"/>
      <c r="O108" s="12"/>
      <c r="P108" s="11"/>
      <c r="Q108" s="13"/>
      <c r="R108" s="14"/>
    </row>
    <row r="109" spans="1:18" ht="15" customHeight="1">
      <c r="A109" s="17" t="s">
        <v>26</v>
      </c>
      <c r="B109" s="17" t="s">
        <v>351</v>
      </c>
      <c r="C109" s="18">
        <v>0.83680555555555547</v>
      </c>
      <c r="D109" s="17" t="s">
        <v>28</v>
      </c>
      <c r="E109" s="17" t="s">
        <v>98</v>
      </c>
      <c r="F109" s="17" t="s">
        <v>83</v>
      </c>
      <c r="G109" s="298"/>
      <c r="H109" s="10"/>
      <c r="I109" s="11"/>
      <c r="J109" s="11"/>
      <c r="K109" s="11"/>
      <c r="L109" s="11"/>
      <c r="M109" s="11"/>
      <c r="N109" s="11"/>
      <c r="O109" s="12"/>
      <c r="P109" s="11"/>
      <c r="Q109" s="13"/>
      <c r="R109" s="14"/>
    </row>
    <row r="110" spans="1:18" ht="15" customHeight="1">
      <c r="A110" s="15" t="s">
        <v>26</v>
      </c>
      <c r="B110" s="15" t="s">
        <v>351</v>
      </c>
      <c r="C110" s="16">
        <v>0.83680555555555547</v>
      </c>
      <c r="D110" s="15" t="s">
        <v>31</v>
      </c>
      <c r="E110" s="15" t="s">
        <v>99</v>
      </c>
      <c r="F110" s="15" t="s">
        <v>159</v>
      </c>
      <c r="G110" s="298"/>
      <c r="H110" s="10"/>
      <c r="I110" s="11"/>
      <c r="J110" s="11"/>
      <c r="K110" s="11"/>
      <c r="L110" s="11"/>
      <c r="M110" s="11"/>
      <c r="N110" s="11"/>
      <c r="O110" s="12"/>
      <c r="P110" s="11"/>
      <c r="Q110" s="13"/>
      <c r="R110" s="14"/>
    </row>
    <row r="111" spans="1:18" ht="15" customHeight="1">
      <c r="A111" s="15" t="s">
        <v>26</v>
      </c>
      <c r="B111" s="15" t="s">
        <v>351</v>
      </c>
      <c r="C111" s="16">
        <v>0.83680555555555547</v>
      </c>
      <c r="D111" s="15" t="s">
        <v>34</v>
      </c>
      <c r="E111" s="15" t="s">
        <v>99</v>
      </c>
      <c r="F111" s="15" t="s">
        <v>355</v>
      </c>
      <c r="G111" s="298"/>
      <c r="H111" s="10"/>
      <c r="I111" s="11"/>
      <c r="J111" s="11"/>
      <c r="K111" s="11"/>
      <c r="L111" s="11"/>
      <c r="M111" s="11"/>
      <c r="N111" s="11"/>
      <c r="O111" s="12"/>
      <c r="P111" s="11"/>
      <c r="Q111" s="13"/>
      <c r="R111" s="14"/>
    </row>
    <row r="112" spans="1:18" ht="15" customHeight="1">
      <c r="A112" s="17" t="s">
        <v>26</v>
      </c>
      <c r="B112" s="17" t="s">
        <v>352</v>
      </c>
      <c r="C112" s="18">
        <v>0.94444444444444453</v>
      </c>
      <c r="D112" s="17" t="s">
        <v>28</v>
      </c>
      <c r="E112" s="17" t="s">
        <v>134</v>
      </c>
      <c r="F112" s="17" t="s">
        <v>83</v>
      </c>
      <c r="G112" s="298"/>
      <c r="H112" s="10"/>
      <c r="I112" s="11"/>
      <c r="J112" s="11"/>
      <c r="K112" s="11"/>
      <c r="L112" s="11"/>
      <c r="M112" s="11"/>
      <c r="N112" s="11"/>
      <c r="O112" s="12"/>
      <c r="P112" s="11"/>
      <c r="Q112" s="13"/>
      <c r="R112" s="14"/>
    </row>
    <row r="113" spans="1:18" ht="15" customHeight="1">
      <c r="A113" s="15" t="s">
        <v>26</v>
      </c>
      <c r="B113" s="15" t="s">
        <v>352</v>
      </c>
      <c r="C113" s="16">
        <v>0.94444444444444453</v>
      </c>
      <c r="D113" s="15" t="s">
        <v>31</v>
      </c>
      <c r="E113" s="15" t="s">
        <v>135</v>
      </c>
      <c r="F113" s="15" t="s">
        <v>159</v>
      </c>
      <c r="G113" s="298"/>
      <c r="H113" s="10"/>
      <c r="I113" s="11"/>
      <c r="J113" s="11"/>
      <c r="K113" s="11"/>
      <c r="L113" s="11"/>
      <c r="M113" s="11"/>
      <c r="N113" s="11"/>
      <c r="O113" s="12"/>
      <c r="P113" s="11"/>
      <c r="Q113" s="13"/>
      <c r="R113" s="14"/>
    </row>
    <row r="114" spans="1:18" ht="15" customHeight="1">
      <c r="A114" s="15" t="s">
        <v>26</v>
      </c>
      <c r="B114" s="15" t="s">
        <v>352</v>
      </c>
      <c r="C114" s="16">
        <v>0.94444444444444453</v>
      </c>
      <c r="D114" s="15" t="s">
        <v>34</v>
      </c>
      <c r="E114" s="15" t="s">
        <v>135</v>
      </c>
      <c r="F114" s="15" t="s">
        <v>355</v>
      </c>
      <c r="G114" s="298"/>
      <c r="H114" s="10"/>
      <c r="I114" s="11"/>
      <c r="J114" s="11"/>
      <c r="K114" s="11"/>
      <c r="L114" s="11"/>
      <c r="M114" s="11"/>
      <c r="N114" s="11"/>
      <c r="O114" s="12"/>
      <c r="P114" s="11"/>
      <c r="Q114" s="13"/>
      <c r="R114" s="14"/>
    </row>
    <row r="115" spans="1:18" ht="15" customHeight="1">
      <c r="A115" s="17" t="s">
        <v>26</v>
      </c>
      <c r="B115" s="17" t="s">
        <v>353</v>
      </c>
      <c r="C115" s="18">
        <v>0.88888888888888884</v>
      </c>
      <c r="D115" s="17" t="s">
        <v>28</v>
      </c>
      <c r="E115" s="17" t="s">
        <v>98</v>
      </c>
      <c r="F115" s="17" t="s">
        <v>83</v>
      </c>
      <c r="G115" s="298"/>
      <c r="H115" s="10"/>
      <c r="I115" s="11"/>
      <c r="J115" s="11"/>
      <c r="K115" s="11"/>
      <c r="L115" s="11"/>
      <c r="M115" s="11"/>
      <c r="N115" s="11"/>
      <c r="O115" s="12"/>
      <c r="P115" s="11"/>
      <c r="Q115" s="13"/>
      <c r="R115" s="14"/>
    </row>
    <row r="116" spans="1:18" ht="15" customHeight="1">
      <c r="A116" s="15" t="s">
        <v>26</v>
      </c>
      <c r="B116" s="15" t="s">
        <v>353</v>
      </c>
      <c r="C116" s="16">
        <v>0.88888888888888884</v>
      </c>
      <c r="D116" s="15" t="s">
        <v>31</v>
      </c>
      <c r="E116" s="15" t="s">
        <v>99</v>
      </c>
      <c r="F116" s="15" t="s">
        <v>159</v>
      </c>
      <c r="G116" s="298"/>
      <c r="H116" s="10"/>
      <c r="I116" s="11"/>
      <c r="J116" s="11"/>
      <c r="K116" s="11"/>
      <c r="L116" s="11"/>
      <c r="M116" s="11"/>
      <c r="N116" s="11"/>
      <c r="O116" s="12"/>
      <c r="P116" s="11"/>
      <c r="Q116" s="13"/>
      <c r="R116" s="14"/>
    </row>
    <row r="117" spans="1:18" ht="15" customHeight="1">
      <c r="A117" s="15" t="s">
        <v>26</v>
      </c>
      <c r="B117" s="15" t="s">
        <v>353</v>
      </c>
      <c r="C117" s="16">
        <v>0.88888888888888884</v>
      </c>
      <c r="D117" s="15" t="s">
        <v>34</v>
      </c>
      <c r="E117" s="15" t="s">
        <v>99</v>
      </c>
      <c r="F117" s="15" t="s">
        <v>355</v>
      </c>
      <c r="G117" s="298"/>
      <c r="H117" s="10"/>
      <c r="I117" s="11"/>
      <c r="J117" s="11"/>
      <c r="K117" s="11"/>
      <c r="L117" s="11"/>
      <c r="M117" s="11"/>
      <c r="N117" s="11"/>
      <c r="O117" s="12"/>
      <c r="P117" s="11"/>
      <c r="Q117" s="13"/>
      <c r="R117" s="14"/>
    </row>
    <row r="118" spans="1:18" ht="15" customHeight="1">
      <c r="A118" s="17" t="s">
        <v>26</v>
      </c>
      <c r="B118" s="17" t="s">
        <v>356</v>
      </c>
      <c r="C118" s="18">
        <v>0.4861111111111111</v>
      </c>
      <c r="D118" s="17" t="s">
        <v>28</v>
      </c>
      <c r="E118" s="17" t="s">
        <v>90</v>
      </c>
      <c r="F118" s="17" t="s">
        <v>45</v>
      </c>
      <c r="G118" s="298"/>
      <c r="H118" s="10"/>
      <c r="I118" s="11"/>
      <c r="J118" s="11"/>
      <c r="K118" s="11"/>
      <c r="L118" s="11"/>
      <c r="M118" s="11"/>
      <c r="N118" s="11"/>
      <c r="O118" s="12"/>
      <c r="P118" s="11"/>
      <c r="Q118" s="13"/>
      <c r="R118" s="14"/>
    </row>
    <row r="119" spans="1:18" ht="15" customHeight="1">
      <c r="A119" s="15" t="s">
        <v>26</v>
      </c>
      <c r="B119" s="15" t="s">
        <v>356</v>
      </c>
      <c r="C119" s="16">
        <v>0.4861111111111111</v>
      </c>
      <c r="D119" s="15" t="s">
        <v>31</v>
      </c>
      <c r="E119" s="15" t="s">
        <v>82</v>
      </c>
      <c r="F119" s="15" t="s">
        <v>355</v>
      </c>
      <c r="G119" s="298"/>
      <c r="H119" s="10"/>
      <c r="I119" s="11"/>
      <c r="J119" s="11"/>
      <c r="K119" s="11"/>
      <c r="L119" s="11"/>
      <c r="M119" s="11"/>
      <c r="N119" s="11"/>
      <c r="O119" s="12"/>
      <c r="P119" s="11"/>
      <c r="Q119" s="13"/>
      <c r="R119" s="14"/>
    </row>
    <row r="120" spans="1:18" ht="15" customHeight="1">
      <c r="A120" s="15" t="s">
        <v>26</v>
      </c>
      <c r="B120" s="15" t="s">
        <v>356</v>
      </c>
      <c r="C120" s="16">
        <v>0.4861111111111111</v>
      </c>
      <c r="D120" s="15" t="s">
        <v>34</v>
      </c>
      <c r="E120" s="15" t="s">
        <v>82</v>
      </c>
      <c r="F120" s="15" t="s">
        <v>358</v>
      </c>
      <c r="G120" s="298"/>
      <c r="H120" s="10"/>
      <c r="I120" s="11"/>
      <c r="J120" s="11"/>
      <c r="K120" s="11"/>
      <c r="L120" s="11"/>
      <c r="M120" s="11"/>
      <c r="N120" s="11"/>
      <c r="O120" s="12"/>
      <c r="P120" s="11"/>
      <c r="Q120" s="13"/>
      <c r="R120" s="14"/>
    </row>
    <row r="121" spans="1:18" ht="15" customHeight="1">
      <c r="A121" s="17" t="s">
        <v>26</v>
      </c>
      <c r="B121" s="17" t="s">
        <v>357</v>
      </c>
      <c r="C121" s="18">
        <v>0.55902777777777779</v>
      </c>
      <c r="D121" s="17" t="s">
        <v>28</v>
      </c>
      <c r="E121" s="17" t="s">
        <v>427</v>
      </c>
      <c r="F121" s="17" t="s">
        <v>45</v>
      </c>
      <c r="G121" s="298"/>
      <c r="H121" s="10"/>
      <c r="I121" s="11"/>
      <c r="J121" s="11"/>
      <c r="K121" s="11"/>
      <c r="L121" s="11"/>
      <c r="M121" s="11"/>
      <c r="N121" s="11"/>
      <c r="O121" s="12"/>
      <c r="P121" s="11"/>
      <c r="Q121" s="13"/>
      <c r="R121" s="14"/>
    </row>
    <row r="122" spans="1:18" ht="15" customHeight="1">
      <c r="A122" s="15" t="s">
        <v>26</v>
      </c>
      <c r="B122" s="15" t="s">
        <v>357</v>
      </c>
      <c r="C122" s="16">
        <v>0.55902777777777779</v>
      </c>
      <c r="D122" s="15" t="s">
        <v>31</v>
      </c>
      <c r="E122" s="15" t="s">
        <v>115</v>
      </c>
      <c r="F122" s="15" t="s">
        <v>355</v>
      </c>
      <c r="G122" s="298"/>
      <c r="H122" s="10"/>
      <c r="I122" s="11"/>
      <c r="J122" s="11"/>
      <c r="K122" s="11"/>
      <c r="L122" s="11"/>
      <c r="M122" s="11"/>
      <c r="N122" s="11"/>
      <c r="O122" s="12"/>
      <c r="P122" s="11"/>
      <c r="Q122" s="13"/>
      <c r="R122" s="14"/>
    </row>
    <row r="123" spans="1:18" ht="15" customHeight="1">
      <c r="A123" s="15" t="s">
        <v>26</v>
      </c>
      <c r="B123" s="15" t="s">
        <v>357</v>
      </c>
      <c r="C123" s="16">
        <v>0.55902777777777779</v>
      </c>
      <c r="D123" s="15" t="s">
        <v>34</v>
      </c>
      <c r="E123" s="15" t="s">
        <v>115</v>
      </c>
      <c r="F123" s="15" t="s">
        <v>358</v>
      </c>
      <c r="G123" s="298"/>
      <c r="H123" s="10"/>
      <c r="I123" s="11"/>
      <c r="J123" s="11"/>
      <c r="K123" s="11"/>
      <c r="L123" s="11"/>
      <c r="M123" s="11"/>
      <c r="N123" s="11"/>
      <c r="O123" s="12"/>
      <c r="P123" s="11"/>
      <c r="Q123" s="13"/>
      <c r="R123" s="14"/>
    </row>
    <row r="124" spans="1:18" ht="15" customHeight="1">
      <c r="A124" s="21" t="s">
        <v>61</v>
      </c>
      <c r="B124" s="21" t="s">
        <v>428</v>
      </c>
      <c r="C124" s="22">
        <v>0.55902777777777779</v>
      </c>
      <c r="D124" s="21" t="s">
        <v>63</v>
      </c>
      <c r="E124" s="21" t="s">
        <v>156</v>
      </c>
      <c r="F124" s="21" t="s">
        <v>365</v>
      </c>
      <c r="G124" s="298"/>
      <c r="H124" s="23" t="s">
        <v>429</v>
      </c>
      <c r="I124" s="24">
        <v>2.7799999999999998E-2</v>
      </c>
      <c r="J124" s="25">
        <v>5</v>
      </c>
      <c r="K124" s="26">
        <v>46334</v>
      </c>
      <c r="L124" s="25">
        <v>5</v>
      </c>
      <c r="M124" s="25">
        <v>0</v>
      </c>
      <c r="N124" s="25">
        <v>0</v>
      </c>
      <c r="O124" s="27" t="s">
        <v>430</v>
      </c>
      <c r="P124" s="28">
        <v>0.55902777777777779</v>
      </c>
      <c r="Q124" s="25">
        <v>180</v>
      </c>
      <c r="R124" s="29" t="s">
        <v>431</v>
      </c>
    </row>
    <row r="125" spans="1:18" ht="15" customHeight="1">
      <c r="A125" s="158" t="s">
        <v>61</v>
      </c>
      <c r="B125" s="158" t="s">
        <v>377</v>
      </c>
      <c r="C125" s="159">
        <v>0.28125</v>
      </c>
      <c r="D125" s="158" t="s">
        <v>63</v>
      </c>
      <c r="E125" s="158" t="s">
        <v>98</v>
      </c>
      <c r="F125" s="158" t="s">
        <v>365</v>
      </c>
      <c r="G125" s="298"/>
      <c r="H125" s="89" t="s">
        <v>378</v>
      </c>
      <c r="I125" s="90">
        <v>5.5999999999999999E-3</v>
      </c>
      <c r="J125" s="91">
        <v>1</v>
      </c>
      <c r="K125" s="92">
        <v>46332</v>
      </c>
      <c r="L125" s="91">
        <v>1</v>
      </c>
      <c r="M125" s="91">
        <v>0</v>
      </c>
      <c r="N125" s="91">
        <v>0</v>
      </c>
      <c r="O125" s="93" t="s">
        <v>431</v>
      </c>
      <c r="P125" s="94">
        <v>0.28125</v>
      </c>
      <c r="Q125" s="91">
        <v>180</v>
      </c>
      <c r="R125" s="95" t="s">
        <v>430</v>
      </c>
    </row>
    <row r="126" spans="1:18" ht="15" customHeight="1">
      <c r="A126" s="152" t="s">
        <v>61</v>
      </c>
      <c r="B126" s="152" t="s">
        <v>379</v>
      </c>
      <c r="C126" s="153">
        <v>0.4375</v>
      </c>
      <c r="D126" s="152" t="s">
        <v>63</v>
      </c>
      <c r="E126" s="152" t="s">
        <v>134</v>
      </c>
      <c r="F126" s="152" t="s">
        <v>365</v>
      </c>
      <c r="G126" s="298"/>
      <c r="H126" s="100" t="s">
        <v>380</v>
      </c>
      <c r="I126" s="101">
        <v>2.7799999999999998E-2</v>
      </c>
      <c r="J126" s="102">
        <v>5</v>
      </c>
      <c r="K126" s="103">
        <v>46329</v>
      </c>
      <c r="L126" s="102">
        <v>2</v>
      </c>
      <c r="M126" s="102">
        <v>0</v>
      </c>
      <c r="N126" s="102">
        <v>0</v>
      </c>
      <c r="O126" s="104" t="s">
        <v>430</v>
      </c>
      <c r="P126" s="105">
        <v>0.4375</v>
      </c>
      <c r="Q126" s="102">
        <v>180</v>
      </c>
      <c r="R126" s="106" t="s">
        <v>431</v>
      </c>
    </row>
    <row r="127" spans="1:18" ht="15" customHeight="1">
      <c r="A127" s="156" t="s">
        <v>61</v>
      </c>
      <c r="B127" s="156" t="s">
        <v>432</v>
      </c>
      <c r="C127" s="157">
        <v>0.76041666666666663</v>
      </c>
      <c r="D127" s="156" t="s">
        <v>63</v>
      </c>
      <c r="E127" s="156" t="s">
        <v>200</v>
      </c>
      <c r="F127" s="156" t="s">
        <v>79</v>
      </c>
      <c r="G127" s="298"/>
      <c r="H127" s="42" t="s">
        <v>433</v>
      </c>
      <c r="I127" s="43">
        <v>5.5599999999999997E-2</v>
      </c>
      <c r="J127" s="44">
        <v>10</v>
      </c>
      <c r="K127" s="45">
        <v>46340</v>
      </c>
      <c r="L127" s="44">
        <v>10</v>
      </c>
      <c r="M127" s="44">
        <v>0</v>
      </c>
      <c r="N127" s="44">
        <v>0</v>
      </c>
      <c r="O127" s="46" t="s">
        <v>304</v>
      </c>
      <c r="P127" s="47">
        <v>0.76041666666666663</v>
      </c>
      <c r="Q127" s="44">
        <v>180</v>
      </c>
      <c r="R127" s="48" t="s">
        <v>434</v>
      </c>
    </row>
    <row r="128" spans="1:18" ht="15" customHeight="1">
      <c r="A128" s="160" t="s">
        <v>61</v>
      </c>
      <c r="B128" s="160" t="s">
        <v>375</v>
      </c>
      <c r="C128" s="161">
        <v>0.1423611111111111</v>
      </c>
      <c r="D128" s="160" t="s">
        <v>63</v>
      </c>
      <c r="E128" s="160" t="s">
        <v>435</v>
      </c>
      <c r="F128" s="160" t="s">
        <v>79</v>
      </c>
      <c r="G128" s="298"/>
      <c r="H128" s="23" t="s">
        <v>376</v>
      </c>
      <c r="I128" s="24">
        <v>3.3300000000000003E-2</v>
      </c>
      <c r="J128" s="25">
        <v>6</v>
      </c>
      <c r="K128" s="26">
        <v>46342</v>
      </c>
      <c r="L128" s="25">
        <v>6</v>
      </c>
      <c r="M128" s="25">
        <v>0</v>
      </c>
      <c r="N128" s="25">
        <v>0</v>
      </c>
      <c r="O128" s="27" t="s">
        <v>299</v>
      </c>
      <c r="P128" s="28">
        <v>0.1423611111111111</v>
      </c>
      <c r="Q128" s="25">
        <v>180</v>
      </c>
      <c r="R128" s="29" t="s">
        <v>436</v>
      </c>
    </row>
    <row r="129" spans="1:18" ht="15" customHeight="1">
      <c r="A129" s="19" t="s">
        <v>402</v>
      </c>
      <c r="B129" s="19" t="s">
        <v>403</v>
      </c>
      <c r="C129" s="20">
        <v>0.49305555555555558</v>
      </c>
      <c r="D129" s="19" t="s">
        <v>63</v>
      </c>
      <c r="E129" s="19" t="s">
        <v>103</v>
      </c>
      <c r="F129" s="19" t="s">
        <v>404</v>
      </c>
      <c r="G129" s="298"/>
      <c r="H129" s="10"/>
      <c r="I129" s="11"/>
      <c r="J129" s="11"/>
      <c r="K129" s="11"/>
      <c r="L129" s="11"/>
      <c r="M129" s="11"/>
      <c r="N129" s="11"/>
      <c r="O129" s="12"/>
      <c r="P129" s="11"/>
      <c r="Q129" s="13"/>
      <c r="R129" s="14"/>
    </row>
    <row r="130" spans="1:18" ht="15" customHeight="1">
      <c r="A130" s="19" t="s">
        <v>68</v>
      </c>
      <c r="B130" s="19" t="s">
        <v>405</v>
      </c>
      <c r="C130" s="20">
        <v>0.83680555555555547</v>
      </c>
      <c r="D130" s="19" t="s">
        <v>70</v>
      </c>
      <c r="E130" s="19" t="s">
        <v>51</v>
      </c>
      <c r="F130" s="19" t="s">
        <v>406</v>
      </c>
      <c r="G130" s="298"/>
      <c r="H130" s="10"/>
      <c r="I130" s="11"/>
      <c r="J130" s="11"/>
      <c r="K130" s="11"/>
      <c r="L130" s="11"/>
      <c r="M130" s="11"/>
      <c r="N130" s="11"/>
      <c r="O130" s="12"/>
      <c r="P130" s="11"/>
      <c r="Q130" s="13"/>
      <c r="R130" s="14"/>
    </row>
    <row r="131" spans="1:18" ht="15" customHeight="1">
      <c r="A131" s="17" t="s">
        <v>68</v>
      </c>
      <c r="B131" s="17" t="s">
        <v>407</v>
      </c>
      <c r="C131" s="18">
        <v>0.3125</v>
      </c>
      <c r="D131" s="17" t="s">
        <v>70</v>
      </c>
      <c r="E131" s="17" t="s">
        <v>57</v>
      </c>
      <c r="F131" s="17" t="s">
        <v>406</v>
      </c>
      <c r="G131" s="298"/>
      <c r="H131" s="10"/>
      <c r="I131" s="11"/>
      <c r="J131" s="11"/>
      <c r="K131" s="11"/>
      <c r="L131" s="11"/>
      <c r="M131" s="11"/>
      <c r="N131" s="11"/>
      <c r="O131" s="12"/>
      <c r="P131" s="11"/>
      <c r="Q131" s="13"/>
      <c r="R131" s="14"/>
    </row>
    <row r="132" spans="1:18" ht="15" customHeight="1">
      <c r="A132" s="17" t="s">
        <v>68</v>
      </c>
      <c r="B132" s="17" t="s">
        <v>408</v>
      </c>
      <c r="C132" s="18">
        <v>0.97222222222222221</v>
      </c>
      <c r="D132" s="17" t="s">
        <v>70</v>
      </c>
      <c r="E132" s="17" t="s">
        <v>57</v>
      </c>
      <c r="F132" s="17" t="s">
        <v>406</v>
      </c>
      <c r="G132" s="298"/>
      <c r="H132" s="10"/>
      <c r="I132" s="11"/>
      <c r="J132" s="11"/>
      <c r="K132" s="11"/>
      <c r="L132" s="11"/>
      <c r="M132" s="11"/>
      <c r="N132" s="11"/>
      <c r="O132" s="12"/>
      <c r="P132" s="11"/>
      <c r="Q132" s="13"/>
      <c r="R132" s="14"/>
    </row>
    <row r="133" spans="1:18" ht="15" customHeight="1">
      <c r="A133" s="17" t="s">
        <v>68</v>
      </c>
      <c r="B133" s="17" t="s">
        <v>437</v>
      </c>
      <c r="C133" s="18">
        <v>0.1041666666666667</v>
      </c>
      <c r="D133" s="17" t="s">
        <v>70</v>
      </c>
      <c r="E133" s="17" t="s">
        <v>57</v>
      </c>
      <c r="F133" s="17" t="s">
        <v>406</v>
      </c>
      <c r="G133" s="298"/>
      <c r="H133" s="10"/>
      <c r="I133" s="11"/>
      <c r="J133" s="11"/>
      <c r="K133" s="11"/>
      <c r="L133" s="11"/>
      <c r="M133" s="11"/>
      <c r="N133" s="11"/>
      <c r="O133" s="12"/>
      <c r="P133" s="11"/>
      <c r="Q133" s="13"/>
      <c r="R133" s="14"/>
    </row>
    <row r="134" spans="1:18" ht="15" customHeight="1">
      <c r="A134" s="17" t="s">
        <v>68</v>
      </c>
      <c r="B134" s="17" t="s">
        <v>411</v>
      </c>
      <c r="C134" s="18">
        <v>0.78472222222222221</v>
      </c>
      <c r="D134" s="17" t="s">
        <v>70</v>
      </c>
      <c r="E134" s="17" t="s">
        <v>57</v>
      </c>
      <c r="F134" s="17" t="s">
        <v>406</v>
      </c>
      <c r="G134" s="298"/>
      <c r="H134" s="10"/>
      <c r="I134" s="11"/>
      <c r="J134" s="11"/>
      <c r="K134" s="11"/>
      <c r="L134" s="11"/>
      <c r="M134" s="11"/>
      <c r="N134" s="11"/>
      <c r="O134" s="12"/>
      <c r="P134" s="11"/>
      <c r="Q134" s="13"/>
      <c r="R134" s="14"/>
    </row>
    <row r="135" spans="1:18" ht="15" customHeight="1">
      <c r="A135" s="17" t="s">
        <v>68</v>
      </c>
      <c r="B135" s="17" t="s">
        <v>410</v>
      </c>
      <c r="C135" s="18">
        <v>0.59722222222222221</v>
      </c>
      <c r="D135" s="17" t="s">
        <v>70</v>
      </c>
      <c r="E135" s="17" t="s">
        <v>57</v>
      </c>
      <c r="F135" s="17" t="s">
        <v>406</v>
      </c>
      <c r="G135" s="298"/>
      <c r="H135" s="10"/>
      <c r="I135" s="11"/>
      <c r="J135" s="11"/>
      <c r="K135" s="11"/>
      <c r="L135" s="11"/>
      <c r="M135" s="11"/>
      <c r="N135" s="11"/>
      <c r="O135" s="12"/>
      <c r="P135" s="11"/>
      <c r="Q135" s="13"/>
      <c r="R135" s="14"/>
    </row>
    <row r="136" spans="1:18" ht="15" customHeight="1">
      <c r="A136" s="17" t="s">
        <v>68</v>
      </c>
      <c r="B136" s="17" t="s">
        <v>413</v>
      </c>
      <c r="C136" s="18">
        <v>4.8611111111111112E-2</v>
      </c>
      <c r="D136" s="17" t="s">
        <v>70</v>
      </c>
      <c r="E136" s="17" t="s">
        <v>57</v>
      </c>
      <c r="F136" s="17" t="s">
        <v>406</v>
      </c>
      <c r="G136" s="298"/>
      <c r="H136" s="10"/>
      <c r="I136" s="11"/>
      <c r="J136" s="11"/>
      <c r="K136" s="11"/>
      <c r="L136" s="11"/>
      <c r="M136" s="11"/>
      <c r="N136" s="11"/>
      <c r="O136" s="12"/>
      <c r="P136" s="11"/>
      <c r="Q136" s="13"/>
      <c r="R136" s="14"/>
    </row>
    <row r="137" spans="1:18" ht="15" customHeight="1">
      <c r="A137" s="19" t="s">
        <v>48</v>
      </c>
      <c r="B137" s="19" t="s">
        <v>398</v>
      </c>
      <c r="C137" s="20">
        <v>0.39930555555555558</v>
      </c>
      <c r="D137" s="19" t="s">
        <v>53</v>
      </c>
      <c r="E137" s="19" t="s">
        <v>29</v>
      </c>
      <c r="F137" s="19" t="s">
        <v>395</v>
      </c>
      <c r="G137" s="298"/>
      <c r="H137" s="10"/>
      <c r="I137" s="11"/>
      <c r="J137" s="11"/>
      <c r="K137" s="11"/>
      <c r="L137" s="11"/>
      <c r="M137" s="11"/>
      <c r="N137" s="11"/>
      <c r="O137" s="12"/>
      <c r="P137" s="11"/>
      <c r="Q137" s="13"/>
      <c r="R137" s="14"/>
    </row>
    <row r="138" spans="1:18" ht="15" customHeight="1">
      <c r="A138" s="17" t="s">
        <v>48</v>
      </c>
      <c r="B138" s="17" t="s">
        <v>397</v>
      </c>
      <c r="C138" s="18">
        <v>0.88888888888888884</v>
      </c>
      <c r="D138" s="17" t="s">
        <v>53</v>
      </c>
      <c r="E138" s="17" t="s">
        <v>37</v>
      </c>
      <c r="F138" s="17" t="s">
        <v>438</v>
      </c>
      <c r="G138" s="298"/>
      <c r="H138" s="10"/>
      <c r="I138" s="11"/>
      <c r="J138" s="11"/>
      <c r="K138" s="11"/>
      <c r="L138" s="11"/>
      <c r="M138" s="11"/>
      <c r="N138" s="11"/>
      <c r="O138" s="12"/>
      <c r="P138" s="11"/>
      <c r="Q138" s="13"/>
      <c r="R138" s="14"/>
    </row>
    <row r="139" spans="1:18" ht="15" customHeight="1">
      <c r="A139" s="17" t="s">
        <v>48</v>
      </c>
      <c r="B139" s="17" t="s">
        <v>394</v>
      </c>
      <c r="C139" s="18">
        <v>0.98958333333333337</v>
      </c>
      <c r="D139" s="17" t="s">
        <v>53</v>
      </c>
      <c r="E139" s="17" t="s">
        <v>37</v>
      </c>
      <c r="F139" s="17" t="s">
        <v>399</v>
      </c>
      <c r="G139" s="298"/>
      <c r="H139" s="10"/>
      <c r="I139" s="11"/>
      <c r="J139" s="11"/>
      <c r="K139" s="11"/>
      <c r="L139" s="11"/>
      <c r="M139" s="11"/>
      <c r="N139" s="11"/>
      <c r="O139" s="12"/>
      <c r="P139" s="11"/>
      <c r="Q139" s="13"/>
      <c r="R139" s="14"/>
    </row>
    <row r="140" spans="1:18" ht="15" customHeight="1">
      <c r="A140" s="17" t="s">
        <v>48</v>
      </c>
      <c r="B140" s="17" t="s">
        <v>396</v>
      </c>
      <c r="C140" s="18">
        <v>0.48958333333333331</v>
      </c>
      <c r="D140" s="17" t="s">
        <v>53</v>
      </c>
      <c r="E140" s="17" t="s">
        <v>37</v>
      </c>
      <c r="F140" s="17" t="s">
        <v>399</v>
      </c>
      <c r="G140" s="298"/>
      <c r="H140" s="10"/>
      <c r="I140" s="11"/>
      <c r="J140" s="11"/>
      <c r="K140" s="11"/>
      <c r="L140" s="11"/>
      <c r="M140" s="11"/>
      <c r="N140" s="11"/>
      <c r="O140" s="12"/>
      <c r="P140" s="11"/>
      <c r="Q140" s="13"/>
      <c r="R140" s="14"/>
    </row>
    <row r="141" spans="1:18" ht="15" customHeight="1">
      <c r="A141" s="17" t="s">
        <v>48</v>
      </c>
      <c r="B141" s="17" t="s">
        <v>391</v>
      </c>
      <c r="C141" s="18">
        <v>0.48958333333333331</v>
      </c>
      <c r="D141" s="17" t="s">
        <v>53</v>
      </c>
      <c r="E141" s="17" t="s">
        <v>57</v>
      </c>
      <c r="F141" s="17" t="s">
        <v>439</v>
      </c>
      <c r="G141" s="298"/>
      <c r="H141" s="10"/>
      <c r="I141" s="11"/>
      <c r="J141" s="11"/>
      <c r="K141" s="11"/>
      <c r="L141" s="11"/>
      <c r="M141" s="11"/>
      <c r="N141" s="11"/>
      <c r="O141" s="12"/>
      <c r="P141" s="11"/>
      <c r="Q141" s="13"/>
      <c r="R141" s="14"/>
    </row>
    <row r="142" spans="1:18" ht="15" customHeight="1">
      <c r="A142" s="17" t="s">
        <v>48</v>
      </c>
      <c r="B142" s="17" t="s">
        <v>386</v>
      </c>
      <c r="C142" s="18">
        <v>0.82986111111111116</v>
      </c>
      <c r="D142" s="17" t="s">
        <v>53</v>
      </c>
      <c r="E142" s="17" t="s">
        <v>57</v>
      </c>
      <c r="F142" s="17" t="s">
        <v>439</v>
      </c>
      <c r="G142" s="298"/>
      <c r="H142" s="10"/>
      <c r="I142" s="11"/>
      <c r="J142" s="11"/>
      <c r="K142" s="11"/>
      <c r="L142" s="11"/>
      <c r="M142" s="11"/>
      <c r="N142" s="11"/>
      <c r="O142" s="12"/>
      <c r="P142" s="11"/>
      <c r="Q142" s="13"/>
      <c r="R142" s="14"/>
    </row>
    <row r="143" spans="1:18" ht="15" customHeight="1">
      <c r="A143" s="17" t="s">
        <v>48</v>
      </c>
      <c r="B143" s="17" t="s">
        <v>388</v>
      </c>
      <c r="C143" s="18">
        <v>0.72222222222222221</v>
      </c>
      <c r="D143" s="17" t="s">
        <v>53</v>
      </c>
      <c r="E143" s="17" t="s">
        <v>57</v>
      </c>
      <c r="F143" s="17" t="s">
        <v>439</v>
      </c>
      <c r="G143" s="298"/>
      <c r="H143" s="10"/>
      <c r="I143" s="11"/>
      <c r="J143" s="11"/>
      <c r="K143" s="11"/>
      <c r="L143" s="11"/>
      <c r="M143" s="11"/>
      <c r="N143" s="11"/>
      <c r="O143" s="12"/>
      <c r="P143" s="11"/>
      <c r="Q143" s="13"/>
      <c r="R143" s="14"/>
    </row>
    <row r="144" spans="1:18" ht="15" customHeight="1">
      <c r="A144" s="17" t="s">
        <v>48</v>
      </c>
      <c r="B144" s="17" t="s">
        <v>382</v>
      </c>
      <c r="C144" s="18">
        <v>0.11805555555555559</v>
      </c>
      <c r="D144" s="17" t="s">
        <v>53</v>
      </c>
      <c r="E144" s="17" t="s">
        <v>57</v>
      </c>
      <c r="F144" s="17" t="s">
        <v>439</v>
      </c>
      <c r="G144" s="298"/>
      <c r="H144" s="10"/>
      <c r="I144" s="11"/>
      <c r="J144" s="11"/>
      <c r="K144" s="11"/>
      <c r="L144" s="11"/>
      <c r="M144" s="11"/>
      <c r="N144" s="11"/>
      <c r="O144" s="12"/>
      <c r="P144" s="11"/>
      <c r="Q144" s="13"/>
      <c r="R144" s="14"/>
    </row>
    <row r="145" spans="1:18" ht="15" customHeight="1">
      <c r="A145" s="17" t="s">
        <v>48</v>
      </c>
      <c r="B145" s="17" t="s">
        <v>389</v>
      </c>
      <c r="C145" s="18">
        <v>0.70138888888888884</v>
      </c>
      <c r="D145" s="17" t="s">
        <v>53</v>
      </c>
      <c r="E145" s="17" t="s">
        <v>57</v>
      </c>
      <c r="F145" s="17" t="s">
        <v>439</v>
      </c>
      <c r="G145" s="298"/>
      <c r="H145" s="10"/>
      <c r="I145" s="11"/>
      <c r="J145" s="11"/>
      <c r="K145" s="11"/>
      <c r="L145" s="11"/>
      <c r="M145" s="11"/>
      <c r="N145" s="11"/>
      <c r="O145" s="12"/>
      <c r="P145" s="11"/>
      <c r="Q145" s="13"/>
      <c r="R145" s="14"/>
    </row>
    <row r="146" spans="1:18" ht="15" customHeight="1">
      <c r="A146" s="17" t="s">
        <v>48</v>
      </c>
      <c r="B146" s="17" t="s">
        <v>400</v>
      </c>
      <c r="C146" s="18">
        <v>0.25347222222222221</v>
      </c>
      <c r="D146" s="17" t="s">
        <v>53</v>
      </c>
      <c r="E146" s="17" t="s">
        <v>57</v>
      </c>
      <c r="F146" s="17" t="s">
        <v>439</v>
      </c>
      <c r="G146" s="298"/>
      <c r="H146" s="10"/>
      <c r="I146" s="11"/>
      <c r="J146" s="11"/>
      <c r="K146" s="11"/>
      <c r="L146" s="11"/>
      <c r="M146" s="11"/>
      <c r="N146" s="11"/>
      <c r="O146" s="12"/>
      <c r="P146" s="11"/>
      <c r="Q146" s="13"/>
      <c r="R146" s="14"/>
    </row>
    <row r="147" spans="1:18" ht="15" customHeight="1">
      <c r="A147" s="17" t="s">
        <v>48</v>
      </c>
      <c r="B147" s="17" t="s">
        <v>390</v>
      </c>
      <c r="C147" s="18">
        <v>4.1666666666666657E-2</v>
      </c>
      <c r="D147" s="17" t="s">
        <v>53</v>
      </c>
      <c r="E147" s="17" t="s">
        <v>57</v>
      </c>
      <c r="F147" s="17" t="s">
        <v>439</v>
      </c>
      <c r="G147" s="298"/>
      <c r="H147" s="10"/>
      <c r="I147" s="11"/>
      <c r="J147" s="11"/>
      <c r="K147" s="11"/>
      <c r="L147" s="11"/>
      <c r="M147" s="11"/>
      <c r="N147" s="11"/>
      <c r="O147" s="12"/>
      <c r="P147" s="11"/>
      <c r="Q147" s="13"/>
      <c r="R147" s="14"/>
    </row>
    <row r="148" spans="1:18" ht="15" customHeight="1">
      <c r="A148" s="17" t="s">
        <v>48</v>
      </c>
      <c r="B148" s="17" t="s">
        <v>385</v>
      </c>
      <c r="C148" s="18">
        <v>0.94097222222222221</v>
      </c>
      <c r="D148" s="17" t="s">
        <v>53</v>
      </c>
      <c r="E148" s="17" t="s">
        <v>57</v>
      </c>
      <c r="F148" s="17" t="s">
        <v>439</v>
      </c>
      <c r="G148" s="298"/>
      <c r="H148" s="10"/>
      <c r="I148" s="11"/>
      <c r="J148" s="11"/>
      <c r="K148" s="11"/>
      <c r="L148" s="11"/>
      <c r="M148" s="11"/>
      <c r="N148" s="11"/>
      <c r="O148" s="12"/>
      <c r="P148" s="11"/>
      <c r="Q148" s="13"/>
      <c r="R148" s="14"/>
    </row>
    <row r="149" spans="1:18" ht="15" customHeight="1" thickBot="1">
      <c r="A149" s="96" t="s">
        <v>415</v>
      </c>
      <c r="B149" s="96" t="s">
        <v>416</v>
      </c>
      <c r="C149" s="97">
        <v>9.7222222222222224E-2</v>
      </c>
      <c r="D149" s="96" t="s">
        <v>63</v>
      </c>
      <c r="E149" s="96" t="s">
        <v>51</v>
      </c>
      <c r="F149" s="96" t="s">
        <v>417</v>
      </c>
      <c r="G149" s="299"/>
      <c r="H149" s="300"/>
      <c r="I149" s="140"/>
      <c r="J149" s="140"/>
      <c r="K149" s="140"/>
      <c r="L149" s="140"/>
      <c r="M149" s="140"/>
      <c r="N149" s="140"/>
      <c r="O149" s="141"/>
      <c r="P149" s="140"/>
      <c r="Q149" s="142"/>
      <c r="R149" s="301"/>
    </row>
    <row r="150" spans="1:18" ht="17.45" customHeight="1" thickBot="1">
      <c r="A150" s="283"/>
      <c r="B150" s="284"/>
      <c r="C150" s="284"/>
      <c r="D150" s="284"/>
      <c r="E150" s="284"/>
      <c r="F150" s="284"/>
      <c r="G150" s="284"/>
      <c r="H150" s="284"/>
      <c r="I150" s="284"/>
      <c r="J150" s="284"/>
      <c r="K150" s="284"/>
      <c r="L150" s="284"/>
      <c r="M150" s="284"/>
      <c r="N150" s="284"/>
      <c r="O150" s="284"/>
      <c r="P150" s="284"/>
      <c r="Q150" s="284"/>
      <c r="R150" s="285"/>
    </row>
    <row r="151" spans="1:18" ht="22.15" customHeight="1" thickTop="1" thickBot="1">
      <c r="A151" s="279" t="s">
        <v>6</v>
      </c>
      <c r="B151" s="295"/>
      <c r="C151" s="295"/>
      <c r="D151" s="295"/>
      <c r="E151" s="295"/>
      <c r="F151" s="296"/>
      <c r="G151" s="32">
        <v>46025</v>
      </c>
      <c r="H151" s="278" t="s">
        <v>7</v>
      </c>
      <c r="I151" s="295"/>
      <c r="J151" s="295"/>
      <c r="K151" s="295"/>
      <c r="L151" s="295"/>
      <c r="M151" s="295"/>
      <c r="N151" s="295"/>
      <c r="O151" s="295"/>
      <c r="P151" s="295"/>
      <c r="Q151" s="295"/>
      <c r="R151" s="296"/>
    </row>
    <row r="152" spans="1:18" ht="24" customHeight="1">
      <c r="A152" s="33" t="s">
        <v>8</v>
      </c>
      <c r="B152" s="33" t="s">
        <v>9</v>
      </c>
      <c r="C152" s="34" t="s">
        <v>10</v>
      </c>
      <c r="D152" s="33" t="s">
        <v>11</v>
      </c>
      <c r="E152" s="33" t="s">
        <v>12</v>
      </c>
      <c r="F152" s="35" t="s">
        <v>13</v>
      </c>
      <c r="G152" s="36" t="s">
        <v>14</v>
      </c>
      <c r="H152" s="33" t="s">
        <v>15</v>
      </c>
      <c r="I152" s="37" t="s">
        <v>16</v>
      </c>
      <c r="J152" s="38" t="s">
        <v>17</v>
      </c>
      <c r="K152" s="39" t="s">
        <v>18</v>
      </c>
      <c r="L152" s="38" t="s">
        <v>19</v>
      </c>
      <c r="M152" s="38" t="s">
        <v>20</v>
      </c>
      <c r="N152" s="38" t="s">
        <v>21</v>
      </c>
      <c r="O152" s="33" t="s">
        <v>22</v>
      </c>
      <c r="P152" s="34" t="s">
        <v>23</v>
      </c>
      <c r="Q152" s="38" t="s">
        <v>24</v>
      </c>
      <c r="R152" s="33" t="s">
        <v>25</v>
      </c>
    </row>
    <row r="153" spans="1:18" ht="15" customHeight="1">
      <c r="A153" s="8" t="s">
        <v>38</v>
      </c>
      <c r="B153" s="8" t="s">
        <v>346</v>
      </c>
      <c r="C153" s="9">
        <v>0.39930555555555558</v>
      </c>
      <c r="D153" s="8" t="s">
        <v>440</v>
      </c>
      <c r="E153" s="8" t="s">
        <v>154</v>
      </c>
      <c r="F153" s="8" t="s">
        <v>30</v>
      </c>
      <c r="G153" s="302"/>
      <c r="H153" s="10"/>
      <c r="I153" s="11"/>
      <c r="J153" s="11"/>
      <c r="K153" s="11"/>
      <c r="L153" s="11"/>
      <c r="M153" s="11"/>
      <c r="N153" s="11"/>
      <c r="O153" s="12"/>
      <c r="P153" s="11"/>
      <c r="Q153" s="13"/>
      <c r="R153" s="14"/>
    </row>
    <row r="154" spans="1:18" ht="15" customHeight="1">
      <c r="A154" s="15" t="s">
        <v>38</v>
      </c>
      <c r="B154" s="15" t="s">
        <v>346</v>
      </c>
      <c r="C154" s="16">
        <v>0.39930555555555558</v>
      </c>
      <c r="D154" s="15" t="s">
        <v>40</v>
      </c>
      <c r="E154" s="15" t="s">
        <v>155</v>
      </c>
      <c r="F154" s="15" t="s">
        <v>30</v>
      </c>
      <c r="G154" s="298"/>
      <c r="H154" s="10"/>
      <c r="I154" s="11"/>
      <c r="J154" s="11"/>
      <c r="K154" s="11"/>
      <c r="L154" s="11"/>
      <c r="M154" s="11"/>
      <c r="N154" s="11"/>
      <c r="O154" s="12"/>
      <c r="P154" s="11"/>
      <c r="Q154" s="13"/>
      <c r="R154" s="14"/>
    </row>
    <row r="155" spans="1:18" ht="15" customHeight="1">
      <c r="A155" s="15" t="s">
        <v>38</v>
      </c>
      <c r="B155" s="15" t="s">
        <v>346</v>
      </c>
      <c r="C155" s="16">
        <v>0.39930555555555558</v>
      </c>
      <c r="D155" s="15" t="s">
        <v>43</v>
      </c>
      <c r="E155" s="15" t="s">
        <v>155</v>
      </c>
      <c r="F155" s="15" t="s">
        <v>420</v>
      </c>
      <c r="G155" s="298"/>
      <c r="H155" s="10"/>
      <c r="I155" s="11"/>
      <c r="J155" s="11"/>
      <c r="K155" s="11"/>
      <c r="L155" s="11"/>
      <c r="M155" s="11"/>
      <c r="N155" s="11"/>
      <c r="O155" s="12"/>
      <c r="P155" s="11"/>
      <c r="Q155" s="13"/>
      <c r="R155" s="14"/>
    </row>
    <row r="156" spans="1:18" ht="15" customHeight="1">
      <c r="A156" s="15" t="s">
        <v>38</v>
      </c>
      <c r="B156" s="15" t="s">
        <v>346</v>
      </c>
      <c r="C156" s="16">
        <v>0.39930555555555558</v>
      </c>
      <c r="D156" s="15" t="s">
        <v>46</v>
      </c>
      <c r="E156" s="15" t="s">
        <v>155</v>
      </c>
      <c r="F156" s="15" t="s">
        <v>47</v>
      </c>
      <c r="G156" s="298"/>
      <c r="H156" s="10"/>
      <c r="I156" s="11"/>
      <c r="J156" s="11"/>
      <c r="K156" s="11"/>
      <c r="L156" s="11"/>
      <c r="M156" s="11"/>
      <c r="N156" s="11"/>
      <c r="O156" s="12"/>
      <c r="P156" s="11"/>
      <c r="Q156" s="13"/>
      <c r="R156" s="14"/>
    </row>
    <row r="157" spans="1:18" ht="15" customHeight="1">
      <c r="A157" s="17" t="s">
        <v>38</v>
      </c>
      <c r="B157" s="17" t="s">
        <v>345</v>
      </c>
      <c r="C157" s="18">
        <v>0.98958333333333337</v>
      </c>
      <c r="D157" s="17" t="s">
        <v>440</v>
      </c>
      <c r="E157" s="17" t="s">
        <v>441</v>
      </c>
      <c r="F157" s="17" t="s">
        <v>30</v>
      </c>
      <c r="G157" s="298"/>
      <c r="H157" s="10"/>
      <c r="I157" s="11"/>
      <c r="J157" s="11"/>
      <c r="K157" s="11"/>
      <c r="L157" s="11"/>
      <c r="M157" s="11"/>
      <c r="N157" s="11"/>
      <c r="O157" s="12"/>
      <c r="P157" s="11"/>
      <c r="Q157" s="13"/>
      <c r="R157" s="14"/>
    </row>
    <row r="158" spans="1:18" ht="15" customHeight="1">
      <c r="A158" s="15" t="s">
        <v>38</v>
      </c>
      <c r="B158" s="15" t="s">
        <v>345</v>
      </c>
      <c r="C158" s="16">
        <v>0.98958333333333337</v>
      </c>
      <c r="D158" s="15" t="s">
        <v>40</v>
      </c>
      <c r="E158" s="15" t="s">
        <v>132</v>
      </c>
      <c r="F158" s="15" t="s">
        <v>30</v>
      </c>
      <c r="G158" s="298"/>
      <c r="H158" s="10"/>
      <c r="I158" s="11"/>
      <c r="J158" s="11"/>
      <c r="K158" s="11"/>
      <c r="L158" s="11"/>
      <c r="M158" s="11"/>
      <c r="N158" s="11"/>
      <c r="O158" s="12"/>
      <c r="P158" s="11"/>
      <c r="Q158" s="13"/>
      <c r="R158" s="14"/>
    </row>
    <row r="159" spans="1:18" ht="15" customHeight="1">
      <c r="A159" s="15" t="s">
        <v>38</v>
      </c>
      <c r="B159" s="15" t="s">
        <v>345</v>
      </c>
      <c r="C159" s="16">
        <v>0.98958333333333337</v>
      </c>
      <c r="D159" s="15" t="s">
        <v>43</v>
      </c>
      <c r="E159" s="15" t="s">
        <v>132</v>
      </c>
      <c r="F159" s="15" t="s">
        <v>420</v>
      </c>
      <c r="G159" s="298"/>
      <c r="H159" s="10"/>
      <c r="I159" s="11"/>
      <c r="J159" s="11"/>
      <c r="K159" s="11"/>
      <c r="L159" s="11"/>
      <c r="M159" s="11"/>
      <c r="N159" s="11"/>
      <c r="O159" s="12"/>
      <c r="P159" s="11"/>
      <c r="Q159" s="13"/>
      <c r="R159" s="14"/>
    </row>
    <row r="160" spans="1:18" ht="15" customHeight="1">
      <c r="A160" s="15" t="s">
        <v>38</v>
      </c>
      <c r="B160" s="15" t="s">
        <v>345</v>
      </c>
      <c r="C160" s="16">
        <v>0.98958333333333337</v>
      </c>
      <c r="D160" s="15" t="s">
        <v>46</v>
      </c>
      <c r="E160" s="15" t="s">
        <v>132</v>
      </c>
      <c r="F160" s="15" t="s">
        <v>47</v>
      </c>
      <c r="G160" s="298"/>
      <c r="H160" s="10"/>
      <c r="I160" s="11"/>
      <c r="J160" s="11"/>
      <c r="K160" s="11"/>
      <c r="L160" s="11"/>
      <c r="M160" s="11"/>
      <c r="N160" s="11"/>
      <c r="O160" s="12"/>
      <c r="P160" s="11"/>
      <c r="Q160" s="13"/>
      <c r="R160" s="14"/>
    </row>
    <row r="161" spans="1:18" ht="15" customHeight="1">
      <c r="A161" s="17" t="s">
        <v>38</v>
      </c>
      <c r="B161" s="17" t="s">
        <v>342</v>
      </c>
      <c r="C161" s="18">
        <v>0.48958333333333331</v>
      </c>
      <c r="D161" s="17" t="s">
        <v>40</v>
      </c>
      <c r="E161" s="17" t="s">
        <v>442</v>
      </c>
      <c r="F161" s="17" t="s">
        <v>349</v>
      </c>
      <c r="G161" s="298"/>
      <c r="H161" s="10"/>
      <c r="I161" s="11"/>
      <c r="J161" s="11"/>
      <c r="K161" s="11"/>
      <c r="L161" s="11"/>
      <c r="M161" s="11"/>
      <c r="N161" s="11"/>
      <c r="O161" s="12"/>
      <c r="P161" s="11"/>
      <c r="Q161" s="13"/>
      <c r="R161" s="14"/>
    </row>
    <row r="162" spans="1:18" ht="15" customHeight="1">
      <c r="A162" s="15" t="s">
        <v>38</v>
      </c>
      <c r="B162" s="15" t="s">
        <v>342</v>
      </c>
      <c r="C162" s="16">
        <v>0.48958333333333331</v>
      </c>
      <c r="D162" s="15" t="s">
        <v>43</v>
      </c>
      <c r="E162" s="15" t="s">
        <v>122</v>
      </c>
      <c r="F162" s="15" t="s">
        <v>443</v>
      </c>
      <c r="G162" s="298"/>
      <c r="H162" s="10"/>
      <c r="I162" s="11"/>
      <c r="J162" s="11"/>
      <c r="K162" s="11"/>
      <c r="L162" s="11"/>
      <c r="M162" s="11"/>
      <c r="N162" s="11"/>
      <c r="O162" s="12"/>
      <c r="P162" s="11"/>
      <c r="Q162" s="13"/>
      <c r="R162" s="14"/>
    </row>
    <row r="163" spans="1:18" ht="15" customHeight="1">
      <c r="A163" s="15" t="s">
        <v>38</v>
      </c>
      <c r="B163" s="15" t="s">
        <v>342</v>
      </c>
      <c r="C163" s="16">
        <v>0.48958333333333331</v>
      </c>
      <c r="D163" s="15" t="s">
        <v>46</v>
      </c>
      <c r="E163" s="15" t="s">
        <v>122</v>
      </c>
      <c r="F163" s="15" t="s">
        <v>47</v>
      </c>
      <c r="G163" s="298"/>
      <c r="H163" s="10"/>
      <c r="I163" s="11"/>
      <c r="J163" s="11"/>
      <c r="K163" s="11"/>
      <c r="L163" s="11"/>
      <c r="M163" s="11"/>
      <c r="N163" s="11"/>
      <c r="O163" s="12"/>
      <c r="P163" s="11"/>
      <c r="Q163" s="13"/>
      <c r="R163" s="14"/>
    </row>
    <row r="164" spans="1:18" ht="15" customHeight="1">
      <c r="A164" s="17" t="s">
        <v>38</v>
      </c>
      <c r="B164" s="17" t="s">
        <v>344</v>
      </c>
      <c r="C164" s="18">
        <v>0.88888888888888884</v>
      </c>
      <c r="D164" s="17" t="s">
        <v>440</v>
      </c>
      <c r="E164" s="17" t="s">
        <v>444</v>
      </c>
      <c r="F164" s="17" t="s">
        <v>349</v>
      </c>
      <c r="G164" s="298"/>
      <c r="H164" s="10"/>
      <c r="I164" s="11"/>
      <c r="J164" s="11"/>
      <c r="K164" s="11"/>
      <c r="L164" s="11"/>
      <c r="M164" s="11"/>
      <c r="N164" s="11"/>
      <c r="O164" s="12"/>
      <c r="P164" s="11"/>
      <c r="Q164" s="13"/>
      <c r="R164" s="14"/>
    </row>
    <row r="165" spans="1:18" ht="15" customHeight="1">
      <c r="A165" s="15" t="s">
        <v>38</v>
      </c>
      <c r="B165" s="15" t="s">
        <v>344</v>
      </c>
      <c r="C165" s="16">
        <v>0.88888888888888884</v>
      </c>
      <c r="D165" s="15" t="s">
        <v>40</v>
      </c>
      <c r="E165" s="15" t="s">
        <v>95</v>
      </c>
      <c r="F165" s="15" t="s">
        <v>349</v>
      </c>
      <c r="G165" s="298"/>
      <c r="H165" s="10"/>
      <c r="I165" s="11"/>
      <c r="J165" s="11"/>
      <c r="K165" s="11"/>
      <c r="L165" s="11"/>
      <c r="M165" s="11"/>
      <c r="N165" s="11"/>
      <c r="O165" s="12"/>
      <c r="P165" s="11"/>
      <c r="Q165" s="13"/>
      <c r="R165" s="14"/>
    </row>
    <row r="166" spans="1:18" ht="15" customHeight="1">
      <c r="A166" s="15" t="s">
        <v>38</v>
      </c>
      <c r="B166" s="15" t="s">
        <v>344</v>
      </c>
      <c r="C166" s="16">
        <v>0.88888888888888884</v>
      </c>
      <c r="D166" s="15" t="s">
        <v>43</v>
      </c>
      <c r="E166" s="15" t="s">
        <v>95</v>
      </c>
      <c r="F166" s="15" t="s">
        <v>443</v>
      </c>
      <c r="G166" s="298"/>
      <c r="H166" s="10"/>
      <c r="I166" s="11"/>
      <c r="J166" s="11"/>
      <c r="K166" s="11"/>
      <c r="L166" s="11"/>
      <c r="M166" s="11"/>
      <c r="N166" s="11"/>
      <c r="O166" s="12"/>
      <c r="P166" s="11"/>
      <c r="Q166" s="13"/>
      <c r="R166" s="14"/>
    </row>
    <row r="167" spans="1:18" ht="15" customHeight="1">
      <c r="A167" s="15" t="s">
        <v>38</v>
      </c>
      <c r="B167" s="15" t="s">
        <v>344</v>
      </c>
      <c r="C167" s="16">
        <v>0.88888888888888884</v>
      </c>
      <c r="D167" s="15" t="s">
        <v>46</v>
      </c>
      <c r="E167" s="15" t="s">
        <v>95</v>
      </c>
      <c r="F167" s="15" t="s">
        <v>47</v>
      </c>
      <c r="G167" s="298"/>
      <c r="H167" s="10"/>
      <c r="I167" s="11"/>
      <c r="J167" s="11"/>
      <c r="K167" s="11"/>
      <c r="L167" s="11"/>
      <c r="M167" s="11"/>
      <c r="N167" s="11"/>
      <c r="O167" s="12"/>
      <c r="P167" s="11"/>
      <c r="Q167" s="13"/>
      <c r="R167" s="14"/>
    </row>
    <row r="168" spans="1:18" ht="15" customHeight="1">
      <c r="A168" s="19" t="s">
        <v>359</v>
      </c>
      <c r="B168" s="19" t="s">
        <v>360</v>
      </c>
      <c r="C168" s="20">
        <v>0.1701388888888889</v>
      </c>
      <c r="D168" s="19" t="s">
        <v>361</v>
      </c>
      <c r="E168" s="19" t="s">
        <v>80</v>
      </c>
      <c r="F168" s="19" t="s">
        <v>423</v>
      </c>
      <c r="G168" s="298"/>
      <c r="H168" s="10"/>
      <c r="I168" s="11"/>
      <c r="J168" s="11"/>
      <c r="K168" s="11"/>
      <c r="L168" s="11"/>
      <c r="M168" s="11"/>
      <c r="N168" s="11"/>
      <c r="O168" s="12"/>
      <c r="P168" s="11"/>
      <c r="Q168" s="13"/>
      <c r="R168" s="14"/>
    </row>
    <row r="169" spans="1:18" ht="15" customHeight="1">
      <c r="A169" s="15" t="s">
        <v>359</v>
      </c>
      <c r="B169" s="15" t="s">
        <v>360</v>
      </c>
      <c r="C169" s="16">
        <v>0.1701388888888889</v>
      </c>
      <c r="D169" s="15" t="s">
        <v>46</v>
      </c>
      <c r="E169" s="15" t="s">
        <v>82</v>
      </c>
      <c r="F169" s="15" t="s">
        <v>424</v>
      </c>
      <c r="G169" s="298"/>
      <c r="H169" s="10"/>
      <c r="I169" s="11"/>
      <c r="J169" s="11"/>
      <c r="K169" s="11"/>
      <c r="L169" s="11"/>
      <c r="M169" s="11"/>
      <c r="N169" s="11"/>
      <c r="O169" s="12"/>
      <c r="P169" s="11"/>
      <c r="Q169" s="13"/>
      <c r="R169" s="14"/>
    </row>
    <row r="170" spans="1:18" ht="15" customHeight="1">
      <c r="A170" s="17" t="s">
        <v>359</v>
      </c>
      <c r="B170" s="17" t="s">
        <v>445</v>
      </c>
      <c r="C170" s="18">
        <v>5.5555555555555552E-2</v>
      </c>
      <c r="D170" s="17" t="s">
        <v>361</v>
      </c>
      <c r="E170" s="17" t="s">
        <v>90</v>
      </c>
      <c r="F170" s="17" t="s">
        <v>423</v>
      </c>
      <c r="G170" s="298"/>
      <c r="H170" s="10"/>
      <c r="I170" s="11"/>
      <c r="J170" s="11"/>
      <c r="K170" s="11"/>
      <c r="L170" s="11"/>
      <c r="M170" s="11"/>
      <c r="N170" s="11"/>
      <c r="O170" s="12"/>
      <c r="P170" s="11"/>
      <c r="Q170" s="13"/>
      <c r="R170" s="14"/>
    </row>
    <row r="171" spans="1:18" ht="15" customHeight="1">
      <c r="A171" s="15" t="s">
        <v>359</v>
      </c>
      <c r="B171" s="15" t="s">
        <v>445</v>
      </c>
      <c r="C171" s="16">
        <v>5.5555555555555552E-2</v>
      </c>
      <c r="D171" s="15" t="s">
        <v>46</v>
      </c>
      <c r="E171" s="15" t="s">
        <v>82</v>
      </c>
      <c r="F171" s="15" t="s">
        <v>424</v>
      </c>
      <c r="G171" s="298"/>
      <c r="H171" s="10"/>
      <c r="I171" s="11"/>
      <c r="J171" s="11"/>
      <c r="K171" s="11"/>
      <c r="L171" s="11"/>
      <c r="M171" s="11"/>
      <c r="N171" s="11"/>
      <c r="O171" s="12"/>
      <c r="P171" s="11"/>
      <c r="Q171" s="13"/>
      <c r="R171" s="14"/>
    </row>
    <row r="172" spans="1:18" ht="15" customHeight="1">
      <c r="A172" s="58" t="s">
        <v>61</v>
      </c>
      <c r="B172" s="58" t="s">
        <v>371</v>
      </c>
      <c r="C172" s="59">
        <v>4.8611111111111112E-2</v>
      </c>
      <c r="D172" s="58" t="s">
        <v>63</v>
      </c>
      <c r="E172" s="58" t="s">
        <v>126</v>
      </c>
      <c r="F172" s="58" t="s">
        <v>365</v>
      </c>
      <c r="G172" s="298"/>
      <c r="H172" s="60" t="s">
        <v>373</v>
      </c>
      <c r="I172" s="61">
        <v>2.69E-2</v>
      </c>
      <c r="J172" s="62">
        <v>5</v>
      </c>
      <c r="K172" s="63">
        <v>46342</v>
      </c>
      <c r="L172" s="62">
        <v>5</v>
      </c>
      <c r="M172" s="62">
        <v>0</v>
      </c>
      <c r="N172" s="62">
        <v>0</v>
      </c>
      <c r="O172" s="64" t="s">
        <v>446</v>
      </c>
      <c r="P172" s="65">
        <v>4.8611111111111112E-2</v>
      </c>
      <c r="Q172" s="62">
        <v>186</v>
      </c>
      <c r="R172" s="66" t="s">
        <v>447</v>
      </c>
    </row>
    <row r="173" spans="1:18" ht="15" customHeight="1">
      <c r="A173" s="154" t="s">
        <v>61</v>
      </c>
      <c r="B173" s="154" t="s">
        <v>364</v>
      </c>
      <c r="C173" s="155">
        <v>0.90625</v>
      </c>
      <c r="D173" s="154" t="s">
        <v>63</v>
      </c>
      <c r="E173" s="154" t="s">
        <v>200</v>
      </c>
      <c r="F173" s="154" t="s">
        <v>79</v>
      </c>
      <c r="G173" s="298"/>
      <c r="H173" s="69" t="s">
        <v>366</v>
      </c>
      <c r="I173" s="70">
        <v>5.5599999999999997E-2</v>
      </c>
      <c r="J173" s="71">
        <v>10</v>
      </c>
      <c r="K173" s="72">
        <v>46338</v>
      </c>
      <c r="L173" s="71">
        <v>10</v>
      </c>
      <c r="M173" s="71">
        <v>0</v>
      </c>
      <c r="N173" s="71">
        <v>0</v>
      </c>
      <c r="O173" s="73" t="s">
        <v>304</v>
      </c>
      <c r="P173" s="74">
        <v>0.90625</v>
      </c>
      <c r="Q173" s="71">
        <v>180</v>
      </c>
      <c r="R173" s="75" t="s">
        <v>448</v>
      </c>
    </row>
    <row r="174" spans="1:18" ht="15" customHeight="1">
      <c r="A174" s="162" t="s">
        <v>61</v>
      </c>
      <c r="B174" s="162" t="s">
        <v>375</v>
      </c>
      <c r="C174" s="163">
        <v>0.15625</v>
      </c>
      <c r="D174" s="162" t="s">
        <v>63</v>
      </c>
      <c r="E174" s="162" t="s">
        <v>435</v>
      </c>
      <c r="F174" s="162" t="s">
        <v>79</v>
      </c>
      <c r="G174" s="298"/>
      <c r="H174" s="60" t="s">
        <v>376</v>
      </c>
      <c r="I174" s="61">
        <v>3.3300000000000003E-2</v>
      </c>
      <c r="J174" s="62">
        <v>6</v>
      </c>
      <c r="K174" s="63">
        <v>46332</v>
      </c>
      <c r="L174" s="62">
        <v>10</v>
      </c>
      <c r="M174" s="62">
        <v>0</v>
      </c>
      <c r="N174" s="62">
        <v>0</v>
      </c>
      <c r="O174" s="64" t="s">
        <v>299</v>
      </c>
      <c r="P174" s="65">
        <v>0.15625</v>
      </c>
      <c r="Q174" s="62">
        <v>180</v>
      </c>
      <c r="R174" s="66" t="s">
        <v>436</v>
      </c>
    </row>
    <row r="175" spans="1:18" ht="15" customHeight="1">
      <c r="A175" s="148" t="s">
        <v>61</v>
      </c>
      <c r="B175" s="148" t="s">
        <v>377</v>
      </c>
      <c r="C175" s="149">
        <v>0.50347222222222221</v>
      </c>
      <c r="D175" s="148" t="s">
        <v>63</v>
      </c>
      <c r="E175" s="148" t="s">
        <v>57</v>
      </c>
      <c r="F175" s="148" t="s">
        <v>449</v>
      </c>
      <c r="G175" s="298"/>
      <c r="H175" s="51" t="s">
        <v>378</v>
      </c>
      <c r="I175" s="52">
        <v>7.7799999999999994E-2</v>
      </c>
      <c r="J175" s="53">
        <v>14</v>
      </c>
      <c r="K175" s="54">
        <v>46338</v>
      </c>
      <c r="L175" s="53">
        <v>14</v>
      </c>
      <c r="M175" s="53">
        <v>0</v>
      </c>
      <c r="N175" s="53">
        <v>0</v>
      </c>
      <c r="O175" s="55" t="s">
        <v>67</v>
      </c>
      <c r="P175" s="56">
        <v>0.50347222222222221</v>
      </c>
      <c r="Q175" s="53">
        <v>180</v>
      </c>
      <c r="R175" s="57" t="s">
        <v>450</v>
      </c>
    </row>
    <row r="176" spans="1:18" ht="15" customHeight="1">
      <c r="A176" s="19" t="s">
        <v>402</v>
      </c>
      <c r="B176" s="19" t="s">
        <v>403</v>
      </c>
      <c r="C176" s="20">
        <v>0.49305555555555558</v>
      </c>
      <c r="D176" s="19" t="s">
        <v>63</v>
      </c>
      <c r="E176" s="19" t="s">
        <v>143</v>
      </c>
      <c r="F176" s="19" t="s">
        <v>404</v>
      </c>
      <c r="G176" s="298"/>
      <c r="H176" s="10"/>
      <c r="I176" s="11"/>
      <c r="J176" s="11"/>
      <c r="K176" s="11"/>
      <c r="L176" s="11"/>
      <c r="M176" s="11"/>
      <c r="N176" s="11"/>
      <c r="O176" s="12"/>
      <c r="P176" s="11"/>
      <c r="Q176" s="13"/>
      <c r="R176" s="14"/>
    </row>
    <row r="177" spans="1:18" ht="15" customHeight="1">
      <c r="A177" s="19" t="s">
        <v>26</v>
      </c>
      <c r="B177" s="19" t="s">
        <v>354</v>
      </c>
      <c r="C177" s="20">
        <v>0.34722222222222232</v>
      </c>
      <c r="D177" s="19" t="s">
        <v>451</v>
      </c>
      <c r="E177" s="19" t="s">
        <v>126</v>
      </c>
      <c r="F177" s="19" t="s">
        <v>79</v>
      </c>
      <c r="G177" s="298"/>
      <c r="H177" s="10"/>
      <c r="I177" s="11"/>
      <c r="J177" s="11"/>
      <c r="K177" s="11"/>
      <c r="L177" s="11"/>
      <c r="M177" s="11"/>
      <c r="N177" s="11"/>
      <c r="O177" s="12"/>
      <c r="P177" s="11"/>
      <c r="Q177" s="13"/>
      <c r="R177" s="14"/>
    </row>
    <row r="178" spans="1:18" ht="15" customHeight="1">
      <c r="A178" s="15" t="s">
        <v>26</v>
      </c>
      <c r="B178" s="15" t="s">
        <v>354</v>
      </c>
      <c r="C178" s="16">
        <v>0.34722222222222232</v>
      </c>
      <c r="D178" s="15" t="s">
        <v>28</v>
      </c>
      <c r="E178" s="15" t="s">
        <v>127</v>
      </c>
      <c r="F178" s="15" t="s">
        <v>79</v>
      </c>
      <c r="G178" s="298"/>
      <c r="H178" s="10"/>
      <c r="I178" s="11"/>
      <c r="J178" s="11"/>
      <c r="K178" s="11"/>
      <c r="L178" s="11"/>
      <c r="M178" s="11"/>
      <c r="N178" s="11"/>
      <c r="O178" s="12"/>
      <c r="P178" s="11"/>
      <c r="Q178" s="13"/>
      <c r="R178" s="14"/>
    </row>
    <row r="179" spans="1:18" ht="15" customHeight="1">
      <c r="A179" s="15" t="s">
        <v>26</v>
      </c>
      <c r="B179" s="15" t="s">
        <v>354</v>
      </c>
      <c r="C179" s="16">
        <v>0.34722222222222232</v>
      </c>
      <c r="D179" s="15" t="s">
        <v>31</v>
      </c>
      <c r="E179" s="15" t="s">
        <v>127</v>
      </c>
      <c r="F179" s="15" t="s">
        <v>123</v>
      </c>
      <c r="G179" s="298"/>
      <c r="H179" s="10"/>
      <c r="I179" s="11"/>
      <c r="J179" s="11"/>
      <c r="K179" s="11"/>
      <c r="L179" s="11"/>
      <c r="M179" s="11"/>
      <c r="N179" s="11"/>
      <c r="O179" s="12"/>
      <c r="P179" s="11"/>
      <c r="Q179" s="13"/>
      <c r="R179" s="14"/>
    </row>
    <row r="180" spans="1:18" ht="15" customHeight="1">
      <c r="A180" s="15" t="s">
        <v>26</v>
      </c>
      <c r="B180" s="15" t="s">
        <v>354</v>
      </c>
      <c r="C180" s="16">
        <v>0.34722222222222232</v>
      </c>
      <c r="D180" s="15" t="s">
        <v>34</v>
      </c>
      <c r="E180" s="15" t="s">
        <v>127</v>
      </c>
      <c r="F180" s="15" t="s">
        <v>118</v>
      </c>
      <c r="G180" s="298"/>
      <c r="H180" s="10"/>
      <c r="I180" s="11"/>
      <c r="J180" s="11"/>
      <c r="K180" s="11"/>
      <c r="L180" s="11"/>
      <c r="M180" s="11"/>
      <c r="N180" s="11"/>
      <c r="O180" s="12"/>
      <c r="P180" s="11"/>
      <c r="Q180" s="13"/>
      <c r="R180" s="14"/>
    </row>
    <row r="181" spans="1:18" ht="15" customHeight="1">
      <c r="A181" s="17" t="s">
        <v>26</v>
      </c>
      <c r="B181" s="17" t="s">
        <v>348</v>
      </c>
      <c r="C181" s="18">
        <v>0.99305555555555547</v>
      </c>
      <c r="D181" s="17" t="s">
        <v>451</v>
      </c>
      <c r="E181" s="17" t="s">
        <v>91</v>
      </c>
      <c r="F181" s="17" t="s">
        <v>79</v>
      </c>
      <c r="G181" s="298"/>
      <c r="H181" s="10"/>
      <c r="I181" s="11"/>
      <c r="J181" s="11"/>
      <c r="K181" s="11"/>
      <c r="L181" s="11"/>
      <c r="M181" s="11"/>
      <c r="N181" s="11"/>
      <c r="O181" s="12"/>
      <c r="P181" s="11"/>
      <c r="Q181" s="13"/>
      <c r="R181" s="14"/>
    </row>
    <row r="182" spans="1:18" ht="15" customHeight="1">
      <c r="A182" s="15" t="s">
        <v>26</v>
      </c>
      <c r="B182" s="15" t="s">
        <v>348</v>
      </c>
      <c r="C182" s="16">
        <v>0.99305555555555547</v>
      </c>
      <c r="D182" s="15" t="s">
        <v>28</v>
      </c>
      <c r="E182" s="15" t="s">
        <v>92</v>
      </c>
      <c r="F182" s="15" t="s">
        <v>79</v>
      </c>
      <c r="G182" s="298"/>
      <c r="H182" s="10"/>
      <c r="I182" s="11"/>
      <c r="J182" s="11"/>
      <c r="K182" s="11"/>
      <c r="L182" s="11"/>
      <c r="M182" s="11"/>
      <c r="N182" s="11"/>
      <c r="O182" s="12"/>
      <c r="P182" s="11"/>
      <c r="Q182" s="13"/>
      <c r="R182" s="14"/>
    </row>
    <row r="183" spans="1:18" ht="15" customHeight="1">
      <c r="A183" s="15" t="s">
        <v>26</v>
      </c>
      <c r="B183" s="15" t="s">
        <v>348</v>
      </c>
      <c r="C183" s="16">
        <v>0.99305555555555547</v>
      </c>
      <c r="D183" s="15" t="s">
        <v>31</v>
      </c>
      <c r="E183" s="15" t="s">
        <v>92</v>
      </c>
      <c r="F183" s="15" t="s">
        <v>123</v>
      </c>
      <c r="G183" s="298"/>
      <c r="H183" s="10"/>
      <c r="I183" s="11"/>
      <c r="J183" s="11"/>
      <c r="K183" s="11"/>
      <c r="L183" s="11"/>
      <c r="M183" s="11"/>
      <c r="N183" s="11"/>
      <c r="O183" s="12"/>
      <c r="P183" s="11"/>
      <c r="Q183" s="13"/>
      <c r="R183" s="14"/>
    </row>
    <row r="184" spans="1:18" ht="15" customHeight="1">
      <c r="A184" s="15" t="s">
        <v>26</v>
      </c>
      <c r="B184" s="15" t="s">
        <v>348</v>
      </c>
      <c r="C184" s="16">
        <v>0.99305555555555547</v>
      </c>
      <c r="D184" s="15" t="s">
        <v>34</v>
      </c>
      <c r="E184" s="15" t="s">
        <v>92</v>
      </c>
      <c r="F184" s="15" t="s">
        <v>118</v>
      </c>
      <c r="G184" s="298"/>
      <c r="H184" s="10"/>
      <c r="I184" s="11"/>
      <c r="J184" s="11"/>
      <c r="K184" s="11"/>
      <c r="L184" s="11"/>
      <c r="M184" s="11"/>
      <c r="N184" s="11"/>
      <c r="O184" s="12"/>
      <c r="P184" s="11"/>
      <c r="Q184" s="13"/>
      <c r="R184" s="14"/>
    </row>
    <row r="185" spans="1:18" ht="15" customHeight="1">
      <c r="A185" s="17" t="s">
        <v>26</v>
      </c>
      <c r="B185" s="17" t="s">
        <v>352</v>
      </c>
      <c r="C185" s="18">
        <v>0.94444444444444453</v>
      </c>
      <c r="D185" s="17" t="s">
        <v>451</v>
      </c>
      <c r="E185" s="17" t="s">
        <v>200</v>
      </c>
      <c r="F185" s="17" t="s">
        <v>79</v>
      </c>
      <c r="G185" s="298"/>
      <c r="H185" s="10"/>
      <c r="I185" s="11"/>
      <c r="J185" s="11"/>
      <c r="K185" s="11"/>
      <c r="L185" s="11"/>
      <c r="M185" s="11"/>
      <c r="N185" s="11"/>
      <c r="O185" s="12"/>
      <c r="P185" s="11"/>
      <c r="Q185" s="13"/>
      <c r="R185" s="14"/>
    </row>
    <row r="186" spans="1:18" ht="15" customHeight="1">
      <c r="A186" s="15" t="s">
        <v>26</v>
      </c>
      <c r="B186" s="15" t="s">
        <v>352</v>
      </c>
      <c r="C186" s="16">
        <v>0.94444444444444453</v>
      </c>
      <c r="D186" s="15" t="s">
        <v>28</v>
      </c>
      <c r="E186" s="15" t="s">
        <v>127</v>
      </c>
      <c r="F186" s="15" t="s">
        <v>79</v>
      </c>
      <c r="G186" s="298"/>
      <c r="H186" s="10"/>
      <c r="I186" s="11"/>
      <c r="J186" s="11"/>
      <c r="K186" s="11"/>
      <c r="L186" s="11"/>
      <c r="M186" s="11"/>
      <c r="N186" s="11"/>
      <c r="O186" s="12"/>
      <c r="P186" s="11"/>
      <c r="Q186" s="13"/>
      <c r="R186" s="14"/>
    </row>
    <row r="187" spans="1:18" ht="15" customHeight="1">
      <c r="A187" s="15" t="s">
        <v>26</v>
      </c>
      <c r="B187" s="15" t="s">
        <v>352</v>
      </c>
      <c r="C187" s="16">
        <v>0.94444444444444453</v>
      </c>
      <c r="D187" s="15" t="s">
        <v>31</v>
      </c>
      <c r="E187" s="15" t="s">
        <v>127</v>
      </c>
      <c r="F187" s="15" t="s">
        <v>123</v>
      </c>
      <c r="G187" s="298"/>
      <c r="H187" s="10"/>
      <c r="I187" s="11"/>
      <c r="J187" s="11"/>
      <c r="K187" s="11"/>
      <c r="L187" s="11"/>
      <c r="M187" s="11"/>
      <c r="N187" s="11"/>
      <c r="O187" s="12"/>
      <c r="P187" s="11"/>
      <c r="Q187" s="13"/>
      <c r="R187" s="14"/>
    </row>
    <row r="188" spans="1:18" ht="15" customHeight="1">
      <c r="A188" s="15" t="s">
        <v>26</v>
      </c>
      <c r="B188" s="15" t="s">
        <v>352</v>
      </c>
      <c r="C188" s="16">
        <v>0.94444444444444453</v>
      </c>
      <c r="D188" s="15" t="s">
        <v>34</v>
      </c>
      <c r="E188" s="15" t="s">
        <v>127</v>
      </c>
      <c r="F188" s="15" t="s">
        <v>118</v>
      </c>
      <c r="G188" s="298"/>
      <c r="H188" s="10"/>
      <c r="I188" s="11"/>
      <c r="J188" s="11"/>
      <c r="K188" s="11"/>
      <c r="L188" s="11"/>
      <c r="M188" s="11"/>
      <c r="N188" s="11"/>
      <c r="O188" s="12"/>
      <c r="P188" s="11"/>
      <c r="Q188" s="13"/>
      <c r="R188" s="14"/>
    </row>
    <row r="189" spans="1:18" ht="15" customHeight="1">
      <c r="A189" s="17" t="s">
        <v>26</v>
      </c>
      <c r="B189" s="17" t="s">
        <v>353</v>
      </c>
      <c r="C189" s="18">
        <v>0.88888888888888884</v>
      </c>
      <c r="D189" s="17" t="s">
        <v>451</v>
      </c>
      <c r="E189" s="17" t="s">
        <v>98</v>
      </c>
      <c r="F189" s="17" t="s">
        <v>79</v>
      </c>
      <c r="G189" s="298"/>
      <c r="H189" s="10"/>
      <c r="I189" s="11"/>
      <c r="J189" s="11"/>
      <c r="K189" s="11"/>
      <c r="L189" s="11"/>
      <c r="M189" s="11"/>
      <c r="N189" s="11"/>
      <c r="O189" s="12"/>
      <c r="P189" s="11"/>
      <c r="Q189" s="13"/>
      <c r="R189" s="14"/>
    </row>
    <row r="190" spans="1:18" ht="15" customHeight="1">
      <c r="A190" s="15" t="s">
        <v>26</v>
      </c>
      <c r="B190" s="15" t="s">
        <v>353</v>
      </c>
      <c r="C190" s="16">
        <v>0.88888888888888884</v>
      </c>
      <c r="D190" s="15" t="s">
        <v>28</v>
      </c>
      <c r="E190" s="15" t="s">
        <v>99</v>
      </c>
      <c r="F190" s="15" t="s">
        <v>79</v>
      </c>
      <c r="G190" s="298"/>
      <c r="H190" s="10"/>
      <c r="I190" s="11"/>
      <c r="J190" s="11"/>
      <c r="K190" s="11"/>
      <c r="L190" s="11"/>
      <c r="M190" s="11"/>
      <c r="N190" s="11"/>
      <c r="O190" s="12"/>
      <c r="P190" s="11"/>
      <c r="Q190" s="13"/>
      <c r="R190" s="14"/>
    </row>
    <row r="191" spans="1:18" ht="15" customHeight="1">
      <c r="A191" s="15" t="s">
        <v>26</v>
      </c>
      <c r="B191" s="15" t="s">
        <v>353</v>
      </c>
      <c r="C191" s="16">
        <v>0.88888888888888884</v>
      </c>
      <c r="D191" s="15" t="s">
        <v>31</v>
      </c>
      <c r="E191" s="15" t="s">
        <v>99</v>
      </c>
      <c r="F191" s="15" t="s">
        <v>123</v>
      </c>
      <c r="G191" s="298"/>
      <c r="H191" s="10"/>
      <c r="I191" s="11"/>
      <c r="J191" s="11"/>
      <c r="K191" s="11"/>
      <c r="L191" s="11"/>
      <c r="M191" s="11"/>
      <c r="N191" s="11"/>
      <c r="O191" s="12"/>
      <c r="P191" s="11"/>
      <c r="Q191" s="13"/>
      <c r="R191" s="14"/>
    </row>
    <row r="192" spans="1:18" ht="15" customHeight="1">
      <c r="A192" s="15" t="s">
        <v>26</v>
      </c>
      <c r="B192" s="15" t="s">
        <v>353</v>
      </c>
      <c r="C192" s="16">
        <v>0.88888888888888884</v>
      </c>
      <c r="D192" s="15" t="s">
        <v>34</v>
      </c>
      <c r="E192" s="15" t="s">
        <v>99</v>
      </c>
      <c r="F192" s="15" t="s">
        <v>118</v>
      </c>
      <c r="G192" s="298"/>
      <c r="H192" s="10"/>
      <c r="I192" s="11"/>
      <c r="J192" s="11"/>
      <c r="K192" s="11"/>
      <c r="L192" s="11"/>
      <c r="M192" s="11"/>
      <c r="N192" s="11"/>
      <c r="O192" s="12"/>
      <c r="P192" s="11"/>
      <c r="Q192" s="13"/>
      <c r="R192" s="14"/>
    </row>
    <row r="193" spans="1:18" ht="15" customHeight="1">
      <c r="A193" s="17" t="s">
        <v>26</v>
      </c>
      <c r="B193" s="17" t="s">
        <v>350</v>
      </c>
      <c r="C193" s="18">
        <v>0.73611111111111116</v>
      </c>
      <c r="D193" s="17" t="s">
        <v>451</v>
      </c>
      <c r="E193" s="17" t="s">
        <v>98</v>
      </c>
      <c r="F193" s="17" t="s">
        <v>45</v>
      </c>
      <c r="G193" s="298"/>
      <c r="H193" s="10"/>
      <c r="I193" s="11"/>
      <c r="J193" s="11"/>
      <c r="K193" s="11"/>
      <c r="L193" s="11"/>
      <c r="M193" s="11"/>
      <c r="N193" s="11"/>
      <c r="O193" s="12"/>
      <c r="P193" s="11"/>
      <c r="Q193" s="13"/>
      <c r="R193" s="14"/>
    </row>
    <row r="194" spans="1:18" ht="15" customHeight="1">
      <c r="A194" s="15" t="s">
        <v>26</v>
      </c>
      <c r="B194" s="15" t="s">
        <v>350</v>
      </c>
      <c r="C194" s="16">
        <v>0.73611111111111116</v>
      </c>
      <c r="D194" s="15" t="s">
        <v>28</v>
      </c>
      <c r="E194" s="15" t="s">
        <v>99</v>
      </c>
      <c r="F194" s="15" t="s">
        <v>45</v>
      </c>
      <c r="G194" s="298"/>
      <c r="H194" s="10"/>
      <c r="I194" s="11"/>
      <c r="J194" s="11"/>
      <c r="K194" s="11"/>
      <c r="L194" s="11"/>
      <c r="M194" s="11"/>
      <c r="N194" s="11"/>
      <c r="O194" s="12"/>
      <c r="P194" s="11"/>
      <c r="Q194" s="13"/>
      <c r="R194" s="14"/>
    </row>
    <row r="195" spans="1:18" ht="15" customHeight="1">
      <c r="A195" s="15" t="s">
        <v>26</v>
      </c>
      <c r="B195" s="15" t="s">
        <v>350</v>
      </c>
      <c r="C195" s="16">
        <v>0.73611111111111116</v>
      </c>
      <c r="D195" s="15" t="s">
        <v>31</v>
      </c>
      <c r="E195" s="15" t="s">
        <v>99</v>
      </c>
      <c r="F195" s="15" t="s">
        <v>355</v>
      </c>
      <c r="G195" s="298"/>
      <c r="H195" s="10"/>
      <c r="I195" s="11"/>
      <c r="J195" s="11"/>
      <c r="K195" s="11"/>
      <c r="L195" s="11"/>
      <c r="M195" s="11"/>
      <c r="N195" s="11"/>
      <c r="O195" s="12"/>
      <c r="P195" s="11"/>
      <c r="Q195" s="13"/>
      <c r="R195" s="14"/>
    </row>
    <row r="196" spans="1:18" ht="15" customHeight="1">
      <c r="A196" s="15" t="s">
        <v>26</v>
      </c>
      <c r="B196" s="15" t="s">
        <v>350</v>
      </c>
      <c r="C196" s="16">
        <v>0.73611111111111116</v>
      </c>
      <c r="D196" s="15" t="s">
        <v>34</v>
      </c>
      <c r="E196" s="15" t="s">
        <v>99</v>
      </c>
      <c r="F196" s="15" t="s">
        <v>358</v>
      </c>
      <c r="G196" s="298"/>
      <c r="H196" s="10"/>
      <c r="I196" s="11"/>
      <c r="J196" s="11"/>
      <c r="K196" s="11"/>
      <c r="L196" s="11"/>
      <c r="M196" s="11"/>
      <c r="N196" s="11"/>
      <c r="O196" s="12"/>
      <c r="P196" s="11"/>
      <c r="Q196" s="13"/>
      <c r="R196" s="14"/>
    </row>
    <row r="197" spans="1:18" ht="15" customHeight="1">
      <c r="A197" s="17" t="s">
        <v>26</v>
      </c>
      <c r="B197" s="17" t="s">
        <v>351</v>
      </c>
      <c r="C197" s="18">
        <v>0.83680555555555547</v>
      </c>
      <c r="D197" s="17" t="s">
        <v>451</v>
      </c>
      <c r="E197" s="17" t="s">
        <v>435</v>
      </c>
      <c r="F197" s="17" t="s">
        <v>45</v>
      </c>
      <c r="G197" s="298"/>
      <c r="H197" s="10"/>
      <c r="I197" s="11"/>
      <c r="J197" s="11"/>
      <c r="K197" s="11"/>
      <c r="L197" s="11"/>
      <c r="M197" s="11"/>
      <c r="N197" s="11"/>
      <c r="O197" s="12"/>
      <c r="P197" s="11"/>
      <c r="Q197" s="13"/>
      <c r="R197" s="14"/>
    </row>
    <row r="198" spans="1:18" ht="15" customHeight="1">
      <c r="A198" s="15" t="s">
        <v>26</v>
      </c>
      <c r="B198" s="15" t="s">
        <v>351</v>
      </c>
      <c r="C198" s="16">
        <v>0.83680555555555547</v>
      </c>
      <c r="D198" s="15" t="s">
        <v>28</v>
      </c>
      <c r="E198" s="15" t="s">
        <v>108</v>
      </c>
      <c r="F198" s="15" t="s">
        <v>45</v>
      </c>
      <c r="G198" s="298"/>
      <c r="H198" s="10"/>
      <c r="I198" s="11"/>
      <c r="J198" s="11"/>
      <c r="K198" s="11"/>
      <c r="L198" s="11"/>
      <c r="M198" s="11"/>
      <c r="N198" s="11"/>
      <c r="O198" s="12"/>
      <c r="P198" s="11"/>
      <c r="Q198" s="13"/>
      <c r="R198" s="14"/>
    </row>
    <row r="199" spans="1:18" ht="15" customHeight="1">
      <c r="A199" s="15" t="s">
        <v>26</v>
      </c>
      <c r="B199" s="15" t="s">
        <v>351</v>
      </c>
      <c r="C199" s="16">
        <v>0.83680555555555547</v>
      </c>
      <c r="D199" s="15" t="s">
        <v>31</v>
      </c>
      <c r="E199" s="15" t="s">
        <v>108</v>
      </c>
      <c r="F199" s="15" t="s">
        <v>355</v>
      </c>
      <c r="G199" s="298"/>
      <c r="H199" s="10"/>
      <c r="I199" s="11"/>
      <c r="J199" s="11"/>
      <c r="K199" s="11"/>
      <c r="L199" s="11"/>
      <c r="M199" s="11"/>
      <c r="N199" s="11"/>
      <c r="O199" s="12"/>
      <c r="P199" s="11"/>
      <c r="Q199" s="13"/>
      <c r="R199" s="14"/>
    </row>
    <row r="200" spans="1:18" ht="15" customHeight="1">
      <c r="A200" s="15" t="s">
        <v>26</v>
      </c>
      <c r="B200" s="15" t="s">
        <v>351</v>
      </c>
      <c r="C200" s="16">
        <v>0.83680555555555547</v>
      </c>
      <c r="D200" s="15" t="s">
        <v>34</v>
      </c>
      <c r="E200" s="15" t="s">
        <v>108</v>
      </c>
      <c r="F200" s="15" t="s">
        <v>358</v>
      </c>
      <c r="G200" s="298"/>
      <c r="H200" s="10"/>
      <c r="I200" s="11"/>
      <c r="J200" s="11"/>
      <c r="K200" s="11"/>
      <c r="L200" s="11"/>
      <c r="M200" s="11"/>
      <c r="N200" s="11"/>
      <c r="O200" s="12"/>
      <c r="P200" s="11"/>
      <c r="Q200" s="13"/>
      <c r="R200" s="14"/>
    </row>
    <row r="201" spans="1:18" ht="15" customHeight="1">
      <c r="A201" s="17" t="s">
        <v>26</v>
      </c>
      <c r="B201" s="17" t="s">
        <v>356</v>
      </c>
      <c r="C201" s="18">
        <v>0.4861111111111111</v>
      </c>
      <c r="D201" s="17" t="s">
        <v>451</v>
      </c>
      <c r="E201" s="17" t="s">
        <v>435</v>
      </c>
      <c r="F201" s="17" t="s">
        <v>45</v>
      </c>
      <c r="G201" s="298"/>
      <c r="H201" s="10"/>
      <c r="I201" s="11"/>
      <c r="J201" s="11"/>
      <c r="K201" s="11"/>
      <c r="L201" s="11"/>
      <c r="M201" s="11"/>
      <c r="N201" s="11"/>
      <c r="O201" s="12"/>
      <c r="P201" s="11"/>
      <c r="Q201" s="13"/>
      <c r="R201" s="14"/>
    </row>
    <row r="202" spans="1:18" ht="15" customHeight="1">
      <c r="A202" s="15" t="s">
        <v>26</v>
      </c>
      <c r="B202" s="15" t="s">
        <v>356</v>
      </c>
      <c r="C202" s="16">
        <v>0.4861111111111111</v>
      </c>
      <c r="D202" s="15" t="s">
        <v>28</v>
      </c>
      <c r="E202" s="15" t="s">
        <v>108</v>
      </c>
      <c r="F202" s="15" t="s">
        <v>45</v>
      </c>
      <c r="G202" s="298"/>
      <c r="H202" s="10"/>
      <c r="I202" s="11"/>
      <c r="J202" s="11"/>
      <c r="K202" s="11"/>
      <c r="L202" s="11"/>
      <c r="M202" s="11"/>
      <c r="N202" s="11"/>
      <c r="O202" s="12"/>
      <c r="P202" s="11"/>
      <c r="Q202" s="13"/>
      <c r="R202" s="14"/>
    </row>
    <row r="203" spans="1:18" ht="15" customHeight="1">
      <c r="A203" s="15" t="s">
        <v>26</v>
      </c>
      <c r="B203" s="15" t="s">
        <v>356</v>
      </c>
      <c r="C203" s="16">
        <v>0.4861111111111111</v>
      </c>
      <c r="D203" s="15" t="s">
        <v>31</v>
      </c>
      <c r="E203" s="15" t="s">
        <v>108</v>
      </c>
      <c r="F203" s="15" t="s">
        <v>355</v>
      </c>
      <c r="G203" s="298"/>
      <c r="H203" s="10"/>
      <c r="I203" s="11"/>
      <c r="J203" s="11"/>
      <c r="K203" s="11"/>
      <c r="L203" s="11"/>
      <c r="M203" s="11"/>
      <c r="N203" s="11"/>
      <c r="O203" s="12"/>
      <c r="P203" s="11"/>
      <c r="Q203" s="13"/>
      <c r="R203" s="14"/>
    </row>
    <row r="204" spans="1:18" ht="15" customHeight="1">
      <c r="A204" s="15" t="s">
        <v>26</v>
      </c>
      <c r="B204" s="15" t="s">
        <v>356</v>
      </c>
      <c r="C204" s="16">
        <v>0.4861111111111111</v>
      </c>
      <c r="D204" s="15" t="s">
        <v>34</v>
      </c>
      <c r="E204" s="15" t="s">
        <v>108</v>
      </c>
      <c r="F204" s="15" t="s">
        <v>358</v>
      </c>
      <c r="G204" s="298"/>
      <c r="H204" s="10"/>
      <c r="I204" s="11"/>
      <c r="J204" s="11"/>
      <c r="K204" s="11"/>
      <c r="L204" s="11"/>
      <c r="M204" s="11"/>
      <c r="N204" s="11"/>
      <c r="O204" s="12"/>
      <c r="P204" s="11"/>
      <c r="Q204" s="13"/>
      <c r="R204" s="14"/>
    </row>
    <row r="205" spans="1:18" ht="15" customHeight="1">
      <c r="A205" s="17" t="s">
        <v>26</v>
      </c>
      <c r="B205" s="17" t="s">
        <v>357</v>
      </c>
      <c r="C205" s="18">
        <v>0.3923611111111111</v>
      </c>
      <c r="D205" s="17" t="s">
        <v>451</v>
      </c>
      <c r="E205" s="17" t="s">
        <v>435</v>
      </c>
      <c r="F205" s="17" t="s">
        <v>45</v>
      </c>
      <c r="G205" s="298"/>
      <c r="H205" s="10"/>
      <c r="I205" s="11"/>
      <c r="J205" s="11"/>
      <c r="K205" s="11"/>
      <c r="L205" s="11"/>
      <c r="M205" s="11"/>
      <c r="N205" s="11"/>
      <c r="O205" s="12"/>
      <c r="P205" s="11"/>
      <c r="Q205" s="13"/>
      <c r="R205" s="14"/>
    </row>
    <row r="206" spans="1:18" ht="15" customHeight="1">
      <c r="A206" s="15" t="s">
        <v>26</v>
      </c>
      <c r="B206" s="15" t="s">
        <v>357</v>
      </c>
      <c r="C206" s="16">
        <v>0.3923611111111111</v>
      </c>
      <c r="D206" s="15" t="s">
        <v>28</v>
      </c>
      <c r="E206" s="15" t="s">
        <v>108</v>
      </c>
      <c r="F206" s="15" t="s">
        <v>45</v>
      </c>
      <c r="G206" s="298"/>
      <c r="H206" s="10"/>
      <c r="I206" s="11"/>
      <c r="J206" s="11"/>
      <c r="K206" s="11"/>
      <c r="L206" s="11"/>
      <c r="M206" s="11"/>
      <c r="N206" s="11"/>
      <c r="O206" s="12"/>
      <c r="P206" s="11"/>
      <c r="Q206" s="13"/>
      <c r="R206" s="14"/>
    </row>
    <row r="207" spans="1:18" ht="15" customHeight="1">
      <c r="A207" s="15" t="s">
        <v>26</v>
      </c>
      <c r="B207" s="15" t="s">
        <v>357</v>
      </c>
      <c r="C207" s="16">
        <v>0.3923611111111111</v>
      </c>
      <c r="D207" s="15" t="s">
        <v>31</v>
      </c>
      <c r="E207" s="15" t="s">
        <v>108</v>
      </c>
      <c r="F207" s="15" t="s">
        <v>355</v>
      </c>
      <c r="G207" s="298"/>
      <c r="H207" s="10"/>
      <c r="I207" s="11"/>
      <c r="J207" s="11"/>
      <c r="K207" s="11"/>
      <c r="L207" s="11"/>
      <c r="M207" s="11"/>
      <c r="N207" s="11"/>
      <c r="O207" s="12"/>
      <c r="P207" s="11"/>
      <c r="Q207" s="13"/>
      <c r="R207" s="14"/>
    </row>
    <row r="208" spans="1:18" ht="15" customHeight="1">
      <c r="A208" s="15" t="s">
        <v>26</v>
      </c>
      <c r="B208" s="15" t="s">
        <v>357</v>
      </c>
      <c r="C208" s="16">
        <v>0.3923611111111111</v>
      </c>
      <c r="D208" s="15" t="s">
        <v>34</v>
      </c>
      <c r="E208" s="15" t="s">
        <v>108</v>
      </c>
      <c r="F208" s="15" t="s">
        <v>358</v>
      </c>
      <c r="G208" s="298"/>
      <c r="H208" s="10"/>
      <c r="I208" s="11"/>
      <c r="J208" s="11"/>
      <c r="K208" s="11"/>
      <c r="L208" s="11"/>
      <c r="M208" s="11"/>
      <c r="N208" s="11"/>
      <c r="O208" s="12"/>
      <c r="P208" s="11"/>
      <c r="Q208" s="13"/>
      <c r="R208" s="14"/>
    </row>
    <row r="209" spans="1:18" ht="15" customHeight="1">
      <c r="A209" s="19" t="s">
        <v>68</v>
      </c>
      <c r="B209" s="19" t="s">
        <v>405</v>
      </c>
      <c r="C209" s="20">
        <v>0.83680555555555547</v>
      </c>
      <c r="D209" s="19" t="s">
        <v>70</v>
      </c>
      <c r="E209" s="19" t="s">
        <v>51</v>
      </c>
      <c r="F209" s="19" t="s">
        <v>406</v>
      </c>
      <c r="G209" s="298"/>
      <c r="H209" s="10"/>
      <c r="I209" s="11"/>
      <c r="J209" s="11"/>
      <c r="K209" s="11"/>
      <c r="L209" s="11"/>
      <c r="M209" s="11"/>
      <c r="N209" s="11"/>
      <c r="O209" s="12"/>
      <c r="P209" s="11"/>
      <c r="Q209" s="13"/>
      <c r="R209" s="14"/>
    </row>
    <row r="210" spans="1:18" ht="15" customHeight="1">
      <c r="A210" s="17" t="s">
        <v>68</v>
      </c>
      <c r="B210" s="17" t="s">
        <v>407</v>
      </c>
      <c r="C210" s="18">
        <v>0.3125</v>
      </c>
      <c r="D210" s="17" t="s">
        <v>70</v>
      </c>
      <c r="E210" s="17" t="s">
        <v>57</v>
      </c>
      <c r="F210" s="17" t="s">
        <v>406</v>
      </c>
      <c r="G210" s="298"/>
      <c r="H210" s="10"/>
      <c r="I210" s="11"/>
      <c r="J210" s="11"/>
      <c r="K210" s="11"/>
      <c r="L210" s="11"/>
      <c r="M210" s="11"/>
      <c r="N210" s="11"/>
      <c r="O210" s="12"/>
      <c r="P210" s="11"/>
      <c r="Q210" s="13"/>
      <c r="R210" s="14"/>
    </row>
    <row r="211" spans="1:18" ht="15" customHeight="1">
      <c r="A211" s="17" t="s">
        <v>68</v>
      </c>
      <c r="B211" s="17" t="s">
        <v>408</v>
      </c>
      <c r="C211" s="18">
        <v>0.97222222222222221</v>
      </c>
      <c r="D211" s="17" t="s">
        <v>70</v>
      </c>
      <c r="E211" s="17" t="s">
        <v>57</v>
      </c>
      <c r="F211" s="17" t="s">
        <v>406</v>
      </c>
      <c r="G211" s="298"/>
      <c r="H211" s="10"/>
      <c r="I211" s="11"/>
      <c r="J211" s="11"/>
      <c r="K211" s="11"/>
      <c r="L211" s="11"/>
      <c r="M211" s="11"/>
      <c r="N211" s="11"/>
      <c r="O211" s="12"/>
      <c r="P211" s="11"/>
      <c r="Q211" s="13"/>
      <c r="R211" s="14"/>
    </row>
    <row r="212" spans="1:18" ht="15" customHeight="1">
      <c r="A212" s="17" t="s">
        <v>68</v>
      </c>
      <c r="B212" s="17" t="s">
        <v>437</v>
      </c>
      <c r="C212" s="18">
        <v>0.1041666666666667</v>
      </c>
      <c r="D212" s="17" t="s">
        <v>70</v>
      </c>
      <c r="E212" s="17" t="s">
        <v>57</v>
      </c>
      <c r="F212" s="17" t="s">
        <v>406</v>
      </c>
      <c r="G212" s="298"/>
      <c r="H212" s="10"/>
      <c r="I212" s="11"/>
      <c r="J212" s="11"/>
      <c r="K212" s="11"/>
      <c r="L212" s="11"/>
      <c r="M212" s="11"/>
      <c r="N212" s="11"/>
      <c r="O212" s="12"/>
      <c r="P212" s="11"/>
      <c r="Q212" s="13"/>
      <c r="R212" s="14"/>
    </row>
    <row r="213" spans="1:18" ht="15" customHeight="1">
      <c r="A213" s="17" t="s">
        <v>68</v>
      </c>
      <c r="B213" s="17" t="s">
        <v>409</v>
      </c>
      <c r="C213" s="18">
        <v>0.34027777777777768</v>
      </c>
      <c r="D213" s="17" t="s">
        <v>70</v>
      </c>
      <c r="E213" s="17" t="s">
        <v>57</v>
      </c>
      <c r="F213" s="17" t="s">
        <v>406</v>
      </c>
      <c r="G213" s="298"/>
      <c r="H213" s="10"/>
      <c r="I213" s="11"/>
      <c r="J213" s="11"/>
      <c r="K213" s="11"/>
      <c r="L213" s="11"/>
      <c r="M213" s="11"/>
      <c r="N213" s="11"/>
      <c r="O213" s="12"/>
      <c r="P213" s="11"/>
      <c r="Q213" s="13"/>
      <c r="R213" s="14"/>
    </row>
    <row r="214" spans="1:18" ht="15" customHeight="1">
      <c r="A214" s="17" t="s">
        <v>68</v>
      </c>
      <c r="B214" s="17" t="s">
        <v>411</v>
      </c>
      <c r="C214" s="18">
        <v>0.78472222222222221</v>
      </c>
      <c r="D214" s="17" t="s">
        <v>70</v>
      </c>
      <c r="E214" s="17" t="s">
        <v>57</v>
      </c>
      <c r="F214" s="17" t="s">
        <v>406</v>
      </c>
      <c r="G214" s="298"/>
      <c r="H214" s="10"/>
      <c r="I214" s="11"/>
      <c r="J214" s="11"/>
      <c r="K214" s="11"/>
      <c r="L214" s="11"/>
      <c r="M214" s="11"/>
      <c r="N214" s="11"/>
      <c r="O214" s="12"/>
      <c r="P214" s="11"/>
      <c r="Q214" s="13"/>
      <c r="R214" s="14"/>
    </row>
    <row r="215" spans="1:18" ht="15" customHeight="1">
      <c r="A215" s="17" t="s">
        <v>68</v>
      </c>
      <c r="B215" s="17" t="s">
        <v>410</v>
      </c>
      <c r="C215" s="18">
        <v>0.59722222222222221</v>
      </c>
      <c r="D215" s="17" t="s">
        <v>70</v>
      </c>
      <c r="E215" s="17" t="s">
        <v>57</v>
      </c>
      <c r="F215" s="17" t="s">
        <v>406</v>
      </c>
      <c r="G215" s="298"/>
      <c r="H215" s="10"/>
      <c r="I215" s="11"/>
      <c r="J215" s="11"/>
      <c r="K215" s="11"/>
      <c r="L215" s="11"/>
      <c r="M215" s="11"/>
      <c r="N215" s="11"/>
      <c r="O215" s="12"/>
      <c r="P215" s="11"/>
      <c r="Q215" s="13"/>
      <c r="R215" s="14"/>
    </row>
    <row r="216" spans="1:18" ht="15" customHeight="1">
      <c r="A216" s="17" t="s">
        <v>68</v>
      </c>
      <c r="B216" s="17" t="s">
        <v>413</v>
      </c>
      <c r="C216" s="18">
        <v>4.8611111111111112E-2</v>
      </c>
      <c r="D216" s="17" t="s">
        <v>70</v>
      </c>
      <c r="E216" s="17" t="s">
        <v>57</v>
      </c>
      <c r="F216" s="17" t="s">
        <v>406</v>
      </c>
      <c r="G216" s="298"/>
      <c r="H216" s="10"/>
      <c r="I216" s="11"/>
      <c r="J216" s="11"/>
      <c r="K216" s="11"/>
      <c r="L216" s="11"/>
      <c r="M216" s="11"/>
      <c r="N216" s="11"/>
      <c r="O216" s="12"/>
      <c r="P216" s="11"/>
      <c r="Q216" s="13"/>
      <c r="R216" s="14"/>
    </row>
    <row r="217" spans="1:18" ht="15" customHeight="1">
      <c r="A217" s="19" t="s">
        <v>48</v>
      </c>
      <c r="B217" s="19" t="s">
        <v>394</v>
      </c>
      <c r="C217" s="20">
        <v>0.98958333333333337</v>
      </c>
      <c r="D217" s="19" t="s">
        <v>70</v>
      </c>
      <c r="E217" s="19" t="s">
        <v>29</v>
      </c>
      <c r="F217" s="19" t="s">
        <v>438</v>
      </c>
      <c r="G217" s="298"/>
      <c r="H217" s="10"/>
      <c r="I217" s="11"/>
      <c r="J217" s="11"/>
      <c r="K217" s="11"/>
      <c r="L217" s="11"/>
      <c r="M217" s="11"/>
      <c r="N217" s="11"/>
      <c r="O217" s="12"/>
      <c r="P217" s="11"/>
      <c r="Q217" s="13"/>
      <c r="R217" s="14"/>
    </row>
    <row r="218" spans="1:18" ht="15" customHeight="1">
      <c r="A218" s="15" t="s">
        <v>48</v>
      </c>
      <c r="B218" s="15" t="s">
        <v>394</v>
      </c>
      <c r="C218" s="16">
        <v>0.98958333333333337</v>
      </c>
      <c r="D218" s="15" t="s">
        <v>53</v>
      </c>
      <c r="E218" s="15" t="s">
        <v>32</v>
      </c>
      <c r="F218" s="15" t="s">
        <v>438</v>
      </c>
      <c r="G218" s="298"/>
      <c r="H218" s="10"/>
      <c r="I218" s="11"/>
      <c r="J218" s="11"/>
      <c r="K218" s="11"/>
      <c r="L218" s="11"/>
      <c r="M218" s="11"/>
      <c r="N218" s="11"/>
      <c r="O218" s="12"/>
      <c r="P218" s="11"/>
      <c r="Q218" s="13"/>
      <c r="R218" s="14"/>
    </row>
    <row r="219" spans="1:18" ht="15" customHeight="1">
      <c r="A219" s="17" t="s">
        <v>48</v>
      </c>
      <c r="B219" s="17" t="s">
        <v>398</v>
      </c>
      <c r="C219" s="18">
        <v>0.39930555555555558</v>
      </c>
      <c r="D219" s="17" t="s">
        <v>53</v>
      </c>
      <c r="E219" s="17" t="s">
        <v>37</v>
      </c>
      <c r="F219" s="17" t="s">
        <v>438</v>
      </c>
      <c r="G219" s="298"/>
      <c r="H219" s="10"/>
      <c r="I219" s="11"/>
      <c r="J219" s="11"/>
      <c r="K219" s="11"/>
      <c r="L219" s="11"/>
      <c r="M219" s="11"/>
      <c r="N219" s="11"/>
      <c r="O219" s="12"/>
      <c r="P219" s="11"/>
      <c r="Q219" s="13"/>
      <c r="R219" s="14"/>
    </row>
    <row r="220" spans="1:18" ht="15" customHeight="1">
      <c r="A220" s="17" t="s">
        <v>48</v>
      </c>
      <c r="B220" s="17" t="s">
        <v>396</v>
      </c>
      <c r="C220" s="18">
        <v>0.48958333333333331</v>
      </c>
      <c r="D220" s="17" t="s">
        <v>53</v>
      </c>
      <c r="E220" s="17" t="s">
        <v>37</v>
      </c>
      <c r="F220" s="17" t="s">
        <v>452</v>
      </c>
      <c r="G220" s="298"/>
      <c r="H220" s="10"/>
      <c r="I220" s="11"/>
      <c r="J220" s="11"/>
      <c r="K220" s="11"/>
      <c r="L220" s="11"/>
      <c r="M220" s="11"/>
      <c r="N220" s="11"/>
      <c r="O220" s="12"/>
      <c r="P220" s="11"/>
      <c r="Q220" s="13"/>
      <c r="R220" s="14"/>
    </row>
    <row r="221" spans="1:18" ht="15" customHeight="1">
      <c r="A221" s="17" t="s">
        <v>48</v>
      </c>
      <c r="B221" s="17" t="s">
        <v>397</v>
      </c>
      <c r="C221" s="18">
        <v>0.88888888888888884</v>
      </c>
      <c r="D221" s="17" t="s">
        <v>70</v>
      </c>
      <c r="E221" s="17" t="s">
        <v>37</v>
      </c>
      <c r="F221" s="17" t="s">
        <v>452</v>
      </c>
      <c r="G221" s="298"/>
      <c r="H221" s="10"/>
      <c r="I221" s="11"/>
      <c r="J221" s="11"/>
      <c r="K221" s="11"/>
      <c r="L221" s="11"/>
      <c r="M221" s="11"/>
      <c r="N221" s="11"/>
      <c r="O221" s="12"/>
      <c r="P221" s="11"/>
      <c r="Q221" s="13"/>
      <c r="R221" s="14"/>
    </row>
    <row r="222" spans="1:18" ht="15" customHeight="1">
      <c r="A222" s="15" t="s">
        <v>48</v>
      </c>
      <c r="B222" s="15" t="s">
        <v>397</v>
      </c>
      <c r="C222" s="16">
        <v>0.88888888888888884</v>
      </c>
      <c r="D222" s="15" t="s">
        <v>53</v>
      </c>
      <c r="E222" s="15" t="s">
        <v>32</v>
      </c>
      <c r="F222" s="15" t="s">
        <v>452</v>
      </c>
      <c r="G222" s="298"/>
      <c r="H222" s="10"/>
      <c r="I222" s="11"/>
      <c r="J222" s="11"/>
      <c r="K222" s="11"/>
      <c r="L222" s="11"/>
      <c r="M222" s="11"/>
      <c r="N222" s="11"/>
      <c r="O222" s="12"/>
      <c r="P222" s="11"/>
      <c r="Q222" s="13"/>
      <c r="R222" s="14"/>
    </row>
    <row r="223" spans="1:18" ht="15" customHeight="1">
      <c r="A223" s="17" t="s">
        <v>48</v>
      </c>
      <c r="B223" s="17" t="s">
        <v>391</v>
      </c>
      <c r="C223" s="18">
        <v>0.48958333333333331</v>
      </c>
      <c r="D223" s="17" t="s">
        <v>53</v>
      </c>
      <c r="E223" s="17" t="s">
        <v>57</v>
      </c>
      <c r="F223" s="17" t="s">
        <v>439</v>
      </c>
      <c r="G223" s="298"/>
      <c r="H223" s="10"/>
      <c r="I223" s="11"/>
      <c r="J223" s="11"/>
      <c r="K223" s="11"/>
      <c r="L223" s="11"/>
      <c r="M223" s="11"/>
      <c r="N223" s="11"/>
      <c r="O223" s="12"/>
      <c r="P223" s="11"/>
      <c r="Q223" s="13"/>
      <c r="R223" s="14"/>
    </row>
    <row r="224" spans="1:18" ht="15" customHeight="1">
      <c r="A224" s="17" t="s">
        <v>48</v>
      </c>
      <c r="B224" s="17" t="s">
        <v>382</v>
      </c>
      <c r="C224" s="18">
        <v>0.11805555555555559</v>
      </c>
      <c r="D224" s="17" t="s">
        <v>70</v>
      </c>
      <c r="E224" s="17" t="s">
        <v>57</v>
      </c>
      <c r="F224" s="17" t="s">
        <v>439</v>
      </c>
      <c r="G224" s="298"/>
      <c r="H224" s="10"/>
      <c r="I224" s="11"/>
      <c r="J224" s="11"/>
      <c r="K224" s="11"/>
      <c r="L224" s="11"/>
      <c r="M224" s="11"/>
      <c r="N224" s="11"/>
      <c r="O224" s="12"/>
      <c r="P224" s="11"/>
      <c r="Q224" s="13"/>
      <c r="R224" s="14"/>
    </row>
    <row r="225" spans="1:18" ht="15" customHeight="1">
      <c r="A225" s="15" t="s">
        <v>48</v>
      </c>
      <c r="B225" s="15" t="s">
        <v>382</v>
      </c>
      <c r="C225" s="16">
        <v>0.11805555555555559</v>
      </c>
      <c r="D225" s="15" t="s">
        <v>53</v>
      </c>
      <c r="E225" s="15" t="s">
        <v>54</v>
      </c>
      <c r="F225" s="15" t="s">
        <v>439</v>
      </c>
      <c r="G225" s="298"/>
      <c r="H225" s="10"/>
      <c r="I225" s="11"/>
      <c r="J225" s="11"/>
      <c r="K225" s="11"/>
      <c r="L225" s="11"/>
      <c r="M225" s="11"/>
      <c r="N225" s="11"/>
      <c r="O225" s="12"/>
      <c r="P225" s="11"/>
      <c r="Q225" s="13"/>
      <c r="R225" s="14"/>
    </row>
    <row r="226" spans="1:18" ht="15" customHeight="1">
      <c r="A226" s="17" t="s">
        <v>48</v>
      </c>
      <c r="B226" s="17" t="s">
        <v>389</v>
      </c>
      <c r="C226" s="18">
        <v>0.70486111111111116</v>
      </c>
      <c r="D226" s="17" t="s">
        <v>53</v>
      </c>
      <c r="E226" s="17" t="s">
        <v>57</v>
      </c>
      <c r="F226" s="17" t="s">
        <v>439</v>
      </c>
      <c r="G226" s="298"/>
      <c r="H226" s="10"/>
      <c r="I226" s="11"/>
      <c r="J226" s="11"/>
      <c r="K226" s="11"/>
      <c r="L226" s="11"/>
      <c r="M226" s="11"/>
      <c r="N226" s="11"/>
      <c r="O226" s="12"/>
      <c r="P226" s="11"/>
      <c r="Q226" s="13"/>
      <c r="R226" s="14"/>
    </row>
    <row r="227" spans="1:18" ht="15" customHeight="1">
      <c r="A227" s="17" t="s">
        <v>48</v>
      </c>
      <c r="B227" s="17" t="s">
        <v>400</v>
      </c>
      <c r="C227" s="18">
        <v>0.25347222222222221</v>
      </c>
      <c r="D227" s="17" t="s">
        <v>70</v>
      </c>
      <c r="E227" s="17" t="s">
        <v>57</v>
      </c>
      <c r="F227" s="17" t="s">
        <v>439</v>
      </c>
      <c r="G227" s="298"/>
      <c r="H227" s="10"/>
      <c r="I227" s="11"/>
      <c r="J227" s="11"/>
      <c r="K227" s="11"/>
      <c r="L227" s="11"/>
      <c r="M227" s="11"/>
      <c r="N227" s="11"/>
      <c r="O227" s="12"/>
      <c r="P227" s="11"/>
      <c r="Q227" s="13"/>
      <c r="R227" s="14"/>
    </row>
    <row r="228" spans="1:18" ht="15" customHeight="1">
      <c r="A228" s="15" t="s">
        <v>48</v>
      </c>
      <c r="B228" s="15" t="s">
        <v>400</v>
      </c>
      <c r="C228" s="16">
        <v>0.25347222222222221</v>
      </c>
      <c r="D228" s="15" t="s">
        <v>53</v>
      </c>
      <c r="E228" s="15" t="s">
        <v>54</v>
      </c>
      <c r="F228" s="15" t="s">
        <v>439</v>
      </c>
      <c r="G228" s="298"/>
      <c r="H228" s="10"/>
      <c r="I228" s="11"/>
      <c r="J228" s="11"/>
      <c r="K228" s="11"/>
      <c r="L228" s="11"/>
      <c r="M228" s="11"/>
      <c r="N228" s="11"/>
      <c r="O228" s="12"/>
      <c r="P228" s="11"/>
      <c r="Q228" s="13"/>
      <c r="R228" s="14"/>
    </row>
    <row r="229" spans="1:18" ht="15" customHeight="1">
      <c r="A229" s="17" t="s">
        <v>48</v>
      </c>
      <c r="B229" s="17" t="s">
        <v>390</v>
      </c>
      <c r="C229" s="18">
        <v>4.1666666666666657E-2</v>
      </c>
      <c r="D229" s="17" t="s">
        <v>70</v>
      </c>
      <c r="E229" s="17" t="s">
        <v>57</v>
      </c>
      <c r="F229" s="17" t="s">
        <v>439</v>
      </c>
      <c r="G229" s="298"/>
      <c r="H229" s="10"/>
      <c r="I229" s="11"/>
      <c r="J229" s="11"/>
      <c r="K229" s="11"/>
      <c r="L229" s="11"/>
      <c r="M229" s="11"/>
      <c r="N229" s="11"/>
      <c r="O229" s="12"/>
      <c r="P229" s="11"/>
      <c r="Q229" s="13"/>
      <c r="R229" s="14"/>
    </row>
    <row r="230" spans="1:18" ht="15" customHeight="1">
      <c r="A230" s="15" t="s">
        <v>48</v>
      </c>
      <c r="B230" s="15" t="s">
        <v>390</v>
      </c>
      <c r="C230" s="16">
        <v>4.1666666666666657E-2</v>
      </c>
      <c r="D230" s="15" t="s">
        <v>53</v>
      </c>
      <c r="E230" s="15" t="s">
        <v>54</v>
      </c>
      <c r="F230" s="15" t="s">
        <v>439</v>
      </c>
      <c r="G230" s="298"/>
      <c r="H230" s="10"/>
      <c r="I230" s="11"/>
      <c r="J230" s="11"/>
      <c r="K230" s="11"/>
      <c r="L230" s="11"/>
      <c r="M230" s="11"/>
      <c r="N230" s="11"/>
      <c r="O230" s="12"/>
      <c r="P230" s="11"/>
      <c r="Q230" s="13"/>
      <c r="R230" s="14"/>
    </row>
    <row r="231" spans="1:18" ht="15" customHeight="1">
      <c r="A231" s="17" t="s">
        <v>48</v>
      </c>
      <c r="B231" s="17" t="s">
        <v>385</v>
      </c>
      <c r="C231" s="18">
        <v>0.94097222222222221</v>
      </c>
      <c r="D231" s="17" t="s">
        <v>53</v>
      </c>
      <c r="E231" s="17" t="s">
        <v>57</v>
      </c>
      <c r="F231" s="17" t="s">
        <v>439</v>
      </c>
      <c r="G231" s="298"/>
      <c r="H231" s="10"/>
      <c r="I231" s="11"/>
      <c r="J231" s="11"/>
      <c r="K231" s="11"/>
      <c r="L231" s="11"/>
      <c r="M231" s="11"/>
      <c r="N231" s="11"/>
      <c r="O231" s="12"/>
      <c r="P231" s="11"/>
      <c r="Q231" s="13"/>
      <c r="R231" s="14"/>
    </row>
    <row r="232" spans="1:18" ht="15" customHeight="1">
      <c r="A232" s="17" t="s">
        <v>48</v>
      </c>
      <c r="B232" s="17" t="s">
        <v>386</v>
      </c>
      <c r="C232" s="18">
        <v>0.82986111111111116</v>
      </c>
      <c r="D232" s="17" t="s">
        <v>70</v>
      </c>
      <c r="E232" s="17" t="s">
        <v>57</v>
      </c>
      <c r="F232" s="17" t="s">
        <v>453</v>
      </c>
      <c r="G232" s="298"/>
      <c r="H232" s="10"/>
      <c r="I232" s="11"/>
      <c r="J232" s="11"/>
      <c r="K232" s="11"/>
      <c r="L232" s="11"/>
      <c r="M232" s="11"/>
      <c r="N232" s="11"/>
      <c r="O232" s="12"/>
      <c r="P232" s="11"/>
      <c r="Q232" s="13"/>
      <c r="R232" s="14"/>
    </row>
    <row r="233" spans="1:18" ht="15" customHeight="1">
      <c r="A233" s="15" t="s">
        <v>48</v>
      </c>
      <c r="B233" s="15" t="s">
        <v>386</v>
      </c>
      <c r="C233" s="16">
        <v>0.82986111111111116</v>
      </c>
      <c r="D233" s="15" t="s">
        <v>53</v>
      </c>
      <c r="E233" s="15" t="s">
        <v>54</v>
      </c>
      <c r="F233" s="15" t="s">
        <v>453</v>
      </c>
      <c r="G233" s="298"/>
      <c r="H233" s="10"/>
      <c r="I233" s="11"/>
      <c r="J233" s="11"/>
      <c r="K233" s="11"/>
      <c r="L233" s="11"/>
      <c r="M233" s="11"/>
      <c r="N233" s="11"/>
      <c r="O233" s="12"/>
      <c r="P233" s="11"/>
      <c r="Q233" s="13"/>
      <c r="R233" s="14"/>
    </row>
    <row r="234" spans="1:18" ht="15" customHeight="1">
      <c r="A234" s="17" t="s">
        <v>48</v>
      </c>
      <c r="B234" s="17" t="s">
        <v>388</v>
      </c>
      <c r="C234" s="18">
        <v>0.72222222222222221</v>
      </c>
      <c r="D234" s="17" t="s">
        <v>53</v>
      </c>
      <c r="E234" s="17" t="s">
        <v>57</v>
      </c>
      <c r="F234" s="17" t="s">
        <v>453</v>
      </c>
      <c r="G234" s="298"/>
      <c r="H234" s="10"/>
      <c r="I234" s="11"/>
      <c r="J234" s="11"/>
      <c r="K234" s="11"/>
      <c r="L234" s="11"/>
      <c r="M234" s="11"/>
      <c r="N234" s="11"/>
      <c r="O234" s="12"/>
      <c r="P234" s="11"/>
      <c r="Q234" s="13"/>
      <c r="R234" s="14"/>
    </row>
    <row r="235" spans="1:18" ht="15" customHeight="1" thickBot="1">
      <c r="A235" s="96" t="s">
        <v>415</v>
      </c>
      <c r="B235" s="96" t="s">
        <v>416</v>
      </c>
      <c r="C235" s="97">
        <v>9.7222222222222224E-2</v>
      </c>
      <c r="D235" s="96" t="s">
        <v>63</v>
      </c>
      <c r="E235" s="96" t="s">
        <v>51</v>
      </c>
      <c r="F235" s="96" t="s">
        <v>417</v>
      </c>
      <c r="G235" s="299"/>
      <c r="H235" s="300"/>
      <c r="I235" s="140"/>
      <c r="J235" s="140"/>
      <c r="K235" s="140"/>
      <c r="L235" s="140"/>
      <c r="M235" s="140"/>
      <c r="N235" s="140"/>
      <c r="O235" s="141"/>
      <c r="P235" s="140"/>
      <c r="Q235" s="142"/>
      <c r="R235" s="301"/>
    </row>
    <row r="236" spans="1:18" ht="17.45" customHeight="1" thickBot="1">
      <c r="A236" s="283"/>
      <c r="B236" s="284"/>
      <c r="C236" s="284"/>
      <c r="D236" s="284"/>
      <c r="E236" s="284"/>
      <c r="F236" s="284"/>
      <c r="G236" s="284"/>
      <c r="H236" s="284"/>
      <c r="I236" s="284"/>
      <c r="J236" s="284"/>
      <c r="K236" s="284"/>
      <c r="L236" s="284"/>
      <c r="M236" s="284"/>
      <c r="N236" s="284"/>
      <c r="O236" s="284"/>
      <c r="P236" s="284"/>
      <c r="Q236" s="284"/>
      <c r="R236" s="285"/>
    </row>
    <row r="237" spans="1:18" ht="22.15" customHeight="1" thickTop="1" thickBot="1">
      <c r="A237" s="279" t="s">
        <v>6</v>
      </c>
      <c r="B237" s="295"/>
      <c r="C237" s="295"/>
      <c r="D237" s="295"/>
      <c r="E237" s="295"/>
      <c r="F237" s="296"/>
      <c r="G237" s="32">
        <v>46026</v>
      </c>
      <c r="H237" s="278" t="s">
        <v>7</v>
      </c>
      <c r="I237" s="295"/>
      <c r="J237" s="295"/>
      <c r="K237" s="295"/>
      <c r="L237" s="295"/>
      <c r="M237" s="295"/>
      <c r="N237" s="295"/>
      <c r="O237" s="295"/>
      <c r="P237" s="295"/>
      <c r="Q237" s="295"/>
      <c r="R237" s="296"/>
    </row>
    <row r="238" spans="1:18" ht="24" customHeight="1">
      <c r="A238" s="33" t="s">
        <v>8</v>
      </c>
      <c r="B238" s="33" t="s">
        <v>9</v>
      </c>
      <c r="C238" s="34" t="s">
        <v>10</v>
      </c>
      <c r="D238" s="33" t="s">
        <v>11</v>
      </c>
      <c r="E238" s="33" t="s">
        <v>12</v>
      </c>
      <c r="F238" s="35" t="s">
        <v>13</v>
      </c>
      <c r="G238" s="36" t="s">
        <v>14</v>
      </c>
      <c r="H238" s="33" t="s">
        <v>15</v>
      </c>
      <c r="I238" s="37" t="s">
        <v>16</v>
      </c>
      <c r="J238" s="38" t="s">
        <v>17</v>
      </c>
      <c r="K238" s="39" t="s">
        <v>18</v>
      </c>
      <c r="L238" s="38" t="s">
        <v>19</v>
      </c>
      <c r="M238" s="38" t="s">
        <v>20</v>
      </c>
      <c r="N238" s="38" t="s">
        <v>21</v>
      </c>
      <c r="O238" s="33" t="s">
        <v>22</v>
      </c>
      <c r="P238" s="34" t="s">
        <v>23</v>
      </c>
      <c r="Q238" s="38" t="s">
        <v>24</v>
      </c>
      <c r="R238" s="33" t="s">
        <v>25</v>
      </c>
    </row>
    <row r="239" spans="1:18" ht="15" customHeight="1">
      <c r="A239" s="8" t="s">
        <v>26</v>
      </c>
      <c r="B239" s="8" t="s">
        <v>348</v>
      </c>
      <c r="C239" s="9">
        <v>0.99305555555555547</v>
      </c>
      <c r="D239" s="8" t="s">
        <v>28</v>
      </c>
      <c r="E239" s="8" t="s">
        <v>177</v>
      </c>
      <c r="F239" s="8" t="s">
        <v>131</v>
      </c>
      <c r="G239" s="297"/>
      <c r="H239" s="10"/>
      <c r="I239" s="11"/>
      <c r="J239" s="11"/>
      <c r="K239" s="11"/>
      <c r="L239" s="11"/>
      <c r="M239" s="11"/>
      <c r="N239" s="11"/>
      <c r="O239" s="12"/>
      <c r="P239" s="11"/>
      <c r="Q239" s="13"/>
      <c r="R239" s="14"/>
    </row>
    <row r="240" spans="1:18" ht="15" customHeight="1">
      <c r="A240" s="15" t="s">
        <v>26</v>
      </c>
      <c r="B240" s="15" t="s">
        <v>348</v>
      </c>
      <c r="C240" s="16">
        <v>0.99305555555555547</v>
      </c>
      <c r="D240" s="15" t="s">
        <v>31</v>
      </c>
      <c r="E240" s="15" t="s">
        <v>454</v>
      </c>
      <c r="F240" s="15" t="s">
        <v>349</v>
      </c>
      <c r="G240" s="298"/>
      <c r="H240" s="10"/>
      <c r="I240" s="11"/>
      <c r="J240" s="11"/>
      <c r="K240" s="11"/>
      <c r="L240" s="11"/>
      <c r="M240" s="11"/>
      <c r="N240" s="11"/>
      <c r="O240" s="12"/>
      <c r="P240" s="11"/>
      <c r="Q240" s="13"/>
      <c r="R240" s="14"/>
    </row>
    <row r="241" spans="1:18" ht="15" customHeight="1">
      <c r="A241" s="15" t="s">
        <v>26</v>
      </c>
      <c r="B241" s="15" t="s">
        <v>348</v>
      </c>
      <c r="C241" s="16">
        <v>0.99305555555555547</v>
      </c>
      <c r="D241" s="15" t="s">
        <v>34</v>
      </c>
      <c r="E241" s="15" t="s">
        <v>454</v>
      </c>
      <c r="F241" s="15" t="s">
        <v>138</v>
      </c>
      <c r="G241" s="298"/>
      <c r="H241" s="10"/>
      <c r="I241" s="11"/>
      <c r="J241" s="11"/>
      <c r="K241" s="11"/>
      <c r="L241" s="11"/>
      <c r="M241" s="11"/>
      <c r="N241" s="11"/>
      <c r="O241" s="12"/>
      <c r="P241" s="11"/>
      <c r="Q241" s="13"/>
      <c r="R241" s="14"/>
    </row>
    <row r="242" spans="1:18" ht="15" customHeight="1">
      <c r="A242" s="17" t="s">
        <v>26</v>
      </c>
      <c r="B242" s="17" t="s">
        <v>351</v>
      </c>
      <c r="C242" s="18">
        <v>0.83680555555555547</v>
      </c>
      <c r="D242" s="17" t="s">
        <v>28</v>
      </c>
      <c r="E242" s="17" t="s">
        <v>134</v>
      </c>
      <c r="F242" s="17" t="s">
        <v>131</v>
      </c>
      <c r="G242" s="298"/>
      <c r="H242" s="10"/>
      <c r="I242" s="11"/>
      <c r="J242" s="11"/>
      <c r="K242" s="11"/>
      <c r="L242" s="11"/>
      <c r="M242" s="11"/>
      <c r="N242" s="11"/>
      <c r="O242" s="12"/>
      <c r="P242" s="11"/>
      <c r="Q242" s="13"/>
      <c r="R242" s="14"/>
    </row>
    <row r="243" spans="1:18" ht="15" customHeight="1">
      <c r="A243" s="15" t="s">
        <v>26</v>
      </c>
      <c r="B243" s="15" t="s">
        <v>351</v>
      </c>
      <c r="C243" s="16">
        <v>0.83680555555555547</v>
      </c>
      <c r="D243" s="15" t="s">
        <v>31</v>
      </c>
      <c r="E243" s="15" t="s">
        <v>135</v>
      </c>
      <c r="F243" s="15" t="s">
        <v>349</v>
      </c>
      <c r="G243" s="298"/>
      <c r="H243" s="10"/>
      <c r="I243" s="11"/>
      <c r="J243" s="11"/>
      <c r="K243" s="11"/>
      <c r="L243" s="11"/>
      <c r="M243" s="11"/>
      <c r="N243" s="11"/>
      <c r="O243" s="12"/>
      <c r="P243" s="11"/>
      <c r="Q243" s="13"/>
      <c r="R243" s="14"/>
    </row>
    <row r="244" spans="1:18" ht="15" customHeight="1">
      <c r="A244" s="15" t="s">
        <v>26</v>
      </c>
      <c r="B244" s="15" t="s">
        <v>351</v>
      </c>
      <c r="C244" s="16">
        <v>0.83680555555555547</v>
      </c>
      <c r="D244" s="15" t="s">
        <v>34</v>
      </c>
      <c r="E244" s="15" t="s">
        <v>135</v>
      </c>
      <c r="F244" s="15" t="s">
        <v>138</v>
      </c>
      <c r="G244" s="298"/>
      <c r="H244" s="10"/>
      <c r="I244" s="11"/>
      <c r="J244" s="11"/>
      <c r="K244" s="11"/>
      <c r="L244" s="11"/>
      <c r="M244" s="11"/>
      <c r="N244" s="11"/>
      <c r="O244" s="12"/>
      <c r="P244" s="11"/>
      <c r="Q244" s="13"/>
      <c r="R244" s="14"/>
    </row>
    <row r="245" spans="1:18" ht="15" customHeight="1">
      <c r="A245" s="17" t="s">
        <v>26</v>
      </c>
      <c r="B245" s="17" t="s">
        <v>350</v>
      </c>
      <c r="C245" s="18">
        <v>0.73611111111111116</v>
      </c>
      <c r="D245" s="17" t="s">
        <v>28</v>
      </c>
      <c r="E245" s="17" t="s">
        <v>37</v>
      </c>
      <c r="F245" s="17" t="s">
        <v>347</v>
      </c>
      <c r="G245" s="298"/>
      <c r="H245" s="10"/>
      <c r="I245" s="11"/>
      <c r="J245" s="11"/>
      <c r="K245" s="11"/>
      <c r="L245" s="11"/>
      <c r="M245" s="11"/>
      <c r="N245" s="11"/>
      <c r="O245" s="12"/>
      <c r="P245" s="11"/>
      <c r="Q245" s="13"/>
      <c r="R245" s="14"/>
    </row>
    <row r="246" spans="1:18" ht="15" customHeight="1">
      <c r="A246" s="15" t="s">
        <v>26</v>
      </c>
      <c r="B246" s="15" t="s">
        <v>350</v>
      </c>
      <c r="C246" s="16">
        <v>0.73611111111111116</v>
      </c>
      <c r="D246" s="15" t="s">
        <v>31</v>
      </c>
      <c r="E246" s="15" t="s">
        <v>32</v>
      </c>
      <c r="F246" s="15" t="s">
        <v>426</v>
      </c>
      <c r="G246" s="298"/>
      <c r="H246" s="10"/>
      <c r="I246" s="11"/>
      <c r="J246" s="11"/>
      <c r="K246" s="11"/>
      <c r="L246" s="11"/>
      <c r="M246" s="11"/>
      <c r="N246" s="11"/>
      <c r="O246" s="12"/>
      <c r="P246" s="11"/>
      <c r="Q246" s="13"/>
      <c r="R246" s="14"/>
    </row>
    <row r="247" spans="1:18" ht="15" customHeight="1">
      <c r="A247" s="15" t="s">
        <v>26</v>
      </c>
      <c r="B247" s="15" t="s">
        <v>350</v>
      </c>
      <c r="C247" s="16">
        <v>0.73611111111111116</v>
      </c>
      <c r="D247" s="15" t="s">
        <v>34</v>
      </c>
      <c r="E247" s="15" t="s">
        <v>32</v>
      </c>
      <c r="F247" s="15" t="s">
        <v>162</v>
      </c>
      <c r="G247" s="298"/>
      <c r="H247" s="10"/>
      <c r="I247" s="11"/>
      <c r="J247" s="11"/>
      <c r="K247" s="11"/>
      <c r="L247" s="11"/>
      <c r="M247" s="11"/>
      <c r="N247" s="11"/>
      <c r="O247" s="12"/>
      <c r="P247" s="11"/>
      <c r="Q247" s="13"/>
      <c r="R247" s="14"/>
    </row>
    <row r="248" spans="1:18" ht="15" customHeight="1">
      <c r="A248" s="17" t="s">
        <v>26</v>
      </c>
      <c r="B248" s="17" t="s">
        <v>352</v>
      </c>
      <c r="C248" s="18">
        <v>0.94444444444444453</v>
      </c>
      <c r="D248" s="17" t="s">
        <v>28</v>
      </c>
      <c r="E248" s="17" t="s">
        <v>98</v>
      </c>
      <c r="F248" s="17" t="s">
        <v>347</v>
      </c>
      <c r="G248" s="298"/>
      <c r="H248" s="10"/>
      <c r="I248" s="11"/>
      <c r="J248" s="11"/>
      <c r="K248" s="11"/>
      <c r="L248" s="11"/>
      <c r="M248" s="11"/>
      <c r="N248" s="11"/>
      <c r="O248" s="12"/>
      <c r="P248" s="11"/>
      <c r="Q248" s="13"/>
      <c r="R248" s="14"/>
    </row>
    <row r="249" spans="1:18" ht="15" customHeight="1">
      <c r="A249" s="15" t="s">
        <v>26</v>
      </c>
      <c r="B249" s="15" t="s">
        <v>352</v>
      </c>
      <c r="C249" s="16">
        <v>0.94444444444444453</v>
      </c>
      <c r="D249" s="15" t="s">
        <v>31</v>
      </c>
      <c r="E249" s="15" t="s">
        <v>99</v>
      </c>
      <c r="F249" s="15" t="s">
        <v>426</v>
      </c>
      <c r="G249" s="298"/>
      <c r="H249" s="10"/>
      <c r="I249" s="11"/>
      <c r="J249" s="11"/>
      <c r="K249" s="11"/>
      <c r="L249" s="11"/>
      <c r="M249" s="11"/>
      <c r="N249" s="11"/>
      <c r="O249" s="12"/>
      <c r="P249" s="11"/>
      <c r="Q249" s="13"/>
      <c r="R249" s="14"/>
    </row>
    <row r="250" spans="1:18" ht="15" customHeight="1">
      <c r="A250" s="15" t="s">
        <v>26</v>
      </c>
      <c r="B250" s="15" t="s">
        <v>352</v>
      </c>
      <c r="C250" s="16">
        <v>0.94444444444444453</v>
      </c>
      <c r="D250" s="15" t="s">
        <v>34</v>
      </c>
      <c r="E250" s="15" t="s">
        <v>99</v>
      </c>
      <c r="F250" s="15" t="s">
        <v>162</v>
      </c>
      <c r="G250" s="298"/>
      <c r="H250" s="10"/>
      <c r="I250" s="11"/>
      <c r="J250" s="11"/>
      <c r="K250" s="11"/>
      <c r="L250" s="11"/>
      <c r="M250" s="11"/>
      <c r="N250" s="11"/>
      <c r="O250" s="12"/>
      <c r="P250" s="11"/>
      <c r="Q250" s="13"/>
      <c r="R250" s="14"/>
    </row>
    <row r="251" spans="1:18" ht="15" customHeight="1">
      <c r="A251" s="17" t="s">
        <v>26</v>
      </c>
      <c r="B251" s="17" t="s">
        <v>353</v>
      </c>
      <c r="C251" s="18">
        <v>0.88888888888888884</v>
      </c>
      <c r="D251" s="17" t="s">
        <v>28</v>
      </c>
      <c r="E251" s="17" t="s">
        <v>98</v>
      </c>
      <c r="F251" s="17" t="s">
        <v>347</v>
      </c>
      <c r="G251" s="298"/>
      <c r="H251" s="10"/>
      <c r="I251" s="11"/>
      <c r="J251" s="11"/>
      <c r="K251" s="11"/>
      <c r="L251" s="11"/>
      <c r="M251" s="11"/>
      <c r="N251" s="11"/>
      <c r="O251" s="12"/>
      <c r="P251" s="11"/>
      <c r="Q251" s="13"/>
      <c r="R251" s="14"/>
    </row>
    <row r="252" spans="1:18" ht="15" customHeight="1">
      <c r="A252" s="15" t="s">
        <v>26</v>
      </c>
      <c r="B252" s="15" t="s">
        <v>353</v>
      </c>
      <c r="C252" s="16">
        <v>0.88888888888888884</v>
      </c>
      <c r="D252" s="15" t="s">
        <v>31</v>
      </c>
      <c r="E252" s="15" t="s">
        <v>99</v>
      </c>
      <c r="F252" s="15" t="s">
        <v>426</v>
      </c>
      <c r="G252" s="298"/>
      <c r="H252" s="10"/>
      <c r="I252" s="11"/>
      <c r="J252" s="11"/>
      <c r="K252" s="11"/>
      <c r="L252" s="11"/>
      <c r="M252" s="11"/>
      <c r="N252" s="11"/>
      <c r="O252" s="12"/>
      <c r="P252" s="11"/>
      <c r="Q252" s="13"/>
      <c r="R252" s="14"/>
    </row>
    <row r="253" spans="1:18" ht="15" customHeight="1">
      <c r="A253" s="15" t="s">
        <v>26</v>
      </c>
      <c r="B253" s="15" t="s">
        <v>353</v>
      </c>
      <c r="C253" s="16">
        <v>0.88888888888888884</v>
      </c>
      <c r="D253" s="15" t="s">
        <v>34</v>
      </c>
      <c r="E253" s="15" t="s">
        <v>99</v>
      </c>
      <c r="F253" s="15" t="s">
        <v>162</v>
      </c>
      <c r="G253" s="298"/>
      <c r="H253" s="10"/>
      <c r="I253" s="11"/>
      <c r="J253" s="11"/>
      <c r="K253" s="11"/>
      <c r="L253" s="11"/>
      <c r="M253" s="11"/>
      <c r="N253" s="11"/>
      <c r="O253" s="12"/>
      <c r="P253" s="11"/>
      <c r="Q253" s="13"/>
      <c r="R253" s="14"/>
    </row>
    <row r="254" spans="1:18" ht="15" customHeight="1">
      <c r="A254" s="17" t="s">
        <v>26</v>
      </c>
      <c r="B254" s="17" t="s">
        <v>356</v>
      </c>
      <c r="C254" s="18">
        <v>0.4861111111111111</v>
      </c>
      <c r="D254" s="17" t="s">
        <v>28</v>
      </c>
      <c r="E254" s="17" t="s">
        <v>37</v>
      </c>
      <c r="F254" s="17" t="s">
        <v>83</v>
      </c>
      <c r="G254" s="298"/>
      <c r="H254" s="10"/>
      <c r="I254" s="11"/>
      <c r="J254" s="11"/>
      <c r="K254" s="11"/>
      <c r="L254" s="11"/>
      <c r="M254" s="11"/>
      <c r="N254" s="11"/>
      <c r="O254" s="12"/>
      <c r="P254" s="11"/>
      <c r="Q254" s="13"/>
      <c r="R254" s="14"/>
    </row>
    <row r="255" spans="1:18" ht="15" customHeight="1">
      <c r="A255" s="15" t="s">
        <v>26</v>
      </c>
      <c r="B255" s="15" t="s">
        <v>356</v>
      </c>
      <c r="C255" s="16">
        <v>0.4861111111111111</v>
      </c>
      <c r="D255" s="15" t="s">
        <v>31</v>
      </c>
      <c r="E255" s="15" t="s">
        <v>32</v>
      </c>
      <c r="F255" s="15" t="s">
        <v>159</v>
      </c>
      <c r="G255" s="298"/>
      <c r="H255" s="10"/>
      <c r="I255" s="11"/>
      <c r="J255" s="11"/>
      <c r="K255" s="11"/>
      <c r="L255" s="11"/>
      <c r="M255" s="11"/>
      <c r="N255" s="11"/>
      <c r="O255" s="12"/>
      <c r="P255" s="11"/>
      <c r="Q255" s="13"/>
      <c r="R255" s="14"/>
    </row>
    <row r="256" spans="1:18" ht="15" customHeight="1">
      <c r="A256" s="15" t="s">
        <v>26</v>
      </c>
      <c r="B256" s="15" t="s">
        <v>356</v>
      </c>
      <c r="C256" s="16">
        <v>0.4861111111111111</v>
      </c>
      <c r="D256" s="15" t="s">
        <v>34</v>
      </c>
      <c r="E256" s="15" t="s">
        <v>32</v>
      </c>
      <c r="F256" s="15" t="s">
        <v>355</v>
      </c>
      <c r="G256" s="298"/>
      <c r="H256" s="10"/>
      <c r="I256" s="11"/>
      <c r="J256" s="11"/>
      <c r="K256" s="11"/>
      <c r="L256" s="11"/>
      <c r="M256" s="11"/>
      <c r="N256" s="11"/>
      <c r="O256" s="12"/>
      <c r="P256" s="11"/>
      <c r="Q256" s="13"/>
      <c r="R256" s="14"/>
    </row>
    <row r="257" spans="1:18" ht="15" customHeight="1">
      <c r="A257" s="17" t="s">
        <v>26</v>
      </c>
      <c r="B257" s="17" t="s">
        <v>357</v>
      </c>
      <c r="C257" s="18">
        <v>0.3923611111111111</v>
      </c>
      <c r="D257" s="17" t="s">
        <v>28</v>
      </c>
      <c r="E257" s="17" t="s">
        <v>98</v>
      </c>
      <c r="F257" s="17" t="s">
        <v>83</v>
      </c>
      <c r="G257" s="298"/>
      <c r="H257" s="10"/>
      <c r="I257" s="11"/>
      <c r="J257" s="11"/>
      <c r="K257" s="11"/>
      <c r="L257" s="11"/>
      <c r="M257" s="11"/>
      <c r="N257" s="11"/>
      <c r="O257" s="12"/>
      <c r="P257" s="11"/>
      <c r="Q257" s="13"/>
      <c r="R257" s="14"/>
    </row>
    <row r="258" spans="1:18" ht="15" customHeight="1">
      <c r="A258" s="15" t="s">
        <v>26</v>
      </c>
      <c r="B258" s="15" t="s">
        <v>357</v>
      </c>
      <c r="C258" s="16">
        <v>0.3923611111111111</v>
      </c>
      <c r="D258" s="15" t="s">
        <v>31</v>
      </c>
      <c r="E258" s="15" t="s">
        <v>99</v>
      </c>
      <c r="F258" s="15" t="s">
        <v>159</v>
      </c>
      <c r="G258" s="298"/>
      <c r="H258" s="10"/>
      <c r="I258" s="11"/>
      <c r="J258" s="11"/>
      <c r="K258" s="11"/>
      <c r="L258" s="11"/>
      <c r="M258" s="11"/>
      <c r="N258" s="11"/>
      <c r="O258" s="12"/>
      <c r="P258" s="11"/>
      <c r="Q258" s="13"/>
      <c r="R258" s="14"/>
    </row>
    <row r="259" spans="1:18" ht="15" customHeight="1">
      <c r="A259" s="15" t="s">
        <v>26</v>
      </c>
      <c r="B259" s="15" t="s">
        <v>357</v>
      </c>
      <c r="C259" s="16">
        <v>0.3923611111111111</v>
      </c>
      <c r="D259" s="15" t="s">
        <v>34</v>
      </c>
      <c r="E259" s="15" t="s">
        <v>99</v>
      </c>
      <c r="F259" s="15" t="s">
        <v>355</v>
      </c>
      <c r="G259" s="298"/>
      <c r="H259" s="10"/>
      <c r="I259" s="11"/>
      <c r="J259" s="11"/>
      <c r="K259" s="11"/>
      <c r="L259" s="11"/>
      <c r="M259" s="11"/>
      <c r="N259" s="11"/>
      <c r="O259" s="12"/>
      <c r="P259" s="11"/>
      <c r="Q259" s="13"/>
      <c r="R259" s="14"/>
    </row>
    <row r="260" spans="1:18" ht="15" customHeight="1">
      <c r="A260" s="17" t="s">
        <v>26</v>
      </c>
      <c r="B260" s="17" t="s">
        <v>354</v>
      </c>
      <c r="C260" s="18">
        <v>0.34722222222222232</v>
      </c>
      <c r="D260" s="17" t="s">
        <v>28</v>
      </c>
      <c r="E260" s="17" t="s">
        <v>200</v>
      </c>
      <c r="F260" s="17" t="s">
        <v>455</v>
      </c>
      <c r="G260" s="298"/>
      <c r="H260" s="10"/>
      <c r="I260" s="11"/>
      <c r="J260" s="11"/>
      <c r="K260" s="11"/>
      <c r="L260" s="11"/>
      <c r="M260" s="11"/>
      <c r="N260" s="11"/>
      <c r="O260" s="12"/>
      <c r="P260" s="11"/>
      <c r="Q260" s="13"/>
      <c r="R260" s="14"/>
    </row>
    <row r="261" spans="1:18" ht="15" customHeight="1">
      <c r="A261" s="15" t="s">
        <v>26</v>
      </c>
      <c r="B261" s="15" t="s">
        <v>354</v>
      </c>
      <c r="C261" s="16">
        <v>0.34722222222222232</v>
      </c>
      <c r="D261" s="15" t="s">
        <v>31</v>
      </c>
      <c r="E261" s="15" t="s">
        <v>127</v>
      </c>
      <c r="F261" s="15" t="s">
        <v>456</v>
      </c>
      <c r="G261" s="298"/>
      <c r="H261" s="10"/>
      <c r="I261" s="11"/>
      <c r="J261" s="11"/>
      <c r="K261" s="11"/>
      <c r="L261" s="11"/>
      <c r="M261" s="11"/>
      <c r="N261" s="11"/>
      <c r="O261" s="12"/>
      <c r="P261" s="11"/>
      <c r="Q261" s="13"/>
      <c r="R261" s="14"/>
    </row>
    <row r="262" spans="1:18" ht="15" customHeight="1">
      <c r="A262" s="15" t="s">
        <v>26</v>
      </c>
      <c r="B262" s="15" t="s">
        <v>354</v>
      </c>
      <c r="C262" s="16">
        <v>0.34722222222222232</v>
      </c>
      <c r="D262" s="15" t="s">
        <v>34</v>
      </c>
      <c r="E262" s="15" t="s">
        <v>127</v>
      </c>
      <c r="F262" s="15" t="s">
        <v>457</v>
      </c>
      <c r="G262" s="298"/>
      <c r="H262" s="10"/>
      <c r="I262" s="11"/>
      <c r="J262" s="11"/>
      <c r="K262" s="11"/>
      <c r="L262" s="11"/>
      <c r="M262" s="11"/>
      <c r="N262" s="11"/>
      <c r="O262" s="12"/>
      <c r="P262" s="11"/>
      <c r="Q262" s="13"/>
      <c r="R262" s="14"/>
    </row>
    <row r="263" spans="1:18" ht="15" customHeight="1">
      <c r="A263" s="19" t="s">
        <v>38</v>
      </c>
      <c r="B263" s="19" t="s">
        <v>346</v>
      </c>
      <c r="C263" s="20">
        <v>0.39930555555555558</v>
      </c>
      <c r="D263" s="19" t="s">
        <v>40</v>
      </c>
      <c r="E263" s="19" t="s">
        <v>151</v>
      </c>
      <c r="F263" s="19" t="s">
        <v>30</v>
      </c>
      <c r="G263" s="298"/>
      <c r="H263" s="10"/>
      <c r="I263" s="11"/>
      <c r="J263" s="11"/>
      <c r="K263" s="11"/>
      <c r="L263" s="11"/>
      <c r="M263" s="11"/>
      <c r="N263" s="11"/>
      <c r="O263" s="12"/>
      <c r="P263" s="11"/>
      <c r="Q263" s="13"/>
      <c r="R263" s="14"/>
    </row>
    <row r="264" spans="1:18" ht="15" customHeight="1">
      <c r="A264" s="15" t="s">
        <v>38</v>
      </c>
      <c r="B264" s="15" t="s">
        <v>346</v>
      </c>
      <c r="C264" s="16">
        <v>0.39930555555555558</v>
      </c>
      <c r="D264" s="15" t="s">
        <v>43</v>
      </c>
      <c r="E264" s="15" t="s">
        <v>152</v>
      </c>
      <c r="F264" s="15" t="s">
        <v>420</v>
      </c>
      <c r="G264" s="298"/>
      <c r="H264" s="10"/>
      <c r="I264" s="11"/>
      <c r="J264" s="11"/>
      <c r="K264" s="11"/>
      <c r="L264" s="11"/>
      <c r="M264" s="11"/>
      <c r="N264" s="11"/>
      <c r="O264" s="12"/>
      <c r="P264" s="11"/>
      <c r="Q264" s="13"/>
      <c r="R264" s="14"/>
    </row>
    <row r="265" spans="1:18" ht="15" customHeight="1">
      <c r="A265" s="15" t="s">
        <v>38</v>
      </c>
      <c r="B265" s="15" t="s">
        <v>346</v>
      </c>
      <c r="C265" s="16">
        <v>0.39930555555555558</v>
      </c>
      <c r="D265" s="15" t="s">
        <v>46</v>
      </c>
      <c r="E265" s="15" t="s">
        <v>152</v>
      </c>
      <c r="F265" s="15" t="s">
        <v>47</v>
      </c>
      <c r="G265" s="298"/>
      <c r="H265" s="10"/>
      <c r="I265" s="11"/>
      <c r="J265" s="11"/>
      <c r="K265" s="11"/>
      <c r="L265" s="11"/>
      <c r="M265" s="11"/>
      <c r="N265" s="11"/>
      <c r="O265" s="12"/>
      <c r="P265" s="11"/>
      <c r="Q265" s="13"/>
      <c r="R265" s="14"/>
    </row>
    <row r="266" spans="1:18" ht="15" customHeight="1">
      <c r="A266" s="17" t="s">
        <v>38</v>
      </c>
      <c r="B266" s="17" t="s">
        <v>342</v>
      </c>
      <c r="C266" s="18">
        <v>0.48958333333333331</v>
      </c>
      <c r="D266" s="17" t="s">
        <v>40</v>
      </c>
      <c r="E266" s="17" t="s">
        <v>458</v>
      </c>
      <c r="F266" s="17" t="s">
        <v>30</v>
      </c>
      <c r="G266" s="298"/>
      <c r="H266" s="10"/>
      <c r="I266" s="11"/>
      <c r="J266" s="11"/>
      <c r="K266" s="11"/>
      <c r="L266" s="11"/>
      <c r="M266" s="11"/>
      <c r="N266" s="11"/>
      <c r="O266" s="12"/>
      <c r="P266" s="11"/>
      <c r="Q266" s="13"/>
      <c r="R266" s="14"/>
    </row>
    <row r="267" spans="1:18" ht="15" customHeight="1">
      <c r="A267" s="15" t="s">
        <v>38</v>
      </c>
      <c r="B267" s="15" t="s">
        <v>342</v>
      </c>
      <c r="C267" s="16">
        <v>0.48958333333333331</v>
      </c>
      <c r="D267" s="15" t="s">
        <v>43</v>
      </c>
      <c r="E267" s="15" t="s">
        <v>155</v>
      </c>
      <c r="F267" s="15" t="s">
        <v>420</v>
      </c>
      <c r="G267" s="298"/>
      <c r="H267" s="10"/>
      <c r="I267" s="11"/>
      <c r="J267" s="11"/>
      <c r="K267" s="11"/>
      <c r="L267" s="11"/>
      <c r="M267" s="11"/>
      <c r="N267" s="11"/>
      <c r="O267" s="12"/>
      <c r="P267" s="11"/>
      <c r="Q267" s="13"/>
      <c r="R267" s="14"/>
    </row>
    <row r="268" spans="1:18" ht="15" customHeight="1">
      <c r="A268" s="15" t="s">
        <v>38</v>
      </c>
      <c r="B268" s="15" t="s">
        <v>342</v>
      </c>
      <c r="C268" s="16">
        <v>0.48958333333333331</v>
      </c>
      <c r="D268" s="15" t="s">
        <v>46</v>
      </c>
      <c r="E268" s="15" t="s">
        <v>155</v>
      </c>
      <c r="F268" s="15" t="s">
        <v>47</v>
      </c>
      <c r="G268" s="298"/>
      <c r="H268" s="10"/>
      <c r="I268" s="11"/>
      <c r="J268" s="11"/>
      <c r="K268" s="11"/>
      <c r="L268" s="11"/>
      <c r="M268" s="11"/>
      <c r="N268" s="11"/>
      <c r="O268" s="12"/>
      <c r="P268" s="11"/>
      <c r="Q268" s="13"/>
      <c r="R268" s="14"/>
    </row>
    <row r="269" spans="1:18" ht="15" customHeight="1">
      <c r="A269" s="17" t="s">
        <v>38</v>
      </c>
      <c r="B269" s="17" t="s">
        <v>344</v>
      </c>
      <c r="C269" s="18">
        <v>0.88888888888888884</v>
      </c>
      <c r="D269" s="17" t="s">
        <v>40</v>
      </c>
      <c r="E269" s="17" t="s">
        <v>113</v>
      </c>
      <c r="F269" s="17" t="s">
        <v>121</v>
      </c>
      <c r="G269" s="298"/>
      <c r="H269" s="10"/>
      <c r="I269" s="11"/>
      <c r="J269" s="11"/>
      <c r="K269" s="11"/>
      <c r="L269" s="11"/>
      <c r="M269" s="11"/>
      <c r="N269" s="11"/>
      <c r="O269" s="12"/>
      <c r="P269" s="11"/>
      <c r="Q269" s="13"/>
      <c r="R269" s="14"/>
    </row>
    <row r="270" spans="1:18" ht="15" customHeight="1">
      <c r="A270" s="15" t="s">
        <v>38</v>
      </c>
      <c r="B270" s="15" t="s">
        <v>344</v>
      </c>
      <c r="C270" s="16">
        <v>0.88888888888888884</v>
      </c>
      <c r="D270" s="15" t="s">
        <v>43</v>
      </c>
      <c r="E270" s="15" t="s">
        <v>114</v>
      </c>
      <c r="F270" s="15" t="s">
        <v>123</v>
      </c>
      <c r="G270" s="298"/>
      <c r="H270" s="10"/>
      <c r="I270" s="11"/>
      <c r="J270" s="11"/>
      <c r="K270" s="11"/>
      <c r="L270" s="11"/>
      <c r="M270" s="11"/>
      <c r="N270" s="11"/>
      <c r="O270" s="12"/>
      <c r="P270" s="11"/>
      <c r="Q270" s="13"/>
      <c r="R270" s="14"/>
    </row>
    <row r="271" spans="1:18" ht="15" customHeight="1">
      <c r="A271" s="15" t="s">
        <v>38</v>
      </c>
      <c r="B271" s="15" t="s">
        <v>344</v>
      </c>
      <c r="C271" s="16">
        <v>0.88888888888888884</v>
      </c>
      <c r="D271" s="15" t="s">
        <v>46</v>
      </c>
      <c r="E271" s="15" t="s">
        <v>114</v>
      </c>
      <c r="F271" s="15" t="s">
        <v>47</v>
      </c>
      <c r="G271" s="298"/>
      <c r="H271" s="10"/>
      <c r="I271" s="11"/>
      <c r="J271" s="11"/>
      <c r="K271" s="11"/>
      <c r="L271" s="11"/>
      <c r="M271" s="11"/>
      <c r="N271" s="11"/>
      <c r="O271" s="12"/>
      <c r="P271" s="11"/>
      <c r="Q271" s="13"/>
      <c r="R271" s="14"/>
    </row>
    <row r="272" spans="1:18" ht="15" customHeight="1">
      <c r="A272" s="17" t="s">
        <v>38</v>
      </c>
      <c r="B272" s="17" t="s">
        <v>345</v>
      </c>
      <c r="C272" s="18">
        <v>0.98958333333333337</v>
      </c>
      <c r="D272" s="17" t="s">
        <v>40</v>
      </c>
      <c r="E272" s="17" t="s">
        <v>459</v>
      </c>
      <c r="F272" s="17" t="s">
        <v>121</v>
      </c>
      <c r="G272" s="298"/>
      <c r="H272" s="10"/>
      <c r="I272" s="11"/>
      <c r="J272" s="11"/>
      <c r="K272" s="11"/>
      <c r="L272" s="11"/>
      <c r="M272" s="11"/>
      <c r="N272" s="11"/>
      <c r="O272" s="12"/>
      <c r="P272" s="11"/>
      <c r="Q272" s="13"/>
      <c r="R272" s="14"/>
    </row>
    <row r="273" spans="1:18" ht="15" customHeight="1">
      <c r="A273" s="15" t="s">
        <v>38</v>
      </c>
      <c r="B273" s="15" t="s">
        <v>345</v>
      </c>
      <c r="C273" s="16">
        <v>0.98958333333333337</v>
      </c>
      <c r="D273" s="15" t="s">
        <v>43</v>
      </c>
      <c r="E273" s="15" t="s">
        <v>182</v>
      </c>
      <c r="F273" s="15" t="s">
        <v>123</v>
      </c>
      <c r="G273" s="298"/>
      <c r="H273" s="10"/>
      <c r="I273" s="11"/>
      <c r="J273" s="11"/>
      <c r="K273" s="11"/>
      <c r="L273" s="11"/>
      <c r="M273" s="11"/>
      <c r="N273" s="11"/>
      <c r="O273" s="12"/>
      <c r="P273" s="11"/>
      <c r="Q273" s="13"/>
      <c r="R273" s="14"/>
    </row>
    <row r="274" spans="1:18" ht="15" customHeight="1">
      <c r="A274" s="15" t="s">
        <v>38</v>
      </c>
      <c r="B274" s="15" t="s">
        <v>345</v>
      </c>
      <c r="C274" s="16">
        <v>0.98958333333333337</v>
      </c>
      <c r="D274" s="15" t="s">
        <v>46</v>
      </c>
      <c r="E274" s="15" t="s">
        <v>182</v>
      </c>
      <c r="F274" s="15" t="s">
        <v>47</v>
      </c>
      <c r="G274" s="298"/>
      <c r="H274" s="10"/>
      <c r="I274" s="11"/>
      <c r="J274" s="11"/>
      <c r="K274" s="11"/>
      <c r="L274" s="11"/>
      <c r="M274" s="11"/>
      <c r="N274" s="11"/>
      <c r="O274" s="12"/>
      <c r="P274" s="11"/>
      <c r="Q274" s="13"/>
      <c r="R274" s="14"/>
    </row>
    <row r="275" spans="1:18" ht="15" customHeight="1">
      <c r="A275" s="19" t="s">
        <v>359</v>
      </c>
      <c r="B275" s="19" t="s">
        <v>360</v>
      </c>
      <c r="C275" s="20">
        <v>0.22916666666666671</v>
      </c>
      <c r="D275" s="19" t="s">
        <v>361</v>
      </c>
      <c r="E275" s="19" t="s">
        <v>80</v>
      </c>
      <c r="F275" s="19" t="s">
        <v>423</v>
      </c>
      <c r="G275" s="298"/>
      <c r="H275" s="10"/>
      <c r="I275" s="11"/>
      <c r="J275" s="11"/>
      <c r="K275" s="11"/>
      <c r="L275" s="11"/>
      <c r="M275" s="11"/>
      <c r="N275" s="11"/>
      <c r="O275" s="12"/>
      <c r="P275" s="11"/>
      <c r="Q275" s="13"/>
      <c r="R275" s="14"/>
    </row>
    <row r="276" spans="1:18" ht="15" customHeight="1">
      <c r="A276" s="15" t="s">
        <v>359</v>
      </c>
      <c r="B276" s="15" t="s">
        <v>360</v>
      </c>
      <c r="C276" s="16">
        <v>0.22916666666666671</v>
      </c>
      <c r="D276" s="15" t="s">
        <v>46</v>
      </c>
      <c r="E276" s="15" t="s">
        <v>82</v>
      </c>
      <c r="F276" s="15" t="s">
        <v>424</v>
      </c>
      <c r="G276" s="298"/>
      <c r="H276" s="10"/>
      <c r="I276" s="11"/>
      <c r="J276" s="11"/>
      <c r="K276" s="11"/>
      <c r="L276" s="11"/>
      <c r="M276" s="11"/>
      <c r="N276" s="11"/>
      <c r="O276" s="12"/>
      <c r="P276" s="11"/>
      <c r="Q276" s="13"/>
      <c r="R276" s="14"/>
    </row>
    <row r="277" spans="1:18" ht="15" customHeight="1">
      <c r="A277" s="21" t="s">
        <v>61</v>
      </c>
      <c r="B277" s="21" t="s">
        <v>432</v>
      </c>
      <c r="C277" s="22">
        <v>0.33333333333333331</v>
      </c>
      <c r="D277" s="21" t="s">
        <v>63</v>
      </c>
      <c r="E277" s="21" t="s">
        <v>177</v>
      </c>
      <c r="F277" s="21" t="s">
        <v>365</v>
      </c>
      <c r="G277" s="298"/>
      <c r="H277" s="23" t="s">
        <v>433</v>
      </c>
      <c r="I277" s="24">
        <v>0</v>
      </c>
      <c r="J277" s="25">
        <v>0</v>
      </c>
      <c r="K277" s="26" t="s">
        <v>66</v>
      </c>
      <c r="L277" s="25">
        <v>0</v>
      </c>
      <c r="M277" s="25">
        <v>0</v>
      </c>
      <c r="N277" s="25">
        <v>0</v>
      </c>
      <c r="O277" s="27" t="s">
        <v>436</v>
      </c>
      <c r="P277" s="28">
        <v>0.33333333333333331</v>
      </c>
      <c r="Q277" s="25">
        <v>180</v>
      </c>
      <c r="R277" s="29" t="s">
        <v>66</v>
      </c>
    </row>
    <row r="278" spans="1:18" ht="15" customHeight="1">
      <c r="A278" s="156" t="s">
        <v>61</v>
      </c>
      <c r="B278" s="156" t="s">
        <v>375</v>
      </c>
      <c r="C278" s="157">
        <v>0.1423611111111111</v>
      </c>
      <c r="D278" s="156" t="s">
        <v>63</v>
      </c>
      <c r="E278" s="156" t="s">
        <v>37</v>
      </c>
      <c r="F278" s="156" t="s">
        <v>365</v>
      </c>
      <c r="G278" s="298"/>
      <c r="H278" s="42" t="s">
        <v>376</v>
      </c>
      <c r="I278" s="43">
        <v>1.67E-2</v>
      </c>
      <c r="J278" s="44">
        <v>3</v>
      </c>
      <c r="K278" s="45">
        <v>46344</v>
      </c>
      <c r="L278" s="44">
        <v>3</v>
      </c>
      <c r="M278" s="44">
        <v>0</v>
      </c>
      <c r="N278" s="44">
        <v>0</v>
      </c>
      <c r="O278" s="46" t="s">
        <v>368</v>
      </c>
      <c r="P278" s="47">
        <v>0.1423611111111111</v>
      </c>
      <c r="Q278" s="44">
        <v>180</v>
      </c>
      <c r="R278" s="48" t="s">
        <v>460</v>
      </c>
    </row>
    <row r="279" spans="1:18" ht="15" customHeight="1">
      <c r="A279" s="160" t="s">
        <v>61</v>
      </c>
      <c r="B279" s="160" t="s">
        <v>377</v>
      </c>
      <c r="C279" s="161">
        <v>0.4548611111111111</v>
      </c>
      <c r="D279" s="160" t="s">
        <v>63</v>
      </c>
      <c r="E279" s="160" t="s">
        <v>98</v>
      </c>
      <c r="F279" s="160" t="s">
        <v>365</v>
      </c>
      <c r="G279" s="298"/>
      <c r="H279" s="23" t="s">
        <v>378</v>
      </c>
      <c r="I279" s="24">
        <v>5.5999999999999999E-3</v>
      </c>
      <c r="J279" s="25">
        <v>1</v>
      </c>
      <c r="K279" s="26">
        <v>46344</v>
      </c>
      <c r="L279" s="25">
        <v>1</v>
      </c>
      <c r="M279" s="25">
        <v>0</v>
      </c>
      <c r="N279" s="25">
        <v>0</v>
      </c>
      <c r="O279" s="27" t="s">
        <v>431</v>
      </c>
      <c r="P279" s="28">
        <v>0.4548611111111111</v>
      </c>
      <c r="Q279" s="25">
        <v>180</v>
      </c>
      <c r="R279" s="29" t="s">
        <v>430</v>
      </c>
    </row>
    <row r="280" spans="1:18" ht="15" customHeight="1">
      <c r="A280" s="154" t="s">
        <v>61</v>
      </c>
      <c r="B280" s="154" t="s">
        <v>379</v>
      </c>
      <c r="C280" s="155">
        <v>0.82986111111111116</v>
      </c>
      <c r="D280" s="154" t="s">
        <v>63</v>
      </c>
      <c r="E280" s="154" t="s">
        <v>91</v>
      </c>
      <c r="F280" s="154" t="s">
        <v>365</v>
      </c>
      <c r="G280" s="298"/>
      <c r="H280" s="69" t="s">
        <v>380</v>
      </c>
      <c r="I280" s="70">
        <v>2.2200000000000001E-2</v>
      </c>
      <c r="J280" s="71">
        <v>4</v>
      </c>
      <c r="K280" s="72">
        <v>46336</v>
      </c>
      <c r="L280" s="71">
        <v>4</v>
      </c>
      <c r="M280" s="71">
        <v>0</v>
      </c>
      <c r="N280" s="71">
        <v>0</v>
      </c>
      <c r="O280" s="73" t="s">
        <v>367</v>
      </c>
      <c r="P280" s="74">
        <v>0.82986111111111116</v>
      </c>
      <c r="Q280" s="71">
        <v>180</v>
      </c>
      <c r="R280" s="75" t="s">
        <v>368</v>
      </c>
    </row>
    <row r="281" spans="1:18" ht="15" customHeight="1">
      <c r="A281" s="150" t="s">
        <v>61</v>
      </c>
      <c r="B281" s="150" t="s">
        <v>369</v>
      </c>
      <c r="C281" s="151">
        <v>0.15625</v>
      </c>
      <c r="D281" s="150" t="s">
        <v>63</v>
      </c>
      <c r="E281" s="150" t="s">
        <v>57</v>
      </c>
      <c r="F281" s="150" t="s">
        <v>79</v>
      </c>
      <c r="G281" s="298"/>
      <c r="H281" s="80" t="s">
        <v>370</v>
      </c>
      <c r="I281" s="81">
        <v>3.3300000000000003E-2</v>
      </c>
      <c r="J281" s="82">
        <v>6</v>
      </c>
      <c r="K281" s="83">
        <v>46332</v>
      </c>
      <c r="L281" s="82">
        <v>9</v>
      </c>
      <c r="M281" s="82">
        <v>0</v>
      </c>
      <c r="N281" s="82">
        <v>0</v>
      </c>
      <c r="O281" s="84" t="s">
        <v>292</v>
      </c>
      <c r="P281" s="85">
        <v>0.15625</v>
      </c>
      <c r="Q281" s="82">
        <v>180</v>
      </c>
      <c r="R281" s="86" t="s">
        <v>461</v>
      </c>
    </row>
    <row r="282" spans="1:18" ht="15" customHeight="1">
      <c r="A282" s="19" t="s">
        <v>48</v>
      </c>
      <c r="B282" s="19" t="s">
        <v>386</v>
      </c>
      <c r="C282" s="20">
        <v>0.82986111111111116</v>
      </c>
      <c r="D282" s="19" t="s">
        <v>50</v>
      </c>
      <c r="E282" s="19" t="s">
        <v>156</v>
      </c>
      <c r="F282" s="19" t="s">
        <v>383</v>
      </c>
      <c r="G282" s="298"/>
      <c r="H282" s="10"/>
      <c r="I282" s="11"/>
      <c r="J282" s="11"/>
      <c r="K282" s="11"/>
      <c r="L282" s="11"/>
      <c r="M282" s="11"/>
      <c r="N282" s="11"/>
      <c r="O282" s="12"/>
      <c r="P282" s="11"/>
      <c r="Q282" s="13"/>
      <c r="R282" s="14"/>
    </row>
    <row r="283" spans="1:18" ht="15" customHeight="1">
      <c r="A283" s="15" t="s">
        <v>48</v>
      </c>
      <c r="B283" s="15" t="s">
        <v>386</v>
      </c>
      <c r="C283" s="16">
        <v>0.82986111111111116</v>
      </c>
      <c r="D283" s="15" t="s">
        <v>53</v>
      </c>
      <c r="E283" s="15" t="s">
        <v>135</v>
      </c>
      <c r="F283" s="15" t="s">
        <v>384</v>
      </c>
      <c r="G283" s="298"/>
      <c r="H283" s="10"/>
      <c r="I283" s="11"/>
      <c r="J283" s="11"/>
      <c r="K283" s="11"/>
      <c r="L283" s="11"/>
      <c r="M283" s="11"/>
      <c r="N283" s="11"/>
      <c r="O283" s="12"/>
      <c r="P283" s="11"/>
      <c r="Q283" s="13"/>
      <c r="R283" s="14"/>
    </row>
    <row r="284" spans="1:18" ht="15" customHeight="1">
      <c r="A284" s="17" t="s">
        <v>48</v>
      </c>
      <c r="B284" s="17" t="s">
        <v>388</v>
      </c>
      <c r="C284" s="18">
        <v>0.72222222222222221</v>
      </c>
      <c r="D284" s="17" t="s">
        <v>50</v>
      </c>
      <c r="E284" s="17" t="s">
        <v>57</v>
      </c>
      <c r="F284" s="17" t="s">
        <v>79</v>
      </c>
      <c r="G284" s="298"/>
      <c r="H284" s="10"/>
      <c r="I284" s="11"/>
      <c r="J284" s="11"/>
      <c r="K284" s="11"/>
      <c r="L284" s="11"/>
      <c r="M284" s="11"/>
      <c r="N284" s="11"/>
      <c r="O284" s="12"/>
      <c r="P284" s="11"/>
      <c r="Q284" s="13"/>
      <c r="R284" s="14"/>
    </row>
    <row r="285" spans="1:18" ht="15" customHeight="1">
      <c r="A285" s="15" t="s">
        <v>48</v>
      </c>
      <c r="B285" s="15" t="s">
        <v>388</v>
      </c>
      <c r="C285" s="16">
        <v>0.72222222222222221</v>
      </c>
      <c r="D285" s="15" t="s">
        <v>53</v>
      </c>
      <c r="E285" s="15" t="s">
        <v>54</v>
      </c>
      <c r="F285" s="15" t="s">
        <v>387</v>
      </c>
      <c r="G285" s="298"/>
      <c r="H285" s="10"/>
      <c r="I285" s="11"/>
      <c r="J285" s="11"/>
      <c r="K285" s="11"/>
      <c r="L285" s="11"/>
      <c r="M285" s="11"/>
      <c r="N285" s="11"/>
      <c r="O285" s="12"/>
      <c r="P285" s="11"/>
      <c r="Q285" s="13"/>
      <c r="R285" s="14"/>
    </row>
    <row r="286" spans="1:18" ht="15" customHeight="1">
      <c r="A286" s="17" t="s">
        <v>48</v>
      </c>
      <c r="B286" s="17" t="s">
        <v>385</v>
      </c>
      <c r="C286" s="18">
        <v>0.94097222222222221</v>
      </c>
      <c r="D286" s="17" t="s">
        <v>50</v>
      </c>
      <c r="E286" s="17" t="s">
        <v>57</v>
      </c>
      <c r="F286" s="17" t="s">
        <v>79</v>
      </c>
      <c r="G286" s="298"/>
      <c r="H286" s="10"/>
      <c r="I286" s="11"/>
      <c r="J286" s="11"/>
      <c r="K286" s="11"/>
      <c r="L286" s="11"/>
      <c r="M286" s="11"/>
      <c r="N286" s="11"/>
      <c r="O286" s="12"/>
      <c r="P286" s="11"/>
      <c r="Q286" s="13"/>
      <c r="R286" s="14"/>
    </row>
    <row r="287" spans="1:18" ht="15" customHeight="1">
      <c r="A287" s="15" t="s">
        <v>48</v>
      </c>
      <c r="B287" s="15" t="s">
        <v>385</v>
      </c>
      <c r="C287" s="16">
        <v>0.94097222222222221</v>
      </c>
      <c r="D287" s="15" t="s">
        <v>53</v>
      </c>
      <c r="E287" s="15" t="s">
        <v>54</v>
      </c>
      <c r="F287" s="15" t="s">
        <v>387</v>
      </c>
      <c r="G287" s="298"/>
      <c r="H287" s="10"/>
      <c r="I287" s="11"/>
      <c r="J287" s="11"/>
      <c r="K287" s="11"/>
      <c r="L287" s="11"/>
      <c r="M287" s="11"/>
      <c r="N287" s="11"/>
      <c r="O287" s="12"/>
      <c r="P287" s="11"/>
      <c r="Q287" s="13"/>
      <c r="R287" s="14"/>
    </row>
    <row r="288" spans="1:18" ht="15" customHeight="1">
      <c r="A288" s="17" t="s">
        <v>48</v>
      </c>
      <c r="B288" s="17" t="s">
        <v>389</v>
      </c>
      <c r="C288" s="18">
        <v>0.70138888888888884</v>
      </c>
      <c r="D288" s="17" t="s">
        <v>50</v>
      </c>
      <c r="E288" s="17" t="s">
        <v>57</v>
      </c>
      <c r="F288" s="17" t="s">
        <v>462</v>
      </c>
      <c r="G288" s="298"/>
      <c r="H288" s="10"/>
      <c r="I288" s="11"/>
      <c r="J288" s="11"/>
      <c r="K288" s="11"/>
      <c r="L288" s="11"/>
      <c r="M288" s="11"/>
      <c r="N288" s="11"/>
      <c r="O288" s="12"/>
      <c r="P288" s="11"/>
      <c r="Q288" s="13"/>
      <c r="R288" s="14"/>
    </row>
    <row r="289" spans="1:18" ht="15" customHeight="1">
      <c r="A289" s="15" t="s">
        <v>48</v>
      </c>
      <c r="B289" s="15" t="s">
        <v>389</v>
      </c>
      <c r="C289" s="16">
        <v>0.70138888888888884</v>
      </c>
      <c r="D289" s="15" t="s">
        <v>53</v>
      </c>
      <c r="E289" s="15" t="s">
        <v>54</v>
      </c>
      <c r="F289" s="15" t="s">
        <v>463</v>
      </c>
      <c r="G289" s="298"/>
      <c r="H289" s="10"/>
      <c r="I289" s="11"/>
      <c r="J289" s="11"/>
      <c r="K289" s="11"/>
      <c r="L289" s="11"/>
      <c r="M289" s="11"/>
      <c r="N289" s="11"/>
      <c r="O289" s="12"/>
      <c r="P289" s="11"/>
      <c r="Q289" s="13"/>
      <c r="R289" s="14"/>
    </row>
    <row r="290" spans="1:18" ht="15" customHeight="1">
      <c r="A290" s="17" t="s">
        <v>48</v>
      </c>
      <c r="B290" s="17" t="s">
        <v>391</v>
      </c>
      <c r="C290" s="18">
        <v>0.48958333333333331</v>
      </c>
      <c r="D290" s="17" t="s">
        <v>50</v>
      </c>
      <c r="E290" s="17" t="s">
        <v>57</v>
      </c>
      <c r="F290" s="17" t="s">
        <v>392</v>
      </c>
      <c r="G290" s="298"/>
      <c r="H290" s="10"/>
      <c r="I290" s="11"/>
      <c r="J290" s="11"/>
      <c r="K290" s="11"/>
      <c r="L290" s="11"/>
      <c r="M290" s="11"/>
      <c r="N290" s="11"/>
      <c r="O290" s="12"/>
      <c r="P290" s="11"/>
      <c r="Q290" s="13"/>
      <c r="R290" s="14"/>
    </row>
    <row r="291" spans="1:18" ht="15" customHeight="1">
      <c r="A291" s="15" t="s">
        <v>48</v>
      </c>
      <c r="B291" s="15" t="s">
        <v>391</v>
      </c>
      <c r="C291" s="16">
        <v>0.48958333333333331</v>
      </c>
      <c r="D291" s="15" t="s">
        <v>53</v>
      </c>
      <c r="E291" s="15" t="s">
        <v>54</v>
      </c>
      <c r="F291" s="15" t="s">
        <v>393</v>
      </c>
      <c r="G291" s="298"/>
      <c r="H291" s="10"/>
      <c r="I291" s="11"/>
      <c r="J291" s="11"/>
      <c r="K291" s="11"/>
      <c r="L291" s="11"/>
      <c r="M291" s="11"/>
      <c r="N291" s="11"/>
      <c r="O291" s="12"/>
      <c r="P291" s="11"/>
      <c r="Q291" s="13"/>
      <c r="R291" s="14"/>
    </row>
    <row r="292" spans="1:18" ht="15" customHeight="1">
      <c r="A292" s="17" t="s">
        <v>48</v>
      </c>
      <c r="B292" s="17" t="s">
        <v>390</v>
      </c>
      <c r="C292" s="18">
        <v>4.1666666666666657E-2</v>
      </c>
      <c r="D292" s="17" t="s">
        <v>50</v>
      </c>
      <c r="E292" s="17" t="s">
        <v>57</v>
      </c>
      <c r="F292" s="17" t="s">
        <v>392</v>
      </c>
      <c r="G292" s="298"/>
      <c r="H292" s="10"/>
      <c r="I292" s="11"/>
      <c r="J292" s="11"/>
      <c r="K292" s="11"/>
      <c r="L292" s="11"/>
      <c r="M292" s="11"/>
      <c r="N292" s="11"/>
      <c r="O292" s="12"/>
      <c r="P292" s="11"/>
      <c r="Q292" s="13"/>
      <c r="R292" s="14"/>
    </row>
    <row r="293" spans="1:18" ht="15" customHeight="1">
      <c r="A293" s="15" t="s">
        <v>48</v>
      </c>
      <c r="B293" s="15" t="s">
        <v>390</v>
      </c>
      <c r="C293" s="16">
        <v>4.1666666666666657E-2</v>
      </c>
      <c r="D293" s="15" t="s">
        <v>53</v>
      </c>
      <c r="E293" s="15" t="s">
        <v>54</v>
      </c>
      <c r="F293" s="15" t="s">
        <v>393</v>
      </c>
      <c r="G293" s="298"/>
      <c r="H293" s="10"/>
      <c r="I293" s="11"/>
      <c r="J293" s="11"/>
      <c r="K293" s="11"/>
      <c r="L293" s="11"/>
      <c r="M293" s="11"/>
      <c r="N293" s="11"/>
      <c r="O293" s="12"/>
      <c r="P293" s="11"/>
      <c r="Q293" s="13"/>
      <c r="R293" s="14"/>
    </row>
    <row r="294" spans="1:18" ht="15" customHeight="1">
      <c r="A294" s="17" t="s">
        <v>48</v>
      </c>
      <c r="B294" s="17" t="s">
        <v>398</v>
      </c>
      <c r="C294" s="18">
        <v>0.39930555555555558</v>
      </c>
      <c r="D294" s="17" t="s">
        <v>53</v>
      </c>
      <c r="E294" s="17" t="s">
        <v>37</v>
      </c>
      <c r="F294" s="17" t="s">
        <v>438</v>
      </c>
      <c r="G294" s="298"/>
      <c r="H294" s="10"/>
      <c r="I294" s="11"/>
      <c r="J294" s="11"/>
      <c r="K294" s="11"/>
      <c r="L294" s="11"/>
      <c r="M294" s="11"/>
      <c r="N294" s="11"/>
      <c r="O294" s="12"/>
      <c r="P294" s="11"/>
      <c r="Q294" s="13"/>
      <c r="R294" s="14"/>
    </row>
    <row r="295" spans="1:18" ht="15" customHeight="1">
      <c r="A295" s="17" t="s">
        <v>48</v>
      </c>
      <c r="B295" s="17" t="s">
        <v>396</v>
      </c>
      <c r="C295" s="18">
        <v>0.48958333333333331</v>
      </c>
      <c r="D295" s="17" t="s">
        <v>53</v>
      </c>
      <c r="E295" s="17" t="s">
        <v>37</v>
      </c>
      <c r="F295" s="17" t="s">
        <v>438</v>
      </c>
      <c r="G295" s="298"/>
      <c r="H295" s="10"/>
      <c r="I295" s="11"/>
      <c r="J295" s="11"/>
      <c r="K295" s="11"/>
      <c r="L295" s="11"/>
      <c r="M295" s="11"/>
      <c r="N295" s="11"/>
      <c r="O295" s="12"/>
      <c r="P295" s="11"/>
      <c r="Q295" s="13"/>
      <c r="R295" s="14"/>
    </row>
    <row r="296" spans="1:18" ht="15" customHeight="1">
      <c r="A296" s="17" t="s">
        <v>48</v>
      </c>
      <c r="B296" s="17" t="s">
        <v>394</v>
      </c>
      <c r="C296" s="18">
        <v>0.98958333333333337</v>
      </c>
      <c r="D296" s="17" t="s">
        <v>53</v>
      </c>
      <c r="E296" s="17" t="s">
        <v>37</v>
      </c>
      <c r="F296" s="17" t="s">
        <v>464</v>
      </c>
      <c r="G296" s="298"/>
      <c r="H296" s="10"/>
      <c r="I296" s="11"/>
      <c r="J296" s="11"/>
      <c r="K296" s="11"/>
      <c r="L296" s="11"/>
      <c r="M296" s="11"/>
      <c r="N296" s="11"/>
      <c r="O296" s="12"/>
      <c r="P296" s="11"/>
      <c r="Q296" s="13"/>
      <c r="R296" s="14"/>
    </row>
    <row r="297" spans="1:18" ht="15" customHeight="1">
      <c r="A297" s="17" t="s">
        <v>48</v>
      </c>
      <c r="B297" s="17" t="s">
        <v>397</v>
      </c>
      <c r="C297" s="18">
        <v>0.88888888888888884</v>
      </c>
      <c r="D297" s="17" t="s">
        <v>53</v>
      </c>
      <c r="E297" s="17" t="s">
        <v>37</v>
      </c>
      <c r="F297" s="17" t="s">
        <v>464</v>
      </c>
      <c r="G297" s="298"/>
      <c r="H297" s="10"/>
      <c r="I297" s="11"/>
      <c r="J297" s="11"/>
      <c r="K297" s="11"/>
      <c r="L297" s="11"/>
      <c r="M297" s="11"/>
      <c r="N297" s="11"/>
      <c r="O297" s="12"/>
      <c r="P297" s="11"/>
      <c r="Q297" s="13"/>
      <c r="R297" s="14"/>
    </row>
    <row r="298" spans="1:18" ht="15" customHeight="1">
      <c r="A298" s="17" t="s">
        <v>48</v>
      </c>
      <c r="B298" s="17" t="s">
        <v>382</v>
      </c>
      <c r="C298" s="18">
        <v>0.11805555555555559</v>
      </c>
      <c r="D298" s="17" t="s">
        <v>53</v>
      </c>
      <c r="E298" s="17" t="s">
        <v>57</v>
      </c>
      <c r="F298" s="17" t="s">
        <v>401</v>
      </c>
      <c r="G298" s="298"/>
      <c r="H298" s="10"/>
      <c r="I298" s="11"/>
      <c r="J298" s="11"/>
      <c r="K298" s="11"/>
      <c r="L298" s="11"/>
      <c r="M298" s="11"/>
      <c r="N298" s="11"/>
      <c r="O298" s="12"/>
      <c r="P298" s="11"/>
      <c r="Q298" s="13"/>
      <c r="R298" s="14"/>
    </row>
    <row r="299" spans="1:18" ht="15" customHeight="1">
      <c r="A299" s="17" t="s">
        <v>48</v>
      </c>
      <c r="B299" s="17" t="s">
        <v>400</v>
      </c>
      <c r="C299" s="18">
        <v>0.25347222222222221</v>
      </c>
      <c r="D299" s="17" t="s">
        <v>53</v>
      </c>
      <c r="E299" s="17" t="s">
        <v>98</v>
      </c>
      <c r="F299" s="17" t="s">
        <v>401</v>
      </c>
      <c r="G299" s="298"/>
      <c r="H299" s="10"/>
      <c r="I299" s="11"/>
      <c r="J299" s="11"/>
      <c r="K299" s="11"/>
      <c r="L299" s="11"/>
      <c r="M299" s="11"/>
      <c r="N299" s="11"/>
      <c r="O299" s="12"/>
      <c r="P299" s="11"/>
      <c r="Q299" s="13"/>
      <c r="R299" s="14"/>
    </row>
    <row r="300" spans="1:18" ht="15" customHeight="1">
      <c r="A300" s="19" t="s">
        <v>402</v>
      </c>
      <c r="B300" s="19" t="s">
        <v>403</v>
      </c>
      <c r="C300" s="20">
        <v>0.49305555555555558</v>
      </c>
      <c r="D300" s="19" t="s">
        <v>63</v>
      </c>
      <c r="E300" s="19" t="s">
        <v>103</v>
      </c>
      <c r="F300" s="19" t="s">
        <v>404</v>
      </c>
      <c r="G300" s="298"/>
      <c r="H300" s="10"/>
      <c r="I300" s="11"/>
      <c r="J300" s="11"/>
      <c r="K300" s="11"/>
      <c r="L300" s="11"/>
      <c r="M300" s="11"/>
      <c r="N300" s="11"/>
      <c r="O300" s="12"/>
      <c r="P300" s="11"/>
      <c r="Q300" s="13"/>
      <c r="R300" s="14"/>
    </row>
    <row r="301" spans="1:18" ht="15" customHeight="1">
      <c r="A301" s="17" t="s">
        <v>402</v>
      </c>
      <c r="B301" s="17" t="s">
        <v>465</v>
      </c>
      <c r="C301" s="18">
        <v>0.2048611111111111</v>
      </c>
      <c r="D301" s="17" t="s">
        <v>63</v>
      </c>
      <c r="E301" s="17" t="s">
        <v>98</v>
      </c>
      <c r="F301" s="17" t="s">
        <v>404</v>
      </c>
      <c r="G301" s="298"/>
      <c r="H301" s="10"/>
      <c r="I301" s="11"/>
      <c r="J301" s="11"/>
      <c r="K301" s="11"/>
      <c r="L301" s="11"/>
      <c r="M301" s="11"/>
      <c r="N301" s="11"/>
      <c r="O301" s="12"/>
      <c r="P301" s="11"/>
      <c r="Q301" s="13"/>
      <c r="R301" s="14"/>
    </row>
    <row r="302" spans="1:18" ht="15" customHeight="1">
      <c r="A302" s="19" t="s">
        <v>68</v>
      </c>
      <c r="B302" s="19" t="s">
        <v>405</v>
      </c>
      <c r="C302" s="20">
        <v>0.83680555555555547</v>
      </c>
      <c r="D302" s="19" t="s">
        <v>70</v>
      </c>
      <c r="E302" s="19" t="s">
        <v>51</v>
      </c>
      <c r="F302" s="19" t="s">
        <v>406</v>
      </c>
      <c r="G302" s="298"/>
      <c r="H302" s="10"/>
      <c r="I302" s="11"/>
      <c r="J302" s="11"/>
      <c r="K302" s="11"/>
      <c r="L302" s="11"/>
      <c r="M302" s="11"/>
      <c r="N302" s="11"/>
      <c r="O302" s="12"/>
      <c r="P302" s="11"/>
      <c r="Q302" s="13"/>
      <c r="R302" s="14"/>
    </row>
    <row r="303" spans="1:18" ht="15" customHeight="1">
      <c r="A303" s="17" t="s">
        <v>68</v>
      </c>
      <c r="B303" s="17" t="s">
        <v>407</v>
      </c>
      <c r="C303" s="18">
        <v>0.3125</v>
      </c>
      <c r="D303" s="17" t="s">
        <v>70</v>
      </c>
      <c r="E303" s="17" t="s">
        <v>57</v>
      </c>
      <c r="F303" s="17" t="s">
        <v>406</v>
      </c>
      <c r="G303" s="298"/>
      <c r="H303" s="10"/>
      <c r="I303" s="11"/>
      <c r="J303" s="11"/>
      <c r="K303" s="11"/>
      <c r="L303" s="11"/>
      <c r="M303" s="11"/>
      <c r="N303" s="11"/>
      <c r="O303" s="12"/>
      <c r="P303" s="11"/>
      <c r="Q303" s="13"/>
      <c r="R303" s="14"/>
    </row>
    <row r="304" spans="1:18" ht="15" customHeight="1">
      <c r="A304" s="17" t="s">
        <v>68</v>
      </c>
      <c r="B304" s="17" t="s">
        <v>408</v>
      </c>
      <c r="C304" s="18">
        <v>0.97222222222222221</v>
      </c>
      <c r="D304" s="17" t="s">
        <v>70</v>
      </c>
      <c r="E304" s="17" t="s">
        <v>57</v>
      </c>
      <c r="F304" s="17" t="s">
        <v>406</v>
      </c>
      <c r="G304" s="298"/>
      <c r="H304" s="10"/>
      <c r="I304" s="11"/>
      <c r="J304" s="11"/>
      <c r="K304" s="11"/>
      <c r="L304" s="11"/>
      <c r="M304" s="11"/>
      <c r="N304" s="11"/>
      <c r="O304" s="12"/>
      <c r="P304" s="11"/>
      <c r="Q304" s="13"/>
      <c r="R304" s="14"/>
    </row>
    <row r="305" spans="1:18" ht="15" customHeight="1">
      <c r="A305" s="17" t="s">
        <v>68</v>
      </c>
      <c r="B305" s="17" t="s">
        <v>437</v>
      </c>
      <c r="C305" s="18">
        <v>0.1041666666666667</v>
      </c>
      <c r="D305" s="17" t="s">
        <v>70</v>
      </c>
      <c r="E305" s="17" t="s">
        <v>57</v>
      </c>
      <c r="F305" s="17" t="s">
        <v>406</v>
      </c>
      <c r="G305" s="298"/>
      <c r="H305" s="10"/>
      <c r="I305" s="11"/>
      <c r="J305" s="11"/>
      <c r="K305" s="11"/>
      <c r="L305" s="11"/>
      <c r="M305" s="11"/>
      <c r="N305" s="11"/>
      <c r="O305" s="12"/>
      <c r="P305" s="11"/>
      <c r="Q305" s="13"/>
      <c r="R305" s="14"/>
    </row>
    <row r="306" spans="1:18" ht="15" customHeight="1">
      <c r="A306" s="17" t="s">
        <v>68</v>
      </c>
      <c r="B306" s="17" t="s">
        <v>411</v>
      </c>
      <c r="C306" s="18">
        <v>0.78472222222222221</v>
      </c>
      <c r="D306" s="17" t="s">
        <v>70</v>
      </c>
      <c r="E306" s="17" t="s">
        <v>57</v>
      </c>
      <c r="F306" s="17" t="s">
        <v>406</v>
      </c>
      <c r="G306" s="298"/>
      <c r="H306" s="10"/>
      <c r="I306" s="11"/>
      <c r="J306" s="11"/>
      <c r="K306" s="11"/>
      <c r="L306" s="11"/>
      <c r="M306" s="11"/>
      <c r="N306" s="11"/>
      <c r="O306" s="12"/>
      <c r="P306" s="11"/>
      <c r="Q306" s="13"/>
      <c r="R306" s="14"/>
    </row>
    <row r="307" spans="1:18" ht="15" customHeight="1">
      <c r="A307" s="17" t="s">
        <v>68</v>
      </c>
      <c r="B307" s="17" t="s">
        <v>413</v>
      </c>
      <c r="C307" s="18">
        <v>4.8611111111111112E-2</v>
      </c>
      <c r="D307" s="17" t="s">
        <v>70</v>
      </c>
      <c r="E307" s="17" t="s">
        <v>57</v>
      </c>
      <c r="F307" s="17" t="s">
        <v>406</v>
      </c>
      <c r="G307" s="298"/>
      <c r="H307" s="10"/>
      <c r="I307" s="11"/>
      <c r="J307" s="11"/>
      <c r="K307" s="11"/>
      <c r="L307" s="11"/>
      <c r="M307" s="11"/>
      <c r="N307" s="11"/>
      <c r="O307" s="12"/>
      <c r="P307" s="11"/>
      <c r="Q307" s="13"/>
      <c r="R307" s="14"/>
    </row>
    <row r="308" spans="1:18" ht="15" customHeight="1" thickBot="1">
      <c r="A308" s="30" t="s">
        <v>68</v>
      </c>
      <c r="B308" s="30" t="s">
        <v>410</v>
      </c>
      <c r="C308" s="31">
        <v>0.59722222222222221</v>
      </c>
      <c r="D308" s="30" t="s">
        <v>70</v>
      </c>
      <c r="E308" s="30" t="s">
        <v>57</v>
      </c>
      <c r="F308" s="30" t="s">
        <v>466</v>
      </c>
      <c r="G308" s="299"/>
      <c r="H308" s="300"/>
      <c r="I308" s="140"/>
      <c r="J308" s="140"/>
      <c r="K308" s="140"/>
      <c r="L308" s="140"/>
      <c r="M308" s="140"/>
      <c r="N308" s="140"/>
      <c r="O308" s="141"/>
      <c r="P308" s="140"/>
      <c r="Q308" s="142"/>
      <c r="R308" s="301"/>
    </row>
    <row r="309" spans="1:18" ht="17.45" customHeight="1" thickBot="1">
      <c r="A309" s="283"/>
      <c r="B309" s="284"/>
      <c r="C309" s="284"/>
      <c r="D309" s="284"/>
      <c r="E309" s="284"/>
      <c r="F309" s="284"/>
      <c r="G309" s="284"/>
      <c r="H309" s="284"/>
      <c r="I309" s="284"/>
      <c r="J309" s="284"/>
      <c r="K309" s="284"/>
      <c r="L309" s="284"/>
      <c r="M309" s="284"/>
      <c r="N309" s="284"/>
      <c r="O309" s="284"/>
      <c r="P309" s="284"/>
      <c r="Q309" s="284"/>
      <c r="R309" s="285"/>
    </row>
    <row r="310" spans="1:18" ht="22.15" customHeight="1" thickTop="1" thickBot="1">
      <c r="A310" s="279" t="s">
        <v>6</v>
      </c>
      <c r="B310" s="295"/>
      <c r="C310" s="295"/>
      <c r="D310" s="295"/>
      <c r="E310" s="295"/>
      <c r="F310" s="296"/>
      <c r="G310" s="32">
        <v>46027</v>
      </c>
      <c r="H310" s="278" t="s">
        <v>7</v>
      </c>
      <c r="I310" s="295"/>
      <c r="J310" s="295"/>
      <c r="K310" s="295"/>
      <c r="L310" s="295"/>
      <c r="M310" s="295"/>
      <c r="N310" s="295"/>
      <c r="O310" s="295"/>
      <c r="P310" s="295"/>
      <c r="Q310" s="295"/>
      <c r="R310" s="296"/>
    </row>
    <row r="311" spans="1:18" ht="24" customHeight="1">
      <c r="A311" s="33" t="s">
        <v>8</v>
      </c>
      <c r="B311" s="33" t="s">
        <v>9</v>
      </c>
      <c r="C311" s="34" t="s">
        <v>10</v>
      </c>
      <c r="D311" s="33" t="s">
        <v>11</v>
      </c>
      <c r="E311" s="33" t="s">
        <v>12</v>
      </c>
      <c r="F311" s="35" t="s">
        <v>13</v>
      </c>
      <c r="G311" s="36" t="s">
        <v>14</v>
      </c>
      <c r="H311" s="33" t="s">
        <v>15</v>
      </c>
      <c r="I311" s="37" t="s">
        <v>16</v>
      </c>
      <c r="J311" s="38" t="s">
        <v>17</v>
      </c>
      <c r="K311" s="39" t="s">
        <v>18</v>
      </c>
      <c r="L311" s="38" t="s">
        <v>19</v>
      </c>
      <c r="M311" s="38" t="s">
        <v>20</v>
      </c>
      <c r="N311" s="38" t="s">
        <v>21</v>
      </c>
      <c r="O311" s="33" t="s">
        <v>22</v>
      </c>
      <c r="P311" s="34" t="s">
        <v>23</v>
      </c>
      <c r="Q311" s="38" t="s">
        <v>24</v>
      </c>
      <c r="R311" s="33" t="s">
        <v>25</v>
      </c>
    </row>
    <row r="312" spans="1:18" ht="15" customHeight="1">
      <c r="A312" s="8" t="s">
        <v>38</v>
      </c>
      <c r="B312" s="8" t="s">
        <v>342</v>
      </c>
      <c r="C312" s="9">
        <v>0.48958333333333331</v>
      </c>
      <c r="D312" s="8" t="s">
        <v>440</v>
      </c>
      <c r="E312" s="8" t="s">
        <v>168</v>
      </c>
      <c r="F312" s="8" t="s">
        <v>88</v>
      </c>
      <c r="G312" s="297"/>
      <c r="H312" s="10"/>
      <c r="I312" s="11"/>
      <c r="J312" s="11"/>
      <c r="K312" s="11"/>
      <c r="L312" s="11"/>
      <c r="M312" s="11"/>
      <c r="N312" s="11"/>
      <c r="O312" s="12"/>
      <c r="P312" s="11"/>
      <c r="Q312" s="13"/>
      <c r="R312" s="14"/>
    </row>
    <row r="313" spans="1:18" ht="15" customHeight="1">
      <c r="A313" s="15" t="s">
        <v>38</v>
      </c>
      <c r="B313" s="15" t="s">
        <v>342</v>
      </c>
      <c r="C313" s="16">
        <v>0.48958333333333331</v>
      </c>
      <c r="D313" s="15" t="s">
        <v>40</v>
      </c>
      <c r="E313" s="15" t="s">
        <v>114</v>
      </c>
      <c r="F313" s="15" t="s">
        <v>88</v>
      </c>
      <c r="G313" s="298"/>
      <c r="H313" s="10"/>
      <c r="I313" s="11"/>
      <c r="J313" s="11"/>
      <c r="K313" s="11"/>
      <c r="L313" s="11"/>
      <c r="M313" s="11"/>
      <c r="N313" s="11"/>
      <c r="O313" s="12"/>
      <c r="P313" s="11"/>
      <c r="Q313" s="13"/>
      <c r="R313" s="14"/>
    </row>
    <row r="314" spans="1:18" ht="15" customHeight="1">
      <c r="A314" s="15" t="s">
        <v>38</v>
      </c>
      <c r="B314" s="15" t="s">
        <v>342</v>
      </c>
      <c r="C314" s="16">
        <v>0.48958333333333331</v>
      </c>
      <c r="D314" s="15" t="s">
        <v>43</v>
      </c>
      <c r="E314" s="15" t="s">
        <v>114</v>
      </c>
      <c r="F314" s="15" t="s">
        <v>89</v>
      </c>
      <c r="G314" s="298"/>
      <c r="H314" s="10"/>
      <c r="I314" s="11"/>
      <c r="J314" s="11"/>
      <c r="K314" s="11"/>
      <c r="L314" s="11"/>
      <c r="M314" s="11"/>
      <c r="N314" s="11"/>
      <c r="O314" s="12"/>
      <c r="P314" s="11"/>
      <c r="Q314" s="13"/>
      <c r="R314" s="14"/>
    </row>
    <row r="315" spans="1:18" ht="15" customHeight="1">
      <c r="A315" s="15" t="s">
        <v>38</v>
      </c>
      <c r="B315" s="15" t="s">
        <v>342</v>
      </c>
      <c r="C315" s="16">
        <v>0.48958333333333331</v>
      </c>
      <c r="D315" s="15" t="s">
        <v>46</v>
      </c>
      <c r="E315" s="15" t="s">
        <v>114</v>
      </c>
      <c r="F315" s="15" t="s">
        <v>47</v>
      </c>
      <c r="G315" s="298"/>
      <c r="H315" s="10"/>
      <c r="I315" s="11"/>
      <c r="J315" s="11"/>
      <c r="K315" s="11"/>
      <c r="L315" s="11"/>
      <c r="M315" s="11"/>
      <c r="N315" s="11"/>
      <c r="O315" s="12"/>
      <c r="P315" s="11"/>
      <c r="Q315" s="13"/>
      <c r="R315" s="14"/>
    </row>
    <row r="316" spans="1:18" ht="15" customHeight="1">
      <c r="A316" s="17" t="s">
        <v>38</v>
      </c>
      <c r="B316" s="17" t="s">
        <v>346</v>
      </c>
      <c r="C316" s="18">
        <v>0.39930555555555558</v>
      </c>
      <c r="D316" s="17" t="s">
        <v>440</v>
      </c>
      <c r="E316" s="17" t="s">
        <v>125</v>
      </c>
      <c r="F316" s="17" t="s">
        <v>343</v>
      </c>
      <c r="G316" s="298"/>
      <c r="H316" s="10"/>
      <c r="I316" s="11"/>
      <c r="J316" s="11"/>
      <c r="K316" s="11"/>
      <c r="L316" s="11"/>
      <c r="M316" s="11"/>
      <c r="N316" s="11"/>
      <c r="O316" s="12"/>
      <c r="P316" s="11"/>
      <c r="Q316" s="13"/>
      <c r="R316" s="14"/>
    </row>
    <row r="317" spans="1:18" ht="15" customHeight="1">
      <c r="A317" s="15" t="s">
        <v>38</v>
      </c>
      <c r="B317" s="15" t="s">
        <v>346</v>
      </c>
      <c r="C317" s="16">
        <v>0.39930555555555558</v>
      </c>
      <c r="D317" s="15" t="s">
        <v>40</v>
      </c>
      <c r="E317" s="15" t="s">
        <v>44</v>
      </c>
      <c r="F317" s="15" t="s">
        <v>343</v>
      </c>
      <c r="G317" s="298"/>
      <c r="H317" s="10"/>
      <c r="I317" s="11"/>
      <c r="J317" s="11"/>
      <c r="K317" s="11"/>
      <c r="L317" s="11"/>
      <c r="M317" s="11"/>
      <c r="N317" s="11"/>
      <c r="O317" s="12"/>
      <c r="P317" s="11"/>
      <c r="Q317" s="13"/>
      <c r="R317" s="14"/>
    </row>
    <row r="318" spans="1:18" ht="15" customHeight="1">
      <c r="A318" s="15" t="s">
        <v>38</v>
      </c>
      <c r="B318" s="15" t="s">
        <v>346</v>
      </c>
      <c r="C318" s="16">
        <v>0.39930555555555558</v>
      </c>
      <c r="D318" s="15" t="s">
        <v>43</v>
      </c>
      <c r="E318" s="15" t="s">
        <v>44</v>
      </c>
      <c r="F318" s="15" t="s">
        <v>33</v>
      </c>
      <c r="G318" s="298"/>
      <c r="H318" s="10"/>
      <c r="I318" s="11"/>
      <c r="J318" s="11"/>
      <c r="K318" s="11"/>
      <c r="L318" s="11"/>
      <c r="M318" s="11"/>
      <c r="N318" s="11"/>
      <c r="O318" s="12"/>
      <c r="P318" s="11"/>
      <c r="Q318" s="13"/>
      <c r="R318" s="14"/>
    </row>
    <row r="319" spans="1:18" ht="15" customHeight="1">
      <c r="A319" s="15" t="s">
        <v>38</v>
      </c>
      <c r="B319" s="15" t="s">
        <v>346</v>
      </c>
      <c r="C319" s="16">
        <v>0.39930555555555558</v>
      </c>
      <c r="D319" s="15" t="s">
        <v>46</v>
      </c>
      <c r="E319" s="15" t="s">
        <v>44</v>
      </c>
      <c r="F319" s="15" t="s">
        <v>47</v>
      </c>
      <c r="G319" s="298"/>
      <c r="H319" s="10"/>
      <c r="I319" s="11"/>
      <c r="J319" s="11"/>
      <c r="K319" s="11"/>
      <c r="L319" s="11"/>
      <c r="M319" s="11"/>
      <c r="N319" s="11"/>
      <c r="O319" s="12"/>
      <c r="P319" s="11"/>
      <c r="Q319" s="13"/>
      <c r="R319" s="14"/>
    </row>
    <row r="320" spans="1:18" ht="15" customHeight="1">
      <c r="A320" s="17" t="s">
        <v>38</v>
      </c>
      <c r="B320" s="17" t="s">
        <v>345</v>
      </c>
      <c r="C320" s="18">
        <v>0.98958333333333337</v>
      </c>
      <c r="D320" s="17" t="s">
        <v>440</v>
      </c>
      <c r="E320" s="17" t="s">
        <v>170</v>
      </c>
      <c r="F320" s="17" t="s">
        <v>343</v>
      </c>
      <c r="G320" s="298"/>
      <c r="H320" s="10"/>
      <c r="I320" s="11"/>
      <c r="J320" s="11"/>
      <c r="K320" s="11"/>
      <c r="L320" s="11"/>
      <c r="M320" s="11"/>
      <c r="N320" s="11"/>
      <c r="O320" s="12"/>
      <c r="P320" s="11"/>
      <c r="Q320" s="13"/>
      <c r="R320" s="14"/>
    </row>
    <row r="321" spans="1:18" ht="15" customHeight="1">
      <c r="A321" s="15" t="s">
        <v>38</v>
      </c>
      <c r="B321" s="15" t="s">
        <v>345</v>
      </c>
      <c r="C321" s="16">
        <v>0.98958333333333337</v>
      </c>
      <c r="D321" s="15" t="s">
        <v>40</v>
      </c>
      <c r="E321" s="15" t="s">
        <v>152</v>
      </c>
      <c r="F321" s="15" t="s">
        <v>343</v>
      </c>
      <c r="G321" s="298"/>
      <c r="H321" s="10"/>
      <c r="I321" s="11"/>
      <c r="J321" s="11"/>
      <c r="K321" s="11"/>
      <c r="L321" s="11"/>
      <c r="M321" s="11"/>
      <c r="N321" s="11"/>
      <c r="O321" s="12"/>
      <c r="P321" s="11"/>
      <c r="Q321" s="13"/>
      <c r="R321" s="14"/>
    </row>
    <row r="322" spans="1:18" ht="15" customHeight="1">
      <c r="A322" s="15" t="s">
        <v>38</v>
      </c>
      <c r="B322" s="15" t="s">
        <v>345</v>
      </c>
      <c r="C322" s="16">
        <v>0.98958333333333337</v>
      </c>
      <c r="D322" s="15" t="s">
        <v>43</v>
      </c>
      <c r="E322" s="15" t="s">
        <v>152</v>
      </c>
      <c r="F322" s="15" t="s">
        <v>33</v>
      </c>
      <c r="G322" s="298"/>
      <c r="H322" s="10"/>
      <c r="I322" s="11"/>
      <c r="J322" s="11"/>
      <c r="K322" s="11"/>
      <c r="L322" s="11"/>
      <c r="M322" s="11"/>
      <c r="N322" s="11"/>
      <c r="O322" s="12"/>
      <c r="P322" s="11"/>
      <c r="Q322" s="13"/>
      <c r="R322" s="14"/>
    </row>
    <row r="323" spans="1:18" ht="15" customHeight="1">
      <c r="A323" s="15" t="s">
        <v>38</v>
      </c>
      <c r="B323" s="15" t="s">
        <v>345</v>
      </c>
      <c r="C323" s="16">
        <v>0.98958333333333337</v>
      </c>
      <c r="D323" s="15" t="s">
        <v>46</v>
      </c>
      <c r="E323" s="15" t="s">
        <v>152</v>
      </c>
      <c r="F323" s="15" t="s">
        <v>47</v>
      </c>
      <c r="G323" s="298"/>
      <c r="H323" s="10"/>
      <c r="I323" s="11"/>
      <c r="J323" s="11"/>
      <c r="K323" s="11"/>
      <c r="L323" s="11"/>
      <c r="M323" s="11"/>
      <c r="N323" s="11"/>
      <c r="O323" s="12"/>
      <c r="P323" s="11"/>
      <c r="Q323" s="13"/>
      <c r="R323" s="14"/>
    </row>
    <row r="324" spans="1:18" ht="15" customHeight="1">
      <c r="A324" s="17" t="s">
        <v>38</v>
      </c>
      <c r="B324" s="17" t="s">
        <v>344</v>
      </c>
      <c r="C324" s="18">
        <v>0.88888888888888884</v>
      </c>
      <c r="D324" s="17" t="s">
        <v>440</v>
      </c>
      <c r="E324" s="17" t="s">
        <v>113</v>
      </c>
      <c r="F324" s="17" t="s">
        <v>347</v>
      </c>
      <c r="G324" s="298"/>
      <c r="H324" s="10"/>
      <c r="I324" s="11"/>
      <c r="J324" s="11"/>
      <c r="K324" s="11"/>
      <c r="L324" s="11"/>
      <c r="M324" s="11"/>
      <c r="N324" s="11"/>
      <c r="O324" s="12"/>
      <c r="P324" s="11"/>
      <c r="Q324" s="13"/>
      <c r="R324" s="14"/>
    </row>
    <row r="325" spans="1:18" ht="15" customHeight="1">
      <c r="A325" s="15" t="s">
        <v>38</v>
      </c>
      <c r="B325" s="15" t="s">
        <v>344</v>
      </c>
      <c r="C325" s="16">
        <v>0.88888888888888884</v>
      </c>
      <c r="D325" s="15" t="s">
        <v>40</v>
      </c>
      <c r="E325" s="15" t="s">
        <v>114</v>
      </c>
      <c r="F325" s="15" t="s">
        <v>347</v>
      </c>
      <c r="G325" s="298"/>
      <c r="H325" s="10"/>
      <c r="I325" s="11"/>
      <c r="J325" s="11"/>
      <c r="K325" s="11"/>
      <c r="L325" s="11"/>
      <c r="M325" s="11"/>
      <c r="N325" s="11"/>
      <c r="O325" s="12"/>
      <c r="P325" s="11"/>
      <c r="Q325" s="13"/>
      <c r="R325" s="14"/>
    </row>
    <row r="326" spans="1:18" ht="15" customHeight="1">
      <c r="A326" s="15" t="s">
        <v>38</v>
      </c>
      <c r="B326" s="15" t="s">
        <v>344</v>
      </c>
      <c r="C326" s="16">
        <v>0.88888888888888884</v>
      </c>
      <c r="D326" s="15" t="s">
        <v>43</v>
      </c>
      <c r="E326" s="15" t="s">
        <v>114</v>
      </c>
      <c r="F326" s="15" t="s">
        <v>138</v>
      </c>
      <c r="G326" s="298"/>
      <c r="H326" s="10"/>
      <c r="I326" s="11"/>
      <c r="J326" s="11"/>
      <c r="K326" s="11"/>
      <c r="L326" s="11"/>
      <c r="M326" s="11"/>
      <c r="N326" s="11"/>
      <c r="O326" s="12"/>
      <c r="P326" s="11"/>
      <c r="Q326" s="13"/>
      <c r="R326" s="14"/>
    </row>
    <row r="327" spans="1:18" ht="15" customHeight="1">
      <c r="A327" s="15" t="s">
        <v>38</v>
      </c>
      <c r="B327" s="15" t="s">
        <v>344</v>
      </c>
      <c r="C327" s="16">
        <v>0.88888888888888884</v>
      </c>
      <c r="D327" s="15" t="s">
        <v>46</v>
      </c>
      <c r="E327" s="15" t="s">
        <v>114</v>
      </c>
      <c r="F327" s="15" t="s">
        <v>47</v>
      </c>
      <c r="G327" s="298"/>
      <c r="H327" s="10"/>
      <c r="I327" s="11"/>
      <c r="J327" s="11"/>
      <c r="K327" s="11"/>
      <c r="L327" s="11"/>
      <c r="M327" s="11"/>
      <c r="N327" s="11"/>
      <c r="O327" s="12"/>
      <c r="P327" s="11"/>
      <c r="Q327" s="13"/>
      <c r="R327" s="14"/>
    </row>
    <row r="328" spans="1:18" ht="15" customHeight="1">
      <c r="A328" s="19" t="s">
        <v>26</v>
      </c>
      <c r="B328" s="19" t="s">
        <v>348</v>
      </c>
      <c r="C328" s="20">
        <v>0.99305555555555547</v>
      </c>
      <c r="D328" s="19" t="s">
        <v>28</v>
      </c>
      <c r="E328" s="19" t="s">
        <v>126</v>
      </c>
      <c r="F328" s="19" t="s">
        <v>131</v>
      </c>
      <c r="G328" s="298"/>
      <c r="H328" s="10"/>
      <c r="I328" s="11"/>
      <c r="J328" s="11"/>
      <c r="K328" s="11"/>
      <c r="L328" s="11"/>
      <c r="M328" s="11"/>
      <c r="N328" s="11"/>
      <c r="O328" s="12"/>
      <c r="P328" s="11"/>
      <c r="Q328" s="13"/>
      <c r="R328" s="14"/>
    </row>
    <row r="329" spans="1:18" ht="15" customHeight="1">
      <c r="A329" s="15" t="s">
        <v>26</v>
      </c>
      <c r="B329" s="15" t="s">
        <v>348</v>
      </c>
      <c r="C329" s="16">
        <v>0.99305555555555547</v>
      </c>
      <c r="D329" s="15" t="s">
        <v>31</v>
      </c>
      <c r="E329" s="15" t="s">
        <v>127</v>
      </c>
      <c r="F329" s="15" t="s">
        <v>349</v>
      </c>
      <c r="G329" s="298"/>
      <c r="H329" s="10"/>
      <c r="I329" s="11"/>
      <c r="J329" s="11"/>
      <c r="K329" s="11"/>
      <c r="L329" s="11"/>
      <c r="M329" s="11"/>
      <c r="N329" s="11"/>
      <c r="O329" s="12"/>
      <c r="P329" s="11"/>
      <c r="Q329" s="13"/>
      <c r="R329" s="14"/>
    </row>
    <row r="330" spans="1:18" ht="15" customHeight="1">
      <c r="A330" s="15" t="s">
        <v>26</v>
      </c>
      <c r="B330" s="15" t="s">
        <v>348</v>
      </c>
      <c r="C330" s="16">
        <v>0.99305555555555547</v>
      </c>
      <c r="D330" s="15" t="s">
        <v>34</v>
      </c>
      <c r="E330" s="15" t="s">
        <v>127</v>
      </c>
      <c r="F330" s="15" t="s">
        <v>138</v>
      </c>
      <c r="G330" s="298"/>
      <c r="H330" s="10"/>
      <c r="I330" s="11"/>
      <c r="J330" s="11"/>
      <c r="K330" s="11"/>
      <c r="L330" s="11"/>
      <c r="M330" s="11"/>
      <c r="N330" s="11"/>
      <c r="O330" s="12"/>
      <c r="P330" s="11"/>
      <c r="Q330" s="13"/>
      <c r="R330" s="14"/>
    </row>
    <row r="331" spans="1:18" ht="15" customHeight="1">
      <c r="A331" s="17" t="s">
        <v>26</v>
      </c>
      <c r="B331" s="17" t="s">
        <v>352</v>
      </c>
      <c r="C331" s="18">
        <v>0.94444444444444453</v>
      </c>
      <c r="D331" s="17" t="s">
        <v>28</v>
      </c>
      <c r="E331" s="17" t="s">
        <v>91</v>
      </c>
      <c r="F331" s="17" t="s">
        <v>131</v>
      </c>
      <c r="G331" s="298"/>
      <c r="H331" s="10"/>
      <c r="I331" s="11"/>
      <c r="J331" s="11"/>
      <c r="K331" s="11"/>
      <c r="L331" s="11"/>
      <c r="M331" s="11"/>
      <c r="N331" s="11"/>
      <c r="O331" s="12"/>
      <c r="P331" s="11"/>
      <c r="Q331" s="13"/>
      <c r="R331" s="14"/>
    </row>
    <row r="332" spans="1:18" ht="15" customHeight="1">
      <c r="A332" s="15" t="s">
        <v>26</v>
      </c>
      <c r="B332" s="15" t="s">
        <v>352</v>
      </c>
      <c r="C332" s="16">
        <v>0.94444444444444453</v>
      </c>
      <c r="D332" s="15" t="s">
        <v>31</v>
      </c>
      <c r="E332" s="15" t="s">
        <v>92</v>
      </c>
      <c r="F332" s="15" t="s">
        <v>349</v>
      </c>
      <c r="G332" s="298"/>
      <c r="H332" s="10"/>
      <c r="I332" s="11"/>
      <c r="J332" s="11"/>
      <c r="K332" s="11"/>
      <c r="L332" s="11"/>
      <c r="M332" s="11"/>
      <c r="N332" s="11"/>
      <c r="O332" s="12"/>
      <c r="P332" s="11"/>
      <c r="Q332" s="13"/>
      <c r="R332" s="14"/>
    </row>
    <row r="333" spans="1:18" ht="15" customHeight="1">
      <c r="A333" s="15" t="s">
        <v>26</v>
      </c>
      <c r="B333" s="15" t="s">
        <v>352</v>
      </c>
      <c r="C333" s="16">
        <v>0.94444444444444453</v>
      </c>
      <c r="D333" s="15" t="s">
        <v>34</v>
      </c>
      <c r="E333" s="15" t="s">
        <v>92</v>
      </c>
      <c r="F333" s="15" t="s">
        <v>138</v>
      </c>
      <c r="G333" s="298"/>
      <c r="H333" s="10"/>
      <c r="I333" s="11"/>
      <c r="J333" s="11"/>
      <c r="K333" s="11"/>
      <c r="L333" s="11"/>
      <c r="M333" s="11"/>
      <c r="N333" s="11"/>
      <c r="O333" s="12"/>
      <c r="P333" s="11"/>
      <c r="Q333" s="13"/>
      <c r="R333" s="14"/>
    </row>
    <row r="334" spans="1:18" ht="15" customHeight="1">
      <c r="A334" s="17" t="s">
        <v>26</v>
      </c>
      <c r="B334" s="17" t="s">
        <v>353</v>
      </c>
      <c r="C334" s="18">
        <v>0.88888888888888884</v>
      </c>
      <c r="D334" s="17" t="s">
        <v>28</v>
      </c>
      <c r="E334" s="17" t="s">
        <v>98</v>
      </c>
      <c r="F334" s="17" t="s">
        <v>131</v>
      </c>
      <c r="G334" s="298"/>
      <c r="H334" s="10"/>
      <c r="I334" s="11"/>
      <c r="J334" s="11"/>
      <c r="K334" s="11"/>
      <c r="L334" s="11"/>
      <c r="M334" s="11"/>
      <c r="N334" s="11"/>
      <c r="O334" s="12"/>
      <c r="P334" s="11"/>
      <c r="Q334" s="13"/>
      <c r="R334" s="14"/>
    </row>
    <row r="335" spans="1:18" ht="15" customHeight="1">
      <c r="A335" s="15" t="s">
        <v>26</v>
      </c>
      <c r="B335" s="15" t="s">
        <v>353</v>
      </c>
      <c r="C335" s="16">
        <v>0.88888888888888884</v>
      </c>
      <c r="D335" s="15" t="s">
        <v>31</v>
      </c>
      <c r="E335" s="15" t="s">
        <v>99</v>
      </c>
      <c r="F335" s="15" t="s">
        <v>349</v>
      </c>
      <c r="G335" s="298"/>
      <c r="H335" s="10"/>
      <c r="I335" s="11"/>
      <c r="J335" s="11"/>
      <c r="K335" s="11"/>
      <c r="L335" s="11"/>
      <c r="M335" s="11"/>
      <c r="N335" s="11"/>
      <c r="O335" s="12"/>
      <c r="P335" s="11"/>
      <c r="Q335" s="13"/>
      <c r="R335" s="14"/>
    </row>
    <row r="336" spans="1:18" ht="15" customHeight="1">
      <c r="A336" s="15" t="s">
        <v>26</v>
      </c>
      <c r="B336" s="15" t="s">
        <v>353</v>
      </c>
      <c r="C336" s="16">
        <v>0.88888888888888884</v>
      </c>
      <c r="D336" s="15" t="s">
        <v>34</v>
      </c>
      <c r="E336" s="15" t="s">
        <v>99</v>
      </c>
      <c r="F336" s="15" t="s">
        <v>138</v>
      </c>
      <c r="G336" s="298"/>
      <c r="H336" s="10"/>
      <c r="I336" s="11"/>
      <c r="J336" s="11"/>
      <c r="K336" s="11"/>
      <c r="L336" s="11"/>
      <c r="M336" s="11"/>
      <c r="N336" s="11"/>
      <c r="O336" s="12"/>
      <c r="P336" s="11"/>
      <c r="Q336" s="13"/>
      <c r="R336" s="14"/>
    </row>
    <row r="337" spans="1:18" ht="15" customHeight="1">
      <c r="A337" s="17" t="s">
        <v>26</v>
      </c>
      <c r="B337" s="17" t="s">
        <v>354</v>
      </c>
      <c r="C337" s="18">
        <v>0.34722222222222232</v>
      </c>
      <c r="D337" s="17" t="s">
        <v>28</v>
      </c>
      <c r="E337" s="17" t="s">
        <v>98</v>
      </c>
      <c r="F337" s="17" t="s">
        <v>347</v>
      </c>
      <c r="G337" s="298"/>
      <c r="H337" s="10"/>
      <c r="I337" s="11"/>
      <c r="J337" s="11"/>
      <c r="K337" s="11"/>
      <c r="L337" s="11"/>
      <c r="M337" s="11"/>
      <c r="N337" s="11"/>
      <c r="O337" s="12"/>
      <c r="P337" s="11"/>
      <c r="Q337" s="13"/>
      <c r="R337" s="14"/>
    </row>
    <row r="338" spans="1:18" ht="15" customHeight="1">
      <c r="A338" s="15" t="s">
        <v>26</v>
      </c>
      <c r="B338" s="15" t="s">
        <v>354</v>
      </c>
      <c r="C338" s="16">
        <v>0.34722222222222232</v>
      </c>
      <c r="D338" s="15" t="s">
        <v>31</v>
      </c>
      <c r="E338" s="15" t="s">
        <v>99</v>
      </c>
      <c r="F338" s="15" t="s">
        <v>426</v>
      </c>
      <c r="G338" s="298"/>
      <c r="H338" s="10"/>
      <c r="I338" s="11"/>
      <c r="J338" s="11"/>
      <c r="K338" s="11"/>
      <c r="L338" s="11"/>
      <c r="M338" s="11"/>
      <c r="N338" s="11"/>
      <c r="O338" s="12"/>
      <c r="P338" s="11"/>
      <c r="Q338" s="13"/>
      <c r="R338" s="14"/>
    </row>
    <row r="339" spans="1:18" ht="15" customHeight="1">
      <c r="A339" s="15" t="s">
        <v>26</v>
      </c>
      <c r="B339" s="15" t="s">
        <v>354</v>
      </c>
      <c r="C339" s="16">
        <v>0.34722222222222232</v>
      </c>
      <c r="D339" s="15" t="s">
        <v>34</v>
      </c>
      <c r="E339" s="15" t="s">
        <v>99</v>
      </c>
      <c r="F339" s="15" t="s">
        <v>162</v>
      </c>
      <c r="G339" s="298"/>
      <c r="H339" s="10"/>
      <c r="I339" s="11"/>
      <c r="J339" s="11"/>
      <c r="K339" s="11"/>
      <c r="L339" s="11"/>
      <c r="M339" s="11"/>
      <c r="N339" s="11"/>
      <c r="O339" s="12"/>
      <c r="P339" s="11"/>
      <c r="Q339" s="13"/>
      <c r="R339" s="14"/>
    </row>
    <row r="340" spans="1:18" ht="15" customHeight="1">
      <c r="A340" s="17" t="s">
        <v>26</v>
      </c>
      <c r="B340" s="17" t="s">
        <v>350</v>
      </c>
      <c r="C340" s="18">
        <v>0.73611111111111116</v>
      </c>
      <c r="D340" s="17" t="s">
        <v>28</v>
      </c>
      <c r="E340" s="17" t="s">
        <v>91</v>
      </c>
      <c r="F340" s="17" t="s">
        <v>347</v>
      </c>
      <c r="G340" s="298"/>
      <c r="H340" s="10"/>
      <c r="I340" s="11"/>
      <c r="J340" s="11"/>
      <c r="K340" s="11"/>
      <c r="L340" s="11"/>
      <c r="M340" s="11"/>
      <c r="N340" s="11"/>
      <c r="O340" s="12"/>
      <c r="P340" s="11"/>
      <c r="Q340" s="13"/>
      <c r="R340" s="14"/>
    </row>
    <row r="341" spans="1:18" ht="15" customHeight="1">
      <c r="A341" s="15" t="s">
        <v>26</v>
      </c>
      <c r="B341" s="15" t="s">
        <v>350</v>
      </c>
      <c r="C341" s="16">
        <v>0.73611111111111116</v>
      </c>
      <c r="D341" s="15" t="s">
        <v>31</v>
      </c>
      <c r="E341" s="15" t="s">
        <v>92</v>
      </c>
      <c r="F341" s="15" t="s">
        <v>426</v>
      </c>
      <c r="G341" s="298"/>
      <c r="H341" s="10"/>
      <c r="I341" s="11"/>
      <c r="J341" s="11"/>
      <c r="K341" s="11"/>
      <c r="L341" s="11"/>
      <c r="M341" s="11"/>
      <c r="N341" s="11"/>
      <c r="O341" s="12"/>
      <c r="P341" s="11"/>
      <c r="Q341" s="13"/>
      <c r="R341" s="14"/>
    </row>
    <row r="342" spans="1:18" ht="15" customHeight="1">
      <c r="A342" s="15" t="s">
        <v>26</v>
      </c>
      <c r="B342" s="15" t="s">
        <v>350</v>
      </c>
      <c r="C342" s="16">
        <v>0.73611111111111116</v>
      </c>
      <c r="D342" s="15" t="s">
        <v>34</v>
      </c>
      <c r="E342" s="15" t="s">
        <v>92</v>
      </c>
      <c r="F342" s="15" t="s">
        <v>162</v>
      </c>
      <c r="G342" s="298"/>
      <c r="H342" s="10"/>
      <c r="I342" s="11"/>
      <c r="J342" s="11"/>
      <c r="K342" s="11"/>
      <c r="L342" s="11"/>
      <c r="M342" s="11"/>
      <c r="N342" s="11"/>
      <c r="O342" s="12"/>
      <c r="P342" s="11"/>
      <c r="Q342" s="13"/>
      <c r="R342" s="14"/>
    </row>
    <row r="343" spans="1:18" ht="15" customHeight="1">
      <c r="A343" s="17" t="s">
        <v>26</v>
      </c>
      <c r="B343" s="17" t="s">
        <v>351</v>
      </c>
      <c r="C343" s="18">
        <v>0.83680555555555547</v>
      </c>
      <c r="D343" s="17" t="s">
        <v>28</v>
      </c>
      <c r="E343" s="17" t="s">
        <v>98</v>
      </c>
      <c r="F343" s="17" t="s">
        <v>347</v>
      </c>
      <c r="G343" s="298"/>
      <c r="H343" s="10"/>
      <c r="I343" s="11"/>
      <c r="J343" s="11"/>
      <c r="K343" s="11"/>
      <c r="L343" s="11"/>
      <c r="M343" s="11"/>
      <c r="N343" s="11"/>
      <c r="O343" s="12"/>
      <c r="P343" s="11"/>
      <c r="Q343" s="13"/>
      <c r="R343" s="14"/>
    </row>
    <row r="344" spans="1:18" ht="15" customHeight="1">
      <c r="A344" s="15" t="s">
        <v>26</v>
      </c>
      <c r="B344" s="15" t="s">
        <v>351</v>
      </c>
      <c r="C344" s="16">
        <v>0.83680555555555547</v>
      </c>
      <c r="D344" s="15" t="s">
        <v>31</v>
      </c>
      <c r="E344" s="15" t="s">
        <v>99</v>
      </c>
      <c r="F344" s="15" t="s">
        <v>426</v>
      </c>
      <c r="G344" s="298"/>
      <c r="H344" s="10"/>
      <c r="I344" s="11"/>
      <c r="J344" s="11"/>
      <c r="K344" s="11"/>
      <c r="L344" s="11"/>
      <c r="M344" s="11"/>
      <c r="N344" s="11"/>
      <c r="O344" s="12"/>
      <c r="P344" s="11"/>
      <c r="Q344" s="13"/>
      <c r="R344" s="14"/>
    </row>
    <row r="345" spans="1:18" ht="15" customHeight="1">
      <c r="A345" s="15" t="s">
        <v>26</v>
      </c>
      <c r="B345" s="15" t="s">
        <v>351</v>
      </c>
      <c r="C345" s="16">
        <v>0.83680555555555547</v>
      </c>
      <c r="D345" s="15" t="s">
        <v>34</v>
      </c>
      <c r="E345" s="15" t="s">
        <v>99</v>
      </c>
      <c r="F345" s="15" t="s">
        <v>162</v>
      </c>
      <c r="G345" s="298"/>
      <c r="H345" s="10"/>
      <c r="I345" s="11"/>
      <c r="J345" s="11"/>
      <c r="K345" s="11"/>
      <c r="L345" s="11"/>
      <c r="M345" s="11"/>
      <c r="N345" s="11"/>
      <c r="O345" s="12"/>
      <c r="P345" s="11"/>
      <c r="Q345" s="13"/>
      <c r="R345" s="14"/>
    </row>
    <row r="346" spans="1:18" ht="15" customHeight="1">
      <c r="A346" s="17" t="s">
        <v>26</v>
      </c>
      <c r="B346" s="17" t="s">
        <v>356</v>
      </c>
      <c r="C346" s="18">
        <v>0.4861111111111111</v>
      </c>
      <c r="D346" s="17" t="s">
        <v>28</v>
      </c>
      <c r="E346" s="17" t="s">
        <v>200</v>
      </c>
      <c r="F346" s="17" t="s">
        <v>83</v>
      </c>
      <c r="G346" s="298"/>
      <c r="H346" s="10"/>
      <c r="I346" s="11"/>
      <c r="J346" s="11"/>
      <c r="K346" s="11"/>
      <c r="L346" s="11"/>
      <c r="M346" s="11"/>
      <c r="N346" s="11"/>
      <c r="O346" s="12"/>
      <c r="P346" s="11"/>
      <c r="Q346" s="13"/>
      <c r="R346" s="14"/>
    </row>
    <row r="347" spans="1:18" ht="15" customHeight="1">
      <c r="A347" s="15" t="s">
        <v>26</v>
      </c>
      <c r="B347" s="15" t="s">
        <v>356</v>
      </c>
      <c r="C347" s="16">
        <v>0.4861111111111111</v>
      </c>
      <c r="D347" s="15" t="s">
        <v>31</v>
      </c>
      <c r="E347" s="15" t="s">
        <v>127</v>
      </c>
      <c r="F347" s="15" t="s">
        <v>159</v>
      </c>
      <c r="G347" s="298"/>
      <c r="H347" s="10"/>
      <c r="I347" s="11"/>
      <c r="J347" s="11"/>
      <c r="K347" s="11"/>
      <c r="L347" s="11"/>
      <c r="M347" s="11"/>
      <c r="N347" s="11"/>
      <c r="O347" s="12"/>
      <c r="P347" s="11"/>
      <c r="Q347" s="13"/>
      <c r="R347" s="14"/>
    </row>
    <row r="348" spans="1:18" ht="15" customHeight="1">
      <c r="A348" s="15" t="s">
        <v>26</v>
      </c>
      <c r="B348" s="15" t="s">
        <v>356</v>
      </c>
      <c r="C348" s="16">
        <v>0.4861111111111111</v>
      </c>
      <c r="D348" s="15" t="s">
        <v>34</v>
      </c>
      <c r="E348" s="15" t="s">
        <v>127</v>
      </c>
      <c r="F348" s="15" t="s">
        <v>355</v>
      </c>
      <c r="G348" s="298"/>
      <c r="H348" s="10"/>
      <c r="I348" s="11"/>
      <c r="J348" s="11"/>
      <c r="K348" s="11"/>
      <c r="L348" s="11"/>
      <c r="M348" s="11"/>
      <c r="N348" s="11"/>
      <c r="O348" s="12"/>
      <c r="P348" s="11"/>
      <c r="Q348" s="13"/>
      <c r="R348" s="14"/>
    </row>
    <row r="349" spans="1:18" ht="15" customHeight="1">
      <c r="A349" s="17" t="s">
        <v>26</v>
      </c>
      <c r="B349" s="17" t="s">
        <v>357</v>
      </c>
      <c r="C349" s="18">
        <v>0.55902777777777779</v>
      </c>
      <c r="D349" s="17" t="s">
        <v>28</v>
      </c>
      <c r="E349" s="17" t="s">
        <v>134</v>
      </c>
      <c r="F349" s="17" t="s">
        <v>467</v>
      </c>
      <c r="G349" s="298"/>
      <c r="H349" s="10"/>
      <c r="I349" s="11"/>
      <c r="J349" s="11"/>
      <c r="K349" s="11"/>
      <c r="L349" s="11"/>
      <c r="M349" s="11"/>
      <c r="N349" s="11"/>
      <c r="O349" s="12"/>
      <c r="P349" s="11"/>
      <c r="Q349" s="13"/>
      <c r="R349" s="14"/>
    </row>
    <row r="350" spans="1:18" ht="15" customHeight="1">
      <c r="A350" s="15" t="s">
        <v>26</v>
      </c>
      <c r="B350" s="15" t="s">
        <v>357</v>
      </c>
      <c r="C350" s="16">
        <v>0.55902777777777779</v>
      </c>
      <c r="D350" s="15" t="s">
        <v>31</v>
      </c>
      <c r="E350" s="15" t="s">
        <v>135</v>
      </c>
      <c r="F350" s="15" t="s">
        <v>104</v>
      </c>
      <c r="G350" s="298"/>
      <c r="H350" s="10"/>
      <c r="I350" s="11"/>
      <c r="J350" s="11"/>
      <c r="K350" s="11"/>
      <c r="L350" s="11"/>
      <c r="M350" s="11"/>
      <c r="N350" s="11"/>
      <c r="O350" s="12"/>
      <c r="P350" s="11"/>
      <c r="Q350" s="13"/>
      <c r="R350" s="14"/>
    </row>
    <row r="351" spans="1:18" ht="15" customHeight="1">
      <c r="A351" s="15" t="s">
        <v>26</v>
      </c>
      <c r="B351" s="15" t="s">
        <v>357</v>
      </c>
      <c r="C351" s="16">
        <v>0.55902777777777779</v>
      </c>
      <c r="D351" s="15" t="s">
        <v>34</v>
      </c>
      <c r="E351" s="15" t="s">
        <v>135</v>
      </c>
      <c r="F351" s="15" t="s">
        <v>456</v>
      </c>
      <c r="G351" s="298"/>
      <c r="H351" s="10"/>
      <c r="I351" s="11"/>
      <c r="J351" s="11"/>
      <c r="K351" s="11"/>
      <c r="L351" s="11"/>
      <c r="M351" s="11"/>
      <c r="N351" s="11"/>
      <c r="O351" s="12"/>
      <c r="P351" s="11"/>
      <c r="Q351" s="13"/>
      <c r="R351" s="14"/>
    </row>
    <row r="352" spans="1:18" ht="15" customHeight="1">
      <c r="A352" s="19" t="s">
        <v>359</v>
      </c>
      <c r="B352" s="19" t="s">
        <v>445</v>
      </c>
      <c r="C352" s="20">
        <v>1.388888888888889E-2</v>
      </c>
      <c r="D352" s="19" t="s">
        <v>361</v>
      </c>
      <c r="E352" s="19" t="s">
        <v>80</v>
      </c>
      <c r="F352" s="19" t="s">
        <v>362</v>
      </c>
      <c r="G352" s="298"/>
      <c r="H352" s="10"/>
      <c r="I352" s="11"/>
      <c r="J352" s="11"/>
      <c r="K352" s="11"/>
      <c r="L352" s="11"/>
      <c r="M352" s="11"/>
      <c r="N352" s="11"/>
      <c r="O352" s="12"/>
      <c r="P352" s="11"/>
      <c r="Q352" s="13"/>
      <c r="R352" s="14"/>
    </row>
    <row r="353" spans="1:18" ht="15" customHeight="1">
      <c r="A353" s="15" t="s">
        <v>359</v>
      </c>
      <c r="B353" s="15" t="s">
        <v>445</v>
      </c>
      <c r="C353" s="16">
        <v>1.388888888888889E-2</v>
      </c>
      <c r="D353" s="15" t="s">
        <v>46</v>
      </c>
      <c r="E353" s="15" t="s">
        <v>82</v>
      </c>
      <c r="F353" s="15" t="s">
        <v>363</v>
      </c>
      <c r="G353" s="298"/>
      <c r="H353" s="10"/>
      <c r="I353" s="11"/>
      <c r="J353" s="11"/>
      <c r="K353" s="11"/>
      <c r="L353" s="11"/>
      <c r="M353" s="11"/>
      <c r="N353" s="11"/>
      <c r="O353" s="12"/>
      <c r="P353" s="11"/>
      <c r="Q353" s="13"/>
      <c r="R353" s="14"/>
    </row>
    <row r="354" spans="1:18" ht="15" customHeight="1">
      <c r="A354" s="17" t="s">
        <v>359</v>
      </c>
      <c r="B354" s="17" t="s">
        <v>360</v>
      </c>
      <c r="C354" s="18">
        <v>0.22569444444444439</v>
      </c>
      <c r="D354" s="17" t="s">
        <v>361</v>
      </c>
      <c r="E354" s="17" t="s">
        <v>90</v>
      </c>
      <c r="F354" s="17" t="s">
        <v>468</v>
      </c>
      <c r="G354" s="298"/>
      <c r="H354" s="10"/>
      <c r="I354" s="11"/>
      <c r="J354" s="11"/>
      <c r="K354" s="11"/>
      <c r="L354" s="11"/>
      <c r="M354" s="11"/>
      <c r="N354" s="11"/>
      <c r="O354" s="12"/>
      <c r="P354" s="11"/>
      <c r="Q354" s="13"/>
      <c r="R354" s="14"/>
    </row>
    <row r="355" spans="1:18" ht="15" customHeight="1">
      <c r="A355" s="15" t="s">
        <v>359</v>
      </c>
      <c r="B355" s="15" t="s">
        <v>360</v>
      </c>
      <c r="C355" s="16">
        <v>0.22569444444444439</v>
      </c>
      <c r="D355" s="15" t="s">
        <v>469</v>
      </c>
      <c r="E355" s="15" t="s">
        <v>82</v>
      </c>
      <c r="F355" s="15" t="s">
        <v>468</v>
      </c>
      <c r="G355" s="298"/>
      <c r="H355" s="10"/>
      <c r="I355" s="11"/>
      <c r="J355" s="11"/>
      <c r="K355" s="11"/>
      <c r="L355" s="11"/>
      <c r="M355" s="11"/>
      <c r="N355" s="11"/>
      <c r="O355" s="12"/>
      <c r="P355" s="11"/>
      <c r="Q355" s="13"/>
      <c r="R355" s="14"/>
    </row>
    <row r="356" spans="1:18" ht="15" customHeight="1">
      <c r="A356" s="15" t="s">
        <v>359</v>
      </c>
      <c r="B356" s="15" t="s">
        <v>360</v>
      </c>
      <c r="C356" s="16">
        <v>0.22569444444444439</v>
      </c>
      <c r="D356" s="15" t="s">
        <v>46</v>
      </c>
      <c r="E356" s="15" t="s">
        <v>82</v>
      </c>
      <c r="F356" s="15" t="s">
        <v>470</v>
      </c>
      <c r="G356" s="298"/>
      <c r="H356" s="10"/>
      <c r="I356" s="11"/>
      <c r="J356" s="11"/>
      <c r="K356" s="11"/>
      <c r="L356" s="11"/>
      <c r="M356" s="11"/>
      <c r="N356" s="11"/>
      <c r="O356" s="12"/>
      <c r="P356" s="11"/>
      <c r="Q356" s="13"/>
      <c r="R356" s="14"/>
    </row>
    <row r="357" spans="1:18" ht="15" customHeight="1">
      <c r="A357" s="87" t="s">
        <v>61</v>
      </c>
      <c r="B357" s="87" t="s">
        <v>432</v>
      </c>
      <c r="C357" s="88">
        <v>0.80208333333333337</v>
      </c>
      <c r="D357" s="87" t="s">
        <v>63</v>
      </c>
      <c r="E357" s="87" t="s">
        <v>156</v>
      </c>
      <c r="F357" s="87" t="s">
        <v>365</v>
      </c>
      <c r="G357" s="298"/>
      <c r="H357" s="89" t="s">
        <v>433</v>
      </c>
      <c r="I357" s="90">
        <v>2.7799999999999998E-2</v>
      </c>
      <c r="J357" s="91">
        <v>5</v>
      </c>
      <c r="K357" s="92">
        <v>46332</v>
      </c>
      <c r="L357" s="91">
        <v>5</v>
      </c>
      <c r="M357" s="91">
        <v>0</v>
      </c>
      <c r="N357" s="91">
        <v>0</v>
      </c>
      <c r="O357" s="93" t="s">
        <v>430</v>
      </c>
      <c r="P357" s="94">
        <v>0.80208333333333337</v>
      </c>
      <c r="Q357" s="91">
        <v>180</v>
      </c>
      <c r="R357" s="95" t="s">
        <v>431</v>
      </c>
    </row>
    <row r="358" spans="1:18" ht="15" customHeight="1">
      <c r="A358" s="148" t="s">
        <v>61</v>
      </c>
      <c r="B358" s="148" t="s">
        <v>377</v>
      </c>
      <c r="C358" s="149">
        <v>0.4375</v>
      </c>
      <c r="D358" s="148" t="s">
        <v>63</v>
      </c>
      <c r="E358" s="148" t="s">
        <v>134</v>
      </c>
      <c r="F358" s="148" t="s">
        <v>365</v>
      </c>
      <c r="G358" s="298"/>
      <c r="H358" s="51" t="s">
        <v>378</v>
      </c>
      <c r="I358" s="52">
        <v>2.7799999999999998E-2</v>
      </c>
      <c r="J358" s="53">
        <v>5</v>
      </c>
      <c r="K358" s="54">
        <v>46343</v>
      </c>
      <c r="L358" s="53">
        <v>5</v>
      </c>
      <c r="M358" s="53">
        <v>0</v>
      </c>
      <c r="N358" s="53">
        <v>0</v>
      </c>
      <c r="O358" s="55" t="s">
        <v>430</v>
      </c>
      <c r="P358" s="56">
        <v>0.4375</v>
      </c>
      <c r="Q358" s="53">
        <v>180</v>
      </c>
      <c r="R358" s="57" t="s">
        <v>431</v>
      </c>
    </row>
    <row r="359" spans="1:18" ht="15" customHeight="1">
      <c r="A359" s="152" t="s">
        <v>61</v>
      </c>
      <c r="B359" s="152" t="s">
        <v>375</v>
      </c>
      <c r="C359" s="153">
        <v>0.24652777777777779</v>
      </c>
      <c r="D359" s="152" t="s">
        <v>63</v>
      </c>
      <c r="E359" s="152" t="s">
        <v>98</v>
      </c>
      <c r="F359" s="152" t="s">
        <v>449</v>
      </c>
      <c r="G359" s="298"/>
      <c r="H359" s="100" t="s">
        <v>376</v>
      </c>
      <c r="I359" s="101">
        <v>0.1222</v>
      </c>
      <c r="J359" s="102">
        <v>22</v>
      </c>
      <c r="K359" s="103">
        <v>46343</v>
      </c>
      <c r="L359" s="102">
        <v>24</v>
      </c>
      <c r="M359" s="102">
        <v>0</v>
      </c>
      <c r="N359" s="102">
        <v>0</v>
      </c>
      <c r="O359" s="104" t="s">
        <v>471</v>
      </c>
      <c r="P359" s="105">
        <v>0.24652777777777779</v>
      </c>
      <c r="Q359" s="102">
        <v>180</v>
      </c>
      <c r="R359" s="106" t="s">
        <v>472</v>
      </c>
    </row>
    <row r="360" spans="1:18" ht="15" customHeight="1">
      <c r="A360" s="19" t="s">
        <v>48</v>
      </c>
      <c r="B360" s="19" t="s">
        <v>386</v>
      </c>
      <c r="C360" s="20">
        <v>0.82986111111111116</v>
      </c>
      <c r="D360" s="19" t="s">
        <v>50</v>
      </c>
      <c r="E360" s="19" t="s">
        <v>51</v>
      </c>
      <c r="F360" s="19" t="s">
        <v>383</v>
      </c>
      <c r="G360" s="298"/>
      <c r="H360" s="10"/>
      <c r="I360" s="11"/>
      <c r="J360" s="11"/>
      <c r="K360" s="11"/>
      <c r="L360" s="11"/>
      <c r="M360" s="11"/>
      <c r="N360" s="11"/>
      <c r="O360" s="12"/>
      <c r="P360" s="11"/>
      <c r="Q360" s="13"/>
      <c r="R360" s="14"/>
    </row>
    <row r="361" spans="1:18" ht="15" customHeight="1">
      <c r="A361" s="15" t="s">
        <v>48</v>
      </c>
      <c r="B361" s="15" t="s">
        <v>386</v>
      </c>
      <c r="C361" s="16">
        <v>0.82986111111111116</v>
      </c>
      <c r="D361" s="15" t="s">
        <v>53</v>
      </c>
      <c r="E361" s="15" t="s">
        <v>54</v>
      </c>
      <c r="F361" s="15" t="s">
        <v>384</v>
      </c>
      <c r="G361" s="298"/>
      <c r="H361" s="10"/>
      <c r="I361" s="11"/>
      <c r="J361" s="11"/>
      <c r="K361" s="11"/>
      <c r="L361" s="11"/>
      <c r="M361" s="11"/>
      <c r="N361" s="11"/>
      <c r="O361" s="12"/>
      <c r="P361" s="11"/>
      <c r="Q361" s="13"/>
      <c r="R361" s="14"/>
    </row>
    <row r="362" spans="1:18" ht="15" customHeight="1">
      <c r="A362" s="17" t="s">
        <v>48</v>
      </c>
      <c r="B362" s="17" t="s">
        <v>389</v>
      </c>
      <c r="C362" s="18">
        <v>0.70138888888888884</v>
      </c>
      <c r="D362" s="17" t="s">
        <v>50</v>
      </c>
      <c r="E362" s="17" t="s">
        <v>57</v>
      </c>
      <c r="F362" s="17" t="s">
        <v>383</v>
      </c>
      <c r="G362" s="298"/>
      <c r="H362" s="10"/>
      <c r="I362" s="11"/>
      <c r="J362" s="11"/>
      <c r="K362" s="11"/>
      <c r="L362" s="11"/>
      <c r="M362" s="11"/>
      <c r="N362" s="11"/>
      <c r="O362" s="12"/>
      <c r="P362" s="11"/>
      <c r="Q362" s="13"/>
      <c r="R362" s="14"/>
    </row>
    <row r="363" spans="1:18" ht="15" customHeight="1">
      <c r="A363" s="15" t="s">
        <v>48</v>
      </c>
      <c r="B363" s="15" t="s">
        <v>389</v>
      </c>
      <c r="C363" s="16">
        <v>0.70138888888888884</v>
      </c>
      <c r="D363" s="15" t="s">
        <v>53</v>
      </c>
      <c r="E363" s="15" t="s">
        <v>54</v>
      </c>
      <c r="F363" s="15" t="s">
        <v>384</v>
      </c>
      <c r="G363" s="298"/>
      <c r="H363" s="10"/>
      <c r="I363" s="11"/>
      <c r="J363" s="11"/>
      <c r="K363" s="11"/>
      <c r="L363" s="11"/>
      <c r="M363" s="11"/>
      <c r="N363" s="11"/>
      <c r="O363" s="12"/>
      <c r="P363" s="11"/>
      <c r="Q363" s="13"/>
      <c r="R363" s="14"/>
    </row>
    <row r="364" spans="1:18" ht="15" customHeight="1">
      <c r="A364" s="17" t="s">
        <v>48</v>
      </c>
      <c r="B364" s="17" t="s">
        <v>388</v>
      </c>
      <c r="C364" s="18">
        <v>0.72222222222222221</v>
      </c>
      <c r="D364" s="17" t="s">
        <v>50</v>
      </c>
      <c r="E364" s="17" t="s">
        <v>57</v>
      </c>
      <c r="F364" s="17" t="s">
        <v>79</v>
      </c>
      <c r="G364" s="298"/>
      <c r="H364" s="10"/>
      <c r="I364" s="11"/>
      <c r="J364" s="11"/>
      <c r="K364" s="11"/>
      <c r="L364" s="11"/>
      <c r="M364" s="11"/>
      <c r="N364" s="11"/>
      <c r="O364" s="12"/>
      <c r="P364" s="11"/>
      <c r="Q364" s="13"/>
      <c r="R364" s="14"/>
    </row>
    <row r="365" spans="1:18" ht="15" customHeight="1">
      <c r="A365" s="15" t="s">
        <v>48</v>
      </c>
      <c r="B365" s="15" t="s">
        <v>388</v>
      </c>
      <c r="C365" s="16">
        <v>0.72222222222222221</v>
      </c>
      <c r="D365" s="15" t="s">
        <v>53</v>
      </c>
      <c r="E365" s="15" t="s">
        <v>54</v>
      </c>
      <c r="F365" s="15" t="s">
        <v>387</v>
      </c>
      <c r="G365" s="298"/>
      <c r="H365" s="10"/>
      <c r="I365" s="11"/>
      <c r="J365" s="11"/>
      <c r="K365" s="11"/>
      <c r="L365" s="11"/>
      <c r="M365" s="11"/>
      <c r="N365" s="11"/>
      <c r="O365" s="12"/>
      <c r="P365" s="11"/>
      <c r="Q365" s="13"/>
      <c r="R365" s="14"/>
    </row>
    <row r="366" spans="1:18" ht="15" customHeight="1">
      <c r="A366" s="17" t="s">
        <v>48</v>
      </c>
      <c r="B366" s="17" t="s">
        <v>385</v>
      </c>
      <c r="C366" s="18">
        <v>0.94097222222222221</v>
      </c>
      <c r="D366" s="17" t="s">
        <v>50</v>
      </c>
      <c r="E366" s="17" t="s">
        <v>57</v>
      </c>
      <c r="F366" s="17" t="s">
        <v>79</v>
      </c>
      <c r="G366" s="298"/>
      <c r="H366" s="10"/>
      <c r="I366" s="11"/>
      <c r="J366" s="11"/>
      <c r="K366" s="11"/>
      <c r="L366" s="11"/>
      <c r="M366" s="11"/>
      <c r="N366" s="11"/>
      <c r="O366" s="12"/>
      <c r="P366" s="11"/>
      <c r="Q366" s="13"/>
      <c r="R366" s="14"/>
    </row>
    <row r="367" spans="1:18" ht="15" customHeight="1">
      <c r="A367" s="15" t="s">
        <v>48</v>
      </c>
      <c r="B367" s="15" t="s">
        <v>385</v>
      </c>
      <c r="C367" s="16">
        <v>0.94097222222222221</v>
      </c>
      <c r="D367" s="15" t="s">
        <v>53</v>
      </c>
      <c r="E367" s="15" t="s">
        <v>54</v>
      </c>
      <c r="F367" s="15" t="s">
        <v>387</v>
      </c>
      <c r="G367" s="298"/>
      <c r="H367" s="10"/>
      <c r="I367" s="11"/>
      <c r="J367" s="11"/>
      <c r="K367" s="11"/>
      <c r="L367" s="11"/>
      <c r="M367" s="11"/>
      <c r="N367" s="11"/>
      <c r="O367" s="12"/>
      <c r="P367" s="11"/>
      <c r="Q367" s="13"/>
      <c r="R367" s="14"/>
    </row>
    <row r="368" spans="1:18" ht="15" customHeight="1">
      <c r="A368" s="17" t="s">
        <v>48</v>
      </c>
      <c r="B368" s="17" t="s">
        <v>382</v>
      </c>
      <c r="C368" s="18">
        <v>0.11805555555555559</v>
      </c>
      <c r="D368" s="17" t="s">
        <v>50</v>
      </c>
      <c r="E368" s="17" t="s">
        <v>57</v>
      </c>
      <c r="F368" s="17" t="s">
        <v>462</v>
      </c>
      <c r="G368" s="298"/>
      <c r="H368" s="10"/>
      <c r="I368" s="11"/>
      <c r="J368" s="11"/>
      <c r="K368" s="11"/>
      <c r="L368" s="11"/>
      <c r="M368" s="11"/>
      <c r="N368" s="11"/>
      <c r="O368" s="12"/>
      <c r="P368" s="11"/>
      <c r="Q368" s="13"/>
      <c r="R368" s="14"/>
    </row>
    <row r="369" spans="1:18" ht="15" customHeight="1">
      <c r="A369" s="15" t="s">
        <v>48</v>
      </c>
      <c r="B369" s="15" t="s">
        <v>382</v>
      </c>
      <c r="C369" s="16">
        <v>0.11805555555555559</v>
      </c>
      <c r="D369" s="15" t="s">
        <v>53</v>
      </c>
      <c r="E369" s="15" t="s">
        <v>54</v>
      </c>
      <c r="F369" s="15" t="s">
        <v>463</v>
      </c>
      <c r="G369" s="298"/>
      <c r="H369" s="10"/>
      <c r="I369" s="11"/>
      <c r="J369" s="11"/>
      <c r="K369" s="11"/>
      <c r="L369" s="11"/>
      <c r="M369" s="11"/>
      <c r="N369" s="11"/>
      <c r="O369" s="12"/>
      <c r="P369" s="11"/>
      <c r="Q369" s="13"/>
      <c r="R369" s="14"/>
    </row>
    <row r="370" spans="1:18" ht="15" customHeight="1">
      <c r="A370" s="17" t="s">
        <v>48</v>
      </c>
      <c r="B370" s="17" t="s">
        <v>390</v>
      </c>
      <c r="C370" s="18">
        <v>4.1666666666666657E-2</v>
      </c>
      <c r="D370" s="17" t="s">
        <v>50</v>
      </c>
      <c r="E370" s="17" t="s">
        <v>57</v>
      </c>
      <c r="F370" s="17" t="s">
        <v>462</v>
      </c>
      <c r="G370" s="298"/>
      <c r="H370" s="10"/>
      <c r="I370" s="11"/>
      <c r="J370" s="11"/>
      <c r="K370" s="11"/>
      <c r="L370" s="11"/>
      <c r="M370" s="11"/>
      <c r="N370" s="11"/>
      <c r="O370" s="12"/>
      <c r="P370" s="11"/>
      <c r="Q370" s="13"/>
      <c r="R370" s="14"/>
    </row>
    <row r="371" spans="1:18" ht="15" customHeight="1">
      <c r="A371" s="15" t="s">
        <v>48</v>
      </c>
      <c r="B371" s="15" t="s">
        <v>390</v>
      </c>
      <c r="C371" s="16">
        <v>4.1666666666666657E-2</v>
      </c>
      <c r="D371" s="15" t="s">
        <v>53</v>
      </c>
      <c r="E371" s="15" t="s">
        <v>54</v>
      </c>
      <c r="F371" s="15" t="s">
        <v>463</v>
      </c>
      <c r="G371" s="298"/>
      <c r="H371" s="10"/>
      <c r="I371" s="11"/>
      <c r="J371" s="11"/>
      <c r="K371" s="11"/>
      <c r="L371" s="11"/>
      <c r="M371" s="11"/>
      <c r="N371" s="11"/>
      <c r="O371" s="12"/>
      <c r="P371" s="11"/>
      <c r="Q371" s="13"/>
      <c r="R371" s="14"/>
    </row>
    <row r="372" spans="1:18" ht="15" customHeight="1">
      <c r="A372" s="17" t="s">
        <v>48</v>
      </c>
      <c r="B372" s="17" t="s">
        <v>400</v>
      </c>
      <c r="C372" s="18">
        <v>0.25347222222222221</v>
      </c>
      <c r="D372" s="17" t="s">
        <v>50</v>
      </c>
      <c r="E372" s="17" t="s">
        <v>57</v>
      </c>
      <c r="F372" s="17" t="s">
        <v>392</v>
      </c>
      <c r="G372" s="298"/>
      <c r="H372" s="10"/>
      <c r="I372" s="11"/>
      <c r="J372" s="11"/>
      <c r="K372" s="11"/>
      <c r="L372" s="11"/>
      <c r="M372" s="11"/>
      <c r="N372" s="11"/>
      <c r="O372" s="12"/>
      <c r="P372" s="11"/>
      <c r="Q372" s="13"/>
      <c r="R372" s="14"/>
    </row>
    <row r="373" spans="1:18" ht="15" customHeight="1">
      <c r="A373" s="15" t="s">
        <v>48</v>
      </c>
      <c r="B373" s="15" t="s">
        <v>400</v>
      </c>
      <c r="C373" s="16">
        <v>0.25347222222222221</v>
      </c>
      <c r="D373" s="15" t="s">
        <v>53</v>
      </c>
      <c r="E373" s="15" t="s">
        <v>54</v>
      </c>
      <c r="F373" s="15" t="s">
        <v>393</v>
      </c>
      <c r="G373" s="298"/>
      <c r="H373" s="10"/>
      <c r="I373" s="11"/>
      <c r="J373" s="11"/>
      <c r="K373" s="11"/>
      <c r="L373" s="11"/>
      <c r="M373" s="11"/>
      <c r="N373" s="11"/>
      <c r="O373" s="12"/>
      <c r="P373" s="11"/>
      <c r="Q373" s="13"/>
      <c r="R373" s="14"/>
    </row>
    <row r="374" spans="1:18" ht="15" customHeight="1">
      <c r="A374" s="17" t="s">
        <v>48</v>
      </c>
      <c r="B374" s="17" t="s">
        <v>394</v>
      </c>
      <c r="C374" s="18">
        <v>0.98958333333333337</v>
      </c>
      <c r="D374" s="17" t="s">
        <v>53</v>
      </c>
      <c r="E374" s="17" t="s">
        <v>37</v>
      </c>
      <c r="F374" s="17" t="s">
        <v>395</v>
      </c>
      <c r="G374" s="298"/>
      <c r="H374" s="10"/>
      <c r="I374" s="11"/>
      <c r="J374" s="11"/>
      <c r="K374" s="11"/>
      <c r="L374" s="11"/>
      <c r="M374" s="11"/>
      <c r="N374" s="11"/>
      <c r="O374" s="12"/>
      <c r="P374" s="11"/>
      <c r="Q374" s="13"/>
      <c r="R374" s="14"/>
    </row>
    <row r="375" spans="1:18" ht="15" customHeight="1">
      <c r="A375" s="17" t="s">
        <v>48</v>
      </c>
      <c r="B375" s="17" t="s">
        <v>398</v>
      </c>
      <c r="C375" s="18">
        <v>0.39930555555555558</v>
      </c>
      <c r="D375" s="17" t="s">
        <v>53</v>
      </c>
      <c r="E375" s="17" t="s">
        <v>37</v>
      </c>
      <c r="F375" s="17" t="s">
        <v>395</v>
      </c>
      <c r="G375" s="298"/>
      <c r="H375" s="10"/>
      <c r="I375" s="11"/>
      <c r="J375" s="11"/>
      <c r="K375" s="11"/>
      <c r="L375" s="11"/>
      <c r="M375" s="11"/>
      <c r="N375" s="11"/>
      <c r="O375" s="12"/>
      <c r="P375" s="11"/>
      <c r="Q375" s="13"/>
      <c r="R375" s="14"/>
    </row>
    <row r="376" spans="1:18" ht="15" customHeight="1">
      <c r="A376" s="17" t="s">
        <v>48</v>
      </c>
      <c r="B376" s="17" t="s">
        <v>396</v>
      </c>
      <c r="C376" s="18">
        <v>0.48958333333333331</v>
      </c>
      <c r="D376" s="17" t="s">
        <v>53</v>
      </c>
      <c r="E376" s="17" t="s">
        <v>37</v>
      </c>
      <c r="F376" s="17" t="s">
        <v>395</v>
      </c>
      <c r="G376" s="298"/>
      <c r="H376" s="10"/>
      <c r="I376" s="11"/>
      <c r="J376" s="11"/>
      <c r="K376" s="11"/>
      <c r="L376" s="11"/>
      <c r="M376" s="11"/>
      <c r="N376" s="11"/>
      <c r="O376" s="12"/>
      <c r="P376" s="11"/>
      <c r="Q376" s="13"/>
      <c r="R376" s="14"/>
    </row>
    <row r="377" spans="1:18" ht="15" customHeight="1">
      <c r="A377" s="17" t="s">
        <v>48</v>
      </c>
      <c r="B377" s="17" t="s">
        <v>397</v>
      </c>
      <c r="C377" s="18">
        <v>0.88888888888888884</v>
      </c>
      <c r="D377" s="17" t="s">
        <v>53</v>
      </c>
      <c r="E377" s="17" t="s">
        <v>37</v>
      </c>
      <c r="F377" s="17" t="s">
        <v>399</v>
      </c>
      <c r="G377" s="298"/>
      <c r="H377" s="10"/>
      <c r="I377" s="11"/>
      <c r="J377" s="11"/>
      <c r="K377" s="11"/>
      <c r="L377" s="11"/>
      <c r="M377" s="11"/>
      <c r="N377" s="11"/>
      <c r="O377" s="12"/>
      <c r="P377" s="11"/>
      <c r="Q377" s="13"/>
      <c r="R377" s="14"/>
    </row>
    <row r="378" spans="1:18" ht="15" customHeight="1">
      <c r="A378" s="17" t="s">
        <v>48</v>
      </c>
      <c r="B378" s="17" t="s">
        <v>391</v>
      </c>
      <c r="C378" s="18">
        <v>0.48958333333333331</v>
      </c>
      <c r="D378" s="17" t="s">
        <v>53</v>
      </c>
      <c r="E378" s="17" t="s">
        <v>57</v>
      </c>
      <c r="F378" s="17" t="s">
        <v>401</v>
      </c>
      <c r="G378" s="298"/>
      <c r="H378" s="10"/>
      <c r="I378" s="11"/>
      <c r="J378" s="11"/>
      <c r="K378" s="11"/>
      <c r="L378" s="11"/>
      <c r="M378" s="11"/>
      <c r="N378" s="11"/>
      <c r="O378" s="12"/>
      <c r="P378" s="11"/>
      <c r="Q378" s="13"/>
      <c r="R378" s="14"/>
    </row>
    <row r="379" spans="1:18" ht="15" customHeight="1">
      <c r="A379" s="19" t="s">
        <v>402</v>
      </c>
      <c r="B379" s="19" t="s">
        <v>403</v>
      </c>
      <c r="C379" s="20">
        <v>0.49305555555555558</v>
      </c>
      <c r="D379" s="19" t="s">
        <v>63</v>
      </c>
      <c r="E379" s="19" t="s">
        <v>103</v>
      </c>
      <c r="F379" s="19" t="s">
        <v>404</v>
      </c>
      <c r="G379" s="298"/>
      <c r="H379" s="10"/>
      <c r="I379" s="11"/>
      <c r="J379" s="11"/>
      <c r="K379" s="11"/>
      <c r="L379" s="11"/>
      <c r="M379" s="11"/>
      <c r="N379" s="11"/>
      <c r="O379" s="12"/>
      <c r="P379" s="11"/>
      <c r="Q379" s="13"/>
      <c r="R379" s="14"/>
    </row>
    <row r="380" spans="1:18" ht="15" customHeight="1">
      <c r="A380" s="17" t="s">
        <v>402</v>
      </c>
      <c r="B380" s="17" t="s">
        <v>465</v>
      </c>
      <c r="C380" s="18">
        <v>0.13541666666666671</v>
      </c>
      <c r="D380" s="17" t="s">
        <v>63</v>
      </c>
      <c r="E380" s="17" t="s">
        <v>98</v>
      </c>
      <c r="F380" s="17" t="s">
        <v>404</v>
      </c>
      <c r="G380" s="298"/>
      <c r="H380" s="10"/>
      <c r="I380" s="11"/>
      <c r="J380" s="11"/>
      <c r="K380" s="11"/>
      <c r="L380" s="11"/>
      <c r="M380" s="11"/>
      <c r="N380" s="11"/>
      <c r="O380" s="12"/>
      <c r="P380" s="11"/>
      <c r="Q380" s="13"/>
      <c r="R380" s="14"/>
    </row>
    <row r="381" spans="1:18" ht="15" customHeight="1">
      <c r="A381" s="17" t="s">
        <v>402</v>
      </c>
      <c r="B381" s="17" t="s">
        <v>473</v>
      </c>
      <c r="C381" s="18">
        <v>0.86805555555555547</v>
      </c>
      <c r="D381" s="17" t="s">
        <v>63</v>
      </c>
      <c r="E381" s="17" t="s">
        <v>98</v>
      </c>
      <c r="F381" s="17" t="s">
        <v>404</v>
      </c>
      <c r="G381" s="298"/>
      <c r="H381" s="10"/>
      <c r="I381" s="11"/>
      <c r="J381" s="11"/>
      <c r="K381" s="11"/>
      <c r="L381" s="11"/>
      <c r="M381" s="11"/>
      <c r="N381" s="11"/>
      <c r="O381" s="12"/>
      <c r="P381" s="11"/>
      <c r="Q381" s="13"/>
      <c r="R381" s="14"/>
    </row>
    <row r="382" spans="1:18" ht="15" customHeight="1">
      <c r="A382" s="19" t="s">
        <v>68</v>
      </c>
      <c r="B382" s="19" t="s">
        <v>408</v>
      </c>
      <c r="C382" s="20">
        <v>0.97222222222222221</v>
      </c>
      <c r="D382" s="19" t="s">
        <v>70</v>
      </c>
      <c r="E382" s="19" t="s">
        <v>51</v>
      </c>
      <c r="F382" s="19" t="s">
        <v>406</v>
      </c>
      <c r="G382" s="298"/>
      <c r="H382" s="10"/>
      <c r="I382" s="11"/>
      <c r="J382" s="11"/>
      <c r="K382" s="11"/>
      <c r="L382" s="11"/>
      <c r="M382" s="11"/>
      <c r="N382" s="11"/>
      <c r="O382" s="12"/>
      <c r="P382" s="11"/>
      <c r="Q382" s="13"/>
      <c r="R382" s="14"/>
    </row>
    <row r="383" spans="1:18" ht="15" customHeight="1">
      <c r="A383" s="17" t="s">
        <v>68</v>
      </c>
      <c r="B383" s="17" t="s">
        <v>411</v>
      </c>
      <c r="C383" s="18">
        <v>0.78472222222222221</v>
      </c>
      <c r="D383" s="17" t="s">
        <v>70</v>
      </c>
      <c r="E383" s="17" t="s">
        <v>57</v>
      </c>
      <c r="F383" s="17" t="s">
        <v>406</v>
      </c>
      <c r="G383" s="298"/>
      <c r="H383" s="10"/>
      <c r="I383" s="11"/>
      <c r="J383" s="11"/>
      <c r="K383" s="11"/>
      <c r="L383" s="11"/>
      <c r="M383" s="11"/>
      <c r="N383" s="11"/>
      <c r="O383" s="12"/>
      <c r="P383" s="11"/>
      <c r="Q383" s="13"/>
      <c r="R383" s="14"/>
    </row>
    <row r="384" spans="1:18" ht="15" customHeight="1">
      <c r="A384" s="17" t="s">
        <v>68</v>
      </c>
      <c r="B384" s="17" t="s">
        <v>410</v>
      </c>
      <c r="C384" s="18">
        <v>0.59722222222222221</v>
      </c>
      <c r="D384" s="17" t="s">
        <v>70</v>
      </c>
      <c r="E384" s="17" t="s">
        <v>57</v>
      </c>
      <c r="F384" s="17" t="s">
        <v>406</v>
      </c>
      <c r="G384" s="298"/>
      <c r="H384" s="10"/>
      <c r="I384" s="11"/>
      <c r="J384" s="11"/>
      <c r="K384" s="11"/>
      <c r="L384" s="11"/>
      <c r="M384" s="11"/>
      <c r="N384" s="11"/>
      <c r="O384" s="12"/>
      <c r="P384" s="11"/>
      <c r="Q384" s="13"/>
      <c r="R384" s="14"/>
    </row>
    <row r="385" spans="1:18" ht="15" customHeight="1">
      <c r="A385" s="17" t="s">
        <v>68</v>
      </c>
      <c r="B385" s="17" t="s">
        <v>405</v>
      </c>
      <c r="C385" s="18">
        <v>0.83680555555555547</v>
      </c>
      <c r="D385" s="17" t="s">
        <v>70</v>
      </c>
      <c r="E385" s="17" t="s">
        <v>57</v>
      </c>
      <c r="F385" s="17" t="s">
        <v>466</v>
      </c>
      <c r="G385" s="298"/>
      <c r="H385" s="10"/>
      <c r="I385" s="11"/>
      <c r="J385" s="11"/>
      <c r="K385" s="11"/>
      <c r="L385" s="11"/>
      <c r="M385" s="11"/>
      <c r="N385" s="11"/>
      <c r="O385" s="12"/>
      <c r="P385" s="11"/>
      <c r="Q385" s="13"/>
      <c r="R385" s="14"/>
    </row>
    <row r="386" spans="1:18" ht="15" customHeight="1" thickBot="1">
      <c r="A386" s="30" t="s">
        <v>68</v>
      </c>
      <c r="B386" s="30" t="s">
        <v>437</v>
      </c>
      <c r="C386" s="31">
        <v>0.1041666666666667</v>
      </c>
      <c r="D386" s="30" t="s">
        <v>70</v>
      </c>
      <c r="E386" s="30" t="s">
        <v>57</v>
      </c>
      <c r="F386" s="30" t="s">
        <v>474</v>
      </c>
      <c r="G386" s="299"/>
      <c r="H386" s="300"/>
      <c r="I386" s="140"/>
      <c r="J386" s="140"/>
      <c r="K386" s="140"/>
      <c r="L386" s="140"/>
      <c r="M386" s="140"/>
      <c r="N386" s="140"/>
      <c r="O386" s="141"/>
      <c r="P386" s="140"/>
      <c r="Q386" s="142"/>
      <c r="R386" s="301"/>
    </row>
    <row r="387" spans="1:18" ht="17.45" customHeight="1" thickBot="1">
      <c r="A387" s="283"/>
      <c r="B387" s="284"/>
      <c r="C387" s="284"/>
      <c r="D387" s="284"/>
      <c r="E387" s="284"/>
      <c r="F387" s="284"/>
      <c r="G387" s="284"/>
      <c r="H387" s="284"/>
      <c r="I387" s="284"/>
      <c r="J387" s="284"/>
      <c r="K387" s="284"/>
      <c r="L387" s="284"/>
      <c r="M387" s="284"/>
      <c r="N387" s="284"/>
      <c r="O387" s="284"/>
      <c r="P387" s="284"/>
      <c r="Q387" s="284"/>
      <c r="R387" s="285"/>
    </row>
    <row r="388" spans="1:18" ht="22.15" customHeight="1" thickTop="1" thickBot="1">
      <c r="A388" s="279" t="s">
        <v>6</v>
      </c>
      <c r="B388" s="295"/>
      <c r="C388" s="295"/>
      <c r="D388" s="295"/>
      <c r="E388" s="295"/>
      <c r="F388" s="296"/>
      <c r="G388" s="32">
        <v>46028</v>
      </c>
      <c r="H388" s="278" t="s">
        <v>7</v>
      </c>
      <c r="I388" s="295"/>
      <c r="J388" s="295"/>
      <c r="K388" s="295"/>
      <c r="L388" s="295"/>
      <c r="M388" s="295"/>
      <c r="N388" s="295"/>
      <c r="O388" s="295"/>
      <c r="P388" s="295"/>
      <c r="Q388" s="295"/>
      <c r="R388" s="296"/>
    </row>
    <row r="389" spans="1:18" ht="24" customHeight="1">
      <c r="A389" s="33" t="s">
        <v>8</v>
      </c>
      <c r="B389" s="33" t="s">
        <v>9</v>
      </c>
      <c r="C389" s="34" t="s">
        <v>10</v>
      </c>
      <c r="D389" s="33" t="s">
        <v>11</v>
      </c>
      <c r="E389" s="33" t="s">
        <v>12</v>
      </c>
      <c r="F389" s="35" t="s">
        <v>13</v>
      </c>
      <c r="G389" s="36" t="s">
        <v>14</v>
      </c>
      <c r="H389" s="33" t="s">
        <v>15</v>
      </c>
      <c r="I389" s="37" t="s">
        <v>16</v>
      </c>
      <c r="J389" s="38" t="s">
        <v>17</v>
      </c>
      <c r="K389" s="39" t="s">
        <v>18</v>
      </c>
      <c r="L389" s="38" t="s">
        <v>19</v>
      </c>
      <c r="M389" s="38" t="s">
        <v>20</v>
      </c>
      <c r="N389" s="38" t="s">
        <v>21</v>
      </c>
      <c r="O389" s="33" t="s">
        <v>22</v>
      </c>
      <c r="P389" s="34" t="s">
        <v>23</v>
      </c>
      <c r="Q389" s="38" t="s">
        <v>24</v>
      </c>
      <c r="R389" s="33" t="s">
        <v>25</v>
      </c>
    </row>
    <row r="390" spans="1:18" ht="15" customHeight="1">
      <c r="A390" s="8" t="s">
        <v>38</v>
      </c>
      <c r="B390" s="8" t="s">
        <v>342</v>
      </c>
      <c r="C390" s="9">
        <v>0.48958333333333331</v>
      </c>
      <c r="D390" s="8" t="s">
        <v>40</v>
      </c>
      <c r="E390" s="8" t="s">
        <v>143</v>
      </c>
      <c r="F390" s="8" t="s">
        <v>475</v>
      </c>
      <c r="G390" s="297"/>
      <c r="H390" s="10"/>
      <c r="I390" s="11"/>
      <c r="J390" s="11"/>
      <c r="K390" s="11"/>
      <c r="L390" s="11"/>
      <c r="M390" s="11"/>
      <c r="N390" s="11"/>
      <c r="O390" s="12"/>
      <c r="P390" s="11"/>
      <c r="Q390" s="13"/>
      <c r="R390" s="14"/>
    </row>
    <row r="391" spans="1:18" ht="15" customHeight="1">
      <c r="A391" s="15" t="s">
        <v>38</v>
      </c>
      <c r="B391" s="15" t="s">
        <v>342</v>
      </c>
      <c r="C391" s="16">
        <v>0.48958333333333331</v>
      </c>
      <c r="D391" s="15" t="s">
        <v>43</v>
      </c>
      <c r="E391" s="15" t="s">
        <v>92</v>
      </c>
      <c r="F391" s="15" t="s">
        <v>121</v>
      </c>
      <c r="G391" s="298"/>
      <c r="H391" s="10"/>
      <c r="I391" s="11"/>
      <c r="J391" s="11"/>
      <c r="K391" s="11"/>
      <c r="L391" s="11"/>
      <c r="M391" s="11"/>
      <c r="N391" s="11"/>
      <c r="O391" s="12"/>
      <c r="P391" s="11"/>
      <c r="Q391" s="13"/>
      <c r="R391" s="14"/>
    </row>
    <row r="392" spans="1:18" ht="15" customHeight="1">
      <c r="A392" s="15" t="s">
        <v>38</v>
      </c>
      <c r="B392" s="15" t="s">
        <v>342</v>
      </c>
      <c r="C392" s="16">
        <v>0.48958333333333331</v>
      </c>
      <c r="D392" s="15" t="s">
        <v>46</v>
      </c>
      <c r="E392" s="15" t="s">
        <v>92</v>
      </c>
      <c r="F392" s="15" t="s">
        <v>47</v>
      </c>
      <c r="G392" s="298"/>
      <c r="H392" s="10"/>
      <c r="I392" s="11"/>
      <c r="J392" s="11"/>
      <c r="K392" s="11"/>
      <c r="L392" s="11"/>
      <c r="M392" s="11"/>
      <c r="N392" s="11"/>
      <c r="O392" s="12"/>
      <c r="P392" s="11"/>
      <c r="Q392" s="13"/>
      <c r="R392" s="14"/>
    </row>
    <row r="393" spans="1:18" ht="15" customHeight="1">
      <c r="A393" s="17" t="s">
        <v>38</v>
      </c>
      <c r="B393" s="17" t="s">
        <v>345</v>
      </c>
      <c r="C393" s="18">
        <v>0.98958333333333337</v>
      </c>
      <c r="D393" s="17" t="s">
        <v>40</v>
      </c>
      <c r="E393" s="17" t="s">
        <v>170</v>
      </c>
      <c r="F393" s="17" t="s">
        <v>343</v>
      </c>
      <c r="G393" s="298"/>
      <c r="H393" s="10"/>
      <c r="I393" s="11"/>
      <c r="J393" s="11"/>
      <c r="K393" s="11"/>
      <c r="L393" s="11"/>
      <c r="M393" s="11"/>
      <c r="N393" s="11"/>
      <c r="O393" s="12"/>
      <c r="P393" s="11"/>
      <c r="Q393" s="13"/>
      <c r="R393" s="14"/>
    </row>
    <row r="394" spans="1:18" ht="15" customHeight="1">
      <c r="A394" s="15" t="s">
        <v>38</v>
      </c>
      <c r="B394" s="15" t="s">
        <v>345</v>
      </c>
      <c r="C394" s="16">
        <v>0.98958333333333337</v>
      </c>
      <c r="D394" s="15" t="s">
        <v>43</v>
      </c>
      <c r="E394" s="15" t="s">
        <v>152</v>
      </c>
      <c r="F394" s="15" t="s">
        <v>33</v>
      </c>
      <c r="G394" s="298"/>
      <c r="H394" s="10"/>
      <c r="I394" s="11"/>
      <c r="J394" s="11"/>
      <c r="K394" s="11"/>
      <c r="L394" s="11"/>
      <c r="M394" s="11"/>
      <c r="N394" s="11"/>
      <c r="O394" s="12"/>
      <c r="P394" s="11"/>
      <c r="Q394" s="13"/>
      <c r="R394" s="14"/>
    </row>
    <row r="395" spans="1:18" ht="15" customHeight="1">
      <c r="A395" s="15" t="s">
        <v>38</v>
      </c>
      <c r="B395" s="15" t="s">
        <v>345</v>
      </c>
      <c r="C395" s="16">
        <v>0.98958333333333337</v>
      </c>
      <c r="D395" s="15" t="s">
        <v>46</v>
      </c>
      <c r="E395" s="15" t="s">
        <v>152</v>
      </c>
      <c r="F395" s="15" t="s">
        <v>47</v>
      </c>
      <c r="G395" s="298"/>
      <c r="H395" s="10"/>
      <c r="I395" s="11"/>
      <c r="J395" s="11"/>
      <c r="K395" s="11"/>
      <c r="L395" s="11"/>
      <c r="M395" s="11"/>
      <c r="N395" s="11"/>
      <c r="O395" s="12"/>
      <c r="P395" s="11"/>
      <c r="Q395" s="13"/>
      <c r="R395" s="14"/>
    </row>
    <row r="396" spans="1:18" ht="15" customHeight="1">
      <c r="A396" s="17" t="s">
        <v>38</v>
      </c>
      <c r="B396" s="17" t="s">
        <v>344</v>
      </c>
      <c r="C396" s="18">
        <v>0.88888888888888884</v>
      </c>
      <c r="D396" s="17" t="s">
        <v>40</v>
      </c>
      <c r="E396" s="17" t="s">
        <v>125</v>
      </c>
      <c r="F396" s="17" t="s">
        <v>30</v>
      </c>
      <c r="G396" s="298"/>
      <c r="H396" s="10"/>
      <c r="I396" s="11"/>
      <c r="J396" s="11"/>
      <c r="K396" s="11"/>
      <c r="L396" s="11"/>
      <c r="M396" s="11"/>
      <c r="N396" s="11"/>
      <c r="O396" s="12"/>
      <c r="P396" s="11"/>
      <c r="Q396" s="13"/>
      <c r="R396" s="14"/>
    </row>
    <row r="397" spans="1:18" ht="15" customHeight="1">
      <c r="A397" s="15" t="s">
        <v>38</v>
      </c>
      <c r="B397" s="15" t="s">
        <v>344</v>
      </c>
      <c r="C397" s="16">
        <v>0.88888888888888884</v>
      </c>
      <c r="D397" s="15" t="s">
        <v>43</v>
      </c>
      <c r="E397" s="15" t="s">
        <v>44</v>
      </c>
      <c r="F397" s="15" t="s">
        <v>420</v>
      </c>
      <c r="G397" s="298"/>
      <c r="H397" s="10"/>
      <c r="I397" s="11"/>
      <c r="J397" s="11"/>
      <c r="K397" s="11"/>
      <c r="L397" s="11"/>
      <c r="M397" s="11"/>
      <c r="N397" s="11"/>
      <c r="O397" s="12"/>
      <c r="P397" s="11"/>
      <c r="Q397" s="13"/>
      <c r="R397" s="14"/>
    </row>
    <row r="398" spans="1:18" ht="15" customHeight="1">
      <c r="A398" s="15" t="s">
        <v>38</v>
      </c>
      <c r="B398" s="15" t="s">
        <v>344</v>
      </c>
      <c r="C398" s="16">
        <v>0.88888888888888884</v>
      </c>
      <c r="D398" s="15" t="s">
        <v>46</v>
      </c>
      <c r="E398" s="15" t="s">
        <v>44</v>
      </c>
      <c r="F398" s="15" t="s">
        <v>47</v>
      </c>
      <c r="G398" s="298"/>
      <c r="H398" s="10"/>
      <c r="I398" s="11"/>
      <c r="J398" s="11"/>
      <c r="K398" s="11"/>
      <c r="L398" s="11"/>
      <c r="M398" s="11"/>
      <c r="N398" s="11"/>
      <c r="O398" s="12"/>
      <c r="P398" s="11"/>
      <c r="Q398" s="13"/>
      <c r="R398" s="14"/>
    </row>
    <row r="399" spans="1:18" ht="15" customHeight="1">
      <c r="A399" s="17" t="s">
        <v>38</v>
      </c>
      <c r="B399" s="17" t="s">
        <v>346</v>
      </c>
      <c r="C399" s="18">
        <v>0.39930555555555558</v>
      </c>
      <c r="D399" s="17" t="s">
        <v>40</v>
      </c>
      <c r="E399" s="17" t="s">
        <v>125</v>
      </c>
      <c r="F399" s="17" t="s">
        <v>347</v>
      </c>
      <c r="G399" s="298"/>
      <c r="H399" s="10"/>
      <c r="I399" s="11"/>
      <c r="J399" s="11"/>
      <c r="K399" s="11"/>
      <c r="L399" s="11"/>
      <c r="M399" s="11"/>
      <c r="N399" s="11"/>
      <c r="O399" s="12"/>
      <c r="P399" s="11"/>
      <c r="Q399" s="13"/>
      <c r="R399" s="14"/>
    </row>
    <row r="400" spans="1:18" ht="15" customHeight="1">
      <c r="A400" s="15" t="s">
        <v>38</v>
      </c>
      <c r="B400" s="15" t="s">
        <v>346</v>
      </c>
      <c r="C400" s="16">
        <v>0.39930555555555558</v>
      </c>
      <c r="D400" s="15" t="s">
        <v>43</v>
      </c>
      <c r="E400" s="15" t="s">
        <v>44</v>
      </c>
      <c r="F400" s="15" t="s">
        <v>138</v>
      </c>
      <c r="G400" s="298"/>
      <c r="H400" s="10"/>
      <c r="I400" s="11"/>
      <c r="J400" s="11"/>
      <c r="K400" s="11"/>
      <c r="L400" s="11"/>
      <c r="M400" s="11"/>
      <c r="N400" s="11"/>
      <c r="O400" s="12"/>
      <c r="P400" s="11"/>
      <c r="Q400" s="13"/>
      <c r="R400" s="14"/>
    </row>
    <row r="401" spans="1:18" ht="15" customHeight="1">
      <c r="A401" s="15" t="s">
        <v>38</v>
      </c>
      <c r="B401" s="15" t="s">
        <v>346</v>
      </c>
      <c r="C401" s="16">
        <v>0.39930555555555558</v>
      </c>
      <c r="D401" s="15" t="s">
        <v>46</v>
      </c>
      <c r="E401" s="15" t="s">
        <v>44</v>
      </c>
      <c r="F401" s="15" t="s">
        <v>47</v>
      </c>
      <c r="G401" s="298"/>
      <c r="H401" s="10"/>
      <c r="I401" s="11"/>
      <c r="J401" s="11"/>
      <c r="K401" s="11"/>
      <c r="L401" s="11"/>
      <c r="M401" s="11"/>
      <c r="N401" s="11"/>
      <c r="O401" s="12"/>
      <c r="P401" s="11"/>
      <c r="Q401" s="13"/>
      <c r="R401" s="14"/>
    </row>
    <row r="402" spans="1:18" ht="15" customHeight="1">
      <c r="A402" s="19" t="s">
        <v>26</v>
      </c>
      <c r="B402" s="19" t="s">
        <v>348</v>
      </c>
      <c r="C402" s="20">
        <v>0.99305555555555547</v>
      </c>
      <c r="D402" s="19" t="s">
        <v>28</v>
      </c>
      <c r="E402" s="19" t="s">
        <v>156</v>
      </c>
      <c r="F402" s="19" t="s">
        <v>131</v>
      </c>
      <c r="G402" s="298"/>
      <c r="H402" s="10"/>
      <c r="I402" s="11"/>
      <c r="J402" s="11"/>
      <c r="K402" s="11"/>
      <c r="L402" s="11"/>
      <c r="M402" s="11"/>
      <c r="N402" s="11"/>
      <c r="O402" s="12"/>
      <c r="P402" s="11"/>
      <c r="Q402" s="13"/>
      <c r="R402" s="14"/>
    </row>
    <row r="403" spans="1:18" ht="15" customHeight="1">
      <c r="A403" s="15" t="s">
        <v>26</v>
      </c>
      <c r="B403" s="15" t="s">
        <v>348</v>
      </c>
      <c r="C403" s="16">
        <v>0.99305555555555547</v>
      </c>
      <c r="D403" s="15" t="s">
        <v>31</v>
      </c>
      <c r="E403" s="15" t="s">
        <v>135</v>
      </c>
      <c r="F403" s="15" t="s">
        <v>349</v>
      </c>
      <c r="G403" s="298"/>
      <c r="H403" s="10"/>
      <c r="I403" s="11"/>
      <c r="J403" s="11"/>
      <c r="K403" s="11"/>
      <c r="L403" s="11"/>
      <c r="M403" s="11"/>
      <c r="N403" s="11"/>
      <c r="O403" s="12"/>
      <c r="P403" s="11"/>
      <c r="Q403" s="13"/>
      <c r="R403" s="14"/>
    </row>
    <row r="404" spans="1:18" ht="15" customHeight="1">
      <c r="A404" s="15" t="s">
        <v>26</v>
      </c>
      <c r="B404" s="15" t="s">
        <v>348</v>
      </c>
      <c r="C404" s="16">
        <v>0.99305555555555547</v>
      </c>
      <c r="D404" s="15" t="s">
        <v>34</v>
      </c>
      <c r="E404" s="15" t="s">
        <v>135</v>
      </c>
      <c r="F404" s="15" t="s">
        <v>138</v>
      </c>
      <c r="G404" s="298"/>
      <c r="H404" s="10"/>
      <c r="I404" s="11"/>
      <c r="J404" s="11"/>
      <c r="K404" s="11"/>
      <c r="L404" s="11"/>
      <c r="M404" s="11"/>
      <c r="N404" s="11"/>
      <c r="O404" s="12"/>
      <c r="P404" s="11"/>
      <c r="Q404" s="13"/>
      <c r="R404" s="14"/>
    </row>
    <row r="405" spans="1:18" ht="15" customHeight="1">
      <c r="A405" s="17" t="s">
        <v>26</v>
      </c>
      <c r="B405" s="17" t="s">
        <v>351</v>
      </c>
      <c r="C405" s="18">
        <v>0.83680555555555547</v>
      </c>
      <c r="D405" s="17" t="s">
        <v>28</v>
      </c>
      <c r="E405" s="17" t="s">
        <v>200</v>
      </c>
      <c r="F405" s="17" t="s">
        <v>131</v>
      </c>
      <c r="G405" s="298"/>
      <c r="H405" s="10"/>
      <c r="I405" s="11"/>
      <c r="J405" s="11"/>
      <c r="K405" s="11"/>
      <c r="L405" s="11"/>
      <c r="M405" s="11"/>
      <c r="N405" s="11"/>
      <c r="O405" s="12"/>
      <c r="P405" s="11"/>
      <c r="Q405" s="13"/>
      <c r="R405" s="14"/>
    </row>
    <row r="406" spans="1:18" ht="15" customHeight="1">
      <c r="A406" s="15" t="s">
        <v>26</v>
      </c>
      <c r="B406" s="15" t="s">
        <v>351</v>
      </c>
      <c r="C406" s="16">
        <v>0.83680555555555547</v>
      </c>
      <c r="D406" s="15" t="s">
        <v>31</v>
      </c>
      <c r="E406" s="15" t="s">
        <v>127</v>
      </c>
      <c r="F406" s="15" t="s">
        <v>349</v>
      </c>
      <c r="G406" s="298"/>
      <c r="H406" s="10"/>
      <c r="I406" s="11"/>
      <c r="J406" s="11"/>
      <c r="K406" s="11"/>
      <c r="L406" s="11"/>
      <c r="M406" s="11"/>
      <c r="N406" s="11"/>
      <c r="O406" s="12"/>
      <c r="P406" s="11"/>
      <c r="Q406" s="13"/>
      <c r="R406" s="14"/>
    </row>
    <row r="407" spans="1:18" ht="15" customHeight="1">
      <c r="A407" s="15" t="s">
        <v>26</v>
      </c>
      <c r="B407" s="15" t="s">
        <v>351</v>
      </c>
      <c r="C407" s="16">
        <v>0.83680555555555547</v>
      </c>
      <c r="D407" s="15" t="s">
        <v>34</v>
      </c>
      <c r="E407" s="15" t="s">
        <v>127</v>
      </c>
      <c r="F407" s="15" t="s">
        <v>138</v>
      </c>
      <c r="G407" s="298"/>
      <c r="H407" s="10"/>
      <c r="I407" s="11"/>
      <c r="J407" s="11"/>
      <c r="K407" s="11"/>
      <c r="L407" s="11"/>
      <c r="M407" s="11"/>
      <c r="N407" s="11"/>
      <c r="O407" s="12"/>
      <c r="P407" s="11"/>
      <c r="Q407" s="13"/>
      <c r="R407" s="14"/>
    </row>
    <row r="408" spans="1:18" ht="15" customHeight="1">
      <c r="A408" s="17" t="s">
        <v>26</v>
      </c>
      <c r="B408" s="17" t="s">
        <v>352</v>
      </c>
      <c r="C408" s="18">
        <v>0.94444444444444453</v>
      </c>
      <c r="D408" s="17" t="s">
        <v>28</v>
      </c>
      <c r="E408" s="17" t="s">
        <v>98</v>
      </c>
      <c r="F408" s="17" t="s">
        <v>131</v>
      </c>
      <c r="G408" s="298"/>
      <c r="H408" s="10"/>
      <c r="I408" s="11"/>
      <c r="J408" s="11"/>
      <c r="K408" s="11"/>
      <c r="L408" s="11"/>
      <c r="M408" s="11"/>
      <c r="N408" s="11"/>
      <c r="O408" s="12"/>
      <c r="P408" s="11"/>
      <c r="Q408" s="13"/>
      <c r="R408" s="14"/>
    </row>
    <row r="409" spans="1:18" ht="15" customHeight="1">
      <c r="A409" s="15" t="s">
        <v>26</v>
      </c>
      <c r="B409" s="15" t="s">
        <v>352</v>
      </c>
      <c r="C409" s="16">
        <v>0.94444444444444453</v>
      </c>
      <c r="D409" s="15" t="s">
        <v>31</v>
      </c>
      <c r="E409" s="15" t="s">
        <v>99</v>
      </c>
      <c r="F409" s="15" t="s">
        <v>349</v>
      </c>
      <c r="G409" s="298"/>
      <c r="H409" s="10"/>
      <c r="I409" s="11"/>
      <c r="J409" s="11"/>
      <c r="K409" s="11"/>
      <c r="L409" s="11"/>
      <c r="M409" s="11"/>
      <c r="N409" s="11"/>
      <c r="O409" s="12"/>
      <c r="P409" s="11"/>
      <c r="Q409" s="13"/>
      <c r="R409" s="14"/>
    </row>
    <row r="410" spans="1:18" ht="15" customHeight="1">
      <c r="A410" s="15" t="s">
        <v>26</v>
      </c>
      <c r="B410" s="15" t="s">
        <v>352</v>
      </c>
      <c r="C410" s="16">
        <v>0.94444444444444453</v>
      </c>
      <c r="D410" s="15" t="s">
        <v>34</v>
      </c>
      <c r="E410" s="15" t="s">
        <v>99</v>
      </c>
      <c r="F410" s="15" t="s">
        <v>138</v>
      </c>
      <c r="G410" s="298"/>
      <c r="H410" s="10"/>
      <c r="I410" s="11"/>
      <c r="J410" s="11"/>
      <c r="K410" s="11"/>
      <c r="L410" s="11"/>
      <c r="M410" s="11"/>
      <c r="N410" s="11"/>
      <c r="O410" s="12"/>
      <c r="P410" s="11"/>
      <c r="Q410" s="13"/>
      <c r="R410" s="14"/>
    </row>
    <row r="411" spans="1:18" ht="15" customHeight="1">
      <c r="A411" s="17" t="s">
        <v>26</v>
      </c>
      <c r="B411" s="17" t="s">
        <v>353</v>
      </c>
      <c r="C411" s="18">
        <v>0.88888888888888884</v>
      </c>
      <c r="D411" s="17" t="s">
        <v>28</v>
      </c>
      <c r="E411" s="17" t="s">
        <v>37</v>
      </c>
      <c r="F411" s="17" t="s">
        <v>131</v>
      </c>
      <c r="G411" s="298"/>
      <c r="H411" s="10"/>
      <c r="I411" s="11"/>
      <c r="J411" s="11"/>
      <c r="K411" s="11"/>
      <c r="L411" s="11"/>
      <c r="M411" s="11"/>
      <c r="N411" s="11"/>
      <c r="O411" s="12"/>
      <c r="P411" s="11"/>
      <c r="Q411" s="13"/>
      <c r="R411" s="14"/>
    </row>
    <row r="412" spans="1:18" ht="15" customHeight="1">
      <c r="A412" s="15" t="s">
        <v>26</v>
      </c>
      <c r="B412" s="15" t="s">
        <v>353</v>
      </c>
      <c r="C412" s="16">
        <v>0.88888888888888884</v>
      </c>
      <c r="D412" s="15" t="s">
        <v>31</v>
      </c>
      <c r="E412" s="15" t="s">
        <v>32</v>
      </c>
      <c r="F412" s="15" t="s">
        <v>349</v>
      </c>
      <c r="G412" s="298"/>
      <c r="H412" s="10"/>
      <c r="I412" s="11"/>
      <c r="J412" s="11"/>
      <c r="K412" s="11"/>
      <c r="L412" s="11"/>
      <c r="M412" s="11"/>
      <c r="N412" s="11"/>
      <c r="O412" s="12"/>
      <c r="P412" s="11"/>
      <c r="Q412" s="13"/>
      <c r="R412" s="14"/>
    </row>
    <row r="413" spans="1:18" ht="15" customHeight="1">
      <c r="A413" s="15" t="s">
        <v>26</v>
      </c>
      <c r="B413" s="15" t="s">
        <v>353</v>
      </c>
      <c r="C413" s="16">
        <v>0.88888888888888884</v>
      </c>
      <c r="D413" s="15" t="s">
        <v>34</v>
      </c>
      <c r="E413" s="15" t="s">
        <v>32</v>
      </c>
      <c r="F413" s="15" t="s">
        <v>138</v>
      </c>
      <c r="G413" s="298"/>
      <c r="H413" s="10"/>
      <c r="I413" s="11"/>
      <c r="J413" s="11"/>
      <c r="K413" s="11"/>
      <c r="L413" s="11"/>
      <c r="M413" s="11"/>
      <c r="N413" s="11"/>
      <c r="O413" s="12"/>
      <c r="P413" s="11"/>
      <c r="Q413" s="13"/>
      <c r="R413" s="14"/>
    </row>
    <row r="414" spans="1:18" ht="15" customHeight="1">
      <c r="A414" s="17" t="s">
        <v>26</v>
      </c>
      <c r="B414" s="17" t="s">
        <v>354</v>
      </c>
      <c r="C414" s="18">
        <v>0.34722222222222232</v>
      </c>
      <c r="D414" s="17" t="s">
        <v>28</v>
      </c>
      <c r="E414" s="17" t="s">
        <v>91</v>
      </c>
      <c r="F414" s="17" t="s">
        <v>83</v>
      </c>
      <c r="G414" s="298"/>
      <c r="H414" s="10"/>
      <c r="I414" s="11"/>
      <c r="J414" s="11"/>
      <c r="K414" s="11"/>
      <c r="L414" s="11"/>
      <c r="M414" s="11"/>
      <c r="N414" s="11"/>
      <c r="O414" s="12"/>
      <c r="P414" s="11"/>
      <c r="Q414" s="13"/>
      <c r="R414" s="14"/>
    </row>
    <row r="415" spans="1:18" ht="15" customHeight="1">
      <c r="A415" s="15" t="s">
        <v>26</v>
      </c>
      <c r="B415" s="15" t="s">
        <v>354</v>
      </c>
      <c r="C415" s="16">
        <v>0.34722222222222232</v>
      </c>
      <c r="D415" s="15" t="s">
        <v>31</v>
      </c>
      <c r="E415" s="15" t="s">
        <v>92</v>
      </c>
      <c r="F415" s="15" t="s">
        <v>159</v>
      </c>
      <c r="G415" s="298"/>
      <c r="H415" s="10"/>
      <c r="I415" s="11"/>
      <c r="J415" s="11"/>
      <c r="K415" s="11"/>
      <c r="L415" s="11"/>
      <c r="M415" s="11"/>
      <c r="N415" s="11"/>
      <c r="O415" s="12"/>
      <c r="P415" s="11"/>
      <c r="Q415" s="13"/>
      <c r="R415" s="14"/>
    </row>
    <row r="416" spans="1:18" ht="15" customHeight="1">
      <c r="A416" s="15" t="s">
        <v>26</v>
      </c>
      <c r="B416" s="15" t="s">
        <v>354</v>
      </c>
      <c r="C416" s="16">
        <v>0.34722222222222232</v>
      </c>
      <c r="D416" s="15" t="s">
        <v>34</v>
      </c>
      <c r="E416" s="15" t="s">
        <v>92</v>
      </c>
      <c r="F416" s="15" t="s">
        <v>355</v>
      </c>
      <c r="G416" s="298"/>
      <c r="H416" s="10"/>
      <c r="I416" s="11"/>
      <c r="J416" s="11"/>
      <c r="K416" s="11"/>
      <c r="L416" s="11"/>
      <c r="M416" s="11"/>
      <c r="N416" s="11"/>
      <c r="O416" s="12"/>
      <c r="P416" s="11"/>
      <c r="Q416" s="13"/>
      <c r="R416" s="14"/>
    </row>
    <row r="417" spans="1:18" ht="15" customHeight="1">
      <c r="A417" s="17" t="s">
        <v>26</v>
      </c>
      <c r="B417" s="17" t="s">
        <v>356</v>
      </c>
      <c r="C417" s="18">
        <v>0.4861111111111111</v>
      </c>
      <c r="D417" s="17" t="s">
        <v>28</v>
      </c>
      <c r="E417" s="17" t="s">
        <v>98</v>
      </c>
      <c r="F417" s="17" t="s">
        <v>83</v>
      </c>
      <c r="G417" s="298"/>
      <c r="H417" s="10"/>
      <c r="I417" s="11"/>
      <c r="J417" s="11"/>
      <c r="K417" s="11"/>
      <c r="L417" s="11"/>
      <c r="M417" s="11"/>
      <c r="N417" s="11"/>
      <c r="O417" s="12"/>
      <c r="P417" s="11"/>
      <c r="Q417" s="13"/>
      <c r="R417" s="14"/>
    </row>
    <row r="418" spans="1:18" ht="15" customHeight="1">
      <c r="A418" s="15" t="s">
        <v>26</v>
      </c>
      <c r="B418" s="15" t="s">
        <v>356</v>
      </c>
      <c r="C418" s="16">
        <v>0.4861111111111111</v>
      </c>
      <c r="D418" s="15" t="s">
        <v>31</v>
      </c>
      <c r="E418" s="15" t="s">
        <v>99</v>
      </c>
      <c r="F418" s="15" t="s">
        <v>159</v>
      </c>
      <c r="G418" s="298"/>
      <c r="H418" s="10"/>
      <c r="I418" s="11"/>
      <c r="J418" s="11"/>
      <c r="K418" s="11"/>
      <c r="L418" s="11"/>
      <c r="M418" s="11"/>
      <c r="N418" s="11"/>
      <c r="O418" s="12"/>
      <c r="P418" s="11"/>
      <c r="Q418" s="13"/>
      <c r="R418" s="14"/>
    </row>
    <row r="419" spans="1:18" ht="15" customHeight="1">
      <c r="A419" s="15" t="s">
        <v>26</v>
      </c>
      <c r="B419" s="15" t="s">
        <v>356</v>
      </c>
      <c r="C419" s="16">
        <v>0.4861111111111111</v>
      </c>
      <c r="D419" s="15" t="s">
        <v>34</v>
      </c>
      <c r="E419" s="15" t="s">
        <v>99</v>
      </c>
      <c r="F419" s="15" t="s">
        <v>355</v>
      </c>
      <c r="G419" s="298"/>
      <c r="H419" s="10"/>
      <c r="I419" s="11"/>
      <c r="J419" s="11"/>
      <c r="K419" s="11"/>
      <c r="L419" s="11"/>
      <c r="M419" s="11"/>
      <c r="N419" s="11"/>
      <c r="O419" s="12"/>
      <c r="P419" s="11"/>
      <c r="Q419" s="13"/>
      <c r="R419" s="14"/>
    </row>
    <row r="420" spans="1:18" ht="15" customHeight="1">
      <c r="A420" s="17" t="s">
        <v>26</v>
      </c>
      <c r="B420" s="17" t="s">
        <v>357</v>
      </c>
      <c r="C420" s="18">
        <v>0.3923611111111111</v>
      </c>
      <c r="D420" s="17" t="s">
        <v>28</v>
      </c>
      <c r="E420" s="17" t="s">
        <v>37</v>
      </c>
      <c r="F420" s="17" t="s">
        <v>83</v>
      </c>
      <c r="G420" s="298"/>
      <c r="H420" s="10"/>
      <c r="I420" s="11"/>
      <c r="J420" s="11"/>
      <c r="K420" s="11"/>
      <c r="L420" s="11"/>
      <c r="M420" s="11"/>
      <c r="N420" s="11"/>
      <c r="O420" s="12"/>
      <c r="P420" s="11"/>
      <c r="Q420" s="13"/>
      <c r="R420" s="14"/>
    </row>
    <row r="421" spans="1:18" ht="15" customHeight="1">
      <c r="A421" s="15" t="s">
        <v>26</v>
      </c>
      <c r="B421" s="15" t="s">
        <v>357</v>
      </c>
      <c r="C421" s="16">
        <v>0.3923611111111111</v>
      </c>
      <c r="D421" s="15" t="s">
        <v>31</v>
      </c>
      <c r="E421" s="15" t="s">
        <v>32</v>
      </c>
      <c r="F421" s="15" t="s">
        <v>159</v>
      </c>
      <c r="G421" s="298"/>
      <c r="H421" s="10"/>
      <c r="I421" s="11"/>
      <c r="J421" s="11"/>
      <c r="K421" s="11"/>
      <c r="L421" s="11"/>
      <c r="M421" s="11"/>
      <c r="N421" s="11"/>
      <c r="O421" s="12"/>
      <c r="P421" s="11"/>
      <c r="Q421" s="13"/>
      <c r="R421" s="14"/>
    </row>
    <row r="422" spans="1:18" ht="15" customHeight="1">
      <c r="A422" s="15" t="s">
        <v>26</v>
      </c>
      <c r="B422" s="15" t="s">
        <v>357</v>
      </c>
      <c r="C422" s="16">
        <v>0.3923611111111111</v>
      </c>
      <c r="D422" s="15" t="s">
        <v>34</v>
      </c>
      <c r="E422" s="15" t="s">
        <v>32</v>
      </c>
      <c r="F422" s="15" t="s">
        <v>355</v>
      </c>
      <c r="G422" s="298"/>
      <c r="H422" s="10"/>
      <c r="I422" s="11"/>
      <c r="J422" s="11"/>
      <c r="K422" s="11"/>
      <c r="L422" s="11"/>
      <c r="M422" s="11"/>
      <c r="N422" s="11"/>
      <c r="O422" s="12"/>
      <c r="P422" s="11"/>
      <c r="Q422" s="13"/>
      <c r="R422" s="14"/>
    </row>
    <row r="423" spans="1:18" ht="15" customHeight="1">
      <c r="A423" s="17" t="s">
        <v>26</v>
      </c>
      <c r="B423" s="17" t="s">
        <v>350</v>
      </c>
      <c r="C423" s="18">
        <v>0.73611111111111116</v>
      </c>
      <c r="D423" s="17" t="s">
        <v>28</v>
      </c>
      <c r="E423" s="17" t="s">
        <v>200</v>
      </c>
      <c r="F423" s="17" t="s">
        <v>467</v>
      </c>
      <c r="G423" s="298"/>
      <c r="H423" s="10"/>
      <c r="I423" s="11"/>
      <c r="J423" s="11"/>
      <c r="K423" s="11"/>
      <c r="L423" s="11"/>
      <c r="M423" s="11"/>
      <c r="N423" s="11"/>
      <c r="O423" s="12"/>
      <c r="P423" s="11"/>
      <c r="Q423" s="13"/>
      <c r="R423" s="14"/>
    </row>
    <row r="424" spans="1:18" ht="15" customHeight="1">
      <c r="A424" s="15" t="s">
        <v>26</v>
      </c>
      <c r="B424" s="15" t="s">
        <v>350</v>
      </c>
      <c r="C424" s="16">
        <v>0.73611111111111116</v>
      </c>
      <c r="D424" s="15" t="s">
        <v>31</v>
      </c>
      <c r="E424" s="15" t="s">
        <v>127</v>
      </c>
      <c r="F424" s="15" t="s">
        <v>104</v>
      </c>
      <c r="G424" s="298"/>
      <c r="H424" s="10"/>
      <c r="I424" s="11"/>
      <c r="J424" s="11"/>
      <c r="K424" s="11"/>
      <c r="L424" s="11"/>
      <c r="M424" s="11"/>
      <c r="N424" s="11"/>
      <c r="O424" s="12"/>
      <c r="P424" s="11"/>
      <c r="Q424" s="13"/>
      <c r="R424" s="14"/>
    </row>
    <row r="425" spans="1:18" ht="15" customHeight="1">
      <c r="A425" s="15" t="s">
        <v>26</v>
      </c>
      <c r="B425" s="15" t="s">
        <v>350</v>
      </c>
      <c r="C425" s="16">
        <v>0.73611111111111116</v>
      </c>
      <c r="D425" s="15" t="s">
        <v>34</v>
      </c>
      <c r="E425" s="15" t="s">
        <v>127</v>
      </c>
      <c r="F425" s="15" t="s">
        <v>456</v>
      </c>
      <c r="G425" s="298"/>
      <c r="H425" s="10"/>
      <c r="I425" s="11"/>
      <c r="J425" s="11"/>
      <c r="K425" s="11"/>
      <c r="L425" s="11"/>
      <c r="M425" s="11"/>
      <c r="N425" s="11"/>
      <c r="O425" s="12"/>
      <c r="P425" s="11"/>
      <c r="Q425" s="13"/>
      <c r="R425" s="14"/>
    </row>
    <row r="426" spans="1:18" ht="15" customHeight="1">
      <c r="A426" s="19" t="s">
        <v>359</v>
      </c>
      <c r="B426" s="19" t="s">
        <v>445</v>
      </c>
      <c r="C426" s="20">
        <v>5.5555555555555552E-2</v>
      </c>
      <c r="D426" s="19" t="s">
        <v>361</v>
      </c>
      <c r="E426" s="19" t="s">
        <v>80</v>
      </c>
      <c r="F426" s="19" t="s">
        <v>362</v>
      </c>
      <c r="G426" s="298"/>
      <c r="H426" s="10"/>
      <c r="I426" s="11"/>
      <c r="J426" s="11"/>
      <c r="K426" s="11"/>
      <c r="L426" s="11"/>
      <c r="M426" s="11"/>
      <c r="N426" s="11"/>
      <c r="O426" s="12"/>
      <c r="P426" s="11"/>
      <c r="Q426" s="13"/>
      <c r="R426" s="14"/>
    </row>
    <row r="427" spans="1:18" ht="15" customHeight="1">
      <c r="A427" s="15" t="s">
        <v>359</v>
      </c>
      <c r="B427" s="15" t="s">
        <v>445</v>
      </c>
      <c r="C427" s="16">
        <v>5.5555555555555552E-2</v>
      </c>
      <c r="D427" s="15" t="s">
        <v>46</v>
      </c>
      <c r="E427" s="15" t="s">
        <v>82</v>
      </c>
      <c r="F427" s="15" t="s">
        <v>363</v>
      </c>
      <c r="G427" s="298"/>
      <c r="H427" s="10"/>
      <c r="I427" s="11"/>
      <c r="J427" s="11"/>
      <c r="K427" s="11"/>
      <c r="L427" s="11"/>
      <c r="M427" s="11"/>
      <c r="N427" s="11"/>
      <c r="O427" s="12"/>
      <c r="P427" s="11"/>
      <c r="Q427" s="13"/>
      <c r="R427" s="14"/>
    </row>
    <row r="428" spans="1:18" ht="15" customHeight="1">
      <c r="A428" s="21" t="s">
        <v>61</v>
      </c>
      <c r="B428" s="21" t="s">
        <v>364</v>
      </c>
      <c r="C428" s="22">
        <v>0.75694444444444453</v>
      </c>
      <c r="D428" s="21" t="s">
        <v>63</v>
      </c>
      <c r="E428" s="21" t="s">
        <v>29</v>
      </c>
      <c r="F428" s="21" t="s">
        <v>365</v>
      </c>
      <c r="G428" s="298"/>
      <c r="H428" s="23" t="s">
        <v>366</v>
      </c>
      <c r="I428" s="24">
        <v>1.11E-2</v>
      </c>
      <c r="J428" s="25">
        <v>2</v>
      </c>
      <c r="K428" s="26">
        <v>46314</v>
      </c>
      <c r="L428" s="25">
        <v>2</v>
      </c>
      <c r="M428" s="25">
        <v>0</v>
      </c>
      <c r="N428" s="25">
        <v>0</v>
      </c>
      <c r="O428" s="27" t="s">
        <v>368</v>
      </c>
      <c r="P428" s="28">
        <v>0.75694444444444453</v>
      </c>
      <c r="Q428" s="25">
        <v>180</v>
      </c>
      <c r="R428" s="29" t="s">
        <v>367</v>
      </c>
    </row>
    <row r="429" spans="1:18" ht="15" customHeight="1">
      <c r="A429" s="156" t="s">
        <v>61</v>
      </c>
      <c r="B429" s="156" t="s">
        <v>432</v>
      </c>
      <c r="C429" s="157">
        <v>0.55208333333333337</v>
      </c>
      <c r="D429" s="156" t="s">
        <v>63</v>
      </c>
      <c r="E429" s="156" t="s">
        <v>372</v>
      </c>
      <c r="F429" s="156" t="s">
        <v>365</v>
      </c>
      <c r="G429" s="298"/>
      <c r="H429" s="42" t="s">
        <v>433</v>
      </c>
      <c r="I429" s="43">
        <v>0</v>
      </c>
      <c r="J429" s="44">
        <v>0</v>
      </c>
      <c r="K429" s="45" t="s">
        <v>66</v>
      </c>
      <c r="L429" s="44">
        <v>0</v>
      </c>
      <c r="M429" s="44">
        <v>0</v>
      </c>
      <c r="N429" s="44">
        <v>0</v>
      </c>
      <c r="O429" s="46" t="s">
        <v>436</v>
      </c>
      <c r="P429" s="47">
        <v>0.55208333333333337</v>
      </c>
      <c r="Q429" s="44">
        <v>180</v>
      </c>
      <c r="R429" s="48" t="s">
        <v>66</v>
      </c>
    </row>
    <row r="430" spans="1:18" ht="15" customHeight="1">
      <c r="A430" s="150" t="s">
        <v>61</v>
      </c>
      <c r="B430" s="150" t="s">
        <v>428</v>
      </c>
      <c r="C430" s="151">
        <v>5.2083333333333343E-2</v>
      </c>
      <c r="D430" s="150" t="s">
        <v>63</v>
      </c>
      <c r="E430" s="150" t="s">
        <v>98</v>
      </c>
      <c r="F430" s="150" t="s">
        <v>365</v>
      </c>
      <c r="G430" s="298"/>
      <c r="H430" s="80" t="s">
        <v>429</v>
      </c>
      <c r="I430" s="81">
        <v>5.5999999999999999E-3</v>
      </c>
      <c r="J430" s="82">
        <v>1</v>
      </c>
      <c r="K430" s="83">
        <v>46325</v>
      </c>
      <c r="L430" s="82">
        <v>4</v>
      </c>
      <c r="M430" s="82">
        <v>0</v>
      </c>
      <c r="N430" s="82">
        <v>0</v>
      </c>
      <c r="O430" s="84" t="s">
        <v>431</v>
      </c>
      <c r="P430" s="85">
        <v>5.2083333333333343E-2</v>
      </c>
      <c r="Q430" s="82">
        <v>180</v>
      </c>
      <c r="R430" s="86" t="s">
        <v>430</v>
      </c>
    </row>
    <row r="431" spans="1:18" ht="15" customHeight="1">
      <c r="A431" s="160" t="s">
        <v>61</v>
      </c>
      <c r="B431" s="160" t="s">
        <v>375</v>
      </c>
      <c r="C431" s="161">
        <v>0.79166666666666663</v>
      </c>
      <c r="D431" s="160" t="s">
        <v>63</v>
      </c>
      <c r="E431" s="160" t="s">
        <v>372</v>
      </c>
      <c r="F431" s="160" t="s">
        <v>365</v>
      </c>
      <c r="G431" s="298"/>
      <c r="H431" s="23" t="s">
        <v>376</v>
      </c>
      <c r="I431" s="24">
        <v>0</v>
      </c>
      <c r="J431" s="25">
        <v>0</v>
      </c>
      <c r="K431" s="26" t="s">
        <v>66</v>
      </c>
      <c r="L431" s="25">
        <v>0</v>
      </c>
      <c r="M431" s="25">
        <v>0</v>
      </c>
      <c r="N431" s="25">
        <v>0</v>
      </c>
      <c r="O431" s="27" t="s">
        <v>436</v>
      </c>
      <c r="P431" s="28">
        <v>0.79166666666666663</v>
      </c>
      <c r="Q431" s="25">
        <v>180</v>
      </c>
      <c r="R431" s="29" t="s">
        <v>66</v>
      </c>
    </row>
    <row r="432" spans="1:18" ht="15" customHeight="1">
      <c r="A432" s="154" t="s">
        <v>61</v>
      </c>
      <c r="B432" s="154" t="s">
        <v>377</v>
      </c>
      <c r="C432" s="155">
        <v>0.4375</v>
      </c>
      <c r="D432" s="154" t="s">
        <v>63</v>
      </c>
      <c r="E432" s="154" t="s">
        <v>98</v>
      </c>
      <c r="F432" s="154" t="s">
        <v>365</v>
      </c>
      <c r="G432" s="298"/>
      <c r="H432" s="69" t="s">
        <v>378</v>
      </c>
      <c r="I432" s="70">
        <v>5.5999999999999999E-3</v>
      </c>
      <c r="J432" s="71">
        <v>1</v>
      </c>
      <c r="K432" s="72">
        <v>46305</v>
      </c>
      <c r="L432" s="71">
        <v>1</v>
      </c>
      <c r="M432" s="71">
        <v>0</v>
      </c>
      <c r="N432" s="71">
        <v>0</v>
      </c>
      <c r="O432" s="73" t="s">
        <v>431</v>
      </c>
      <c r="P432" s="74">
        <v>0.4375</v>
      </c>
      <c r="Q432" s="71">
        <v>180</v>
      </c>
      <c r="R432" s="75" t="s">
        <v>430</v>
      </c>
    </row>
    <row r="433" spans="1:18" ht="15" customHeight="1">
      <c r="A433" s="152" t="s">
        <v>61</v>
      </c>
      <c r="B433" s="152" t="s">
        <v>379</v>
      </c>
      <c r="C433" s="153">
        <v>0.38194444444444442</v>
      </c>
      <c r="D433" s="152" t="s">
        <v>63</v>
      </c>
      <c r="E433" s="152" t="s">
        <v>435</v>
      </c>
      <c r="F433" s="152" t="s">
        <v>79</v>
      </c>
      <c r="G433" s="298"/>
      <c r="H433" s="100" t="s">
        <v>380</v>
      </c>
      <c r="I433" s="101">
        <v>3.3300000000000003E-2</v>
      </c>
      <c r="J433" s="102">
        <v>6</v>
      </c>
      <c r="K433" s="103">
        <v>46339</v>
      </c>
      <c r="L433" s="102">
        <v>6</v>
      </c>
      <c r="M433" s="102">
        <v>0</v>
      </c>
      <c r="N433" s="102">
        <v>0</v>
      </c>
      <c r="O433" s="104" t="s">
        <v>299</v>
      </c>
      <c r="P433" s="105">
        <v>0.38194444444444442</v>
      </c>
      <c r="Q433" s="102">
        <v>180</v>
      </c>
      <c r="R433" s="106" t="s">
        <v>436</v>
      </c>
    </row>
    <row r="434" spans="1:18" ht="15" customHeight="1">
      <c r="A434" s="19" t="s">
        <v>48</v>
      </c>
      <c r="B434" s="19" t="s">
        <v>386</v>
      </c>
      <c r="C434" s="20">
        <v>0.82986111111111116</v>
      </c>
      <c r="D434" s="19" t="s">
        <v>50</v>
      </c>
      <c r="E434" s="19" t="s">
        <v>100</v>
      </c>
      <c r="F434" s="19" t="s">
        <v>383</v>
      </c>
      <c r="G434" s="298"/>
      <c r="H434" s="10"/>
      <c r="I434" s="11"/>
      <c r="J434" s="11"/>
      <c r="K434" s="11"/>
      <c r="L434" s="11"/>
      <c r="M434" s="11"/>
      <c r="N434" s="11"/>
      <c r="O434" s="12"/>
      <c r="P434" s="11"/>
      <c r="Q434" s="13"/>
      <c r="R434" s="14"/>
    </row>
    <row r="435" spans="1:18" ht="15" customHeight="1">
      <c r="A435" s="15" t="s">
        <v>48</v>
      </c>
      <c r="B435" s="15" t="s">
        <v>386</v>
      </c>
      <c r="C435" s="16">
        <v>0.82986111111111116</v>
      </c>
      <c r="D435" s="15" t="s">
        <v>53</v>
      </c>
      <c r="E435" s="15" t="s">
        <v>115</v>
      </c>
      <c r="F435" s="15" t="s">
        <v>384</v>
      </c>
      <c r="G435" s="298"/>
      <c r="H435" s="10"/>
      <c r="I435" s="11"/>
      <c r="J435" s="11"/>
      <c r="K435" s="11"/>
      <c r="L435" s="11"/>
      <c r="M435" s="11"/>
      <c r="N435" s="11"/>
      <c r="O435" s="12"/>
      <c r="P435" s="11"/>
      <c r="Q435" s="13"/>
      <c r="R435" s="14"/>
    </row>
    <row r="436" spans="1:18" ht="15" customHeight="1">
      <c r="A436" s="17" t="s">
        <v>48</v>
      </c>
      <c r="B436" s="17" t="s">
        <v>385</v>
      </c>
      <c r="C436" s="18">
        <v>0.94097222222222221</v>
      </c>
      <c r="D436" s="17" t="s">
        <v>50</v>
      </c>
      <c r="E436" s="17" t="s">
        <v>57</v>
      </c>
      <c r="F436" s="17" t="s">
        <v>383</v>
      </c>
      <c r="G436" s="298"/>
      <c r="H436" s="10"/>
      <c r="I436" s="11"/>
      <c r="J436" s="11"/>
      <c r="K436" s="11"/>
      <c r="L436" s="11"/>
      <c r="M436" s="11"/>
      <c r="N436" s="11"/>
      <c r="O436" s="12"/>
      <c r="P436" s="11"/>
      <c r="Q436" s="13"/>
      <c r="R436" s="14"/>
    </row>
    <row r="437" spans="1:18" ht="15" customHeight="1">
      <c r="A437" s="15" t="s">
        <v>48</v>
      </c>
      <c r="B437" s="15" t="s">
        <v>385</v>
      </c>
      <c r="C437" s="16">
        <v>0.94097222222222221</v>
      </c>
      <c r="D437" s="15" t="s">
        <v>53</v>
      </c>
      <c r="E437" s="15" t="s">
        <v>54</v>
      </c>
      <c r="F437" s="15" t="s">
        <v>384</v>
      </c>
      <c r="G437" s="298"/>
      <c r="H437" s="10"/>
      <c r="I437" s="11"/>
      <c r="J437" s="11"/>
      <c r="K437" s="11"/>
      <c r="L437" s="11"/>
      <c r="M437" s="11"/>
      <c r="N437" s="11"/>
      <c r="O437" s="12"/>
      <c r="P437" s="11"/>
      <c r="Q437" s="13"/>
      <c r="R437" s="14"/>
    </row>
    <row r="438" spans="1:18" ht="15" customHeight="1">
      <c r="A438" s="17" t="s">
        <v>48</v>
      </c>
      <c r="B438" s="17" t="s">
        <v>388</v>
      </c>
      <c r="C438" s="18">
        <v>0.72222222222222221</v>
      </c>
      <c r="D438" s="17" t="s">
        <v>50</v>
      </c>
      <c r="E438" s="17" t="s">
        <v>57</v>
      </c>
      <c r="F438" s="17" t="s">
        <v>79</v>
      </c>
      <c r="G438" s="298"/>
      <c r="H438" s="10"/>
      <c r="I438" s="11"/>
      <c r="J438" s="11"/>
      <c r="K438" s="11"/>
      <c r="L438" s="11"/>
      <c r="M438" s="11"/>
      <c r="N438" s="11"/>
      <c r="O438" s="12"/>
      <c r="P438" s="11"/>
      <c r="Q438" s="13"/>
      <c r="R438" s="14"/>
    </row>
    <row r="439" spans="1:18" ht="15" customHeight="1">
      <c r="A439" s="15" t="s">
        <v>48</v>
      </c>
      <c r="B439" s="15" t="s">
        <v>388</v>
      </c>
      <c r="C439" s="16">
        <v>0.72222222222222221</v>
      </c>
      <c r="D439" s="15" t="s">
        <v>53</v>
      </c>
      <c r="E439" s="15" t="s">
        <v>54</v>
      </c>
      <c r="F439" s="15" t="s">
        <v>387</v>
      </c>
      <c r="G439" s="298"/>
      <c r="H439" s="10"/>
      <c r="I439" s="11"/>
      <c r="J439" s="11"/>
      <c r="K439" s="11"/>
      <c r="L439" s="11"/>
      <c r="M439" s="11"/>
      <c r="N439" s="11"/>
      <c r="O439" s="12"/>
      <c r="P439" s="11"/>
      <c r="Q439" s="13"/>
      <c r="R439" s="14"/>
    </row>
    <row r="440" spans="1:18" ht="15" customHeight="1">
      <c r="A440" s="17" t="s">
        <v>48</v>
      </c>
      <c r="B440" s="17" t="s">
        <v>390</v>
      </c>
      <c r="C440" s="18">
        <v>4.1666666666666657E-2</v>
      </c>
      <c r="D440" s="17" t="s">
        <v>50</v>
      </c>
      <c r="E440" s="17" t="s">
        <v>57</v>
      </c>
      <c r="F440" s="17" t="s">
        <v>79</v>
      </c>
      <c r="G440" s="298"/>
      <c r="H440" s="10"/>
      <c r="I440" s="11"/>
      <c r="J440" s="11"/>
      <c r="K440" s="11"/>
      <c r="L440" s="11"/>
      <c r="M440" s="11"/>
      <c r="N440" s="11"/>
      <c r="O440" s="12"/>
      <c r="P440" s="11"/>
      <c r="Q440" s="13"/>
      <c r="R440" s="14"/>
    </row>
    <row r="441" spans="1:18" ht="15" customHeight="1">
      <c r="A441" s="15" t="s">
        <v>48</v>
      </c>
      <c r="B441" s="15" t="s">
        <v>390</v>
      </c>
      <c r="C441" s="16">
        <v>4.1666666666666657E-2</v>
      </c>
      <c r="D441" s="15" t="s">
        <v>53</v>
      </c>
      <c r="E441" s="15" t="s">
        <v>54</v>
      </c>
      <c r="F441" s="15" t="s">
        <v>387</v>
      </c>
      <c r="G441" s="298"/>
      <c r="H441" s="10"/>
      <c r="I441" s="11"/>
      <c r="J441" s="11"/>
      <c r="K441" s="11"/>
      <c r="L441" s="11"/>
      <c r="M441" s="11"/>
      <c r="N441" s="11"/>
      <c r="O441" s="12"/>
      <c r="P441" s="11"/>
      <c r="Q441" s="13"/>
      <c r="R441" s="14"/>
    </row>
    <row r="442" spans="1:18" ht="15" customHeight="1">
      <c r="A442" s="17" t="s">
        <v>48</v>
      </c>
      <c r="B442" s="17" t="s">
        <v>389</v>
      </c>
      <c r="C442" s="18">
        <v>0.70138888888888884</v>
      </c>
      <c r="D442" s="17" t="s">
        <v>50</v>
      </c>
      <c r="E442" s="17" t="s">
        <v>57</v>
      </c>
      <c r="F442" s="17" t="s">
        <v>476</v>
      </c>
      <c r="G442" s="298"/>
      <c r="H442" s="10"/>
      <c r="I442" s="11"/>
      <c r="J442" s="11"/>
      <c r="K442" s="11"/>
      <c r="L442" s="11"/>
      <c r="M442" s="11"/>
      <c r="N442" s="11"/>
      <c r="O442" s="12"/>
      <c r="P442" s="11"/>
      <c r="Q442" s="13"/>
      <c r="R442" s="14"/>
    </row>
    <row r="443" spans="1:18" ht="15" customHeight="1">
      <c r="A443" s="15" t="s">
        <v>48</v>
      </c>
      <c r="B443" s="15" t="s">
        <v>389</v>
      </c>
      <c r="C443" s="16">
        <v>0.70138888888888884</v>
      </c>
      <c r="D443" s="15" t="s">
        <v>53</v>
      </c>
      <c r="E443" s="15" t="s">
        <v>54</v>
      </c>
      <c r="F443" s="15" t="s">
        <v>477</v>
      </c>
      <c r="G443" s="298"/>
      <c r="H443" s="10"/>
      <c r="I443" s="11"/>
      <c r="J443" s="11"/>
      <c r="K443" s="11"/>
      <c r="L443" s="11"/>
      <c r="M443" s="11"/>
      <c r="N443" s="11"/>
      <c r="O443" s="12"/>
      <c r="P443" s="11"/>
      <c r="Q443" s="13"/>
      <c r="R443" s="14"/>
    </row>
    <row r="444" spans="1:18" ht="15" customHeight="1">
      <c r="A444" s="17" t="s">
        <v>48</v>
      </c>
      <c r="B444" s="17" t="s">
        <v>391</v>
      </c>
      <c r="C444" s="18">
        <v>0.48958333333333331</v>
      </c>
      <c r="D444" s="17" t="s">
        <v>50</v>
      </c>
      <c r="E444" s="17" t="s">
        <v>57</v>
      </c>
      <c r="F444" s="17" t="s">
        <v>462</v>
      </c>
      <c r="G444" s="298"/>
      <c r="H444" s="10"/>
      <c r="I444" s="11"/>
      <c r="J444" s="11"/>
      <c r="K444" s="11"/>
      <c r="L444" s="11"/>
      <c r="M444" s="11"/>
      <c r="N444" s="11"/>
      <c r="O444" s="12"/>
      <c r="P444" s="11"/>
      <c r="Q444" s="13"/>
      <c r="R444" s="14"/>
    </row>
    <row r="445" spans="1:18" ht="15" customHeight="1">
      <c r="A445" s="15" t="s">
        <v>48</v>
      </c>
      <c r="B445" s="15" t="s">
        <v>391</v>
      </c>
      <c r="C445" s="16">
        <v>0.48958333333333331</v>
      </c>
      <c r="D445" s="15" t="s">
        <v>53</v>
      </c>
      <c r="E445" s="15" t="s">
        <v>54</v>
      </c>
      <c r="F445" s="15" t="s">
        <v>463</v>
      </c>
      <c r="G445" s="298"/>
      <c r="H445" s="10"/>
      <c r="I445" s="11"/>
      <c r="J445" s="11"/>
      <c r="K445" s="11"/>
      <c r="L445" s="11"/>
      <c r="M445" s="11"/>
      <c r="N445" s="11"/>
      <c r="O445" s="12"/>
      <c r="P445" s="11"/>
      <c r="Q445" s="13"/>
      <c r="R445" s="14"/>
    </row>
    <row r="446" spans="1:18" ht="15" customHeight="1">
      <c r="A446" s="17" t="s">
        <v>48</v>
      </c>
      <c r="B446" s="17" t="s">
        <v>382</v>
      </c>
      <c r="C446" s="18">
        <v>0.11805555555555559</v>
      </c>
      <c r="D446" s="17" t="s">
        <v>50</v>
      </c>
      <c r="E446" s="17" t="s">
        <v>57</v>
      </c>
      <c r="F446" s="17" t="s">
        <v>462</v>
      </c>
      <c r="G446" s="298"/>
      <c r="H446" s="10"/>
      <c r="I446" s="11"/>
      <c r="J446" s="11"/>
      <c r="K446" s="11"/>
      <c r="L446" s="11"/>
      <c r="M446" s="11"/>
      <c r="N446" s="11"/>
      <c r="O446" s="12"/>
      <c r="P446" s="11"/>
      <c r="Q446" s="13"/>
      <c r="R446" s="14"/>
    </row>
    <row r="447" spans="1:18" ht="15" customHeight="1">
      <c r="A447" s="15" t="s">
        <v>48</v>
      </c>
      <c r="B447" s="15" t="s">
        <v>382</v>
      </c>
      <c r="C447" s="16">
        <v>0.11805555555555559</v>
      </c>
      <c r="D447" s="15" t="s">
        <v>53</v>
      </c>
      <c r="E447" s="15" t="s">
        <v>54</v>
      </c>
      <c r="F447" s="15" t="s">
        <v>463</v>
      </c>
      <c r="G447" s="298"/>
      <c r="H447" s="10"/>
      <c r="I447" s="11"/>
      <c r="J447" s="11"/>
      <c r="K447" s="11"/>
      <c r="L447" s="11"/>
      <c r="M447" s="11"/>
      <c r="N447" s="11"/>
      <c r="O447" s="12"/>
      <c r="P447" s="11"/>
      <c r="Q447" s="13"/>
      <c r="R447" s="14"/>
    </row>
    <row r="448" spans="1:18" ht="15" customHeight="1">
      <c r="A448" s="17" t="s">
        <v>48</v>
      </c>
      <c r="B448" s="17" t="s">
        <v>400</v>
      </c>
      <c r="C448" s="18">
        <v>0.25347222222222221</v>
      </c>
      <c r="D448" s="17" t="s">
        <v>50</v>
      </c>
      <c r="E448" s="17" t="s">
        <v>57</v>
      </c>
      <c r="F448" s="17" t="s">
        <v>392</v>
      </c>
      <c r="G448" s="298"/>
      <c r="H448" s="10"/>
      <c r="I448" s="11"/>
      <c r="J448" s="11"/>
      <c r="K448" s="11"/>
      <c r="L448" s="11"/>
      <c r="M448" s="11"/>
      <c r="N448" s="11"/>
      <c r="O448" s="12"/>
      <c r="P448" s="11"/>
      <c r="Q448" s="13"/>
      <c r="R448" s="14"/>
    </row>
    <row r="449" spans="1:18" ht="15" customHeight="1">
      <c r="A449" s="15" t="s">
        <v>48</v>
      </c>
      <c r="B449" s="15" t="s">
        <v>400</v>
      </c>
      <c r="C449" s="16">
        <v>0.25347222222222221</v>
      </c>
      <c r="D449" s="15" t="s">
        <v>53</v>
      </c>
      <c r="E449" s="15" t="s">
        <v>54</v>
      </c>
      <c r="F449" s="15" t="s">
        <v>393</v>
      </c>
      <c r="G449" s="298"/>
      <c r="H449" s="10"/>
      <c r="I449" s="11"/>
      <c r="J449" s="11"/>
      <c r="K449" s="11"/>
      <c r="L449" s="11"/>
      <c r="M449" s="11"/>
      <c r="N449" s="11"/>
      <c r="O449" s="12"/>
      <c r="P449" s="11"/>
      <c r="Q449" s="13"/>
      <c r="R449" s="14"/>
    </row>
    <row r="450" spans="1:18" ht="15" customHeight="1">
      <c r="A450" s="17" t="s">
        <v>48</v>
      </c>
      <c r="B450" s="17" t="s">
        <v>394</v>
      </c>
      <c r="C450" s="18">
        <v>0.98958333333333337</v>
      </c>
      <c r="D450" s="17" t="s">
        <v>53</v>
      </c>
      <c r="E450" s="17" t="s">
        <v>37</v>
      </c>
      <c r="F450" s="17" t="s">
        <v>395</v>
      </c>
      <c r="G450" s="298"/>
      <c r="H450" s="10"/>
      <c r="I450" s="11"/>
      <c r="J450" s="11"/>
      <c r="K450" s="11"/>
      <c r="L450" s="11"/>
      <c r="M450" s="11"/>
      <c r="N450" s="11"/>
      <c r="O450" s="12"/>
      <c r="P450" s="11"/>
      <c r="Q450" s="13"/>
      <c r="R450" s="14"/>
    </row>
    <row r="451" spans="1:18" ht="15" customHeight="1">
      <c r="A451" s="17" t="s">
        <v>48</v>
      </c>
      <c r="B451" s="17" t="s">
        <v>396</v>
      </c>
      <c r="C451" s="18">
        <v>0.48958333333333331</v>
      </c>
      <c r="D451" s="17" t="s">
        <v>53</v>
      </c>
      <c r="E451" s="17" t="s">
        <v>37</v>
      </c>
      <c r="F451" s="17" t="s">
        <v>395</v>
      </c>
      <c r="G451" s="298"/>
      <c r="H451" s="10"/>
      <c r="I451" s="11"/>
      <c r="J451" s="11"/>
      <c r="K451" s="11"/>
      <c r="L451" s="11"/>
      <c r="M451" s="11"/>
      <c r="N451" s="11"/>
      <c r="O451" s="12"/>
      <c r="P451" s="11"/>
      <c r="Q451" s="13"/>
      <c r="R451" s="14"/>
    </row>
    <row r="452" spans="1:18" ht="15" customHeight="1">
      <c r="A452" s="17" t="s">
        <v>48</v>
      </c>
      <c r="B452" s="17" t="s">
        <v>397</v>
      </c>
      <c r="C452" s="18">
        <v>0.88888888888888884</v>
      </c>
      <c r="D452" s="17" t="s">
        <v>53</v>
      </c>
      <c r="E452" s="17" t="s">
        <v>37</v>
      </c>
      <c r="F452" s="17" t="s">
        <v>438</v>
      </c>
      <c r="G452" s="298"/>
      <c r="H452" s="10"/>
      <c r="I452" s="11"/>
      <c r="J452" s="11"/>
      <c r="K452" s="11"/>
      <c r="L452" s="11"/>
      <c r="M452" s="11"/>
      <c r="N452" s="11"/>
      <c r="O452" s="12"/>
      <c r="P452" s="11"/>
      <c r="Q452" s="13"/>
      <c r="R452" s="14"/>
    </row>
    <row r="453" spans="1:18" ht="15" customHeight="1">
      <c r="A453" s="17" t="s">
        <v>48</v>
      </c>
      <c r="B453" s="17" t="s">
        <v>398</v>
      </c>
      <c r="C453" s="18">
        <v>0.39930555555555558</v>
      </c>
      <c r="D453" s="17" t="s">
        <v>53</v>
      </c>
      <c r="E453" s="17" t="s">
        <v>37</v>
      </c>
      <c r="F453" s="17" t="s">
        <v>399</v>
      </c>
      <c r="G453" s="298"/>
      <c r="H453" s="10"/>
      <c r="I453" s="11"/>
      <c r="J453" s="11"/>
      <c r="K453" s="11"/>
      <c r="L453" s="11"/>
      <c r="M453" s="11"/>
      <c r="N453" s="11"/>
      <c r="O453" s="12"/>
      <c r="P453" s="11"/>
      <c r="Q453" s="13"/>
      <c r="R453" s="14"/>
    </row>
    <row r="454" spans="1:18" ht="15" customHeight="1">
      <c r="A454" s="19" t="s">
        <v>402</v>
      </c>
      <c r="B454" s="19" t="s">
        <v>403</v>
      </c>
      <c r="C454" s="20">
        <v>0.49305555555555558</v>
      </c>
      <c r="D454" s="19" t="s">
        <v>63</v>
      </c>
      <c r="E454" s="19" t="s">
        <v>103</v>
      </c>
      <c r="F454" s="19" t="s">
        <v>404</v>
      </c>
      <c r="G454" s="298"/>
      <c r="H454" s="10"/>
      <c r="I454" s="11"/>
      <c r="J454" s="11"/>
      <c r="K454" s="11"/>
      <c r="L454" s="11"/>
      <c r="M454" s="11"/>
      <c r="N454" s="11"/>
      <c r="O454" s="12"/>
      <c r="P454" s="11"/>
      <c r="Q454" s="13"/>
      <c r="R454" s="14"/>
    </row>
    <row r="455" spans="1:18" ht="15" customHeight="1">
      <c r="A455" s="19" t="s">
        <v>68</v>
      </c>
      <c r="B455" s="19" t="s">
        <v>405</v>
      </c>
      <c r="C455" s="20">
        <v>0.83680555555555547</v>
      </c>
      <c r="D455" s="19" t="s">
        <v>70</v>
      </c>
      <c r="E455" s="19" t="s">
        <v>51</v>
      </c>
      <c r="F455" s="19" t="s">
        <v>406</v>
      </c>
      <c r="G455" s="298"/>
      <c r="H455" s="10"/>
      <c r="I455" s="11"/>
      <c r="J455" s="11"/>
      <c r="K455" s="11"/>
      <c r="L455" s="11"/>
      <c r="M455" s="11"/>
      <c r="N455" s="11"/>
      <c r="O455" s="12"/>
      <c r="P455" s="11"/>
      <c r="Q455" s="13"/>
      <c r="R455" s="14"/>
    </row>
    <row r="456" spans="1:18" ht="15" customHeight="1">
      <c r="A456" s="17" t="s">
        <v>68</v>
      </c>
      <c r="B456" s="17" t="s">
        <v>407</v>
      </c>
      <c r="C456" s="18">
        <v>0.3125</v>
      </c>
      <c r="D456" s="17" t="s">
        <v>70</v>
      </c>
      <c r="E456" s="17" t="s">
        <v>57</v>
      </c>
      <c r="F456" s="17" t="s">
        <v>406</v>
      </c>
      <c r="G456" s="298"/>
      <c r="H456" s="10"/>
      <c r="I456" s="11"/>
      <c r="J456" s="11"/>
      <c r="K456" s="11"/>
      <c r="L456" s="11"/>
      <c r="M456" s="11"/>
      <c r="N456" s="11"/>
      <c r="O456" s="12"/>
      <c r="P456" s="11"/>
      <c r="Q456" s="13"/>
      <c r="R456" s="14"/>
    </row>
    <row r="457" spans="1:18" ht="15" customHeight="1">
      <c r="A457" s="17" t="s">
        <v>68</v>
      </c>
      <c r="B457" s="17" t="s">
        <v>408</v>
      </c>
      <c r="C457" s="18">
        <v>0.97222222222222221</v>
      </c>
      <c r="D457" s="17" t="s">
        <v>70</v>
      </c>
      <c r="E457" s="17" t="s">
        <v>57</v>
      </c>
      <c r="F457" s="17" t="s">
        <v>406</v>
      </c>
      <c r="G457" s="298"/>
      <c r="H457" s="10"/>
      <c r="I457" s="11"/>
      <c r="J457" s="11"/>
      <c r="K457" s="11"/>
      <c r="L457" s="11"/>
      <c r="M457" s="11"/>
      <c r="N457" s="11"/>
      <c r="O457" s="12"/>
      <c r="P457" s="11"/>
      <c r="Q457" s="13"/>
      <c r="R457" s="14"/>
    </row>
    <row r="458" spans="1:18" ht="15" customHeight="1">
      <c r="A458" s="17" t="s">
        <v>68</v>
      </c>
      <c r="B458" s="17" t="s">
        <v>437</v>
      </c>
      <c r="C458" s="18">
        <v>0.1041666666666667</v>
      </c>
      <c r="D458" s="17" t="s">
        <v>70</v>
      </c>
      <c r="E458" s="17" t="s">
        <v>57</v>
      </c>
      <c r="F458" s="17" t="s">
        <v>406</v>
      </c>
      <c r="G458" s="298"/>
      <c r="H458" s="10"/>
      <c r="I458" s="11"/>
      <c r="J458" s="11"/>
      <c r="K458" s="11"/>
      <c r="L458" s="11"/>
      <c r="M458" s="11"/>
      <c r="N458" s="11"/>
      <c r="O458" s="12"/>
      <c r="P458" s="11"/>
      <c r="Q458" s="13"/>
      <c r="R458" s="14"/>
    </row>
    <row r="459" spans="1:18" ht="15" customHeight="1">
      <c r="A459" s="17" t="s">
        <v>68</v>
      </c>
      <c r="B459" s="17" t="s">
        <v>409</v>
      </c>
      <c r="C459" s="18">
        <v>0.34027777777777768</v>
      </c>
      <c r="D459" s="17" t="s">
        <v>70</v>
      </c>
      <c r="E459" s="17" t="s">
        <v>57</v>
      </c>
      <c r="F459" s="17" t="s">
        <v>406</v>
      </c>
      <c r="G459" s="298"/>
      <c r="H459" s="10"/>
      <c r="I459" s="11"/>
      <c r="J459" s="11"/>
      <c r="K459" s="11"/>
      <c r="L459" s="11"/>
      <c r="M459" s="11"/>
      <c r="N459" s="11"/>
      <c r="O459" s="12"/>
      <c r="P459" s="11"/>
      <c r="Q459" s="13"/>
      <c r="R459" s="14"/>
    </row>
    <row r="460" spans="1:18" ht="15" customHeight="1">
      <c r="A460" s="17" t="s">
        <v>68</v>
      </c>
      <c r="B460" s="17" t="s">
        <v>411</v>
      </c>
      <c r="C460" s="18">
        <v>0.78472222222222221</v>
      </c>
      <c r="D460" s="17" t="s">
        <v>70</v>
      </c>
      <c r="E460" s="17" t="s">
        <v>57</v>
      </c>
      <c r="F460" s="17" t="s">
        <v>406</v>
      </c>
      <c r="G460" s="298"/>
      <c r="H460" s="10"/>
      <c r="I460" s="11"/>
      <c r="J460" s="11"/>
      <c r="K460" s="11"/>
      <c r="L460" s="11"/>
      <c r="M460" s="11"/>
      <c r="N460" s="11"/>
      <c r="O460" s="12"/>
      <c r="P460" s="11"/>
      <c r="Q460" s="13"/>
      <c r="R460" s="14"/>
    </row>
    <row r="461" spans="1:18" ht="15" customHeight="1">
      <c r="A461" s="17" t="s">
        <v>68</v>
      </c>
      <c r="B461" s="17" t="s">
        <v>410</v>
      </c>
      <c r="C461" s="18">
        <v>0.59722222222222221</v>
      </c>
      <c r="D461" s="17" t="s">
        <v>70</v>
      </c>
      <c r="E461" s="17" t="s">
        <v>57</v>
      </c>
      <c r="F461" s="17" t="s">
        <v>406</v>
      </c>
      <c r="G461" s="298"/>
      <c r="H461" s="10"/>
      <c r="I461" s="11"/>
      <c r="J461" s="11"/>
      <c r="K461" s="11"/>
      <c r="L461" s="11"/>
      <c r="M461" s="11"/>
      <c r="N461" s="11"/>
      <c r="O461" s="12"/>
      <c r="P461" s="11"/>
      <c r="Q461" s="13"/>
      <c r="R461" s="14"/>
    </row>
    <row r="462" spans="1:18" ht="15" customHeight="1">
      <c r="A462" s="17" t="s">
        <v>68</v>
      </c>
      <c r="B462" s="17" t="s">
        <v>413</v>
      </c>
      <c r="C462" s="18">
        <v>4.8611111111111112E-2</v>
      </c>
      <c r="D462" s="17" t="s">
        <v>70</v>
      </c>
      <c r="E462" s="17" t="s">
        <v>57</v>
      </c>
      <c r="F462" s="17" t="s">
        <v>406</v>
      </c>
      <c r="G462" s="298"/>
      <c r="H462" s="10"/>
      <c r="I462" s="11"/>
      <c r="J462" s="11"/>
      <c r="K462" s="11"/>
      <c r="L462" s="11"/>
      <c r="M462" s="11"/>
      <c r="N462" s="11"/>
      <c r="O462" s="12"/>
      <c r="P462" s="11"/>
      <c r="Q462" s="13"/>
      <c r="R462" s="14"/>
    </row>
    <row r="463" spans="1:18" ht="15" customHeight="1">
      <c r="A463" s="19" t="s">
        <v>415</v>
      </c>
      <c r="B463" s="19" t="s">
        <v>416</v>
      </c>
      <c r="C463" s="20">
        <v>0.10069444444444441</v>
      </c>
      <c r="D463" s="19" t="s">
        <v>63</v>
      </c>
      <c r="E463" s="19" t="s">
        <v>51</v>
      </c>
      <c r="F463" s="19" t="s">
        <v>417</v>
      </c>
      <c r="G463" s="298"/>
      <c r="H463" s="10"/>
      <c r="I463" s="11"/>
      <c r="J463" s="11"/>
      <c r="K463" s="11"/>
      <c r="L463" s="11"/>
      <c r="M463" s="11"/>
      <c r="N463" s="11"/>
      <c r="O463" s="12"/>
      <c r="P463" s="11"/>
      <c r="Q463" s="13"/>
      <c r="R463" s="14"/>
    </row>
    <row r="464" spans="1:18" ht="15" customHeight="1" thickBot="1">
      <c r="A464" s="30" t="s">
        <v>415</v>
      </c>
      <c r="B464" s="30" t="s">
        <v>418</v>
      </c>
      <c r="C464" s="31">
        <v>0.27083333333333331</v>
      </c>
      <c r="D464" s="30" t="s">
        <v>63</v>
      </c>
      <c r="E464" s="30" t="s">
        <v>57</v>
      </c>
      <c r="F464" s="30" t="s">
        <v>417</v>
      </c>
      <c r="G464" s="299"/>
      <c r="H464" s="300"/>
      <c r="I464" s="140"/>
      <c r="J464" s="140"/>
      <c r="K464" s="140"/>
      <c r="L464" s="140"/>
      <c r="M464" s="140"/>
      <c r="N464" s="140"/>
      <c r="O464" s="141"/>
      <c r="P464" s="140"/>
      <c r="Q464" s="142"/>
      <c r="R464" s="301"/>
    </row>
    <row r="465" spans="1:18" ht="17.45" customHeight="1" thickBot="1">
      <c r="A465" s="283"/>
      <c r="B465" s="284"/>
      <c r="C465" s="284"/>
      <c r="D465" s="284"/>
      <c r="E465" s="284"/>
      <c r="F465" s="284"/>
      <c r="G465" s="284"/>
      <c r="H465" s="284"/>
      <c r="I465" s="284"/>
      <c r="J465" s="284"/>
      <c r="K465" s="284"/>
      <c r="L465" s="284"/>
      <c r="M465" s="284"/>
      <c r="N465" s="284"/>
      <c r="O465" s="284"/>
      <c r="P465" s="284"/>
      <c r="Q465" s="284"/>
      <c r="R465" s="285"/>
    </row>
    <row r="466" spans="1:18" ht="22.15" customHeight="1" thickTop="1" thickBot="1">
      <c r="A466" s="279" t="s">
        <v>6</v>
      </c>
      <c r="B466" s="295"/>
      <c r="C466" s="295"/>
      <c r="D466" s="295"/>
      <c r="E466" s="295"/>
      <c r="F466" s="296"/>
      <c r="G466" s="32">
        <v>46029</v>
      </c>
      <c r="H466" s="278" t="s">
        <v>7</v>
      </c>
      <c r="I466" s="295"/>
      <c r="J466" s="295"/>
      <c r="K466" s="295"/>
      <c r="L466" s="295"/>
      <c r="M466" s="295"/>
      <c r="N466" s="295"/>
      <c r="O466" s="295"/>
      <c r="P466" s="295"/>
      <c r="Q466" s="295"/>
      <c r="R466" s="296"/>
    </row>
    <row r="467" spans="1:18" ht="24" customHeight="1">
      <c r="A467" s="33" t="s">
        <v>8</v>
      </c>
      <c r="B467" s="33" t="s">
        <v>9</v>
      </c>
      <c r="C467" s="34" t="s">
        <v>10</v>
      </c>
      <c r="D467" s="33" t="s">
        <v>11</v>
      </c>
      <c r="E467" s="33" t="s">
        <v>12</v>
      </c>
      <c r="F467" s="35" t="s">
        <v>13</v>
      </c>
      <c r="G467" s="36" t="s">
        <v>14</v>
      </c>
      <c r="H467" s="33" t="s">
        <v>15</v>
      </c>
      <c r="I467" s="37" t="s">
        <v>16</v>
      </c>
      <c r="J467" s="38" t="s">
        <v>17</v>
      </c>
      <c r="K467" s="39" t="s">
        <v>18</v>
      </c>
      <c r="L467" s="38" t="s">
        <v>19</v>
      </c>
      <c r="M467" s="38" t="s">
        <v>20</v>
      </c>
      <c r="N467" s="38" t="s">
        <v>21</v>
      </c>
      <c r="O467" s="33" t="s">
        <v>22</v>
      </c>
      <c r="P467" s="34" t="s">
        <v>23</v>
      </c>
      <c r="Q467" s="38" t="s">
        <v>24</v>
      </c>
      <c r="R467" s="33" t="s">
        <v>25</v>
      </c>
    </row>
    <row r="468" spans="1:18" ht="15" customHeight="1">
      <c r="A468" s="8" t="s">
        <v>38</v>
      </c>
      <c r="B468" s="8" t="s">
        <v>342</v>
      </c>
      <c r="C468" s="9">
        <v>0.48958333333333331</v>
      </c>
      <c r="D468" s="8" t="s">
        <v>40</v>
      </c>
      <c r="E468" s="8" t="s">
        <v>130</v>
      </c>
      <c r="F468" s="8" t="s">
        <v>88</v>
      </c>
      <c r="G468" s="297"/>
      <c r="H468" s="10"/>
      <c r="I468" s="11"/>
      <c r="J468" s="11"/>
      <c r="K468" s="11"/>
      <c r="L468" s="11"/>
      <c r="M468" s="11"/>
      <c r="N468" s="11"/>
      <c r="O468" s="12"/>
      <c r="P468" s="11"/>
      <c r="Q468" s="13"/>
      <c r="R468" s="14"/>
    </row>
    <row r="469" spans="1:18" ht="15" customHeight="1">
      <c r="A469" s="15" t="s">
        <v>38</v>
      </c>
      <c r="B469" s="15" t="s">
        <v>342</v>
      </c>
      <c r="C469" s="16">
        <v>0.48958333333333331</v>
      </c>
      <c r="D469" s="15" t="s">
        <v>43</v>
      </c>
      <c r="E469" s="15" t="s">
        <v>132</v>
      </c>
      <c r="F469" s="15" t="s">
        <v>89</v>
      </c>
      <c r="G469" s="298"/>
      <c r="H469" s="10"/>
      <c r="I469" s="11"/>
      <c r="J469" s="11"/>
      <c r="K469" s="11"/>
      <c r="L469" s="11"/>
      <c r="M469" s="11"/>
      <c r="N469" s="11"/>
      <c r="O469" s="12"/>
      <c r="P469" s="11"/>
      <c r="Q469" s="13"/>
      <c r="R469" s="14"/>
    </row>
    <row r="470" spans="1:18" ht="15" customHeight="1">
      <c r="A470" s="15" t="s">
        <v>38</v>
      </c>
      <c r="B470" s="15" t="s">
        <v>342</v>
      </c>
      <c r="C470" s="16">
        <v>0.48958333333333331</v>
      </c>
      <c r="D470" s="15" t="s">
        <v>46</v>
      </c>
      <c r="E470" s="15" t="s">
        <v>132</v>
      </c>
      <c r="F470" s="15" t="s">
        <v>47</v>
      </c>
      <c r="G470" s="298"/>
      <c r="H470" s="10"/>
      <c r="I470" s="11"/>
      <c r="J470" s="11"/>
      <c r="K470" s="11"/>
      <c r="L470" s="11"/>
      <c r="M470" s="11"/>
      <c r="N470" s="11"/>
      <c r="O470" s="12"/>
      <c r="P470" s="11"/>
      <c r="Q470" s="13"/>
      <c r="R470" s="14"/>
    </row>
    <row r="471" spans="1:18" ht="15" customHeight="1">
      <c r="A471" s="17" t="s">
        <v>38</v>
      </c>
      <c r="B471" s="17" t="s">
        <v>344</v>
      </c>
      <c r="C471" s="18">
        <v>0.88888888888888884</v>
      </c>
      <c r="D471" s="17" t="s">
        <v>40</v>
      </c>
      <c r="E471" s="17" t="s">
        <v>125</v>
      </c>
      <c r="F471" s="17" t="s">
        <v>343</v>
      </c>
      <c r="G471" s="298"/>
      <c r="H471" s="10"/>
      <c r="I471" s="11"/>
      <c r="J471" s="11"/>
      <c r="K471" s="11"/>
      <c r="L471" s="11"/>
      <c r="M471" s="11"/>
      <c r="N471" s="11"/>
      <c r="O471" s="12"/>
      <c r="P471" s="11"/>
      <c r="Q471" s="13"/>
      <c r="R471" s="14"/>
    </row>
    <row r="472" spans="1:18" ht="15" customHeight="1">
      <c r="A472" s="15" t="s">
        <v>38</v>
      </c>
      <c r="B472" s="15" t="s">
        <v>344</v>
      </c>
      <c r="C472" s="16">
        <v>0.88888888888888884</v>
      </c>
      <c r="D472" s="15" t="s">
        <v>43</v>
      </c>
      <c r="E472" s="15" t="s">
        <v>44</v>
      </c>
      <c r="F472" s="15" t="s">
        <v>33</v>
      </c>
      <c r="G472" s="298"/>
      <c r="H472" s="10"/>
      <c r="I472" s="11"/>
      <c r="J472" s="11"/>
      <c r="K472" s="11"/>
      <c r="L472" s="11"/>
      <c r="M472" s="11"/>
      <c r="N472" s="11"/>
      <c r="O472" s="12"/>
      <c r="P472" s="11"/>
      <c r="Q472" s="13"/>
      <c r="R472" s="14"/>
    </row>
    <row r="473" spans="1:18" ht="15" customHeight="1">
      <c r="A473" s="15" t="s">
        <v>38</v>
      </c>
      <c r="B473" s="15" t="s">
        <v>344</v>
      </c>
      <c r="C473" s="16">
        <v>0.88888888888888884</v>
      </c>
      <c r="D473" s="15" t="s">
        <v>46</v>
      </c>
      <c r="E473" s="15" t="s">
        <v>44</v>
      </c>
      <c r="F473" s="15" t="s">
        <v>47</v>
      </c>
      <c r="G473" s="298"/>
      <c r="H473" s="10"/>
      <c r="I473" s="11"/>
      <c r="J473" s="11"/>
      <c r="K473" s="11"/>
      <c r="L473" s="11"/>
      <c r="M473" s="11"/>
      <c r="N473" s="11"/>
      <c r="O473" s="12"/>
      <c r="P473" s="11"/>
      <c r="Q473" s="13"/>
      <c r="R473" s="14"/>
    </row>
    <row r="474" spans="1:18" ht="15" customHeight="1">
      <c r="A474" s="17" t="s">
        <v>38</v>
      </c>
      <c r="B474" s="17" t="s">
        <v>345</v>
      </c>
      <c r="C474" s="18">
        <v>0.98958333333333337</v>
      </c>
      <c r="D474" s="17" t="s">
        <v>40</v>
      </c>
      <c r="E474" s="17" t="s">
        <v>170</v>
      </c>
      <c r="F474" s="17" t="s">
        <v>343</v>
      </c>
      <c r="G474" s="298"/>
      <c r="H474" s="10"/>
      <c r="I474" s="11"/>
      <c r="J474" s="11"/>
      <c r="K474" s="11"/>
      <c r="L474" s="11"/>
      <c r="M474" s="11"/>
      <c r="N474" s="11"/>
      <c r="O474" s="12"/>
      <c r="P474" s="11"/>
      <c r="Q474" s="13"/>
      <c r="R474" s="14"/>
    </row>
    <row r="475" spans="1:18" ht="15" customHeight="1">
      <c r="A475" s="15" t="s">
        <v>38</v>
      </c>
      <c r="B475" s="15" t="s">
        <v>345</v>
      </c>
      <c r="C475" s="16">
        <v>0.98958333333333337</v>
      </c>
      <c r="D475" s="15" t="s">
        <v>43</v>
      </c>
      <c r="E475" s="15" t="s">
        <v>152</v>
      </c>
      <c r="F475" s="15" t="s">
        <v>33</v>
      </c>
      <c r="G475" s="298"/>
      <c r="H475" s="10"/>
      <c r="I475" s="11"/>
      <c r="J475" s="11"/>
      <c r="K475" s="11"/>
      <c r="L475" s="11"/>
      <c r="M475" s="11"/>
      <c r="N475" s="11"/>
      <c r="O475" s="12"/>
      <c r="P475" s="11"/>
      <c r="Q475" s="13"/>
      <c r="R475" s="14"/>
    </row>
    <row r="476" spans="1:18" ht="15" customHeight="1">
      <c r="A476" s="15" t="s">
        <v>38</v>
      </c>
      <c r="B476" s="15" t="s">
        <v>345</v>
      </c>
      <c r="C476" s="16">
        <v>0.98958333333333337</v>
      </c>
      <c r="D476" s="15" t="s">
        <v>46</v>
      </c>
      <c r="E476" s="15" t="s">
        <v>152</v>
      </c>
      <c r="F476" s="15" t="s">
        <v>47</v>
      </c>
      <c r="G476" s="298"/>
      <c r="H476" s="10"/>
      <c r="I476" s="11"/>
      <c r="J476" s="11"/>
      <c r="K476" s="11"/>
      <c r="L476" s="11"/>
      <c r="M476" s="11"/>
      <c r="N476" s="11"/>
      <c r="O476" s="12"/>
      <c r="P476" s="11"/>
      <c r="Q476" s="13"/>
      <c r="R476" s="14"/>
    </row>
    <row r="477" spans="1:18" ht="15" customHeight="1">
      <c r="A477" s="17" t="s">
        <v>38</v>
      </c>
      <c r="B477" s="17" t="s">
        <v>346</v>
      </c>
      <c r="C477" s="18">
        <v>0.39930555555555558</v>
      </c>
      <c r="D477" s="17" t="s">
        <v>40</v>
      </c>
      <c r="E477" s="17" t="s">
        <v>125</v>
      </c>
      <c r="F477" s="17" t="s">
        <v>30</v>
      </c>
      <c r="G477" s="298"/>
      <c r="H477" s="10"/>
      <c r="I477" s="11"/>
      <c r="J477" s="11"/>
      <c r="K477" s="11"/>
      <c r="L477" s="11"/>
      <c r="M477" s="11"/>
      <c r="N477" s="11"/>
      <c r="O477" s="12"/>
      <c r="P477" s="11"/>
      <c r="Q477" s="13"/>
      <c r="R477" s="14"/>
    </row>
    <row r="478" spans="1:18" ht="15" customHeight="1">
      <c r="A478" s="15" t="s">
        <v>38</v>
      </c>
      <c r="B478" s="15" t="s">
        <v>346</v>
      </c>
      <c r="C478" s="16">
        <v>0.39930555555555558</v>
      </c>
      <c r="D478" s="15" t="s">
        <v>43</v>
      </c>
      <c r="E478" s="15" t="s">
        <v>44</v>
      </c>
      <c r="F478" s="15" t="s">
        <v>420</v>
      </c>
      <c r="G478" s="298"/>
      <c r="H478" s="10"/>
      <c r="I478" s="11"/>
      <c r="J478" s="11"/>
      <c r="K478" s="11"/>
      <c r="L478" s="11"/>
      <c r="M478" s="11"/>
      <c r="N478" s="11"/>
      <c r="O478" s="12"/>
      <c r="P478" s="11"/>
      <c r="Q478" s="13"/>
      <c r="R478" s="14"/>
    </row>
    <row r="479" spans="1:18" ht="15" customHeight="1">
      <c r="A479" s="15" t="s">
        <v>38</v>
      </c>
      <c r="B479" s="15" t="s">
        <v>346</v>
      </c>
      <c r="C479" s="16">
        <v>0.39930555555555558</v>
      </c>
      <c r="D479" s="15" t="s">
        <v>46</v>
      </c>
      <c r="E479" s="15" t="s">
        <v>44</v>
      </c>
      <c r="F479" s="15" t="s">
        <v>47</v>
      </c>
      <c r="G479" s="298"/>
      <c r="H479" s="10"/>
      <c r="I479" s="11"/>
      <c r="J479" s="11"/>
      <c r="K479" s="11"/>
      <c r="L479" s="11"/>
      <c r="M479" s="11"/>
      <c r="N479" s="11"/>
      <c r="O479" s="12"/>
      <c r="P479" s="11"/>
      <c r="Q479" s="13"/>
      <c r="R479" s="14"/>
    </row>
    <row r="480" spans="1:18" ht="15" customHeight="1">
      <c r="A480" s="19" t="s">
        <v>26</v>
      </c>
      <c r="B480" s="19" t="s">
        <v>348</v>
      </c>
      <c r="C480" s="20">
        <v>0.99305555555555547</v>
      </c>
      <c r="D480" s="19" t="s">
        <v>28</v>
      </c>
      <c r="E480" s="19" t="s">
        <v>103</v>
      </c>
      <c r="F480" s="19" t="s">
        <v>131</v>
      </c>
      <c r="G480" s="298"/>
      <c r="H480" s="10"/>
      <c r="I480" s="11"/>
      <c r="J480" s="11"/>
      <c r="K480" s="11"/>
      <c r="L480" s="11"/>
      <c r="M480" s="11"/>
      <c r="N480" s="11"/>
      <c r="O480" s="12"/>
      <c r="P480" s="11"/>
      <c r="Q480" s="13"/>
      <c r="R480" s="14"/>
    </row>
    <row r="481" spans="1:18" ht="15" customHeight="1">
      <c r="A481" s="15" t="s">
        <v>26</v>
      </c>
      <c r="B481" s="15" t="s">
        <v>348</v>
      </c>
      <c r="C481" s="16">
        <v>0.99305555555555547</v>
      </c>
      <c r="D481" s="15" t="s">
        <v>31</v>
      </c>
      <c r="E481" s="15" t="s">
        <v>99</v>
      </c>
      <c r="F481" s="15" t="s">
        <v>349</v>
      </c>
      <c r="G481" s="298"/>
      <c r="H481" s="10"/>
      <c r="I481" s="11"/>
      <c r="J481" s="11"/>
      <c r="K481" s="11"/>
      <c r="L481" s="11"/>
      <c r="M481" s="11"/>
      <c r="N481" s="11"/>
      <c r="O481" s="12"/>
      <c r="P481" s="11"/>
      <c r="Q481" s="13"/>
      <c r="R481" s="14"/>
    </row>
    <row r="482" spans="1:18" ht="15" customHeight="1">
      <c r="A482" s="15" t="s">
        <v>26</v>
      </c>
      <c r="B482" s="15" t="s">
        <v>348</v>
      </c>
      <c r="C482" s="16">
        <v>0.99305555555555547</v>
      </c>
      <c r="D482" s="15" t="s">
        <v>34</v>
      </c>
      <c r="E482" s="15" t="s">
        <v>99</v>
      </c>
      <c r="F482" s="15" t="s">
        <v>138</v>
      </c>
      <c r="G482" s="298"/>
      <c r="H482" s="10"/>
      <c r="I482" s="11"/>
      <c r="J482" s="11"/>
      <c r="K482" s="11"/>
      <c r="L482" s="11"/>
      <c r="M482" s="11"/>
      <c r="N482" s="11"/>
      <c r="O482" s="12"/>
      <c r="P482" s="11"/>
      <c r="Q482" s="13"/>
      <c r="R482" s="14"/>
    </row>
    <row r="483" spans="1:18" ht="15" customHeight="1">
      <c r="A483" s="17" t="s">
        <v>26</v>
      </c>
      <c r="B483" s="17" t="s">
        <v>351</v>
      </c>
      <c r="C483" s="18">
        <v>0.83680555555555547</v>
      </c>
      <c r="D483" s="17" t="s">
        <v>28</v>
      </c>
      <c r="E483" s="17" t="s">
        <v>98</v>
      </c>
      <c r="F483" s="17" t="s">
        <v>131</v>
      </c>
      <c r="G483" s="298"/>
      <c r="H483" s="10"/>
      <c r="I483" s="11"/>
      <c r="J483" s="11"/>
      <c r="K483" s="11"/>
      <c r="L483" s="11"/>
      <c r="M483" s="11"/>
      <c r="N483" s="11"/>
      <c r="O483" s="12"/>
      <c r="P483" s="11"/>
      <c r="Q483" s="13"/>
      <c r="R483" s="14"/>
    </row>
    <row r="484" spans="1:18" ht="15" customHeight="1">
      <c r="A484" s="15" t="s">
        <v>26</v>
      </c>
      <c r="B484" s="15" t="s">
        <v>351</v>
      </c>
      <c r="C484" s="16">
        <v>0.83680555555555547</v>
      </c>
      <c r="D484" s="15" t="s">
        <v>31</v>
      </c>
      <c r="E484" s="15" t="s">
        <v>99</v>
      </c>
      <c r="F484" s="15" t="s">
        <v>349</v>
      </c>
      <c r="G484" s="298"/>
      <c r="H484" s="10"/>
      <c r="I484" s="11"/>
      <c r="J484" s="11"/>
      <c r="K484" s="11"/>
      <c r="L484" s="11"/>
      <c r="M484" s="11"/>
      <c r="N484" s="11"/>
      <c r="O484" s="12"/>
      <c r="P484" s="11"/>
      <c r="Q484" s="13"/>
      <c r="R484" s="14"/>
    </row>
    <row r="485" spans="1:18" ht="15" customHeight="1">
      <c r="A485" s="15" t="s">
        <v>26</v>
      </c>
      <c r="B485" s="15" t="s">
        <v>351</v>
      </c>
      <c r="C485" s="16">
        <v>0.83680555555555547</v>
      </c>
      <c r="D485" s="15" t="s">
        <v>34</v>
      </c>
      <c r="E485" s="15" t="s">
        <v>99</v>
      </c>
      <c r="F485" s="15" t="s">
        <v>138</v>
      </c>
      <c r="G485" s="298"/>
      <c r="H485" s="10"/>
      <c r="I485" s="11"/>
      <c r="J485" s="11"/>
      <c r="K485" s="11"/>
      <c r="L485" s="11"/>
      <c r="M485" s="11"/>
      <c r="N485" s="11"/>
      <c r="O485" s="12"/>
      <c r="P485" s="11"/>
      <c r="Q485" s="13"/>
      <c r="R485" s="14"/>
    </row>
    <row r="486" spans="1:18" ht="15" customHeight="1">
      <c r="A486" s="17" t="s">
        <v>26</v>
      </c>
      <c r="B486" s="17" t="s">
        <v>352</v>
      </c>
      <c r="C486" s="18">
        <v>0.94444444444444453</v>
      </c>
      <c r="D486" s="17" t="s">
        <v>28</v>
      </c>
      <c r="E486" s="17" t="s">
        <v>91</v>
      </c>
      <c r="F486" s="17" t="s">
        <v>131</v>
      </c>
      <c r="G486" s="298"/>
      <c r="H486" s="10"/>
      <c r="I486" s="11"/>
      <c r="J486" s="11"/>
      <c r="K486" s="11"/>
      <c r="L486" s="11"/>
      <c r="M486" s="11"/>
      <c r="N486" s="11"/>
      <c r="O486" s="12"/>
      <c r="P486" s="11"/>
      <c r="Q486" s="13"/>
      <c r="R486" s="14"/>
    </row>
    <row r="487" spans="1:18" ht="15" customHeight="1">
      <c r="A487" s="15" t="s">
        <v>26</v>
      </c>
      <c r="B487" s="15" t="s">
        <v>352</v>
      </c>
      <c r="C487" s="16">
        <v>0.94444444444444453</v>
      </c>
      <c r="D487" s="15" t="s">
        <v>31</v>
      </c>
      <c r="E487" s="15" t="s">
        <v>92</v>
      </c>
      <c r="F487" s="15" t="s">
        <v>349</v>
      </c>
      <c r="G487" s="298"/>
      <c r="H487" s="10"/>
      <c r="I487" s="11"/>
      <c r="J487" s="11"/>
      <c r="K487" s="11"/>
      <c r="L487" s="11"/>
      <c r="M487" s="11"/>
      <c r="N487" s="11"/>
      <c r="O487" s="12"/>
      <c r="P487" s="11"/>
      <c r="Q487" s="13"/>
      <c r="R487" s="14"/>
    </row>
    <row r="488" spans="1:18" ht="15" customHeight="1">
      <c r="A488" s="15" t="s">
        <v>26</v>
      </c>
      <c r="B488" s="15" t="s">
        <v>352</v>
      </c>
      <c r="C488" s="16">
        <v>0.94444444444444453</v>
      </c>
      <c r="D488" s="15" t="s">
        <v>34</v>
      </c>
      <c r="E488" s="15" t="s">
        <v>92</v>
      </c>
      <c r="F488" s="15" t="s">
        <v>138</v>
      </c>
      <c r="G488" s="298"/>
      <c r="H488" s="10"/>
      <c r="I488" s="11"/>
      <c r="J488" s="11"/>
      <c r="K488" s="11"/>
      <c r="L488" s="11"/>
      <c r="M488" s="11"/>
      <c r="N488" s="11"/>
      <c r="O488" s="12"/>
      <c r="P488" s="11"/>
      <c r="Q488" s="13"/>
      <c r="R488" s="14"/>
    </row>
    <row r="489" spans="1:18" ht="15" customHeight="1">
      <c r="A489" s="17" t="s">
        <v>26</v>
      </c>
      <c r="B489" s="17" t="s">
        <v>353</v>
      </c>
      <c r="C489" s="18">
        <v>0.88888888888888884</v>
      </c>
      <c r="D489" s="17" t="s">
        <v>28</v>
      </c>
      <c r="E489" s="17" t="s">
        <v>91</v>
      </c>
      <c r="F489" s="17" t="s">
        <v>131</v>
      </c>
      <c r="G489" s="298"/>
      <c r="H489" s="10"/>
      <c r="I489" s="11"/>
      <c r="J489" s="11"/>
      <c r="K489" s="11"/>
      <c r="L489" s="11"/>
      <c r="M489" s="11"/>
      <c r="N489" s="11"/>
      <c r="O489" s="12"/>
      <c r="P489" s="11"/>
      <c r="Q489" s="13"/>
      <c r="R489" s="14"/>
    </row>
    <row r="490" spans="1:18" ht="15" customHeight="1">
      <c r="A490" s="15" t="s">
        <v>26</v>
      </c>
      <c r="B490" s="15" t="s">
        <v>353</v>
      </c>
      <c r="C490" s="16">
        <v>0.88888888888888884</v>
      </c>
      <c r="D490" s="15" t="s">
        <v>31</v>
      </c>
      <c r="E490" s="15" t="s">
        <v>92</v>
      </c>
      <c r="F490" s="15" t="s">
        <v>349</v>
      </c>
      <c r="G490" s="298"/>
      <c r="H490" s="10"/>
      <c r="I490" s="11"/>
      <c r="J490" s="11"/>
      <c r="K490" s="11"/>
      <c r="L490" s="11"/>
      <c r="M490" s="11"/>
      <c r="N490" s="11"/>
      <c r="O490" s="12"/>
      <c r="P490" s="11"/>
      <c r="Q490" s="13"/>
      <c r="R490" s="14"/>
    </row>
    <row r="491" spans="1:18" ht="15" customHeight="1">
      <c r="A491" s="15" t="s">
        <v>26</v>
      </c>
      <c r="B491" s="15" t="s">
        <v>353</v>
      </c>
      <c r="C491" s="16">
        <v>0.88888888888888884</v>
      </c>
      <c r="D491" s="15" t="s">
        <v>34</v>
      </c>
      <c r="E491" s="15" t="s">
        <v>92</v>
      </c>
      <c r="F491" s="15" t="s">
        <v>138</v>
      </c>
      <c r="G491" s="298"/>
      <c r="H491" s="10"/>
      <c r="I491" s="11"/>
      <c r="J491" s="11"/>
      <c r="K491" s="11"/>
      <c r="L491" s="11"/>
      <c r="M491" s="11"/>
      <c r="N491" s="11"/>
      <c r="O491" s="12"/>
      <c r="P491" s="11"/>
      <c r="Q491" s="13"/>
      <c r="R491" s="14"/>
    </row>
    <row r="492" spans="1:18" ht="15" customHeight="1">
      <c r="A492" s="17" t="s">
        <v>26</v>
      </c>
      <c r="B492" s="17" t="s">
        <v>354</v>
      </c>
      <c r="C492" s="18">
        <v>0.34722222222222232</v>
      </c>
      <c r="D492" s="17" t="s">
        <v>28</v>
      </c>
      <c r="E492" s="17" t="s">
        <v>200</v>
      </c>
      <c r="F492" s="17" t="s">
        <v>83</v>
      </c>
      <c r="G492" s="298"/>
      <c r="H492" s="10"/>
      <c r="I492" s="11"/>
      <c r="J492" s="11"/>
      <c r="K492" s="11"/>
      <c r="L492" s="11"/>
      <c r="M492" s="11"/>
      <c r="N492" s="11"/>
      <c r="O492" s="12"/>
      <c r="P492" s="11"/>
      <c r="Q492" s="13"/>
      <c r="R492" s="14"/>
    </row>
    <row r="493" spans="1:18" ht="15" customHeight="1">
      <c r="A493" s="15" t="s">
        <v>26</v>
      </c>
      <c r="B493" s="15" t="s">
        <v>354</v>
      </c>
      <c r="C493" s="16">
        <v>0.34722222222222232</v>
      </c>
      <c r="D493" s="15" t="s">
        <v>31</v>
      </c>
      <c r="E493" s="15" t="s">
        <v>127</v>
      </c>
      <c r="F493" s="15" t="s">
        <v>159</v>
      </c>
      <c r="G493" s="298"/>
      <c r="H493" s="10"/>
      <c r="I493" s="11"/>
      <c r="J493" s="11"/>
      <c r="K493" s="11"/>
      <c r="L493" s="11"/>
      <c r="M493" s="11"/>
      <c r="N493" s="11"/>
      <c r="O493" s="12"/>
      <c r="P493" s="11"/>
      <c r="Q493" s="13"/>
      <c r="R493" s="14"/>
    </row>
    <row r="494" spans="1:18" ht="15" customHeight="1">
      <c r="A494" s="15" t="s">
        <v>26</v>
      </c>
      <c r="B494" s="15" t="s">
        <v>354</v>
      </c>
      <c r="C494" s="16">
        <v>0.34722222222222232</v>
      </c>
      <c r="D494" s="15" t="s">
        <v>34</v>
      </c>
      <c r="E494" s="15" t="s">
        <v>127</v>
      </c>
      <c r="F494" s="15" t="s">
        <v>355</v>
      </c>
      <c r="G494" s="298"/>
      <c r="H494" s="10"/>
      <c r="I494" s="11"/>
      <c r="J494" s="11"/>
      <c r="K494" s="11"/>
      <c r="L494" s="11"/>
      <c r="M494" s="11"/>
      <c r="N494" s="11"/>
      <c r="O494" s="12"/>
      <c r="P494" s="11"/>
      <c r="Q494" s="13"/>
      <c r="R494" s="14"/>
    </row>
    <row r="495" spans="1:18" ht="15" customHeight="1">
      <c r="A495" s="17" t="s">
        <v>26</v>
      </c>
      <c r="B495" s="17" t="s">
        <v>357</v>
      </c>
      <c r="C495" s="18">
        <v>0.3923611111111111</v>
      </c>
      <c r="D495" s="17" t="s">
        <v>28</v>
      </c>
      <c r="E495" s="17" t="s">
        <v>90</v>
      </c>
      <c r="F495" s="17" t="s">
        <v>45</v>
      </c>
      <c r="G495" s="298"/>
      <c r="H495" s="10"/>
      <c r="I495" s="11"/>
      <c r="J495" s="11"/>
      <c r="K495" s="11"/>
      <c r="L495" s="11"/>
      <c r="M495" s="11"/>
      <c r="N495" s="11"/>
      <c r="O495" s="12"/>
      <c r="P495" s="11"/>
      <c r="Q495" s="13"/>
      <c r="R495" s="14"/>
    </row>
    <row r="496" spans="1:18" ht="15" customHeight="1">
      <c r="A496" s="15" t="s">
        <v>26</v>
      </c>
      <c r="B496" s="15" t="s">
        <v>357</v>
      </c>
      <c r="C496" s="16">
        <v>0.3923611111111111</v>
      </c>
      <c r="D496" s="15" t="s">
        <v>31</v>
      </c>
      <c r="E496" s="15" t="s">
        <v>82</v>
      </c>
      <c r="F496" s="15" t="s">
        <v>355</v>
      </c>
      <c r="G496" s="298"/>
      <c r="H496" s="10"/>
      <c r="I496" s="11"/>
      <c r="J496" s="11"/>
      <c r="K496" s="11"/>
      <c r="L496" s="11"/>
      <c r="M496" s="11"/>
      <c r="N496" s="11"/>
      <c r="O496" s="12"/>
      <c r="P496" s="11"/>
      <c r="Q496" s="13"/>
      <c r="R496" s="14"/>
    </row>
    <row r="497" spans="1:18" ht="15" customHeight="1">
      <c r="A497" s="15" t="s">
        <v>26</v>
      </c>
      <c r="B497" s="15" t="s">
        <v>357</v>
      </c>
      <c r="C497" s="16">
        <v>0.3923611111111111</v>
      </c>
      <c r="D497" s="15" t="s">
        <v>34</v>
      </c>
      <c r="E497" s="15" t="s">
        <v>82</v>
      </c>
      <c r="F497" s="15" t="s">
        <v>358</v>
      </c>
      <c r="G497" s="298"/>
      <c r="H497" s="10"/>
      <c r="I497" s="11"/>
      <c r="J497" s="11"/>
      <c r="K497" s="11"/>
      <c r="L497" s="11"/>
      <c r="M497" s="11"/>
      <c r="N497" s="11"/>
      <c r="O497" s="12"/>
      <c r="P497" s="11"/>
      <c r="Q497" s="13"/>
      <c r="R497" s="14"/>
    </row>
    <row r="498" spans="1:18" ht="15" customHeight="1">
      <c r="A498" s="17" t="s">
        <v>26</v>
      </c>
      <c r="B498" s="17" t="s">
        <v>350</v>
      </c>
      <c r="C498" s="18">
        <v>0.73611111111111116</v>
      </c>
      <c r="D498" s="17" t="s">
        <v>28</v>
      </c>
      <c r="E498" s="17" t="s">
        <v>90</v>
      </c>
      <c r="F498" s="17" t="s">
        <v>455</v>
      </c>
      <c r="G498" s="298"/>
      <c r="H498" s="10"/>
      <c r="I498" s="11"/>
      <c r="J498" s="11"/>
      <c r="K498" s="11"/>
      <c r="L498" s="11"/>
      <c r="M498" s="11"/>
      <c r="N498" s="11"/>
      <c r="O498" s="12"/>
      <c r="P498" s="11"/>
      <c r="Q498" s="13"/>
      <c r="R498" s="14"/>
    </row>
    <row r="499" spans="1:18" ht="15" customHeight="1">
      <c r="A499" s="15" t="s">
        <v>26</v>
      </c>
      <c r="B499" s="15" t="s">
        <v>350</v>
      </c>
      <c r="C499" s="16">
        <v>0.73611111111111116</v>
      </c>
      <c r="D499" s="15" t="s">
        <v>31</v>
      </c>
      <c r="E499" s="15" t="s">
        <v>82</v>
      </c>
      <c r="F499" s="15" t="s">
        <v>456</v>
      </c>
      <c r="G499" s="298"/>
      <c r="H499" s="10"/>
      <c r="I499" s="11"/>
      <c r="J499" s="11"/>
      <c r="K499" s="11"/>
      <c r="L499" s="11"/>
      <c r="M499" s="11"/>
      <c r="N499" s="11"/>
      <c r="O499" s="12"/>
      <c r="P499" s="11"/>
      <c r="Q499" s="13"/>
      <c r="R499" s="14"/>
    </row>
    <row r="500" spans="1:18" ht="15" customHeight="1">
      <c r="A500" s="15" t="s">
        <v>26</v>
      </c>
      <c r="B500" s="15" t="s">
        <v>350</v>
      </c>
      <c r="C500" s="16">
        <v>0.73611111111111116</v>
      </c>
      <c r="D500" s="15" t="s">
        <v>34</v>
      </c>
      <c r="E500" s="15" t="s">
        <v>82</v>
      </c>
      <c r="F500" s="15" t="s">
        <v>457</v>
      </c>
      <c r="G500" s="298"/>
      <c r="H500" s="10"/>
      <c r="I500" s="11"/>
      <c r="J500" s="11"/>
      <c r="K500" s="11"/>
      <c r="L500" s="11"/>
      <c r="M500" s="11"/>
      <c r="N500" s="11"/>
      <c r="O500" s="12"/>
      <c r="P500" s="11"/>
      <c r="Q500" s="13"/>
      <c r="R500" s="14"/>
    </row>
    <row r="501" spans="1:18" ht="15" customHeight="1">
      <c r="A501" s="17" t="s">
        <v>26</v>
      </c>
      <c r="B501" s="17" t="s">
        <v>356</v>
      </c>
      <c r="C501" s="18">
        <v>0.4861111111111111</v>
      </c>
      <c r="D501" s="17" t="s">
        <v>28</v>
      </c>
      <c r="E501" s="17" t="s">
        <v>435</v>
      </c>
      <c r="F501" s="17" t="s">
        <v>456</v>
      </c>
      <c r="G501" s="298"/>
      <c r="H501" s="10"/>
      <c r="I501" s="11"/>
      <c r="J501" s="11"/>
      <c r="K501" s="11"/>
      <c r="L501" s="11"/>
      <c r="M501" s="11"/>
      <c r="N501" s="11"/>
      <c r="O501" s="12"/>
      <c r="P501" s="11"/>
      <c r="Q501" s="13"/>
      <c r="R501" s="14"/>
    </row>
    <row r="502" spans="1:18" ht="15" customHeight="1">
      <c r="A502" s="15" t="s">
        <v>26</v>
      </c>
      <c r="B502" s="15" t="s">
        <v>356</v>
      </c>
      <c r="C502" s="16">
        <v>0.4861111111111111</v>
      </c>
      <c r="D502" s="15" t="s">
        <v>31</v>
      </c>
      <c r="E502" s="15" t="s">
        <v>108</v>
      </c>
      <c r="F502" s="15" t="s">
        <v>106</v>
      </c>
      <c r="G502" s="298"/>
      <c r="H502" s="10"/>
      <c r="I502" s="11"/>
      <c r="J502" s="11"/>
      <c r="K502" s="11"/>
      <c r="L502" s="11"/>
      <c r="M502" s="11"/>
      <c r="N502" s="11"/>
      <c r="O502" s="12"/>
      <c r="P502" s="11"/>
      <c r="Q502" s="13"/>
      <c r="R502" s="14"/>
    </row>
    <row r="503" spans="1:18" ht="15" customHeight="1">
      <c r="A503" s="15" t="s">
        <v>26</v>
      </c>
      <c r="B503" s="15" t="s">
        <v>356</v>
      </c>
      <c r="C503" s="16">
        <v>0.4861111111111111</v>
      </c>
      <c r="D503" s="15" t="s">
        <v>34</v>
      </c>
      <c r="E503" s="15" t="s">
        <v>108</v>
      </c>
      <c r="F503" s="15" t="s">
        <v>478</v>
      </c>
      <c r="G503" s="298"/>
      <c r="H503" s="10"/>
      <c r="I503" s="11"/>
      <c r="J503" s="11"/>
      <c r="K503" s="11"/>
      <c r="L503" s="11"/>
      <c r="M503" s="11"/>
      <c r="N503" s="11"/>
      <c r="O503" s="12"/>
      <c r="P503" s="11"/>
      <c r="Q503" s="13"/>
      <c r="R503" s="14"/>
    </row>
    <row r="504" spans="1:18" ht="15" customHeight="1">
      <c r="A504" s="19" t="s">
        <v>359</v>
      </c>
      <c r="B504" s="19" t="s">
        <v>360</v>
      </c>
      <c r="C504" s="20">
        <v>0.22569444444444439</v>
      </c>
      <c r="D504" s="19" t="s">
        <v>361</v>
      </c>
      <c r="E504" s="19" t="s">
        <v>80</v>
      </c>
      <c r="F504" s="19" t="s">
        <v>362</v>
      </c>
      <c r="G504" s="298"/>
      <c r="H504" s="10"/>
      <c r="I504" s="11"/>
      <c r="J504" s="11"/>
      <c r="K504" s="11"/>
      <c r="L504" s="11"/>
      <c r="M504" s="11"/>
      <c r="N504" s="11"/>
      <c r="O504" s="12"/>
      <c r="P504" s="11"/>
      <c r="Q504" s="13"/>
      <c r="R504" s="14"/>
    </row>
    <row r="505" spans="1:18" ht="15" customHeight="1">
      <c r="A505" s="15" t="s">
        <v>359</v>
      </c>
      <c r="B505" s="15" t="s">
        <v>360</v>
      </c>
      <c r="C505" s="16">
        <v>0.22569444444444439</v>
      </c>
      <c r="D505" s="15" t="s">
        <v>46</v>
      </c>
      <c r="E505" s="15" t="s">
        <v>82</v>
      </c>
      <c r="F505" s="15" t="s">
        <v>363</v>
      </c>
      <c r="G505" s="298"/>
      <c r="H505" s="10"/>
      <c r="I505" s="11"/>
      <c r="J505" s="11"/>
      <c r="K505" s="11"/>
      <c r="L505" s="11"/>
      <c r="M505" s="11"/>
      <c r="N505" s="11"/>
      <c r="O505" s="12"/>
      <c r="P505" s="11"/>
      <c r="Q505" s="13"/>
      <c r="R505" s="14"/>
    </row>
    <row r="506" spans="1:18" ht="15" customHeight="1">
      <c r="A506" s="58" t="s">
        <v>61</v>
      </c>
      <c r="B506" s="58" t="s">
        <v>364</v>
      </c>
      <c r="C506" s="59">
        <v>0.2326388888888889</v>
      </c>
      <c r="D506" s="58" t="s">
        <v>63</v>
      </c>
      <c r="E506" s="58" t="s">
        <v>156</v>
      </c>
      <c r="F506" s="58" t="s">
        <v>365</v>
      </c>
      <c r="G506" s="298"/>
      <c r="H506" s="60" t="s">
        <v>366</v>
      </c>
      <c r="I506" s="61">
        <v>0.05</v>
      </c>
      <c r="J506" s="62">
        <v>9</v>
      </c>
      <c r="K506" s="63">
        <v>46343</v>
      </c>
      <c r="L506" s="62">
        <v>11</v>
      </c>
      <c r="M506" s="62">
        <v>0</v>
      </c>
      <c r="N506" s="62">
        <v>0</v>
      </c>
      <c r="O506" s="64" t="s">
        <v>430</v>
      </c>
      <c r="P506" s="65">
        <v>0.2326388888888889</v>
      </c>
      <c r="Q506" s="62">
        <v>180</v>
      </c>
      <c r="R506" s="66" t="s">
        <v>479</v>
      </c>
    </row>
    <row r="507" spans="1:18" ht="15" customHeight="1">
      <c r="A507" s="158" t="s">
        <v>61</v>
      </c>
      <c r="B507" s="158" t="s">
        <v>432</v>
      </c>
      <c r="C507" s="159">
        <v>0.34375</v>
      </c>
      <c r="D507" s="158" t="s">
        <v>63</v>
      </c>
      <c r="E507" s="158" t="s">
        <v>98</v>
      </c>
      <c r="F507" s="158" t="s">
        <v>365</v>
      </c>
      <c r="G507" s="298"/>
      <c r="H507" s="89" t="s">
        <v>433</v>
      </c>
      <c r="I507" s="90">
        <v>5.5999999999999999E-3</v>
      </c>
      <c r="J507" s="91">
        <v>1</v>
      </c>
      <c r="K507" s="92">
        <v>46300</v>
      </c>
      <c r="L507" s="91">
        <v>1</v>
      </c>
      <c r="M507" s="91">
        <v>0</v>
      </c>
      <c r="N507" s="91">
        <v>0</v>
      </c>
      <c r="O507" s="93" t="s">
        <v>431</v>
      </c>
      <c r="P507" s="94">
        <v>0.34375</v>
      </c>
      <c r="Q507" s="91">
        <v>180</v>
      </c>
      <c r="R507" s="95" t="s">
        <v>430</v>
      </c>
    </row>
    <row r="508" spans="1:18" ht="15" customHeight="1">
      <c r="A508" s="156" t="s">
        <v>61</v>
      </c>
      <c r="B508" s="156" t="s">
        <v>428</v>
      </c>
      <c r="C508" s="157">
        <v>0.9375</v>
      </c>
      <c r="D508" s="156" t="s">
        <v>63</v>
      </c>
      <c r="E508" s="156" t="s">
        <v>37</v>
      </c>
      <c r="F508" s="156" t="s">
        <v>365</v>
      </c>
      <c r="G508" s="298"/>
      <c r="H508" s="42" t="s">
        <v>429</v>
      </c>
      <c r="I508" s="43">
        <v>1.11E-2</v>
      </c>
      <c r="J508" s="44">
        <v>2</v>
      </c>
      <c r="K508" s="45">
        <v>46330</v>
      </c>
      <c r="L508" s="44">
        <v>2</v>
      </c>
      <c r="M508" s="44">
        <v>0</v>
      </c>
      <c r="N508" s="44">
        <v>0</v>
      </c>
      <c r="O508" s="46" t="s">
        <v>368</v>
      </c>
      <c r="P508" s="47">
        <v>0.9375</v>
      </c>
      <c r="Q508" s="44">
        <v>180</v>
      </c>
      <c r="R508" s="48" t="s">
        <v>367</v>
      </c>
    </row>
    <row r="509" spans="1:18" ht="15" customHeight="1">
      <c r="A509" s="148" t="s">
        <v>61</v>
      </c>
      <c r="B509" s="148" t="s">
        <v>375</v>
      </c>
      <c r="C509" s="149">
        <v>0.34027777777777768</v>
      </c>
      <c r="D509" s="148" t="s">
        <v>63</v>
      </c>
      <c r="E509" s="148" t="s">
        <v>37</v>
      </c>
      <c r="F509" s="148" t="s">
        <v>365</v>
      </c>
      <c r="G509" s="298"/>
      <c r="H509" s="51" t="s">
        <v>376</v>
      </c>
      <c r="I509" s="52">
        <v>1.11E-2</v>
      </c>
      <c r="J509" s="53">
        <v>2</v>
      </c>
      <c r="K509" s="54">
        <v>46329</v>
      </c>
      <c r="L509" s="53">
        <v>2</v>
      </c>
      <c r="M509" s="53">
        <v>0</v>
      </c>
      <c r="N509" s="53">
        <v>0</v>
      </c>
      <c r="O509" s="55" t="s">
        <v>368</v>
      </c>
      <c r="P509" s="56">
        <v>0.34027777777777768</v>
      </c>
      <c r="Q509" s="53">
        <v>180</v>
      </c>
      <c r="R509" s="57" t="s">
        <v>367</v>
      </c>
    </row>
    <row r="510" spans="1:18" ht="15" customHeight="1">
      <c r="A510" s="160" t="s">
        <v>61</v>
      </c>
      <c r="B510" s="160" t="s">
        <v>377</v>
      </c>
      <c r="C510" s="161">
        <v>0.4375</v>
      </c>
      <c r="D510" s="160" t="s">
        <v>63</v>
      </c>
      <c r="E510" s="160" t="s">
        <v>200</v>
      </c>
      <c r="F510" s="160" t="s">
        <v>365</v>
      </c>
      <c r="G510" s="298"/>
      <c r="H510" s="23" t="s">
        <v>378</v>
      </c>
      <c r="I510" s="24">
        <v>1.67E-2</v>
      </c>
      <c r="J510" s="25">
        <v>3</v>
      </c>
      <c r="K510" s="26">
        <v>46321</v>
      </c>
      <c r="L510" s="25">
        <v>3</v>
      </c>
      <c r="M510" s="25">
        <v>0</v>
      </c>
      <c r="N510" s="25">
        <v>0</v>
      </c>
      <c r="O510" s="27" t="s">
        <v>446</v>
      </c>
      <c r="P510" s="28">
        <v>0.4375</v>
      </c>
      <c r="Q510" s="25">
        <v>180</v>
      </c>
      <c r="R510" s="29" t="s">
        <v>446</v>
      </c>
    </row>
    <row r="511" spans="1:18" ht="15" customHeight="1">
      <c r="A511" s="19" t="s">
        <v>48</v>
      </c>
      <c r="B511" s="19" t="s">
        <v>386</v>
      </c>
      <c r="C511" s="20">
        <v>0.82986111111111116</v>
      </c>
      <c r="D511" s="19" t="s">
        <v>50</v>
      </c>
      <c r="E511" s="19" t="s">
        <v>156</v>
      </c>
      <c r="F511" s="19" t="s">
        <v>383</v>
      </c>
      <c r="G511" s="298"/>
      <c r="H511" s="10"/>
      <c r="I511" s="11"/>
      <c r="J511" s="11"/>
      <c r="K511" s="11"/>
      <c r="L511" s="11"/>
      <c r="M511" s="11"/>
      <c r="N511" s="11"/>
      <c r="O511" s="12"/>
      <c r="P511" s="11"/>
      <c r="Q511" s="13"/>
      <c r="R511" s="14"/>
    </row>
    <row r="512" spans="1:18" ht="15" customHeight="1">
      <c r="A512" s="15" t="s">
        <v>48</v>
      </c>
      <c r="B512" s="15" t="s">
        <v>386</v>
      </c>
      <c r="C512" s="16">
        <v>0.82986111111111116</v>
      </c>
      <c r="D512" s="15" t="s">
        <v>53</v>
      </c>
      <c r="E512" s="15" t="s">
        <v>135</v>
      </c>
      <c r="F512" s="15" t="s">
        <v>384</v>
      </c>
      <c r="G512" s="298"/>
      <c r="H512" s="10"/>
      <c r="I512" s="11"/>
      <c r="J512" s="11"/>
      <c r="K512" s="11"/>
      <c r="L512" s="11"/>
      <c r="M512" s="11"/>
      <c r="N512" s="11"/>
      <c r="O512" s="12"/>
      <c r="P512" s="11"/>
      <c r="Q512" s="13"/>
      <c r="R512" s="14"/>
    </row>
    <row r="513" spans="1:18" ht="15" customHeight="1">
      <c r="A513" s="17" t="s">
        <v>48</v>
      </c>
      <c r="B513" s="17" t="s">
        <v>385</v>
      </c>
      <c r="C513" s="18">
        <v>0.94097222222222221</v>
      </c>
      <c r="D513" s="17" t="s">
        <v>50</v>
      </c>
      <c r="E513" s="17" t="s">
        <v>435</v>
      </c>
      <c r="F513" s="17" t="s">
        <v>383</v>
      </c>
      <c r="G513" s="298"/>
      <c r="H513" s="10"/>
      <c r="I513" s="11"/>
      <c r="J513" s="11"/>
      <c r="K513" s="11"/>
      <c r="L513" s="11"/>
      <c r="M513" s="11"/>
      <c r="N513" s="11"/>
      <c r="O513" s="12"/>
      <c r="P513" s="11"/>
      <c r="Q513" s="13"/>
      <c r="R513" s="14"/>
    </row>
    <row r="514" spans="1:18" ht="15" customHeight="1">
      <c r="A514" s="15" t="s">
        <v>48</v>
      </c>
      <c r="B514" s="15" t="s">
        <v>385</v>
      </c>
      <c r="C514" s="16">
        <v>0.94097222222222221</v>
      </c>
      <c r="D514" s="15" t="s">
        <v>53</v>
      </c>
      <c r="E514" s="15" t="s">
        <v>108</v>
      </c>
      <c r="F514" s="15" t="s">
        <v>384</v>
      </c>
      <c r="G514" s="298"/>
      <c r="H514" s="10"/>
      <c r="I514" s="11"/>
      <c r="J514" s="11"/>
      <c r="K514" s="11"/>
      <c r="L514" s="11"/>
      <c r="M514" s="11"/>
      <c r="N514" s="11"/>
      <c r="O514" s="12"/>
      <c r="P514" s="11"/>
      <c r="Q514" s="13"/>
      <c r="R514" s="14"/>
    </row>
    <row r="515" spans="1:18" ht="15" customHeight="1">
      <c r="A515" s="17" t="s">
        <v>48</v>
      </c>
      <c r="B515" s="17" t="s">
        <v>388</v>
      </c>
      <c r="C515" s="18">
        <v>0.72222222222222221</v>
      </c>
      <c r="D515" s="17" t="s">
        <v>50</v>
      </c>
      <c r="E515" s="17" t="s">
        <v>57</v>
      </c>
      <c r="F515" s="17" t="s">
        <v>79</v>
      </c>
      <c r="G515" s="298"/>
      <c r="H515" s="10"/>
      <c r="I515" s="11"/>
      <c r="J515" s="11"/>
      <c r="K515" s="11"/>
      <c r="L515" s="11"/>
      <c r="M515" s="11"/>
      <c r="N515" s="11"/>
      <c r="O515" s="12"/>
      <c r="P515" s="11"/>
      <c r="Q515" s="13"/>
      <c r="R515" s="14"/>
    </row>
    <row r="516" spans="1:18" ht="15" customHeight="1">
      <c r="A516" s="15" t="s">
        <v>48</v>
      </c>
      <c r="B516" s="15" t="s">
        <v>388</v>
      </c>
      <c r="C516" s="16">
        <v>0.72222222222222221</v>
      </c>
      <c r="D516" s="15" t="s">
        <v>53</v>
      </c>
      <c r="E516" s="15" t="s">
        <v>54</v>
      </c>
      <c r="F516" s="15" t="s">
        <v>387</v>
      </c>
      <c r="G516" s="298"/>
      <c r="H516" s="10"/>
      <c r="I516" s="11"/>
      <c r="J516" s="11"/>
      <c r="K516" s="11"/>
      <c r="L516" s="11"/>
      <c r="M516" s="11"/>
      <c r="N516" s="11"/>
      <c r="O516" s="12"/>
      <c r="P516" s="11"/>
      <c r="Q516" s="13"/>
      <c r="R516" s="14"/>
    </row>
    <row r="517" spans="1:18" ht="15" customHeight="1">
      <c r="A517" s="17" t="s">
        <v>48</v>
      </c>
      <c r="B517" s="17" t="s">
        <v>389</v>
      </c>
      <c r="C517" s="18">
        <v>0.70138888888888884</v>
      </c>
      <c r="D517" s="17" t="s">
        <v>50</v>
      </c>
      <c r="E517" s="17" t="s">
        <v>57</v>
      </c>
      <c r="F517" s="17" t="s">
        <v>462</v>
      </c>
      <c r="G517" s="298"/>
      <c r="H517" s="10"/>
      <c r="I517" s="11"/>
      <c r="J517" s="11"/>
      <c r="K517" s="11"/>
      <c r="L517" s="11"/>
      <c r="M517" s="11"/>
      <c r="N517" s="11"/>
      <c r="O517" s="12"/>
      <c r="P517" s="11"/>
      <c r="Q517" s="13"/>
      <c r="R517" s="14"/>
    </row>
    <row r="518" spans="1:18" ht="15" customHeight="1">
      <c r="A518" s="15" t="s">
        <v>48</v>
      </c>
      <c r="B518" s="15" t="s">
        <v>389</v>
      </c>
      <c r="C518" s="16">
        <v>0.70138888888888884</v>
      </c>
      <c r="D518" s="15" t="s">
        <v>53</v>
      </c>
      <c r="E518" s="15" t="s">
        <v>54</v>
      </c>
      <c r="F518" s="15" t="s">
        <v>463</v>
      </c>
      <c r="G518" s="298"/>
      <c r="H518" s="10"/>
      <c r="I518" s="11"/>
      <c r="J518" s="11"/>
      <c r="K518" s="11"/>
      <c r="L518" s="11"/>
      <c r="M518" s="11"/>
      <c r="N518" s="11"/>
      <c r="O518" s="12"/>
      <c r="P518" s="11"/>
      <c r="Q518" s="13"/>
      <c r="R518" s="14"/>
    </row>
    <row r="519" spans="1:18" ht="15" customHeight="1">
      <c r="A519" s="17" t="s">
        <v>48</v>
      </c>
      <c r="B519" s="17" t="s">
        <v>390</v>
      </c>
      <c r="C519" s="18">
        <v>4.1666666666666657E-2</v>
      </c>
      <c r="D519" s="17" t="s">
        <v>50</v>
      </c>
      <c r="E519" s="17" t="s">
        <v>57</v>
      </c>
      <c r="F519" s="17" t="s">
        <v>392</v>
      </c>
      <c r="G519" s="298"/>
      <c r="H519" s="10"/>
      <c r="I519" s="11"/>
      <c r="J519" s="11"/>
      <c r="K519" s="11"/>
      <c r="L519" s="11"/>
      <c r="M519" s="11"/>
      <c r="N519" s="11"/>
      <c r="O519" s="12"/>
      <c r="P519" s="11"/>
      <c r="Q519" s="13"/>
      <c r="R519" s="14"/>
    </row>
    <row r="520" spans="1:18" ht="15" customHeight="1">
      <c r="A520" s="15" t="s">
        <v>48</v>
      </c>
      <c r="B520" s="15" t="s">
        <v>390</v>
      </c>
      <c r="C520" s="16">
        <v>4.1666666666666657E-2</v>
      </c>
      <c r="D520" s="15" t="s">
        <v>53</v>
      </c>
      <c r="E520" s="15" t="s">
        <v>54</v>
      </c>
      <c r="F520" s="15" t="s">
        <v>393</v>
      </c>
      <c r="G520" s="298"/>
      <c r="H520" s="10"/>
      <c r="I520" s="11"/>
      <c r="J520" s="11"/>
      <c r="K520" s="11"/>
      <c r="L520" s="11"/>
      <c r="M520" s="11"/>
      <c r="N520" s="11"/>
      <c r="O520" s="12"/>
      <c r="P520" s="11"/>
      <c r="Q520" s="13"/>
      <c r="R520" s="14"/>
    </row>
    <row r="521" spans="1:18" ht="15" customHeight="1">
      <c r="A521" s="17" t="s">
        <v>48</v>
      </c>
      <c r="B521" s="17" t="s">
        <v>394</v>
      </c>
      <c r="C521" s="18">
        <v>0.98958333333333337</v>
      </c>
      <c r="D521" s="17" t="s">
        <v>53</v>
      </c>
      <c r="E521" s="17" t="s">
        <v>37</v>
      </c>
      <c r="F521" s="17" t="s">
        <v>395</v>
      </c>
      <c r="G521" s="298"/>
      <c r="H521" s="10"/>
      <c r="I521" s="11"/>
      <c r="J521" s="11"/>
      <c r="K521" s="11"/>
      <c r="L521" s="11"/>
      <c r="M521" s="11"/>
      <c r="N521" s="11"/>
      <c r="O521" s="12"/>
      <c r="P521" s="11"/>
      <c r="Q521" s="13"/>
      <c r="R521" s="14"/>
    </row>
    <row r="522" spans="1:18" ht="15" customHeight="1">
      <c r="A522" s="17" t="s">
        <v>48</v>
      </c>
      <c r="B522" s="17" t="s">
        <v>396</v>
      </c>
      <c r="C522" s="18">
        <v>0.48958333333333331</v>
      </c>
      <c r="D522" s="17" t="s">
        <v>53</v>
      </c>
      <c r="E522" s="17" t="s">
        <v>37</v>
      </c>
      <c r="F522" s="17" t="s">
        <v>395</v>
      </c>
      <c r="G522" s="298"/>
      <c r="H522" s="10"/>
      <c r="I522" s="11"/>
      <c r="J522" s="11"/>
      <c r="K522" s="11"/>
      <c r="L522" s="11"/>
      <c r="M522" s="11"/>
      <c r="N522" s="11"/>
      <c r="O522" s="12"/>
      <c r="P522" s="11"/>
      <c r="Q522" s="13"/>
      <c r="R522" s="14"/>
    </row>
    <row r="523" spans="1:18" ht="15" customHeight="1">
      <c r="A523" s="17" t="s">
        <v>48</v>
      </c>
      <c r="B523" s="17" t="s">
        <v>397</v>
      </c>
      <c r="C523" s="18">
        <v>0.88888888888888884</v>
      </c>
      <c r="D523" s="17" t="s">
        <v>53</v>
      </c>
      <c r="E523" s="17" t="s">
        <v>37</v>
      </c>
      <c r="F523" s="17" t="s">
        <v>395</v>
      </c>
      <c r="G523" s="298"/>
      <c r="H523" s="10"/>
      <c r="I523" s="11"/>
      <c r="J523" s="11"/>
      <c r="K523" s="11"/>
      <c r="L523" s="11"/>
      <c r="M523" s="11"/>
      <c r="N523" s="11"/>
      <c r="O523" s="12"/>
      <c r="P523" s="11"/>
      <c r="Q523" s="13"/>
      <c r="R523" s="14"/>
    </row>
    <row r="524" spans="1:18" ht="15" customHeight="1">
      <c r="A524" s="17" t="s">
        <v>48</v>
      </c>
      <c r="B524" s="17" t="s">
        <v>398</v>
      </c>
      <c r="C524" s="18">
        <v>0.39930555555555558</v>
      </c>
      <c r="D524" s="17" t="s">
        <v>53</v>
      </c>
      <c r="E524" s="17" t="s">
        <v>37</v>
      </c>
      <c r="F524" s="17" t="s">
        <v>438</v>
      </c>
      <c r="G524" s="298"/>
      <c r="H524" s="10"/>
      <c r="I524" s="11"/>
      <c r="J524" s="11"/>
      <c r="K524" s="11"/>
      <c r="L524" s="11"/>
      <c r="M524" s="11"/>
      <c r="N524" s="11"/>
      <c r="O524" s="12"/>
      <c r="P524" s="11"/>
      <c r="Q524" s="13"/>
      <c r="R524" s="14"/>
    </row>
    <row r="525" spans="1:18" ht="15" customHeight="1">
      <c r="A525" s="17" t="s">
        <v>48</v>
      </c>
      <c r="B525" s="17" t="s">
        <v>391</v>
      </c>
      <c r="C525" s="18">
        <v>0.48958333333333331</v>
      </c>
      <c r="D525" s="17" t="s">
        <v>53</v>
      </c>
      <c r="E525" s="17" t="s">
        <v>57</v>
      </c>
      <c r="F525" s="17" t="s">
        <v>401</v>
      </c>
      <c r="G525" s="298"/>
      <c r="H525" s="10"/>
      <c r="I525" s="11"/>
      <c r="J525" s="11"/>
      <c r="K525" s="11"/>
      <c r="L525" s="11"/>
      <c r="M525" s="11"/>
      <c r="N525" s="11"/>
      <c r="O525" s="12"/>
      <c r="P525" s="11"/>
      <c r="Q525" s="13"/>
      <c r="R525" s="14"/>
    </row>
    <row r="526" spans="1:18" ht="15" customHeight="1">
      <c r="A526" s="17" t="s">
        <v>48</v>
      </c>
      <c r="B526" s="17" t="s">
        <v>382</v>
      </c>
      <c r="C526" s="18">
        <v>0.11805555555555559</v>
      </c>
      <c r="D526" s="17" t="s">
        <v>53</v>
      </c>
      <c r="E526" s="17" t="s">
        <v>57</v>
      </c>
      <c r="F526" s="17" t="s">
        <v>401</v>
      </c>
      <c r="G526" s="298"/>
      <c r="H526" s="10"/>
      <c r="I526" s="11"/>
      <c r="J526" s="11"/>
      <c r="K526" s="11"/>
      <c r="L526" s="11"/>
      <c r="M526" s="11"/>
      <c r="N526" s="11"/>
      <c r="O526" s="12"/>
      <c r="P526" s="11"/>
      <c r="Q526" s="13"/>
      <c r="R526" s="14"/>
    </row>
    <row r="527" spans="1:18" ht="15" customHeight="1">
      <c r="A527" s="17" t="s">
        <v>48</v>
      </c>
      <c r="B527" s="17" t="s">
        <v>400</v>
      </c>
      <c r="C527" s="18">
        <v>0.25347222222222221</v>
      </c>
      <c r="D527" s="17" t="s">
        <v>53</v>
      </c>
      <c r="E527" s="17" t="s">
        <v>57</v>
      </c>
      <c r="F527" s="17" t="s">
        <v>401</v>
      </c>
      <c r="G527" s="298"/>
      <c r="H527" s="10"/>
      <c r="I527" s="11"/>
      <c r="J527" s="11"/>
      <c r="K527" s="11"/>
      <c r="L527" s="11"/>
      <c r="M527" s="11"/>
      <c r="N527" s="11"/>
      <c r="O527" s="12"/>
      <c r="P527" s="11"/>
      <c r="Q527" s="13"/>
      <c r="R527" s="14"/>
    </row>
    <row r="528" spans="1:18" ht="15" customHeight="1">
      <c r="A528" s="19" t="s">
        <v>402</v>
      </c>
      <c r="B528" s="19" t="s">
        <v>403</v>
      </c>
      <c r="C528" s="20">
        <v>0.49305555555555558</v>
      </c>
      <c r="D528" s="19" t="s">
        <v>63</v>
      </c>
      <c r="E528" s="19" t="s">
        <v>103</v>
      </c>
      <c r="F528" s="19" t="s">
        <v>404</v>
      </c>
      <c r="G528" s="298"/>
      <c r="H528" s="10"/>
      <c r="I528" s="11"/>
      <c r="J528" s="11"/>
      <c r="K528" s="11"/>
      <c r="L528" s="11"/>
      <c r="M528" s="11"/>
      <c r="N528" s="11"/>
      <c r="O528" s="12"/>
      <c r="P528" s="11"/>
      <c r="Q528" s="13"/>
      <c r="R528" s="14"/>
    </row>
    <row r="529" spans="1:18" ht="15" customHeight="1">
      <c r="A529" s="17" t="s">
        <v>402</v>
      </c>
      <c r="B529" s="17" t="s">
        <v>465</v>
      </c>
      <c r="C529" s="18">
        <v>0.19444444444444439</v>
      </c>
      <c r="D529" s="17" t="s">
        <v>63</v>
      </c>
      <c r="E529" s="17" t="s">
        <v>98</v>
      </c>
      <c r="F529" s="17" t="s">
        <v>404</v>
      </c>
      <c r="G529" s="298"/>
      <c r="H529" s="10"/>
      <c r="I529" s="11"/>
      <c r="J529" s="11"/>
      <c r="K529" s="11"/>
      <c r="L529" s="11"/>
      <c r="M529" s="11"/>
      <c r="N529" s="11"/>
      <c r="O529" s="12"/>
      <c r="P529" s="11"/>
      <c r="Q529" s="13"/>
      <c r="R529" s="14"/>
    </row>
    <row r="530" spans="1:18" ht="15" customHeight="1">
      <c r="A530" s="19" t="s">
        <v>68</v>
      </c>
      <c r="B530" s="19" t="s">
        <v>405</v>
      </c>
      <c r="C530" s="20">
        <v>0.83680555555555547</v>
      </c>
      <c r="D530" s="19" t="s">
        <v>70</v>
      </c>
      <c r="E530" s="19" t="s">
        <v>51</v>
      </c>
      <c r="F530" s="19" t="s">
        <v>406</v>
      </c>
      <c r="G530" s="298"/>
      <c r="H530" s="10"/>
      <c r="I530" s="11"/>
      <c r="J530" s="11"/>
      <c r="K530" s="11"/>
      <c r="L530" s="11"/>
      <c r="M530" s="11"/>
      <c r="N530" s="11"/>
      <c r="O530" s="12"/>
      <c r="P530" s="11"/>
      <c r="Q530" s="13"/>
      <c r="R530" s="14"/>
    </row>
    <row r="531" spans="1:18" ht="15" customHeight="1">
      <c r="A531" s="17" t="s">
        <v>68</v>
      </c>
      <c r="B531" s="17" t="s">
        <v>408</v>
      </c>
      <c r="C531" s="18">
        <v>0.97222222222222221</v>
      </c>
      <c r="D531" s="17" t="s">
        <v>70</v>
      </c>
      <c r="E531" s="17" t="s">
        <v>57</v>
      </c>
      <c r="F531" s="17" t="s">
        <v>406</v>
      </c>
      <c r="G531" s="298"/>
      <c r="H531" s="10"/>
      <c r="I531" s="11"/>
      <c r="J531" s="11"/>
      <c r="K531" s="11"/>
      <c r="L531" s="11"/>
      <c r="M531" s="11"/>
      <c r="N531" s="11"/>
      <c r="O531" s="12"/>
      <c r="P531" s="11"/>
      <c r="Q531" s="13"/>
      <c r="R531" s="14"/>
    </row>
    <row r="532" spans="1:18" ht="15" customHeight="1">
      <c r="A532" s="17" t="s">
        <v>68</v>
      </c>
      <c r="B532" s="17" t="s">
        <v>437</v>
      </c>
      <c r="C532" s="18">
        <v>0.1041666666666667</v>
      </c>
      <c r="D532" s="17" t="s">
        <v>70</v>
      </c>
      <c r="E532" s="17" t="s">
        <v>57</v>
      </c>
      <c r="F532" s="17" t="s">
        <v>406</v>
      </c>
      <c r="G532" s="298"/>
      <c r="H532" s="10"/>
      <c r="I532" s="11"/>
      <c r="J532" s="11"/>
      <c r="K532" s="11"/>
      <c r="L532" s="11"/>
      <c r="M532" s="11"/>
      <c r="N532" s="11"/>
      <c r="O532" s="12"/>
      <c r="P532" s="11"/>
      <c r="Q532" s="13"/>
      <c r="R532" s="14"/>
    </row>
    <row r="533" spans="1:18" ht="15" customHeight="1">
      <c r="A533" s="17" t="s">
        <v>68</v>
      </c>
      <c r="B533" s="17" t="s">
        <v>411</v>
      </c>
      <c r="C533" s="18">
        <v>0.78472222222222221</v>
      </c>
      <c r="D533" s="17" t="s">
        <v>70</v>
      </c>
      <c r="E533" s="17" t="s">
        <v>57</v>
      </c>
      <c r="F533" s="17" t="s">
        <v>406</v>
      </c>
      <c r="G533" s="298"/>
      <c r="H533" s="10"/>
      <c r="I533" s="11"/>
      <c r="J533" s="11"/>
      <c r="K533" s="11"/>
      <c r="L533" s="11"/>
      <c r="M533" s="11"/>
      <c r="N533" s="11"/>
      <c r="O533" s="12"/>
      <c r="P533" s="11"/>
      <c r="Q533" s="13"/>
      <c r="R533" s="14"/>
    </row>
    <row r="534" spans="1:18" ht="15" customHeight="1">
      <c r="A534" s="17" t="s">
        <v>68</v>
      </c>
      <c r="B534" s="17" t="s">
        <v>410</v>
      </c>
      <c r="C534" s="18">
        <v>0.59722222222222221</v>
      </c>
      <c r="D534" s="17" t="s">
        <v>70</v>
      </c>
      <c r="E534" s="17" t="s">
        <v>57</v>
      </c>
      <c r="F534" s="17" t="s">
        <v>412</v>
      </c>
      <c r="G534" s="298"/>
      <c r="H534" s="10"/>
      <c r="I534" s="11"/>
      <c r="J534" s="11"/>
      <c r="K534" s="11"/>
      <c r="L534" s="11"/>
      <c r="M534" s="11"/>
      <c r="N534" s="11"/>
      <c r="O534" s="12"/>
      <c r="P534" s="11"/>
      <c r="Q534" s="13"/>
      <c r="R534" s="14"/>
    </row>
    <row r="535" spans="1:18" ht="15" customHeight="1">
      <c r="A535" s="19" t="s">
        <v>415</v>
      </c>
      <c r="B535" s="19" t="s">
        <v>418</v>
      </c>
      <c r="C535" s="20">
        <v>0.6875</v>
      </c>
      <c r="D535" s="19" t="s">
        <v>63</v>
      </c>
      <c r="E535" s="19" t="s">
        <v>51</v>
      </c>
      <c r="F535" s="19" t="s">
        <v>417</v>
      </c>
      <c r="G535" s="298"/>
      <c r="H535" s="10"/>
      <c r="I535" s="11"/>
      <c r="J535" s="11"/>
      <c r="K535" s="11"/>
      <c r="L535" s="11"/>
      <c r="M535" s="11"/>
      <c r="N535" s="11"/>
      <c r="O535" s="12"/>
      <c r="P535" s="11"/>
      <c r="Q535" s="13"/>
      <c r="R535" s="14"/>
    </row>
    <row r="536" spans="1:18" ht="15" customHeight="1" thickBot="1">
      <c r="A536" s="30" t="s">
        <v>415</v>
      </c>
      <c r="B536" s="30" t="s">
        <v>480</v>
      </c>
      <c r="C536" s="31">
        <v>0.80555555555555547</v>
      </c>
      <c r="D536" s="30" t="s">
        <v>63</v>
      </c>
      <c r="E536" s="30" t="s">
        <v>57</v>
      </c>
      <c r="F536" s="30" t="s">
        <v>417</v>
      </c>
      <c r="G536" s="299"/>
      <c r="H536" s="300"/>
      <c r="I536" s="140"/>
      <c r="J536" s="140"/>
      <c r="K536" s="140"/>
      <c r="L536" s="140"/>
      <c r="M536" s="140"/>
      <c r="N536" s="140"/>
      <c r="O536" s="141"/>
      <c r="P536" s="140"/>
      <c r="Q536" s="142"/>
      <c r="R536" s="301"/>
    </row>
    <row r="537" spans="1:18" ht="17.45" customHeight="1" thickBot="1">
      <c r="A537" s="283"/>
      <c r="B537" s="284"/>
      <c r="C537" s="284"/>
      <c r="D537" s="284"/>
      <c r="E537" s="284"/>
      <c r="F537" s="284"/>
      <c r="G537" s="284"/>
      <c r="H537" s="284"/>
      <c r="I537" s="284"/>
      <c r="J537" s="284"/>
      <c r="K537" s="284"/>
      <c r="L537" s="284"/>
      <c r="M537" s="284"/>
      <c r="N537" s="284"/>
      <c r="O537" s="284"/>
      <c r="P537" s="284"/>
      <c r="Q537" s="284"/>
      <c r="R537" s="285"/>
    </row>
    <row r="538" spans="1:18" ht="22.15" customHeight="1" thickTop="1" thickBot="1">
      <c r="A538" s="279" t="s">
        <v>6</v>
      </c>
      <c r="B538" s="295"/>
      <c r="C538" s="295"/>
      <c r="D538" s="295"/>
      <c r="E538" s="295"/>
      <c r="F538" s="296"/>
      <c r="G538" s="32">
        <v>46030</v>
      </c>
      <c r="H538" s="278" t="s">
        <v>7</v>
      </c>
      <c r="I538" s="295"/>
      <c r="J538" s="295"/>
      <c r="K538" s="295"/>
      <c r="L538" s="295"/>
      <c r="M538" s="295"/>
      <c r="N538" s="295"/>
      <c r="O538" s="295"/>
      <c r="P538" s="295"/>
      <c r="Q538" s="295"/>
      <c r="R538" s="296"/>
    </row>
    <row r="539" spans="1:18" ht="24" customHeight="1">
      <c r="A539" s="33" t="s">
        <v>8</v>
      </c>
      <c r="B539" s="33" t="s">
        <v>9</v>
      </c>
      <c r="C539" s="34" t="s">
        <v>10</v>
      </c>
      <c r="D539" s="33" t="s">
        <v>11</v>
      </c>
      <c r="E539" s="33" t="s">
        <v>12</v>
      </c>
      <c r="F539" s="35" t="s">
        <v>13</v>
      </c>
      <c r="G539" s="36" t="s">
        <v>14</v>
      </c>
      <c r="H539" s="33" t="s">
        <v>15</v>
      </c>
      <c r="I539" s="37" t="s">
        <v>16</v>
      </c>
      <c r="J539" s="38" t="s">
        <v>17</v>
      </c>
      <c r="K539" s="39" t="s">
        <v>18</v>
      </c>
      <c r="L539" s="38" t="s">
        <v>19</v>
      </c>
      <c r="M539" s="38" t="s">
        <v>20</v>
      </c>
      <c r="N539" s="38" t="s">
        <v>21</v>
      </c>
      <c r="O539" s="33" t="s">
        <v>22</v>
      </c>
      <c r="P539" s="34" t="s">
        <v>23</v>
      </c>
      <c r="Q539" s="38" t="s">
        <v>24</v>
      </c>
      <c r="R539" s="33" t="s">
        <v>25</v>
      </c>
    </row>
    <row r="540" spans="1:18" ht="15" customHeight="1">
      <c r="A540" s="8" t="s">
        <v>38</v>
      </c>
      <c r="B540" s="8" t="s">
        <v>344</v>
      </c>
      <c r="C540" s="9">
        <v>0.88888888888888884</v>
      </c>
      <c r="D540" s="8" t="s">
        <v>40</v>
      </c>
      <c r="E540" s="8" t="s">
        <v>192</v>
      </c>
      <c r="F540" s="8" t="s">
        <v>343</v>
      </c>
      <c r="G540" s="297"/>
      <c r="H540" s="10"/>
      <c r="I540" s="11"/>
      <c r="J540" s="11"/>
      <c r="K540" s="11"/>
      <c r="L540" s="11"/>
      <c r="M540" s="11"/>
      <c r="N540" s="11"/>
      <c r="O540" s="12"/>
      <c r="P540" s="11"/>
      <c r="Q540" s="13"/>
      <c r="R540" s="14"/>
    </row>
    <row r="541" spans="1:18" ht="15" customHeight="1">
      <c r="A541" s="15" t="s">
        <v>38</v>
      </c>
      <c r="B541" s="15" t="s">
        <v>344</v>
      </c>
      <c r="C541" s="16">
        <v>0.88888888888888884</v>
      </c>
      <c r="D541" s="15" t="s">
        <v>43</v>
      </c>
      <c r="E541" s="15" t="s">
        <v>193</v>
      </c>
      <c r="F541" s="15" t="s">
        <v>33</v>
      </c>
      <c r="G541" s="298"/>
      <c r="H541" s="10"/>
      <c r="I541" s="11"/>
      <c r="J541" s="11"/>
      <c r="K541" s="11"/>
      <c r="L541" s="11"/>
      <c r="M541" s="11"/>
      <c r="N541" s="11"/>
      <c r="O541" s="12"/>
      <c r="P541" s="11"/>
      <c r="Q541" s="13"/>
      <c r="R541" s="14"/>
    </row>
    <row r="542" spans="1:18" ht="15" customHeight="1">
      <c r="A542" s="15" t="s">
        <v>38</v>
      </c>
      <c r="B542" s="15" t="s">
        <v>344</v>
      </c>
      <c r="C542" s="16">
        <v>0.88888888888888884</v>
      </c>
      <c r="D542" s="15" t="s">
        <v>46</v>
      </c>
      <c r="E542" s="15" t="s">
        <v>193</v>
      </c>
      <c r="F542" s="15" t="s">
        <v>47</v>
      </c>
      <c r="G542" s="298"/>
      <c r="H542" s="10"/>
      <c r="I542" s="11"/>
      <c r="J542" s="11"/>
      <c r="K542" s="11"/>
      <c r="L542" s="11"/>
      <c r="M542" s="11"/>
      <c r="N542" s="11"/>
      <c r="O542" s="12"/>
      <c r="P542" s="11"/>
      <c r="Q542" s="13"/>
      <c r="R542" s="14"/>
    </row>
    <row r="543" spans="1:18" ht="15" customHeight="1">
      <c r="A543" s="17" t="s">
        <v>38</v>
      </c>
      <c r="B543" s="17" t="s">
        <v>345</v>
      </c>
      <c r="C543" s="18">
        <v>0.98958333333333337</v>
      </c>
      <c r="D543" s="17" t="s">
        <v>40</v>
      </c>
      <c r="E543" s="17" t="s">
        <v>458</v>
      </c>
      <c r="F543" s="17" t="s">
        <v>343</v>
      </c>
      <c r="G543" s="298"/>
      <c r="H543" s="10"/>
      <c r="I543" s="11"/>
      <c r="J543" s="11"/>
      <c r="K543" s="11"/>
      <c r="L543" s="11"/>
      <c r="M543" s="11"/>
      <c r="N543" s="11"/>
      <c r="O543" s="12"/>
      <c r="P543" s="11"/>
      <c r="Q543" s="13"/>
      <c r="R543" s="14"/>
    </row>
    <row r="544" spans="1:18" ht="15" customHeight="1">
      <c r="A544" s="15" t="s">
        <v>38</v>
      </c>
      <c r="B544" s="15" t="s">
        <v>345</v>
      </c>
      <c r="C544" s="16">
        <v>0.98958333333333337</v>
      </c>
      <c r="D544" s="15" t="s">
        <v>43</v>
      </c>
      <c r="E544" s="15" t="s">
        <v>155</v>
      </c>
      <c r="F544" s="15" t="s">
        <v>33</v>
      </c>
      <c r="G544" s="298"/>
      <c r="H544" s="10"/>
      <c r="I544" s="11"/>
      <c r="J544" s="11"/>
      <c r="K544" s="11"/>
      <c r="L544" s="11"/>
      <c r="M544" s="11"/>
      <c r="N544" s="11"/>
      <c r="O544" s="12"/>
      <c r="P544" s="11"/>
      <c r="Q544" s="13"/>
      <c r="R544" s="14"/>
    </row>
    <row r="545" spans="1:18" ht="15" customHeight="1">
      <c r="A545" s="15" t="s">
        <v>38</v>
      </c>
      <c r="B545" s="15" t="s">
        <v>345</v>
      </c>
      <c r="C545" s="16">
        <v>0.98958333333333337</v>
      </c>
      <c r="D545" s="15" t="s">
        <v>46</v>
      </c>
      <c r="E545" s="15" t="s">
        <v>155</v>
      </c>
      <c r="F545" s="15" t="s">
        <v>47</v>
      </c>
      <c r="G545" s="298"/>
      <c r="H545" s="10"/>
      <c r="I545" s="11"/>
      <c r="J545" s="11"/>
      <c r="K545" s="11"/>
      <c r="L545" s="11"/>
      <c r="M545" s="11"/>
      <c r="N545" s="11"/>
      <c r="O545" s="12"/>
      <c r="P545" s="11"/>
      <c r="Q545" s="13"/>
      <c r="R545" s="14"/>
    </row>
    <row r="546" spans="1:18" ht="15" customHeight="1">
      <c r="A546" s="17" t="s">
        <v>38</v>
      </c>
      <c r="B546" s="17" t="s">
        <v>342</v>
      </c>
      <c r="C546" s="18">
        <v>0.48958333333333331</v>
      </c>
      <c r="D546" s="17" t="s">
        <v>40</v>
      </c>
      <c r="E546" s="17" t="s">
        <v>458</v>
      </c>
      <c r="F546" s="17" t="s">
        <v>81</v>
      </c>
      <c r="G546" s="298"/>
      <c r="H546" s="10"/>
      <c r="I546" s="11"/>
      <c r="J546" s="11"/>
      <c r="K546" s="11"/>
      <c r="L546" s="11"/>
      <c r="M546" s="11"/>
      <c r="N546" s="11"/>
      <c r="O546" s="12"/>
      <c r="P546" s="11"/>
      <c r="Q546" s="13"/>
      <c r="R546" s="14"/>
    </row>
    <row r="547" spans="1:18" ht="15" customHeight="1">
      <c r="A547" s="15" t="s">
        <v>38</v>
      </c>
      <c r="B547" s="15" t="s">
        <v>342</v>
      </c>
      <c r="C547" s="16">
        <v>0.48958333333333331</v>
      </c>
      <c r="D547" s="15" t="s">
        <v>43</v>
      </c>
      <c r="E547" s="15" t="s">
        <v>155</v>
      </c>
      <c r="F547" s="15" t="s">
        <v>161</v>
      </c>
      <c r="G547" s="298"/>
      <c r="H547" s="10"/>
      <c r="I547" s="11"/>
      <c r="J547" s="11"/>
      <c r="K547" s="11"/>
      <c r="L547" s="11"/>
      <c r="M547" s="11"/>
      <c r="N547" s="11"/>
      <c r="O547" s="12"/>
      <c r="P547" s="11"/>
      <c r="Q547" s="13"/>
      <c r="R547" s="14"/>
    </row>
    <row r="548" spans="1:18" ht="15" customHeight="1">
      <c r="A548" s="15" t="s">
        <v>38</v>
      </c>
      <c r="B548" s="15" t="s">
        <v>342</v>
      </c>
      <c r="C548" s="16">
        <v>0.48958333333333331</v>
      </c>
      <c r="D548" s="15" t="s">
        <v>46</v>
      </c>
      <c r="E548" s="15" t="s">
        <v>155</v>
      </c>
      <c r="F548" s="15" t="s">
        <v>47</v>
      </c>
      <c r="G548" s="298"/>
      <c r="H548" s="10"/>
      <c r="I548" s="11"/>
      <c r="J548" s="11"/>
      <c r="K548" s="11"/>
      <c r="L548" s="11"/>
      <c r="M548" s="11"/>
      <c r="N548" s="11"/>
      <c r="O548" s="12"/>
      <c r="P548" s="11"/>
      <c r="Q548" s="13"/>
      <c r="R548" s="14"/>
    </row>
    <row r="549" spans="1:18" ht="15" customHeight="1">
      <c r="A549" s="17" t="s">
        <v>38</v>
      </c>
      <c r="B549" s="17" t="s">
        <v>346</v>
      </c>
      <c r="C549" s="18">
        <v>0.39930555555555558</v>
      </c>
      <c r="D549" s="17" t="s">
        <v>40</v>
      </c>
      <c r="E549" s="17" t="s">
        <v>125</v>
      </c>
      <c r="F549" s="17" t="s">
        <v>30</v>
      </c>
      <c r="G549" s="298"/>
      <c r="H549" s="10"/>
      <c r="I549" s="11"/>
      <c r="J549" s="11"/>
      <c r="K549" s="11"/>
      <c r="L549" s="11"/>
      <c r="M549" s="11"/>
      <c r="N549" s="11"/>
      <c r="O549" s="12"/>
      <c r="P549" s="11"/>
      <c r="Q549" s="13"/>
      <c r="R549" s="14"/>
    </row>
    <row r="550" spans="1:18" ht="15" customHeight="1">
      <c r="A550" s="15" t="s">
        <v>38</v>
      </c>
      <c r="B550" s="15" t="s">
        <v>346</v>
      </c>
      <c r="C550" s="16">
        <v>0.39930555555555558</v>
      </c>
      <c r="D550" s="15" t="s">
        <v>43</v>
      </c>
      <c r="E550" s="15" t="s">
        <v>44</v>
      </c>
      <c r="F550" s="15" t="s">
        <v>420</v>
      </c>
      <c r="G550" s="298"/>
      <c r="H550" s="10"/>
      <c r="I550" s="11"/>
      <c r="J550" s="11"/>
      <c r="K550" s="11"/>
      <c r="L550" s="11"/>
      <c r="M550" s="11"/>
      <c r="N550" s="11"/>
      <c r="O550" s="12"/>
      <c r="P550" s="11"/>
      <c r="Q550" s="13"/>
      <c r="R550" s="14"/>
    </row>
    <row r="551" spans="1:18" ht="15" customHeight="1">
      <c r="A551" s="15" t="s">
        <v>38</v>
      </c>
      <c r="B551" s="15" t="s">
        <v>346</v>
      </c>
      <c r="C551" s="16">
        <v>0.39930555555555558</v>
      </c>
      <c r="D551" s="15" t="s">
        <v>46</v>
      </c>
      <c r="E551" s="15" t="s">
        <v>44</v>
      </c>
      <c r="F551" s="15" t="s">
        <v>47</v>
      </c>
      <c r="G551" s="298"/>
      <c r="H551" s="10"/>
      <c r="I551" s="11"/>
      <c r="J551" s="11"/>
      <c r="K551" s="11"/>
      <c r="L551" s="11"/>
      <c r="M551" s="11"/>
      <c r="N551" s="11"/>
      <c r="O551" s="12"/>
      <c r="P551" s="11"/>
      <c r="Q551" s="13"/>
      <c r="R551" s="14"/>
    </row>
    <row r="552" spans="1:18" ht="15" customHeight="1">
      <c r="A552" s="19" t="s">
        <v>26</v>
      </c>
      <c r="B552" s="19" t="s">
        <v>348</v>
      </c>
      <c r="C552" s="20">
        <v>0.99305555555555547</v>
      </c>
      <c r="D552" s="19" t="s">
        <v>28</v>
      </c>
      <c r="E552" s="19" t="s">
        <v>29</v>
      </c>
      <c r="F552" s="19" t="s">
        <v>131</v>
      </c>
      <c r="G552" s="298"/>
      <c r="H552" s="10"/>
      <c r="I552" s="11"/>
      <c r="J552" s="11"/>
      <c r="K552" s="11"/>
      <c r="L552" s="11"/>
      <c r="M552" s="11"/>
      <c r="N552" s="11"/>
      <c r="O552" s="12"/>
      <c r="P552" s="11"/>
      <c r="Q552" s="13"/>
      <c r="R552" s="14"/>
    </row>
    <row r="553" spans="1:18" ht="15" customHeight="1">
      <c r="A553" s="15" t="s">
        <v>26</v>
      </c>
      <c r="B553" s="15" t="s">
        <v>348</v>
      </c>
      <c r="C553" s="16">
        <v>0.99305555555555547</v>
      </c>
      <c r="D553" s="15" t="s">
        <v>31</v>
      </c>
      <c r="E553" s="15" t="s">
        <v>32</v>
      </c>
      <c r="F553" s="15" t="s">
        <v>349</v>
      </c>
      <c r="G553" s="298"/>
      <c r="H553" s="10"/>
      <c r="I553" s="11"/>
      <c r="J553" s="11"/>
      <c r="K553" s="11"/>
      <c r="L553" s="11"/>
      <c r="M553" s="11"/>
      <c r="N553" s="11"/>
      <c r="O553" s="12"/>
      <c r="P553" s="11"/>
      <c r="Q553" s="13"/>
      <c r="R553" s="14"/>
    </row>
    <row r="554" spans="1:18" ht="15" customHeight="1">
      <c r="A554" s="15" t="s">
        <v>26</v>
      </c>
      <c r="B554" s="15" t="s">
        <v>348</v>
      </c>
      <c r="C554" s="16">
        <v>0.99305555555555547</v>
      </c>
      <c r="D554" s="15" t="s">
        <v>34</v>
      </c>
      <c r="E554" s="15" t="s">
        <v>32</v>
      </c>
      <c r="F554" s="15" t="s">
        <v>138</v>
      </c>
      <c r="G554" s="298"/>
      <c r="H554" s="10"/>
      <c r="I554" s="11"/>
      <c r="J554" s="11"/>
      <c r="K554" s="11"/>
      <c r="L554" s="11"/>
      <c r="M554" s="11"/>
      <c r="N554" s="11"/>
      <c r="O554" s="12"/>
      <c r="P554" s="11"/>
      <c r="Q554" s="13"/>
      <c r="R554" s="14"/>
    </row>
    <row r="555" spans="1:18" ht="15" customHeight="1">
      <c r="A555" s="17" t="s">
        <v>26</v>
      </c>
      <c r="B555" s="17" t="s">
        <v>351</v>
      </c>
      <c r="C555" s="18">
        <v>0.83680555555555547</v>
      </c>
      <c r="D555" s="17" t="s">
        <v>28</v>
      </c>
      <c r="E555" s="17" t="s">
        <v>91</v>
      </c>
      <c r="F555" s="17" t="s">
        <v>131</v>
      </c>
      <c r="G555" s="298"/>
      <c r="H555" s="10"/>
      <c r="I555" s="11"/>
      <c r="J555" s="11"/>
      <c r="K555" s="11"/>
      <c r="L555" s="11"/>
      <c r="M555" s="11"/>
      <c r="N555" s="11"/>
      <c r="O555" s="12"/>
      <c r="P555" s="11"/>
      <c r="Q555" s="13"/>
      <c r="R555" s="14"/>
    </row>
    <row r="556" spans="1:18" ht="15" customHeight="1">
      <c r="A556" s="15" t="s">
        <v>26</v>
      </c>
      <c r="B556" s="15" t="s">
        <v>351</v>
      </c>
      <c r="C556" s="16">
        <v>0.83680555555555547</v>
      </c>
      <c r="D556" s="15" t="s">
        <v>31</v>
      </c>
      <c r="E556" s="15" t="s">
        <v>92</v>
      </c>
      <c r="F556" s="15" t="s">
        <v>349</v>
      </c>
      <c r="G556" s="298"/>
      <c r="H556" s="10"/>
      <c r="I556" s="11"/>
      <c r="J556" s="11"/>
      <c r="K556" s="11"/>
      <c r="L556" s="11"/>
      <c r="M556" s="11"/>
      <c r="N556" s="11"/>
      <c r="O556" s="12"/>
      <c r="P556" s="11"/>
      <c r="Q556" s="13"/>
      <c r="R556" s="14"/>
    </row>
    <row r="557" spans="1:18" ht="15" customHeight="1">
      <c r="A557" s="15" t="s">
        <v>26</v>
      </c>
      <c r="B557" s="15" t="s">
        <v>351</v>
      </c>
      <c r="C557" s="16">
        <v>0.83680555555555547</v>
      </c>
      <c r="D557" s="15" t="s">
        <v>34</v>
      </c>
      <c r="E557" s="15" t="s">
        <v>92</v>
      </c>
      <c r="F557" s="15" t="s">
        <v>138</v>
      </c>
      <c r="G557" s="298"/>
      <c r="H557" s="10"/>
      <c r="I557" s="11"/>
      <c r="J557" s="11"/>
      <c r="K557" s="11"/>
      <c r="L557" s="11"/>
      <c r="M557" s="11"/>
      <c r="N557" s="11"/>
      <c r="O557" s="12"/>
      <c r="P557" s="11"/>
      <c r="Q557" s="13"/>
      <c r="R557" s="14"/>
    </row>
    <row r="558" spans="1:18" ht="15" customHeight="1">
      <c r="A558" s="17" t="s">
        <v>26</v>
      </c>
      <c r="B558" s="17" t="s">
        <v>353</v>
      </c>
      <c r="C558" s="18">
        <v>0.88888888888888884</v>
      </c>
      <c r="D558" s="17" t="s">
        <v>28</v>
      </c>
      <c r="E558" s="17" t="s">
        <v>98</v>
      </c>
      <c r="F558" s="17" t="s">
        <v>131</v>
      </c>
      <c r="G558" s="298"/>
      <c r="H558" s="10"/>
      <c r="I558" s="11"/>
      <c r="J558" s="11"/>
      <c r="K558" s="11"/>
      <c r="L558" s="11"/>
      <c r="M558" s="11"/>
      <c r="N558" s="11"/>
      <c r="O558" s="12"/>
      <c r="P558" s="11"/>
      <c r="Q558" s="13"/>
      <c r="R558" s="14"/>
    </row>
    <row r="559" spans="1:18" ht="15" customHeight="1">
      <c r="A559" s="15" t="s">
        <v>26</v>
      </c>
      <c r="B559" s="15" t="s">
        <v>353</v>
      </c>
      <c r="C559" s="16">
        <v>0.88888888888888884</v>
      </c>
      <c r="D559" s="15" t="s">
        <v>31</v>
      </c>
      <c r="E559" s="15" t="s">
        <v>99</v>
      </c>
      <c r="F559" s="15" t="s">
        <v>349</v>
      </c>
      <c r="G559" s="298"/>
      <c r="H559" s="10"/>
      <c r="I559" s="11"/>
      <c r="J559" s="11"/>
      <c r="K559" s="11"/>
      <c r="L559" s="11"/>
      <c r="M559" s="11"/>
      <c r="N559" s="11"/>
      <c r="O559" s="12"/>
      <c r="P559" s="11"/>
      <c r="Q559" s="13"/>
      <c r="R559" s="14"/>
    </row>
    <row r="560" spans="1:18" ht="15" customHeight="1">
      <c r="A560" s="15" t="s">
        <v>26</v>
      </c>
      <c r="B560" s="15" t="s">
        <v>353</v>
      </c>
      <c r="C560" s="16">
        <v>0.88888888888888884</v>
      </c>
      <c r="D560" s="15" t="s">
        <v>34</v>
      </c>
      <c r="E560" s="15" t="s">
        <v>99</v>
      </c>
      <c r="F560" s="15" t="s">
        <v>138</v>
      </c>
      <c r="G560" s="298"/>
      <c r="H560" s="10"/>
      <c r="I560" s="11"/>
      <c r="J560" s="11"/>
      <c r="K560" s="11"/>
      <c r="L560" s="11"/>
      <c r="M560" s="11"/>
      <c r="N560" s="11"/>
      <c r="O560" s="12"/>
      <c r="P560" s="11"/>
      <c r="Q560" s="13"/>
      <c r="R560" s="14"/>
    </row>
    <row r="561" spans="1:18" ht="15" customHeight="1">
      <c r="A561" s="17" t="s">
        <v>26</v>
      </c>
      <c r="B561" s="17" t="s">
        <v>352</v>
      </c>
      <c r="C561" s="18">
        <v>0.94444444444444453</v>
      </c>
      <c r="D561" s="17" t="s">
        <v>28</v>
      </c>
      <c r="E561" s="17" t="s">
        <v>98</v>
      </c>
      <c r="F561" s="17" t="s">
        <v>347</v>
      </c>
      <c r="G561" s="298"/>
      <c r="H561" s="10"/>
      <c r="I561" s="11"/>
      <c r="J561" s="11"/>
      <c r="K561" s="11"/>
      <c r="L561" s="11"/>
      <c r="M561" s="11"/>
      <c r="N561" s="11"/>
      <c r="O561" s="12"/>
      <c r="P561" s="11"/>
      <c r="Q561" s="13"/>
      <c r="R561" s="14"/>
    </row>
    <row r="562" spans="1:18" ht="15" customHeight="1">
      <c r="A562" s="15" t="s">
        <v>26</v>
      </c>
      <c r="B562" s="15" t="s">
        <v>352</v>
      </c>
      <c r="C562" s="16">
        <v>0.94444444444444453</v>
      </c>
      <c r="D562" s="15" t="s">
        <v>31</v>
      </c>
      <c r="E562" s="15" t="s">
        <v>99</v>
      </c>
      <c r="F562" s="15" t="s">
        <v>426</v>
      </c>
      <c r="G562" s="298"/>
      <c r="H562" s="10"/>
      <c r="I562" s="11"/>
      <c r="J562" s="11"/>
      <c r="K562" s="11"/>
      <c r="L562" s="11"/>
      <c r="M562" s="11"/>
      <c r="N562" s="11"/>
      <c r="O562" s="12"/>
      <c r="P562" s="11"/>
      <c r="Q562" s="13"/>
      <c r="R562" s="14"/>
    </row>
    <row r="563" spans="1:18" ht="15" customHeight="1">
      <c r="A563" s="15" t="s">
        <v>26</v>
      </c>
      <c r="B563" s="15" t="s">
        <v>352</v>
      </c>
      <c r="C563" s="16">
        <v>0.94444444444444453</v>
      </c>
      <c r="D563" s="15" t="s">
        <v>34</v>
      </c>
      <c r="E563" s="15" t="s">
        <v>99</v>
      </c>
      <c r="F563" s="15" t="s">
        <v>162</v>
      </c>
      <c r="G563" s="298"/>
      <c r="H563" s="10"/>
      <c r="I563" s="11"/>
      <c r="J563" s="11"/>
      <c r="K563" s="11"/>
      <c r="L563" s="11"/>
      <c r="M563" s="11"/>
      <c r="N563" s="11"/>
      <c r="O563" s="12"/>
      <c r="P563" s="11"/>
      <c r="Q563" s="13"/>
      <c r="R563" s="14"/>
    </row>
    <row r="564" spans="1:18" ht="15" customHeight="1">
      <c r="A564" s="17" t="s">
        <v>26</v>
      </c>
      <c r="B564" s="17" t="s">
        <v>354</v>
      </c>
      <c r="C564" s="18">
        <v>0.34722222222222232</v>
      </c>
      <c r="D564" s="17" t="s">
        <v>28</v>
      </c>
      <c r="E564" s="17" t="s">
        <v>91</v>
      </c>
      <c r="F564" s="17" t="s">
        <v>83</v>
      </c>
      <c r="G564" s="298"/>
      <c r="H564" s="10"/>
      <c r="I564" s="11"/>
      <c r="J564" s="11"/>
      <c r="K564" s="11"/>
      <c r="L564" s="11"/>
      <c r="M564" s="11"/>
      <c r="N564" s="11"/>
      <c r="O564" s="12"/>
      <c r="P564" s="11"/>
      <c r="Q564" s="13"/>
      <c r="R564" s="14"/>
    </row>
    <row r="565" spans="1:18" ht="15" customHeight="1">
      <c r="A565" s="15" t="s">
        <v>26</v>
      </c>
      <c r="B565" s="15" t="s">
        <v>354</v>
      </c>
      <c r="C565" s="16">
        <v>0.34722222222222232</v>
      </c>
      <c r="D565" s="15" t="s">
        <v>31</v>
      </c>
      <c r="E565" s="15" t="s">
        <v>92</v>
      </c>
      <c r="F565" s="15" t="s">
        <v>159</v>
      </c>
      <c r="G565" s="298"/>
      <c r="H565" s="10"/>
      <c r="I565" s="11"/>
      <c r="J565" s="11"/>
      <c r="K565" s="11"/>
      <c r="L565" s="11"/>
      <c r="M565" s="11"/>
      <c r="N565" s="11"/>
      <c r="O565" s="12"/>
      <c r="P565" s="11"/>
      <c r="Q565" s="13"/>
      <c r="R565" s="14"/>
    </row>
    <row r="566" spans="1:18" ht="15" customHeight="1">
      <c r="A566" s="15" t="s">
        <v>26</v>
      </c>
      <c r="B566" s="15" t="s">
        <v>354</v>
      </c>
      <c r="C566" s="16">
        <v>0.34722222222222232</v>
      </c>
      <c r="D566" s="15" t="s">
        <v>34</v>
      </c>
      <c r="E566" s="15" t="s">
        <v>92</v>
      </c>
      <c r="F566" s="15" t="s">
        <v>355</v>
      </c>
      <c r="G566" s="298"/>
      <c r="H566" s="10"/>
      <c r="I566" s="11"/>
      <c r="J566" s="11"/>
      <c r="K566" s="11"/>
      <c r="L566" s="11"/>
      <c r="M566" s="11"/>
      <c r="N566" s="11"/>
      <c r="O566" s="12"/>
      <c r="P566" s="11"/>
      <c r="Q566" s="13"/>
      <c r="R566" s="14"/>
    </row>
    <row r="567" spans="1:18" ht="15" customHeight="1">
      <c r="A567" s="17" t="s">
        <v>26</v>
      </c>
      <c r="B567" s="17" t="s">
        <v>356</v>
      </c>
      <c r="C567" s="18">
        <v>0.4861111111111111</v>
      </c>
      <c r="D567" s="17" t="s">
        <v>28</v>
      </c>
      <c r="E567" s="17" t="s">
        <v>200</v>
      </c>
      <c r="F567" s="17" t="s">
        <v>83</v>
      </c>
      <c r="G567" s="298"/>
      <c r="H567" s="10"/>
      <c r="I567" s="11"/>
      <c r="J567" s="11"/>
      <c r="K567" s="11"/>
      <c r="L567" s="11"/>
      <c r="M567" s="11"/>
      <c r="N567" s="11"/>
      <c r="O567" s="12"/>
      <c r="P567" s="11"/>
      <c r="Q567" s="13"/>
      <c r="R567" s="14"/>
    </row>
    <row r="568" spans="1:18" ht="15" customHeight="1">
      <c r="A568" s="15" t="s">
        <v>26</v>
      </c>
      <c r="B568" s="15" t="s">
        <v>356</v>
      </c>
      <c r="C568" s="16">
        <v>0.4861111111111111</v>
      </c>
      <c r="D568" s="15" t="s">
        <v>31</v>
      </c>
      <c r="E568" s="15" t="s">
        <v>127</v>
      </c>
      <c r="F568" s="15" t="s">
        <v>159</v>
      </c>
      <c r="G568" s="298"/>
      <c r="H568" s="10"/>
      <c r="I568" s="11"/>
      <c r="J568" s="11"/>
      <c r="K568" s="11"/>
      <c r="L568" s="11"/>
      <c r="M568" s="11"/>
      <c r="N568" s="11"/>
      <c r="O568" s="12"/>
      <c r="P568" s="11"/>
      <c r="Q568" s="13"/>
      <c r="R568" s="14"/>
    </row>
    <row r="569" spans="1:18" ht="15" customHeight="1">
      <c r="A569" s="15" t="s">
        <v>26</v>
      </c>
      <c r="B569" s="15" t="s">
        <v>356</v>
      </c>
      <c r="C569" s="16">
        <v>0.4861111111111111</v>
      </c>
      <c r="D569" s="15" t="s">
        <v>34</v>
      </c>
      <c r="E569" s="15" t="s">
        <v>127</v>
      </c>
      <c r="F569" s="15" t="s">
        <v>355</v>
      </c>
      <c r="G569" s="298"/>
      <c r="H569" s="10"/>
      <c r="I569" s="11"/>
      <c r="J569" s="11"/>
      <c r="K569" s="11"/>
      <c r="L569" s="11"/>
      <c r="M569" s="11"/>
      <c r="N569" s="11"/>
      <c r="O569" s="12"/>
      <c r="P569" s="11"/>
      <c r="Q569" s="13"/>
      <c r="R569" s="14"/>
    </row>
    <row r="570" spans="1:18" ht="15" customHeight="1">
      <c r="A570" s="17" t="s">
        <v>26</v>
      </c>
      <c r="B570" s="17" t="s">
        <v>357</v>
      </c>
      <c r="C570" s="18">
        <v>0.3923611111111111</v>
      </c>
      <c r="D570" s="17" t="s">
        <v>28</v>
      </c>
      <c r="E570" s="17" t="s">
        <v>90</v>
      </c>
      <c r="F570" s="17" t="s">
        <v>45</v>
      </c>
      <c r="G570" s="298"/>
      <c r="H570" s="10"/>
      <c r="I570" s="11"/>
      <c r="J570" s="11"/>
      <c r="K570" s="11"/>
      <c r="L570" s="11"/>
      <c r="M570" s="11"/>
      <c r="N570" s="11"/>
      <c r="O570" s="12"/>
      <c r="P570" s="11"/>
      <c r="Q570" s="13"/>
      <c r="R570" s="14"/>
    </row>
    <row r="571" spans="1:18" ht="15" customHeight="1">
      <c r="A571" s="15" t="s">
        <v>26</v>
      </c>
      <c r="B571" s="15" t="s">
        <v>357</v>
      </c>
      <c r="C571" s="16">
        <v>0.3923611111111111</v>
      </c>
      <c r="D571" s="15" t="s">
        <v>31</v>
      </c>
      <c r="E571" s="15" t="s">
        <v>82</v>
      </c>
      <c r="F571" s="15" t="s">
        <v>355</v>
      </c>
      <c r="G571" s="298"/>
      <c r="H571" s="10"/>
      <c r="I571" s="11"/>
      <c r="J571" s="11"/>
      <c r="K571" s="11"/>
      <c r="L571" s="11"/>
      <c r="M571" s="11"/>
      <c r="N571" s="11"/>
      <c r="O571" s="12"/>
      <c r="P571" s="11"/>
      <c r="Q571" s="13"/>
      <c r="R571" s="14"/>
    </row>
    <row r="572" spans="1:18" ht="15" customHeight="1">
      <c r="A572" s="15" t="s">
        <v>26</v>
      </c>
      <c r="B572" s="15" t="s">
        <v>357</v>
      </c>
      <c r="C572" s="16">
        <v>0.3923611111111111</v>
      </c>
      <c r="D572" s="15" t="s">
        <v>34</v>
      </c>
      <c r="E572" s="15" t="s">
        <v>82</v>
      </c>
      <c r="F572" s="15" t="s">
        <v>358</v>
      </c>
      <c r="G572" s="298"/>
      <c r="H572" s="10"/>
      <c r="I572" s="11"/>
      <c r="J572" s="11"/>
      <c r="K572" s="11"/>
      <c r="L572" s="11"/>
      <c r="M572" s="11"/>
      <c r="N572" s="11"/>
      <c r="O572" s="12"/>
      <c r="P572" s="11"/>
      <c r="Q572" s="13"/>
      <c r="R572" s="14"/>
    </row>
    <row r="573" spans="1:18" ht="15" customHeight="1">
      <c r="A573" s="17" t="s">
        <v>26</v>
      </c>
      <c r="B573" s="17" t="s">
        <v>350</v>
      </c>
      <c r="C573" s="18">
        <v>0.73611111111111116</v>
      </c>
      <c r="D573" s="17" t="s">
        <v>28</v>
      </c>
      <c r="E573" s="17" t="s">
        <v>37</v>
      </c>
      <c r="F573" s="17" t="s">
        <v>467</v>
      </c>
      <c r="G573" s="298"/>
      <c r="H573" s="10"/>
      <c r="I573" s="11"/>
      <c r="J573" s="11"/>
      <c r="K573" s="11"/>
      <c r="L573" s="11"/>
      <c r="M573" s="11"/>
      <c r="N573" s="11"/>
      <c r="O573" s="12"/>
      <c r="P573" s="11"/>
      <c r="Q573" s="13"/>
      <c r="R573" s="14"/>
    </row>
    <row r="574" spans="1:18" ht="15" customHeight="1">
      <c r="A574" s="15" t="s">
        <v>26</v>
      </c>
      <c r="B574" s="15" t="s">
        <v>350</v>
      </c>
      <c r="C574" s="16">
        <v>0.73611111111111116</v>
      </c>
      <c r="D574" s="15" t="s">
        <v>31</v>
      </c>
      <c r="E574" s="15" t="s">
        <v>32</v>
      </c>
      <c r="F574" s="15" t="s">
        <v>104</v>
      </c>
      <c r="G574" s="298"/>
      <c r="H574" s="10"/>
      <c r="I574" s="11"/>
      <c r="J574" s="11"/>
      <c r="K574" s="11"/>
      <c r="L574" s="11"/>
      <c r="M574" s="11"/>
      <c r="N574" s="11"/>
      <c r="O574" s="12"/>
      <c r="P574" s="11"/>
      <c r="Q574" s="13"/>
      <c r="R574" s="14"/>
    </row>
    <row r="575" spans="1:18" ht="15" customHeight="1">
      <c r="A575" s="15" t="s">
        <v>26</v>
      </c>
      <c r="B575" s="15" t="s">
        <v>350</v>
      </c>
      <c r="C575" s="16">
        <v>0.73611111111111116</v>
      </c>
      <c r="D575" s="15" t="s">
        <v>34</v>
      </c>
      <c r="E575" s="15" t="s">
        <v>32</v>
      </c>
      <c r="F575" s="15" t="s">
        <v>456</v>
      </c>
      <c r="G575" s="298"/>
      <c r="H575" s="10"/>
      <c r="I575" s="11"/>
      <c r="J575" s="11"/>
      <c r="K575" s="11"/>
      <c r="L575" s="11"/>
      <c r="M575" s="11"/>
      <c r="N575" s="11"/>
      <c r="O575" s="12"/>
      <c r="P575" s="11"/>
      <c r="Q575" s="13"/>
      <c r="R575" s="14"/>
    </row>
    <row r="576" spans="1:18" ht="15" customHeight="1">
      <c r="A576" s="19" t="s">
        <v>359</v>
      </c>
      <c r="B576" s="19" t="s">
        <v>360</v>
      </c>
      <c r="C576" s="20">
        <v>0.1701388888888889</v>
      </c>
      <c r="D576" s="19" t="s">
        <v>361</v>
      </c>
      <c r="E576" s="19" t="s">
        <v>80</v>
      </c>
      <c r="F576" s="19" t="s">
        <v>362</v>
      </c>
      <c r="G576" s="298"/>
      <c r="H576" s="10"/>
      <c r="I576" s="11"/>
      <c r="J576" s="11"/>
      <c r="K576" s="11"/>
      <c r="L576" s="11"/>
      <c r="M576" s="11"/>
      <c r="N576" s="11"/>
      <c r="O576" s="12"/>
      <c r="P576" s="11"/>
      <c r="Q576" s="13"/>
      <c r="R576" s="14"/>
    </row>
    <row r="577" spans="1:18" ht="15" customHeight="1">
      <c r="A577" s="15" t="s">
        <v>359</v>
      </c>
      <c r="B577" s="15" t="s">
        <v>360</v>
      </c>
      <c r="C577" s="16">
        <v>0.1701388888888889</v>
      </c>
      <c r="D577" s="15" t="s">
        <v>46</v>
      </c>
      <c r="E577" s="15" t="s">
        <v>82</v>
      </c>
      <c r="F577" s="15" t="s">
        <v>363</v>
      </c>
      <c r="G577" s="298"/>
      <c r="H577" s="10"/>
      <c r="I577" s="11"/>
      <c r="J577" s="11"/>
      <c r="K577" s="11"/>
      <c r="L577" s="11"/>
      <c r="M577" s="11"/>
      <c r="N577" s="11"/>
      <c r="O577" s="12"/>
      <c r="P577" s="11"/>
      <c r="Q577" s="13"/>
      <c r="R577" s="14"/>
    </row>
    <row r="578" spans="1:18" ht="15" customHeight="1">
      <c r="A578" s="58" t="s">
        <v>61</v>
      </c>
      <c r="B578" s="58" t="s">
        <v>364</v>
      </c>
      <c r="C578" s="59">
        <v>0.9375</v>
      </c>
      <c r="D578" s="58" t="s">
        <v>63</v>
      </c>
      <c r="E578" s="58" t="s">
        <v>177</v>
      </c>
      <c r="F578" s="58" t="s">
        <v>365</v>
      </c>
      <c r="G578" s="298"/>
      <c r="H578" s="60" t="s">
        <v>366</v>
      </c>
      <c r="I578" s="61">
        <v>0</v>
      </c>
      <c r="J578" s="62">
        <v>0</v>
      </c>
      <c r="K578" s="63" t="s">
        <v>66</v>
      </c>
      <c r="L578" s="62">
        <v>0</v>
      </c>
      <c r="M578" s="62">
        <v>0</v>
      </c>
      <c r="N578" s="62">
        <v>0</v>
      </c>
      <c r="O578" s="64" t="s">
        <v>436</v>
      </c>
      <c r="P578" s="65">
        <v>0.9375</v>
      </c>
      <c r="Q578" s="62">
        <v>180</v>
      </c>
      <c r="R578" s="66" t="s">
        <v>66</v>
      </c>
    </row>
    <row r="579" spans="1:18" ht="15" customHeight="1">
      <c r="A579" s="152" t="s">
        <v>61</v>
      </c>
      <c r="B579" s="152" t="s">
        <v>371</v>
      </c>
      <c r="C579" s="153">
        <v>6.5972222222222224E-2</v>
      </c>
      <c r="D579" s="152" t="s">
        <v>63</v>
      </c>
      <c r="E579" s="152" t="s">
        <v>372</v>
      </c>
      <c r="F579" s="152" t="s">
        <v>365</v>
      </c>
      <c r="G579" s="298"/>
      <c r="H579" s="100" t="s">
        <v>373</v>
      </c>
      <c r="I579" s="101">
        <v>0</v>
      </c>
      <c r="J579" s="102">
        <v>0</v>
      </c>
      <c r="K579" s="103" t="s">
        <v>66</v>
      </c>
      <c r="L579" s="102">
        <v>0</v>
      </c>
      <c r="M579" s="102">
        <v>0</v>
      </c>
      <c r="N579" s="102">
        <v>0</v>
      </c>
      <c r="O579" s="104" t="s">
        <v>436</v>
      </c>
      <c r="P579" s="105">
        <v>6.5972222222222224E-2</v>
      </c>
      <c r="Q579" s="102">
        <v>180</v>
      </c>
      <c r="R579" s="106" t="s">
        <v>66</v>
      </c>
    </row>
    <row r="580" spans="1:18" ht="15" customHeight="1">
      <c r="A580" s="148" t="s">
        <v>61</v>
      </c>
      <c r="B580" s="148" t="s">
        <v>375</v>
      </c>
      <c r="C580" s="149">
        <v>0.15625</v>
      </c>
      <c r="D580" s="148" t="s">
        <v>63</v>
      </c>
      <c r="E580" s="148" t="s">
        <v>372</v>
      </c>
      <c r="F580" s="148" t="s">
        <v>365</v>
      </c>
      <c r="G580" s="298"/>
      <c r="H580" s="51" t="s">
        <v>376</v>
      </c>
      <c r="I580" s="52">
        <v>0</v>
      </c>
      <c r="J580" s="53">
        <v>0</v>
      </c>
      <c r="K580" s="54" t="s">
        <v>66</v>
      </c>
      <c r="L580" s="53">
        <v>0</v>
      </c>
      <c r="M580" s="53">
        <v>0</v>
      </c>
      <c r="N580" s="53">
        <v>0</v>
      </c>
      <c r="O580" s="55" t="s">
        <v>436</v>
      </c>
      <c r="P580" s="56">
        <v>0.15625</v>
      </c>
      <c r="Q580" s="53">
        <v>180</v>
      </c>
      <c r="R580" s="57" t="s">
        <v>66</v>
      </c>
    </row>
    <row r="581" spans="1:18" ht="15" customHeight="1">
      <c r="A581" s="158" t="s">
        <v>61</v>
      </c>
      <c r="B581" s="158" t="s">
        <v>377</v>
      </c>
      <c r="C581" s="159">
        <v>0.40625</v>
      </c>
      <c r="D581" s="158" t="s">
        <v>63</v>
      </c>
      <c r="E581" s="158" t="s">
        <v>200</v>
      </c>
      <c r="F581" s="158" t="s">
        <v>365</v>
      </c>
      <c r="G581" s="298"/>
      <c r="H581" s="89" t="s">
        <v>378</v>
      </c>
      <c r="I581" s="90">
        <v>1.67E-2</v>
      </c>
      <c r="J581" s="91">
        <v>3</v>
      </c>
      <c r="K581" s="92">
        <v>46343</v>
      </c>
      <c r="L581" s="91">
        <v>3</v>
      </c>
      <c r="M581" s="91">
        <v>0</v>
      </c>
      <c r="N581" s="91">
        <v>0</v>
      </c>
      <c r="O581" s="93" t="s">
        <v>446</v>
      </c>
      <c r="P581" s="94">
        <v>0.40625</v>
      </c>
      <c r="Q581" s="91">
        <v>180</v>
      </c>
      <c r="R581" s="95" t="s">
        <v>446</v>
      </c>
    </row>
    <row r="582" spans="1:18" ht="15" customHeight="1">
      <c r="A582" s="150" t="s">
        <v>61</v>
      </c>
      <c r="B582" s="150" t="s">
        <v>379</v>
      </c>
      <c r="C582" s="151">
        <v>0.5625</v>
      </c>
      <c r="D582" s="150" t="s">
        <v>63</v>
      </c>
      <c r="E582" s="150" t="s">
        <v>134</v>
      </c>
      <c r="F582" s="150" t="s">
        <v>365</v>
      </c>
      <c r="G582" s="298"/>
      <c r="H582" s="80" t="s">
        <v>380</v>
      </c>
      <c r="I582" s="81">
        <v>2.7799999999999998E-2</v>
      </c>
      <c r="J582" s="82">
        <v>5</v>
      </c>
      <c r="K582" s="83">
        <v>46342</v>
      </c>
      <c r="L582" s="82">
        <v>5</v>
      </c>
      <c r="M582" s="82">
        <v>0</v>
      </c>
      <c r="N582" s="82">
        <v>0</v>
      </c>
      <c r="O582" s="84" t="s">
        <v>430</v>
      </c>
      <c r="P582" s="85">
        <v>0.5625</v>
      </c>
      <c r="Q582" s="82">
        <v>180</v>
      </c>
      <c r="R582" s="86" t="s">
        <v>431</v>
      </c>
    </row>
    <row r="583" spans="1:18" ht="15" customHeight="1">
      <c r="A583" s="162" t="s">
        <v>61</v>
      </c>
      <c r="B583" s="162" t="s">
        <v>369</v>
      </c>
      <c r="C583" s="163">
        <v>0.1875</v>
      </c>
      <c r="D583" s="162" t="s">
        <v>63</v>
      </c>
      <c r="E583" s="162" t="s">
        <v>57</v>
      </c>
      <c r="F583" s="162" t="s">
        <v>79</v>
      </c>
      <c r="G583" s="298"/>
      <c r="H583" s="60" t="s">
        <v>370</v>
      </c>
      <c r="I583" s="61">
        <v>1.67E-2</v>
      </c>
      <c r="J583" s="62">
        <v>3</v>
      </c>
      <c r="K583" s="63">
        <v>46342</v>
      </c>
      <c r="L583" s="62">
        <v>3</v>
      </c>
      <c r="M583" s="62">
        <v>0</v>
      </c>
      <c r="N583" s="62">
        <v>0</v>
      </c>
      <c r="O583" s="64" t="s">
        <v>292</v>
      </c>
      <c r="P583" s="65">
        <v>0.1875</v>
      </c>
      <c r="Q583" s="62">
        <v>180</v>
      </c>
      <c r="R583" s="66" t="s">
        <v>304</v>
      </c>
    </row>
    <row r="584" spans="1:18" ht="15" customHeight="1">
      <c r="A584" s="19" t="s">
        <v>48</v>
      </c>
      <c r="B584" s="19" t="s">
        <v>386</v>
      </c>
      <c r="C584" s="20">
        <v>0.82986111111111116</v>
      </c>
      <c r="D584" s="19" t="s">
        <v>50</v>
      </c>
      <c r="E584" s="19" t="s">
        <v>51</v>
      </c>
      <c r="F584" s="19" t="s">
        <v>383</v>
      </c>
      <c r="G584" s="298"/>
      <c r="H584" s="10"/>
      <c r="I584" s="11"/>
      <c r="J584" s="11"/>
      <c r="K584" s="11"/>
      <c r="L584" s="11"/>
      <c r="M584" s="11"/>
      <c r="N584" s="11"/>
      <c r="O584" s="12"/>
      <c r="P584" s="11"/>
      <c r="Q584" s="13"/>
      <c r="R584" s="14"/>
    </row>
    <row r="585" spans="1:18" ht="15" customHeight="1">
      <c r="A585" s="15" t="s">
        <v>48</v>
      </c>
      <c r="B585" s="15" t="s">
        <v>386</v>
      </c>
      <c r="C585" s="16">
        <v>0.82986111111111116</v>
      </c>
      <c r="D585" s="15" t="s">
        <v>53</v>
      </c>
      <c r="E585" s="15" t="s">
        <v>54</v>
      </c>
      <c r="F585" s="15" t="s">
        <v>384</v>
      </c>
      <c r="G585" s="298"/>
      <c r="H585" s="10"/>
      <c r="I585" s="11"/>
      <c r="J585" s="11"/>
      <c r="K585" s="11"/>
      <c r="L585" s="11"/>
      <c r="M585" s="11"/>
      <c r="N585" s="11"/>
      <c r="O585" s="12"/>
      <c r="P585" s="11"/>
      <c r="Q585" s="13"/>
      <c r="R585" s="14"/>
    </row>
    <row r="586" spans="1:18" ht="15" customHeight="1">
      <c r="A586" s="17" t="s">
        <v>48</v>
      </c>
      <c r="B586" s="17" t="s">
        <v>385</v>
      </c>
      <c r="C586" s="18">
        <v>0.94097222222222221</v>
      </c>
      <c r="D586" s="17" t="s">
        <v>50</v>
      </c>
      <c r="E586" s="17" t="s">
        <v>57</v>
      </c>
      <c r="F586" s="17" t="s">
        <v>383</v>
      </c>
      <c r="G586" s="298"/>
      <c r="H586" s="10"/>
      <c r="I586" s="11"/>
      <c r="J586" s="11"/>
      <c r="K586" s="11"/>
      <c r="L586" s="11"/>
      <c r="M586" s="11"/>
      <c r="N586" s="11"/>
      <c r="O586" s="12"/>
      <c r="P586" s="11"/>
      <c r="Q586" s="13"/>
      <c r="R586" s="14"/>
    </row>
    <row r="587" spans="1:18" ht="15" customHeight="1">
      <c r="A587" s="15" t="s">
        <v>48</v>
      </c>
      <c r="B587" s="15" t="s">
        <v>385</v>
      </c>
      <c r="C587" s="16">
        <v>0.94097222222222221</v>
      </c>
      <c r="D587" s="15" t="s">
        <v>53</v>
      </c>
      <c r="E587" s="15" t="s">
        <v>54</v>
      </c>
      <c r="F587" s="15" t="s">
        <v>384</v>
      </c>
      <c r="G587" s="298"/>
      <c r="H587" s="10"/>
      <c r="I587" s="11"/>
      <c r="J587" s="11"/>
      <c r="K587" s="11"/>
      <c r="L587" s="11"/>
      <c r="M587" s="11"/>
      <c r="N587" s="11"/>
      <c r="O587" s="12"/>
      <c r="P587" s="11"/>
      <c r="Q587" s="13"/>
      <c r="R587" s="14"/>
    </row>
    <row r="588" spans="1:18" ht="15" customHeight="1">
      <c r="A588" s="17" t="s">
        <v>48</v>
      </c>
      <c r="B588" s="17" t="s">
        <v>388</v>
      </c>
      <c r="C588" s="18">
        <v>0.72222222222222221</v>
      </c>
      <c r="D588" s="17" t="s">
        <v>50</v>
      </c>
      <c r="E588" s="17" t="s">
        <v>57</v>
      </c>
      <c r="F588" s="17" t="s">
        <v>462</v>
      </c>
      <c r="G588" s="298"/>
      <c r="H588" s="10"/>
      <c r="I588" s="11"/>
      <c r="J588" s="11"/>
      <c r="K588" s="11"/>
      <c r="L588" s="11"/>
      <c r="M588" s="11"/>
      <c r="N588" s="11"/>
      <c r="O588" s="12"/>
      <c r="P588" s="11"/>
      <c r="Q588" s="13"/>
      <c r="R588" s="14"/>
    </row>
    <row r="589" spans="1:18" ht="15" customHeight="1">
      <c r="A589" s="15" t="s">
        <v>48</v>
      </c>
      <c r="B589" s="15" t="s">
        <v>388</v>
      </c>
      <c r="C589" s="16">
        <v>0.72222222222222221</v>
      </c>
      <c r="D589" s="15" t="s">
        <v>53</v>
      </c>
      <c r="E589" s="15" t="s">
        <v>54</v>
      </c>
      <c r="F589" s="15" t="s">
        <v>463</v>
      </c>
      <c r="G589" s="298"/>
      <c r="H589" s="10"/>
      <c r="I589" s="11"/>
      <c r="J589" s="11"/>
      <c r="K589" s="11"/>
      <c r="L589" s="11"/>
      <c r="M589" s="11"/>
      <c r="N589" s="11"/>
      <c r="O589" s="12"/>
      <c r="P589" s="11"/>
      <c r="Q589" s="13"/>
      <c r="R589" s="14"/>
    </row>
    <row r="590" spans="1:18" ht="15" customHeight="1">
      <c r="A590" s="17" t="s">
        <v>48</v>
      </c>
      <c r="B590" s="17" t="s">
        <v>382</v>
      </c>
      <c r="C590" s="18">
        <v>0.11805555555555559</v>
      </c>
      <c r="D590" s="17" t="s">
        <v>50</v>
      </c>
      <c r="E590" s="17" t="s">
        <v>57</v>
      </c>
      <c r="F590" s="17" t="s">
        <v>462</v>
      </c>
      <c r="G590" s="298"/>
      <c r="H590" s="10"/>
      <c r="I590" s="11"/>
      <c r="J590" s="11"/>
      <c r="K590" s="11"/>
      <c r="L590" s="11"/>
      <c r="M590" s="11"/>
      <c r="N590" s="11"/>
      <c r="O590" s="12"/>
      <c r="P590" s="11"/>
      <c r="Q590" s="13"/>
      <c r="R590" s="14"/>
    </row>
    <row r="591" spans="1:18" ht="15" customHeight="1">
      <c r="A591" s="15" t="s">
        <v>48</v>
      </c>
      <c r="B591" s="15" t="s">
        <v>382</v>
      </c>
      <c r="C591" s="16">
        <v>0.11805555555555559</v>
      </c>
      <c r="D591" s="15" t="s">
        <v>53</v>
      </c>
      <c r="E591" s="15" t="s">
        <v>54</v>
      </c>
      <c r="F591" s="15" t="s">
        <v>463</v>
      </c>
      <c r="G591" s="298"/>
      <c r="H591" s="10"/>
      <c r="I591" s="11"/>
      <c r="J591" s="11"/>
      <c r="K591" s="11"/>
      <c r="L591" s="11"/>
      <c r="M591" s="11"/>
      <c r="N591" s="11"/>
      <c r="O591" s="12"/>
      <c r="P591" s="11"/>
      <c r="Q591" s="13"/>
      <c r="R591" s="14"/>
    </row>
    <row r="592" spans="1:18" ht="15" customHeight="1">
      <c r="A592" s="17" t="s">
        <v>48</v>
      </c>
      <c r="B592" s="17" t="s">
        <v>389</v>
      </c>
      <c r="C592" s="18">
        <v>0.70486111111111116</v>
      </c>
      <c r="D592" s="17" t="s">
        <v>50</v>
      </c>
      <c r="E592" s="17" t="s">
        <v>57</v>
      </c>
      <c r="F592" s="17" t="s">
        <v>462</v>
      </c>
      <c r="G592" s="298"/>
      <c r="H592" s="10"/>
      <c r="I592" s="11"/>
      <c r="J592" s="11"/>
      <c r="K592" s="11"/>
      <c r="L592" s="11"/>
      <c r="M592" s="11"/>
      <c r="N592" s="11"/>
      <c r="O592" s="12"/>
      <c r="P592" s="11"/>
      <c r="Q592" s="13"/>
      <c r="R592" s="14"/>
    </row>
    <row r="593" spans="1:18" ht="15" customHeight="1">
      <c r="A593" s="15" t="s">
        <v>48</v>
      </c>
      <c r="B593" s="15" t="s">
        <v>389</v>
      </c>
      <c r="C593" s="16">
        <v>0.70486111111111116</v>
      </c>
      <c r="D593" s="15" t="s">
        <v>53</v>
      </c>
      <c r="E593" s="15" t="s">
        <v>54</v>
      </c>
      <c r="F593" s="15" t="s">
        <v>463</v>
      </c>
      <c r="G593" s="298"/>
      <c r="H593" s="10"/>
      <c r="I593" s="11"/>
      <c r="J593" s="11"/>
      <c r="K593" s="11"/>
      <c r="L593" s="11"/>
      <c r="M593" s="11"/>
      <c r="N593" s="11"/>
      <c r="O593" s="12"/>
      <c r="P593" s="11"/>
      <c r="Q593" s="13"/>
      <c r="R593" s="14"/>
    </row>
    <row r="594" spans="1:18" ht="15" customHeight="1">
      <c r="A594" s="17" t="s">
        <v>48</v>
      </c>
      <c r="B594" s="17" t="s">
        <v>390</v>
      </c>
      <c r="C594" s="18">
        <v>4.1666666666666657E-2</v>
      </c>
      <c r="D594" s="17" t="s">
        <v>50</v>
      </c>
      <c r="E594" s="17" t="s">
        <v>57</v>
      </c>
      <c r="F594" s="17" t="s">
        <v>462</v>
      </c>
      <c r="G594" s="298"/>
      <c r="H594" s="10"/>
      <c r="I594" s="11"/>
      <c r="J594" s="11"/>
      <c r="K594" s="11"/>
      <c r="L594" s="11"/>
      <c r="M594" s="11"/>
      <c r="N594" s="11"/>
      <c r="O594" s="12"/>
      <c r="P594" s="11"/>
      <c r="Q594" s="13"/>
      <c r="R594" s="14"/>
    </row>
    <row r="595" spans="1:18" ht="15" customHeight="1">
      <c r="A595" s="15" t="s">
        <v>48</v>
      </c>
      <c r="B595" s="15" t="s">
        <v>390</v>
      </c>
      <c r="C595" s="16">
        <v>4.1666666666666657E-2</v>
      </c>
      <c r="D595" s="15" t="s">
        <v>53</v>
      </c>
      <c r="E595" s="15" t="s">
        <v>54</v>
      </c>
      <c r="F595" s="15" t="s">
        <v>463</v>
      </c>
      <c r="G595" s="298"/>
      <c r="H595" s="10"/>
      <c r="I595" s="11"/>
      <c r="J595" s="11"/>
      <c r="K595" s="11"/>
      <c r="L595" s="11"/>
      <c r="M595" s="11"/>
      <c r="N595" s="11"/>
      <c r="O595" s="12"/>
      <c r="P595" s="11"/>
      <c r="Q595" s="13"/>
      <c r="R595" s="14"/>
    </row>
    <row r="596" spans="1:18" ht="15" customHeight="1">
      <c r="A596" s="17" t="s">
        <v>48</v>
      </c>
      <c r="B596" s="17" t="s">
        <v>391</v>
      </c>
      <c r="C596" s="18">
        <v>0.48958333333333331</v>
      </c>
      <c r="D596" s="17" t="s">
        <v>50</v>
      </c>
      <c r="E596" s="17" t="s">
        <v>57</v>
      </c>
      <c r="F596" s="17" t="s">
        <v>392</v>
      </c>
      <c r="G596" s="298"/>
      <c r="H596" s="10"/>
      <c r="I596" s="11"/>
      <c r="J596" s="11"/>
      <c r="K596" s="11"/>
      <c r="L596" s="11"/>
      <c r="M596" s="11"/>
      <c r="N596" s="11"/>
      <c r="O596" s="12"/>
      <c r="P596" s="11"/>
      <c r="Q596" s="13"/>
      <c r="R596" s="14"/>
    </row>
    <row r="597" spans="1:18" ht="15" customHeight="1">
      <c r="A597" s="15" t="s">
        <v>48</v>
      </c>
      <c r="B597" s="15" t="s">
        <v>391</v>
      </c>
      <c r="C597" s="16">
        <v>0.48958333333333331</v>
      </c>
      <c r="D597" s="15" t="s">
        <v>53</v>
      </c>
      <c r="E597" s="15" t="s">
        <v>54</v>
      </c>
      <c r="F597" s="15" t="s">
        <v>393</v>
      </c>
      <c r="G597" s="298"/>
      <c r="H597" s="10"/>
      <c r="I597" s="11"/>
      <c r="J597" s="11"/>
      <c r="K597" s="11"/>
      <c r="L597" s="11"/>
      <c r="M597" s="11"/>
      <c r="N597" s="11"/>
      <c r="O597" s="12"/>
      <c r="P597" s="11"/>
      <c r="Q597" s="13"/>
      <c r="R597" s="14"/>
    </row>
    <row r="598" spans="1:18" ht="15" customHeight="1">
      <c r="A598" s="17" t="s">
        <v>48</v>
      </c>
      <c r="B598" s="17" t="s">
        <v>400</v>
      </c>
      <c r="C598" s="18">
        <v>0.25347222222222221</v>
      </c>
      <c r="D598" s="17" t="s">
        <v>50</v>
      </c>
      <c r="E598" s="17" t="s">
        <v>57</v>
      </c>
      <c r="F598" s="17" t="s">
        <v>392</v>
      </c>
      <c r="G598" s="298"/>
      <c r="H598" s="10"/>
      <c r="I598" s="11"/>
      <c r="J598" s="11"/>
      <c r="K598" s="11"/>
      <c r="L598" s="11"/>
      <c r="M598" s="11"/>
      <c r="N598" s="11"/>
      <c r="O598" s="12"/>
      <c r="P598" s="11"/>
      <c r="Q598" s="13"/>
      <c r="R598" s="14"/>
    </row>
    <row r="599" spans="1:18" ht="15" customHeight="1">
      <c r="A599" s="15" t="s">
        <v>48</v>
      </c>
      <c r="B599" s="15" t="s">
        <v>400</v>
      </c>
      <c r="C599" s="16">
        <v>0.25347222222222221</v>
      </c>
      <c r="D599" s="15" t="s">
        <v>53</v>
      </c>
      <c r="E599" s="15" t="s">
        <v>54</v>
      </c>
      <c r="F599" s="15" t="s">
        <v>393</v>
      </c>
      <c r="G599" s="298"/>
      <c r="H599" s="10"/>
      <c r="I599" s="11"/>
      <c r="J599" s="11"/>
      <c r="K599" s="11"/>
      <c r="L599" s="11"/>
      <c r="M599" s="11"/>
      <c r="N599" s="11"/>
      <c r="O599" s="12"/>
      <c r="P599" s="11"/>
      <c r="Q599" s="13"/>
      <c r="R599" s="14"/>
    </row>
    <row r="600" spans="1:18" ht="15" customHeight="1">
      <c r="A600" s="17" t="s">
        <v>48</v>
      </c>
      <c r="B600" s="17" t="s">
        <v>394</v>
      </c>
      <c r="C600" s="18">
        <v>0.98958333333333337</v>
      </c>
      <c r="D600" s="17" t="s">
        <v>53</v>
      </c>
      <c r="E600" s="17" t="s">
        <v>37</v>
      </c>
      <c r="F600" s="17" t="s">
        <v>395</v>
      </c>
      <c r="G600" s="298"/>
      <c r="H600" s="10"/>
      <c r="I600" s="11"/>
      <c r="J600" s="11"/>
      <c r="K600" s="11"/>
      <c r="L600" s="11"/>
      <c r="M600" s="11"/>
      <c r="N600" s="11"/>
      <c r="O600" s="12"/>
      <c r="P600" s="11"/>
      <c r="Q600" s="13"/>
      <c r="R600" s="14"/>
    </row>
    <row r="601" spans="1:18" ht="15" customHeight="1">
      <c r="A601" s="17" t="s">
        <v>48</v>
      </c>
      <c r="B601" s="17" t="s">
        <v>397</v>
      </c>
      <c r="C601" s="18">
        <v>0.88888888888888884</v>
      </c>
      <c r="D601" s="17" t="s">
        <v>53</v>
      </c>
      <c r="E601" s="17" t="s">
        <v>37</v>
      </c>
      <c r="F601" s="17" t="s">
        <v>395</v>
      </c>
      <c r="G601" s="298"/>
      <c r="H601" s="10"/>
      <c r="I601" s="11"/>
      <c r="J601" s="11"/>
      <c r="K601" s="11"/>
      <c r="L601" s="11"/>
      <c r="M601" s="11"/>
      <c r="N601" s="11"/>
      <c r="O601" s="12"/>
      <c r="P601" s="11"/>
      <c r="Q601" s="13"/>
      <c r="R601" s="14"/>
    </row>
    <row r="602" spans="1:18" ht="15" customHeight="1">
      <c r="A602" s="17" t="s">
        <v>48</v>
      </c>
      <c r="B602" s="17" t="s">
        <v>396</v>
      </c>
      <c r="C602" s="18">
        <v>0.48958333333333331</v>
      </c>
      <c r="D602" s="17" t="s">
        <v>53</v>
      </c>
      <c r="E602" s="17" t="s">
        <v>37</v>
      </c>
      <c r="F602" s="17" t="s">
        <v>481</v>
      </c>
      <c r="G602" s="298"/>
      <c r="H602" s="10"/>
      <c r="I602" s="11"/>
      <c r="J602" s="11"/>
      <c r="K602" s="11"/>
      <c r="L602" s="11"/>
      <c r="M602" s="11"/>
      <c r="N602" s="11"/>
      <c r="O602" s="12"/>
      <c r="P602" s="11"/>
      <c r="Q602" s="13"/>
      <c r="R602" s="14"/>
    </row>
    <row r="603" spans="1:18" ht="15" customHeight="1">
      <c r="A603" s="17" t="s">
        <v>48</v>
      </c>
      <c r="B603" s="17" t="s">
        <v>398</v>
      </c>
      <c r="C603" s="18">
        <v>0.39930555555555558</v>
      </c>
      <c r="D603" s="17" t="s">
        <v>53</v>
      </c>
      <c r="E603" s="17" t="s">
        <v>37</v>
      </c>
      <c r="F603" s="17" t="s">
        <v>438</v>
      </c>
      <c r="G603" s="298"/>
      <c r="H603" s="10"/>
      <c r="I603" s="11"/>
      <c r="J603" s="11"/>
      <c r="K603" s="11"/>
      <c r="L603" s="11"/>
      <c r="M603" s="11"/>
      <c r="N603" s="11"/>
      <c r="O603" s="12"/>
      <c r="P603" s="11"/>
      <c r="Q603" s="13"/>
      <c r="R603" s="14"/>
    </row>
    <row r="604" spans="1:18" ht="15" customHeight="1">
      <c r="A604" s="19" t="s">
        <v>402</v>
      </c>
      <c r="B604" s="19" t="s">
        <v>403</v>
      </c>
      <c r="C604" s="20">
        <v>0.49305555555555558</v>
      </c>
      <c r="D604" s="19" t="s">
        <v>63</v>
      </c>
      <c r="E604" s="19" t="s">
        <v>103</v>
      </c>
      <c r="F604" s="19" t="s">
        <v>404</v>
      </c>
      <c r="G604" s="298"/>
      <c r="H604" s="10"/>
      <c r="I604" s="11"/>
      <c r="J604" s="11"/>
      <c r="K604" s="11"/>
      <c r="L604" s="11"/>
      <c r="M604" s="11"/>
      <c r="N604" s="11"/>
      <c r="O604" s="12"/>
      <c r="P604" s="11"/>
      <c r="Q604" s="13"/>
      <c r="R604" s="14"/>
    </row>
    <row r="605" spans="1:18" ht="15" customHeight="1">
      <c r="A605" s="19" t="s">
        <v>68</v>
      </c>
      <c r="B605" s="19" t="s">
        <v>405</v>
      </c>
      <c r="C605" s="20">
        <v>0.83680555555555547</v>
      </c>
      <c r="D605" s="19" t="s">
        <v>70</v>
      </c>
      <c r="E605" s="19" t="s">
        <v>51</v>
      </c>
      <c r="F605" s="19" t="s">
        <v>406</v>
      </c>
      <c r="G605" s="298"/>
      <c r="H605" s="10"/>
      <c r="I605" s="11"/>
      <c r="J605" s="11"/>
      <c r="K605" s="11"/>
      <c r="L605" s="11"/>
      <c r="M605" s="11"/>
      <c r="N605" s="11"/>
      <c r="O605" s="12"/>
      <c r="P605" s="11"/>
      <c r="Q605" s="13"/>
      <c r="R605" s="14"/>
    </row>
    <row r="606" spans="1:18" ht="15" customHeight="1">
      <c r="A606" s="17" t="s">
        <v>68</v>
      </c>
      <c r="B606" s="17" t="s">
        <v>408</v>
      </c>
      <c r="C606" s="18">
        <v>0.97222222222222221</v>
      </c>
      <c r="D606" s="17" t="s">
        <v>70</v>
      </c>
      <c r="E606" s="17" t="s">
        <v>57</v>
      </c>
      <c r="F606" s="17" t="s">
        <v>406</v>
      </c>
      <c r="G606" s="298"/>
      <c r="H606" s="10"/>
      <c r="I606" s="11"/>
      <c r="J606" s="11"/>
      <c r="K606" s="11"/>
      <c r="L606" s="11"/>
      <c r="M606" s="11"/>
      <c r="N606" s="11"/>
      <c r="O606" s="12"/>
      <c r="P606" s="11"/>
      <c r="Q606" s="13"/>
      <c r="R606" s="14"/>
    </row>
    <row r="607" spans="1:18" ht="15" customHeight="1">
      <c r="A607" s="17" t="s">
        <v>68</v>
      </c>
      <c r="B607" s="17" t="s">
        <v>411</v>
      </c>
      <c r="C607" s="18">
        <v>0.78472222222222221</v>
      </c>
      <c r="D607" s="17" t="s">
        <v>70</v>
      </c>
      <c r="E607" s="17" t="s">
        <v>57</v>
      </c>
      <c r="F607" s="17" t="s">
        <v>406</v>
      </c>
      <c r="G607" s="298"/>
      <c r="H607" s="10"/>
      <c r="I607" s="11"/>
      <c r="J607" s="11"/>
      <c r="K607" s="11"/>
      <c r="L607" s="11"/>
      <c r="M607" s="11"/>
      <c r="N607" s="11"/>
      <c r="O607" s="12"/>
      <c r="P607" s="11"/>
      <c r="Q607" s="13"/>
      <c r="R607" s="14"/>
    </row>
    <row r="608" spans="1:18" ht="15" customHeight="1">
      <c r="A608" s="17" t="s">
        <v>68</v>
      </c>
      <c r="B608" s="17" t="s">
        <v>413</v>
      </c>
      <c r="C608" s="18">
        <v>4.8611111111111112E-2</v>
      </c>
      <c r="D608" s="17" t="s">
        <v>70</v>
      </c>
      <c r="E608" s="17" t="s">
        <v>57</v>
      </c>
      <c r="F608" s="17" t="s">
        <v>406</v>
      </c>
      <c r="G608" s="298"/>
      <c r="H608" s="10"/>
      <c r="I608" s="11"/>
      <c r="J608" s="11"/>
      <c r="K608" s="11"/>
      <c r="L608" s="11"/>
      <c r="M608" s="11"/>
      <c r="N608" s="11"/>
      <c r="O608" s="12"/>
      <c r="P608" s="11"/>
      <c r="Q608" s="13"/>
      <c r="R608" s="14"/>
    </row>
    <row r="609" spans="1:18" ht="15" customHeight="1">
      <c r="A609" s="17" t="s">
        <v>68</v>
      </c>
      <c r="B609" s="17" t="s">
        <v>407</v>
      </c>
      <c r="C609" s="18">
        <v>0.3125</v>
      </c>
      <c r="D609" s="17" t="s">
        <v>70</v>
      </c>
      <c r="E609" s="17" t="s">
        <v>57</v>
      </c>
      <c r="F609" s="17" t="s">
        <v>412</v>
      </c>
      <c r="G609" s="298"/>
      <c r="H609" s="10"/>
      <c r="I609" s="11"/>
      <c r="J609" s="11"/>
      <c r="K609" s="11"/>
      <c r="L609" s="11"/>
      <c r="M609" s="11"/>
      <c r="N609" s="11"/>
      <c r="O609" s="12"/>
      <c r="P609" s="11"/>
      <c r="Q609" s="13"/>
      <c r="R609" s="14"/>
    </row>
    <row r="610" spans="1:18" ht="15" customHeight="1">
      <c r="A610" s="17" t="s">
        <v>68</v>
      </c>
      <c r="B610" s="17" t="s">
        <v>409</v>
      </c>
      <c r="C610" s="18">
        <v>0.34027777777777768</v>
      </c>
      <c r="D610" s="17" t="s">
        <v>70</v>
      </c>
      <c r="E610" s="17" t="s">
        <v>57</v>
      </c>
      <c r="F610" s="17" t="s">
        <v>412</v>
      </c>
      <c r="G610" s="298"/>
      <c r="H610" s="10"/>
      <c r="I610" s="11"/>
      <c r="J610" s="11"/>
      <c r="K610" s="11"/>
      <c r="L610" s="11"/>
      <c r="M610" s="11"/>
      <c r="N610" s="11"/>
      <c r="O610" s="12"/>
      <c r="P610" s="11"/>
      <c r="Q610" s="13"/>
      <c r="R610" s="14"/>
    </row>
    <row r="611" spans="1:18" ht="15" customHeight="1">
      <c r="A611" s="17" t="s">
        <v>68</v>
      </c>
      <c r="B611" s="17" t="s">
        <v>410</v>
      </c>
      <c r="C611" s="18">
        <v>0.59722222222222221</v>
      </c>
      <c r="D611" s="17" t="s">
        <v>70</v>
      </c>
      <c r="E611" s="17" t="s">
        <v>57</v>
      </c>
      <c r="F611" s="17" t="s">
        <v>474</v>
      </c>
      <c r="G611" s="298"/>
      <c r="H611" s="10"/>
      <c r="I611" s="11"/>
      <c r="J611" s="11"/>
      <c r="K611" s="11"/>
      <c r="L611" s="11"/>
      <c r="M611" s="11"/>
      <c r="N611" s="11"/>
      <c r="O611" s="12"/>
      <c r="P611" s="11"/>
      <c r="Q611" s="13"/>
      <c r="R611" s="14"/>
    </row>
    <row r="612" spans="1:18" ht="15" customHeight="1">
      <c r="A612" s="19" t="s">
        <v>415</v>
      </c>
      <c r="B612" s="19" t="s">
        <v>416</v>
      </c>
      <c r="C612" s="20">
        <v>0.11805555555555559</v>
      </c>
      <c r="D612" s="19" t="s">
        <v>63</v>
      </c>
      <c r="E612" s="19" t="s">
        <v>51</v>
      </c>
      <c r="F612" s="19" t="s">
        <v>417</v>
      </c>
      <c r="G612" s="298"/>
      <c r="H612" s="10"/>
      <c r="I612" s="11"/>
      <c r="J612" s="11"/>
      <c r="K612" s="11"/>
      <c r="L612" s="11"/>
      <c r="M612" s="11"/>
      <c r="N612" s="11"/>
      <c r="O612" s="12"/>
      <c r="P612" s="11"/>
      <c r="Q612" s="13"/>
      <c r="R612" s="14"/>
    </row>
    <row r="613" spans="1:18" ht="15" customHeight="1" thickBot="1">
      <c r="A613" s="30" t="s">
        <v>415</v>
      </c>
      <c r="B613" s="30" t="s">
        <v>418</v>
      </c>
      <c r="C613" s="31">
        <v>0.4201388888888889</v>
      </c>
      <c r="D613" s="30" t="s">
        <v>63</v>
      </c>
      <c r="E613" s="30" t="s">
        <v>57</v>
      </c>
      <c r="F613" s="30" t="s">
        <v>417</v>
      </c>
      <c r="G613" s="299"/>
      <c r="H613" s="300"/>
      <c r="I613" s="140"/>
      <c r="J613" s="140"/>
      <c r="K613" s="140"/>
      <c r="L613" s="140"/>
      <c r="M613" s="140"/>
      <c r="N613" s="140"/>
      <c r="O613" s="141"/>
      <c r="P613" s="140"/>
      <c r="Q613" s="142"/>
      <c r="R613" s="301"/>
    </row>
    <row r="614" spans="1:18" ht="17.45" customHeight="1" thickBot="1">
      <c r="A614" s="283"/>
      <c r="B614" s="284"/>
      <c r="C614" s="284"/>
      <c r="D614" s="284"/>
      <c r="E614" s="284"/>
      <c r="F614" s="284"/>
      <c r="G614" s="284"/>
      <c r="H614" s="284"/>
      <c r="I614" s="284"/>
      <c r="J614" s="284"/>
      <c r="K614" s="284"/>
      <c r="L614" s="284"/>
      <c r="M614" s="284"/>
      <c r="N614" s="284"/>
      <c r="O614" s="284"/>
      <c r="P614" s="284"/>
      <c r="Q614" s="284"/>
      <c r="R614" s="285"/>
    </row>
    <row r="615" spans="1:18" ht="22.15" customHeight="1" thickTop="1" thickBot="1">
      <c r="A615" s="279" t="s">
        <v>6</v>
      </c>
      <c r="B615" s="295"/>
      <c r="C615" s="295"/>
      <c r="D615" s="295"/>
      <c r="E615" s="295"/>
      <c r="F615" s="296"/>
      <c r="G615" s="32">
        <v>46031</v>
      </c>
      <c r="H615" s="278" t="s">
        <v>7</v>
      </c>
      <c r="I615" s="295"/>
      <c r="J615" s="295"/>
      <c r="K615" s="295"/>
      <c r="L615" s="295"/>
      <c r="M615" s="295"/>
      <c r="N615" s="295"/>
      <c r="O615" s="295"/>
      <c r="P615" s="295"/>
      <c r="Q615" s="295"/>
      <c r="R615" s="296"/>
    </row>
    <row r="616" spans="1:18" ht="24" customHeight="1">
      <c r="A616" s="33" t="s">
        <v>8</v>
      </c>
      <c r="B616" s="33" t="s">
        <v>9</v>
      </c>
      <c r="C616" s="34" t="s">
        <v>10</v>
      </c>
      <c r="D616" s="33" t="s">
        <v>11</v>
      </c>
      <c r="E616" s="33" t="s">
        <v>12</v>
      </c>
      <c r="F616" s="35" t="s">
        <v>13</v>
      </c>
      <c r="G616" s="36" t="s">
        <v>14</v>
      </c>
      <c r="H616" s="33" t="s">
        <v>15</v>
      </c>
      <c r="I616" s="37" t="s">
        <v>16</v>
      </c>
      <c r="J616" s="38" t="s">
        <v>17</v>
      </c>
      <c r="K616" s="39" t="s">
        <v>18</v>
      </c>
      <c r="L616" s="38" t="s">
        <v>19</v>
      </c>
      <c r="M616" s="38" t="s">
        <v>20</v>
      </c>
      <c r="N616" s="38" t="s">
        <v>21</v>
      </c>
      <c r="O616" s="33" t="s">
        <v>22</v>
      </c>
      <c r="P616" s="34" t="s">
        <v>23</v>
      </c>
      <c r="Q616" s="38" t="s">
        <v>24</v>
      </c>
      <c r="R616" s="33" t="s">
        <v>25</v>
      </c>
    </row>
    <row r="617" spans="1:18" ht="15" customHeight="1">
      <c r="A617" s="8" t="s">
        <v>38</v>
      </c>
      <c r="B617" s="8" t="s">
        <v>342</v>
      </c>
      <c r="C617" s="9">
        <v>0.48958333333333331</v>
      </c>
      <c r="D617" s="8" t="s">
        <v>40</v>
      </c>
      <c r="E617" s="8" t="s">
        <v>103</v>
      </c>
      <c r="F617" s="8" t="s">
        <v>88</v>
      </c>
      <c r="G617" s="297"/>
      <c r="H617" s="10"/>
      <c r="I617" s="11"/>
      <c r="J617" s="11"/>
      <c r="K617" s="11"/>
      <c r="L617" s="11"/>
      <c r="M617" s="11"/>
      <c r="N617" s="11"/>
      <c r="O617" s="12"/>
      <c r="P617" s="11"/>
      <c r="Q617" s="13"/>
      <c r="R617" s="14"/>
    </row>
    <row r="618" spans="1:18" ht="15" customHeight="1">
      <c r="A618" s="15" t="s">
        <v>38</v>
      </c>
      <c r="B618" s="15" t="s">
        <v>342</v>
      </c>
      <c r="C618" s="16">
        <v>0.48958333333333331</v>
      </c>
      <c r="D618" s="15" t="s">
        <v>43</v>
      </c>
      <c r="E618" s="15" t="s">
        <v>99</v>
      </c>
      <c r="F618" s="15" t="s">
        <v>89</v>
      </c>
      <c r="G618" s="298"/>
      <c r="H618" s="10"/>
      <c r="I618" s="11"/>
      <c r="J618" s="11"/>
      <c r="K618" s="11"/>
      <c r="L618" s="11"/>
      <c r="M618" s="11"/>
      <c r="N618" s="11"/>
      <c r="O618" s="12"/>
      <c r="P618" s="11"/>
      <c r="Q618" s="13"/>
      <c r="R618" s="14"/>
    </row>
    <row r="619" spans="1:18" ht="15" customHeight="1">
      <c r="A619" s="15" t="s">
        <v>38</v>
      </c>
      <c r="B619" s="15" t="s">
        <v>342</v>
      </c>
      <c r="C619" s="16">
        <v>0.48958333333333331</v>
      </c>
      <c r="D619" s="15" t="s">
        <v>46</v>
      </c>
      <c r="E619" s="15" t="s">
        <v>99</v>
      </c>
      <c r="F619" s="15" t="s">
        <v>47</v>
      </c>
      <c r="G619" s="298"/>
      <c r="H619" s="10"/>
      <c r="I619" s="11"/>
      <c r="J619" s="11"/>
      <c r="K619" s="11"/>
      <c r="L619" s="11"/>
      <c r="M619" s="11"/>
      <c r="N619" s="11"/>
      <c r="O619" s="12"/>
      <c r="P619" s="11"/>
      <c r="Q619" s="13"/>
      <c r="R619" s="14"/>
    </row>
    <row r="620" spans="1:18" ht="15" customHeight="1">
      <c r="A620" s="17" t="s">
        <v>38</v>
      </c>
      <c r="B620" s="17" t="s">
        <v>346</v>
      </c>
      <c r="C620" s="18">
        <v>0.39930555555555558</v>
      </c>
      <c r="D620" s="17" t="s">
        <v>40</v>
      </c>
      <c r="E620" s="17" t="s">
        <v>194</v>
      </c>
      <c r="F620" s="17" t="s">
        <v>81</v>
      </c>
      <c r="G620" s="298"/>
      <c r="H620" s="10"/>
      <c r="I620" s="11"/>
      <c r="J620" s="11"/>
      <c r="K620" s="11"/>
      <c r="L620" s="11"/>
      <c r="M620" s="11"/>
      <c r="N620" s="11"/>
      <c r="O620" s="12"/>
      <c r="P620" s="11"/>
      <c r="Q620" s="13"/>
      <c r="R620" s="14"/>
    </row>
    <row r="621" spans="1:18" ht="15" customHeight="1">
      <c r="A621" s="15" t="s">
        <v>38</v>
      </c>
      <c r="B621" s="15" t="s">
        <v>346</v>
      </c>
      <c r="C621" s="16">
        <v>0.39930555555555558</v>
      </c>
      <c r="D621" s="15" t="s">
        <v>43</v>
      </c>
      <c r="E621" s="15" t="s">
        <v>195</v>
      </c>
      <c r="F621" s="15" t="s">
        <v>161</v>
      </c>
      <c r="G621" s="298"/>
      <c r="H621" s="10"/>
      <c r="I621" s="11"/>
      <c r="J621" s="11"/>
      <c r="K621" s="11"/>
      <c r="L621" s="11"/>
      <c r="M621" s="11"/>
      <c r="N621" s="11"/>
      <c r="O621" s="12"/>
      <c r="P621" s="11"/>
      <c r="Q621" s="13"/>
      <c r="R621" s="14"/>
    </row>
    <row r="622" spans="1:18" ht="15" customHeight="1">
      <c r="A622" s="15" t="s">
        <v>38</v>
      </c>
      <c r="B622" s="15" t="s">
        <v>346</v>
      </c>
      <c r="C622" s="16">
        <v>0.39930555555555558</v>
      </c>
      <c r="D622" s="15" t="s">
        <v>46</v>
      </c>
      <c r="E622" s="15" t="s">
        <v>195</v>
      </c>
      <c r="F622" s="15" t="s">
        <v>47</v>
      </c>
      <c r="G622" s="298"/>
      <c r="H622" s="10"/>
      <c r="I622" s="11"/>
      <c r="J622" s="11"/>
      <c r="K622" s="11"/>
      <c r="L622" s="11"/>
      <c r="M622" s="11"/>
      <c r="N622" s="11"/>
      <c r="O622" s="12"/>
      <c r="P622" s="11"/>
      <c r="Q622" s="13"/>
      <c r="R622" s="14"/>
    </row>
    <row r="623" spans="1:18" ht="15" customHeight="1">
      <c r="A623" s="17" t="s">
        <v>38</v>
      </c>
      <c r="B623" s="17" t="s">
        <v>344</v>
      </c>
      <c r="C623" s="18">
        <v>0.88888888888888884</v>
      </c>
      <c r="D623" s="17" t="s">
        <v>40</v>
      </c>
      <c r="E623" s="17" t="s">
        <v>194</v>
      </c>
      <c r="F623" s="17" t="s">
        <v>81</v>
      </c>
      <c r="G623" s="298"/>
      <c r="H623" s="10"/>
      <c r="I623" s="11"/>
      <c r="J623" s="11"/>
      <c r="K623" s="11"/>
      <c r="L623" s="11"/>
      <c r="M623" s="11"/>
      <c r="N623" s="11"/>
      <c r="O623" s="12"/>
      <c r="P623" s="11"/>
      <c r="Q623" s="13"/>
      <c r="R623" s="14"/>
    </row>
    <row r="624" spans="1:18" ht="15" customHeight="1">
      <c r="A624" s="15" t="s">
        <v>38</v>
      </c>
      <c r="B624" s="15" t="s">
        <v>344</v>
      </c>
      <c r="C624" s="16">
        <v>0.88888888888888884</v>
      </c>
      <c r="D624" s="15" t="s">
        <v>43</v>
      </c>
      <c r="E624" s="15" t="s">
        <v>195</v>
      </c>
      <c r="F624" s="15" t="s">
        <v>161</v>
      </c>
      <c r="G624" s="298"/>
      <c r="H624" s="10"/>
      <c r="I624" s="11"/>
      <c r="J624" s="11"/>
      <c r="K624" s="11"/>
      <c r="L624" s="11"/>
      <c r="M624" s="11"/>
      <c r="N624" s="11"/>
      <c r="O624" s="12"/>
      <c r="P624" s="11"/>
      <c r="Q624" s="13"/>
      <c r="R624" s="14"/>
    </row>
    <row r="625" spans="1:18" ht="15" customHeight="1">
      <c r="A625" s="15" t="s">
        <v>38</v>
      </c>
      <c r="B625" s="15" t="s">
        <v>344</v>
      </c>
      <c r="C625" s="16">
        <v>0.88888888888888884</v>
      </c>
      <c r="D625" s="15" t="s">
        <v>46</v>
      </c>
      <c r="E625" s="15" t="s">
        <v>195</v>
      </c>
      <c r="F625" s="15" t="s">
        <v>47</v>
      </c>
      <c r="G625" s="298"/>
      <c r="H625" s="10"/>
      <c r="I625" s="11"/>
      <c r="J625" s="11"/>
      <c r="K625" s="11"/>
      <c r="L625" s="11"/>
      <c r="M625" s="11"/>
      <c r="N625" s="11"/>
      <c r="O625" s="12"/>
      <c r="P625" s="11"/>
      <c r="Q625" s="13"/>
      <c r="R625" s="14"/>
    </row>
    <row r="626" spans="1:18" ht="15" customHeight="1">
      <c r="A626" s="17" t="s">
        <v>38</v>
      </c>
      <c r="B626" s="17" t="s">
        <v>345</v>
      </c>
      <c r="C626" s="18">
        <v>0.98958333333333337</v>
      </c>
      <c r="D626" s="17" t="s">
        <v>40</v>
      </c>
      <c r="E626" s="17" t="s">
        <v>442</v>
      </c>
      <c r="F626" s="17" t="s">
        <v>30</v>
      </c>
      <c r="G626" s="298"/>
      <c r="H626" s="10"/>
      <c r="I626" s="11"/>
      <c r="J626" s="11"/>
      <c r="K626" s="11"/>
      <c r="L626" s="11"/>
      <c r="M626" s="11"/>
      <c r="N626" s="11"/>
      <c r="O626" s="12"/>
      <c r="P626" s="11"/>
      <c r="Q626" s="13"/>
      <c r="R626" s="14"/>
    </row>
    <row r="627" spans="1:18" ht="15" customHeight="1">
      <c r="A627" s="15" t="s">
        <v>38</v>
      </c>
      <c r="B627" s="15" t="s">
        <v>345</v>
      </c>
      <c r="C627" s="16">
        <v>0.98958333333333337</v>
      </c>
      <c r="D627" s="15" t="s">
        <v>43</v>
      </c>
      <c r="E627" s="15" t="s">
        <v>122</v>
      </c>
      <c r="F627" s="15" t="s">
        <v>420</v>
      </c>
      <c r="G627" s="298"/>
      <c r="H627" s="10"/>
      <c r="I627" s="11"/>
      <c r="J627" s="11"/>
      <c r="K627" s="11"/>
      <c r="L627" s="11"/>
      <c r="M627" s="11"/>
      <c r="N627" s="11"/>
      <c r="O627" s="12"/>
      <c r="P627" s="11"/>
      <c r="Q627" s="13"/>
      <c r="R627" s="14"/>
    </row>
    <row r="628" spans="1:18" ht="15" customHeight="1">
      <c r="A628" s="15" t="s">
        <v>38</v>
      </c>
      <c r="B628" s="15" t="s">
        <v>345</v>
      </c>
      <c r="C628" s="16">
        <v>0.98958333333333337</v>
      </c>
      <c r="D628" s="15" t="s">
        <v>46</v>
      </c>
      <c r="E628" s="15" t="s">
        <v>122</v>
      </c>
      <c r="F628" s="15" t="s">
        <v>47</v>
      </c>
      <c r="G628" s="298"/>
      <c r="H628" s="10"/>
      <c r="I628" s="11"/>
      <c r="J628" s="11"/>
      <c r="K628" s="11"/>
      <c r="L628" s="11"/>
      <c r="M628" s="11"/>
      <c r="N628" s="11"/>
      <c r="O628" s="12"/>
      <c r="P628" s="11"/>
      <c r="Q628" s="13"/>
      <c r="R628" s="14"/>
    </row>
    <row r="629" spans="1:18" ht="15" customHeight="1">
      <c r="A629" s="19" t="s">
        <v>359</v>
      </c>
      <c r="B629" s="19" t="s">
        <v>422</v>
      </c>
      <c r="C629" s="20">
        <v>0.80902777777777779</v>
      </c>
      <c r="D629" s="19" t="s">
        <v>361</v>
      </c>
      <c r="E629" s="19" t="s">
        <v>80</v>
      </c>
      <c r="F629" s="19" t="s">
        <v>423</v>
      </c>
      <c r="G629" s="298"/>
      <c r="H629" s="10"/>
      <c r="I629" s="11"/>
      <c r="J629" s="11"/>
      <c r="K629" s="11"/>
      <c r="L629" s="11"/>
      <c r="M629" s="11"/>
      <c r="N629" s="11"/>
      <c r="O629" s="12"/>
      <c r="P629" s="11"/>
      <c r="Q629" s="13"/>
      <c r="R629" s="14"/>
    </row>
    <row r="630" spans="1:18" ht="15" customHeight="1">
      <c r="A630" s="15" t="s">
        <v>359</v>
      </c>
      <c r="B630" s="15" t="s">
        <v>422</v>
      </c>
      <c r="C630" s="16">
        <v>0.80902777777777779</v>
      </c>
      <c r="D630" s="15" t="s">
        <v>46</v>
      </c>
      <c r="E630" s="15" t="s">
        <v>82</v>
      </c>
      <c r="F630" s="15" t="s">
        <v>424</v>
      </c>
      <c r="G630" s="298"/>
      <c r="H630" s="10"/>
      <c r="I630" s="11"/>
      <c r="J630" s="11"/>
      <c r="K630" s="11"/>
      <c r="L630" s="11"/>
      <c r="M630" s="11"/>
      <c r="N630" s="11"/>
      <c r="O630" s="12"/>
      <c r="P630" s="11"/>
      <c r="Q630" s="13"/>
      <c r="R630" s="14"/>
    </row>
    <row r="631" spans="1:18" ht="15" customHeight="1">
      <c r="A631" s="17" t="s">
        <v>359</v>
      </c>
      <c r="B631" s="17" t="s">
        <v>360</v>
      </c>
      <c r="C631" s="18">
        <v>0.22569444444444439</v>
      </c>
      <c r="D631" s="17" t="s">
        <v>361</v>
      </c>
      <c r="E631" s="17" t="s">
        <v>90</v>
      </c>
      <c r="F631" s="17" t="s">
        <v>423</v>
      </c>
      <c r="G631" s="298"/>
      <c r="H631" s="10"/>
      <c r="I631" s="11"/>
      <c r="J631" s="11"/>
      <c r="K631" s="11"/>
      <c r="L631" s="11"/>
      <c r="M631" s="11"/>
      <c r="N631" s="11"/>
      <c r="O631" s="12"/>
      <c r="P631" s="11"/>
      <c r="Q631" s="13"/>
      <c r="R631" s="14"/>
    </row>
    <row r="632" spans="1:18" ht="15" customHeight="1">
      <c r="A632" s="15" t="s">
        <v>359</v>
      </c>
      <c r="B632" s="15" t="s">
        <v>360</v>
      </c>
      <c r="C632" s="16">
        <v>0.22569444444444439</v>
      </c>
      <c r="D632" s="15" t="s">
        <v>46</v>
      </c>
      <c r="E632" s="15" t="s">
        <v>82</v>
      </c>
      <c r="F632" s="15" t="s">
        <v>424</v>
      </c>
      <c r="G632" s="298"/>
      <c r="H632" s="10"/>
      <c r="I632" s="11"/>
      <c r="J632" s="11"/>
      <c r="K632" s="11"/>
      <c r="L632" s="11"/>
      <c r="M632" s="11"/>
      <c r="N632" s="11"/>
      <c r="O632" s="12"/>
      <c r="P632" s="11"/>
      <c r="Q632" s="13"/>
      <c r="R632" s="14"/>
    </row>
    <row r="633" spans="1:18" ht="15" customHeight="1">
      <c r="A633" s="17" t="s">
        <v>359</v>
      </c>
      <c r="B633" s="17" t="s">
        <v>425</v>
      </c>
      <c r="C633" s="18">
        <v>0.51041666666666663</v>
      </c>
      <c r="D633" s="17" t="s">
        <v>361</v>
      </c>
      <c r="E633" s="17" t="s">
        <v>90</v>
      </c>
      <c r="F633" s="17" t="s">
        <v>423</v>
      </c>
      <c r="G633" s="298"/>
      <c r="H633" s="10"/>
      <c r="I633" s="11"/>
      <c r="J633" s="11"/>
      <c r="K633" s="11"/>
      <c r="L633" s="11"/>
      <c r="M633" s="11"/>
      <c r="N633" s="11"/>
      <c r="O633" s="12"/>
      <c r="P633" s="11"/>
      <c r="Q633" s="13"/>
      <c r="R633" s="14"/>
    </row>
    <row r="634" spans="1:18" ht="15" customHeight="1">
      <c r="A634" s="15" t="s">
        <v>359</v>
      </c>
      <c r="B634" s="15" t="s">
        <v>425</v>
      </c>
      <c r="C634" s="16">
        <v>0.51041666666666663</v>
      </c>
      <c r="D634" s="15" t="s">
        <v>46</v>
      </c>
      <c r="E634" s="15" t="s">
        <v>82</v>
      </c>
      <c r="F634" s="15" t="s">
        <v>424</v>
      </c>
      <c r="G634" s="298"/>
      <c r="H634" s="10"/>
      <c r="I634" s="11"/>
      <c r="J634" s="11"/>
      <c r="K634" s="11"/>
      <c r="L634" s="11"/>
      <c r="M634" s="11"/>
      <c r="N634" s="11"/>
      <c r="O634" s="12"/>
      <c r="P634" s="11"/>
      <c r="Q634" s="13"/>
      <c r="R634" s="14"/>
    </row>
    <row r="635" spans="1:18" ht="15" customHeight="1">
      <c r="A635" s="78" t="s">
        <v>61</v>
      </c>
      <c r="B635" s="78" t="s">
        <v>428</v>
      </c>
      <c r="C635" s="79">
        <v>0.55902777777777779</v>
      </c>
      <c r="D635" s="78" t="s">
        <v>63</v>
      </c>
      <c r="E635" s="78" t="s">
        <v>156</v>
      </c>
      <c r="F635" s="78" t="s">
        <v>365</v>
      </c>
      <c r="G635" s="298"/>
      <c r="H635" s="80" t="s">
        <v>429</v>
      </c>
      <c r="I635" s="81">
        <v>2.7799999999999998E-2</v>
      </c>
      <c r="J635" s="82">
        <v>5</v>
      </c>
      <c r="K635" s="83">
        <v>46340</v>
      </c>
      <c r="L635" s="82">
        <v>5</v>
      </c>
      <c r="M635" s="82">
        <v>0</v>
      </c>
      <c r="N635" s="82">
        <v>0</v>
      </c>
      <c r="O635" s="84" t="s">
        <v>430</v>
      </c>
      <c r="P635" s="85">
        <v>0.55902777777777779</v>
      </c>
      <c r="Q635" s="82">
        <v>180</v>
      </c>
      <c r="R635" s="86" t="s">
        <v>431</v>
      </c>
    </row>
    <row r="636" spans="1:18" ht="15" customHeight="1">
      <c r="A636" s="162" t="s">
        <v>61</v>
      </c>
      <c r="B636" s="162" t="s">
        <v>375</v>
      </c>
      <c r="C636" s="163">
        <v>0.1423611111111111</v>
      </c>
      <c r="D636" s="162" t="s">
        <v>63</v>
      </c>
      <c r="E636" s="162" t="s">
        <v>200</v>
      </c>
      <c r="F636" s="162" t="s">
        <v>365</v>
      </c>
      <c r="G636" s="298"/>
      <c r="H636" s="60" t="s">
        <v>376</v>
      </c>
      <c r="I636" s="61">
        <v>1.67E-2</v>
      </c>
      <c r="J636" s="62">
        <v>3</v>
      </c>
      <c r="K636" s="63">
        <v>46302</v>
      </c>
      <c r="L636" s="62">
        <v>3</v>
      </c>
      <c r="M636" s="62">
        <v>0</v>
      </c>
      <c r="N636" s="62">
        <v>0</v>
      </c>
      <c r="O636" s="64" t="s">
        <v>446</v>
      </c>
      <c r="P636" s="65">
        <v>0.1423611111111111</v>
      </c>
      <c r="Q636" s="62">
        <v>180</v>
      </c>
      <c r="R636" s="66" t="s">
        <v>446</v>
      </c>
    </row>
    <row r="637" spans="1:18" ht="15" customHeight="1">
      <c r="A637" s="148" t="s">
        <v>61</v>
      </c>
      <c r="B637" s="148" t="s">
        <v>377</v>
      </c>
      <c r="C637" s="149">
        <v>0.28125</v>
      </c>
      <c r="D637" s="148" t="s">
        <v>63</v>
      </c>
      <c r="E637" s="148" t="s">
        <v>372</v>
      </c>
      <c r="F637" s="148" t="s">
        <v>365</v>
      </c>
      <c r="G637" s="298"/>
      <c r="H637" s="51" t="s">
        <v>378</v>
      </c>
      <c r="I637" s="52">
        <v>0</v>
      </c>
      <c r="J637" s="53">
        <v>0</v>
      </c>
      <c r="K637" s="54" t="s">
        <v>66</v>
      </c>
      <c r="L637" s="53">
        <v>0</v>
      </c>
      <c r="M637" s="53">
        <v>0</v>
      </c>
      <c r="N637" s="53">
        <v>0</v>
      </c>
      <c r="O637" s="55" t="s">
        <v>436</v>
      </c>
      <c r="P637" s="56">
        <v>0.28125</v>
      </c>
      <c r="Q637" s="53">
        <v>180</v>
      </c>
      <c r="R637" s="57" t="s">
        <v>66</v>
      </c>
    </row>
    <row r="638" spans="1:18" ht="15" customHeight="1">
      <c r="A638" s="156" t="s">
        <v>61</v>
      </c>
      <c r="B638" s="156" t="s">
        <v>379</v>
      </c>
      <c r="C638" s="157">
        <v>0.4375</v>
      </c>
      <c r="D638" s="156" t="s">
        <v>63</v>
      </c>
      <c r="E638" s="156" t="s">
        <v>200</v>
      </c>
      <c r="F638" s="156" t="s">
        <v>365</v>
      </c>
      <c r="G638" s="298"/>
      <c r="H638" s="42" t="s">
        <v>380</v>
      </c>
      <c r="I638" s="43">
        <v>1.67E-2</v>
      </c>
      <c r="J638" s="44">
        <v>3</v>
      </c>
      <c r="K638" s="45">
        <v>46340</v>
      </c>
      <c r="L638" s="44">
        <v>3</v>
      </c>
      <c r="M638" s="44">
        <v>0</v>
      </c>
      <c r="N638" s="44">
        <v>0</v>
      </c>
      <c r="O638" s="46" t="s">
        <v>446</v>
      </c>
      <c r="P638" s="47">
        <v>0.4375</v>
      </c>
      <c r="Q638" s="44">
        <v>180</v>
      </c>
      <c r="R638" s="48" t="s">
        <v>446</v>
      </c>
    </row>
    <row r="639" spans="1:18" ht="15" customHeight="1">
      <c r="A639" s="150" t="s">
        <v>61</v>
      </c>
      <c r="B639" s="150" t="s">
        <v>432</v>
      </c>
      <c r="C639" s="151">
        <v>0.76041666666666663</v>
      </c>
      <c r="D639" s="150" t="s">
        <v>63</v>
      </c>
      <c r="E639" s="150" t="s">
        <v>435</v>
      </c>
      <c r="F639" s="150" t="s">
        <v>79</v>
      </c>
      <c r="G639" s="298"/>
      <c r="H639" s="80" t="s">
        <v>433</v>
      </c>
      <c r="I639" s="81">
        <v>3.3300000000000003E-2</v>
      </c>
      <c r="J639" s="82">
        <v>6</v>
      </c>
      <c r="K639" s="83">
        <v>46344</v>
      </c>
      <c r="L639" s="82">
        <v>6</v>
      </c>
      <c r="M639" s="82">
        <v>0</v>
      </c>
      <c r="N639" s="82">
        <v>0</v>
      </c>
      <c r="O639" s="84" t="s">
        <v>299</v>
      </c>
      <c r="P639" s="85">
        <v>0.76041666666666663</v>
      </c>
      <c r="Q639" s="82">
        <v>180</v>
      </c>
      <c r="R639" s="86" t="s">
        <v>436</v>
      </c>
    </row>
    <row r="640" spans="1:18" ht="15" customHeight="1">
      <c r="A640" s="19" t="s">
        <v>26</v>
      </c>
      <c r="B640" s="19" t="s">
        <v>348</v>
      </c>
      <c r="C640" s="20">
        <v>0.99305555555555547</v>
      </c>
      <c r="D640" s="19" t="s">
        <v>28</v>
      </c>
      <c r="E640" s="19" t="s">
        <v>103</v>
      </c>
      <c r="F640" s="19" t="s">
        <v>83</v>
      </c>
      <c r="G640" s="298"/>
      <c r="H640" s="10"/>
      <c r="I640" s="11"/>
      <c r="J640" s="11"/>
      <c r="K640" s="11"/>
      <c r="L640" s="11"/>
      <c r="M640" s="11"/>
      <c r="N640" s="11"/>
      <c r="O640" s="12"/>
      <c r="P640" s="11"/>
      <c r="Q640" s="13"/>
      <c r="R640" s="14"/>
    </row>
    <row r="641" spans="1:18" ht="15" customHeight="1">
      <c r="A641" s="15" t="s">
        <v>26</v>
      </c>
      <c r="B641" s="15" t="s">
        <v>348</v>
      </c>
      <c r="C641" s="16">
        <v>0.99305555555555547</v>
      </c>
      <c r="D641" s="15" t="s">
        <v>31</v>
      </c>
      <c r="E641" s="15" t="s">
        <v>99</v>
      </c>
      <c r="F641" s="15" t="s">
        <v>159</v>
      </c>
      <c r="G641" s="298"/>
      <c r="H641" s="10"/>
      <c r="I641" s="11"/>
      <c r="J641" s="11"/>
      <c r="K641" s="11"/>
      <c r="L641" s="11"/>
      <c r="M641" s="11"/>
      <c r="N641" s="11"/>
      <c r="O641" s="12"/>
      <c r="P641" s="11"/>
      <c r="Q641" s="13"/>
      <c r="R641" s="14"/>
    </row>
    <row r="642" spans="1:18" ht="15" customHeight="1">
      <c r="A642" s="15" t="s">
        <v>26</v>
      </c>
      <c r="B642" s="15" t="s">
        <v>348</v>
      </c>
      <c r="C642" s="16">
        <v>0.99305555555555547</v>
      </c>
      <c r="D642" s="15" t="s">
        <v>34</v>
      </c>
      <c r="E642" s="15" t="s">
        <v>99</v>
      </c>
      <c r="F642" s="15" t="s">
        <v>355</v>
      </c>
      <c r="G642" s="298"/>
      <c r="H642" s="10"/>
      <c r="I642" s="11"/>
      <c r="J642" s="11"/>
      <c r="K642" s="11"/>
      <c r="L642" s="11"/>
      <c r="M642" s="11"/>
      <c r="N642" s="11"/>
      <c r="O642" s="12"/>
      <c r="P642" s="11"/>
      <c r="Q642" s="13"/>
      <c r="R642" s="14"/>
    </row>
    <row r="643" spans="1:18" ht="15" customHeight="1">
      <c r="A643" s="17" t="s">
        <v>26</v>
      </c>
      <c r="B643" s="17" t="s">
        <v>356</v>
      </c>
      <c r="C643" s="18">
        <v>0.4861111111111111</v>
      </c>
      <c r="D643" s="17" t="s">
        <v>28</v>
      </c>
      <c r="E643" s="17" t="s">
        <v>200</v>
      </c>
      <c r="F643" s="17" t="s">
        <v>83</v>
      </c>
      <c r="G643" s="298"/>
      <c r="H643" s="10"/>
      <c r="I643" s="11"/>
      <c r="J643" s="11"/>
      <c r="K643" s="11"/>
      <c r="L643" s="11"/>
      <c r="M643" s="11"/>
      <c r="N643" s="11"/>
      <c r="O643" s="12"/>
      <c r="P643" s="11"/>
      <c r="Q643" s="13"/>
      <c r="R643" s="14"/>
    </row>
    <row r="644" spans="1:18" ht="15" customHeight="1">
      <c r="A644" s="15" t="s">
        <v>26</v>
      </c>
      <c r="B644" s="15" t="s">
        <v>356</v>
      </c>
      <c r="C644" s="16">
        <v>0.4861111111111111</v>
      </c>
      <c r="D644" s="15" t="s">
        <v>31</v>
      </c>
      <c r="E644" s="15" t="s">
        <v>127</v>
      </c>
      <c r="F644" s="15" t="s">
        <v>159</v>
      </c>
      <c r="G644" s="298"/>
      <c r="H644" s="10"/>
      <c r="I644" s="11"/>
      <c r="J644" s="11"/>
      <c r="K644" s="11"/>
      <c r="L644" s="11"/>
      <c r="M644" s="11"/>
      <c r="N644" s="11"/>
      <c r="O644" s="12"/>
      <c r="P644" s="11"/>
      <c r="Q644" s="13"/>
      <c r="R644" s="14"/>
    </row>
    <row r="645" spans="1:18" ht="15" customHeight="1">
      <c r="A645" s="15" t="s">
        <v>26</v>
      </c>
      <c r="B645" s="15" t="s">
        <v>356</v>
      </c>
      <c r="C645" s="16">
        <v>0.4861111111111111</v>
      </c>
      <c r="D645" s="15" t="s">
        <v>34</v>
      </c>
      <c r="E645" s="15" t="s">
        <v>127</v>
      </c>
      <c r="F645" s="15" t="s">
        <v>355</v>
      </c>
      <c r="G645" s="298"/>
      <c r="H645" s="10"/>
      <c r="I645" s="11"/>
      <c r="J645" s="11"/>
      <c r="K645" s="11"/>
      <c r="L645" s="11"/>
      <c r="M645" s="11"/>
      <c r="N645" s="11"/>
      <c r="O645" s="12"/>
      <c r="P645" s="11"/>
      <c r="Q645" s="13"/>
      <c r="R645" s="14"/>
    </row>
    <row r="646" spans="1:18" ht="15" customHeight="1">
      <c r="A646" s="17" t="s">
        <v>26</v>
      </c>
      <c r="B646" s="17" t="s">
        <v>353</v>
      </c>
      <c r="C646" s="18">
        <v>0.88888888888888884</v>
      </c>
      <c r="D646" s="17" t="s">
        <v>28</v>
      </c>
      <c r="E646" s="17" t="s">
        <v>37</v>
      </c>
      <c r="F646" s="17" t="s">
        <v>83</v>
      </c>
      <c r="G646" s="298"/>
      <c r="H646" s="10"/>
      <c r="I646" s="11"/>
      <c r="J646" s="11"/>
      <c r="K646" s="11"/>
      <c r="L646" s="11"/>
      <c r="M646" s="11"/>
      <c r="N646" s="11"/>
      <c r="O646" s="12"/>
      <c r="P646" s="11"/>
      <c r="Q646" s="13"/>
      <c r="R646" s="14"/>
    </row>
    <row r="647" spans="1:18" ht="15" customHeight="1">
      <c r="A647" s="15" t="s">
        <v>26</v>
      </c>
      <c r="B647" s="15" t="s">
        <v>353</v>
      </c>
      <c r="C647" s="16">
        <v>0.88888888888888884</v>
      </c>
      <c r="D647" s="15" t="s">
        <v>31</v>
      </c>
      <c r="E647" s="15" t="s">
        <v>32</v>
      </c>
      <c r="F647" s="15" t="s">
        <v>159</v>
      </c>
      <c r="G647" s="298"/>
      <c r="H647" s="10"/>
      <c r="I647" s="11"/>
      <c r="J647" s="11"/>
      <c r="K647" s="11"/>
      <c r="L647" s="11"/>
      <c r="M647" s="11"/>
      <c r="N647" s="11"/>
      <c r="O647" s="12"/>
      <c r="P647" s="11"/>
      <c r="Q647" s="13"/>
      <c r="R647" s="14"/>
    </row>
    <row r="648" spans="1:18" ht="15" customHeight="1">
      <c r="A648" s="15" t="s">
        <v>26</v>
      </c>
      <c r="B648" s="15" t="s">
        <v>353</v>
      </c>
      <c r="C648" s="16">
        <v>0.88888888888888884</v>
      </c>
      <c r="D648" s="15" t="s">
        <v>34</v>
      </c>
      <c r="E648" s="15" t="s">
        <v>32</v>
      </c>
      <c r="F648" s="15" t="s">
        <v>355</v>
      </c>
      <c r="G648" s="298"/>
      <c r="H648" s="10"/>
      <c r="I648" s="11"/>
      <c r="J648" s="11"/>
      <c r="K648" s="11"/>
      <c r="L648" s="11"/>
      <c r="M648" s="11"/>
      <c r="N648" s="11"/>
      <c r="O648" s="12"/>
      <c r="P648" s="11"/>
      <c r="Q648" s="13"/>
      <c r="R648" s="14"/>
    </row>
    <row r="649" spans="1:18" ht="15" customHeight="1">
      <c r="A649" s="17" t="s">
        <v>26</v>
      </c>
      <c r="B649" s="17" t="s">
        <v>351</v>
      </c>
      <c r="C649" s="18">
        <v>0.83680555555555547</v>
      </c>
      <c r="D649" s="17" t="s">
        <v>28</v>
      </c>
      <c r="E649" s="17" t="s">
        <v>98</v>
      </c>
      <c r="F649" s="17" t="s">
        <v>79</v>
      </c>
      <c r="G649" s="298"/>
      <c r="H649" s="10"/>
      <c r="I649" s="11"/>
      <c r="J649" s="11"/>
      <c r="K649" s="11"/>
      <c r="L649" s="11"/>
      <c r="M649" s="11"/>
      <c r="N649" s="11"/>
      <c r="O649" s="12"/>
      <c r="P649" s="11"/>
      <c r="Q649" s="13"/>
      <c r="R649" s="14"/>
    </row>
    <row r="650" spans="1:18" ht="15" customHeight="1">
      <c r="A650" s="15" t="s">
        <v>26</v>
      </c>
      <c r="B650" s="15" t="s">
        <v>351</v>
      </c>
      <c r="C650" s="16">
        <v>0.83680555555555547</v>
      </c>
      <c r="D650" s="15" t="s">
        <v>31</v>
      </c>
      <c r="E650" s="15" t="s">
        <v>99</v>
      </c>
      <c r="F650" s="15" t="s">
        <v>123</v>
      </c>
      <c r="G650" s="298"/>
      <c r="H650" s="10"/>
      <c r="I650" s="11"/>
      <c r="J650" s="11"/>
      <c r="K650" s="11"/>
      <c r="L650" s="11"/>
      <c r="M650" s="11"/>
      <c r="N650" s="11"/>
      <c r="O650" s="12"/>
      <c r="P650" s="11"/>
      <c r="Q650" s="13"/>
      <c r="R650" s="14"/>
    </row>
    <row r="651" spans="1:18" ht="15" customHeight="1">
      <c r="A651" s="15" t="s">
        <v>26</v>
      </c>
      <c r="B651" s="15" t="s">
        <v>351</v>
      </c>
      <c r="C651" s="16">
        <v>0.83680555555555547</v>
      </c>
      <c r="D651" s="15" t="s">
        <v>34</v>
      </c>
      <c r="E651" s="15" t="s">
        <v>99</v>
      </c>
      <c r="F651" s="15" t="s">
        <v>118</v>
      </c>
      <c r="G651" s="298"/>
      <c r="H651" s="10"/>
      <c r="I651" s="11"/>
      <c r="J651" s="11"/>
      <c r="K651" s="11"/>
      <c r="L651" s="11"/>
      <c r="M651" s="11"/>
      <c r="N651" s="11"/>
      <c r="O651" s="12"/>
      <c r="P651" s="11"/>
      <c r="Q651" s="13"/>
      <c r="R651" s="14"/>
    </row>
    <row r="652" spans="1:18" ht="15" customHeight="1">
      <c r="A652" s="17" t="s">
        <v>26</v>
      </c>
      <c r="B652" s="17" t="s">
        <v>352</v>
      </c>
      <c r="C652" s="18">
        <v>0.94444444444444453</v>
      </c>
      <c r="D652" s="17" t="s">
        <v>28</v>
      </c>
      <c r="E652" s="17" t="s">
        <v>90</v>
      </c>
      <c r="F652" s="17" t="s">
        <v>45</v>
      </c>
      <c r="G652" s="298"/>
      <c r="H652" s="10"/>
      <c r="I652" s="11"/>
      <c r="J652" s="11"/>
      <c r="K652" s="11"/>
      <c r="L652" s="11"/>
      <c r="M652" s="11"/>
      <c r="N652" s="11"/>
      <c r="O652" s="12"/>
      <c r="P652" s="11"/>
      <c r="Q652" s="13"/>
      <c r="R652" s="14"/>
    </row>
    <row r="653" spans="1:18" ht="15" customHeight="1">
      <c r="A653" s="15" t="s">
        <v>26</v>
      </c>
      <c r="B653" s="15" t="s">
        <v>352</v>
      </c>
      <c r="C653" s="16">
        <v>0.94444444444444453</v>
      </c>
      <c r="D653" s="15" t="s">
        <v>31</v>
      </c>
      <c r="E653" s="15" t="s">
        <v>82</v>
      </c>
      <c r="F653" s="15" t="s">
        <v>355</v>
      </c>
      <c r="G653" s="298"/>
      <c r="H653" s="10"/>
      <c r="I653" s="11"/>
      <c r="J653" s="11"/>
      <c r="K653" s="11"/>
      <c r="L653" s="11"/>
      <c r="M653" s="11"/>
      <c r="N653" s="11"/>
      <c r="O653" s="12"/>
      <c r="P653" s="11"/>
      <c r="Q653" s="13"/>
      <c r="R653" s="14"/>
    </row>
    <row r="654" spans="1:18" ht="15" customHeight="1">
      <c r="A654" s="15" t="s">
        <v>26</v>
      </c>
      <c r="B654" s="15" t="s">
        <v>352</v>
      </c>
      <c r="C654" s="16">
        <v>0.94444444444444453</v>
      </c>
      <c r="D654" s="15" t="s">
        <v>34</v>
      </c>
      <c r="E654" s="15" t="s">
        <v>82</v>
      </c>
      <c r="F654" s="15" t="s">
        <v>358</v>
      </c>
      <c r="G654" s="298"/>
      <c r="H654" s="10"/>
      <c r="I654" s="11"/>
      <c r="J654" s="11"/>
      <c r="K654" s="11"/>
      <c r="L654" s="11"/>
      <c r="M654" s="11"/>
      <c r="N654" s="11"/>
      <c r="O654" s="12"/>
      <c r="P654" s="11"/>
      <c r="Q654" s="13"/>
      <c r="R654" s="14"/>
    </row>
    <row r="655" spans="1:18" ht="15" customHeight="1">
      <c r="A655" s="17" t="s">
        <v>26</v>
      </c>
      <c r="B655" s="17" t="s">
        <v>357</v>
      </c>
      <c r="C655" s="18">
        <v>0.55902777777777779</v>
      </c>
      <c r="D655" s="17" t="s">
        <v>28</v>
      </c>
      <c r="E655" s="17" t="s">
        <v>90</v>
      </c>
      <c r="F655" s="17" t="s">
        <v>45</v>
      </c>
      <c r="G655" s="298"/>
      <c r="H655" s="10"/>
      <c r="I655" s="11"/>
      <c r="J655" s="11"/>
      <c r="K655" s="11"/>
      <c r="L655" s="11"/>
      <c r="M655" s="11"/>
      <c r="N655" s="11"/>
      <c r="O655" s="12"/>
      <c r="P655" s="11"/>
      <c r="Q655" s="13"/>
      <c r="R655" s="14"/>
    </row>
    <row r="656" spans="1:18" ht="15" customHeight="1">
      <c r="A656" s="15" t="s">
        <v>26</v>
      </c>
      <c r="B656" s="15" t="s">
        <v>357</v>
      </c>
      <c r="C656" s="16">
        <v>0.55902777777777779</v>
      </c>
      <c r="D656" s="15" t="s">
        <v>31</v>
      </c>
      <c r="E656" s="15" t="s">
        <v>82</v>
      </c>
      <c r="F656" s="15" t="s">
        <v>355</v>
      </c>
      <c r="G656" s="298"/>
      <c r="H656" s="10"/>
      <c r="I656" s="11"/>
      <c r="J656" s="11"/>
      <c r="K656" s="11"/>
      <c r="L656" s="11"/>
      <c r="M656" s="11"/>
      <c r="N656" s="11"/>
      <c r="O656" s="12"/>
      <c r="P656" s="11"/>
      <c r="Q656" s="13"/>
      <c r="R656" s="14"/>
    </row>
    <row r="657" spans="1:18" ht="15" customHeight="1">
      <c r="A657" s="15" t="s">
        <v>26</v>
      </c>
      <c r="B657" s="15" t="s">
        <v>357</v>
      </c>
      <c r="C657" s="16">
        <v>0.55902777777777779</v>
      </c>
      <c r="D657" s="15" t="s">
        <v>34</v>
      </c>
      <c r="E657" s="15" t="s">
        <v>82</v>
      </c>
      <c r="F657" s="15" t="s">
        <v>358</v>
      </c>
      <c r="G657" s="298"/>
      <c r="H657" s="10"/>
      <c r="I657" s="11"/>
      <c r="J657" s="11"/>
      <c r="K657" s="11"/>
      <c r="L657" s="11"/>
      <c r="M657" s="11"/>
      <c r="N657" s="11"/>
      <c r="O657" s="12"/>
      <c r="P657" s="11"/>
      <c r="Q657" s="13"/>
      <c r="R657" s="14"/>
    </row>
    <row r="658" spans="1:18" ht="15" customHeight="1">
      <c r="A658" s="17" t="s">
        <v>26</v>
      </c>
      <c r="B658" s="17" t="s">
        <v>354</v>
      </c>
      <c r="C658" s="18">
        <v>0.34722222222222232</v>
      </c>
      <c r="D658" s="17" t="s">
        <v>28</v>
      </c>
      <c r="E658" s="17" t="s">
        <v>37</v>
      </c>
      <c r="F658" s="17" t="s">
        <v>455</v>
      </c>
      <c r="G658" s="298"/>
      <c r="H658" s="10"/>
      <c r="I658" s="11"/>
      <c r="J658" s="11"/>
      <c r="K658" s="11"/>
      <c r="L658" s="11"/>
      <c r="M658" s="11"/>
      <c r="N658" s="11"/>
      <c r="O658" s="12"/>
      <c r="P658" s="11"/>
      <c r="Q658" s="13"/>
      <c r="R658" s="14"/>
    </row>
    <row r="659" spans="1:18" ht="15" customHeight="1">
      <c r="A659" s="15" t="s">
        <v>26</v>
      </c>
      <c r="B659" s="15" t="s">
        <v>354</v>
      </c>
      <c r="C659" s="16">
        <v>0.34722222222222232</v>
      </c>
      <c r="D659" s="15" t="s">
        <v>31</v>
      </c>
      <c r="E659" s="15" t="s">
        <v>32</v>
      </c>
      <c r="F659" s="15" t="s">
        <v>456</v>
      </c>
      <c r="G659" s="298"/>
      <c r="H659" s="10"/>
      <c r="I659" s="11"/>
      <c r="J659" s="11"/>
      <c r="K659" s="11"/>
      <c r="L659" s="11"/>
      <c r="M659" s="11"/>
      <c r="N659" s="11"/>
      <c r="O659" s="12"/>
      <c r="P659" s="11"/>
      <c r="Q659" s="13"/>
      <c r="R659" s="14"/>
    </row>
    <row r="660" spans="1:18" ht="15" customHeight="1">
      <c r="A660" s="15" t="s">
        <v>26</v>
      </c>
      <c r="B660" s="15" t="s">
        <v>354</v>
      </c>
      <c r="C660" s="16">
        <v>0.34722222222222232</v>
      </c>
      <c r="D660" s="15" t="s">
        <v>34</v>
      </c>
      <c r="E660" s="15" t="s">
        <v>32</v>
      </c>
      <c r="F660" s="15" t="s">
        <v>457</v>
      </c>
      <c r="G660" s="298"/>
      <c r="H660" s="10"/>
      <c r="I660" s="11"/>
      <c r="J660" s="11"/>
      <c r="K660" s="11"/>
      <c r="L660" s="11"/>
      <c r="M660" s="11"/>
      <c r="N660" s="11"/>
      <c r="O660" s="12"/>
      <c r="P660" s="11"/>
      <c r="Q660" s="13"/>
      <c r="R660" s="14"/>
    </row>
    <row r="661" spans="1:18" ht="15" customHeight="1">
      <c r="A661" s="17" t="s">
        <v>26</v>
      </c>
      <c r="B661" s="17" t="s">
        <v>350</v>
      </c>
      <c r="C661" s="18">
        <v>0.73611111111111116</v>
      </c>
      <c r="D661" s="17" t="s">
        <v>28</v>
      </c>
      <c r="E661" s="17" t="s">
        <v>200</v>
      </c>
      <c r="F661" s="17" t="s">
        <v>455</v>
      </c>
      <c r="G661" s="298"/>
      <c r="H661" s="10"/>
      <c r="I661" s="11"/>
      <c r="J661" s="11"/>
      <c r="K661" s="11"/>
      <c r="L661" s="11"/>
      <c r="M661" s="11"/>
      <c r="N661" s="11"/>
      <c r="O661" s="12"/>
      <c r="P661" s="11"/>
      <c r="Q661" s="13"/>
      <c r="R661" s="14"/>
    </row>
    <row r="662" spans="1:18" ht="15" customHeight="1">
      <c r="A662" s="15" t="s">
        <v>26</v>
      </c>
      <c r="B662" s="15" t="s">
        <v>350</v>
      </c>
      <c r="C662" s="16">
        <v>0.73611111111111116</v>
      </c>
      <c r="D662" s="15" t="s">
        <v>31</v>
      </c>
      <c r="E662" s="15" t="s">
        <v>127</v>
      </c>
      <c r="F662" s="15" t="s">
        <v>456</v>
      </c>
      <c r="G662" s="298"/>
      <c r="H662" s="10"/>
      <c r="I662" s="11"/>
      <c r="J662" s="11"/>
      <c r="K662" s="11"/>
      <c r="L662" s="11"/>
      <c r="M662" s="11"/>
      <c r="N662" s="11"/>
      <c r="O662" s="12"/>
      <c r="P662" s="11"/>
      <c r="Q662" s="13"/>
      <c r="R662" s="14"/>
    </row>
    <row r="663" spans="1:18" ht="15" customHeight="1">
      <c r="A663" s="15" t="s">
        <v>26</v>
      </c>
      <c r="B663" s="15" t="s">
        <v>350</v>
      </c>
      <c r="C663" s="16">
        <v>0.73611111111111116</v>
      </c>
      <c r="D663" s="15" t="s">
        <v>34</v>
      </c>
      <c r="E663" s="15" t="s">
        <v>127</v>
      </c>
      <c r="F663" s="15" t="s">
        <v>457</v>
      </c>
      <c r="G663" s="298"/>
      <c r="H663" s="10"/>
      <c r="I663" s="11"/>
      <c r="J663" s="11"/>
      <c r="K663" s="11"/>
      <c r="L663" s="11"/>
      <c r="M663" s="11"/>
      <c r="N663" s="11"/>
      <c r="O663" s="12"/>
      <c r="P663" s="11"/>
      <c r="Q663" s="13"/>
      <c r="R663" s="14"/>
    </row>
    <row r="664" spans="1:18" ht="15" customHeight="1">
      <c r="A664" s="19" t="s">
        <v>48</v>
      </c>
      <c r="B664" s="19" t="s">
        <v>400</v>
      </c>
      <c r="C664" s="20">
        <v>0.25347222222222221</v>
      </c>
      <c r="D664" s="19" t="s">
        <v>50</v>
      </c>
      <c r="E664" s="19" t="s">
        <v>51</v>
      </c>
      <c r="F664" s="19" t="s">
        <v>383</v>
      </c>
      <c r="G664" s="298"/>
      <c r="H664" s="10"/>
      <c r="I664" s="11"/>
      <c r="J664" s="11"/>
      <c r="K664" s="11"/>
      <c r="L664" s="11"/>
      <c r="M664" s="11"/>
      <c r="N664" s="11"/>
      <c r="O664" s="12"/>
      <c r="P664" s="11"/>
      <c r="Q664" s="13"/>
      <c r="R664" s="14"/>
    </row>
    <row r="665" spans="1:18" ht="15" customHeight="1">
      <c r="A665" s="15" t="s">
        <v>48</v>
      </c>
      <c r="B665" s="15" t="s">
        <v>400</v>
      </c>
      <c r="C665" s="16">
        <v>0.25347222222222221</v>
      </c>
      <c r="D665" s="15" t="s">
        <v>53</v>
      </c>
      <c r="E665" s="15" t="s">
        <v>54</v>
      </c>
      <c r="F665" s="15" t="s">
        <v>384</v>
      </c>
      <c r="G665" s="298"/>
      <c r="H665" s="10"/>
      <c r="I665" s="11"/>
      <c r="J665" s="11"/>
      <c r="K665" s="11"/>
      <c r="L665" s="11"/>
      <c r="M665" s="11"/>
      <c r="N665" s="11"/>
      <c r="O665" s="12"/>
      <c r="P665" s="11"/>
      <c r="Q665" s="13"/>
      <c r="R665" s="14"/>
    </row>
    <row r="666" spans="1:18" ht="15" customHeight="1">
      <c r="A666" s="17" t="s">
        <v>48</v>
      </c>
      <c r="B666" s="17" t="s">
        <v>390</v>
      </c>
      <c r="C666" s="18">
        <v>4.1666666666666657E-2</v>
      </c>
      <c r="D666" s="17" t="s">
        <v>50</v>
      </c>
      <c r="E666" s="17" t="s">
        <v>57</v>
      </c>
      <c r="F666" s="17" t="s">
        <v>383</v>
      </c>
      <c r="G666" s="298"/>
      <c r="H666" s="10"/>
      <c r="I666" s="11"/>
      <c r="J666" s="11"/>
      <c r="K666" s="11"/>
      <c r="L666" s="11"/>
      <c r="M666" s="11"/>
      <c r="N666" s="11"/>
      <c r="O666" s="12"/>
      <c r="P666" s="11"/>
      <c r="Q666" s="13"/>
      <c r="R666" s="14"/>
    </row>
    <row r="667" spans="1:18" ht="15" customHeight="1">
      <c r="A667" s="15" t="s">
        <v>48</v>
      </c>
      <c r="B667" s="15" t="s">
        <v>390</v>
      </c>
      <c r="C667" s="16">
        <v>4.1666666666666657E-2</v>
      </c>
      <c r="D667" s="15" t="s">
        <v>53</v>
      </c>
      <c r="E667" s="15" t="s">
        <v>54</v>
      </c>
      <c r="F667" s="15" t="s">
        <v>384</v>
      </c>
      <c r="G667" s="298"/>
      <c r="H667" s="10"/>
      <c r="I667" s="11"/>
      <c r="J667" s="11"/>
      <c r="K667" s="11"/>
      <c r="L667" s="11"/>
      <c r="M667" s="11"/>
      <c r="N667" s="11"/>
      <c r="O667" s="12"/>
      <c r="P667" s="11"/>
      <c r="Q667" s="13"/>
      <c r="R667" s="14"/>
    </row>
    <row r="668" spans="1:18" ht="15" customHeight="1">
      <c r="A668" s="17" t="s">
        <v>48</v>
      </c>
      <c r="B668" s="17" t="s">
        <v>391</v>
      </c>
      <c r="C668" s="18">
        <v>0.48958333333333331</v>
      </c>
      <c r="D668" s="17" t="s">
        <v>50</v>
      </c>
      <c r="E668" s="17" t="s">
        <v>57</v>
      </c>
      <c r="F668" s="17" t="s">
        <v>79</v>
      </c>
      <c r="G668" s="298"/>
      <c r="H668" s="10"/>
      <c r="I668" s="11"/>
      <c r="J668" s="11"/>
      <c r="K668" s="11"/>
      <c r="L668" s="11"/>
      <c r="M668" s="11"/>
      <c r="N668" s="11"/>
      <c r="O668" s="12"/>
      <c r="P668" s="11"/>
      <c r="Q668" s="13"/>
      <c r="R668" s="14"/>
    </row>
    <row r="669" spans="1:18" ht="15" customHeight="1">
      <c r="A669" s="15" t="s">
        <v>48</v>
      </c>
      <c r="B669" s="15" t="s">
        <v>391</v>
      </c>
      <c r="C669" s="16">
        <v>0.48958333333333331</v>
      </c>
      <c r="D669" s="15" t="s">
        <v>53</v>
      </c>
      <c r="E669" s="15" t="s">
        <v>54</v>
      </c>
      <c r="F669" s="15" t="s">
        <v>387</v>
      </c>
      <c r="G669" s="298"/>
      <c r="H669" s="10"/>
      <c r="I669" s="11"/>
      <c r="J669" s="11"/>
      <c r="K669" s="11"/>
      <c r="L669" s="11"/>
      <c r="M669" s="11"/>
      <c r="N669" s="11"/>
      <c r="O669" s="12"/>
      <c r="P669" s="11"/>
      <c r="Q669" s="13"/>
      <c r="R669" s="14"/>
    </row>
    <row r="670" spans="1:18" ht="15" customHeight="1">
      <c r="A670" s="17" t="s">
        <v>48</v>
      </c>
      <c r="B670" s="17" t="s">
        <v>386</v>
      </c>
      <c r="C670" s="18">
        <v>0.82986111111111116</v>
      </c>
      <c r="D670" s="17" t="s">
        <v>50</v>
      </c>
      <c r="E670" s="17" t="s">
        <v>57</v>
      </c>
      <c r="F670" s="17" t="s">
        <v>79</v>
      </c>
      <c r="G670" s="298"/>
      <c r="H670" s="10"/>
      <c r="I670" s="11"/>
      <c r="J670" s="11"/>
      <c r="K670" s="11"/>
      <c r="L670" s="11"/>
      <c r="M670" s="11"/>
      <c r="N670" s="11"/>
      <c r="O670" s="12"/>
      <c r="P670" s="11"/>
      <c r="Q670" s="13"/>
      <c r="R670" s="14"/>
    </row>
    <row r="671" spans="1:18" ht="15" customHeight="1">
      <c r="A671" s="15" t="s">
        <v>48</v>
      </c>
      <c r="B671" s="15" t="s">
        <v>386</v>
      </c>
      <c r="C671" s="16">
        <v>0.82986111111111116</v>
      </c>
      <c r="D671" s="15" t="s">
        <v>53</v>
      </c>
      <c r="E671" s="15" t="s">
        <v>54</v>
      </c>
      <c r="F671" s="15" t="s">
        <v>387</v>
      </c>
      <c r="G671" s="298"/>
      <c r="H671" s="10"/>
      <c r="I671" s="11"/>
      <c r="J671" s="11"/>
      <c r="K671" s="11"/>
      <c r="L671" s="11"/>
      <c r="M671" s="11"/>
      <c r="N671" s="11"/>
      <c r="O671" s="12"/>
      <c r="P671" s="11"/>
      <c r="Q671" s="13"/>
      <c r="R671" s="14"/>
    </row>
    <row r="672" spans="1:18" ht="15" customHeight="1">
      <c r="A672" s="17" t="s">
        <v>48</v>
      </c>
      <c r="B672" s="17" t="s">
        <v>388</v>
      </c>
      <c r="C672" s="18">
        <v>0.72222222222222221</v>
      </c>
      <c r="D672" s="17" t="s">
        <v>50</v>
      </c>
      <c r="E672" s="17" t="s">
        <v>57</v>
      </c>
      <c r="F672" s="17" t="s">
        <v>79</v>
      </c>
      <c r="G672" s="298"/>
      <c r="H672" s="10"/>
      <c r="I672" s="11"/>
      <c r="J672" s="11"/>
      <c r="K672" s="11"/>
      <c r="L672" s="11"/>
      <c r="M672" s="11"/>
      <c r="N672" s="11"/>
      <c r="O672" s="12"/>
      <c r="P672" s="11"/>
      <c r="Q672" s="13"/>
      <c r="R672" s="14"/>
    </row>
    <row r="673" spans="1:18" ht="15" customHeight="1">
      <c r="A673" s="15" t="s">
        <v>48</v>
      </c>
      <c r="B673" s="15" t="s">
        <v>388</v>
      </c>
      <c r="C673" s="16">
        <v>0.72222222222222221</v>
      </c>
      <c r="D673" s="15" t="s">
        <v>53</v>
      </c>
      <c r="E673" s="15" t="s">
        <v>54</v>
      </c>
      <c r="F673" s="15" t="s">
        <v>387</v>
      </c>
      <c r="G673" s="298"/>
      <c r="H673" s="10"/>
      <c r="I673" s="11"/>
      <c r="J673" s="11"/>
      <c r="K673" s="11"/>
      <c r="L673" s="11"/>
      <c r="M673" s="11"/>
      <c r="N673" s="11"/>
      <c r="O673" s="12"/>
      <c r="P673" s="11"/>
      <c r="Q673" s="13"/>
      <c r="R673" s="14"/>
    </row>
    <row r="674" spans="1:18" ht="15" customHeight="1">
      <c r="A674" s="17" t="s">
        <v>48</v>
      </c>
      <c r="B674" s="17" t="s">
        <v>389</v>
      </c>
      <c r="C674" s="18">
        <v>0.70138888888888884</v>
      </c>
      <c r="D674" s="17" t="s">
        <v>50</v>
      </c>
      <c r="E674" s="17" t="s">
        <v>427</v>
      </c>
      <c r="F674" s="17" t="s">
        <v>79</v>
      </c>
      <c r="G674" s="298"/>
      <c r="H674" s="10"/>
      <c r="I674" s="11"/>
      <c r="J674" s="11"/>
      <c r="K674" s="11"/>
      <c r="L674" s="11"/>
      <c r="M674" s="11"/>
      <c r="N674" s="11"/>
      <c r="O674" s="12"/>
      <c r="P674" s="11"/>
      <c r="Q674" s="13"/>
      <c r="R674" s="14"/>
    </row>
    <row r="675" spans="1:18" ht="15" customHeight="1">
      <c r="A675" s="15" t="s">
        <v>48</v>
      </c>
      <c r="B675" s="15" t="s">
        <v>389</v>
      </c>
      <c r="C675" s="16">
        <v>0.70138888888888884</v>
      </c>
      <c r="D675" s="15" t="s">
        <v>53</v>
      </c>
      <c r="E675" s="15" t="s">
        <v>115</v>
      </c>
      <c r="F675" s="15" t="s">
        <v>387</v>
      </c>
      <c r="G675" s="298"/>
      <c r="H675" s="10"/>
      <c r="I675" s="11"/>
      <c r="J675" s="11"/>
      <c r="K675" s="11"/>
      <c r="L675" s="11"/>
      <c r="M675" s="11"/>
      <c r="N675" s="11"/>
      <c r="O675" s="12"/>
      <c r="P675" s="11"/>
      <c r="Q675" s="13"/>
      <c r="R675" s="14"/>
    </row>
    <row r="676" spans="1:18" ht="15" customHeight="1">
      <c r="A676" s="17" t="s">
        <v>48</v>
      </c>
      <c r="B676" s="17" t="s">
        <v>385</v>
      </c>
      <c r="C676" s="18">
        <v>0.94097222222222221</v>
      </c>
      <c r="D676" s="17" t="s">
        <v>50</v>
      </c>
      <c r="E676" s="17" t="s">
        <v>57</v>
      </c>
      <c r="F676" s="17" t="s">
        <v>79</v>
      </c>
      <c r="G676" s="298"/>
      <c r="H676" s="10"/>
      <c r="I676" s="11"/>
      <c r="J676" s="11"/>
      <c r="K676" s="11"/>
      <c r="L676" s="11"/>
      <c r="M676" s="11"/>
      <c r="N676" s="11"/>
      <c r="O676" s="12"/>
      <c r="P676" s="11"/>
      <c r="Q676" s="13"/>
      <c r="R676" s="14"/>
    </row>
    <row r="677" spans="1:18" ht="15" customHeight="1">
      <c r="A677" s="15" t="s">
        <v>48</v>
      </c>
      <c r="B677" s="15" t="s">
        <v>385</v>
      </c>
      <c r="C677" s="16">
        <v>0.94097222222222221</v>
      </c>
      <c r="D677" s="15" t="s">
        <v>53</v>
      </c>
      <c r="E677" s="15" t="s">
        <v>54</v>
      </c>
      <c r="F677" s="15" t="s">
        <v>387</v>
      </c>
      <c r="G677" s="298"/>
      <c r="H677" s="10"/>
      <c r="I677" s="11"/>
      <c r="J677" s="11"/>
      <c r="K677" s="11"/>
      <c r="L677" s="11"/>
      <c r="M677" s="11"/>
      <c r="N677" s="11"/>
      <c r="O677" s="12"/>
      <c r="P677" s="11"/>
      <c r="Q677" s="13"/>
      <c r="R677" s="14"/>
    </row>
    <row r="678" spans="1:18" ht="15" customHeight="1">
      <c r="A678" s="17" t="s">
        <v>48</v>
      </c>
      <c r="B678" s="17" t="s">
        <v>382</v>
      </c>
      <c r="C678" s="18">
        <v>0.11805555555555559</v>
      </c>
      <c r="D678" s="17" t="s">
        <v>50</v>
      </c>
      <c r="E678" s="17" t="s">
        <v>57</v>
      </c>
      <c r="F678" s="17" t="s">
        <v>462</v>
      </c>
      <c r="G678" s="298"/>
      <c r="H678" s="10"/>
      <c r="I678" s="11"/>
      <c r="J678" s="11"/>
      <c r="K678" s="11"/>
      <c r="L678" s="11"/>
      <c r="M678" s="11"/>
      <c r="N678" s="11"/>
      <c r="O678" s="12"/>
      <c r="P678" s="11"/>
      <c r="Q678" s="13"/>
      <c r="R678" s="14"/>
    </row>
    <row r="679" spans="1:18" ht="15" customHeight="1">
      <c r="A679" s="15" t="s">
        <v>48</v>
      </c>
      <c r="B679" s="15" t="s">
        <v>382</v>
      </c>
      <c r="C679" s="16">
        <v>0.11805555555555559</v>
      </c>
      <c r="D679" s="15" t="s">
        <v>53</v>
      </c>
      <c r="E679" s="15" t="s">
        <v>54</v>
      </c>
      <c r="F679" s="15" t="s">
        <v>463</v>
      </c>
      <c r="G679" s="298"/>
      <c r="H679" s="10"/>
      <c r="I679" s="11"/>
      <c r="J679" s="11"/>
      <c r="K679" s="11"/>
      <c r="L679" s="11"/>
      <c r="M679" s="11"/>
      <c r="N679" s="11"/>
      <c r="O679" s="12"/>
      <c r="P679" s="11"/>
      <c r="Q679" s="13"/>
      <c r="R679" s="14"/>
    </row>
    <row r="680" spans="1:18" ht="15" customHeight="1">
      <c r="A680" s="17" t="s">
        <v>48</v>
      </c>
      <c r="B680" s="17" t="s">
        <v>396</v>
      </c>
      <c r="C680" s="18">
        <v>0.48958333333333331</v>
      </c>
      <c r="D680" s="17" t="s">
        <v>53</v>
      </c>
      <c r="E680" s="17" t="s">
        <v>37</v>
      </c>
      <c r="F680" s="17" t="s">
        <v>395</v>
      </c>
      <c r="G680" s="298"/>
      <c r="H680" s="10"/>
      <c r="I680" s="11"/>
      <c r="J680" s="11"/>
      <c r="K680" s="11"/>
      <c r="L680" s="11"/>
      <c r="M680" s="11"/>
      <c r="N680" s="11"/>
      <c r="O680" s="12"/>
      <c r="P680" s="11"/>
      <c r="Q680" s="13"/>
      <c r="R680" s="14"/>
    </row>
    <row r="681" spans="1:18" ht="15" customHeight="1">
      <c r="A681" s="17" t="s">
        <v>48</v>
      </c>
      <c r="B681" s="17" t="s">
        <v>398</v>
      </c>
      <c r="C681" s="18">
        <v>0.39930555555555558</v>
      </c>
      <c r="D681" s="17" t="s">
        <v>53</v>
      </c>
      <c r="E681" s="17" t="s">
        <v>37</v>
      </c>
      <c r="F681" s="17" t="s">
        <v>481</v>
      </c>
      <c r="G681" s="298"/>
      <c r="H681" s="10"/>
      <c r="I681" s="11"/>
      <c r="J681" s="11"/>
      <c r="K681" s="11"/>
      <c r="L681" s="11"/>
      <c r="M681" s="11"/>
      <c r="N681" s="11"/>
      <c r="O681" s="12"/>
      <c r="P681" s="11"/>
      <c r="Q681" s="13"/>
      <c r="R681" s="14"/>
    </row>
    <row r="682" spans="1:18" ht="15" customHeight="1">
      <c r="A682" s="17" t="s">
        <v>48</v>
      </c>
      <c r="B682" s="17" t="s">
        <v>397</v>
      </c>
      <c r="C682" s="18">
        <v>0.88888888888888884</v>
      </c>
      <c r="D682" s="17" t="s">
        <v>53</v>
      </c>
      <c r="E682" s="17" t="s">
        <v>37</v>
      </c>
      <c r="F682" s="17" t="s">
        <v>481</v>
      </c>
      <c r="G682" s="298"/>
      <c r="H682" s="10"/>
      <c r="I682" s="11"/>
      <c r="J682" s="11"/>
      <c r="K682" s="11"/>
      <c r="L682" s="11"/>
      <c r="M682" s="11"/>
      <c r="N682" s="11"/>
      <c r="O682" s="12"/>
      <c r="P682" s="11"/>
      <c r="Q682" s="13"/>
      <c r="R682" s="14"/>
    </row>
    <row r="683" spans="1:18" ht="15" customHeight="1">
      <c r="A683" s="17" t="s">
        <v>48</v>
      </c>
      <c r="B683" s="17" t="s">
        <v>394</v>
      </c>
      <c r="C683" s="18">
        <v>0.98958333333333337</v>
      </c>
      <c r="D683" s="17" t="s">
        <v>53</v>
      </c>
      <c r="E683" s="17" t="s">
        <v>37</v>
      </c>
      <c r="F683" s="17" t="s">
        <v>438</v>
      </c>
      <c r="G683" s="298"/>
      <c r="H683" s="10"/>
      <c r="I683" s="11"/>
      <c r="J683" s="11"/>
      <c r="K683" s="11"/>
      <c r="L683" s="11"/>
      <c r="M683" s="11"/>
      <c r="N683" s="11"/>
      <c r="O683" s="12"/>
      <c r="P683" s="11"/>
      <c r="Q683" s="13"/>
      <c r="R683" s="14"/>
    </row>
    <row r="684" spans="1:18" ht="15" customHeight="1">
      <c r="A684" s="19" t="s">
        <v>402</v>
      </c>
      <c r="B684" s="19" t="s">
        <v>403</v>
      </c>
      <c r="C684" s="20">
        <v>0.49305555555555558</v>
      </c>
      <c r="D684" s="19" t="s">
        <v>63</v>
      </c>
      <c r="E684" s="19" t="s">
        <v>103</v>
      </c>
      <c r="F684" s="19" t="s">
        <v>404</v>
      </c>
      <c r="G684" s="298"/>
      <c r="H684" s="10"/>
      <c r="I684" s="11"/>
      <c r="J684" s="11"/>
      <c r="K684" s="11"/>
      <c r="L684" s="11"/>
      <c r="M684" s="11"/>
      <c r="N684" s="11"/>
      <c r="O684" s="12"/>
      <c r="P684" s="11"/>
      <c r="Q684" s="13"/>
      <c r="R684" s="14"/>
    </row>
    <row r="685" spans="1:18" ht="15" customHeight="1">
      <c r="A685" s="19" t="s">
        <v>68</v>
      </c>
      <c r="B685" s="19" t="s">
        <v>407</v>
      </c>
      <c r="C685" s="20">
        <v>0.3125</v>
      </c>
      <c r="D685" s="19" t="s">
        <v>70</v>
      </c>
      <c r="E685" s="19" t="s">
        <v>51</v>
      </c>
      <c r="F685" s="19" t="s">
        <v>406</v>
      </c>
      <c r="G685" s="298"/>
      <c r="H685" s="10"/>
      <c r="I685" s="11"/>
      <c r="J685" s="11"/>
      <c r="K685" s="11"/>
      <c r="L685" s="11"/>
      <c r="M685" s="11"/>
      <c r="N685" s="11"/>
      <c r="O685" s="12"/>
      <c r="P685" s="11"/>
      <c r="Q685" s="13"/>
      <c r="R685" s="14"/>
    </row>
    <row r="686" spans="1:18" ht="15" customHeight="1">
      <c r="A686" s="17" t="s">
        <v>68</v>
      </c>
      <c r="B686" s="17" t="s">
        <v>408</v>
      </c>
      <c r="C686" s="18">
        <v>0.97222222222222221</v>
      </c>
      <c r="D686" s="17" t="s">
        <v>70</v>
      </c>
      <c r="E686" s="17" t="s">
        <v>57</v>
      </c>
      <c r="F686" s="17" t="s">
        <v>406</v>
      </c>
      <c r="G686" s="298"/>
      <c r="H686" s="10"/>
      <c r="I686" s="11"/>
      <c r="J686" s="11"/>
      <c r="K686" s="11"/>
      <c r="L686" s="11"/>
      <c r="M686" s="11"/>
      <c r="N686" s="11"/>
      <c r="O686" s="12"/>
      <c r="P686" s="11"/>
      <c r="Q686" s="13"/>
      <c r="R686" s="14"/>
    </row>
    <row r="687" spans="1:18" ht="15" customHeight="1">
      <c r="A687" s="17" t="s">
        <v>68</v>
      </c>
      <c r="B687" s="17" t="s">
        <v>437</v>
      </c>
      <c r="C687" s="18">
        <v>0.1041666666666667</v>
      </c>
      <c r="D687" s="17" t="s">
        <v>70</v>
      </c>
      <c r="E687" s="17" t="s">
        <v>57</v>
      </c>
      <c r="F687" s="17" t="s">
        <v>406</v>
      </c>
      <c r="G687" s="298"/>
      <c r="H687" s="10"/>
      <c r="I687" s="11"/>
      <c r="J687" s="11"/>
      <c r="K687" s="11"/>
      <c r="L687" s="11"/>
      <c r="M687" s="11"/>
      <c r="N687" s="11"/>
      <c r="O687" s="12"/>
      <c r="P687" s="11"/>
      <c r="Q687" s="13"/>
      <c r="R687" s="14"/>
    </row>
    <row r="688" spans="1:18" ht="15" customHeight="1">
      <c r="A688" s="17" t="s">
        <v>68</v>
      </c>
      <c r="B688" s="17" t="s">
        <v>411</v>
      </c>
      <c r="C688" s="18">
        <v>0.78472222222222221</v>
      </c>
      <c r="D688" s="17" t="s">
        <v>70</v>
      </c>
      <c r="E688" s="17" t="s">
        <v>57</v>
      </c>
      <c r="F688" s="17" t="s">
        <v>406</v>
      </c>
      <c r="G688" s="298"/>
      <c r="H688" s="10"/>
      <c r="I688" s="11"/>
      <c r="J688" s="11"/>
      <c r="K688" s="11"/>
      <c r="L688" s="11"/>
      <c r="M688" s="11"/>
      <c r="N688" s="11"/>
      <c r="O688" s="12"/>
      <c r="P688" s="11"/>
      <c r="Q688" s="13"/>
      <c r="R688" s="14"/>
    </row>
    <row r="689" spans="1:18" ht="15" customHeight="1">
      <c r="A689" s="17" t="s">
        <v>68</v>
      </c>
      <c r="B689" s="17" t="s">
        <v>410</v>
      </c>
      <c r="C689" s="18">
        <v>0.59722222222222221</v>
      </c>
      <c r="D689" s="17" t="s">
        <v>70</v>
      </c>
      <c r="E689" s="17" t="s">
        <v>57</v>
      </c>
      <c r="F689" s="17" t="s">
        <v>406</v>
      </c>
      <c r="G689" s="298"/>
      <c r="H689" s="10"/>
      <c r="I689" s="11"/>
      <c r="J689" s="11"/>
      <c r="K689" s="11"/>
      <c r="L689" s="11"/>
      <c r="M689" s="11"/>
      <c r="N689" s="11"/>
      <c r="O689" s="12"/>
      <c r="P689" s="11"/>
      <c r="Q689" s="13"/>
      <c r="R689" s="14"/>
    </row>
    <row r="690" spans="1:18" ht="15" customHeight="1">
      <c r="A690" s="17" t="s">
        <v>68</v>
      </c>
      <c r="B690" s="17" t="s">
        <v>413</v>
      </c>
      <c r="C690" s="18">
        <v>4.8611111111111112E-2</v>
      </c>
      <c r="D690" s="17" t="s">
        <v>70</v>
      </c>
      <c r="E690" s="17" t="s">
        <v>57</v>
      </c>
      <c r="F690" s="17" t="s">
        <v>406</v>
      </c>
      <c r="G690" s="298"/>
      <c r="H690" s="10"/>
      <c r="I690" s="11"/>
      <c r="J690" s="11"/>
      <c r="K690" s="11"/>
      <c r="L690" s="11"/>
      <c r="M690" s="11"/>
      <c r="N690" s="11"/>
      <c r="O690" s="12"/>
      <c r="P690" s="11"/>
      <c r="Q690" s="13"/>
      <c r="R690" s="14"/>
    </row>
    <row r="691" spans="1:18" ht="15" customHeight="1">
      <c r="A691" s="17" t="s">
        <v>68</v>
      </c>
      <c r="B691" s="17" t="s">
        <v>405</v>
      </c>
      <c r="C691" s="18">
        <v>0.83680555555555547</v>
      </c>
      <c r="D691" s="17" t="s">
        <v>70</v>
      </c>
      <c r="E691" s="17" t="s">
        <v>57</v>
      </c>
      <c r="F691" s="17" t="s">
        <v>412</v>
      </c>
      <c r="G691" s="298"/>
      <c r="H691" s="10"/>
      <c r="I691" s="11"/>
      <c r="J691" s="11"/>
      <c r="K691" s="11"/>
      <c r="L691" s="11"/>
      <c r="M691" s="11"/>
      <c r="N691" s="11"/>
      <c r="O691" s="12"/>
      <c r="P691" s="11"/>
      <c r="Q691" s="13"/>
      <c r="R691" s="14"/>
    </row>
    <row r="692" spans="1:18" ht="15" customHeight="1" thickBot="1">
      <c r="A692" s="96" t="s">
        <v>415</v>
      </c>
      <c r="B692" s="96" t="s">
        <v>416</v>
      </c>
      <c r="C692" s="97">
        <v>9.7222222222222224E-2</v>
      </c>
      <c r="D692" s="96" t="s">
        <v>63</v>
      </c>
      <c r="E692" s="96" t="s">
        <v>51</v>
      </c>
      <c r="F692" s="96" t="s">
        <v>417</v>
      </c>
      <c r="G692" s="299"/>
      <c r="H692" s="300"/>
      <c r="I692" s="140"/>
      <c r="J692" s="140"/>
      <c r="K692" s="140"/>
      <c r="L692" s="140"/>
      <c r="M692" s="140"/>
      <c r="N692" s="140"/>
      <c r="O692" s="141"/>
      <c r="P692" s="140"/>
      <c r="Q692" s="142"/>
      <c r="R692" s="301"/>
    </row>
    <row r="693" spans="1:18" ht="17.45" customHeight="1" thickBot="1">
      <c r="A693" s="283"/>
      <c r="B693" s="284"/>
      <c r="C693" s="284"/>
      <c r="D693" s="284"/>
      <c r="E693" s="284"/>
      <c r="F693" s="284"/>
      <c r="G693" s="284"/>
      <c r="H693" s="284"/>
      <c r="I693" s="284"/>
      <c r="J693" s="284"/>
      <c r="K693" s="284"/>
      <c r="L693" s="284"/>
      <c r="M693" s="284"/>
      <c r="N693" s="284"/>
      <c r="O693" s="284"/>
      <c r="P693" s="284"/>
      <c r="Q693" s="284"/>
      <c r="R693" s="285"/>
    </row>
    <row r="694" spans="1:18" ht="22.15" customHeight="1" thickTop="1" thickBot="1">
      <c r="A694" s="279" t="s">
        <v>6</v>
      </c>
      <c r="B694" s="295"/>
      <c r="C694" s="295"/>
      <c r="D694" s="295"/>
      <c r="E694" s="295"/>
      <c r="F694" s="296"/>
      <c r="G694" s="32">
        <v>46032</v>
      </c>
      <c r="H694" s="278" t="s">
        <v>7</v>
      </c>
      <c r="I694" s="295"/>
      <c r="J694" s="295"/>
      <c r="K694" s="295"/>
      <c r="L694" s="295"/>
      <c r="M694" s="295"/>
      <c r="N694" s="295"/>
      <c r="O694" s="295"/>
      <c r="P694" s="295"/>
      <c r="Q694" s="295"/>
      <c r="R694" s="296"/>
    </row>
    <row r="695" spans="1:18" ht="24" customHeight="1">
      <c r="A695" s="33" t="s">
        <v>8</v>
      </c>
      <c r="B695" s="33" t="s">
        <v>9</v>
      </c>
      <c r="C695" s="34" t="s">
        <v>10</v>
      </c>
      <c r="D695" s="33" t="s">
        <v>11</v>
      </c>
      <c r="E695" s="33" t="s">
        <v>12</v>
      </c>
      <c r="F695" s="35" t="s">
        <v>13</v>
      </c>
      <c r="G695" s="36" t="s">
        <v>14</v>
      </c>
      <c r="H695" s="33" t="s">
        <v>15</v>
      </c>
      <c r="I695" s="37" t="s">
        <v>16</v>
      </c>
      <c r="J695" s="38" t="s">
        <v>17</v>
      </c>
      <c r="K695" s="39" t="s">
        <v>18</v>
      </c>
      <c r="L695" s="38" t="s">
        <v>19</v>
      </c>
      <c r="M695" s="38" t="s">
        <v>20</v>
      </c>
      <c r="N695" s="38" t="s">
        <v>21</v>
      </c>
      <c r="O695" s="33" t="s">
        <v>22</v>
      </c>
      <c r="P695" s="34" t="s">
        <v>23</v>
      </c>
      <c r="Q695" s="38" t="s">
        <v>24</v>
      </c>
      <c r="R695" s="33" t="s">
        <v>25</v>
      </c>
    </row>
    <row r="696" spans="1:18" ht="15" customHeight="1">
      <c r="A696" s="8" t="s">
        <v>38</v>
      </c>
      <c r="B696" s="8" t="s">
        <v>345</v>
      </c>
      <c r="C696" s="9">
        <v>0.98958333333333337</v>
      </c>
      <c r="D696" s="8" t="s">
        <v>40</v>
      </c>
      <c r="E696" s="8" t="s">
        <v>482</v>
      </c>
      <c r="F696" s="8" t="s">
        <v>81</v>
      </c>
      <c r="G696" s="297"/>
      <c r="H696" s="10"/>
      <c r="I696" s="11"/>
      <c r="J696" s="11"/>
      <c r="K696" s="11"/>
      <c r="L696" s="11"/>
      <c r="M696" s="11"/>
      <c r="N696" s="11"/>
      <c r="O696" s="12"/>
      <c r="P696" s="11"/>
      <c r="Q696" s="13"/>
      <c r="R696" s="14"/>
    </row>
    <row r="697" spans="1:18" ht="15" customHeight="1">
      <c r="A697" s="15" t="s">
        <v>38</v>
      </c>
      <c r="B697" s="15" t="s">
        <v>345</v>
      </c>
      <c r="C697" s="16">
        <v>0.98958333333333337</v>
      </c>
      <c r="D697" s="15" t="s">
        <v>43</v>
      </c>
      <c r="E697" s="15" t="s">
        <v>483</v>
      </c>
      <c r="F697" s="15" t="s">
        <v>161</v>
      </c>
      <c r="G697" s="298"/>
      <c r="H697" s="10"/>
      <c r="I697" s="11"/>
      <c r="J697" s="11"/>
      <c r="K697" s="11"/>
      <c r="L697" s="11"/>
      <c r="M697" s="11"/>
      <c r="N697" s="11"/>
      <c r="O697" s="12"/>
      <c r="P697" s="11"/>
      <c r="Q697" s="13"/>
      <c r="R697" s="14"/>
    </row>
    <row r="698" spans="1:18" ht="15" customHeight="1">
      <c r="A698" s="15" t="s">
        <v>38</v>
      </c>
      <c r="B698" s="15" t="s">
        <v>345</v>
      </c>
      <c r="C698" s="16">
        <v>0.98958333333333337</v>
      </c>
      <c r="D698" s="15" t="s">
        <v>46</v>
      </c>
      <c r="E698" s="15" t="s">
        <v>483</v>
      </c>
      <c r="F698" s="15" t="s">
        <v>47</v>
      </c>
      <c r="G698" s="298"/>
      <c r="H698" s="10"/>
      <c r="I698" s="11"/>
      <c r="J698" s="11"/>
      <c r="K698" s="11"/>
      <c r="L698" s="11"/>
      <c r="M698" s="11"/>
      <c r="N698" s="11"/>
      <c r="O698" s="12"/>
      <c r="P698" s="11"/>
      <c r="Q698" s="13"/>
      <c r="R698" s="14"/>
    </row>
    <row r="699" spans="1:18" ht="15" customHeight="1">
      <c r="A699" s="17" t="s">
        <v>38</v>
      </c>
      <c r="B699" s="17" t="s">
        <v>342</v>
      </c>
      <c r="C699" s="18">
        <v>0.48958333333333331</v>
      </c>
      <c r="D699" s="17" t="s">
        <v>40</v>
      </c>
      <c r="E699" s="17" t="s">
        <v>194</v>
      </c>
      <c r="F699" s="17" t="s">
        <v>30</v>
      </c>
      <c r="G699" s="298"/>
      <c r="H699" s="10"/>
      <c r="I699" s="11"/>
      <c r="J699" s="11"/>
      <c r="K699" s="11"/>
      <c r="L699" s="11"/>
      <c r="M699" s="11"/>
      <c r="N699" s="11"/>
      <c r="O699" s="12"/>
      <c r="P699" s="11"/>
      <c r="Q699" s="13"/>
      <c r="R699" s="14"/>
    </row>
    <row r="700" spans="1:18" ht="15" customHeight="1">
      <c r="A700" s="15" t="s">
        <v>38</v>
      </c>
      <c r="B700" s="15" t="s">
        <v>342</v>
      </c>
      <c r="C700" s="16">
        <v>0.48958333333333331</v>
      </c>
      <c r="D700" s="15" t="s">
        <v>43</v>
      </c>
      <c r="E700" s="15" t="s">
        <v>195</v>
      </c>
      <c r="F700" s="15" t="s">
        <v>420</v>
      </c>
      <c r="G700" s="298"/>
      <c r="H700" s="10"/>
      <c r="I700" s="11"/>
      <c r="J700" s="11"/>
      <c r="K700" s="11"/>
      <c r="L700" s="11"/>
      <c r="M700" s="11"/>
      <c r="N700" s="11"/>
      <c r="O700" s="12"/>
      <c r="P700" s="11"/>
      <c r="Q700" s="13"/>
      <c r="R700" s="14"/>
    </row>
    <row r="701" spans="1:18" ht="15" customHeight="1">
      <c r="A701" s="15" t="s">
        <v>38</v>
      </c>
      <c r="B701" s="15" t="s">
        <v>342</v>
      </c>
      <c r="C701" s="16">
        <v>0.48958333333333331</v>
      </c>
      <c r="D701" s="15" t="s">
        <v>46</v>
      </c>
      <c r="E701" s="15" t="s">
        <v>195</v>
      </c>
      <c r="F701" s="15" t="s">
        <v>47</v>
      </c>
      <c r="G701" s="298"/>
      <c r="H701" s="10"/>
      <c r="I701" s="11"/>
      <c r="J701" s="11"/>
      <c r="K701" s="11"/>
      <c r="L701" s="11"/>
      <c r="M701" s="11"/>
      <c r="N701" s="11"/>
      <c r="O701" s="12"/>
      <c r="P701" s="11"/>
      <c r="Q701" s="13"/>
      <c r="R701" s="14"/>
    </row>
    <row r="702" spans="1:18" ht="15" customHeight="1">
      <c r="A702" s="17" t="s">
        <v>38</v>
      </c>
      <c r="B702" s="17" t="s">
        <v>346</v>
      </c>
      <c r="C702" s="18">
        <v>0.39930555555555558</v>
      </c>
      <c r="D702" s="17" t="s">
        <v>40</v>
      </c>
      <c r="E702" s="17" t="s">
        <v>194</v>
      </c>
      <c r="F702" s="17" t="s">
        <v>347</v>
      </c>
      <c r="G702" s="298"/>
      <c r="H702" s="10"/>
      <c r="I702" s="11"/>
      <c r="J702" s="11"/>
      <c r="K702" s="11"/>
      <c r="L702" s="11"/>
      <c r="M702" s="11"/>
      <c r="N702" s="11"/>
      <c r="O702" s="12"/>
      <c r="P702" s="11"/>
      <c r="Q702" s="13"/>
      <c r="R702" s="14"/>
    </row>
    <row r="703" spans="1:18" ht="15" customHeight="1">
      <c r="A703" s="15" t="s">
        <v>38</v>
      </c>
      <c r="B703" s="15" t="s">
        <v>346</v>
      </c>
      <c r="C703" s="16">
        <v>0.39930555555555558</v>
      </c>
      <c r="D703" s="15" t="s">
        <v>43</v>
      </c>
      <c r="E703" s="15" t="s">
        <v>195</v>
      </c>
      <c r="F703" s="15" t="s">
        <v>138</v>
      </c>
      <c r="G703" s="298"/>
      <c r="H703" s="10"/>
      <c r="I703" s="11"/>
      <c r="J703" s="11"/>
      <c r="K703" s="11"/>
      <c r="L703" s="11"/>
      <c r="M703" s="11"/>
      <c r="N703" s="11"/>
      <c r="O703" s="12"/>
      <c r="P703" s="11"/>
      <c r="Q703" s="13"/>
      <c r="R703" s="14"/>
    </row>
    <row r="704" spans="1:18" ht="15" customHeight="1">
      <c r="A704" s="15" t="s">
        <v>38</v>
      </c>
      <c r="B704" s="15" t="s">
        <v>346</v>
      </c>
      <c r="C704" s="16">
        <v>0.39930555555555558</v>
      </c>
      <c r="D704" s="15" t="s">
        <v>46</v>
      </c>
      <c r="E704" s="15" t="s">
        <v>195</v>
      </c>
      <c r="F704" s="15" t="s">
        <v>47</v>
      </c>
      <c r="G704" s="298"/>
      <c r="H704" s="10"/>
      <c r="I704" s="11"/>
      <c r="J704" s="11"/>
      <c r="K704" s="11"/>
      <c r="L704" s="11"/>
      <c r="M704" s="11"/>
      <c r="N704" s="11"/>
      <c r="O704" s="12"/>
      <c r="P704" s="11"/>
      <c r="Q704" s="13"/>
      <c r="R704" s="14"/>
    </row>
    <row r="705" spans="1:18" ht="15" customHeight="1">
      <c r="A705" s="17" t="s">
        <v>38</v>
      </c>
      <c r="B705" s="17" t="s">
        <v>344</v>
      </c>
      <c r="C705" s="18">
        <v>0.88888888888888884</v>
      </c>
      <c r="D705" s="17" t="s">
        <v>40</v>
      </c>
      <c r="E705" s="17" t="s">
        <v>459</v>
      </c>
      <c r="F705" s="17" t="s">
        <v>121</v>
      </c>
      <c r="G705" s="298"/>
      <c r="H705" s="10"/>
      <c r="I705" s="11"/>
      <c r="J705" s="11"/>
      <c r="K705" s="11"/>
      <c r="L705" s="11"/>
      <c r="M705" s="11"/>
      <c r="N705" s="11"/>
      <c r="O705" s="12"/>
      <c r="P705" s="11"/>
      <c r="Q705" s="13"/>
      <c r="R705" s="14"/>
    </row>
    <row r="706" spans="1:18" ht="15" customHeight="1">
      <c r="A706" s="15" t="s">
        <v>38</v>
      </c>
      <c r="B706" s="15" t="s">
        <v>344</v>
      </c>
      <c r="C706" s="16">
        <v>0.88888888888888884</v>
      </c>
      <c r="D706" s="15" t="s">
        <v>43</v>
      </c>
      <c r="E706" s="15" t="s">
        <v>182</v>
      </c>
      <c r="F706" s="15" t="s">
        <v>123</v>
      </c>
      <c r="G706" s="298"/>
      <c r="H706" s="10"/>
      <c r="I706" s="11"/>
      <c r="J706" s="11"/>
      <c r="K706" s="11"/>
      <c r="L706" s="11"/>
      <c r="M706" s="11"/>
      <c r="N706" s="11"/>
      <c r="O706" s="12"/>
      <c r="P706" s="11"/>
      <c r="Q706" s="13"/>
      <c r="R706" s="14"/>
    </row>
    <row r="707" spans="1:18" ht="15" customHeight="1">
      <c r="A707" s="15" t="s">
        <v>38</v>
      </c>
      <c r="B707" s="15" t="s">
        <v>344</v>
      </c>
      <c r="C707" s="16">
        <v>0.88888888888888884</v>
      </c>
      <c r="D707" s="15" t="s">
        <v>46</v>
      </c>
      <c r="E707" s="15" t="s">
        <v>182</v>
      </c>
      <c r="F707" s="15" t="s">
        <v>47</v>
      </c>
      <c r="G707" s="298"/>
      <c r="H707" s="10"/>
      <c r="I707" s="11"/>
      <c r="J707" s="11"/>
      <c r="K707" s="11"/>
      <c r="L707" s="11"/>
      <c r="M707" s="11"/>
      <c r="N707" s="11"/>
      <c r="O707" s="12"/>
      <c r="P707" s="11"/>
      <c r="Q707" s="13"/>
      <c r="R707" s="14"/>
    </row>
    <row r="708" spans="1:18" ht="15" customHeight="1">
      <c r="A708" s="19" t="s">
        <v>359</v>
      </c>
      <c r="B708" s="19" t="s">
        <v>445</v>
      </c>
      <c r="C708" s="20">
        <v>5.5555555555555552E-2</v>
      </c>
      <c r="D708" s="19" t="s">
        <v>361</v>
      </c>
      <c r="E708" s="19" t="s">
        <v>80</v>
      </c>
      <c r="F708" s="19" t="s">
        <v>423</v>
      </c>
      <c r="G708" s="298"/>
      <c r="H708" s="10"/>
      <c r="I708" s="11"/>
      <c r="J708" s="11"/>
      <c r="K708" s="11"/>
      <c r="L708" s="11"/>
      <c r="M708" s="11"/>
      <c r="N708" s="11"/>
      <c r="O708" s="12"/>
      <c r="P708" s="11"/>
      <c r="Q708" s="13"/>
      <c r="R708" s="14"/>
    </row>
    <row r="709" spans="1:18" ht="15" customHeight="1">
      <c r="A709" s="15" t="s">
        <v>359</v>
      </c>
      <c r="B709" s="15" t="s">
        <v>445</v>
      </c>
      <c r="C709" s="16">
        <v>5.5555555555555552E-2</v>
      </c>
      <c r="D709" s="15" t="s">
        <v>46</v>
      </c>
      <c r="E709" s="15" t="s">
        <v>82</v>
      </c>
      <c r="F709" s="15" t="s">
        <v>424</v>
      </c>
      <c r="G709" s="298"/>
      <c r="H709" s="10"/>
      <c r="I709" s="11"/>
      <c r="J709" s="11"/>
      <c r="K709" s="11"/>
      <c r="L709" s="11"/>
      <c r="M709" s="11"/>
      <c r="N709" s="11"/>
      <c r="O709" s="12"/>
      <c r="P709" s="11"/>
      <c r="Q709" s="13"/>
      <c r="R709" s="14"/>
    </row>
    <row r="710" spans="1:18" ht="15" customHeight="1">
      <c r="A710" s="17" t="s">
        <v>359</v>
      </c>
      <c r="B710" s="17" t="s">
        <v>360</v>
      </c>
      <c r="C710" s="18">
        <v>0.1701388888888889</v>
      </c>
      <c r="D710" s="17" t="s">
        <v>361</v>
      </c>
      <c r="E710" s="17" t="s">
        <v>90</v>
      </c>
      <c r="F710" s="17" t="s">
        <v>484</v>
      </c>
      <c r="G710" s="298"/>
      <c r="H710" s="10"/>
      <c r="I710" s="11"/>
      <c r="J710" s="11"/>
      <c r="K710" s="11"/>
      <c r="L710" s="11"/>
      <c r="M710" s="11"/>
      <c r="N710" s="11"/>
      <c r="O710" s="12"/>
      <c r="P710" s="11"/>
      <c r="Q710" s="13"/>
      <c r="R710" s="14"/>
    </row>
    <row r="711" spans="1:18" ht="15" customHeight="1">
      <c r="A711" s="15" t="s">
        <v>359</v>
      </c>
      <c r="B711" s="15" t="s">
        <v>360</v>
      </c>
      <c r="C711" s="16">
        <v>0.1701388888888889</v>
      </c>
      <c r="D711" s="15" t="s">
        <v>46</v>
      </c>
      <c r="E711" s="15" t="s">
        <v>82</v>
      </c>
      <c r="F711" s="15" t="s">
        <v>485</v>
      </c>
      <c r="G711" s="298"/>
      <c r="H711" s="10"/>
      <c r="I711" s="11"/>
      <c r="J711" s="11"/>
      <c r="K711" s="11"/>
      <c r="L711" s="11"/>
      <c r="M711" s="11"/>
      <c r="N711" s="11"/>
      <c r="O711" s="12"/>
      <c r="P711" s="11"/>
      <c r="Q711" s="13"/>
      <c r="R711" s="14"/>
    </row>
    <row r="712" spans="1:18" ht="15" customHeight="1">
      <c r="A712" s="98" t="s">
        <v>61</v>
      </c>
      <c r="B712" s="98" t="s">
        <v>371</v>
      </c>
      <c r="C712" s="99">
        <v>4.8611111111111112E-2</v>
      </c>
      <c r="D712" s="98" t="s">
        <v>63</v>
      </c>
      <c r="E712" s="98" t="s">
        <v>126</v>
      </c>
      <c r="F712" s="98" t="s">
        <v>365</v>
      </c>
      <c r="G712" s="298"/>
      <c r="H712" s="100" t="s">
        <v>373</v>
      </c>
      <c r="I712" s="101">
        <v>2.69E-2</v>
      </c>
      <c r="J712" s="102">
        <v>5</v>
      </c>
      <c r="K712" s="103">
        <v>46331</v>
      </c>
      <c r="L712" s="102">
        <v>5</v>
      </c>
      <c r="M712" s="102">
        <v>0</v>
      </c>
      <c r="N712" s="102">
        <v>0</v>
      </c>
      <c r="O712" s="104" t="s">
        <v>446</v>
      </c>
      <c r="P712" s="105">
        <v>4.8611111111111112E-2</v>
      </c>
      <c r="Q712" s="102">
        <v>186</v>
      </c>
      <c r="R712" s="106" t="s">
        <v>447</v>
      </c>
    </row>
    <row r="713" spans="1:18" ht="15" customHeight="1">
      <c r="A713" s="158" t="s">
        <v>61</v>
      </c>
      <c r="B713" s="158" t="s">
        <v>375</v>
      </c>
      <c r="C713" s="159">
        <v>0.15625</v>
      </c>
      <c r="D713" s="158" t="s">
        <v>63</v>
      </c>
      <c r="E713" s="158" t="s">
        <v>37</v>
      </c>
      <c r="F713" s="158" t="s">
        <v>365</v>
      </c>
      <c r="G713" s="298"/>
      <c r="H713" s="89" t="s">
        <v>376</v>
      </c>
      <c r="I713" s="90">
        <v>1.11E-2</v>
      </c>
      <c r="J713" s="91">
        <v>2</v>
      </c>
      <c r="K713" s="92">
        <v>46325</v>
      </c>
      <c r="L713" s="91">
        <v>5</v>
      </c>
      <c r="M713" s="91">
        <v>0</v>
      </c>
      <c r="N713" s="91">
        <v>0</v>
      </c>
      <c r="O713" s="93" t="s">
        <v>368</v>
      </c>
      <c r="P713" s="94">
        <v>0.15625</v>
      </c>
      <c r="Q713" s="91">
        <v>180</v>
      </c>
      <c r="R713" s="95" t="s">
        <v>367</v>
      </c>
    </row>
    <row r="714" spans="1:18" ht="15" customHeight="1">
      <c r="A714" s="162" t="s">
        <v>61</v>
      </c>
      <c r="B714" s="162" t="s">
        <v>377</v>
      </c>
      <c r="C714" s="163">
        <v>0.50347222222222221</v>
      </c>
      <c r="D714" s="162" t="s">
        <v>63</v>
      </c>
      <c r="E714" s="162" t="s">
        <v>134</v>
      </c>
      <c r="F714" s="162" t="s">
        <v>365</v>
      </c>
      <c r="G714" s="298"/>
      <c r="H714" s="60" t="s">
        <v>378</v>
      </c>
      <c r="I714" s="61">
        <v>2.7799999999999998E-2</v>
      </c>
      <c r="J714" s="62">
        <v>5</v>
      </c>
      <c r="K714" s="63">
        <v>46336</v>
      </c>
      <c r="L714" s="62">
        <v>5</v>
      </c>
      <c r="M714" s="62">
        <v>0</v>
      </c>
      <c r="N714" s="62">
        <v>0</v>
      </c>
      <c r="O714" s="64" t="s">
        <v>430</v>
      </c>
      <c r="P714" s="65">
        <v>0.50347222222222221</v>
      </c>
      <c r="Q714" s="62">
        <v>180</v>
      </c>
      <c r="R714" s="66" t="s">
        <v>431</v>
      </c>
    </row>
    <row r="715" spans="1:18" ht="15" customHeight="1">
      <c r="A715" s="158" t="s">
        <v>61</v>
      </c>
      <c r="B715" s="158" t="s">
        <v>364</v>
      </c>
      <c r="C715" s="159">
        <v>0.90625</v>
      </c>
      <c r="D715" s="158" t="s">
        <v>63</v>
      </c>
      <c r="E715" s="158" t="s">
        <v>435</v>
      </c>
      <c r="F715" s="158" t="s">
        <v>79</v>
      </c>
      <c r="G715" s="298"/>
      <c r="H715" s="89" t="s">
        <v>366</v>
      </c>
      <c r="I715" s="90">
        <v>3.3300000000000003E-2</v>
      </c>
      <c r="J715" s="91">
        <v>6</v>
      </c>
      <c r="K715" s="92">
        <v>46326</v>
      </c>
      <c r="L715" s="91">
        <v>6</v>
      </c>
      <c r="M715" s="91">
        <v>0</v>
      </c>
      <c r="N715" s="91">
        <v>0</v>
      </c>
      <c r="O715" s="93" t="s">
        <v>299</v>
      </c>
      <c r="P715" s="94">
        <v>0.90625</v>
      </c>
      <c r="Q715" s="91">
        <v>180</v>
      </c>
      <c r="R715" s="95" t="s">
        <v>436</v>
      </c>
    </row>
    <row r="716" spans="1:18" ht="15" customHeight="1">
      <c r="A716" s="19" t="s">
        <v>26</v>
      </c>
      <c r="B716" s="19" t="s">
        <v>348</v>
      </c>
      <c r="C716" s="20">
        <v>0.99305555555555547</v>
      </c>
      <c r="D716" s="19" t="s">
        <v>28</v>
      </c>
      <c r="E716" s="19" t="s">
        <v>29</v>
      </c>
      <c r="F716" s="19" t="s">
        <v>83</v>
      </c>
      <c r="G716" s="298"/>
      <c r="H716" s="10"/>
      <c r="I716" s="11"/>
      <c r="J716" s="11"/>
      <c r="K716" s="11"/>
      <c r="L716" s="11"/>
      <c r="M716" s="11"/>
      <c r="N716" s="11"/>
      <c r="O716" s="12"/>
      <c r="P716" s="11"/>
      <c r="Q716" s="13"/>
      <c r="R716" s="14"/>
    </row>
    <row r="717" spans="1:18" ht="15" customHeight="1">
      <c r="A717" s="15" t="s">
        <v>26</v>
      </c>
      <c r="B717" s="15" t="s">
        <v>348</v>
      </c>
      <c r="C717" s="16">
        <v>0.99305555555555547</v>
      </c>
      <c r="D717" s="15" t="s">
        <v>31</v>
      </c>
      <c r="E717" s="15" t="s">
        <v>32</v>
      </c>
      <c r="F717" s="15" t="s">
        <v>159</v>
      </c>
      <c r="G717" s="298"/>
      <c r="H717" s="10"/>
      <c r="I717" s="11"/>
      <c r="J717" s="11"/>
      <c r="K717" s="11"/>
      <c r="L717" s="11"/>
      <c r="M717" s="11"/>
      <c r="N717" s="11"/>
      <c r="O717" s="12"/>
      <c r="P717" s="11"/>
      <c r="Q717" s="13"/>
      <c r="R717" s="14"/>
    </row>
    <row r="718" spans="1:18" ht="15" customHeight="1">
      <c r="A718" s="15" t="s">
        <v>26</v>
      </c>
      <c r="B718" s="15" t="s">
        <v>348</v>
      </c>
      <c r="C718" s="16">
        <v>0.99305555555555547</v>
      </c>
      <c r="D718" s="15" t="s">
        <v>34</v>
      </c>
      <c r="E718" s="15" t="s">
        <v>32</v>
      </c>
      <c r="F718" s="15" t="s">
        <v>355</v>
      </c>
      <c r="G718" s="298"/>
      <c r="H718" s="10"/>
      <c r="I718" s="11"/>
      <c r="J718" s="11"/>
      <c r="K718" s="11"/>
      <c r="L718" s="11"/>
      <c r="M718" s="11"/>
      <c r="N718" s="11"/>
      <c r="O718" s="12"/>
      <c r="P718" s="11"/>
      <c r="Q718" s="13"/>
      <c r="R718" s="14"/>
    </row>
    <row r="719" spans="1:18" ht="15" customHeight="1">
      <c r="A719" s="17" t="s">
        <v>26</v>
      </c>
      <c r="B719" s="17" t="s">
        <v>353</v>
      </c>
      <c r="C719" s="18">
        <v>0.88888888888888884</v>
      </c>
      <c r="D719" s="17" t="s">
        <v>28</v>
      </c>
      <c r="E719" s="17" t="s">
        <v>134</v>
      </c>
      <c r="F719" s="17" t="s">
        <v>83</v>
      </c>
      <c r="G719" s="298"/>
      <c r="H719" s="10"/>
      <c r="I719" s="11"/>
      <c r="J719" s="11"/>
      <c r="K719" s="11"/>
      <c r="L719" s="11"/>
      <c r="M719" s="11"/>
      <c r="N719" s="11"/>
      <c r="O719" s="12"/>
      <c r="P719" s="11"/>
      <c r="Q719" s="13"/>
      <c r="R719" s="14"/>
    </row>
    <row r="720" spans="1:18" ht="15" customHeight="1">
      <c r="A720" s="15" t="s">
        <v>26</v>
      </c>
      <c r="B720" s="15" t="s">
        <v>353</v>
      </c>
      <c r="C720" s="16">
        <v>0.88888888888888884</v>
      </c>
      <c r="D720" s="15" t="s">
        <v>31</v>
      </c>
      <c r="E720" s="15" t="s">
        <v>135</v>
      </c>
      <c r="F720" s="15" t="s">
        <v>159</v>
      </c>
      <c r="G720" s="298"/>
      <c r="H720" s="10"/>
      <c r="I720" s="11"/>
      <c r="J720" s="11"/>
      <c r="K720" s="11"/>
      <c r="L720" s="11"/>
      <c r="M720" s="11"/>
      <c r="N720" s="11"/>
      <c r="O720" s="12"/>
      <c r="P720" s="11"/>
      <c r="Q720" s="13"/>
      <c r="R720" s="14"/>
    </row>
    <row r="721" spans="1:18" ht="15" customHeight="1">
      <c r="A721" s="15" t="s">
        <v>26</v>
      </c>
      <c r="B721" s="15" t="s">
        <v>353</v>
      </c>
      <c r="C721" s="16">
        <v>0.88888888888888884</v>
      </c>
      <c r="D721" s="15" t="s">
        <v>34</v>
      </c>
      <c r="E721" s="15" t="s">
        <v>135</v>
      </c>
      <c r="F721" s="15" t="s">
        <v>355</v>
      </c>
      <c r="G721" s="298"/>
      <c r="H721" s="10"/>
      <c r="I721" s="11"/>
      <c r="J721" s="11"/>
      <c r="K721" s="11"/>
      <c r="L721" s="11"/>
      <c r="M721" s="11"/>
      <c r="N721" s="11"/>
      <c r="O721" s="12"/>
      <c r="P721" s="11"/>
      <c r="Q721" s="13"/>
      <c r="R721" s="14"/>
    </row>
    <row r="722" spans="1:18" ht="15" customHeight="1">
      <c r="A722" s="17" t="s">
        <v>26</v>
      </c>
      <c r="B722" s="17" t="s">
        <v>350</v>
      </c>
      <c r="C722" s="18">
        <v>0.73611111111111116</v>
      </c>
      <c r="D722" s="17" t="s">
        <v>28</v>
      </c>
      <c r="E722" s="17" t="s">
        <v>98</v>
      </c>
      <c r="F722" s="17" t="s">
        <v>79</v>
      </c>
      <c r="G722" s="298"/>
      <c r="H722" s="10"/>
      <c r="I722" s="11"/>
      <c r="J722" s="11"/>
      <c r="K722" s="11"/>
      <c r="L722" s="11"/>
      <c r="M722" s="11"/>
      <c r="N722" s="11"/>
      <c r="O722" s="12"/>
      <c r="P722" s="11"/>
      <c r="Q722" s="13"/>
      <c r="R722" s="14"/>
    </row>
    <row r="723" spans="1:18" ht="15" customHeight="1">
      <c r="A723" s="15" t="s">
        <v>26</v>
      </c>
      <c r="B723" s="15" t="s">
        <v>350</v>
      </c>
      <c r="C723" s="16">
        <v>0.73611111111111116</v>
      </c>
      <c r="D723" s="15" t="s">
        <v>31</v>
      </c>
      <c r="E723" s="15" t="s">
        <v>99</v>
      </c>
      <c r="F723" s="15" t="s">
        <v>123</v>
      </c>
      <c r="G723" s="298"/>
      <c r="H723" s="10"/>
      <c r="I723" s="11"/>
      <c r="J723" s="11"/>
      <c r="K723" s="11"/>
      <c r="L723" s="11"/>
      <c r="M723" s="11"/>
      <c r="N723" s="11"/>
      <c r="O723" s="12"/>
      <c r="P723" s="11"/>
      <c r="Q723" s="13"/>
      <c r="R723" s="14"/>
    </row>
    <row r="724" spans="1:18" ht="15" customHeight="1">
      <c r="A724" s="15" t="s">
        <v>26</v>
      </c>
      <c r="B724" s="15" t="s">
        <v>350</v>
      </c>
      <c r="C724" s="16">
        <v>0.73611111111111116</v>
      </c>
      <c r="D724" s="15" t="s">
        <v>34</v>
      </c>
      <c r="E724" s="15" t="s">
        <v>99</v>
      </c>
      <c r="F724" s="15" t="s">
        <v>118</v>
      </c>
      <c r="G724" s="298"/>
      <c r="H724" s="10"/>
      <c r="I724" s="11"/>
      <c r="J724" s="11"/>
      <c r="K724" s="11"/>
      <c r="L724" s="11"/>
      <c r="M724" s="11"/>
      <c r="N724" s="11"/>
      <c r="O724" s="12"/>
      <c r="P724" s="11"/>
      <c r="Q724" s="13"/>
      <c r="R724" s="14"/>
    </row>
    <row r="725" spans="1:18" ht="15" customHeight="1">
      <c r="A725" s="17" t="s">
        <v>26</v>
      </c>
      <c r="B725" s="17" t="s">
        <v>351</v>
      </c>
      <c r="C725" s="18">
        <v>0.83680555555555547</v>
      </c>
      <c r="D725" s="17" t="s">
        <v>28</v>
      </c>
      <c r="E725" s="17" t="s">
        <v>98</v>
      </c>
      <c r="F725" s="17" t="s">
        <v>79</v>
      </c>
      <c r="G725" s="298"/>
      <c r="H725" s="10"/>
      <c r="I725" s="11"/>
      <c r="J725" s="11"/>
      <c r="K725" s="11"/>
      <c r="L725" s="11"/>
      <c r="M725" s="11"/>
      <c r="N725" s="11"/>
      <c r="O725" s="12"/>
      <c r="P725" s="11"/>
      <c r="Q725" s="13"/>
      <c r="R725" s="14"/>
    </row>
    <row r="726" spans="1:18" ht="15" customHeight="1">
      <c r="A726" s="15" t="s">
        <v>26</v>
      </c>
      <c r="B726" s="15" t="s">
        <v>351</v>
      </c>
      <c r="C726" s="16">
        <v>0.83680555555555547</v>
      </c>
      <c r="D726" s="15" t="s">
        <v>31</v>
      </c>
      <c r="E726" s="15" t="s">
        <v>99</v>
      </c>
      <c r="F726" s="15" t="s">
        <v>123</v>
      </c>
      <c r="G726" s="298"/>
      <c r="H726" s="10"/>
      <c r="I726" s="11"/>
      <c r="J726" s="11"/>
      <c r="K726" s="11"/>
      <c r="L726" s="11"/>
      <c r="M726" s="11"/>
      <c r="N726" s="11"/>
      <c r="O726" s="12"/>
      <c r="P726" s="11"/>
      <c r="Q726" s="13"/>
      <c r="R726" s="14"/>
    </row>
    <row r="727" spans="1:18" ht="15" customHeight="1">
      <c r="A727" s="15" t="s">
        <v>26</v>
      </c>
      <c r="B727" s="15" t="s">
        <v>351</v>
      </c>
      <c r="C727" s="16">
        <v>0.83680555555555547</v>
      </c>
      <c r="D727" s="15" t="s">
        <v>34</v>
      </c>
      <c r="E727" s="15" t="s">
        <v>99</v>
      </c>
      <c r="F727" s="15" t="s">
        <v>118</v>
      </c>
      <c r="G727" s="298"/>
      <c r="H727" s="10"/>
      <c r="I727" s="11"/>
      <c r="J727" s="11"/>
      <c r="K727" s="11"/>
      <c r="L727" s="11"/>
      <c r="M727" s="11"/>
      <c r="N727" s="11"/>
      <c r="O727" s="12"/>
      <c r="P727" s="11"/>
      <c r="Q727" s="13"/>
      <c r="R727" s="14"/>
    </row>
    <row r="728" spans="1:18" ht="15" customHeight="1">
      <c r="A728" s="17" t="s">
        <v>26</v>
      </c>
      <c r="B728" s="17" t="s">
        <v>356</v>
      </c>
      <c r="C728" s="18">
        <v>0.4861111111111111</v>
      </c>
      <c r="D728" s="17" t="s">
        <v>28</v>
      </c>
      <c r="E728" s="17" t="s">
        <v>98</v>
      </c>
      <c r="F728" s="17" t="s">
        <v>79</v>
      </c>
      <c r="G728" s="298"/>
      <c r="H728" s="10"/>
      <c r="I728" s="11"/>
      <c r="J728" s="11"/>
      <c r="K728" s="11"/>
      <c r="L728" s="11"/>
      <c r="M728" s="11"/>
      <c r="N728" s="11"/>
      <c r="O728" s="12"/>
      <c r="P728" s="11"/>
      <c r="Q728" s="13"/>
      <c r="R728" s="14"/>
    </row>
    <row r="729" spans="1:18" ht="15" customHeight="1">
      <c r="A729" s="15" t="s">
        <v>26</v>
      </c>
      <c r="B729" s="15" t="s">
        <v>356</v>
      </c>
      <c r="C729" s="16">
        <v>0.4861111111111111</v>
      </c>
      <c r="D729" s="15" t="s">
        <v>31</v>
      </c>
      <c r="E729" s="15" t="s">
        <v>99</v>
      </c>
      <c r="F729" s="15" t="s">
        <v>123</v>
      </c>
      <c r="G729" s="298"/>
      <c r="H729" s="10"/>
      <c r="I729" s="11"/>
      <c r="J729" s="11"/>
      <c r="K729" s="11"/>
      <c r="L729" s="11"/>
      <c r="M729" s="11"/>
      <c r="N729" s="11"/>
      <c r="O729" s="12"/>
      <c r="P729" s="11"/>
      <c r="Q729" s="13"/>
      <c r="R729" s="14"/>
    </row>
    <row r="730" spans="1:18" ht="15" customHeight="1">
      <c r="A730" s="15" t="s">
        <v>26</v>
      </c>
      <c r="B730" s="15" t="s">
        <v>356</v>
      </c>
      <c r="C730" s="16">
        <v>0.4861111111111111</v>
      </c>
      <c r="D730" s="15" t="s">
        <v>34</v>
      </c>
      <c r="E730" s="15" t="s">
        <v>99</v>
      </c>
      <c r="F730" s="15" t="s">
        <v>118</v>
      </c>
      <c r="G730" s="298"/>
      <c r="H730" s="10"/>
      <c r="I730" s="11"/>
      <c r="J730" s="11"/>
      <c r="K730" s="11"/>
      <c r="L730" s="11"/>
      <c r="M730" s="11"/>
      <c r="N730" s="11"/>
      <c r="O730" s="12"/>
      <c r="P730" s="11"/>
      <c r="Q730" s="13"/>
      <c r="R730" s="14"/>
    </row>
    <row r="731" spans="1:18" ht="15" customHeight="1">
      <c r="A731" s="17" t="s">
        <v>26</v>
      </c>
      <c r="B731" s="17" t="s">
        <v>352</v>
      </c>
      <c r="C731" s="18">
        <v>0.94444444444444453</v>
      </c>
      <c r="D731" s="17" t="s">
        <v>28</v>
      </c>
      <c r="E731" s="17" t="s">
        <v>90</v>
      </c>
      <c r="F731" s="17" t="s">
        <v>45</v>
      </c>
      <c r="G731" s="298"/>
      <c r="H731" s="10"/>
      <c r="I731" s="11"/>
      <c r="J731" s="11"/>
      <c r="K731" s="11"/>
      <c r="L731" s="11"/>
      <c r="M731" s="11"/>
      <c r="N731" s="11"/>
      <c r="O731" s="12"/>
      <c r="P731" s="11"/>
      <c r="Q731" s="13"/>
      <c r="R731" s="14"/>
    </row>
    <row r="732" spans="1:18" ht="15" customHeight="1">
      <c r="A732" s="15" t="s">
        <v>26</v>
      </c>
      <c r="B732" s="15" t="s">
        <v>352</v>
      </c>
      <c r="C732" s="16">
        <v>0.94444444444444453</v>
      </c>
      <c r="D732" s="15" t="s">
        <v>31</v>
      </c>
      <c r="E732" s="15" t="s">
        <v>82</v>
      </c>
      <c r="F732" s="15" t="s">
        <v>355</v>
      </c>
      <c r="G732" s="298"/>
      <c r="H732" s="10"/>
      <c r="I732" s="11"/>
      <c r="J732" s="11"/>
      <c r="K732" s="11"/>
      <c r="L732" s="11"/>
      <c r="M732" s="11"/>
      <c r="N732" s="11"/>
      <c r="O732" s="12"/>
      <c r="P732" s="11"/>
      <c r="Q732" s="13"/>
      <c r="R732" s="14"/>
    </row>
    <row r="733" spans="1:18" ht="15" customHeight="1">
      <c r="A733" s="15" t="s">
        <v>26</v>
      </c>
      <c r="B733" s="15" t="s">
        <v>352</v>
      </c>
      <c r="C733" s="16">
        <v>0.94444444444444453</v>
      </c>
      <c r="D733" s="15" t="s">
        <v>34</v>
      </c>
      <c r="E733" s="15" t="s">
        <v>82</v>
      </c>
      <c r="F733" s="15" t="s">
        <v>358</v>
      </c>
      <c r="G733" s="298"/>
      <c r="H733" s="10"/>
      <c r="I733" s="11"/>
      <c r="J733" s="11"/>
      <c r="K733" s="11"/>
      <c r="L733" s="11"/>
      <c r="M733" s="11"/>
      <c r="N733" s="11"/>
      <c r="O733" s="12"/>
      <c r="P733" s="11"/>
      <c r="Q733" s="13"/>
      <c r="R733" s="14"/>
    </row>
    <row r="734" spans="1:18" ht="15" customHeight="1">
      <c r="A734" s="17" t="s">
        <v>26</v>
      </c>
      <c r="B734" s="17" t="s">
        <v>357</v>
      </c>
      <c r="C734" s="18">
        <v>0.3923611111111111</v>
      </c>
      <c r="D734" s="17" t="s">
        <v>28</v>
      </c>
      <c r="E734" s="17" t="s">
        <v>90</v>
      </c>
      <c r="F734" s="17" t="s">
        <v>45</v>
      </c>
      <c r="G734" s="298"/>
      <c r="H734" s="10"/>
      <c r="I734" s="11"/>
      <c r="J734" s="11"/>
      <c r="K734" s="11"/>
      <c r="L734" s="11"/>
      <c r="M734" s="11"/>
      <c r="N734" s="11"/>
      <c r="O734" s="12"/>
      <c r="P734" s="11"/>
      <c r="Q734" s="13"/>
      <c r="R734" s="14"/>
    </row>
    <row r="735" spans="1:18" ht="15" customHeight="1">
      <c r="A735" s="15" t="s">
        <v>26</v>
      </c>
      <c r="B735" s="15" t="s">
        <v>357</v>
      </c>
      <c r="C735" s="16">
        <v>0.3923611111111111</v>
      </c>
      <c r="D735" s="15" t="s">
        <v>31</v>
      </c>
      <c r="E735" s="15" t="s">
        <v>82</v>
      </c>
      <c r="F735" s="15" t="s">
        <v>355</v>
      </c>
      <c r="G735" s="298"/>
      <c r="H735" s="10"/>
      <c r="I735" s="11"/>
      <c r="J735" s="11"/>
      <c r="K735" s="11"/>
      <c r="L735" s="11"/>
      <c r="M735" s="11"/>
      <c r="N735" s="11"/>
      <c r="O735" s="12"/>
      <c r="P735" s="11"/>
      <c r="Q735" s="13"/>
      <c r="R735" s="14"/>
    </row>
    <row r="736" spans="1:18" ht="15" customHeight="1">
      <c r="A736" s="15" t="s">
        <v>26</v>
      </c>
      <c r="B736" s="15" t="s">
        <v>357</v>
      </c>
      <c r="C736" s="16">
        <v>0.3923611111111111</v>
      </c>
      <c r="D736" s="15" t="s">
        <v>34</v>
      </c>
      <c r="E736" s="15" t="s">
        <v>82</v>
      </c>
      <c r="F736" s="15" t="s">
        <v>358</v>
      </c>
      <c r="G736" s="298"/>
      <c r="H736" s="10"/>
      <c r="I736" s="11"/>
      <c r="J736" s="11"/>
      <c r="K736" s="11"/>
      <c r="L736" s="11"/>
      <c r="M736" s="11"/>
      <c r="N736" s="11"/>
      <c r="O736" s="12"/>
      <c r="P736" s="11"/>
      <c r="Q736" s="13"/>
      <c r="R736" s="14"/>
    </row>
    <row r="737" spans="1:18" ht="15" customHeight="1">
      <c r="A737" s="17" t="s">
        <v>26</v>
      </c>
      <c r="B737" s="17" t="s">
        <v>354</v>
      </c>
      <c r="C737" s="18">
        <v>0.34722222222222232</v>
      </c>
      <c r="D737" s="17" t="s">
        <v>28</v>
      </c>
      <c r="E737" s="17" t="s">
        <v>90</v>
      </c>
      <c r="F737" s="17" t="s">
        <v>456</v>
      </c>
      <c r="G737" s="298"/>
      <c r="H737" s="10"/>
      <c r="I737" s="11"/>
      <c r="J737" s="11"/>
      <c r="K737" s="11"/>
      <c r="L737" s="11"/>
      <c r="M737" s="11"/>
      <c r="N737" s="11"/>
      <c r="O737" s="12"/>
      <c r="P737" s="11"/>
      <c r="Q737" s="13"/>
      <c r="R737" s="14"/>
    </row>
    <row r="738" spans="1:18" ht="15" customHeight="1">
      <c r="A738" s="15" t="s">
        <v>26</v>
      </c>
      <c r="B738" s="15" t="s">
        <v>354</v>
      </c>
      <c r="C738" s="16">
        <v>0.34722222222222232</v>
      </c>
      <c r="D738" s="15" t="s">
        <v>31</v>
      </c>
      <c r="E738" s="15" t="s">
        <v>82</v>
      </c>
      <c r="F738" s="15" t="s">
        <v>106</v>
      </c>
      <c r="G738" s="298"/>
      <c r="H738" s="10"/>
      <c r="I738" s="11"/>
      <c r="J738" s="11"/>
      <c r="K738" s="11"/>
      <c r="L738" s="11"/>
      <c r="M738" s="11"/>
      <c r="N738" s="11"/>
      <c r="O738" s="12"/>
      <c r="P738" s="11"/>
      <c r="Q738" s="13"/>
      <c r="R738" s="14"/>
    </row>
    <row r="739" spans="1:18" ht="15" customHeight="1">
      <c r="A739" s="15" t="s">
        <v>26</v>
      </c>
      <c r="B739" s="15" t="s">
        <v>354</v>
      </c>
      <c r="C739" s="16">
        <v>0.34722222222222232</v>
      </c>
      <c r="D739" s="15" t="s">
        <v>34</v>
      </c>
      <c r="E739" s="15" t="s">
        <v>82</v>
      </c>
      <c r="F739" s="15" t="s">
        <v>478</v>
      </c>
      <c r="G739" s="298"/>
      <c r="H739" s="10"/>
      <c r="I739" s="11"/>
      <c r="J739" s="11"/>
      <c r="K739" s="11"/>
      <c r="L739" s="11"/>
      <c r="M739" s="11"/>
      <c r="N739" s="11"/>
      <c r="O739" s="12"/>
      <c r="P739" s="11"/>
      <c r="Q739" s="13"/>
      <c r="R739" s="14"/>
    </row>
    <row r="740" spans="1:18" ht="15" customHeight="1">
      <c r="A740" s="19" t="s">
        <v>48</v>
      </c>
      <c r="B740" s="19" t="s">
        <v>389</v>
      </c>
      <c r="C740" s="20">
        <v>0.70486111111111116</v>
      </c>
      <c r="D740" s="19" t="s">
        <v>50</v>
      </c>
      <c r="E740" s="19" t="s">
        <v>156</v>
      </c>
      <c r="F740" s="19" t="s">
        <v>383</v>
      </c>
      <c r="G740" s="298"/>
      <c r="H740" s="10"/>
      <c r="I740" s="11"/>
      <c r="J740" s="11"/>
      <c r="K740" s="11"/>
      <c r="L740" s="11"/>
      <c r="M740" s="11"/>
      <c r="N740" s="11"/>
      <c r="O740" s="12"/>
      <c r="P740" s="11"/>
      <c r="Q740" s="13"/>
      <c r="R740" s="14"/>
    </row>
    <row r="741" spans="1:18" ht="15" customHeight="1">
      <c r="A741" s="15" t="s">
        <v>48</v>
      </c>
      <c r="B741" s="15" t="s">
        <v>389</v>
      </c>
      <c r="C741" s="16">
        <v>0.70486111111111116</v>
      </c>
      <c r="D741" s="15" t="s">
        <v>53</v>
      </c>
      <c r="E741" s="15" t="s">
        <v>135</v>
      </c>
      <c r="F741" s="15" t="s">
        <v>384</v>
      </c>
      <c r="G741" s="298"/>
      <c r="H741" s="10"/>
      <c r="I741" s="11"/>
      <c r="J741" s="11"/>
      <c r="K741" s="11"/>
      <c r="L741" s="11"/>
      <c r="M741" s="11"/>
      <c r="N741" s="11"/>
      <c r="O741" s="12"/>
      <c r="P741" s="11"/>
      <c r="Q741" s="13"/>
      <c r="R741" s="14"/>
    </row>
    <row r="742" spans="1:18" ht="15" customHeight="1">
      <c r="A742" s="17" t="s">
        <v>48</v>
      </c>
      <c r="B742" s="17" t="s">
        <v>385</v>
      </c>
      <c r="C742" s="18">
        <v>0.94097222222222221</v>
      </c>
      <c r="D742" s="17" t="s">
        <v>50</v>
      </c>
      <c r="E742" s="17" t="s">
        <v>427</v>
      </c>
      <c r="F742" s="17" t="s">
        <v>79</v>
      </c>
      <c r="G742" s="298"/>
      <c r="H742" s="10"/>
      <c r="I742" s="11"/>
      <c r="J742" s="11"/>
      <c r="K742" s="11"/>
      <c r="L742" s="11"/>
      <c r="M742" s="11"/>
      <c r="N742" s="11"/>
      <c r="O742" s="12"/>
      <c r="P742" s="11"/>
      <c r="Q742" s="13"/>
      <c r="R742" s="14"/>
    </row>
    <row r="743" spans="1:18" ht="15" customHeight="1">
      <c r="A743" s="15" t="s">
        <v>48</v>
      </c>
      <c r="B743" s="15" t="s">
        <v>385</v>
      </c>
      <c r="C743" s="16">
        <v>0.94097222222222221</v>
      </c>
      <c r="D743" s="15" t="s">
        <v>53</v>
      </c>
      <c r="E743" s="15" t="s">
        <v>115</v>
      </c>
      <c r="F743" s="15" t="s">
        <v>387</v>
      </c>
      <c r="G743" s="298"/>
      <c r="H743" s="10"/>
      <c r="I743" s="11"/>
      <c r="J743" s="11"/>
      <c r="K743" s="11"/>
      <c r="L743" s="11"/>
      <c r="M743" s="11"/>
      <c r="N743" s="11"/>
      <c r="O743" s="12"/>
      <c r="P743" s="11"/>
      <c r="Q743" s="13"/>
      <c r="R743" s="14"/>
    </row>
    <row r="744" spans="1:18" ht="15" customHeight="1">
      <c r="A744" s="17" t="s">
        <v>48</v>
      </c>
      <c r="B744" s="17" t="s">
        <v>382</v>
      </c>
      <c r="C744" s="18">
        <v>0.11805555555555559</v>
      </c>
      <c r="D744" s="17" t="s">
        <v>50</v>
      </c>
      <c r="E744" s="17" t="s">
        <v>57</v>
      </c>
      <c r="F744" s="17" t="s">
        <v>462</v>
      </c>
      <c r="G744" s="298"/>
      <c r="H744" s="10"/>
      <c r="I744" s="11"/>
      <c r="J744" s="11"/>
      <c r="K744" s="11"/>
      <c r="L744" s="11"/>
      <c r="M744" s="11"/>
      <c r="N744" s="11"/>
      <c r="O744" s="12"/>
      <c r="P744" s="11"/>
      <c r="Q744" s="13"/>
      <c r="R744" s="14"/>
    </row>
    <row r="745" spans="1:18" ht="15" customHeight="1">
      <c r="A745" s="15" t="s">
        <v>48</v>
      </c>
      <c r="B745" s="15" t="s">
        <v>382</v>
      </c>
      <c r="C745" s="16">
        <v>0.11805555555555559</v>
      </c>
      <c r="D745" s="15" t="s">
        <v>53</v>
      </c>
      <c r="E745" s="15" t="s">
        <v>54</v>
      </c>
      <c r="F745" s="15" t="s">
        <v>463</v>
      </c>
      <c r="G745" s="298"/>
      <c r="H745" s="10"/>
      <c r="I745" s="11"/>
      <c r="J745" s="11"/>
      <c r="K745" s="11"/>
      <c r="L745" s="11"/>
      <c r="M745" s="11"/>
      <c r="N745" s="11"/>
      <c r="O745" s="12"/>
      <c r="P745" s="11"/>
      <c r="Q745" s="13"/>
      <c r="R745" s="14"/>
    </row>
    <row r="746" spans="1:18" ht="15" customHeight="1">
      <c r="A746" s="17" t="s">
        <v>48</v>
      </c>
      <c r="B746" s="17" t="s">
        <v>390</v>
      </c>
      <c r="C746" s="18">
        <v>4.1666666666666657E-2</v>
      </c>
      <c r="D746" s="17" t="s">
        <v>50</v>
      </c>
      <c r="E746" s="17" t="s">
        <v>57</v>
      </c>
      <c r="F746" s="17" t="s">
        <v>462</v>
      </c>
      <c r="G746" s="298"/>
      <c r="H746" s="10"/>
      <c r="I746" s="11"/>
      <c r="J746" s="11"/>
      <c r="K746" s="11"/>
      <c r="L746" s="11"/>
      <c r="M746" s="11"/>
      <c r="N746" s="11"/>
      <c r="O746" s="12"/>
      <c r="P746" s="11"/>
      <c r="Q746" s="13"/>
      <c r="R746" s="14"/>
    </row>
    <row r="747" spans="1:18" ht="15" customHeight="1">
      <c r="A747" s="15" t="s">
        <v>48</v>
      </c>
      <c r="B747" s="15" t="s">
        <v>390</v>
      </c>
      <c r="C747" s="16">
        <v>4.1666666666666657E-2</v>
      </c>
      <c r="D747" s="15" t="s">
        <v>53</v>
      </c>
      <c r="E747" s="15" t="s">
        <v>54</v>
      </c>
      <c r="F747" s="15" t="s">
        <v>463</v>
      </c>
      <c r="G747" s="298"/>
      <c r="H747" s="10"/>
      <c r="I747" s="11"/>
      <c r="J747" s="11"/>
      <c r="K747" s="11"/>
      <c r="L747" s="11"/>
      <c r="M747" s="11"/>
      <c r="N747" s="11"/>
      <c r="O747" s="12"/>
      <c r="P747" s="11"/>
      <c r="Q747" s="13"/>
      <c r="R747" s="14"/>
    </row>
    <row r="748" spans="1:18" ht="15" customHeight="1">
      <c r="A748" s="17" t="s">
        <v>48</v>
      </c>
      <c r="B748" s="17" t="s">
        <v>388</v>
      </c>
      <c r="C748" s="18">
        <v>0.72222222222222221</v>
      </c>
      <c r="D748" s="17" t="s">
        <v>50</v>
      </c>
      <c r="E748" s="17" t="s">
        <v>435</v>
      </c>
      <c r="F748" s="17" t="s">
        <v>486</v>
      </c>
      <c r="G748" s="298"/>
      <c r="H748" s="10"/>
      <c r="I748" s="11"/>
      <c r="J748" s="11"/>
      <c r="K748" s="11"/>
      <c r="L748" s="11"/>
      <c r="M748" s="11"/>
      <c r="N748" s="11"/>
      <c r="O748" s="12"/>
      <c r="P748" s="11"/>
      <c r="Q748" s="13"/>
      <c r="R748" s="14"/>
    </row>
    <row r="749" spans="1:18" ht="15" customHeight="1">
      <c r="A749" s="15" t="s">
        <v>48</v>
      </c>
      <c r="B749" s="15" t="s">
        <v>388</v>
      </c>
      <c r="C749" s="16">
        <v>0.72222222222222221</v>
      </c>
      <c r="D749" s="15" t="s">
        <v>53</v>
      </c>
      <c r="E749" s="15" t="s">
        <v>108</v>
      </c>
      <c r="F749" s="15" t="s">
        <v>487</v>
      </c>
      <c r="G749" s="298"/>
      <c r="H749" s="10"/>
      <c r="I749" s="11"/>
      <c r="J749" s="11"/>
      <c r="K749" s="11"/>
      <c r="L749" s="11"/>
      <c r="M749" s="11"/>
      <c r="N749" s="11"/>
      <c r="O749" s="12"/>
      <c r="P749" s="11"/>
      <c r="Q749" s="13"/>
      <c r="R749" s="14"/>
    </row>
    <row r="750" spans="1:18" ht="15" customHeight="1">
      <c r="A750" s="17" t="s">
        <v>48</v>
      </c>
      <c r="B750" s="17" t="s">
        <v>386</v>
      </c>
      <c r="C750" s="18">
        <v>0.82986111111111116</v>
      </c>
      <c r="D750" s="17" t="s">
        <v>50</v>
      </c>
      <c r="E750" s="17" t="s">
        <v>57</v>
      </c>
      <c r="F750" s="17" t="s">
        <v>488</v>
      </c>
      <c r="G750" s="298"/>
      <c r="H750" s="10"/>
      <c r="I750" s="11"/>
      <c r="J750" s="11"/>
      <c r="K750" s="11"/>
      <c r="L750" s="11"/>
      <c r="M750" s="11"/>
      <c r="N750" s="11"/>
      <c r="O750" s="12"/>
      <c r="P750" s="11"/>
      <c r="Q750" s="13"/>
      <c r="R750" s="14"/>
    </row>
    <row r="751" spans="1:18" ht="15" customHeight="1">
      <c r="A751" s="15" t="s">
        <v>48</v>
      </c>
      <c r="B751" s="15" t="s">
        <v>386</v>
      </c>
      <c r="C751" s="16">
        <v>0.82986111111111116</v>
      </c>
      <c r="D751" s="15" t="s">
        <v>53</v>
      </c>
      <c r="E751" s="15" t="s">
        <v>54</v>
      </c>
      <c r="F751" s="15" t="s">
        <v>489</v>
      </c>
      <c r="G751" s="298"/>
      <c r="H751" s="10"/>
      <c r="I751" s="11"/>
      <c r="J751" s="11"/>
      <c r="K751" s="11"/>
      <c r="L751" s="11"/>
      <c r="M751" s="11"/>
      <c r="N751" s="11"/>
      <c r="O751" s="12"/>
      <c r="P751" s="11"/>
      <c r="Q751" s="13"/>
      <c r="R751" s="14"/>
    </row>
    <row r="752" spans="1:18" ht="15" customHeight="1">
      <c r="A752" s="17" t="s">
        <v>48</v>
      </c>
      <c r="B752" s="17" t="s">
        <v>400</v>
      </c>
      <c r="C752" s="18">
        <v>0.25347222222222221</v>
      </c>
      <c r="D752" s="17" t="s">
        <v>50</v>
      </c>
      <c r="E752" s="17" t="s">
        <v>57</v>
      </c>
      <c r="F752" s="17" t="s">
        <v>392</v>
      </c>
      <c r="G752" s="298"/>
      <c r="H752" s="10"/>
      <c r="I752" s="11"/>
      <c r="J752" s="11"/>
      <c r="K752" s="11"/>
      <c r="L752" s="11"/>
      <c r="M752" s="11"/>
      <c r="N752" s="11"/>
      <c r="O752" s="12"/>
      <c r="P752" s="11"/>
      <c r="Q752" s="13"/>
      <c r="R752" s="14"/>
    </row>
    <row r="753" spans="1:18" ht="15" customHeight="1">
      <c r="A753" s="15" t="s">
        <v>48</v>
      </c>
      <c r="B753" s="15" t="s">
        <v>400</v>
      </c>
      <c r="C753" s="16">
        <v>0.25347222222222221</v>
      </c>
      <c r="D753" s="15" t="s">
        <v>53</v>
      </c>
      <c r="E753" s="15" t="s">
        <v>54</v>
      </c>
      <c r="F753" s="15" t="s">
        <v>393</v>
      </c>
      <c r="G753" s="298"/>
      <c r="H753" s="10"/>
      <c r="I753" s="11"/>
      <c r="J753" s="11"/>
      <c r="K753" s="11"/>
      <c r="L753" s="11"/>
      <c r="M753" s="11"/>
      <c r="N753" s="11"/>
      <c r="O753" s="12"/>
      <c r="P753" s="11"/>
      <c r="Q753" s="13"/>
      <c r="R753" s="14"/>
    </row>
    <row r="754" spans="1:18" ht="15" customHeight="1">
      <c r="A754" s="17" t="s">
        <v>48</v>
      </c>
      <c r="B754" s="17" t="s">
        <v>394</v>
      </c>
      <c r="C754" s="18">
        <v>0.98958333333333337</v>
      </c>
      <c r="D754" s="17" t="s">
        <v>53</v>
      </c>
      <c r="E754" s="17" t="s">
        <v>37</v>
      </c>
      <c r="F754" s="17" t="s">
        <v>481</v>
      </c>
      <c r="G754" s="298"/>
      <c r="H754" s="10"/>
      <c r="I754" s="11"/>
      <c r="J754" s="11"/>
      <c r="K754" s="11"/>
      <c r="L754" s="11"/>
      <c r="M754" s="11"/>
      <c r="N754" s="11"/>
      <c r="O754" s="12"/>
      <c r="P754" s="11"/>
      <c r="Q754" s="13"/>
      <c r="R754" s="14"/>
    </row>
    <row r="755" spans="1:18" ht="15" customHeight="1">
      <c r="A755" s="17" t="s">
        <v>48</v>
      </c>
      <c r="B755" s="17" t="s">
        <v>396</v>
      </c>
      <c r="C755" s="18">
        <v>0.48958333333333331</v>
      </c>
      <c r="D755" s="17" t="s">
        <v>53</v>
      </c>
      <c r="E755" s="17" t="s">
        <v>37</v>
      </c>
      <c r="F755" s="17" t="s">
        <v>438</v>
      </c>
      <c r="G755" s="298"/>
      <c r="H755" s="10"/>
      <c r="I755" s="11"/>
      <c r="J755" s="11"/>
      <c r="K755" s="11"/>
      <c r="L755" s="11"/>
      <c r="M755" s="11"/>
      <c r="N755" s="11"/>
      <c r="O755" s="12"/>
      <c r="P755" s="11"/>
      <c r="Q755" s="13"/>
      <c r="R755" s="14"/>
    </row>
    <row r="756" spans="1:18" ht="15" customHeight="1">
      <c r="A756" s="17" t="s">
        <v>48</v>
      </c>
      <c r="B756" s="17" t="s">
        <v>398</v>
      </c>
      <c r="C756" s="18">
        <v>0.39930555555555558</v>
      </c>
      <c r="D756" s="17" t="s">
        <v>53</v>
      </c>
      <c r="E756" s="17" t="s">
        <v>37</v>
      </c>
      <c r="F756" s="17" t="s">
        <v>399</v>
      </c>
      <c r="G756" s="298"/>
      <c r="H756" s="10"/>
      <c r="I756" s="11"/>
      <c r="J756" s="11"/>
      <c r="K756" s="11"/>
      <c r="L756" s="11"/>
      <c r="M756" s="11"/>
      <c r="N756" s="11"/>
      <c r="O756" s="12"/>
      <c r="P756" s="11"/>
      <c r="Q756" s="13"/>
      <c r="R756" s="14"/>
    </row>
    <row r="757" spans="1:18" ht="15" customHeight="1">
      <c r="A757" s="17" t="s">
        <v>48</v>
      </c>
      <c r="B757" s="17" t="s">
        <v>397</v>
      </c>
      <c r="C757" s="18">
        <v>0.88888888888888884</v>
      </c>
      <c r="D757" s="17" t="s">
        <v>53</v>
      </c>
      <c r="E757" s="17" t="s">
        <v>37</v>
      </c>
      <c r="F757" s="17" t="s">
        <v>464</v>
      </c>
      <c r="G757" s="298"/>
      <c r="H757" s="10"/>
      <c r="I757" s="11"/>
      <c r="J757" s="11"/>
      <c r="K757" s="11"/>
      <c r="L757" s="11"/>
      <c r="M757" s="11"/>
      <c r="N757" s="11"/>
      <c r="O757" s="12"/>
      <c r="P757" s="11"/>
      <c r="Q757" s="13"/>
      <c r="R757" s="14"/>
    </row>
    <row r="758" spans="1:18" ht="15" customHeight="1">
      <c r="A758" s="17" t="s">
        <v>48</v>
      </c>
      <c r="B758" s="17" t="s">
        <v>391</v>
      </c>
      <c r="C758" s="18">
        <v>0.48958333333333331</v>
      </c>
      <c r="D758" s="17" t="s">
        <v>53</v>
      </c>
      <c r="E758" s="17" t="s">
        <v>98</v>
      </c>
      <c r="F758" s="17" t="s">
        <v>490</v>
      </c>
      <c r="G758" s="298"/>
      <c r="H758" s="10"/>
      <c r="I758" s="11"/>
      <c r="J758" s="11"/>
      <c r="K758" s="11"/>
      <c r="L758" s="11"/>
      <c r="M758" s="11"/>
      <c r="N758" s="11"/>
      <c r="O758" s="12"/>
      <c r="P758" s="11"/>
      <c r="Q758" s="13"/>
      <c r="R758" s="14"/>
    </row>
    <row r="759" spans="1:18" ht="15" customHeight="1">
      <c r="A759" s="19" t="s">
        <v>402</v>
      </c>
      <c r="B759" s="19" t="s">
        <v>403</v>
      </c>
      <c r="C759" s="20">
        <v>0.49305555555555558</v>
      </c>
      <c r="D759" s="19" t="s">
        <v>63</v>
      </c>
      <c r="E759" s="19" t="s">
        <v>103</v>
      </c>
      <c r="F759" s="19" t="s">
        <v>404</v>
      </c>
      <c r="G759" s="298"/>
      <c r="H759" s="10"/>
      <c r="I759" s="11"/>
      <c r="J759" s="11"/>
      <c r="K759" s="11"/>
      <c r="L759" s="11"/>
      <c r="M759" s="11"/>
      <c r="N759" s="11"/>
      <c r="O759" s="12"/>
      <c r="P759" s="11"/>
      <c r="Q759" s="13"/>
      <c r="R759" s="14"/>
    </row>
    <row r="760" spans="1:18" ht="15" customHeight="1">
      <c r="A760" s="19" t="s">
        <v>68</v>
      </c>
      <c r="B760" s="19" t="s">
        <v>405</v>
      </c>
      <c r="C760" s="20">
        <v>0.83680555555555547</v>
      </c>
      <c r="D760" s="19" t="s">
        <v>70</v>
      </c>
      <c r="E760" s="19" t="s">
        <v>51</v>
      </c>
      <c r="F760" s="19" t="s">
        <v>406</v>
      </c>
      <c r="G760" s="298"/>
      <c r="H760" s="10"/>
      <c r="I760" s="11"/>
      <c r="J760" s="11"/>
      <c r="K760" s="11"/>
      <c r="L760" s="11"/>
      <c r="M760" s="11"/>
      <c r="N760" s="11"/>
      <c r="O760" s="12"/>
      <c r="P760" s="11"/>
      <c r="Q760" s="13"/>
      <c r="R760" s="14"/>
    </row>
    <row r="761" spans="1:18" ht="15" customHeight="1">
      <c r="A761" s="17" t="s">
        <v>68</v>
      </c>
      <c r="B761" s="17" t="s">
        <v>407</v>
      </c>
      <c r="C761" s="18">
        <v>0.3125</v>
      </c>
      <c r="D761" s="17" t="s">
        <v>70</v>
      </c>
      <c r="E761" s="17" t="s">
        <v>57</v>
      </c>
      <c r="F761" s="17" t="s">
        <v>406</v>
      </c>
      <c r="G761" s="298"/>
      <c r="H761" s="10"/>
      <c r="I761" s="11"/>
      <c r="J761" s="11"/>
      <c r="K761" s="11"/>
      <c r="L761" s="11"/>
      <c r="M761" s="11"/>
      <c r="N761" s="11"/>
      <c r="O761" s="12"/>
      <c r="P761" s="11"/>
      <c r="Q761" s="13"/>
      <c r="R761" s="14"/>
    </row>
    <row r="762" spans="1:18" ht="15" customHeight="1">
      <c r="A762" s="17" t="s">
        <v>68</v>
      </c>
      <c r="B762" s="17" t="s">
        <v>408</v>
      </c>
      <c r="C762" s="18">
        <v>0.97222222222222221</v>
      </c>
      <c r="D762" s="17" t="s">
        <v>70</v>
      </c>
      <c r="E762" s="17" t="s">
        <v>57</v>
      </c>
      <c r="F762" s="17" t="s">
        <v>406</v>
      </c>
      <c r="G762" s="298"/>
      <c r="H762" s="10"/>
      <c r="I762" s="11"/>
      <c r="J762" s="11"/>
      <c r="K762" s="11"/>
      <c r="L762" s="11"/>
      <c r="M762" s="11"/>
      <c r="N762" s="11"/>
      <c r="O762" s="12"/>
      <c r="P762" s="11"/>
      <c r="Q762" s="13"/>
      <c r="R762" s="14"/>
    </row>
    <row r="763" spans="1:18" ht="15" customHeight="1">
      <c r="A763" s="17" t="s">
        <v>68</v>
      </c>
      <c r="B763" s="17" t="s">
        <v>437</v>
      </c>
      <c r="C763" s="18">
        <v>0.1041666666666667</v>
      </c>
      <c r="D763" s="17" t="s">
        <v>70</v>
      </c>
      <c r="E763" s="17" t="s">
        <v>57</v>
      </c>
      <c r="F763" s="17" t="s">
        <v>406</v>
      </c>
      <c r="G763" s="298"/>
      <c r="H763" s="10"/>
      <c r="I763" s="11"/>
      <c r="J763" s="11"/>
      <c r="K763" s="11"/>
      <c r="L763" s="11"/>
      <c r="M763" s="11"/>
      <c r="N763" s="11"/>
      <c r="O763" s="12"/>
      <c r="P763" s="11"/>
      <c r="Q763" s="13"/>
      <c r="R763" s="14"/>
    </row>
    <row r="764" spans="1:18" ht="15" customHeight="1">
      <c r="A764" s="17" t="s">
        <v>68</v>
      </c>
      <c r="B764" s="17" t="s">
        <v>411</v>
      </c>
      <c r="C764" s="18">
        <v>0.78472222222222221</v>
      </c>
      <c r="D764" s="17" t="s">
        <v>70</v>
      </c>
      <c r="E764" s="17" t="s">
        <v>57</v>
      </c>
      <c r="F764" s="17" t="s">
        <v>406</v>
      </c>
      <c r="G764" s="298"/>
      <c r="H764" s="10"/>
      <c r="I764" s="11"/>
      <c r="J764" s="11"/>
      <c r="K764" s="11"/>
      <c r="L764" s="11"/>
      <c r="M764" s="11"/>
      <c r="N764" s="11"/>
      <c r="O764" s="12"/>
      <c r="P764" s="11"/>
      <c r="Q764" s="13"/>
      <c r="R764" s="14"/>
    </row>
    <row r="765" spans="1:18" ht="15" customHeight="1">
      <c r="A765" s="17" t="s">
        <v>68</v>
      </c>
      <c r="B765" s="17" t="s">
        <v>410</v>
      </c>
      <c r="C765" s="18">
        <v>0.59722222222222221</v>
      </c>
      <c r="D765" s="17" t="s">
        <v>70</v>
      </c>
      <c r="E765" s="17" t="s">
        <v>57</v>
      </c>
      <c r="F765" s="17" t="s">
        <v>406</v>
      </c>
      <c r="G765" s="298"/>
      <c r="H765" s="10"/>
      <c r="I765" s="11"/>
      <c r="J765" s="11"/>
      <c r="K765" s="11"/>
      <c r="L765" s="11"/>
      <c r="M765" s="11"/>
      <c r="N765" s="11"/>
      <c r="O765" s="12"/>
      <c r="P765" s="11"/>
      <c r="Q765" s="13"/>
      <c r="R765" s="14"/>
    </row>
    <row r="766" spans="1:18" ht="15" customHeight="1">
      <c r="A766" s="17" t="s">
        <v>68</v>
      </c>
      <c r="B766" s="17" t="s">
        <v>413</v>
      </c>
      <c r="C766" s="18">
        <v>4.8611111111111112E-2</v>
      </c>
      <c r="D766" s="17" t="s">
        <v>70</v>
      </c>
      <c r="E766" s="17" t="s">
        <v>57</v>
      </c>
      <c r="F766" s="17" t="s">
        <v>406</v>
      </c>
      <c r="G766" s="298"/>
      <c r="H766" s="10"/>
      <c r="I766" s="11"/>
      <c r="J766" s="11"/>
      <c r="K766" s="11"/>
      <c r="L766" s="11"/>
      <c r="M766" s="11"/>
      <c r="N766" s="11"/>
      <c r="O766" s="12"/>
      <c r="P766" s="11"/>
      <c r="Q766" s="13"/>
      <c r="R766" s="14"/>
    </row>
    <row r="767" spans="1:18" ht="15" customHeight="1">
      <c r="A767" s="17" t="s">
        <v>68</v>
      </c>
      <c r="B767" s="17" t="s">
        <v>409</v>
      </c>
      <c r="C767" s="18">
        <v>0.34027777777777768</v>
      </c>
      <c r="D767" s="17" t="s">
        <v>70</v>
      </c>
      <c r="E767" s="17" t="s">
        <v>57</v>
      </c>
      <c r="F767" s="17" t="s">
        <v>412</v>
      </c>
      <c r="G767" s="298"/>
      <c r="H767" s="10"/>
      <c r="I767" s="11"/>
      <c r="J767" s="11"/>
      <c r="K767" s="11"/>
      <c r="L767" s="11"/>
      <c r="M767" s="11"/>
      <c r="N767" s="11"/>
      <c r="O767" s="12"/>
      <c r="P767" s="11"/>
      <c r="Q767" s="13"/>
      <c r="R767" s="14"/>
    </row>
    <row r="768" spans="1:18" ht="15" customHeight="1" thickBot="1">
      <c r="A768" s="96" t="s">
        <v>415</v>
      </c>
      <c r="B768" s="96" t="s">
        <v>416</v>
      </c>
      <c r="C768" s="97">
        <v>9.7222222222222224E-2</v>
      </c>
      <c r="D768" s="96" t="s">
        <v>63</v>
      </c>
      <c r="E768" s="96" t="s">
        <v>51</v>
      </c>
      <c r="F768" s="96" t="s">
        <v>417</v>
      </c>
      <c r="G768" s="299"/>
      <c r="H768" s="300"/>
      <c r="I768" s="140"/>
      <c r="J768" s="140"/>
      <c r="K768" s="140"/>
      <c r="L768" s="140"/>
      <c r="M768" s="140"/>
      <c r="N768" s="140"/>
      <c r="O768" s="141"/>
      <c r="P768" s="140"/>
      <c r="Q768" s="142"/>
      <c r="R768" s="301"/>
    </row>
    <row r="769" spans="1:18" ht="17.45" customHeight="1" thickBot="1">
      <c r="A769" s="283"/>
      <c r="B769" s="284"/>
      <c r="C769" s="284"/>
      <c r="D769" s="284"/>
      <c r="E769" s="284"/>
      <c r="F769" s="284"/>
      <c r="G769" s="284"/>
      <c r="H769" s="284"/>
      <c r="I769" s="284"/>
      <c r="J769" s="284"/>
      <c r="K769" s="284"/>
      <c r="L769" s="284"/>
      <c r="M769" s="284"/>
      <c r="N769" s="284"/>
      <c r="O769" s="284"/>
      <c r="P769" s="284"/>
      <c r="Q769" s="284"/>
      <c r="R769" s="285"/>
    </row>
    <row r="770" spans="1:18" ht="22.15" customHeight="1" thickTop="1" thickBot="1">
      <c r="A770" s="279" t="s">
        <v>6</v>
      </c>
      <c r="B770" s="295"/>
      <c r="C770" s="295"/>
      <c r="D770" s="295"/>
      <c r="E770" s="295"/>
      <c r="F770" s="296"/>
      <c r="G770" s="32">
        <v>46033</v>
      </c>
      <c r="H770" s="278" t="s">
        <v>7</v>
      </c>
      <c r="I770" s="295"/>
      <c r="J770" s="295"/>
      <c r="K770" s="295"/>
      <c r="L770" s="295"/>
      <c r="M770" s="295"/>
      <c r="N770" s="295"/>
      <c r="O770" s="295"/>
      <c r="P770" s="295"/>
      <c r="Q770" s="295"/>
      <c r="R770" s="296"/>
    </row>
    <row r="771" spans="1:18" ht="24" customHeight="1">
      <c r="A771" s="33" t="s">
        <v>8</v>
      </c>
      <c r="B771" s="33" t="s">
        <v>9</v>
      </c>
      <c r="C771" s="34" t="s">
        <v>10</v>
      </c>
      <c r="D771" s="33" t="s">
        <v>11</v>
      </c>
      <c r="E771" s="33" t="s">
        <v>12</v>
      </c>
      <c r="F771" s="35" t="s">
        <v>13</v>
      </c>
      <c r="G771" s="36" t="s">
        <v>14</v>
      </c>
      <c r="H771" s="33" t="s">
        <v>15</v>
      </c>
      <c r="I771" s="37" t="s">
        <v>16</v>
      </c>
      <c r="J771" s="38" t="s">
        <v>17</v>
      </c>
      <c r="K771" s="39" t="s">
        <v>18</v>
      </c>
      <c r="L771" s="38" t="s">
        <v>19</v>
      </c>
      <c r="M771" s="38" t="s">
        <v>20</v>
      </c>
      <c r="N771" s="38" t="s">
        <v>21</v>
      </c>
      <c r="O771" s="33" t="s">
        <v>22</v>
      </c>
      <c r="P771" s="34" t="s">
        <v>23</v>
      </c>
      <c r="Q771" s="38" t="s">
        <v>24</v>
      </c>
      <c r="R771" s="33" t="s">
        <v>25</v>
      </c>
    </row>
    <row r="772" spans="1:18" ht="15" customHeight="1">
      <c r="A772" s="8" t="s">
        <v>38</v>
      </c>
      <c r="B772" s="8" t="s">
        <v>344</v>
      </c>
      <c r="C772" s="9">
        <v>0.88888888888888884</v>
      </c>
      <c r="D772" s="8" t="s">
        <v>40</v>
      </c>
      <c r="E772" s="8" t="s">
        <v>41</v>
      </c>
      <c r="F772" s="8" t="s">
        <v>81</v>
      </c>
      <c r="G772" s="297"/>
      <c r="H772" s="10"/>
      <c r="I772" s="11"/>
      <c r="J772" s="11"/>
      <c r="K772" s="11"/>
      <c r="L772" s="11"/>
      <c r="M772" s="11"/>
      <c r="N772" s="11"/>
      <c r="O772" s="12"/>
      <c r="P772" s="11"/>
      <c r="Q772" s="13"/>
      <c r="R772" s="14"/>
    </row>
    <row r="773" spans="1:18" ht="15" customHeight="1">
      <c r="A773" s="15" t="s">
        <v>38</v>
      </c>
      <c r="B773" s="15" t="s">
        <v>344</v>
      </c>
      <c r="C773" s="16">
        <v>0.88888888888888884</v>
      </c>
      <c r="D773" s="15" t="s">
        <v>43</v>
      </c>
      <c r="E773" s="15" t="s">
        <v>44</v>
      </c>
      <c r="F773" s="15" t="s">
        <v>161</v>
      </c>
      <c r="G773" s="298"/>
      <c r="H773" s="10"/>
      <c r="I773" s="11"/>
      <c r="J773" s="11"/>
      <c r="K773" s="11"/>
      <c r="L773" s="11"/>
      <c r="M773" s="11"/>
      <c r="N773" s="11"/>
      <c r="O773" s="12"/>
      <c r="P773" s="11"/>
      <c r="Q773" s="13"/>
      <c r="R773" s="14"/>
    </row>
    <row r="774" spans="1:18" ht="15" customHeight="1">
      <c r="A774" s="15" t="s">
        <v>38</v>
      </c>
      <c r="B774" s="15" t="s">
        <v>344</v>
      </c>
      <c r="C774" s="16">
        <v>0.88888888888888884</v>
      </c>
      <c r="D774" s="15" t="s">
        <v>46</v>
      </c>
      <c r="E774" s="15" t="s">
        <v>44</v>
      </c>
      <c r="F774" s="15" t="s">
        <v>47</v>
      </c>
      <c r="G774" s="298"/>
      <c r="H774" s="10"/>
      <c r="I774" s="11"/>
      <c r="J774" s="11"/>
      <c r="K774" s="11"/>
      <c r="L774" s="11"/>
      <c r="M774" s="11"/>
      <c r="N774" s="11"/>
      <c r="O774" s="12"/>
      <c r="P774" s="11"/>
      <c r="Q774" s="13"/>
      <c r="R774" s="14"/>
    </row>
    <row r="775" spans="1:18" ht="15" customHeight="1">
      <c r="A775" s="17" t="s">
        <v>38</v>
      </c>
      <c r="B775" s="17" t="s">
        <v>345</v>
      </c>
      <c r="C775" s="18">
        <v>0.98958333333333337</v>
      </c>
      <c r="D775" s="17" t="s">
        <v>40</v>
      </c>
      <c r="E775" s="17" t="s">
        <v>125</v>
      </c>
      <c r="F775" s="17" t="s">
        <v>81</v>
      </c>
      <c r="G775" s="298"/>
      <c r="H775" s="10"/>
      <c r="I775" s="11"/>
      <c r="J775" s="11"/>
      <c r="K775" s="11"/>
      <c r="L775" s="11"/>
      <c r="M775" s="11"/>
      <c r="N775" s="11"/>
      <c r="O775" s="12"/>
      <c r="P775" s="11"/>
      <c r="Q775" s="13"/>
      <c r="R775" s="14"/>
    </row>
    <row r="776" spans="1:18" ht="15" customHeight="1">
      <c r="A776" s="15" t="s">
        <v>38</v>
      </c>
      <c r="B776" s="15" t="s">
        <v>345</v>
      </c>
      <c r="C776" s="16">
        <v>0.98958333333333337</v>
      </c>
      <c r="D776" s="15" t="s">
        <v>43</v>
      </c>
      <c r="E776" s="15" t="s">
        <v>44</v>
      </c>
      <c r="F776" s="15" t="s">
        <v>161</v>
      </c>
      <c r="G776" s="298"/>
      <c r="H776" s="10"/>
      <c r="I776" s="11"/>
      <c r="J776" s="11"/>
      <c r="K776" s="11"/>
      <c r="L776" s="11"/>
      <c r="M776" s="11"/>
      <c r="N776" s="11"/>
      <c r="O776" s="12"/>
      <c r="P776" s="11"/>
      <c r="Q776" s="13"/>
      <c r="R776" s="14"/>
    </row>
    <row r="777" spans="1:18" ht="15" customHeight="1">
      <c r="A777" s="15" t="s">
        <v>38</v>
      </c>
      <c r="B777" s="15" t="s">
        <v>345</v>
      </c>
      <c r="C777" s="16">
        <v>0.98958333333333337</v>
      </c>
      <c r="D777" s="15" t="s">
        <v>46</v>
      </c>
      <c r="E777" s="15" t="s">
        <v>44</v>
      </c>
      <c r="F777" s="15" t="s">
        <v>47</v>
      </c>
      <c r="G777" s="298"/>
      <c r="H777" s="10"/>
      <c r="I777" s="11"/>
      <c r="J777" s="11"/>
      <c r="K777" s="11"/>
      <c r="L777" s="11"/>
      <c r="M777" s="11"/>
      <c r="N777" s="11"/>
      <c r="O777" s="12"/>
      <c r="P777" s="11"/>
      <c r="Q777" s="13"/>
      <c r="R777" s="14"/>
    </row>
    <row r="778" spans="1:18" ht="15" customHeight="1">
      <c r="A778" s="17" t="s">
        <v>38</v>
      </c>
      <c r="B778" s="17" t="s">
        <v>346</v>
      </c>
      <c r="C778" s="18">
        <v>0.39930555555555558</v>
      </c>
      <c r="D778" s="17" t="s">
        <v>40</v>
      </c>
      <c r="E778" s="17" t="s">
        <v>125</v>
      </c>
      <c r="F778" s="17" t="s">
        <v>30</v>
      </c>
      <c r="G778" s="298"/>
      <c r="H778" s="10"/>
      <c r="I778" s="11"/>
      <c r="J778" s="11"/>
      <c r="K778" s="11"/>
      <c r="L778" s="11"/>
      <c r="M778" s="11"/>
      <c r="N778" s="11"/>
      <c r="O778" s="12"/>
      <c r="P778" s="11"/>
      <c r="Q778" s="13"/>
      <c r="R778" s="14"/>
    </row>
    <row r="779" spans="1:18" ht="15" customHeight="1">
      <c r="A779" s="15" t="s">
        <v>38</v>
      </c>
      <c r="B779" s="15" t="s">
        <v>346</v>
      </c>
      <c r="C779" s="16">
        <v>0.39930555555555558</v>
      </c>
      <c r="D779" s="15" t="s">
        <v>43</v>
      </c>
      <c r="E779" s="15" t="s">
        <v>44</v>
      </c>
      <c r="F779" s="15" t="s">
        <v>420</v>
      </c>
      <c r="G779" s="298"/>
      <c r="H779" s="10"/>
      <c r="I779" s="11"/>
      <c r="J779" s="11"/>
      <c r="K779" s="11"/>
      <c r="L779" s="11"/>
      <c r="M779" s="11"/>
      <c r="N779" s="11"/>
      <c r="O779" s="12"/>
      <c r="P779" s="11"/>
      <c r="Q779" s="13"/>
      <c r="R779" s="14"/>
    </row>
    <row r="780" spans="1:18" ht="15" customHeight="1">
      <c r="A780" s="15" t="s">
        <v>38</v>
      </c>
      <c r="B780" s="15" t="s">
        <v>346</v>
      </c>
      <c r="C780" s="16">
        <v>0.39930555555555558</v>
      </c>
      <c r="D780" s="15" t="s">
        <v>46</v>
      </c>
      <c r="E780" s="15" t="s">
        <v>44</v>
      </c>
      <c r="F780" s="15" t="s">
        <v>47</v>
      </c>
      <c r="G780" s="298"/>
      <c r="H780" s="10"/>
      <c r="I780" s="11"/>
      <c r="J780" s="11"/>
      <c r="K780" s="11"/>
      <c r="L780" s="11"/>
      <c r="M780" s="11"/>
      <c r="N780" s="11"/>
      <c r="O780" s="12"/>
      <c r="P780" s="11"/>
      <c r="Q780" s="13"/>
      <c r="R780" s="14"/>
    </row>
    <row r="781" spans="1:18" ht="15" customHeight="1">
      <c r="A781" s="17" t="s">
        <v>38</v>
      </c>
      <c r="B781" s="17" t="s">
        <v>342</v>
      </c>
      <c r="C781" s="18">
        <v>0.48958333333333331</v>
      </c>
      <c r="D781" s="17" t="s">
        <v>40</v>
      </c>
      <c r="E781" s="17" t="s">
        <v>441</v>
      </c>
      <c r="F781" s="17" t="s">
        <v>30</v>
      </c>
      <c r="G781" s="298"/>
      <c r="H781" s="10"/>
      <c r="I781" s="11"/>
      <c r="J781" s="11"/>
      <c r="K781" s="11"/>
      <c r="L781" s="11"/>
      <c r="M781" s="11"/>
      <c r="N781" s="11"/>
      <c r="O781" s="12"/>
      <c r="P781" s="11"/>
      <c r="Q781" s="13"/>
      <c r="R781" s="14"/>
    </row>
    <row r="782" spans="1:18" ht="15" customHeight="1">
      <c r="A782" s="15" t="s">
        <v>38</v>
      </c>
      <c r="B782" s="15" t="s">
        <v>342</v>
      </c>
      <c r="C782" s="16">
        <v>0.48958333333333331</v>
      </c>
      <c r="D782" s="15" t="s">
        <v>43</v>
      </c>
      <c r="E782" s="15" t="s">
        <v>132</v>
      </c>
      <c r="F782" s="15" t="s">
        <v>420</v>
      </c>
      <c r="G782" s="298"/>
      <c r="H782" s="10"/>
      <c r="I782" s="11"/>
      <c r="J782" s="11"/>
      <c r="K782" s="11"/>
      <c r="L782" s="11"/>
      <c r="M782" s="11"/>
      <c r="N782" s="11"/>
      <c r="O782" s="12"/>
      <c r="P782" s="11"/>
      <c r="Q782" s="13"/>
      <c r="R782" s="14"/>
    </row>
    <row r="783" spans="1:18" ht="15" customHeight="1">
      <c r="A783" s="15" t="s">
        <v>38</v>
      </c>
      <c r="B783" s="15" t="s">
        <v>342</v>
      </c>
      <c r="C783" s="16">
        <v>0.48958333333333331</v>
      </c>
      <c r="D783" s="15" t="s">
        <v>46</v>
      </c>
      <c r="E783" s="15" t="s">
        <v>132</v>
      </c>
      <c r="F783" s="15" t="s">
        <v>47</v>
      </c>
      <c r="G783" s="298"/>
      <c r="H783" s="10"/>
      <c r="I783" s="11"/>
      <c r="J783" s="11"/>
      <c r="K783" s="11"/>
      <c r="L783" s="11"/>
      <c r="M783" s="11"/>
      <c r="N783" s="11"/>
      <c r="O783" s="12"/>
      <c r="P783" s="11"/>
      <c r="Q783" s="13"/>
      <c r="R783" s="14"/>
    </row>
    <row r="784" spans="1:18" ht="15" customHeight="1">
      <c r="A784" s="19" t="s">
        <v>359</v>
      </c>
      <c r="B784" s="19" t="s">
        <v>360</v>
      </c>
      <c r="C784" s="20">
        <v>0.22916666666666671</v>
      </c>
      <c r="D784" s="19" t="s">
        <v>361</v>
      </c>
      <c r="E784" s="19" t="s">
        <v>80</v>
      </c>
      <c r="F784" s="19" t="s">
        <v>423</v>
      </c>
      <c r="G784" s="298"/>
      <c r="H784" s="10"/>
      <c r="I784" s="11"/>
      <c r="J784" s="11"/>
      <c r="K784" s="11"/>
      <c r="L784" s="11"/>
      <c r="M784" s="11"/>
      <c r="N784" s="11"/>
      <c r="O784" s="12"/>
      <c r="P784" s="11"/>
      <c r="Q784" s="13"/>
      <c r="R784" s="14"/>
    </row>
    <row r="785" spans="1:18" ht="15" customHeight="1">
      <c r="A785" s="15" t="s">
        <v>359</v>
      </c>
      <c r="B785" s="15" t="s">
        <v>360</v>
      </c>
      <c r="C785" s="16">
        <v>0.22916666666666671</v>
      </c>
      <c r="D785" s="15" t="s">
        <v>46</v>
      </c>
      <c r="E785" s="15" t="s">
        <v>82</v>
      </c>
      <c r="F785" s="15" t="s">
        <v>424</v>
      </c>
      <c r="G785" s="298"/>
      <c r="H785" s="10"/>
      <c r="I785" s="11"/>
      <c r="J785" s="11"/>
      <c r="K785" s="11"/>
      <c r="L785" s="11"/>
      <c r="M785" s="11"/>
      <c r="N785" s="11"/>
      <c r="O785" s="12"/>
      <c r="P785" s="11"/>
      <c r="Q785" s="13"/>
      <c r="R785" s="14"/>
    </row>
    <row r="786" spans="1:18" ht="15" customHeight="1">
      <c r="A786" s="49" t="s">
        <v>61</v>
      </c>
      <c r="B786" s="49" t="s">
        <v>432</v>
      </c>
      <c r="C786" s="50">
        <v>0.33333333333333331</v>
      </c>
      <c r="D786" s="49" t="s">
        <v>63</v>
      </c>
      <c r="E786" s="49" t="s">
        <v>103</v>
      </c>
      <c r="F786" s="49" t="s">
        <v>365</v>
      </c>
      <c r="G786" s="298"/>
      <c r="H786" s="51" t="s">
        <v>433</v>
      </c>
      <c r="I786" s="52">
        <v>5.5999999999999999E-3</v>
      </c>
      <c r="J786" s="53">
        <v>1</v>
      </c>
      <c r="K786" s="54">
        <v>46301</v>
      </c>
      <c r="L786" s="53">
        <v>1</v>
      </c>
      <c r="M786" s="53">
        <v>0</v>
      </c>
      <c r="N786" s="53">
        <v>0</v>
      </c>
      <c r="O786" s="55" t="s">
        <v>431</v>
      </c>
      <c r="P786" s="56">
        <v>0.33333333333333331</v>
      </c>
      <c r="Q786" s="53">
        <v>180</v>
      </c>
      <c r="R786" s="57" t="s">
        <v>430</v>
      </c>
    </row>
    <row r="787" spans="1:18" ht="15" customHeight="1">
      <c r="A787" s="150" t="s">
        <v>61</v>
      </c>
      <c r="B787" s="150" t="s">
        <v>375</v>
      </c>
      <c r="C787" s="151">
        <v>0.1423611111111111</v>
      </c>
      <c r="D787" s="150" t="s">
        <v>63</v>
      </c>
      <c r="E787" s="150" t="s">
        <v>200</v>
      </c>
      <c r="F787" s="150" t="s">
        <v>365</v>
      </c>
      <c r="G787" s="298"/>
      <c r="H787" s="80" t="s">
        <v>376</v>
      </c>
      <c r="I787" s="81">
        <v>0.26669999999999999</v>
      </c>
      <c r="J787" s="82">
        <v>48</v>
      </c>
      <c r="K787" s="83">
        <v>46344</v>
      </c>
      <c r="L787" s="82">
        <v>4</v>
      </c>
      <c r="M787" s="82">
        <v>0</v>
      </c>
      <c r="N787" s="82">
        <v>0</v>
      </c>
      <c r="O787" s="84" t="s">
        <v>446</v>
      </c>
      <c r="P787" s="85">
        <v>0.1423611111111111</v>
      </c>
      <c r="Q787" s="82">
        <v>180</v>
      </c>
      <c r="R787" s="86" t="s">
        <v>491</v>
      </c>
    </row>
    <row r="788" spans="1:18" ht="15" customHeight="1">
      <c r="A788" s="148" t="s">
        <v>61</v>
      </c>
      <c r="B788" s="148" t="s">
        <v>377</v>
      </c>
      <c r="C788" s="149">
        <v>0.4548611111111111</v>
      </c>
      <c r="D788" s="148" t="s">
        <v>63</v>
      </c>
      <c r="E788" s="148" t="s">
        <v>98</v>
      </c>
      <c r="F788" s="148" t="s">
        <v>365</v>
      </c>
      <c r="G788" s="298"/>
      <c r="H788" s="51" t="s">
        <v>378</v>
      </c>
      <c r="I788" s="52">
        <v>5.5999999999999999E-3</v>
      </c>
      <c r="J788" s="53">
        <v>1</v>
      </c>
      <c r="K788" s="54">
        <v>46326</v>
      </c>
      <c r="L788" s="53">
        <v>1</v>
      </c>
      <c r="M788" s="53">
        <v>0</v>
      </c>
      <c r="N788" s="53">
        <v>0</v>
      </c>
      <c r="O788" s="55" t="s">
        <v>431</v>
      </c>
      <c r="P788" s="56">
        <v>0.4548611111111111</v>
      </c>
      <c r="Q788" s="53">
        <v>180</v>
      </c>
      <c r="R788" s="57" t="s">
        <v>430</v>
      </c>
    </row>
    <row r="789" spans="1:18" ht="15" customHeight="1">
      <c r="A789" s="162" t="s">
        <v>61</v>
      </c>
      <c r="B789" s="162" t="s">
        <v>379</v>
      </c>
      <c r="C789" s="163">
        <v>0.82986111111111116</v>
      </c>
      <c r="D789" s="162" t="s">
        <v>63</v>
      </c>
      <c r="E789" s="162" t="s">
        <v>200</v>
      </c>
      <c r="F789" s="162" t="s">
        <v>365</v>
      </c>
      <c r="G789" s="298"/>
      <c r="H789" s="60" t="s">
        <v>380</v>
      </c>
      <c r="I789" s="61">
        <v>1.67E-2</v>
      </c>
      <c r="J789" s="62">
        <v>3</v>
      </c>
      <c r="K789" s="63">
        <v>46342</v>
      </c>
      <c r="L789" s="62">
        <v>3</v>
      </c>
      <c r="M789" s="62">
        <v>0</v>
      </c>
      <c r="N789" s="62">
        <v>0</v>
      </c>
      <c r="O789" s="64" t="s">
        <v>446</v>
      </c>
      <c r="P789" s="65">
        <v>0.82986111111111116</v>
      </c>
      <c r="Q789" s="62">
        <v>180</v>
      </c>
      <c r="R789" s="66" t="s">
        <v>446</v>
      </c>
    </row>
    <row r="790" spans="1:18" ht="15" customHeight="1">
      <c r="A790" s="150" t="s">
        <v>61</v>
      </c>
      <c r="B790" s="150" t="s">
        <v>369</v>
      </c>
      <c r="C790" s="151">
        <v>0.15625</v>
      </c>
      <c r="D790" s="150" t="s">
        <v>63</v>
      </c>
      <c r="E790" s="150" t="s">
        <v>57</v>
      </c>
      <c r="F790" s="150" t="s">
        <v>79</v>
      </c>
      <c r="G790" s="298"/>
      <c r="H790" s="80" t="s">
        <v>370</v>
      </c>
      <c r="I790" s="81">
        <v>0</v>
      </c>
      <c r="J790" s="82">
        <v>0</v>
      </c>
      <c r="K790" s="83" t="s">
        <v>66</v>
      </c>
      <c r="L790" s="82">
        <v>0</v>
      </c>
      <c r="M790" s="82">
        <v>0</v>
      </c>
      <c r="N790" s="82">
        <v>0</v>
      </c>
      <c r="O790" s="84" t="s">
        <v>292</v>
      </c>
      <c r="P790" s="85">
        <v>0.15625</v>
      </c>
      <c r="Q790" s="82">
        <v>180</v>
      </c>
      <c r="R790" s="86" t="s">
        <v>66</v>
      </c>
    </row>
    <row r="791" spans="1:18" ht="15" customHeight="1">
      <c r="A791" s="19" t="s">
        <v>26</v>
      </c>
      <c r="B791" s="19" t="s">
        <v>348</v>
      </c>
      <c r="C791" s="20">
        <v>0.99305555555555547</v>
      </c>
      <c r="D791" s="19" t="s">
        <v>28</v>
      </c>
      <c r="E791" s="19" t="s">
        <v>29</v>
      </c>
      <c r="F791" s="19" t="s">
        <v>83</v>
      </c>
      <c r="G791" s="298"/>
      <c r="H791" s="10"/>
      <c r="I791" s="11"/>
      <c r="J791" s="11"/>
      <c r="K791" s="11"/>
      <c r="L791" s="11"/>
      <c r="M791" s="11"/>
      <c r="N791" s="11"/>
      <c r="O791" s="12"/>
      <c r="P791" s="11"/>
      <c r="Q791" s="13"/>
      <c r="R791" s="14"/>
    </row>
    <row r="792" spans="1:18" ht="15" customHeight="1">
      <c r="A792" s="15" t="s">
        <v>26</v>
      </c>
      <c r="B792" s="15" t="s">
        <v>348</v>
      </c>
      <c r="C792" s="16">
        <v>0.99305555555555547</v>
      </c>
      <c r="D792" s="15" t="s">
        <v>31</v>
      </c>
      <c r="E792" s="15" t="s">
        <v>32</v>
      </c>
      <c r="F792" s="15" t="s">
        <v>159</v>
      </c>
      <c r="G792" s="298"/>
      <c r="H792" s="10"/>
      <c r="I792" s="11"/>
      <c r="J792" s="11"/>
      <c r="K792" s="11"/>
      <c r="L792" s="11"/>
      <c r="M792" s="11"/>
      <c r="N792" s="11"/>
      <c r="O792" s="12"/>
      <c r="P792" s="11"/>
      <c r="Q792" s="13"/>
      <c r="R792" s="14"/>
    </row>
    <row r="793" spans="1:18" ht="15" customHeight="1">
      <c r="A793" s="15" t="s">
        <v>26</v>
      </c>
      <c r="B793" s="15" t="s">
        <v>348</v>
      </c>
      <c r="C793" s="16">
        <v>0.99305555555555547</v>
      </c>
      <c r="D793" s="15" t="s">
        <v>34</v>
      </c>
      <c r="E793" s="15" t="s">
        <v>32</v>
      </c>
      <c r="F793" s="15" t="s">
        <v>355</v>
      </c>
      <c r="G793" s="298"/>
      <c r="H793" s="10"/>
      <c r="I793" s="11"/>
      <c r="J793" s="11"/>
      <c r="K793" s="11"/>
      <c r="L793" s="11"/>
      <c r="M793" s="11"/>
      <c r="N793" s="11"/>
      <c r="O793" s="12"/>
      <c r="P793" s="11"/>
      <c r="Q793" s="13"/>
      <c r="R793" s="14"/>
    </row>
    <row r="794" spans="1:18" ht="15" customHeight="1">
      <c r="A794" s="17" t="s">
        <v>26</v>
      </c>
      <c r="B794" s="17" t="s">
        <v>350</v>
      </c>
      <c r="C794" s="18">
        <v>0.73611111111111116</v>
      </c>
      <c r="D794" s="17" t="s">
        <v>28</v>
      </c>
      <c r="E794" s="17" t="s">
        <v>200</v>
      </c>
      <c r="F794" s="17" t="s">
        <v>83</v>
      </c>
      <c r="G794" s="298"/>
      <c r="H794" s="10"/>
      <c r="I794" s="11"/>
      <c r="J794" s="11"/>
      <c r="K794" s="11"/>
      <c r="L794" s="11"/>
      <c r="M794" s="11"/>
      <c r="N794" s="11"/>
      <c r="O794" s="12"/>
      <c r="P794" s="11"/>
      <c r="Q794" s="13"/>
      <c r="R794" s="14"/>
    </row>
    <row r="795" spans="1:18" ht="15" customHeight="1">
      <c r="A795" s="15" t="s">
        <v>26</v>
      </c>
      <c r="B795" s="15" t="s">
        <v>350</v>
      </c>
      <c r="C795" s="16">
        <v>0.73611111111111116</v>
      </c>
      <c r="D795" s="15" t="s">
        <v>31</v>
      </c>
      <c r="E795" s="15" t="s">
        <v>127</v>
      </c>
      <c r="F795" s="15" t="s">
        <v>159</v>
      </c>
      <c r="G795" s="298"/>
      <c r="H795" s="10"/>
      <c r="I795" s="11"/>
      <c r="J795" s="11"/>
      <c r="K795" s="11"/>
      <c r="L795" s="11"/>
      <c r="M795" s="11"/>
      <c r="N795" s="11"/>
      <c r="O795" s="12"/>
      <c r="P795" s="11"/>
      <c r="Q795" s="13"/>
      <c r="R795" s="14"/>
    </row>
    <row r="796" spans="1:18" ht="15" customHeight="1">
      <c r="A796" s="15" t="s">
        <v>26</v>
      </c>
      <c r="B796" s="15" t="s">
        <v>350</v>
      </c>
      <c r="C796" s="16">
        <v>0.73611111111111116</v>
      </c>
      <c r="D796" s="15" t="s">
        <v>34</v>
      </c>
      <c r="E796" s="15" t="s">
        <v>127</v>
      </c>
      <c r="F796" s="15" t="s">
        <v>355</v>
      </c>
      <c r="G796" s="298"/>
      <c r="H796" s="10"/>
      <c r="I796" s="11"/>
      <c r="J796" s="11"/>
      <c r="K796" s="11"/>
      <c r="L796" s="11"/>
      <c r="M796" s="11"/>
      <c r="N796" s="11"/>
      <c r="O796" s="12"/>
      <c r="P796" s="11"/>
      <c r="Q796" s="13"/>
      <c r="R796" s="14"/>
    </row>
    <row r="797" spans="1:18" ht="15" customHeight="1">
      <c r="A797" s="17" t="s">
        <v>26</v>
      </c>
      <c r="B797" s="17" t="s">
        <v>351</v>
      </c>
      <c r="C797" s="18">
        <v>0.83680555555555547</v>
      </c>
      <c r="D797" s="17" t="s">
        <v>28</v>
      </c>
      <c r="E797" s="17" t="s">
        <v>37</v>
      </c>
      <c r="F797" s="17" t="s">
        <v>83</v>
      </c>
      <c r="G797" s="298"/>
      <c r="H797" s="10"/>
      <c r="I797" s="11"/>
      <c r="J797" s="11"/>
      <c r="K797" s="11"/>
      <c r="L797" s="11"/>
      <c r="M797" s="11"/>
      <c r="N797" s="11"/>
      <c r="O797" s="12"/>
      <c r="P797" s="11"/>
      <c r="Q797" s="13"/>
      <c r="R797" s="14"/>
    </row>
    <row r="798" spans="1:18" ht="15" customHeight="1">
      <c r="A798" s="15" t="s">
        <v>26</v>
      </c>
      <c r="B798" s="15" t="s">
        <v>351</v>
      </c>
      <c r="C798" s="16">
        <v>0.83680555555555547</v>
      </c>
      <c r="D798" s="15" t="s">
        <v>31</v>
      </c>
      <c r="E798" s="15" t="s">
        <v>32</v>
      </c>
      <c r="F798" s="15" t="s">
        <v>159</v>
      </c>
      <c r="G798" s="298"/>
      <c r="H798" s="10"/>
      <c r="I798" s="11"/>
      <c r="J798" s="11"/>
      <c r="K798" s="11"/>
      <c r="L798" s="11"/>
      <c r="M798" s="11"/>
      <c r="N798" s="11"/>
      <c r="O798" s="12"/>
      <c r="P798" s="11"/>
      <c r="Q798" s="13"/>
      <c r="R798" s="14"/>
    </row>
    <row r="799" spans="1:18" ht="15" customHeight="1">
      <c r="A799" s="15" t="s">
        <v>26</v>
      </c>
      <c r="B799" s="15" t="s">
        <v>351</v>
      </c>
      <c r="C799" s="16">
        <v>0.83680555555555547</v>
      </c>
      <c r="D799" s="15" t="s">
        <v>34</v>
      </c>
      <c r="E799" s="15" t="s">
        <v>32</v>
      </c>
      <c r="F799" s="15" t="s">
        <v>355</v>
      </c>
      <c r="G799" s="298"/>
      <c r="H799" s="10"/>
      <c r="I799" s="11"/>
      <c r="J799" s="11"/>
      <c r="K799" s="11"/>
      <c r="L799" s="11"/>
      <c r="M799" s="11"/>
      <c r="N799" s="11"/>
      <c r="O799" s="12"/>
      <c r="P799" s="11"/>
      <c r="Q799" s="13"/>
      <c r="R799" s="14"/>
    </row>
    <row r="800" spans="1:18" ht="15" customHeight="1">
      <c r="A800" s="17" t="s">
        <v>26</v>
      </c>
      <c r="B800" s="17" t="s">
        <v>353</v>
      </c>
      <c r="C800" s="18">
        <v>0.88888888888888884</v>
      </c>
      <c r="D800" s="17" t="s">
        <v>28</v>
      </c>
      <c r="E800" s="17" t="s">
        <v>37</v>
      </c>
      <c r="F800" s="17" t="s">
        <v>83</v>
      </c>
      <c r="G800" s="298"/>
      <c r="H800" s="10"/>
      <c r="I800" s="11"/>
      <c r="J800" s="11"/>
      <c r="K800" s="11"/>
      <c r="L800" s="11"/>
      <c r="M800" s="11"/>
      <c r="N800" s="11"/>
      <c r="O800" s="12"/>
      <c r="P800" s="11"/>
      <c r="Q800" s="13"/>
      <c r="R800" s="14"/>
    </row>
    <row r="801" spans="1:18" ht="15" customHeight="1">
      <c r="A801" s="15" t="s">
        <v>26</v>
      </c>
      <c r="B801" s="15" t="s">
        <v>353</v>
      </c>
      <c r="C801" s="16">
        <v>0.88888888888888884</v>
      </c>
      <c r="D801" s="15" t="s">
        <v>31</v>
      </c>
      <c r="E801" s="15" t="s">
        <v>32</v>
      </c>
      <c r="F801" s="15" t="s">
        <v>159</v>
      </c>
      <c r="G801" s="298"/>
      <c r="H801" s="10"/>
      <c r="I801" s="11"/>
      <c r="J801" s="11"/>
      <c r="K801" s="11"/>
      <c r="L801" s="11"/>
      <c r="M801" s="11"/>
      <c r="N801" s="11"/>
      <c r="O801" s="12"/>
      <c r="P801" s="11"/>
      <c r="Q801" s="13"/>
      <c r="R801" s="14"/>
    </row>
    <row r="802" spans="1:18" ht="15" customHeight="1">
      <c r="A802" s="15" t="s">
        <v>26</v>
      </c>
      <c r="B802" s="15" t="s">
        <v>353</v>
      </c>
      <c r="C802" s="16">
        <v>0.88888888888888884</v>
      </c>
      <c r="D802" s="15" t="s">
        <v>34</v>
      </c>
      <c r="E802" s="15" t="s">
        <v>32</v>
      </c>
      <c r="F802" s="15" t="s">
        <v>355</v>
      </c>
      <c r="G802" s="298"/>
      <c r="H802" s="10"/>
      <c r="I802" s="11"/>
      <c r="J802" s="11"/>
      <c r="K802" s="11"/>
      <c r="L802" s="11"/>
      <c r="M802" s="11"/>
      <c r="N802" s="11"/>
      <c r="O802" s="12"/>
      <c r="P802" s="11"/>
      <c r="Q802" s="13"/>
      <c r="R802" s="14"/>
    </row>
    <row r="803" spans="1:18" ht="15" customHeight="1">
      <c r="A803" s="17" t="s">
        <v>26</v>
      </c>
      <c r="B803" s="17" t="s">
        <v>356</v>
      </c>
      <c r="C803" s="18">
        <v>0.4861111111111111</v>
      </c>
      <c r="D803" s="17" t="s">
        <v>28</v>
      </c>
      <c r="E803" s="17" t="s">
        <v>200</v>
      </c>
      <c r="F803" s="17" t="s">
        <v>79</v>
      </c>
      <c r="G803" s="298"/>
      <c r="H803" s="10"/>
      <c r="I803" s="11"/>
      <c r="J803" s="11"/>
      <c r="K803" s="11"/>
      <c r="L803" s="11"/>
      <c r="M803" s="11"/>
      <c r="N803" s="11"/>
      <c r="O803" s="12"/>
      <c r="P803" s="11"/>
      <c r="Q803" s="13"/>
      <c r="R803" s="14"/>
    </row>
    <row r="804" spans="1:18" ht="15" customHeight="1">
      <c r="A804" s="15" t="s">
        <v>26</v>
      </c>
      <c r="B804" s="15" t="s">
        <v>356</v>
      </c>
      <c r="C804" s="16">
        <v>0.4861111111111111</v>
      </c>
      <c r="D804" s="15" t="s">
        <v>31</v>
      </c>
      <c r="E804" s="15" t="s">
        <v>127</v>
      </c>
      <c r="F804" s="15" t="s">
        <v>123</v>
      </c>
      <c r="G804" s="298"/>
      <c r="H804" s="10"/>
      <c r="I804" s="11"/>
      <c r="J804" s="11"/>
      <c r="K804" s="11"/>
      <c r="L804" s="11"/>
      <c r="M804" s="11"/>
      <c r="N804" s="11"/>
      <c r="O804" s="12"/>
      <c r="P804" s="11"/>
      <c r="Q804" s="13"/>
      <c r="R804" s="14"/>
    </row>
    <row r="805" spans="1:18" ht="15" customHeight="1">
      <c r="A805" s="15" t="s">
        <v>26</v>
      </c>
      <c r="B805" s="15" t="s">
        <v>356</v>
      </c>
      <c r="C805" s="16">
        <v>0.4861111111111111</v>
      </c>
      <c r="D805" s="15" t="s">
        <v>34</v>
      </c>
      <c r="E805" s="15" t="s">
        <v>127</v>
      </c>
      <c r="F805" s="15" t="s">
        <v>118</v>
      </c>
      <c r="G805" s="298"/>
      <c r="H805" s="10"/>
      <c r="I805" s="11"/>
      <c r="J805" s="11"/>
      <c r="K805" s="11"/>
      <c r="L805" s="11"/>
      <c r="M805" s="11"/>
      <c r="N805" s="11"/>
      <c r="O805" s="12"/>
      <c r="P805" s="11"/>
      <c r="Q805" s="13"/>
      <c r="R805" s="14"/>
    </row>
    <row r="806" spans="1:18" ht="15" customHeight="1">
      <c r="A806" s="17" t="s">
        <v>26</v>
      </c>
      <c r="B806" s="17" t="s">
        <v>352</v>
      </c>
      <c r="C806" s="18">
        <v>0.94444444444444453</v>
      </c>
      <c r="D806" s="17" t="s">
        <v>28</v>
      </c>
      <c r="E806" s="17" t="s">
        <v>90</v>
      </c>
      <c r="F806" s="17" t="s">
        <v>45</v>
      </c>
      <c r="G806" s="298"/>
      <c r="H806" s="10"/>
      <c r="I806" s="11"/>
      <c r="J806" s="11"/>
      <c r="K806" s="11"/>
      <c r="L806" s="11"/>
      <c r="M806" s="11"/>
      <c r="N806" s="11"/>
      <c r="O806" s="12"/>
      <c r="P806" s="11"/>
      <c r="Q806" s="13"/>
      <c r="R806" s="14"/>
    </row>
    <row r="807" spans="1:18" ht="15" customHeight="1">
      <c r="A807" s="15" t="s">
        <v>26</v>
      </c>
      <c r="B807" s="15" t="s">
        <v>352</v>
      </c>
      <c r="C807" s="16">
        <v>0.94444444444444453</v>
      </c>
      <c r="D807" s="15" t="s">
        <v>31</v>
      </c>
      <c r="E807" s="15" t="s">
        <v>82</v>
      </c>
      <c r="F807" s="15" t="s">
        <v>355</v>
      </c>
      <c r="G807" s="298"/>
      <c r="H807" s="10"/>
      <c r="I807" s="11"/>
      <c r="J807" s="11"/>
      <c r="K807" s="11"/>
      <c r="L807" s="11"/>
      <c r="M807" s="11"/>
      <c r="N807" s="11"/>
      <c r="O807" s="12"/>
      <c r="P807" s="11"/>
      <c r="Q807" s="13"/>
      <c r="R807" s="14"/>
    </row>
    <row r="808" spans="1:18" ht="15" customHeight="1">
      <c r="A808" s="15" t="s">
        <v>26</v>
      </c>
      <c r="B808" s="15" t="s">
        <v>352</v>
      </c>
      <c r="C808" s="16">
        <v>0.94444444444444453</v>
      </c>
      <c r="D808" s="15" t="s">
        <v>34</v>
      </c>
      <c r="E808" s="15" t="s">
        <v>82</v>
      </c>
      <c r="F808" s="15" t="s">
        <v>358</v>
      </c>
      <c r="G808" s="298"/>
      <c r="H808" s="10"/>
      <c r="I808" s="11"/>
      <c r="J808" s="11"/>
      <c r="K808" s="11"/>
      <c r="L808" s="11"/>
      <c r="M808" s="11"/>
      <c r="N808" s="11"/>
      <c r="O808" s="12"/>
      <c r="P808" s="11"/>
      <c r="Q808" s="13"/>
      <c r="R808" s="14"/>
    </row>
    <row r="809" spans="1:18" ht="15" customHeight="1">
      <c r="A809" s="17" t="s">
        <v>26</v>
      </c>
      <c r="B809" s="17" t="s">
        <v>357</v>
      </c>
      <c r="C809" s="18">
        <v>0.3923611111111111</v>
      </c>
      <c r="D809" s="17" t="s">
        <v>28</v>
      </c>
      <c r="E809" s="17" t="s">
        <v>90</v>
      </c>
      <c r="F809" s="17" t="s">
        <v>45</v>
      </c>
      <c r="G809" s="298"/>
      <c r="H809" s="10"/>
      <c r="I809" s="11"/>
      <c r="J809" s="11"/>
      <c r="K809" s="11"/>
      <c r="L809" s="11"/>
      <c r="M809" s="11"/>
      <c r="N809" s="11"/>
      <c r="O809" s="12"/>
      <c r="P809" s="11"/>
      <c r="Q809" s="13"/>
      <c r="R809" s="14"/>
    </row>
    <row r="810" spans="1:18" ht="15" customHeight="1">
      <c r="A810" s="15" t="s">
        <v>26</v>
      </c>
      <c r="B810" s="15" t="s">
        <v>357</v>
      </c>
      <c r="C810" s="16">
        <v>0.3923611111111111</v>
      </c>
      <c r="D810" s="15" t="s">
        <v>31</v>
      </c>
      <c r="E810" s="15" t="s">
        <v>82</v>
      </c>
      <c r="F810" s="15" t="s">
        <v>355</v>
      </c>
      <c r="G810" s="298"/>
      <c r="H810" s="10"/>
      <c r="I810" s="11"/>
      <c r="J810" s="11"/>
      <c r="K810" s="11"/>
      <c r="L810" s="11"/>
      <c r="M810" s="11"/>
      <c r="N810" s="11"/>
      <c r="O810" s="12"/>
      <c r="P810" s="11"/>
      <c r="Q810" s="13"/>
      <c r="R810" s="14"/>
    </row>
    <row r="811" spans="1:18" ht="15" customHeight="1">
      <c r="A811" s="15" t="s">
        <v>26</v>
      </c>
      <c r="B811" s="15" t="s">
        <v>357</v>
      </c>
      <c r="C811" s="16">
        <v>0.3923611111111111</v>
      </c>
      <c r="D811" s="15" t="s">
        <v>34</v>
      </c>
      <c r="E811" s="15" t="s">
        <v>82</v>
      </c>
      <c r="F811" s="15" t="s">
        <v>358</v>
      </c>
      <c r="G811" s="298"/>
      <c r="H811" s="10"/>
      <c r="I811" s="11"/>
      <c r="J811" s="11"/>
      <c r="K811" s="11"/>
      <c r="L811" s="11"/>
      <c r="M811" s="11"/>
      <c r="N811" s="11"/>
      <c r="O811" s="12"/>
      <c r="P811" s="11"/>
      <c r="Q811" s="13"/>
      <c r="R811" s="14"/>
    </row>
    <row r="812" spans="1:18" ht="15" customHeight="1">
      <c r="A812" s="17" t="s">
        <v>26</v>
      </c>
      <c r="B812" s="17" t="s">
        <v>354</v>
      </c>
      <c r="C812" s="18">
        <v>0.34722222222222232</v>
      </c>
      <c r="D812" s="17" t="s">
        <v>28</v>
      </c>
      <c r="E812" s="17" t="s">
        <v>200</v>
      </c>
      <c r="F812" s="17" t="s">
        <v>455</v>
      </c>
      <c r="G812" s="298"/>
      <c r="H812" s="10"/>
      <c r="I812" s="11"/>
      <c r="J812" s="11"/>
      <c r="K812" s="11"/>
      <c r="L812" s="11"/>
      <c r="M812" s="11"/>
      <c r="N812" s="11"/>
      <c r="O812" s="12"/>
      <c r="P812" s="11"/>
      <c r="Q812" s="13"/>
      <c r="R812" s="14"/>
    </row>
    <row r="813" spans="1:18" ht="15" customHeight="1">
      <c r="A813" s="15" t="s">
        <v>26</v>
      </c>
      <c r="B813" s="15" t="s">
        <v>354</v>
      </c>
      <c r="C813" s="16">
        <v>0.34722222222222232</v>
      </c>
      <c r="D813" s="15" t="s">
        <v>31</v>
      </c>
      <c r="E813" s="15" t="s">
        <v>127</v>
      </c>
      <c r="F813" s="15" t="s">
        <v>456</v>
      </c>
      <c r="G813" s="298"/>
      <c r="H813" s="10"/>
      <c r="I813" s="11"/>
      <c r="J813" s="11"/>
      <c r="K813" s="11"/>
      <c r="L813" s="11"/>
      <c r="M813" s="11"/>
      <c r="N813" s="11"/>
      <c r="O813" s="12"/>
      <c r="P813" s="11"/>
      <c r="Q813" s="13"/>
      <c r="R813" s="14"/>
    </row>
    <row r="814" spans="1:18" ht="15" customHeight="1">
      <c r="A814" s="15" t="s">
        <v>26</v>
      </c>
      <c r="B814" s="15" t="s">
        <v>354</v>
      </c>
      <c r="C814" s="16">
        <v>0.34722222222222232</v>
      </c>
      <c r="D814" s="15" t="s">
        <v>34</v>
      </c>
      <c r="E814" s="15" t="s">
        <v>127</v>
      </c>
      <c r="F814" s="15" t="s">
        <v>457</v>
      </c>
      <c r="G814" s="298"/>
      <c r="H814" s="10"/>
      <c r="I814" s="11"/>
      <c r="J814" s="11"/>
      <c r="K814" s="11"/>
      <c r="L814" s="11"/>
      <c r="M814" s="11"/>
      <c r="N814" s="11"/>
      <c r="O814" s="12"/>
      <c r="P814" s="11"/>
      <c r="Q814" s="13"/>
      <c r="R814" s="14"/>
    </row>
    <row r="815" spans="1:18" ht="15" customHeight="1">
      <c r="A815" s="19" t="s">
        <v>48</v>
      </c>
      <c r="B815" s="19" t="s">
        <v>386</v>
      </c>
      <c r="C815" s="20">
        <v>0.82986111111111116</v>
      </c>
      <c r="D815" s="19" t="s">
        <v>50</v>
      </c>
      <c r="E815" s="19" t="s">
        <v>51</v>
      </c>
      <c r="F815" s="19" t="s">
        <v>383</v>
      </c>
      <c r="G815" s="298"/>
      <c r="H815" s="10"/>
      <c r="I815" s="11"/>
      <c r="J815" s="11"/>
      <c r="K815" s="11"/>
      <c r="L815" s="11"/>
      <c r="M815" s="11"/>
      <c r="N815" s="11"/>
      <c r="O815" s="12"/>
      <c r="P815" s="11"/>
      <c r="Q815" s="13"/>
      <c r="R815" s="14"/>
    </row>
    <row r="816" spans="1:18" ht="15" customHeight="1">
      <c r="A816" s="15" t="s">
        <v>48</v>
      </c>
      <c r="B816" s="15" t="s">
        <v>386</v>
      </c>
      <c r="C816" s="16">
        <v>0.82986111111111116</v>
      </c>
      <c r="D816" s="15" t="s">
        <v>53</v>
      </c>
      <c r="E816" s="15" t="s">
        <v>54</v>
      </c>
      <c r="F816" s="15" t="s">
        <v>384</v>
      </c>
      <c r="G816" s="298"/>
      <c r="H816" s="10"/>
      <c r="I816" s="11"/>
      <c r="J816" s="11"/>
      <c r="K816" s="11"/>
      <c r="L816" s="11"/>
      <c r="M816" s="11"/>
      <c r="N816" s="11"/>
      <c r="O816" s="12"/>
      <c r="P816" s="11"/>
      <c r="Q816" s="13"/>
      <c r="R816" s="14"/>
    </row>
    <row r="817" spans="1:18" ht="15" customHeight="1">
      <c r="A817" s="17" t="s">
        <v>48</v>
      </c>
      <c r="B817" s="17" t="s">
        <v>385</v>
      </c>
      <c r="C817" s="18">
        <v>0.94097222222222221</v>
      </c>
      <c r="D817" s="17" t="s">
        <v>50</v>
      </c>
      <c r="E817" s="17" t="s">
        <v>57</v>
      </c>
      <c r="F817" s="17" t="s">
        <v>383</v>
      </c>
      <c r="G817" s="298"/>
      <c r="H817" s="10"/>
      <c r="I817" s="11"/>
      <c r="J817" s="11"/>
      <c r="K817" s="11"/>
      <c r="L817" s="11"/>
      <c r="M817" s="11"/>
      <c r="N817" s="11"/>
      <c r="O817" s="12"/>
      <c r="P817" s="11"/>
      <c r="Q817" s="13"/>
      <c r="R817" s="14"/>
    </row>
    <row r="818" spans="1:18" ht="15" customHeight="1">
      <c r="A818" s="15" t="s">
        <v>48</v>
      </c>
      <c r="B818" s="15" t="s">
        <v>385</v>
      </c>
      <c r="C818" s="16">
        <v>0.94097222222222221</v>
      </c>
      <c r="D818" s="15" t="s">
        <v>53</v>
      </c>
      <c r="E818" s="15" t="s">
        <v>54</v>
      </c>
      <c r="F818" s="15" t="s">
        <v>384</v>
      </c>
      <c r="G818" s="298"/>
      <c r="H818" s="10"/>
      <c r="I818" s="11"/>
      <c r="J818" s="11"/>
      <c r="K818" s="11"/>
      <c r="L818" s="11"/>
      <c r="M818" s="11"/>
      <c r="N818" s="11"/>
      <c r="O818" s="12"/>
      <c r="P818" s="11"/>
      <c r="Q818" s="13"/>
      <c r="R818" s="14"/>
    </row>
    <row r="819" spans="1:18" ht="15" customHeight="1">
      <c r="A819" s="17" t="s">
        <v>48</v>
      </c>
      <c r="B819" s="17" t="s">
        <v>388</v>
      </c>
      <c r="C819" s="18">
        <v>0.72222222222222221</v>
      </c>
      <c r="D819" s="17" t="s">
        <v>50</v>
      </c>
      <c r="E819" s="17" t="s">
        <v>57</v>
      </c>
      <c r="F819" s="17" t="s">
        <v>79</v>
      </c>
      <c r="G819" s="298"/>
      <c r="H819" s="10"/>
      <c r="I819" s="11"/>
      <c r="J819" s="11"/>
      <c r="K819" s="11"/>
      <c r="L819" s="11"/>
      <c r="M819" s="11"/>
      <c r="N819" s="11"/>
      <c r="O819" s="12"/>
      <c r="P819" s="11"/>
      <c r="Q819" s="13"/>
      <c r="R819" s="14"/>
    </row>
    <row r="820" spans="1:18" ht="15" customHeight="1">
      <c r="A820" s="15" t="s">
        <v>48</v>
      </c>
      <c r="B820" s="15" t="s">
        <v>388</v>
      </c>
      <c r="C820" s="16">
        <v>0.72222222222222221</v>
      </c>
      <c r="D820" s="15" t="s">
        <v>53</v>
      </c>
      <c r="E820" s="15" t="s">
        <v>54</v>
      </c>
      <c r="F820" s="15" t="s">
        <v>387</v>
      </c>
      <c r="G820" s="298"/>
      <c r="H820" s="10"/>
      <c r="I820" s="11"/>
      <c r="J820" s="11"/>
      <c r="K820" s="11"/>
      <c r="L820" s="11"/>
      <c r="M820" s="11"/>
      <c r="N820" s="11"/>
      <c r="O820" s="12"/>
      <c r="P820" s="11"/>
      <c r="Q820" s="13"/>
      <c r="R820" s="14"/>
    </row>
    <row r="821" spans="1:18" ht="15" customHeight="1">
      <c r="A821" s="17" t="s">
        <v>48</v>
      </c>
      <c r="B821" s="17" t="s">
        <v>390</v>
      </c>
      <c r="C821" s="18">
        <v>4.1666666666666657E-2</v>
      </c>
      <c r="D821" s="17" t="s">
        <v>50</v>
      </c>
      <c r="E821" s="17" t="s">
        <v>57</v>
      </c>
      <c r="F821" s="17" t="s">
        <v>79</v>
      </c>
      <c r="G821" s="298"/>
      <c r="H821" s="10"/>
      <c r="I821" s="11"/>
      <c r="J821" s="11"/>
      <c r="K821" s="11"/>
      <c r="L821" s="11"/>
      <c r="M821" s="11"/>
      <c r="N821" s="11"/>
      <c r="O821" s="12"/>
      <c r="P821" s="11"/>
      <c r="Q821" s="13"/>
      <c r="R821" s="14"/>
    </row>
    <row r="822" spans="1:18" ht="15" customHeight="1">
      <c r="A822" s="15" t="s">
        <v>48</v>
      </c>
      <c r="B822" s="15" t="s">
        <v>390</v>
      </c>
      <c r="C822" s="16">
        <v>4.1666666666666657E-2</v>
      </c>
      <c r="D822" s="15" t="s">
        <v>53</v>
      </c>
      <c r="E822" s="15" t="s">
        <v>54</v>
      </c>
      <c r="F822" s="15" t="s">
        <v>387</v>
      </c>
      <c r="G822" s="298"/>
      <c r="H822" s="10"/>
      <c r="I822" s="11"/>
      <c r="J822" s="11"/>
      <c r="K822" s="11"/>
      <c r="L822" s="11"/>
      <c r="M822" s="11"/>
      <c r="N822" s="11"/>
      <c r="O822" s="12"/>
      <c r="P822" s="11"/>
      <c r="Q822" s="13"/>
      <c r="R822" s="14"/>
    </row>
    <row r="823" spans="1:18" ht="15" customHeight="1">
      <c r="A823" s="17" t="s">
        <v>48</v>
      </c>
      <c r="B823" s="17" t="s">
        <v>382</v>
      </c>
      <c r="C823" s="18">
        <v>0.11805555555555559</v>
      </c>
      <c r="D823" s="17" t="s">
        <v>50</v>
      </c>
      <c r="E823" s="17" t="s">
        <v>57</v>
      </c>
      <c r="F823" s="17" t="s">
        <v>462</v>
      </c>
      <c r="G823" s="298"/>
      <c r="H823" s="10"/>
      <c r="I823" s="11"/>
      <c r="J823" s="11"/>
      <c r="K823" s="11"/>
      <c r="L823" s="11"/>
      <c r="M823" s="11"/>
      <c r="N823" s="11"/>
      <c r="O823" s="12"/>
      <c r="P823" s="11"/>
      <c r="Q823" s="13"/>
      <c r="R823" s="14"/>
    </row>
    <row r="824" spans="1:18" ht="15" customHeight="1">
      <c r="A824" s="15" t="s">
        <v>48</v>
      </c>
      <c r="B824" s="15" t="s">
        <v>382</v>
      </c>
      <c r="C824" s="16">
        <v>0.11805555555555559</v>
      </c>
      <c r="D824" s="15" t="s">
        <v>53</v>
      </c>
      <c r="E824" s="15" t="s">
        <v>54</v>
      </c>
      <c r="F824" s="15" t="s">
        <v>463</v>
      </c>
      <c r="G824" s="298"/>
      <c r="H824" s="10"/>
      <c r="I824" s="11"/>
      <c r="J824" s="11"/>
      <c r="K824" s="11"/>
      <c r="L824" s="11"/>
      <c r="M824" s="11"/>
      <c r="N824" s="11"/>
      <c r="O824" s="12"/>
      <c r="P824" s="11"/>
      <c r="Q824" s="13"/>
      <c r="R824" s="14"/>
    </row>
    <row r="825" spans="1:18" ht="15" customHeight="1">
      <c r="A825" s="17" t="s">
        <v>48</v>
      </c>
      <c r="B825" s="17" t="s">
        <v>389</v>
      </c>
      <c r="C825" s="18">
        <v>0.70138888888888884</v>
      </c>
      <c r="D825" s="17" t="s">
        <v>50</v>
      </c>
      <c r="E825" s="17" t="s">
        <v>57</v>
      </c>
      <c r="F825" s="17" t="s">
        <v>462</v>
      </c>
      <c r="G825" s="298"/>
      <c r="H825" s="10"/>
      <c r="I825" s="11"/>
      <c r="J825" s="11"/>
      <c r="K825" s="11"/>
      <c r="L825" s="11"/>
      <c r="M825" s="11"/>
      <c r="N825" s="11"/>
      <c r="O825" s="12"/>
      <c r="P825" s="11"/>
      <c r="Q825" s="13"/>
      <c r="R825" s="14"/>
    </row>
    <row r="826" spans="1:18" ht="15" customHeight="1">
      <c r="A826" s="15" t="s">
        <v>48</v>
      </c>
      <c r="B826" s="15" t="s">
        <v>389</v>
      </c>
      <c r="C826" s="16">
        <v>0.70138888888888884</v>
      </c>
      <c r="D826" s="15" t="s">
        <v>53</v>
      </c>
      <c r="E826" s="15" t="s">
        <v>54</v>
      </c>
      <c r="F826" s="15" t="s">
        <v>463</v>
      </c>
      <c r="G826" s="298"/>
      <c r="H826" s="10"/>
      <c r="I826" s="11"/>
      <c r="J826" s="11"/>
      <c r="K826" s="11"/>
      <c r="L826" s="11"/>
      <c r="M826" s="11"/>
      <c r="N826" s="11"/>
      <c r="O826" s="12"/>
      <c r="P826" s="11"/>
      <c r="Q826" s="13"/>
      <c r="R826" s="14"/>
    </row>
    <row r="827" spans="1:18" ht="15" customHeight="1">
      <c r="A827" s="17" t="s">
        <v>48</v>
      </c>
      <c r="B827" s="17" t="s">
        <v>391</v>
      </c>
      <c r="C827" s="18">
        <v>0.48958333333333331</v>
      </c>
      <c r="D827" s="17" t="s">
        <v>50</v>
      </c>
      <c r="E827" s="17" t="s">
        <v>57</v>
      </c>
      <c r="F827" s="17" t="s">
        <v>392</v>
      </c>
      <c r="G827" s="298"/>
      <c r="H827" s="10"/>
      <c r="I827" s="11"/>
      <c r="J827" s="11"/>
      <c r="K827" s="11"/>
      <c r="L827" s="11"/>
      <c r="M827" s="11"/>
      <c r="N827" s="11"/>
      <c r="O827" s="12"/>
      <c r="P827" s="11"/>
      <c r="Q827" s="13"/>
      <c r="R827" s="14"/>
    </row>
    <row r="828" spans="1:18" ht="15" customHeight="1">
      <c r="A828" s="15" t="s">
        <v>48</v>
      </c>
      <c r="B828" s="15" t="s">
        <v>391</v>
      </c>
      <c r="C828" s="16">
        <v>0.48958333333333331</v>
      </c>
      <c r="D828" s="15" t="s">
        <v>53</v>
      </c>
      <c r="E828" s="15" t="s">
        <v>54</v>
      </c>
      <c r="F828" s="15" t="s">
        <v>393</v>
      </c>
      <c r="G828" s="298"/>
      <c r="H828" s="10"/>
      <c r="I828" s="11"/>
      <c r="J828" s="11"/>
      <c r="K828" s="11"/>
      <c r="L828" s="11"/>
      <c r="M828" s="11"/>
      <c r="N828" s="11"/>
      <c r="O828" s="12"/>
      <c r="P828" s="11"/>
      <c r="Q828" s="13"/>
      <c r="R828" s="14"/>
    </row>
    <row r="829" spans="1:18" ht="15" customHeight="1">
      <c r="A829" s="17" t="s">
        <v>48</v>
      </c>
      <c r="B829" s="17" t="s">
        <v>400</v>
      </c>
      <c r="C829" s="18">
        <v>0.25347222222222221</v>
      </c>
      <c r="D829" s="17" t="s">
        <v>50</v>
      </c>
      <c r="E829" s="17" t="s">
        <v>57</v>
      </c>
      <c r="F829" s="17" t="s">
        <v>392</v>
      </c>
      <c r="G829" s="298"/>
      <c r="H829" s="10"/>
      <c r="I829" s="11"/>
      <c r="J829" s="11"/>
      <c r="K829" s="11"/>
      <c r="L829" s="11"/>
      <c r="M829" s="11"/>
      <c r="N829" s="11"/>
      <c r="O829" s="12"/>
      <c r="P829" s="11"/>
      <c r="Q829" s="13"/>
      <c r="R829" s="14"/>
    </row>
    <row r="830" spans="1:18" ht="15" customHeight="1">
      <c r="A830" s="15" t="s">
        <v>48</v>
      </c>
      <c r="B830" s="15" t="s">
        <v>400</v>
      </c>
      <c r="C830" s="16">
        <v>0.25347222222222221</v>
      </c>
      <c r="D830" s="15" t="s">
        <v>53</v>
      </c>
      <c r="E830" s="15" t="s">
        <v>54</v>
      </c>
      <c r="F830" s="15" t="s">
        <v>393</v>
      </c>
      <c r="G830" s="298"/>
      <c r="H830" s="10"/>
      <c r="I830" s="11"/>
      <c r="J830" s="11"/>
      <c r="K830" s="11"/>
      <c r="L830" s="11"/>
      <c r="M830" s="11"/>
      <c r="N830" s="11"/>
      <c r="O830" s="12"/>
      <c r="P830" s="11"/>
      <c r="Q830" s="13"/>
      <c r="R830" s="14"/>
    </row>
    <row r="831" spans="1:18" ht="15" customHeight="1">
      <c r="A831" s="17" t="s">
        <v>48</v>
      </c>
      <c r="B831" s="17" t="s">
        <v>394</v>
      </c>
      <c r="C831" s="18">
        <v>0.98958333333333337</v>
      </c>
      <c r="D831" s="17" t="s">
        <v>53</v>
      </c>
      <c r="E831" s="17" t="s">
        <v>37</v>
      </c>
      <c r="F831" s="17" t="s">
        <v>481</v>
      </c>
      <c r="G831" s="298"/>
      <c r="H831" s="10"/>
      <c r="I831" s="11"/>
      <c r="J831" s="11"/>
      <c r="K831" s="11"/>
      <c r="L831" s="11"/>
      <c r="M831" s="11"/>
      <c r="N831" s="11"/>
      <c r="O831" s="12"/>
      <c r="P831" s="11"/>
      <c r="Q831" s="13"/>
      <c r="R831" s="14"/>
    </row>
    <row r="832" spans="1:18" ht="15" customHeight="1">
      <c r="A832" s="17" t="s">
        <v>48</v>
      </c>
      <c r="B832" s="17" t="s">
        <v>397</v>
      </c>
      <c r="C832" s="18">
        <v>0.88888888888888884</v>
      </c>
      <c r="D832" s="17" t="s">
        <v>53</v>
      </c>
      <c r="E832" s="17" t="s">
        <v>37</v>
      </c>
      <c r="F832" s="17" t="s">
        <v>481</v>
      </c>
      <c r="G832" s="298"/>
      <c r="H832" s="10"/>
      <c r="I832" s="11"/>
      <c r="J832" s="11"/>
      <c r="K832" s="11"/>
      <c r="L832" s="11"/>
      <c r="M832" s="11"/>
      <c r="N832" s="11"/>
      <c r="O832" s="12"/>
      <c r="P832" s="11"/>
      <c r="Q832" s="13"/>
      <c r="R832" s="14"/>
    </row>
    <row r="833" spans="1:18" ht="15" customHeight="1">
      <c r="A833" s="17" t="s">
        <v>48</v>
      </c>
      <c r="B833" s="17" t="s">
        <v>398</v>
      </c>
      <c r="C833" s="18">
        <v>0.39930555555555558</v>
      </c>
      <c r="D833" s="17" t="s">
        <v>53</v>
      </c>
      <c r="E833" s="17" t="s">
        <v>37</v>
      </c>
      <c r="F833" s="17" t="s">
        <v>438</v>
      </c>
      <c r="G833" s="298"/>
      <c r="H833" s="10"/>
      <c r="I833" s="11"/>
      <c r="J833" s="11"/>
      <c r="K833" s="11"/>
      <c r="L833" s="11"/>
      <c r="M833" s="11"/>
      <c r="N833" s="11"/>
      <c r="O833" s="12"/>
      <c r="P833" s="11"/>
      <c r="Q833" s="13"/>
      <c r="R833" s="14"/>
    </row>
    <row r="834" spans="1:18" ht="15" customHeight="1">
      <c r="A834" s="17" t="s">
        <v>48</v>
      </c>
      <c r="B834" s="17" t="s">
        <v>396</v>
      </c>
      <c r="C834" s="18">
        <v>0.48958333333333331</v>
      </c>
      <c r="D834" s="17" t="s">
        <v>53</v>
      </c>
      <c r="E834" s="17" t="s">
        <v>37</v>
      </c>
      <c r="F834" s="17" t="s">
        <v>438</v>
      </c>
      <c r="G834" s="298"/>
      <c r="H834" s="10"/>
      <c r="I834" s="11"/>
      <c r="J834" s="11"/>
      <c r="K834" s="11"/>
      <c r="L834" s="11"/>
      <c r="M834" s="11"/>
      <c r="N834" s="11"/>
      <c r="O834" s="12"/>
      <c r="P834" s="11"/>
      <c r="Q834" s="13"/>
      <c r="R834" s="14"/>
    </row>
    <row r="835" spans="1:18" ht="15" customHeight="1">
      <c r="A835" s="19" t="s">
        <v>402</v>
      </c>
      <c r="B835" s="19" t="s">
        <v>403</v>
      </c>
      <c r="C835" s="20">
        <v>0.49305555555555558</v>
      </c>
      <c r="D835" s="19" t="s">
        <v>63</v>
      </c>
      <c r="E835" s="19" t="s">
        <v>103</v>
      </c>
      <c r="F835" s="19" t="s">
        <v>404</v>
      </c>
      <c r="G835" s="298"/>
      <c r="H835" s="10"/>
      <c r="I835" s="11"/>
      <c r="J835" s="11"/>
      <c r="K835" s="11"/>
      <c r="L835" s="11"/>
      <c r="M835" s="11"/>
      <c r="N835" s="11"/>
      <c r="O835" s="12"/>
      <c r="P835" s="11"/>
      <c r="Q835" s="13"/>
      <c r="R835" s="14"/>
    </row>
    <row r="836" spans="1:18" ht="15" customHeight="1">
      <c r="A836" s="17" t="s">
        <v>402</v>
      </c>
      <c r="B836" s="17" t="s">
        <v>465</v>
      </c>
      <c r="C836" s="18">
        <v>0.2048611111111111</v>
      </c>
      <c r="D836" s="17" t="s">
        <v>63</v>
      </c>
      <c r="E836" s="17" t="s">
        <v>98</v>
      </c>
      <c r="F836" s="17" t="s">
        <v>404</v>
      </c>
      <c r="G836" s="298"/>
      <c r="H836" s="10"/>
      <c r="I836" s="11"/>
      <c r="J836" s="11"/>
      <c r="K836" s="11"/>
      <c r="L836" s="11"/>
      <c r="M836" s="11"/>
      <c r="N836" s="11"/>
      <c r="O836" s="12"/>
      <c r="P836" s="11"/>
      <c r="Q836" s="13"/>
      <c r="R836" s="14"/>
    </row>
    <row r="837" spans="1:18" ht="15" customHeight="1">
      <c r="A837" s="19" t="s">
        <v>68</v>
      </c>
      <c r="B837" s="19" t="s">
        <v>405</v>
      </c>
      <c r="C837" s="20">
        <v>0.83680555555555547</v>
      </c>
      <c r="D837" s="19" t="s">
        <v>70</v>
      </c>
      <c r="E837" s="19" t="s">
        <v>51</v>
      </c>
      <c r="F837" s="19" t="s">
        <v>406</v>
      </c>
      <c r="G837" s="298"/>
      <c r="H837" s="10"/>
      <c r="I837" s="11"/>
      <c r="J837" s="11"/>
      <c r="K837" s="11"/>
      <c r="L837" s="11"/>
      <c r="M837" s="11"/>
      <c r="N837" s="11"/>
      <c r="O837" s="12"/>
      <c r="P837" s="11"/>
      <c r="Q837" s="13"/>
      <c r="R837" s="14"/>
    </row>
    <row r="838" spans="1:18" ht="15" customHeight="1">
      <c r="A838" s="17" t="s">
        <v>68</v>
      </c>
      <c r="B838" s="17" t="s">
        <v>407</v>
      </c>
      <c r="C838" s="18">
        <v>0.3125</v>
      </c>
      <c r="D838" s="17" t="s">
        <v>70</v>
      </c>
      <c r="E838" s="17" t="s">
        <v>57</v>
      </c>
      <c r="F838" s="17" t="s">
        <v>406</v>
      </c>
      <c r="G838" s="298"/>
      <c r="H838" s="10"/>
      <c r="I838" s="11"/>
      <c r="J838" s="11"/>
      <c r="K838" s="11"/>
      <c r="L838" s="11"/>
      <c r="M838" s="11"/>
      <c r="N838" s="11"/>
      <c r="O838" s="12"/>
      <c r="P838" s="11"/>
      <c r="Q838" s="13"/>
      <c r="R838" s="14"/>
    </row>
    <row r="839" spans="1:18" ht="15" customHeight="1">
      <c r="A839" s="17" t="s">
        <v>68</v>
      </c>
      <c r="B839" s="17" t="s">
        <v>408</v>
      </c>
      <c r="C839" s="18">
        <v>0.97222222222222221</v>
      </c>
      <c r="D839" s="17" t="s">
        <v>70</v>
      </c>
      <c r="E839" s="17" t="s">
        <v>57</v>
      </c>
      <c r="F839" s="17" t="s">
        <v>406</v>
      </c>
      <c r="G839" s="298"/>
      <c r="H839" s="10"/>
      <c r="I839" s="11"/>
      <c r="J839" s="11"/>
      <c r="K839" s="11"/>
      <c r="L839" s="11"/>
      <c r="M839" s="11"/>
      <c r="N839" s="11"/>
      <c r="O839" s="12"/>
      <c r="P839" s="11"/>
      <c r="Q839" s="13"/>
      <c r="R839" s="14"/>
    </row>
    <row r="840" spans="1:18" ht="15" customHeight="1">
      <c r="A840" s="17" t="s">
        <v>68</v>
      </c>
      <c r="B840" s="17" t="s">
        <v>437</v>
      </c>
      <c r="C840" s="18">
        <v>0.1041666666666667</v>
      </c>
      <c r="D840" s="17" t="s">
        <v>70</v>
      </c>
      <c r="E840" s="17" t="s">
        <v>57</v>
      </c>
      <c r="F840" s="17" t="s">
        <v>406</v>
      </c>
      <c r="G840" s="298"/>
      <c r="H840" s="10"/>
      <c r="I840" s="11"/>
      <c r="J840" s="11"/>
      <c r="K840" s="11"/>
      <c r="L840" s="11"/>
      <c r="M840" s="11"/>
      <c r="N840" s="11"/>
      <c r="O840" s="12"/>
      <c r="P840" s="11"/>
      <c r="Q840" s="13"/>
      <c r="R840" s="14"/>
    </row>
    <row r="841" spans="1:18" ht="15" customHeight="1">
      <c r="A841" s="17" t="s">
        <v>68</v>
      </c>
      <c r="B841" s="17" t="s">
        <v>410</v>
      </c>
      <c r="C841" s="18">
        <v>0.59722222222222221</v>
      </c>
      <c r="D841" s="17" t="s">
        <v>70</v>
      </c>
      <c r="E841" s="17" t="s">
        <v>57</v>
      </c>
      <c r="F841" s="17" t="s">
        <v>406</v>
      </c>
      <c r="G841" s="298"/>
      <c r="H841" s="10"/>
      <c r="I841" s="11"/>
      <c r="J841" s="11"/>
      <c r="K841" s="11"/>
      <c r="L841" s="11"/>
      <c r="M841" s="11"/>
      <c r="N841" s="11"/>
      <c r="O841" s="12"/>
      <c r="P841" s="11"/>
      <c r="Q841" s="13"/>
      <c r="R841" s="14"/>
    </row>
    <row r="842" spans="1:18" ht="15" customHeight="1">
      <c r="A842" s="17" t="s">
        <v>68</v>
      </c>
      <c r="B842" s="17" t="s">
        <v>413</v>
      </c>
      <c r="C842" s="18">
        <v>4.8611111111111112E-2</v>
      </c>
      <c r="D842" s="17" t="s">
        <v>70</v>
      </c>
      <c r="E842" s="17" t="s">
        <v>57</v>
      </c>
      <c r="F842" s="17" t="s">
        <v>406</v>
      </c>
      <c r="G842" s="298"/>
      <c r="H842" s="10"/>
      <c r="I842" s="11"/>
      <c r="J842" s="11"/>
      <c r="K842" s="11"/>
      <c r="L842" s="11"/>
      <c r="M842" s="11"/>
      <c r="N842" s="11"/>
      <c r="O842" s="12"/>
      <c r="P842" s="11"/>
      <c r="Q842" s="13"/>
      <c r="R842" s="14"/>
    </row>
    <row r="843" spans="1:18" ht="15" customHeight="1" thickBot="1">
      <c r="A843" s="30" t="s">
        <v>68</v>
      </c>
      <c r="B843" s="30" t="s">
        <v>411</v>
      </c>
      <c r="C843" s="31">
        <v>0.78472222222222221</v>
      </c>
      <c r="D843" s="30" t="s">
        <v>70</v>
      </c>
      <c r="E843" s="30" t="s">
        <v>57</v>
      </c>
      <c r="F843" s="30" t="s">
        <v>412</v>
      </c>
      <c r="G843" s="299"/>
      <c r="H843" s="300"/>
      <c r="I843" s="140"/>
      <c r="J843" s="140"/>
      <c r="K843" s="140"/>
      <c r="L843" s="140"/>
      <c r="M843" s="140"/>
      <c r="N843" s="140"/>
      <c r="O843" s="141"/>
      <c r="P843" s="140"/>
      <c r="Q843" s="142"/>
      <c r="R843" s="301"/>
    </row>
    <row r="844" spans="1:18" ht="17.45" customHeight="1" thickBot="1">
      <c r="A844" s="283"/>
      <c r="B844" s="284"/>
      <c r="C844" s="284"/>
      <c r="D844" s="284"/>
      <c r="E844" s="284"/>
      <c r="F844" s="284"/>
      <c r="G844" s="284"/>
      <c r="H844" s="284"/>
      <c r="I844" s="284"/>
      <c r="J844" s="284"/>
      <c r="K844" s="284"/>
      <c r="L844" s="284"/>
      <c r="M844" s="284"/>
      <c r="N844" s="284"/>
      <c r="O844" s="284"/>
      <c r="P844" s="284"/>
      <c r="Q844" s="284"/>
      <c r="R844" s="285"/>
    </row>
    <row r="845" spans="1:18" ht="22.15" customHeight="1" thickTop="1" thickBot="1">
      <c r="A845" s="279" t="s">
        <v>6</v>
      </c>
      <c r="B845" s="295"/>
      <c r="C845" s="295"/>
      <c r="D845" s="295"/>
      <c r="E845" s="295"/>
      <c r="F845" s="296"/>
      <c r="G845" s="32">
        <v>46034</v>
      </c>
      <c r="H845" s="278" t="s">
        <v>7</v>
      </c>
      <c r="I845" s="295"/>
      <c r="J845" s="295"/>
      <c r="K845" s="295"/>
      <c r="L845" s="295"/>
      <c r="M845" s="295"/>
      <c r="N845" s="295"/>
      <c r="O845" s="295"/>
      <c r="P845" s="295"/>
      <c r="Q845" s="295"/>
      <c r="R845" s="296"/>
    </row>
    <row r="846" spans="1:18" ht="24" customHeight="1">
      <c r="A846" s="33" t="s">
        <v>8</v>
      </c>
      <c r="B846" s="33" t="s">
        <v>9</v>
      </c>
      <c r="C846" s="34" t="s">
        <v>10</v>
      </c>
      <c r="D846" s="33" t="s">
        <v>11</v>
      </c>
      <c r="E846" s="33" t="s">
        <v>12</v>
      </c>
      <c r="F846" s="35" t="s">
        <v>13</v>
      </c>
      <c r="G846" s="36" t="s">
        <v>14</v>
      </c>
      <c r="H846" s="33" t="s">
        <v>15</v>
      </c>
      <c r="I846" s="37" t="s">
        <v>16</v>
      </c>
      <c r="J846" s="38" t="s">
        <v>17</v>
      </c>
      <c r="K846" s="39" t="s">
        <v>18</v>
      </c>
      <c r="L846" s="38" t="s">
        <v>19</v>
      </c>
      <c r="M846" s="38" t="s">
        <v>20</v>
      </c>
      <c r="N846" s="38" t="s">
        <v>21</v>
      </c>
      <c r="O846" s="33" t="s">
        <v>22</v>
      </c>
      <c r="P846" s="34" t="s">
        <v>23</v>
      </c>
      <c r="Q846" s="38" t="s">
        <v>24</v>
      </c>
      <c r="R846" s="33" t="s">
        <v>25</v>
      </c>
    </row>
    <row r="847" spans="1:18" ht="15" customHeight="1">
      <c r="A847" s="8" t="s">
        <v>38</v>
      </c>
      <c r="B847" s="8" t="s">
        <v>342</v>
      </c>
      <c r="C847" s="9">
        <v>0.48958333333333331</v>
      </c>
      <c r="D847" s="8" t="s">
        <v>40</v>
      </c>
      <c r="E847" s="8" t="s">
        <v>154</v>
      </c>
      <c r="F847" s="8" t="s">
        <v>475</v>
      </c>
      <c r="G847" s="297"/>
      <c r="H847" s="10"/>
      <c r="I847" s="11"/>
      <c r="J847" s="11"/>
      <c r="K847" s="11"/>
      <c r="L847" s="11"/>
      <c r="M847" s="11"/>
      <c r="N847" s="11"/>
      <c r="O847" s="12"/>
      <c r="P847" s="11"/>
      <c r="Q847" s="13"/>
      <c r="R847" s="14"/>
    </row>
    <row r="848" spans="1:18" ht="15" customHeight="1">
      <c r="A848" s="15" t="s">
        <v>38</v>
      </c>
      <c r="B848" s="15" t="s">
        <v>342</v>
      </c>
      <c r="C848" s="16">
        <v>0.48958333333333331</v>
      </c>
      <c r="D848" s="15" t="s">
        <v>43</v>
      </c>
      <c r="E848" s="15" t="s">
        <v>155</v>
      </c>
      <c r="F848" s="15" t="s">
        <v>121</v>
      </c>
      <c r="G848" s="298"/>
      <c r="H848" s="10"/>
      <c r="I848" s="11"/>
      <c r="J848" s="11"/>
      <c r="K848" s="11"/>
      <c r="L848" s="11"/>
      <c r="M848" s="11"/>
      <c r="N848" s="11"/>
      <c r="O848" s="12"/>
      <c r="P848" s="11"/>
      <c r="Q848" s="13"/>
      <c r="R848" s="14"/>
    </row>
    <row r="849" spans="1:18" ht="15" customHeight="1">
      <c r="A849" s="15" t="s">
        <v>38</v>
      </c>
      <c r="B849" s="15" t="s">
        <v>342</v>
      </c>
      <c r="C849" s="16">
        <v>0.48958333333333331</v>
      </c>
      <c r="D849" s="15" t="s">
        <v>46</v>
      </c>
      <c r="E849" s="15" t="s">
        <v>155</v>
      </c>
      <c r="F849" s="15" t="s">
        <v>47</v>
      </c>
      <c r="G849" s="298"/>
      <c r="H849" s="10"/>
      <c r="I849" s="11"/>
      <c r="J849" s="11"/>
      <c r="K849" s="11"/>
      <c r="L849" s="11"/>
      <c r="M849" s="11"/>
      <c r="N849" s="11"/>
      <c r="O849" s="12"/>
      <c r="P849" s="11"/>
      <c r="Q849" s="13"/>
      <c r="R849" s="14"/>
    </row>
    <row r="850" spans="1:18" ht="15" customHeight="1">
      <c r="A850" s="17" t="s">
        <v>38</v>
      </c>
      <c r="B850" s="17" t="s">
        <v>344</v>
      </c>
      <c r="C850" s="18">
        <v>0.88888888888888884</v>
      </c>
      <c r="D850" s="17" t="s">
        <v>40</v>
      </c>
      <c r="E850" s="17" t="s">
        <v>442</v>
      </c>
      <c r="F850" s="17" t="s">
        <v>30</v>
      </c>
      <c r="G850" s="298"/>
      <c r="H850" s="10"/>
      <c r="I850" s="11"/>
      <c r="J850" s="11"/>
      <c r="K850" s="11"/>
      <c r="L850" s="11"/>
      <c r="M850" s="11"/>
      <c r="N850" s="11"/>
      <c r="O850" s="12"/>
      <c r="P850" s="11"/>
      <c r="Q850" s="13"/>
      <c r="R850" s="14"/>
    </row>
    <row r="851" spans="1:18" ht="15" customHeight="1">
      <c r="A851" s="15" t="s">
        <v>38</v>
      </c>
      <c r="B851" s="15" t="s">
        <v>344</v>
      </c>
      <c r="C851" s="16">
        <v>0.88888888888888884</v>
      </c>
      <c r="D851" s="15" t="s">
        <v>43</v>
      </c>
      <c r="E851" s="15" t="s">
        <v>122</v>
      </c>
      <c r="F851" s="15" t="s">
        <v>420</v>
      </c>
      <c r="G851" s="298"/>
      <c r="H851" s="10"/>
      <c r="I851" s="11"/>
      <c r="J851" s="11"/>
      <c r="K851" s="11"/>
      <c r="L851" s="11"/>
      <c r="M851" s="11"/>
      <c r="N851" s="11"/>
      <c r="O851" s="12"/>
      <c r="P851" s="11"/>
      <c r="Q851" s="13"/>
      <c r="R851" s="14"/>
    </row>
    <row r="852" spans="1:18" ht="15" customHeight="1">
      <c r="A852" s="15" t="s">
        <v>38</v>
      </c>
      <c r="B852" s="15" t="s">
        <v>344</v>
      </c>
      <c r="C852" s="16">
        <v>0.88888888888888884</v>
      </c>
      <c r="D852" s="15" t="s">
        <v>46</v>
      </c>
      <c r="E852" s="15" t="s">
        <v>122</v>
      </c>
      <c r="F852" s="15" t="s">
        <v>47</v>
      </c>
      <c r="G852" s="298"/>
      <c r="H852" s="10"/>
      <c r="I852" s="11"/>
      <c r="J852" s="11"/>
      <c r="K852" s="11"/>
      <c r="L852" s="11"/>
      <c r="M852" s="11"/>
      <c r="N852" s="11"/>
      <c r="O852" s="12"/>
      <c r="P852" s="11"/>
      <c r="Q852" s="13"/>
      <c r="R852" s="14"/>
    </row>
    <row r="853" spans="1:18" ht="15" customHeight="1">
      <c r="A853" s="17" t="s">
        <v>38</v>
      </c>
      <c r="B853" s="17" t="s">
        <v>346</v>
      </c>
      <c r="C853" s="18">
        <v>0.39930555555555558</v>
      </c>
      <c r="D853" s="17" t="s">
        <v>440</v>
      </c>
      <c r="E853" s="17" t="s">
        <v>125</v>
      </c>
      <c r="F853" s="17" t="s">
        <v>347</v>
      </c>
      <c r="G853" s="298"/>
      <c r="H853" s="10"/>
      <c r="I853" s="11"/>
      <c r="J853" s="11"/>
      <c r="K853" s="11"/>
      <c r="L853" s="11"/>
      <c r="M853" s="11"/>
      <c r="N853" s="11"/>
      <c r="O853" s="12"/>
      <c r="P853" s="11"/>
      <c r="Q853" s="13"/>
      <c r="R853" s="14"/>
    </row>
    <row r="854" spans="1:18" ht="15" customHeight="1">
      <c r="A854" s="17" t="s">
        <v>38</v>
      </c>
      <c r="B854" s="17" t="s">
        <v>345</v>
      </c>
      <c r="C854" s="18">
        <v>0.98958333333333337</v>
      </c>
      <c r="D854" s="17" t="s">
        <v>40</v>
      </c>
      <c r="E854" s="17" t="s">
        <v>125</v>
      </c>
      <c r="F854" s="17" t="s">
        <v>347</v>
      </c>
      <c r="G854" s="298"/>
      <c r="H854" s="10"/>
      <c r="I854" s="11"/>
      <c r="J854" s="11"/>
      <c r="K854" s="11"/>
      <c r="L854" s="11"/>
      <c r="M854" s="11"/>
      <c r="N854" s="11"/>
      <c r="O854" s="12"/>
      <c r="P854" s="11"/>
      <c r="Q854" s="13"/>
      <c r="R854" s="14"/>
    </row>
    <row r="855" spans="1:18" ht="15" customHeight="1">
      <c r="A855" s="15" t="s">
        <v>38</v>
      </c>
      <c r="B855" s="15" t="s">
        <v>345</v>
      </c>
      <c r="C855" s="16">
        <v>0.98958333333333337</v>
      </c>
      <c r="D855" s="15" t="s">
        <v>43</v>
      </c>
      <c r="E855" s="15" t="s">
        <v>44</v>
      </c>
      <c r="F855" s="15" t="s">
        <v>138</v>
      </c>
      <c r="G855" s="298"/>
      <c r="H855" s="10"/>
      <c r="I855" s="11"/>
      <c r="J855" s="11"/>
      <c r="K855" s="11"/>
      <c r="L855" s="11"/>
      <c r="M855" s="11"/>
      <c r="N855" s="11"/>
      <c r="O855" s="12"/>
      <c r="P855" s="11"/>
      <c r="Q855" s="13"/>
      <c r="R855" s="14"/>
    </row>
    <row r="856" spans="1:18" ht="15" customHeight="1">
      <c r="A856" s="15" t="s">
        <v>38</v>
      </c>
      <c r="B856" s="15" t="s">
        <v>345</v>
      </c>
      <c r="C856" s="16">
        <v>0.98958333333333337</v>
      </c>
      <c r="D856" s="15" t="s">
        <v>46</v>
      </c>
      <c r="E856" s="15" t="s">
        <v>44</v>
      </c>
      <c r="F856" s="15" t="s">
        <v>47</v>
      </c>
      <c r="G856" s="298"/>
      <c r="H856" s="10"/>
      <c r="I856" s="11"/>
      <c r="J856" s="11"/>
      <c r="K856" s="11"/>
      <c r="L856" s="11"/>
      <c r="M856" s="11"/>
      <c r="N856" s="11"/>
      <c r="O856" s="12"/>
      <c r="P856" s="11"/>
      <c r="Q856" s="13"/>
      <c r="R856" s="14"/>
    </row>
    <row r="857" spans="1:18" ht="15" customHeight="1">
      <c r="A857" s="19" t="s">
        <v>359</v>
      </c>
      <c r="B857" s="19" t="s">
        <v>360</v>
      </c>
      <c r="C857" s="20">
        <v>0.22569444444444439</v>
      </c>
      <c r="D857" s="19" t="s">
        <v>361</v>
      </c>
      <c r="E857" s="19" t="s">
        <v>80</v>
      </c>
      <c r="F857" s="19" t="s">
        <v>362</v>
      </c>
      <c r="G857" s="298"/>
      <c r="H857" s="10"/>
      <c r="I857" s="11"/>
      <c r="J857" s="11"/>
      <c r="K857" s="11"/>
      <c r="L857" s="11"/>
      <c r="M857" s="11"/>
      <c r="N857" s="11"/>
      <c r="O857" s="12"/>
      <c r="P857" s="11"/>
      <c r="Q857" s="13"/>
      <c r="R857" s="14"/>
    </row>
    <row r="858" spans="1:18" ht="15" customHeight="1">
      <c r="A858" s="15" t="s">
        <v>359</v>
      </c>
      <c r="B858" s="15" t="s">
        <v>360</v>
      </c>
      <c r="C858" s="16">
        <v>0.22569444444444439</v>
      </c>
      <c r="D858" s="15" t="s">
        <v>46</v>
      </c>
      <c r="E858" s="15" t="s">
        <v>82</v>
      </c>
      <c r="F858" s="15" t="s">
        <v>363</v>
      </c>
      <c r="G858" s="298"/>
      <c r="H858" s="10"/>
      <c r="I858" s="11"/>
      <c r="J858" s="11"/>
      <c r="K858" s="11"/>
      <c r="L858" s="11"/>
      <c r="M858" s="11"/>
      <c r="N858" s="11"/>
      <c r="O858" s="12"/>
      <c r="P858" s="11"/>
      <c r="Q858" s="13"/>
      <c r="R858" s="14"/>
    </row>
    <row r="859" spans="1:18" ht="15" customHeight="1">
      <c r="A859" s="17" t="s">
        <v>359</v>
      </c>
      <c r="B859" s="17" t="s">
        <v>445</v>
      </c>
      <c r="C859" s="18">
        <v>1.388888888888889E-2</v>
      </c>
      <c r="D859" s="17" t="s">
        <v>361</v>
      </c>
      <c r="E859" s="17" t="s">
        <v>90</v>
      </c>
      <c r="F859" s="17" t="s">
        <v>362</v>
      </c>
      <c r="G859" s="298"/>
      <c r="H859" s="10"/>
      <c r="I859" s="11"/>
      <c r="J859" s="11"/>
      <c r="K859" s="11"/>
      <c r="L859" s="11"/>
      <c r="M859" s="11"/>
      <c r="N859" s="11"/>
      <c r="O859" s="12"/>
      <c r="P859" s="11"/>
      <c r="Q859" s="13"/>
      <c r="R859" s="14"/>
    </row>
    <row r="860" spans="1:18" ht="15" customHeight="1">
      <c r="A860" s="15" t="s">
        <v>359</v>
      </c>
      <c r="B860" s="15" t="s">
        <v>445</v>
      </c>
      <c r="C860" s="16">
        <v>1.388888888888889E-2</v>
      </c>
      <c r="D860" s="15" t="s">
        <v>46</v>
      </c>
      <c r="E860" s="15" t="s">
        <v>82</v>
      </c>
      <c r="F860" s="15" t="s">
        <v>363</v>
      </c>
      <c r="G860" s="298"/>
      <c r="H860" s="10"/>
      <c r="I860" s="11"/>
      <c r="J860" s="11"/>
      <c r="K860" s="11"/>
      <c r="L860" s="11"/>
      <c r="M860" s="11"/>
      <c r="N860" s="11"/>
      <c r="O860" s="12"/>
      <c r="P860" s="11"/>
      <c r="Q860" s="13"/>
      <c r="R860" s="14"/>
    </row>
    <row r="861" spans="1:18" ht="15" customHeight="1">
      <c r="A861" s="98" t="s">
        <v>61</v>
      </c>
      <c r="B861" s="98" t="s">
        <v>432</v>
      </c>
      <c r="C861" s="99">
        <v>0.80208333333333337</v>
      </c>
      <c r="D861" s="98" t="s">
        <v>63</v>
      </c>
      <c r="E861" s="98" t="s">
        <v>103</v>
      </c>
      <c r="F861" s="98" t="s">
        <v>365</v>
      </c>
      <c r="G861" s="298"/>
      <c r="H861" s="100" t="s">
        <v>433</v>
      </c>
      <c r="I861" s="101">
        <v>5.5999999999999999E-3</v>
      </c>
      <c r="J861" s="102">
        <v>1</v>
      </c>
      <c r="K861" s="103">
        <v>46342</v>
      </c>
      <c r="L861" s="102">
        <v>1</v>
      </c>
      <c r="M861" s="102">
        <v>0</v>
      </c>
      <c r="N861" s="102">
        <v>0</v>
      </c>
      <c r="O861" s="104" t="s">
        <v>431</v>
      </c>
      <c r="P861" s="105">
        <v>0.80208333333333337</v>
      </c>
      <c r="Q861" s="102">
        <v>180</v>
      </c>
      <c r="R861" s="106" t="s">
        <v>430</v>
      </c>
    </row>
    <row r="862" spans="1:18" ht="15" customHeight="1">
      <c r="A862" s="160" t="s">
        <v>61</v>
      </c>
      <c r="B862" s="160" t="s">
        <v>375</v>
      </c>
      <c r="C862" s="161">
        <v>0.24652777777777779</v>
      </c>
      <c r="D862" s="160" t="s">
        <v>63</v>
      </c>
      <c r="E862" s="160" t="s">
        <v>37</v>
      </c>
      <c r="F862" s="160" t="s">
        <v>365</v>
      </c>
      <c r="G862" s="298"/>
      <c r="H862" s="23" t="s">
        <v>376</v>
      </c>
      <c r="I862" s="24">
        <v>1.11E-2</v>
      </c>
      <c r="J862" s="25">
        <v>2</v>
      </c>
      <c r="K862" s="26">
        <v>46325</v>
      </c>
      <c r="L862" s="25">
        <v>4</v>
      </c>
      <c r="M862" s="25">
        <v>0</v>
      </c>
      <c r="N862" s="25">
        <v>0</v>
      </c>
      <c r="O862" s="27" t="s">
        <v>368</v>
      </c>
      <c r="P862" s="28">
        <v>0.24652777777777779</v>
      </c>
      <c r="Q862" s="25">
        <v>180</v>
      </c>
      <c r="R862" s="29" t="s">
        <v>367</v>
      </c>
    </row>
    <row r="863" spans="1:18" ht="15" customHeight="1">
      <c r="A863" s="148" t="s">
        <v>61</v>
      </c>
      <c r="B863" s="148" t="s">
        <v>377</v>
      </c>
      <c r="C863" s="149">
        <v>0.4375</v>
      </c>
      <c r="D863" s="148" t="s">
        <v>63</v>
      </c>
      <c r="E863" s="148" t="s">
        <v>37</v>
      </c>
      <c r="F863" s="148" t="s">
        <v>365</v>
      </c>
      <c r="G863" s="298"/>
      <c r="H863" s="51" t="s">
        <v>378</v>
      </c>
      <c r="I863" s="52">
        <v>1.11E-2</v>
      </c>
      <c r="J863" s="53">
        <v>2</v>
      </c>
      <c r="K863" s="54">
        <v>46342</v>
      </c>
      <c r="L863" s="53">
        <v>2</v>
      </c>
      <c r="M863" s="53">
        <v>0</v>
      </c>
      <c r="N863" s="53">
        <v>0</v>
      </c>
      <c r="O863" s="55" t="s">
        <v>368</v>
      </c>
      <c r="P863" s="56">
        <v>0.4375</v>
      </c>
      <c r="Q863" s="53">
        <v>180</v>
      </c>
      <c r="R863" s="57" t="s">
        <v>367</v>
      </c>
    </row>
    <row r="864" spans="1:18" ht="15" customHeight="1">
      <c r="A864" s="19" t="s">
        <v>26</v>
      </c>
      <c r="B864" s="19" t="s">
        <v>348</v>
      </c>
      <c r="C864" s="20">
        <v>0.99305555555555547</v>
      </c>
      <c r="D864" s="19" t="s">
        <v>28</v>
      </c>
      <c r="E864" s="19" t="s">
        <v>29</v>
      </c>
      <c r="F864" s="19" t="s">
        <v>83</v>
      </c>
      <c r="G864" s="298"/>
      <c r="H864" s="10"/>
      <c r="I864" s="11"/>
      <c r="J864" s="11"/>
      <c r="K864" s="11"/>
      <c r="L864" s="11"/>
      <c r="M864" s="11"/>
      <c r="N864" s="11"/>
      <c r="O864" s="12"/>
      <c r="P864" s="11"/>
      <c r="Q864" s="13"/>
      <c r="R864" s="14"/>
    </row>
    <row r="865" spans="1:18" ht="15" customHeight="1">
      <c r="A865" s="15" t="s">
        <v>26</v>
      </c>
      <c r="B865" s="15" t="s">
        <v>348</v>
      </c>
      <c r="C865" s="16">
        <v>0.99305555555555547</v>
      </c>
      <c r="D865" s="15" t="s">
        <v>31</v>
      </c>
      <c r="E865" s="15" t="s">
        <v>32</v>
      </c>
      <c r="F865" s="15" t="s">
        <v>159</v>
      </c>
      <c r="G865" s="298"/>
      <c r="H865" s="10"/>
      <c r="I865" s="11"/>
      <c r="J865" s="11"/>
      <c r="K865" s="11"/>
      <c r="L865" s="11"/>
      <c r="M865" s="11"/>
      <c r="N865" s="11"/>
      <c r="O865" s="12"/>
      <c r="P865" s="11"/>
      <c r="Q865" s="13"/>
      <c r="R865" s="14"/>
    </row>
    <row r="866" spans="1:18" ht="15" customHeight="1">
      <c r="A866" s="15" t="s">
        <v>26</v>
      </c>
      <c r="B866" s="15" t="s">
        <v>348</v>
      </c>
      <c r="C866" s="16">
        <v>0.99305555555555547</v>
      </c>
      <c r="D866" s="15" t="s">
        <v>34</v>
      </c>
      <c r="E866" s="15" t="s">
        <v>32</v>
      </c>
      <c r="F866" s="15" t="s">
        <v>355</v>
      </c>
      <c r="G866" s="298"/>
      <c r="H866" s="10"/>
      <c r="I866" s="11"/>
      <c r="J866" s="11"/>
      <c r="K866" s="11"/>
      <c r="L866" s="11"/>
      <c r="M866" s="11"/>
      <c r="N866" s="11"/>
      <c r="O866" s="12"/>
      <c r="P866" s="11"/>
      <c r="Q866" s="13"/>
      <c r="R866" s="14"/>
    </row>
    <row r="867" spans="1:18" ht="15" customHeight="1">
      <c r="A867" s="17" t="s">
        <v>26</v>
      </c>
      <c r="B867" s="17" t="s">
        <v>351</v>
      </c>
      <c r="C867" s="18">
        <v>0.83680555555555547</v>
      </c>
      <c r="D867" s="17" t="s">
        <v>28</v>
      </c>
      <c r="E867" s="17" t="s">
        <v>200</v>
      </c>
      <c r="F867" s="17" t="s">
        <v>83</v>
      </c>
      <c r="G867" s="298"/>
      <c r="H867" s="10"/>
      <c r="I867" s="11"/>
      <c r="J867" s="11"/>
      <c r="K867" s="11"/>
      <c r="L867" s="11"/>
      <c r="M867" s="11"/>
      <c r="N867" s="11"/>
      <c r="O867" s="12"/>
      <c r="P867" s="11"/>
      <c r="Q867" s="13"/>
      <c r="R867" s="14"/>
    </row>
    <row r="868" spans="1:18" ht="15" customHeight="1">
      <c r="A868" s="15" t="s">
        <v>26</v>
      </c>
      <c r="B868" s="15" t="s">
        <v>351</v>
      </c>
      <c r="C868" s="16">
        <v>0.83680555555555547</v>
      </c>
      <c r="D868" s="15" t="s">
        <v>31</v>
      </c>
      <c r="E868" s="15" t="s">
        <v>127</v>
      </c>
      <c r="F868" s="15" t="s">
        <v>159</v>
      </c>
      <c r="G868" s="298"/>
      <c r="H868" s="10"/>
      <c r="I868" s="11"/>
      <c r="J868" s="11"/>
      <c r="K868" s="11"/>
      <c r="L868" s="11"/>
      <c r="M868" s="11"/>
      <c r="N868" s="11"/>
      <c r="O868" s="12"/>
      <c r="P868" s="11"/>
      <c r="Q868" s="13"/>
      <c r="R868" s="14"/>
    </row>
    <row r="869" spans="1:18" ht="15" customHeight="1">
      <c r="A869" s="15" t="s">
        <v>26</v>
      </c>
      <c r="B869" s="15" t="s">
        <v>351</v>
      </c>
      <c r="C869" s="16">
        <v>0.83680555555555547</v>
      </c>
      <c r="D869" s="15" t="s">
        <v>34</v>
      </c>
      <c r="E869" s="15" t="s">
        <v>127</v>
      </c>
      <c r="F869" s="15" t="s">
        <v>355</v>
      </c>
      <c r="G869" s="298"/>
      <c r="H869" s="10"/>
      <c r="I869" s="11"/>
      <c r="J869" s="11"/>
      <c r="K869" s="11"/>
      <c r="L869" s="11"/>
      <c r="M869" s="11"/>
      <c r="N869" s="11"/>
      <c r="O869" s="12"/>
      <c r="P869" s="11"/>
      <c r="Q869" s="13"/>
      <c r="R869" s="14"/>
    </row>
    <row r="870" spans="1:18" ht="15" customHeight="1">
      <c r="A870" s="17" t="s">
        <v>26</v>
      </c>
      <c r="B870" s="17" t="s">
        <v>356</v>
      </c>
      <c r="C870" s="18">
        <v>0.4861111111111111</v>
      </c>
      <c r="D870" s="17" t="s">
        <v>28</v>
      </c>
      <c r="E870" s="17" t="s">
        <v>98</v>
      </c>
      <c r="F870" s="17" t="s">
        <v>83</v>
      </c>
      <c r="G870" s="298"/>
      <c r="H870" s="10"/>
      <c r="I870" s="11"/>
      <c r="J870" s="11"/>
      <c r="K870" s="11"/>
      <c r="L870" s="11"/>
      <c r="M870" s="11"/>
      <c r="N870" s="11"/>
      <c r="O870" s="12"/>
      <c r="P870" s="11"/>
      <c r="Q870" s="13"/>
      <c r="R870" s="14"/>
    </row>
    <row r="871" spans="1:18" ht="15" customHeight="1">
      <c r="A871" s="15" t="s">
        <v>26</v>
      </c>
      <c r="B871" s="15" t="s">
        <v>356</v>
      </c>
      <c r="C871" s="16">
        <v>0.4861111111111111</v>
      </c>
      <c r="D871" s="15" t="s">
        <v>31</v>
      </c>
      <c r="E871" s="15" t="s">
        <v>99</v>
      </c>
      <c r="F871" s="15" t="s">
        <v>159</v>
      </c>
      <c r="G871" s="298"/>
      <c r="H871" s="10"/>
      <c r="I871" s="11"/>
      <c r="J871" s="11"/>
      <c r="K871" s="11"/>
      <c r="L871" s="11"/>
      <c r="M871" s="11"/>
      <c r="N871" s="11"/>
      <c r="O871" s="12"/>
      <c r="P871" s="11"/>
      <c r="Q871" s="13"/>
      <c r="R871" s="14"/>
    </row>
    <row r="872" spans="1:18" ht="15" customHeight="1">
      <c r="A872" s="15" t="s">
        <v>26</v>
      </c>
      <c r="B872" s="15" t="s">
        <v>356</v>
      </c>
      <c r="C872" s="16">
        <v>0.4861111111111111</v>
      </c>
      <c r="D872" s="15" t="s">
        <v>34</v>
      </c>
      <c r="E872" s="15" t="s">
        <v>99</v>
      </c>
      <c r="F872" s="15" t="s">
        <v>355</v>
      </c>
      <c r="G872" s="298"/>
      <c r="H872" s="10"/>
      <c r="I872" s="11"/>
      <c r="J872" s="11"/>
      <c r="K872" s="11"/>
      <c r="L872" s="11"/>
      <c r="M872" s="11"/>
      <c r="N872" s="11"/>
      <c r="O872" s="12"/>
      <c r="P872" s="11"/>
      <c r="Q872" s="13"/>
      <c r="R872" s="14"/>
    </row>
    <row r="873" spans="1:18" ht="15" customHeight="1">
      <c r="A873" s="17" t="s">
        <v>26</v>
      </c>
      <c r="B873" s="17" t="s">
        <v>353</v>
      </c>
      <c r="C873" s="18">
        <v>0.88888888888888884</v>
      </c>
      <c r="D873" s="17" t="s">
        <v>28</v>
      </c>
      <c r="E873" s="17" t="s">
        <v>98</v>
      </c>
      <c r="F873" s="17" t="s">
        <v>83</v>
      </c>
      <c r="G873" s="298"/>
      <c r="H873" s="10"/>
      <c r="I873" s="11"/>
      <c r="J873" s="11"/>
      <c r="K873" s="11"/>
      <c r="L873" s="11"/>
      <c r="M873" s="11"/>
      <c r="N873" s="11"/>
      <c r="O873" s="12"/>
      <c r="P873" s="11"/>
      <c r="Q873" s="13"/>
      <c r="R873" s="14"/>
    </row>
    <row r="874" spans="1:18" ht="15" customHeight="1">
      <c r="A874" s="15" t="s">
        <v>26</v>
      </c>
      <c r="B874" s="15" t="s">
        <v>353</v>
      </c>
      <c r="C874" s="16">
        <v>0.88888888888888884</v>
      </c>
      <c r="D874" s="15" t="s">
        <v>31</v>
      </c>
      <c r="E874" s="15" t="s">
        <v>99</v>
      </c>
      <c r="F874" s="15" t="s">
        <v>159</v>
      </c>
      <c r="G874" s="298"/>
      <c r="H874" s="10"/>
      <c r="I874" s="11"/>
      <c r="J874" s="11"/>
      <c r="K874" s="11"/>
      <c r="L874" s="11"/>
      <c r="M874" s="11"/>
      <c r="N874" s="11"/>
      <c r="O874" s="12"/>
      <c r="P874" s="11"/>
      <c r="Q874" s="13"/>
      <c r="R874" s="14"/>
    </row>
    <row r="875" spans="1:18" ht="15" customHeight="1">
      <c r="A875" s="15" t="s">
        <v>26</v>
      </c>
      <c r="B875" s="15" t="s">
        <v>353</v>
      </c>
      <c r="C875" s="16">
        <v>0.88888888888888884</v>
      </c>
      <c r="D875" s="15" t="s">
        <v>34</v>
      </c>
      <c r="E875" s="15" t="s">
        <v>99</v>
      </c>
      <c r="F875" s="15" t="s">
        <v>355</v>
      </c>
      <c r="G875" s="298"/>
      <c r="H875" s="10"/>
      <c r="I875" s="11"/>
      <c r="J875" s="11"/>
      <c r="K875" s="11"/>
      <c r="L875" s="11"/>
      <c r="M875" s="11"/>
      <c r="N875" s="11"/>
      <c r="O875" s="12"/>
      <c r="P875" s="11"/>
      <c r="Q875" s="13"/>
      <c r="R875" s="14"/>
    </row>
    <row r="876" spans="1:18" ht="15" customHeight="1">
      <c r="A876" s="17" t="s">
        <v>26</v>
      </c>
      <c r="B876" s="17" t="s">
        <v>350</v>
      </c>
      <c r="C876" s="18">
        <v>0.73611111111111116</v>
      </c>
      <c r="D876" s="17" t="s">
        <v>28</v>
      </c>
      <c r="E876" s="17" t="s">
        <v>98</v>
      </c>
      <c r="F876" s="17" t="s">
        <v>79</v>
      </c>
      <c r="G876" s="298"/>
      <c r="H876" s="10"/>
      <c r="I876" s="11"/>
      <c r="J876" s="11"/>
      <c r="K876" s="11"/>
      <c r="L876" s="11"/>
      <c r="M876" s="11"/>
      <c r="N876" s="11"/>
      <c r="O876" s="12"/>
      <c r="P876" s="11"/>
      <c r="Q876" s="13"/>
      <c r="R876" s="14"/>
    </row>
    <row r="877" spans="1:18" ht="15" customHeight="1">
      <c r="A877" s="15" t="s">
        <v>26</v>
      </c>
      <c r="B877" s="15" t="s">
        <v>350</v>
      </c>
      <c r="C877" s="16">
        <v>0.73611111111111116</v>
      </c>
      <c r="D877" s="15" t="s">
        <v>31</v>
      </c>
      <c r="E877" s="15" t="s">
        <v>99</v>
      </c>
      <c r="F877" s="15" t="s">
        <v>123</v>
      </c>
      <c r="G877" s="298"/>
      <c r="H877" s="10"/>
      <c r="I877" s="11"/>
      <c r="J877" s="11"/>
      <c r="K877" s="11"/>
      <c r="L877" s="11"/>
      <c r="M877" s="11"/>
      <c r="N877" s="11"/>
      <c r="O877" s="12"/>
      <c r="P877" s="11"/>
      <c r="Q877" s="13"/>
      <c r="R877" s="14"/>
    </row>
    <row r="878" spans="1:18" ht="15" customHeight="1">
      <c r="A878" s="15" t="s">
        <v>26</v>
      </c>
      <c r="B878" s="15" t="s">
        <v>350</v>
      </c>
      <c r="C878" s="16">
        <v>0.73611111111111116</v>
      </c>
      <c r="D878" s="15" t="s">
        <v>34</v>
      </c>
      <c r="E878" s="15" t="s">
        <v>99</v>
      </c>
      <c r="F878" s="15" t="s">
        <v>118</v>
      </c>
      <c r="G878" s="298"/>
      <c r="H878" s="10"/>
      <c r="I878" s="11"/>
      <c r="J878" s="11"/>
      <c r="K878" s="11"/>
      <c r="L878" s="11"/>
      <c r="M878" s="11"/>
      <c r="N878" s="11"/>
      <c r="O878" s="12"/>
      <c r="P878" s="11"/>
      <c r="Q878" s="13"/>
      <c r="R878" s="14"/>
    </row>
    <row r="879" spans="1:18" ht="15" customHeight="1">
      <c r="A879" s="17" t="s">
        <v>26</v>
      </c>
      <c r="B879" s="17" t="s">
        <v>352</v>
      </c>
      <c r="C879" s="18">
        <v>0.94444444444444453</v>
      </c>
      <c r="D879" s="17" t="s">
        <v>28</v>
      </c>
      <c r="E879" s="17" t="s">
        <v>90</v>
      </c>
      <c r="F879" s="17" t="s">
        <v>45</v>
      </c>
      <c r="G879" s="298"/>
      <c r="H879" s="10"/>
      <c r="I879" s="11"/>
      <c r="J879" s="11"/>
      <c r="K879" s="11"/>
      <c r="L879" s="11"/>
      <c r="M879" s="11"/>
      <c r="N879" s="11"/>
      <c r="O879" s="12"/>
      <c r="P879" s="11"/>
      <c r="Q879" s="13"/>
      <c r="R879" s="14"/>
    </row>
    <row r="880" spans="1:18" ht="15" customHeight="1">
      <c r="A880" s="15" t="s">
        <v>26</v>
      </c>
      <c r="B880" s="15" t="s">
        <v>352</v>
      </c>
      <c r="C880" s="16">
        <v>0.94444444444444453</v>
      </c>
      <c r="D880" s="15" t="s">
        <v>31</v>
      </c>
      <c r="E880" s="15" t="s">
        <v>82</v>
      </c>
      <c r="F880" s="15" t="s">
        <v>355</v>
      </c>
      <c r="G880" s="298"/>
      <c r="H880" s="10"/>
      <c r="I880" s="11"/>
      <c r="J880" s="11"/>
      <c r="K880" s="11"/>
      <c r="L880" s="11"/>
      <c r="M880" s="11"/>
      <c r="N880" s="11"/>
      <c r="O880" s="12"/>
      <c r="P880" s="11"/>
      <c r="Q880" s="13"/>
      <c r="R880" s="14"/>
    </row>
    <row r="881" spans="1:18" ht="15" customHeight="1">
      <c r="A881" s="15" t="s">
        <v>26</v>
      </c>
      <c r="B881" s="15" t="s">
        <v>352</v>
      </c>
      <c r="C881" s="16">
        <v>0.94444444444444453</v>
      </c>
      <c r="D881" s="15" t="s">
        <v>34</v>
      </c>
      <c r="E881" s="15" t="s">
        <v>82</v>
      </c>
      <c r="F881" s="15" t="s">
        <v>358</v>
      </c>
      <c r="G881" s="298"/>
      <c r="H881" s="10"/>
      <c r="I881" s="11"/>
      <c r="J881" s="11"/>
      <c r="K881" s="11"/>
      <c r="L881" s="11"/>
      <c r="M881" s="11"/>
      <c r="N881" s="11"/>
      <c r="O881" s="12"/>
      <c r="P881" s="11"/>
      <c r="Q881" s="13"/>
      <c r="R881" s="14"/>
    </row>
    <row r="882" spans="1:18" ht="15" customHeight="1">
      <c r="A882" s="17" t="s">
        <v>26</v>
      </c>
      <c r="B882" s="17" t="s">
        <v>357</v>
      </c>
      <c r="C882" s="18">
        <v>0.55902777777777779</v>
      </c>
      <c r="D882" s="17" t="s">
        <v>28</v>
      </c>
      <c r="E882" s="17" t="s">
        <v>90</v>
      </c>
      <c r="F882" s="17" t="s">
        <v>45</v>
      </c>
      <c r="G882" s="298"/>
      <c r="H882" s="10"/>
      <c r="I882" s="11"/>
      <c r="J882" s="11"/>
      <c r="K882" s="11"/>
      <c r="L882" s="11"/>
      <c r="M882" s="11"/>
      <c r="N882" s="11"/>
      <c r="O882" s="12"/>
      <c r="P882" s="11"/>
      <c r="Q882" s="13"/>
      <c r="R882" s="14"/>
    </row>
    <row r="883" spans="1:18" ht="15" customHeight="1">
      <c r="A883" s="15" t="s">
        <v>26</v>
      </c>
      <c r="B883" s="15" t="s">
        <v>357</v>
      </c>
      <c r="C883" s="16">
        <v>0.55902777777777779</v>
      </c>
      <c r="D883" s="15" t="s">
        <v>31</v>
      </c>
      <c r="E883" s="15" t="s">
        <v>82</v>
      </c>
      <c r="F883" s="15" t="s">
        <v>355</v>
      </c>
      <c r="G883" s="298"/>
      <c r="H883" s="10"/>
      <c r="I883" s="11"/>
      <c r="J883" s="11"/>
      <c r="K883" s="11"/>
      <c r="L883" s="11"/>
      <c r="M883" s="11"/>
      <c r="N883" s="11"/>
      <c r="O883" s="12"/>
      <c r="P883" s="11"/>
      <c r="Q883" s="13"/>
      <c r="R883" s="14"/>
    </row>
    <row r="884" spans="1:18" ht="15" customHeight="1">
      <c r="A884" s="15" t="s">
        <v>26</v>
      </c>
      <c r="B884" s="15" t="s">
        <v>357</v>
      </c>
      <c r="C884" s="16">
        <v>0.55902777777777779</v>
      </c>
      <c r="D884" s="15" t="s">
        <v>34</v>
      </c>
      <c r="E884" s="15" t="s">
        <v>82</v>
      </c>
      <c r="F884" s="15" t="s">
        <v>358</v>
      </c>
      <c r="G884" s="298"/>
      <c r="H884" s="10"/>
      <c r="I884" s="11"/>
      <c r="J884" s="11"/>
      <c r="K884" s="11"/>
      <c r="L884" s="11"/>
      <c r="M884" s="11"/>
      <c r="N884" s="11"/>
      <c r="O884" s="12"/>
      <c r="P884" s="11"/>
      <c r="Q884" s="13"/>
      <c r="R884" s="14"/>
    </row>
    <row r="885" spans="1:18" ht="15" customHeight="1">
      <c r="A885" s="17" t="s">
        <v>26</v>
      </c>
      <c r="B885" s="17" t="s">
        <v>354</v>
      </c>
      <c r="C885" s="18">
        <v>0.34722222222222232</v>
      </c>
      <c r="D885" s="17" t="s">
        <v>28</v>
      </c>
      <c r="E885" s="17" t="s">
        <v>98</v>
      </c>
      <c r="F885" s="17" t="s">
        <v>455</v>
      </c>
      <c r="G885" s="298"/>
      <c r="H885" s="10"/>
      <c r="I885" s="11"/>
      <c r="J885" s="11"/>
      <c r="K885" s="11"/>
      <c r="L885" s="11"/>
      <c r="M885" s="11"/>
      <c r="N885" s="11"/>
      <c r="O885" s="12"/>
      <c r="P885" s="11"/>
      <c r="Q885" s="13"/>
      <c r="R885" s="14"/>
    </row>
    <row r="886" spans="1:18" ht="15" customHeight="1">
      <c r="A886" s="15" t="s">
        <v>26</v>
      </c>
      <c r="B886" s="15" t="s">
        <v>354</v>
      </c>
      <c r="C886" s="16">
        <v>0.34722222222222232</v>
      </c>
      <c r="D886" s="15" t="s">
        <v>31</v>
      </c>
      <c r="E886" s="15" t="s">
        <v>99</v>
      </c>
      <c r="F886" s="15" t="s">
        <v>456</v>
      </c>
      <c r="G886" s="298"/>
      <c r="H886" s="10"/>
      <c r="I886" s="11"/>
      <c r="J886" s="11"/>
      <c r="K886" s="11"/>
      <c r="L886" s="11"/>
      <c r="M886" s="11"/>
      <c r="N886" s="11"/>
      <c r="O886" s="12"/>
      <c r="P886" s="11"/>
      <c r="Q886" s="13"/>
      <c r="R886" s="14"/>
    </row>
    <row r="887" spans="1:18" ht="15" customHeight="1">
      <c r="A887" s="15" t="s">
        <v>26</v>
      </c>
      <c r="B887" s="15" t="s">
        <v>354</v>
      </c>
      <c r="C887" s="16">
        <v>0.34722222222222232</v>
      </c>
      <c r="D887" s="15" t="s">
        <v>34</v>
      </c>
      <c r="E887" s="15" t="s">
        <v>99</v>
      </c>
      <c r="F887" s="15" t="s">
        <v>457</v>
      </c>
      <c r="G887" s="298"/>
      <c r="H887" s="10"/>
      <c r="I887" s="11"/>
      <c r="J887" s="11"/>
      <c r="K887" s="11"/>
      <c r="L887" s="11"/>
      <c r="M887" s="11"/>
      <c r="N887" s="11"/>
      <c r="O887" s="12"/>
      <c r="P887" s="11"/>
      <c r="Q887" s="13"/>
      <c r="R887" s="14"/>
    </row>
    <row r="888" spans="1:18" ht="15" customHeight="1">
      <c r="A888" s="19" t="s">
        <v>48</v>
      </c>
      <c r="B888" s="19" t="s">
        <v>386</v>
      </c>
      <c r="C888" s="20">
        <v>0.82986111111111116</v>
      </c>
      <c r="D888" s="19" t="s">
        <v>50</v>
      </c>
      <c r="E888" s="19" t="s">
        <v>51</v>
      </c>
      <c r="F888" s="19" t="s">
        <v>383</v>
      </c>
      <c r="G888" s="298"/>
      <c r="H888" s="10"/>
      <c r="I888" s="11"/>
      <c r="J888" s="11"/>
      <c r="K888" s="11"/>
      <c r="L888" s="11"/>
      <c r="M888" s="11"/>
      <c r="N888" s="11"/>
      <c r="O888" s="12"/>
      <c r="P888" s="11"/>
      <c r="Q888" s="13"/>
      <c r="R888" s="14"/>
    </row>
    <row r="889" spans="1:18" ht="15" customHeight="1">
      <c r="A889" s="15" t="s">
        <v>48</v>
      </c>
      <c r="B889" s="15" t="s">
        <v>386</v>
      </c>
      <c r="C889" s="16">
        <v>0.82986111111111116</v>
      </c>
      <c r="D889" s="15" t="s">
        <v>53</v>
      </c>
      <c r="E889" s="15" t="s">
        <v>54</v>
      </c>
      <c r="F889" s="15" t="s">
        <v>384</v>
      </c>
      <c r="G889" s="298"/>
      <c r="H889" s="10"/>
      <c r="I889" s="11"/>
      <c r="J889" s="11"/>
      <c r="K889" s="11"/>
      <c r="L889" s="11"/>
      <c r="M889" s="11"/>
      <c r="N889" s="11"/>
      <c r="O889" s="12"/>
      <c r="P889" s="11"/>
      <c r="Q889" s="13"/>
      <c r="R889" s="14"/>
    </row>
    <row r="890" spans="1:18" ht="15" customHeight="1">
      <c r="A890" s="17" t="s">
        <v>48</v>
      </c>
      <c r="B890" s="17" t="s">
        <v>388</v>
      </c>
      <c r="C890" s="18">
        <v>0.72222222222222221</v>
      </c>
      <c r="D890" s="17" t="s">
        <v>50</v>
      </c>
      <c r="E890" s="17" t="s">
        <v>57</v>
      </c>
      <c r="F890" s="17" t="s">
        <v>79</v>
      </c>
      <c r="G890" s="298"/>
      <c r="H890" s="10"/>
      <c r="I890" s="11"/>
      <c r="J890" s="11"/>
      <c r="K890" s="11"/>
      <c r="L890" s="11"/>
      <c r="M890" s="11"/>
      <c r="N890" s="11"/>
      <c r="O890" s="12"/>
      <c r="P890" s="11"/>
      <c r="Q890" s="13"/>
      <c r="R890" s="14"/>
    </row>
    <row r="891" spans="1:18" ht="15" customHeight="1">
      <c r="A891" s="15" t="s">
        <v>48</v>
      </c>
      <c r="B891" s="15" t="s">
        <v>388</v>
      </c>
      <c r="C891" s="16">
        <v>0.72222222222222221</v>
      </c>
      <c r="D891" s="15" t="s">
        <v>53</v>
      </c>
      <c r="E891" s="15" t="s">
        <v>54</v>
      </c>
      <c r="F891" s="15" t="s">
        <v>387</v>
      </c>
      <c r="G891" s="298"/>
      <c r="H891" s="10"/>
      <c r="I891" s="11"/>
      <c r="J891" s="11"/>
      <c r="K891" s="11"/>
      <c r="L891" s="11"/>
      <c r="M891" s="11"/>
      <c r="N891" s="11"/>
      <c r="O891" s="12"/>
      <c r="P891" s="11"/>
      <c r="Q891" s="13"/>
      <c r="R891" s="14"/>
    </row>
    <row r="892" spans="1:18" ht="15" customHeight="1">
      <c r="A892" s="17" t="s">
        <v>48</v>
      </c>
      <c r="B892" s="17" t="s">
        <v>385</v>
      </c>
      <c r="C892" s="18">
        <v>0.94097222222222221</v>
      </c>
      <c r="D892" s="17" t="s">
        <v>50</v>
      </c>
      <c r="E892" s="17" t="s">
        <v>57</v>
      </c>
      <c r="F892" s="17" t="s">
        <v>79</v>
      </c>
      <c r="G892" s="298"/>
      <c r="H892" s="10"/>
      <c r="I892" s="11"/>
      <c r="J892" s="11"/>
      <c r="K892" s="11"/>
      <c r="L892" s="11"/>
      <c r="M892" s="11"/>
      <c r="N892" s="11"/>
      <c r="O892" s="12"/>
      <c r="P892" s="11"/>
      <c r="Q892" s="13"/>
      <c r="R892" s="14"/>
    </row>
    <row r="893" spans="1:18" ht="15" customHeight="1">
      <c r="A893" s="15" t="s">
        <v>48</v>
      </c>
      <c r="B893" s="15" t="s">
        <v>385</v>
      </c>
      <c r="C893" s="16">
        <v>0.94097222222222221</v>
      </c>
      <c r="D893" s="15" t="s">
        <v>53</v>
      </c>
      <c r="E893" s="15" t="s">
        <v>54</v>
      </c>
      <c r="F893" s="15" t="s">
        <v>387</v>
      </c>
      <c r="G893" s="298"/>
      <c r="H893" s="10"/>
      <c r="I893" s="11"/>
      <c r="J893" s="11"/>
      <c r="K893" s="11"/>
      <c r="L893" s="11"/>
      <c r="M893" s="11"/>
      <c r="N893" s="11"/>
      <c r="O893" s="12"/>
      <c r="P893" s="11"/>
      <c r="Q893" s="13"/>
      <c r="R893" s="14"/>
    </row>
    <row r="894" spans="1:18" ht="15" customHeight="1">
      <c r="A894" s="17" t="s">
        <v>48</v>
      </c>
      <c r="B894" s="17" t="s">
        <v>389</v>
      </c>
      <c r="C894" s="18">
        <v>0.70138888888888884</v>
      </c>
      <c r="D894" s="17" t="s">
        <v>50</v>
      </c>
      <c r="E894" s="17" t="s">
        <v>57</v>
      </c>
      <c r="F894" s="17" t="s">
        <v>462</v>
      </c>
      <c r="G894" s="298"/>
      <c r="H894" s="10"/>
      <c r="I894" s="11"/>
      <c r="J894" s="11"/>
      <c r="K894" s="11"/>
      <c r="L894" s="11"/>
      <c r="M894" s="11"/>
      <c r="N894" s="11"/>
      <c r="O894" s="12"/>
      <c r="P894" s="11"/>
      <c r="Q894" s="13"/>
      <c r="R894" s="14"/>
    </row>
    <row r="895" spans="1:18" ht="15" customHeight="1">
      <c r="A895" s="15" t="s">
        <v>48</v>
      </c>
      <c r="B895" s="15" t="s">
        <v>389</v>
      </c>
      <c r="C895" s="16">
        <v>0.70138888888888884</v>
      </c>
      <c r="D895" s="15" t="s">
        <v>53</v>
      </c>
      <c r="E895" s="15" t="s">
        <v>54</v>
      </c>
      <c r="F895" s="15" t="s">
        <v>463</v>
      </c>
      <c r="G895" s="298"/>
      <c r="H895" s="10"/>
      <c r="I895" s="11"/>
      <c r="J895" s="11"/>
      <c r="K895" s="11"/>
      <c r="L895" s="11"/>
      <c r="M895" s="11"/>
      <c r="N895" s="11"/>
      <c r="O895" s="12"/>
      <c r="P895" s="11"/>
      <c r="Q895" s="13"/>
      <c r="R895" s="14"/>
    </row>
    <row r="896" spans="1:18" ht="15" customHeight="1">
      <c r="A896" s="17" t="s">
        <v>48</v>
      </c>
      <c r="B896" s="17" t="s">
        <v>390</v>
      </c>
      <c r="C896" s="18">
        <v>4.1666666666666657E-2</v>
      </c>
      <c r="D896" s="17" t="s">
        <v>50</v>
      </c>
      <c r="E896" s="17" t="s">
        <v>57</v>
      </c>
      <c r="F896" s="17" t="s">
        <v>462</v>
      </c>
      <c r="G896" s="298"/>
      <c r="H896" s="10"/>
      <c r="I896" s="11"/>
      <c r="J896" s="11"/>
      <c r="K896" s="11"/>
      <c r="L896" s="11"/>
      <c r="M896" s="11"/>
      <c r="N896" s="11"/>
      <c r="O896" s="12"/>
      <c r="P896" s="11"/>
      <c r="Q896" s="13"/>
      <c r="R896" s="14"/>
    </row>
    <row r="897" spans="1:18" ht="15" customHeight="1">
      <c r="A897" s="15" t="s">
        <v>48</v>
      </c>
      <c r="B897" s="15" t="s">
        <v>390</v>
      </c>
      <c r="C897" s="16">
        <v>4.1666666666666657E-2</v>
      </c>
      <c r="D897" s="15" t="s">
        <v>53</v>
      </c>
      <c r="E897" s="15" t="s">
        <v>54</v>
      </c>
      <c r="F897" s="15" t="s">
        <v>463</v>
      </c>
      <c r="G897" s="298"/>
      <c r="H897" s="10"/>
      <c r="I897" s="11"/>
      <c r="J897" s="11"/>
      <c r="K897" s="11"/>
      <c r="L897" s="11"/>
      <c r="M897" s="11"/>
      <c r="N897" s="11"/>
      <c r="O897" s="12"/>
      <c r="P897" s="11"/>
      <c r="Q897" s="13"/>
      <c r="R897" s="14"/>
    </row>
    <row r="898" spans="1:18" ht="15" customHeight="1">
      <c r="A898" s="17" t="s">
        <v>48</v>
      </c>
      <c r="B898" s="17" t="s">
        <v>391</v>
      </c>
      <c r="C898" s="18">
        <v>0.48958333333333331</v>
      </c>
      <c r="D898" s="17" t="s">
        <v>50</v>
      </c>
      <c r="E898" s="17" t="s">
        <v>57</v>
      </c>
      <c r="F898" s="17" t="s">
        <v>392</v>
      </c>
      <c r="G898" s="298"/>
      <c r="H898" s="10"/>
      <c r="I898" s="11"/>
      <c r="J898" s="11"/>
      <c r="K898" s="11"/>
      <c r="L898" s="11"/>
      <c r="M898" s="11"/>
      <c r="N898" s="11"/>
      <c r="O898" s="12"/>
      <c r="P898" s="11"/>
      <c r="Q898" s="13"/>
      <c r="R898" s="14"/>
    </row>
    <row r="899" spans="1:18" ht="15" customHeight="1">
      <c r="A899" s="15" t="s">
        <v>48</v>
      </c>
      <c r="B899" s="15" t="s">
        <v>391</v>
      </c>
      <c r="C899" s="16">
        <v>0.48958333333333331</v>
      </c>
      <c r="D899" s="15" t="s">
        <v>53</v>
      </c>
      <c r="E899" s="15" t="s">
        <v>54</v>
      </c>
      <c r="F899" s="15" t="s">
        <v>393</v>
      </c>
      <c r="G899" s="298"/>
      <c r="H899" s="10"/>
      <c r="I899" s="11"/>
      <c r="J899" s="11"/>
      <c r="K899" s="11"/>
      <c r="L899" s="11"/>
      <c r="M899" s="11"/>
      <c r="N899" s="11"/>
      <c r="O899" s="12"/>
      <c r="P899" s="11"/>
      <c r="Q899" s="13"/>
      <c r="R899" s="14"/>
    </row>
    <row r="900" spans="1:18" ht="15" customHeight="1">
      <c r="A900" s="17" t="s">
        <v>48</v>
      </c>
      <c r="B900" s="17" t="s">
        <v>382</v>
      </c>
      <c r="C900" s="18">
        <v>0.11805555555555559</v>
      </c>
      <c r="D900" s="17" t="s">
        <v>50</v>
      </c>
      <c r="E900" s="17" t="s">
        <v>57</v>
      </c>
      <c r="F900" s="17" t="s">
        <v>392</v>
      </c>
      <c r="G900" s="298"/>
      <c r="H900" s="10"/>
      <c r="I900" s="11"/>
      <c r="J900" s="11"/>
      <c r="K900" s="11"/>
      <c r="L900" s="11"/>
      <c r="M900" s="11"/>
      <c r="N900" s="11"/>
      <c r="O900" s="12"/>
      <c r="P900" s="11"/>
      <c r="Q900" s="13"/>
      <c r="R900" s="14"/>
    </row>
    <row r="901" spans="1:18" ht="15" customHeight="1">
      <c r="A901" s="15" t="s">
        <v>48</v>
      </c>
      <c r="B901" s="15" t="s">
        <v>382</v>
      </c>
      <c r="C901" s="16">
        <v>0.11805555555555559</v>
      </c>
      <c r="D901" s="15" t="s">
        <v>53</v>
      </c>
      <c r="E901" s="15" t="s">
        <v>54</v>
      </c>
      <c r="F901" s="15" t="s">
        <v>393</v>
      </c>
      <c r="G901" s="298"/>
      <c r="H901" s="10"/>
      <c r="I901" s="11"/>
      <c r="J901" s="11"/>
      <c r="K901" s="11"/>
      <c r="L901" s="11"/>
      <c r="M901" s="11"/>
      <c r="N901" s="11"/>
      <c r="O901" s="12"/>
      <c r="P901" s="11"/>
      <c r="Q901" s="13"/>
      <c r="R901" s="14"/>
    </row>
    <row r="902" spans="1:18" ht="15" customHeight="1">
      <c r="A902" s="17" t="s">
        <v>48</v>
      </c>
      <c r="B902" s="17" t="s">
        <v>400</v>
      </c>
      <c r="C902" s="18">
        <v>0.25347222222222221</v>
      </c>
      <c r="D902" s="17" t="s">
        <v>50</v>
      </c>
      <c r="E902" s="17" t="s">
        <v>57</v>
      </c>
      <c r="F902" s="17" t="s">
        <v>392</v>
      </c>
      <c r="G902" s="298"/>
      <c r="H902" s="10"/>
      <c r="I902" s="11"/>
      <c r="J902" s="11"/>
      <c r="K902" s="11"/>
      <c r="L902" s="11"/>
      <c r="M902" s="11"/>
      <c r="N902" s="11"/>
      <c r="O902" s="12"/>
      <c r="P902" s="11"/>
      <c r="Q902" s="13"/>
      <c r="R902" s="14"/>
    </row>
    <row r="903" spans="1:18" ht="15" customHeight="1">
      <c r="A903" s="15" t="s">
        <v>48</v>
      </c>
      <c r="B903" s="15" t="s">
        <v>400</v>
      </c>
      <c r="C903" s="16">
        <v>0.25347222222222221</v>
      </c>
      <c r="D903" s="15" t="s">
        <v>53</v>
      </c>
      <c r="E903" s="15" t="s">
        <v>54</v>
      </c>
      <c r="F903" s="15" t="s">
        <v>393</v>
      </c>
      <c r="G903" s="298"/>
      <c r="H903" s="10"/>
      <c r="I903" s="11"/>
      <c r="J903" s="11"/>
      <c r="K903" s="11"/>
      <c r="L903" s="11"/>
      <c r="M903" s="11"/>
      <c r="N903" s="11"/>
      <c r="O903" s="12"/>
      <c r="P903" s="11"/>
      <c r="Q903" s="13"/>
      <c r="R903" s="14"/>
    </row>
    <row r="904" spans="1:18" ht="15" customHeight="1">
      <c r="A904" s="17" t="s">
        <v>48</v>
      </c>
      <c r="B904" s="17" t="s">
        <v>396</v>
      </c>
      <c r="C904" s="18">
        <v>0.48958333333333331</v>
      </c>
      <c r="D904" s="17" t="s">
        <v>53</v>
      </c>
      <c r="E904" s="17" t="s">
        <v>37</v>
      </c>
      <c r="F904" s="17" t="s">
        <v>395</v>
      </c>
      <c r="G904" s="298"/>
      <c r="H904" s="10"/>
      <c r="I904" s="11"/>
      <c r="J904" s="11"/>
      <c r="K904" s="11"/>
      <c r="L904" s="11"/>
      <c r="M904" s="11"/>
      <c r="N904" s="11"/>
      <c r="O904" s="12"/>
      <c r="P904" s="11"/>
      <c r="Q904" s="13"/>
      <c r="R904" s="14"/>
    </row>
    <row r="905" spans="1:18" ht="15" customHeight="1">
      <c r="A905" s="17" t="s">
        <v>48</v>
      </c>
      <c r="B905" s="17" t="s">
        <v>397</v>
      </c>
      <c r="C905" s="18">
        <v>0.88888888888888884</v>
      </c>
      <c r="D905" s="17" t="s">
        <v>53</v>
      </c>
      <c r="E905" s="17" t="s">
        <v>37</v>
      </c>
      <c r="F905" s="17" t="s">
        <v>438</v>
      </c>
      <c r="G905" s="298"/>
      <c r="H905" s="10"/>
      <c r="I905" s="11"/>
      <c r="J905" s="11"/>
      <c r="K905" s="11"/>
      <c r="L905" s="11"/>
      <c r="M905" s="11"/>
      <c r="N905" s="11"/>
      <c r="O905" s="12"/>
      <c r="P905" s="11"/>
      <c r="Q905" s="13"/>
      <c r="R905" s="14"/>
    </row>
    <row r="906" spans="1:18" ht="15" customHeight="1">
      <c r="A906" s="17" t="s">
        <v>48</v>
      </c>
      <c r="B906" s="17" t="s">
        <v>394</v>
      </c>
      <c r="C906" s="18">
        <v>0.98958333333333337</v>
      </c>
      <c r="D906" s="17" t="s">
        <v>53</v>
      </c>
      <c r="E906" s="17" t="s">
        <v>37</v>
      </c>
      <c r="F906" s="17" t="s">
        <v>399</v>
      </c>
      <c r="G906" s="298"/>
      <c r="H906" s="10"/>
      <c r="I906" s="11"/>
      <c r="J906" s="11"/>
      <c r="K906" s="11"/>
      <c r="L906" s="11"/>
      <c r="M906" s="11"/>
      <c r="N906" s="11"/>
      <c r="O906" s="12"/>
      <c r="P906" s="11"/>
      <c r="Q906" s="13"/>
      <c r="R906" s="14"/>
    </row>
    <row r="907" spans="1:18" ht="15" customHeight="1">
      <c r="A907" s="17" t="s">
        <v>48</v>
      </c>
      <c r="B907" s="17" t="s">
        <v>398</v>
      </c>
      <c r="C907" s="18">
        <v>0.39930555555555558</v>
      </c>
      <c r="D907" s="17" t="s">
        <v>53</v>
      </c>
      <c r="E907" s="17" t="s">
        <v>37</v>
      </c>
      <c r="F907" s="17" t="s">
        <v>399</v>
      </c>
      <c r="G907" s="298"/>
      <c r="H907" s="10"/>
      <c r="I907" s="11"/>
      <c r="J907" s="11"/>
      <c r="K907" s="11"/>
      <c r="L907" s="11"/>
      <c r="M907" s="11"/>
      <c r="N907" s="11"/>
      <c r="O907" s="12"/>
      <c r="P907" s="11"/>
      <c r="Q907" s="13"/>
      <c r="R907" s="14"/>
    </row>
    <row r="908" spans="1:18" ht="15" customHeight="1">
      <c r="A908" s="19" t="s">
        <v>402</v>
      </c>
      <c r="B908" s="19" t="s">
        <v>403</v>
      </c>
      <c r="C908" s="20">
        <v>0.49305555555555558</v>
      </c>
      <c r="D908" s="19" t="s">
        <v>63</v>
      </c>
      <c r="E908" s="19" t="s">
        <v>103</v>
      </c>
      <c r="F908" s="19" t="s">
        <v>404</v>
      </c>
      <c r="G908" s="298"/>
      <c r="H908" s="10"/>
      <c r="I908" s="11"/>
      <c r="J908" s="11"/>
      <c r="K908" s="11"/>
      <c r="L908" s="11"/>
      <c r="M908" s="11"/>
      <c r="N908" s="11"/>
      <c r="O908" s="12"/>
      <c r="P908" s="11"/>
      <c r="Q908" s="13"/>
      <c r="R908" s="14"/>
    </row>
    <row r="909" spans="1:18" ht="15" customHeight="1">
      <c r="A909" s="17" t="s">
        <v>402</v>
      </c>
      <c r="B909" s="17" t="s">
        <v>465</v>
      </c>
      <c r="C909" s="18">
        <v>0.13541666666666671</v>
      </c>
      <c r="D909" s="17" t="s">
        <v>63</v>
      </c>
      <c r="E909" s="17" t="s">
        <v>98</v>
      </c>
      <c r="F909" s="17" t="s">
        <v>404</v>
      </c>
      <c r="G909" s="298"/>
      <c r="H909" s="10"/>
      <c r="I909" s="11"/>
      <c r="J909" s="11"/>
      <c r="K909" s="11"/>
      <c r="L909" s="11"/>
      <c r="M909" s="11"/>
      <c r="N909" s="11"/>
      <c r="O909" s="12"/>
      <c r="P909" s="11"/>
      <c r="Q909" s="13"/>
      <c r="R909" s="14"/>
    </row>
    <row r="910" spans="1:18" ht="15" customHeight="1">
      <c r="A910" s="17" t="s">
        <v>402</v>
      </c>
      <c r="B910" s="17" t="s">
        <v>473</v>
      </c>
      <c r="C910" s="18">
        <v>0.86805555555555547</v>
      </c>
      <c r="D910" s="17" t="s">
        <v>63</v>
      </c>
      <c r="E910" s="17" t="s">
        <v>98</v>
      </c>
      <c r="F910" s="17" t="s">
        <v>404</v>
      </c>
      <c r="G910" s="298"/>
      <c r="H910" s="10"/>
      <c r="I910" s="11"/>
      <c r="J910" s="11"/>
      <c r="K910" s="11"/>
      <c r="L910" s="11"/>
      <c r="M910" s="11"/>
      <c r="N910" s="11"/>
      <c r="O910" s="12"/>
      <c r="P910" s="11"/>
      <c r="Q910" s="13"/>
      <c r="R910" s="14"/>
    </row>
    <row r="911" spans="1:18" ht="15" customHeight="1">
      <c r="A911" s="19" t="s">
        <v>68</v>
      </c>
      <c r="B911" s="19" t="s">
        <v>405</v>
      </c>
      <c r="C911" s="20">
        <v>0.83680555555555547</v>
      </c>
      <c r="D911" s="19" t="s">
        <v>70</v>
      </c>
      <c r="E911" s="19" t="s">
        <v>51</v>
      </c>
      <c r="F911" s="19" t="s">
        <v>406</v>
      </c>
      <c r="G911" s="298"/>
      <c r="H911" s="10"/>
      <c r="I911" s="11"/>
      <c r="J911" s="11"/>
      <c r="K911" s="11"/>
      <c r="L911" s="11"/>
      <c r="M911" s="11"/>
      <c r="N911" s="11"/>
      <c r="O911" s="12"/>
      <c r="P911" s="11"/>
      <c r="Q911" s="13"/>
      <c r="R911" s="14"/>
    </row>
    <row r="912" spans="1:18" ht="15" customHeight="1">
      <c r="A912" s="17" t="s">
        <v>68</v>
      </c>
      <c r="B912" s="17" t="s">
        <v>407</v>
      </c>
      <c r="C912" s="18">
        <v>0.3125</v>
      </c>
      <c r="D912" s="17" t="s">
        <v>70</v>
      </c>
      <c r="E912" s="17" t="s">
        <v>57</v>
      </c>
      <c r="F912" s="17" t="s">
        <v>406</v>
      </c>
      <c r="G912" s="298"/>
      <c r="H912" s="10"/>
      <c r="I912" s="11"/>
      <c r="J912" s="11"/>
      <c r="K912" s="11"/>
      <c r="L912" s="11"/>
      <c r="M912" s="11"/>
      <c r="N912" s="11"/>
      <c r="O912" s="12"/>
      <c r="P912" s="11"/>
      <c r="Q912" s="13"/>
      <c r="R912" s="14"/>
    </row>
    <row r="913" spans="1:18" ht="15" customHeight="1">
      <c r="A913" s="17" t="s">
        <v>68</v>
      </c>
      <c r="B913" s="17" t="s">
        <v>408</v>
      </c>
      <c r="C913" s="18">
        <v>0.97222222222222221</v>
      </c>
      <c r="D913" s="17" t="s">
        <v>70</v>
      </c>
      <c r="E913" s="17" t="s">
        <v>57</v>
      </c>
      <c r="F913" s="17" t="s">
        <v>406</v>
      </c>
      <c r="G913" s="298"/>
      <c r="H913" s="10"/>
      <c r="I913" s="11"/>
      <c r="J913" s="11"/>
      <c r="K913" s="11"/>
      <c r="L913" s="11"/>
      <c r="M913" s="11"/>
      <c r="N913" s="11"/>
      <c r="O913" s="12"/>
      <c r="P913" s="11"/>
      <c r="Q913" s="13"/>
      <c r="R913" s="14"/>
    </row>
    <row r="914" spans="1:18" ht="15" customHeight="1">
      <c r="A914" s="17" t="s">
        <v>68</v>
      </c>
      <c r="B914" s="17" t="s">
        <v>409</v>
      </c>
      <c r="C914" s="18">
        <v>0.34027777777777768</v>
      </c>
      <c r="D914" s="17" t="s">
        <v>70</v>
      </c>
      <c r="E914" s="17" t="s">
        <v>57</v>
      </c>
      <c r="F914" s="17" t="s">
        <v>406</v>
      </c>
      <c r="G914" s="298"/>
      <c r="H914" s="10"/>
      <c r="I914" s="11"/>
      <c r="J914" s="11"/>
      <c r="K914" s="11"/>
      <c r="L914" s="11"/>
      <c r="M914" s="11"/>
      <c r="N914" s="11"/>
      <c r="O914" s="12"/>
      <c r="P914" s="11"/>
      <c r="Q914" s="13"/>
      <c r="R914" s="14"/>
    </row>
    <row r="915" spans="1:18" ht="15" customHeight="1">
      <c r="A915" s="17" t="s">
        <v>68</v>
      </c>
      <c r="B915" s="17" t="s">
        <v>411</v>
      </c>
      <c r="C915" s="18">
        <v>0.78472222222222221</v>
      </c>
      <c r="D915" s="17" t="s">
        <v>70</v>
      </c>
      <c r="E915" s="17" t="s">
        <v>57</v>
      </c>
      <c r="F915" s="17" t="s">
        <v>406</v>
      </c>
      <c r="G915" s="298"/>
      <c r="H915" s="10"/>
      <c r="I915" s="11"/>
      <c r="J915" s="11"/>
      <c r="K915" s="11"/>
      <c r="L915" s="11"/>
      <c r="M915" s="11"/>
      <c r="N915" s="11"/>
      <c r="O915" s="12"/>
      <c r="P915" s="11"/>
      <c r="Q915" s="13"/>
      <c r="R915" s="14"/>
    </row>
    <row r="916" spans="1:18" ht="15" customHeight="1">
      <c r="A916" s="17" t="s">
        <v>68</v>
      </c>
      <c r="B916" s="17" t="s">
        <v>410</v>
      </c>
      <c r="C916" s="18">
        <v>0.59722222222222221</v>
      </c>
      <c r="D916" s="17" t="s">
        <v>70</v>
      </c>
      <c r="E916" s="17" t="s">
        <v>57</v>
      </c>
      <c r="F916" s="17" t="s">
        <v>406</v>
      </c>
      <c r="G916" s="298"/>
      <c r="H916" s="10"/>
      <c r="I916" s="11"/>
      <c r="J916" s="11"/>
      <c r="K916" s="11"/>
      <c r="L916" s="11"/>
      <c r="M916" s="11"/>
      <c r="N916" s="11"/>
      <c r="O916" s="12"/>
      <c r="P916" s="11"/>
      <c r="Q916" s="13"/>
      <c r="R916" s="14"/>
    </row>
    <row r="917" spans="1:18" ht="15" customHeight="1">
      <c r="A917" s="17" t="s">
        <v>68</v>
      </c>
      <c r="B917" s="17" t="s">
        <v>413</v>
      </c>
      <c r="C917" s="18">
        <v>4.8611111111111112E-2</v>
      </c>
      <c r="D917" s="17" t="s">
        <v>70</v>
      </c>
      <c r="E917" s="17" t="s">
        <v>57</v>
      </c>
      <c r="F917" s="17" t="s">
        <v>406</v>
      </c>
      <c r="G917" s="298"/>
      <c r="H917" s="10"/>
      <c r="I917" s="11"/>
      <c r="J917" s="11"/>
      <c r="K917" s="11"/>
      <c r="L917" s="11"/>
      <c r="M917" s="11"/>
      <c r="N917" s="11"/>
      <c r="O917" s="12"/>
      <c r="P917" s="11"/>
      <c r="Q917" s="13"/>
      <c r="R917" s="14"/>
    </row>
    <row r="918" spans="1:18" ht="15" customHeight="1">
      <c r="A918" s="17" t="s">
        <v>68</v>
      </c>
      <c r="B918" s="17" t="s">
        <v>437</v>
      </c>
      <c r="C918" s="18">
        <v>0.1041666666666667</v>
      </c>
      <c r="D918" s="17" t="s">
        <v>70</v>
      </c>
      <c r="E918" s="17" t="s">
        <v>57</v>
      </c>
      <c r="F918" s="17" t="s">
        <v>492</v>
      </c>
      <c r="G918" s="298"/>
      <c r="H918" s="10"/>
      <c r="I918" s="11"/>
      <c r="J918" s="11"/>
      <c r="K918" s="11"/>
      <c r="L918" s="11"/>
      <c r="M918" s="11"/>
      <c r="N918" s="11"/>
      <c r="O918" s="12"/>
      <c r="P918" s="11"/>
      <c r="Q918" s="13"/>
      <c r="R918" s="14"/>
    </row>
    <row r="919" spans="1:18" ht="15" customHeight="1" thickBot="1">
      <c r="A919" s="96" t="s">
        <v>415</v>
      </c>
      <c r="B919" s="96" t="s">
        <v>480</v>
      </c>
      <c r="C919" s="97">
        <v>0.72222222222222221</v>
      </c>
      <c r="D919" s="96" t="s">
        <v>63</v>
      </c>
      <c r="E919" s="96" t="s">
        <v>51</v>
      </c>
      <c r="F919" s="96" t="s">
        <v>417</v>
      </c>
      <c r="G919" s="299"/>
      <c r="H919" s="300"/>
      <c r="I919" s="140"/>
      <c r="J919" s="140"/>
      <c r="K919" s="140"/>
      <c r="L919" s="140"/>
      <c r="M919" s="140"/>
      <c r="N919" s="140"/>
      <c r="O919" s="141"/>
      <c r="P919" s="140"/>
      <c r="Q919" s="142"/>
      <c r="R919" s="301"/>
    </row>
    <row r="920" spans="1:18" ht="17.45" customHeight="1" thickBot="1">
      <c r="A920" s="283"/>
      <c r="B920" s="284"/>
      <c r="C920" s="284"/>
      <c r="D920" s="284"/>
      <c r="E920" s="284"/>
      <c r="F920" s="284"/>
      <c r="G920" s="284"/>
      <c r="H920" s="284"/>
      <c r="I920" s="284"/>
      <c r="J920" s="284"/>
      <c r="K920" s="284"/>
      <c r="L920" s="284"/>
      <c r="M920" s="284"/>
      <c r="N920" s="284"/>
      <c r="O920" s="284"/>
      <c r="P920" s="284"/>
      <c r="Q920" s="284"/>
      <c r="R920" s="285"/>
    </row>
    <row r="921" spans="1:18" ht="22.15" customHeight="1" thickTop="1" thickBot="1">
      <c r="A921" s="279" t="s">
        <v>6</v>
      </c>
      <c r="B921" s="295"/>
      <c r="C921" s="295"/>
      <c r="D921" s="295"/>
      <c r="E921" s="295"/>
      <c r="F921" s="296"/>
      <c r="G921" s="32">
        <v>46035</v>
      </c>
      <c r="H921" s="278" t="s">
        <v>7</v>
      </c>
      <c r="I921" s="295"/>
      <c r="J921" s="295"/>
      <c r="K921" s="295"/>
      <c r="L921" s="295"/>
      <c r="M921" s="295"/>
      <c r="N921" s="295"/>
      <c r="O921" s="295"/>
      <c r="P921" s="295"/>
      <c r="Q921" s="295"/>
      <c r="R921" s="296"/>
    </row>
    <row r="922" spans="1:18" ht="24" customHeight="1">
      <c r="A922" s="33" t="s">
        <v>8</v>
      </c>
      <c r="B922" s="33" t="s">
        <v>9</v>
      </c>
      <c r="C922" s="34" t="s">
        <v>10</v>
      </c>
      <c r="D922" s="33" t="s">
        <v>11</v>
      </c>
      <c r="E922" s="33" t="s">
        <v>12</v>
      </c>
      <c r="F922" s="35" t="s">
        <v>13</v>
      </c>
      <c r="G922" s="36" t="s">
        <v>14</v>
      </c>
      <c r="H922" s="33" t="s">
        <v>15</v>
      </c>
      <c r="I922" s="37" t="s">
        <v>16</v>
      </c>
      <c r="J922" s="38" t="s">
        <v>17</v>
      </c>
      <c r="K922" s="39" t="s">
        <v>18</v>
      </c>
      <c r="L922" s="38" t="s">
        <v>19</v>
      </c>
      <c r="M922" s="38" t="s">
        <v>20</v>
      </c>
      <c r="N922" s="38" t="s">
        <v>21</v>
      </c>
      <c r="O922" s="33" t="s">
        <v>22</v>
      </c>
      <c r="P922" s="34" t="s">
        <v>23</v>
      </c>
      <c r="Q922" s="38" t="s">
        <v>24</v>
      </c>
      <c r="R922" s="33" t="s">
        <v>25</v>
      </c>
    </row>
    <row r="923" spans="1:18" ht="15" customHeight="1">
      <c r="A923" s="8" t="s">
        <v>38</v>
      </c>
      <c r="B923" s="8" t="s">
        <v>342</v>
      </c>
      <c r="C923" s="9">
        <v>0.48958333333333331</v>
      </c>
      <c r="D923" s="8" t="s">
        <v>40</v>
      </c>
      <c r="E923" s="8" t="s">
        <v>482</v>
      </c>
      <c r="F923" s="8" t="s">
        <v>475</v>
      </c>
      <c r="G923" s="297"/>
      <c r="H923" s="10"/>
      <c r="I923" s="11"/>
      <c r="J923" s="11"/>
      <c r="K923" s="11"/>
      <c r="L923" s="11"/>
      <c r="M923" s="11"/>
      <c r="N923" s="11"/>
      <c r="O923" s="12"/>
      <c r="P923" s="11"/>
      <c r="Q923" s="13"/>
      <c r="R923" s="14"/>
    </row>
    <row r="924" spans="1:18" ht="15" customHeight="1">
      <c r="A924" s="15" t="s">
        <v>38</v>
      </c>
      <c r="B924" s="15" t="s">
        <v>342</v>
      </c>
      <c r="C924" s="16">
        <v>0.48958333333333331</v>
      </c>
      <c r="D924" s="15" t="s">
        <v>43</v>
      </c>
      <c r="E924" s="15" t="s">
        <v>483</v>
      </c>
      <c r="F924" s="15" t="s">
        <v>121</v>
      </c>
      <c r="G924" s="298"/>
      <c r="H924" s="10"/>
      <c r="I924" s="11"/>
      <c r="J924" s="11"/>
      <c r="K924" s="11"/>
      <c r="L924" s="11"/>
      <c r="M924" s="11"/>
      <c r="N924" s="11"/>
      <c r="O924" s="12"/>
      <c r="P924" s="11"/>
      <c r="Q924" s="13"/>
      <c r="R924" s="14"/>
    </row>
    <row r="925" spans="1:18" ht="15" customHeight="1">
      <c r="A925" s="15" t="s">
        <v>38</v>
      </c>
      <c r="B925" s="15" t="s">
        <v>342</v>
      </c>
      <c r="C925" s="16">
        <v>0.48958333333333331</v>
      </c>
      <c r="D925" s="15" t="s">
        <v>46</v>
      </c>
      <c r="E925" s="15" t="s">
        <v>483</v>
      </c>
      <c r="F925" s="15" t="s">
        <v>47</v>
      </c>
      <c r="G925" s="298"/>
      <c r="H925" s="10"/>
      <c r="I925" s="11"/>
      <c r="J925" s="11"/>
      <c r="K925" s="11"/>
      <c r="L925" s="11"/>
      <c r="M925" s="11"/>
      <c r="N925" s="11"/>
      <c r="O925" s="12"/>
      <c r="P925" s="11"/>
      <c r="Q925" s="13"/>
      <c r="R925" s="14"/>
    </row>
    <row r="926" spans="1:18" ht="15" customHeight="1">
      <c r="A926" s="17" t="s">
        <v>38</v>
      </c>
      <c r="B926" s="17" t="s">
        <v>344</v>
      </c>
      <c r="C926" s="18">
        <v>0.88888888888888884</v>
      </c>
      <c r="D926" s="17" t="s">
        <v>40</v>
      </c>
      <c r="E926" s="17" t="s">
        <v>170</v>
      </c>
      <c r="F926" s="17" t="s">
        <v>30</v>
      </c>
      <c r="G926" s="298"/>
      <c r="H926" s="10"/>
      <c r="I926" s="11"/>
      <c r="J926" s="11"/>
      <c r="K926" s="11"/>
      <c r="L926" s="11"/>
      <c r="M926" s="11"/>
      <c r="N926" s="11"/>
      <c r="O926" s="12"/>
      <c r="P926" s="11"/>
      <c r="Q926" s="13"/>
      <c r="R926" s="14"/>
    </row>
    <row r="927" spans="1:18" ht="15" customHeight="1">
      <c r="A927" s="15" t="s">
        <v>38</v>
      </c>
      <c r="B927" s="15" t="s">
        <v>344</v>
      </c>
      <c r="C927" s="16">
        <v>0.88888888888888884</v>
      </c>
      <c r="D927" s="15" t="s">
        <v>43</v>
      </c>
      <c r="E927" s="15" t="s">
        <v>152</v>
      </c>
      <c r="F927" s="15" t="s">
        <v>420</v>
      </c>
      <c r="G927" s="298"/>
      <c r="H927" s="10"/>
      <c r="I927" s="11"/>
      <c r="J927" s="11"/>
      <c r="K927" s="11"/>
      <c r="L927" s="11"/>
      <c r="M927" s="11"/>
      <c r="N927" s="11"/>
      <c r="O927" s="12"/>
      <c r="P927" s="11"/>
      <c r="Q927" s="13"/>
      <c r="R927" s="14"/>
    </row>
    <row r="928" spans="1:18" ht="15" customHeight="1">
      <c r="A928" s="15" t="s">
        <v>38</v>
      </c>
      <c r="B928" s="15" t="s">
        <v>344</v>
      </c>
      <c r="C928" s="16">
        <v>0.88888888888888884</v>
      </c>
      <c r="D928" s="15" t="s">
        <v>46</v>
      </c>
      <c r="E928" s="15" t="s">
        <v>152</v>
      </c>
      <c r="F928" s="15" t="s">
        <v>47</v>
      </c>
      <c r="G928" s="298"/>
      <c r="H928" s="10"/>
      <c r="I928" s="11"/>
      <c r="J928" s="11"/>
      <c r="K928" s="11"/>
      <c r="L928" s="11"/>
      <c r="M928" s="11"/>
      <c r="N928" s="11"/>
      <c r="O928" s="12"/>
      <c r="P928" s="11"/>
      <c r="Q928" s="13"/>
      <c r="R928" s="14"/>
    </row>
    <row r="929" spans="1:18" ht="15" customHeight="1">
      <c r="A929" s="17" t="s">
        <v>38</v>
      </c>
      <c r="B929" s="17" t="s">
        <v>346</v>
      </c>
      <c r="C929" s="18">
        <v>0.39930555555555558</v>
      </c>
      <c r="D929" s="17" t="s">
        <v>40</v>
      </c>
      <c r="E929" s="17" t="s">
        <v>125</v>
      </c>
      <c r="F929" s="17" t="s">
        <v>347</v>
      </c>
      <c r="G929" s="298"/>
      <c r="H929" s="10"/>
      <c r="I929" s="11"/>
      <c r="J929" s="11"/>
      <c r="K929" s="11"/>
      <c r="L929" s="11"/>
      <c r="M929" s="11"/>
      <c r="N929" s="11"/>
      <c r="O929" s="12"/>
      <c r="P929" s="11"/>
      <c r="Q929" s="13"/>
      <c r="R929" s="14"/>
    </row>
    <row r="930" spans="1:18" ht="15" customHeight="1">
      <c r="A930" s="15" t="s">
        <v>38</v>
      </c>
      <c r="B930" s="15" t="s">
        <v>346</v>
      </c>
      <c r="C930" s="16">
        <v>0.39930555555555558</v>
      </c>
      <c r="D930" s="15" t="s">
        <v>43</v>
      </c>
      <c r="E930" s="15" t="s">
        <v>44</v>
      </c>
      <c r="F930" s="15" t="s">
        <v>138</v>
      </c>
      <c r="G930" s="298"/>
      <c r="H930" s="10"/>
      <c r="I930" s="11"/>
      <c r="J930" s="11"/>
      <c r="K930" s="11"/>
      <c r="L930" s="11"/>
      <c r="M930" s="11"/>
      <c r="N930" s="11"/>
      <c r="O930" s="12"/>
      <c r="P930" s="11"/>
      <c r="Q930" s="13"/>
      <c r="R930" s="14"/>
    </row>
    <row r="931" spans="1:18" ht="15" customHeight="1">
      <c r="A931" s="15" t="s">
        <v>38</v>
      </c>
      <c r="B931" s="15" t="s">
        <v>346</v>
      </c>
      <c r="C931" s="16">
        <v>0.39930555555555558</v>
      </c>
      <c r="D931" s="15" t="s">
        <v>46</v>
      </c>
      <c r="E931" s="15" t="s">
        <v>44</v>
      </c>
      <c r="F931" s="15" t="s">
        <v>47</v>
      </c>
      <c r="G931" s="298"/>
      <c r="H931" s="10"/>
      <c r="I931" s="11"/>
      <c r="J931" s="11"/>
      <c r="K931" s="11"/>
      <c r="L931" s="11"/>
      <c r="M931" s="11"/>
      <c r="N931" s="11"/>
      <c r="O931" s="12"/>
      <c r="P931" s="11"/>
      <c r="Q931" s="13"/>
      <c r="R931" s="14"/>
    </row>
    <row r="932" spans="1:18" ht="15" customHeight="1">
      <c r="A932" s="17" t="s">
        <v>38</v>
      </c>
      <c r="B932" s="17" t="s">
        <v>345</v>
      </c>
      <c r="C932" s="18">
        <v>0.98958333333333337</v>
      </c>
      <c r="D932" s="17" t="s">
        <v>40</v>
      </c>
      <c r="E932" s="17" t="s">
        <v>125</v>
      </c>
      <c r="F932" s="17" t="s">
        <v>347</v>
      </c>
      <c r="G932" s="298"/>
      <c r="H932" s="10"/>
      <c r="I932" s="11"/>
      <c r="J932" s="11"/>
      <c r="K932" s="11"/>
      <c r="L932" s="11"/>
      <c r="M932" s="11"/>
      <c r="N932" s="11"/>
      <c r="O932" s="12"/>
      <c r="P932" s="11"/>
      <c r="Q932" s="13"/>
      <c r="R932" s="14"/>
    </row>
    <row r="933" spans="1:18" ht="15" customHeight="1">
      <c r="A933" s="15" t="s">
        <v>38</v>
      </c>
      <c r="B933" s="15" t="s">
        <v>345</v>
      </c>
      <c r="C933" s="16">
        <v>0.98958333333333337</v>
      </c>
      <c r="D933" s="15" t="s">
        <v>43</v>
      </c>
      <c r="E933" s="15" t="s">
        <v>44</v>
      </c>
      <c r="F933" s="15" t="s">
        <v>138</v>
      </c>
      <c r="G933" s="298"/>
      <c r="H933" s="10"/>
      <c r="I933" s="11"/>
      <c r="J933" s="11"/>
      <c r="K933" s="11"/>
      <c r="L933" s="11"/>
      <c r="M933" s="11"/>
      <c r="N933" s="11"/>
      <c r="O933" s="12"/>
      <c r="P933" s="11"/>
      <c r="Q933" s="13"/>
      <c r="R933" s="14"/>
    </row>
    <row r="934" spans="1:18" ht="15" customHeight="1">
      <c r="A934" s="15" t="s">
        <v>38</v>
      </c>
      <c r="B934" s="15" t="s">
        <v>345</v>
      </c>
      <c r="C934" s="16">
        <v>0.98958333333333337</v>
      </c>
      <c r="D934" s="15" t="s">
        <v>46</v>
      </c>
      <c r="E934" s="15" t="s">
        <v>44</v>
      </c>
      <c r="F934" s="15" t="s">
        <v>47</v>
      </c>
      <c r="G934" s="298"/>
      <c r="H934" s="10"/>
      <c r="I934" s="11"/>
      <c r="J934" s="11"/>
      <c r="K934" s="11"/>
      <c r="L934" s="11"/>
      <c r="M934" s="11"/>
      <c r="N934" s="11"/>
      <c r="O934" s="12"/>
      <c r="P934" s="11"/>
      <c r="Q934" s="13"/>
      <c r="R934" s="14"/>
    </row>
    <row r="935" spans="1:18" ht="15" customHeight="1">
      <c r="A935" s="98" t="s">
        <v>61</v>
      </c>
      <c r="B935" s="98" t="s">
        <v>432</v>
      </c>
      <c r="C935" s="99">
        <v>0.55208333333333337</v>
      </c>
      <c r="D935" s="98" t="s">
        <v>63</v>
      </c>
      <c r="E935" s="98" t="s">
        <v>177</v>
      </c>
      <c r="F935" s="98" t="s">
        <v>365</v>
      </c>
      <c r="G935" s="298"/>
      <c r="H935" s="100" t="s">
        <v>433</v>
      </c>
      <c r="I935" s="101">
        <v>5.5999999999999999E-3</v>
      </c>
      <c r="J935" s="102">
        <v>1</v>
      </c>
      <c r="K935" s="103">
        <v>46338</v>
      </c>
      <c r="L935" s="102">
        <v>1</v>
      </c>
      <c r="M935" s="102">
        <v>0</v>
      </c>
      <c r="N935" s="102">
        <v>0</v>
      </c>
      <c r="O935" s="104" t="s">
        <v>436</v>
      </c>
      <c r="P935" s="105">
        <v>0.55208333333333337</v>
      </c>
      <c r="Q935" s="102">
        <v>180</v>
      </c>
      <c r="R935" s="106" t="s">
        <v>174</v>
      </c>
    </row>
    <row r="936" spans="1:18" ht="15" customHeight="1">
      <c r="A936" s="156" t="s">
        <v>61</v>
      </c>
      <c r="B936" s="156" t="s">
        <v>428</v>
      </c>
      <c r="C936" s="157">
        <v>5.2083333333333343E-2</v>
      </c>
      <c r="D936" s="156" t="s">
        <v>63</v>
      </c>
      <c r="E936" s="156" t="s">
        <v>372</v>
      </c>
      <c r="F936" s="156" t="s">
        <v>365</v>
      </c>
      <c r="G936" s="298"/>
      <c r="H936" s="42" t="s">
        <v>429</v>
      </c>
      <c r="I936" s="43">
        <v>5.5999999999999999E-3</v>
      </c>
      <c r="J936" s="44">
        <v>1</v>
      </c>
      <c r="K936" s="45">
        <v>46332</v>
      </c>
      <c r="L936" s="44">
        <v>4</v>
      </c>
      <c r="M936" s="44">
        <v>0</v>
      </c>
      <c r="N936" s="44">
        <v>0</v>
      </c>
      <c r="O936" s="46" t="s">
        <v>436</v>
      </c>
      <c r="P936" s="47">
        <v>5.2083333333333343E-2</v>
      </c>
      <c r="Q936" s="44">
        <v>180</v>
      </c>
      <c r="R936" s="48" t="s">
        <v>174</v>
      </c>
    </row>
    <row r="937" spans="1:18" ht="15" customHeight="1">
      <c r="A937" s="148" t="s">
        <v>61</v>
      </c>
      <c r="B937" s="148" t="s">
        <v>375</v>
      </c>
      <c r="C937" s="149">
        <v>0.79166666666666663</v>
      </c>
      <c r="D937" s="148" t="s">
        <v>63</v>
      </c>
      <c r="E937" s="148" t="s">
        <v>200</v>
      </c>
      <c r="F937" s="148" t="s">
        <v>365</v>
      </c>
      <c r="G937" s="298"/>
      <c r="H937" s="51" t="s">
        <v>376</v>
      </c>
      <c r="I937" s="52">
        <v>1.67E-2</v>
      </c>
      <c r="J937" s="53">
        <v>3</v>
      </c>
      <c r="K937" s="54">
        <v>46329</v>
      </c>
      <c r="L937" s="53">
        <v>3</v>
      </c>
      <c r="M937" s="53">
        <v>0</v>
      </c>
      <c r="N937" s="53">
        <v>0</v>
      </c>
      <c r="O937" s="55" t="s">
        <v>446</v>
      </c>
      <c r="P937" s="56">
        <v>0.79166666666666663</v>
      </c>
      <c r="Q937" s="53">
        <v>180</v>
      </c>
      <c r="R937" s="57" t="s">
        <v>446</v>
      </c>
    </row>
    <row r="938" spans="1:18" ht="15" customHeight="1">
      <c r="A938" s="162" t="s">
        <v>61</v>
      </c>
      <c r="B938" s="162" t="s">
        <v>377</v>
      </c>
      <c r="C938" s="163">
        <v>0.4375</v>
      </c>
      <c r="D938" s="162" t="s">
        <v>63</v>
      </c>
      <c r="E938" s="162" t="s">
        <v>91</v>
      </c>
      <c r="F938" s="162" t="s">
        <v>365</v>
      </c>
      <c r="G938" s="298"/>
      <c r="H938" s="60" t="s">
        <v>378</v>
      </c>
      <c r="I938" s="61">
        <v>2.2200000000000001E-2</v>
      </c>
      <c r="J938" s="62">
        <v>4</v>
      </c>
      <c r="K938" s="63">
        <v>46344</v>
      </c>
      <c r="L938" s="62">
        <v>4</v>
      </c>
      <c r="M938" s="62">
        <v>0</v>
      </c>
      <c r="N938" s="62">
        <v>0</v>
      </c>
      <c r="O938" s="64" t="s">
        <v>367</v>
      </c>
      <c r="P938" s="65">
        <v>0.4375</v>
      </c>
      <c r="Q938" s="62">
        <v>180</v>
      </c>
      <c r="R938" s="66" t="s">
        <v>368</v>
      </c>
    </row>
    <row r="939" spans="1:18" ht="15" customHeight="1">
      <c r="A939" s="154" t="s">
        <v>61</v>
      </c>
      <c r="B939" s="154" t="s">
        <v>379</v>
      </c>
      <c r="C939" s="155">
        <v>0.38194444444444442</v>
      </c>
      <c r="D939" s="154" t="s">
        <v>63</v>
      </c>
      <c r="E939" s="154" t="s">
        <v>372</v>
      </c>
      <c r="F939" s="154" t="s">
        <v>365</v>
      </c>
      <c r="G939" s="298"/>
      <c r="H939" s="69" t="s">
        <v>380</v>
      </c>
      <c r="I939" s="70">
        <v>0</v>
      </c>
      <c r="J939" s="71">
        <v>0</v>
      </c>
      <c r="K939" s="72" t="s">
        <v>66</v>
      </c>
      <c r="L939" s="71">
        <v>0</v>
      </c>
      <c r="M939" s="71">
        <v>0</v>
      </c>
      <c r="N939" s="71">
        <v>0</v>
      </c>
      <c r="O939" s="73" t="s">
        <v>436</v>
      </c>
      <c r="P939" s="74">
        <v>0.38194444444444442</v>
      </c>
      <c r="Q939" s="71">
        <v>180</v>
      </c>
      <c r="R939" s="75" t="s">
        <v>66</v>
      </c>
    </row>
    <row r="940" spans="1:18" ht="15" customHeight="1">
      <c r="A940" s="156" t="s">
        <v>61</v>
      </c>
      <c r="B940" s="156" t="s">
        <v>364</v>
      </c>
      <c r="C940" s="157">
        <v>0.75694444444444453</v>
      </c>
      <c r="D940" s="156" t="s">
        <v>63</v>
      </c>
      <c r="E940" s="156" t="s">
        <v>435</v>
      </c>
      <c r="F940" s="156" t="s">
        <v>79</v>
      </c>
      <c r="G940" s="298"/>
      <c r="H940" s="42" t="s">
        <v>366</v>
      </c>
      <c r="I940" s="43">
        <v>3.3300000000000003E-2</v>
      </c>
      <c r="J940" s="44">
        <v>6</v>
      </c>
      <c r="K940" s="45">
        <v>46338</v>
      </c>
      <c r="L940" s="44">
        <v>6</v>
      </c>
      <c r="M940" s="44">
        <v>0</v>
      </c>
      <c r="N940" s="44">
        <v>0</v>
      </c>
      <c r="O940" s="46" t="s">
        <v>299</v>
      </c>
      <c r="P940" s="47">
        <v>0.75694444444444453</v>
      </c>
      <c r="Q940" s="44">
        <v>180</v>
      </c>
      <c r="R940" s="48" t="s">
        <v>436</v>
      </c>
    </row>
    <row r="941" spans="1:18" ht="15" customHeight="1">
      <c r="A941" s="19" t="s">
        <v>26</v>
      </c>
      <c r="B941" s="19" t="s">
        <v>348</v>
      </c>
      <c r="C941" s="20">
        <v>0.99305555555555547</v>
      </c>
      <c r="D941" s="19" t="s">
        <v>28</v>
      </c>
      <c r="E941" s="19" t="s">
        <v>126</v>
      </c>
      <c r="F941" s="19" t="s">
        <v>83</v>
      </c>
      <c r="G941" s="298"/>
      <c r="H941" s="10"/>
      <c r="I941" s="11"/>
      <c r="J941" s="11"/>
      <c r="K941" s="11"/>
      <c r="L941" s="11"/>
      <c r="M941" s="11"/>
      <c r="N941" s="11"/>
      <c r="O941" s="12"/>
      <c r="P941" s="11"/>
      <c r="Q941" s="13"/>
      <c r="R941" s="14"/>
    </row>
    <row r="942" spans="1:18" ht="15" customHeight="1">
      <c r="A942" s="15" t="s">
        <v>26</v>
      </c>
      <c r="B942" s="15" t="s">
        <v>348</v>
      </c>
      <c r="C942" s="16">
        <v>0.99305555555555547</v>
      </c>
      <c r="D942" s="15" t="s">
        <v>31</v>
      </c>
      <c r="E942" s="15" t="s">
        <v>127</v>
      </c>
      <c r="F942" s="15" t="s">
        <v>159</v>
      </c>
      <c r="G942" s="298"/>
      <c r="H942" s="10"/>
      <c r="I942" s="11"/>
      <c r="J942" s="11"/>
      <c r="K942" s="11"/>
      <c r="L942" s="11"/>
      <c r="M942" s="11"/>
      <c r="N942" s="11"/>
      <c r="O942" s="12"/>
      <c r="P942" s="11"/>
      <c r="Q942" s="13"/>
      <c r="R942" s="14"/>
    </row>
    <row r="943" spans="1:18" ht="15" customHeight="1">
      <c r="A943" s="15" t="s">
        <v>26</v>
      </c>
      <c r="B943" s="15" t="s">
        <v>348</v>
      </c>
      <c r="C943" s="16">
        <v>0.99305555555555547</v>
      </c>
      <c r="D943" s="15" t="s">
        <v>34</v>
      </c>
      <c r="E943" s="15" t="s">
        <v>127</v>
      </c>
      <c r="F943" s="15" t="s">
        <v>355</v>
      </c>
      <c r="G943" s="298"/>
      <c r="H943" s="10"/>
      <c r="I943" s="11"/>
      <c r="J943" s="11"/>
      <c r="K943" s="11"/>
      <c r="L943" s="11"/>
      <c r="M943" s="11"/>
      <c r="N943" s="11"/>
      <c r="O943" s="12"/>
      <c r="P943" s="11"/>
      <c r="Q943" s="13"/>
      <c r="R943" s="14"/>
    </row>
    <row r="944" spans="1:18" ht="15" customHeight="1">
      <c r="A944" s="17" t="s">
        <v>26</v>
      </c>
      <c r="B944" s="17" t="s">
        <v>350</v>
      </c>
      <c r="C944" s="18">
        <v>0.73611111111111116</v>
      </c>
      <c r="D944" s="17" t="s">
        <v>28</v>
      </c>
      <c r="E944" s="17" t="s">
        <v>37</v>
      </c>
      <c r="F944" s="17" t="s">
        <v>83</v>
      </c>
      <c r="G944" s="298"/>
      <c r="H944" s="10"/>
      <c r="I944" s="11"/>
      <c r="J944" s="11"/>
      <c r="K944" s="11"/>
      <c r="L944" s="11"/>
      <c r="M944" s="11"/>
      <c r="N944" s="11"/>
      <c r="O944" s="12"/>
      <c r="P944" s="11"/>
      <c r="Q944" s="13"/>
      <c r="R944" s="14"/>
    </row>
    <row r="945" spans="1:18" ht="15" customHeight="1">
      <c r="A945" s="15" t="s">
        <v>26</v>
      </c>
      <c r="B945" s="15" t="s">
        <v>350</v>
      </c>
      <c r="C945" s="16">
        <v>0.73611111111111116</v>
      </c>
      <c r="D945" s="15" t="s">
        <v>31</v>
      </c>
      <c r="E945" s="15" t="s">
        <v>32</v>
      </c>
      <c r="F945" s="15" t="s">
        <v>159</v>
      </c>
      <c r="G945" s="298"/>
      <c r="H945" s="10"/>
      <c r="I945" s="11"/>
      <c r="J945" s="11"/>
      <c r="K945" s="11"/>
      <c r="L945" s="11"/>
      <c r="M945" s="11"/>
      <c r="N945" s="11"/>
      <c r="O945" s="12"/>
      <c r="P945" s="11"/>
      <c r="Q945" s="13"/>
      <c r="R945" s="14"/>
    </row>
    <row r="946" spans="1:18" ht="15" customHeight="1">
      <c r="A946" s="15" t="s">
        <v>26</v>
      </c>
      <c r="B946" s="15" t="s">
        <v>350</v>
      </c>
      <c r="C946" s="16">
        <v>0.73611111111111116</v>
      </c>
      <c r="D946" s="15" t="s">
        <v>34</v>
      </c>
      <c r="E946" s="15" t="s">
        <v>32</v>
      </c>
      <c r="F946" s="15" t="s">
        <v>355</v>
      </c>
      <c r="G946" s="298"/>
      <c r="H946" s="10"/>
      <c r="I946" s="11"/>
      <c r="J946" s="11"/>
      <c r="K946" s="11"/>
      <c r="L946" s="11"/>
      <c r="M946" s="11"/>
      <c r="N946" s="11"/>
      <c r="O946" s="12"/>
      <c r="P946" s="11"/>
      <c r="Q946" s="13"/>
      <c r="R946" s="14"/>
    </row>
    <row r="947" spans="1:18" ht="15" customHeight="1">
      <c r="A947" s="17" t="s">
        <v>26</v>
      </c>
      <c r="B947" s="17" t="s">
        <v>351</v>
      </c>
      <c r="C947" s="18">
        <v>0.83680555555555547</v>
      </c>
      <c r="D947" s="17" t="s">
        <v>28</v>
      </c>
      <c r="E947" s="17" t="s">
        <v>91</v>
      </c>
      <c r="F947" s="17" t="s">
        <v>83</v>
      </c>
      <c r="G947" s="298"/>
      <c r="H947" s="10"/>
      <c r="I947" s="11"/>
      <c r="J947" s="11"/>
      <c r="K947" s="11"/>
      <c r="L947" s="11"/>
      <c r="M947" s="11"/>
      <c r="N947" s="11"/>
      <c r="O947" s="12"/>
      <c r="P947" s="11"/>
      <c r="Q947" s="13"/>
      <c r="R947" s="14"/>
    </row>
    <row r="948" spans="1:18" ht="15" customHeight="1">
      <c r="A948" s="15" t="s">
        <v>26</v>
      </c>
      <c r="B948" s="15" t="s">
        <v>351</v>
      </c>
      <c r="C948" s="16">
        <v>0.83680555555555547</v>
      </c>
      <c r="D948" s="15" t="s">
        <v>31</v>
      </c>
      <c r="E948" s="15" t="s">
        <v>92</v>
      </c>
      <c r="F948" s="15" t="s">
        <v>159</v>
      </c>
      <c r="G948" s="298"/>
      <c r="H948" s="10"/>
      <c r="I948" s="11"/>
      <c r="J948" s="11"/>
      <c r="K948" s="11"/>
      <c r="L948" s="11"/>
      <c r="M948" s="11"/>
      <c r="N948" s="11"/>
      <c r="O948" s="12"/>
      <c r="P948" s="11"/>
      <c r="Q948" s="13"/>
      <c r="R948" s="14"/>
    </row>
    <row r="949" spans="1:18" ht="15" customHeight="1">
      <c r="A949" s="15" t="s">
        <v>26</v>
      </c>
      <c r="B949" s="15" t="s">
        <v>351</v>
      </c>
      <c r="C949" s="16">
        <v>0.83680555555555547</v>
      </c>
      <c r="D949" s="15" t="s">
        <v>34</v>
      </c>
      <c r="E949" s="15" t="s">
        <v>92</v>
      </c>
      <c r="F949" s="15" t="s">
        <v>355</v>
      </c>
      <c r="G949" s="298"/>
      <c r="H949" s="10"/>
      <c r="I949" s="11"/>
      <c r="J949" s="11"/>
      <c r="K949" s="11"/>
      <c r="L949" s="11"/>
      <c r="M949" s="11"/>
      <c r="N949" s="11"/>
      <c r="O949" s="12"/>
      <c r="P949" s="11"/>
      <c r="Q949" s="13"/>
      <c r="R949" s="14"/>
    </row>
    <row r="950" spans="1:18" ht="15" customHeight="1">
      <c r="A950" s="17" t="s">
        <v>26</v>
      </c>
      <c r="B950" s="17" t="s">
        <v>356</v>
      </c>
      <c r="C950" s="18">
        <v>0.4861111111111111</v>
      </c>
      <c r="D950" s="17" t="s">
        <v>28</v>
      </c>
      <c r="E950" s="17" t="s">
        <v>98</v>
      </c>
      <c r="F950" s="17" t="s">
        <v>83</v>
      </c>
      <c r="G950" s="298"/>
      <c r="H950" s="10"/>
      <c r="I950" s="11"/>
      <c r="J950" s="11"/>
      <c r="K950" s="11"/>
      <c r="L950" s="11"/>
      <c r="M950" s="11"/>
      <c r="N950" s="11"/>
      <c r="O950" s="12"/>
      <c r="P950" s="11"/>
      <c r="Q950" s="13"/>
      <c r="R950" s="14"/>
    </row>
    <row r="951" spans="1:18" ht="15" customHeight="1">
      <c r="A951" s="15" t="s">
        <v>26</v>
      </c>
      <c r="B951" s="15" t="s">
        <v>356</v>
      </c>
      <c r="C951" s="16">
        <v>0.4861111111111111</v>
      </c>
      <c r="D951" s="15" t="s">
        <v>31</v>
      </c>
      <c r="E951" s="15" t="s">
        <v>99</v>
      </c>
      <c r="F951" s="15" t="s">
        <v>159</v>
      </c>
      <c r="G951" s="298"/>
      <c r="H951" s="10"/>
      <c r="I951" s="11"/>
      <c r="J951" s="11"/>
      <c r="K951" s="11"/>
      <c r="L951" s="11"/>
      <c r="M951" s="11"/>
      <c r="N951" s="11"/>
      <c r="O951" s="12"/>
      <c r="P951" s="11"/>
      <c r="Q951" s="13"/>
      <c r="R951" s="14"/>
    </row>
    <row r="952" spans="1:18" ht="15" customHeight="1">
      <c r="A952" s="15" t="s">
        <v>26</v>
      </c>
      <c r="B952" s="15" t="s">
        <v>356</v>
      </c>
      <c r="C952" s="16">
        <v>0.4861111111111111</v>
      </c>
      <c r="D952" s="15" t="s">
        <v>34</v>
      </c>
      <c r="E952" s="15" t="s">
        <v>99</v>
      </c>
      <c r="F952" s="15" t="s">
        <v>355</v>
      </c>
      <c r="G952" s="298"/>
      <c r="H952" s="10"/>
      <c r="I952" s="11"/>
      <c r="J952" s="11"/>
      <c r="K952" s="11"/>
      <c r="L952" s="11"/>
      <c r="M952" s="11"/>
      <c r="N952" s="11"/>
      <c r="O952" s="12"/>
      <c r="P952" s="11"/>
      <c r="Q952" s="13"/>
      <c r="R952" s="14"/>
    </row>
    <row r="953" spans="1:18" ht="15" customHeight="1">
      <c r="A953" s="17" t="s">
        <v>26</v>
      </c>
      <c r="B953" s="17" t="s">
        <v>353</v>
      </c>
      <c r="C953" s="18">
        <v>0.88888888888888884</v>
      </c>
      <c r="D953" s="17" t="s">
        <v>28</v>
      </c>
      <c r="E953" s="17" t="s">
        <v>134</v>
      </c>
      <c r="F953" s="17" t="s">
        <v>83</v>
      </c>
      <c r="G953" s="298"/>
      <c r="H953" s="10"/>
      <c r="I953" s="11"/>
      <c r="J953" s="11"/>
      <c r="K953" s="11"/>
      <c r="L953" s="11"/>
      <c r="M953" s="11"/>
      <c r="N953" s="11"/>
      <c r="O953" s="12"/>
      <c r="P953" s="11"/>
      <c r="Q953" s="13"/>
      <c r="R953" s="14"/>
    </row>
    <row r="954" spans="1:18" ht="15" customHeight="1">
      <c r="A954" s="15" t="s">
        <v>26</v>
      </c>
      <c r="B954" s="15" t="s">
        <v>353</v>
      </c>
      <c r="C954" s="16">
        <v>0.88888888888888884</v>
      </c>
      <c r="D954" s="15" t="s">
        <v>31</v>
      </c>
      <c r="E954" s="15" t="s">
        <v>135</v>
      </c>
      <c r="F954" s="15" t="s">
        <v>159</v>
      </c>
      <c r="G954" s="298"/>
      <c r="H954" s="10"/>
      <c r="I954" s="11"/>
      <c r="J954" s="11"/>
      <c r="K954" s="11"/>
      <c r="L954" s="11"/>
      <c r="M954" s="11"/>
      <c r="N954" s="11"/>
      <c r="O954" s="12"/>
      <c r="P954" s="11"/>
      <c r="Q954" s="13"/>
      <c r="R954" s="14"/>
    </row>
    <row r="955" spans="1:18" ht="15" customHeight="1">
      <c r="A955" s="15" t="s">
        <v>26</v>
      </c>
      <c r="B955" s="15" t="s">
        <v>353</v>
      </c>
      <c r="C955" s="16">
        <v>0.88888888888888884</v>
      </c>
      <c r="D955" s="15" t="s">
        <v>34</v>
      </c>
      <c r="E955" s="15" t="s">
        <v>135</v>
      </c>
      <c r="F955" s="15" t="s">
        <v>355</v>
      </c>
      <c r="G955" s="298"/>
      <c r="H955" s="10"/>
      <c r="I955" s="11"/>
      <c r="J955" s="11"/>
      <c r="K955" s="11"/>
      <c r="L955" s="11"/>
      <c r="M955" s="11"/>
      <c r="N955" s="11"/>
      <c r="O955" s="12"/>
      <c r="P955" s="11"/>
      <c r="Q955" s="13"/>
      <c r="R955" s="14"/>
    </row>
    <row r="956" spans="1:18" ht="15" customHeight="1">
      <c r="A956" s="17" t="s">
        <v>26</v>
      </c>
      <c r="B956" s="17" t="s">
        <v>352</v>
      </c>
      <c r="C956" s="18">
        <v>0.94444444444444453</v>
      </c>
      <c r="D956" s="17" t="s">
        <v>28</v>
      </c>
      <c r="E956" s="17" t="s">
        <v>90</v>
      </c>
      <c r="F956" s="17" t="s">
        <v>45</v>
      </c>
      <c r="G956" s="298"/>
      <c r="H956" s="10"/>
      <c r="I956" s="11"/>
      <c r="J956" s="11"/>
      <c r="K956" s="11"/>
      <c r="L956" s="11"/>
      <c r="M956" s="11"/>
      <c r="N956" s="11"/>
      <c r="O956" s="12"/>
      <c r="P956" s="11"/>
      <c r="Q956" s="13"/>
      <c r="R956" s="14"/>
    </row>
    <row r="957" spans="1:18" ht="15" customHeight="1">
      <c r="A957" s="15" t="s">
        <v>26</v>
      </c>
      <c r="B957" s="15" t="s">
        <v>352</v>
      </c>
      <c r="C957" s="16">
        <v>0.94444444444444453</v>
      </c>
      <c r="D957" s="15" t="s">
        <v>31</v>
      </c>
      <c r="E957" s="15" t="s">
        <v>82</v>
      </c>
      <c r="F957" s="15" t="s">
        <v>355</v>
      </c>
      <c r="G957" s="298"/>
      <c r="H957" s="10"/>
      <c r="I957" s="11"/>
      <c r="J957" s="11"/>
      <c r="K957" s="11"/>
      <c r="L957" s="11"/>
      <c r="M957" s="11"/>
      <c r="N957" s="11"/>
      <c r="O957" s="12"/>
      <c r="P957" s="11"/>
      <c r="Q957" s="13"/>
      <c r="R957" s="14"/>
    </row>
    <row r="958" spans="1:18" ht="15" customHeight="1">
      <c r="A958" s="15" t="s">
        <v>26</v>
      </c>
      <c r="B958" s="15" t="s">
        <v>352</v>
      </c>
      <c r="C958" s="16">
        <v>0.94444444444444453</v>
      </c>
      <c r="D958" s="15" t="s">
        <v>34</v>
      </c>
      <c r="E958" s="15" t="s">
        <v>82</v>
      </c>
      <c r="F958" s="15" t="s">
        <v>358</v>
      </c>
      <c r="G958" s="298"/>
      <c r="H958" s="10"/>
      <c r="I958" s="11"/>
      <c r="J958" s="11"/>
      <c r="K958" s="11"/>
      <c r="L958" s="11"/>
      <c r="M958" s="11"/>
      <c r="N958" s="11"/>
      <c r="O958" s="12"/>
      <c r="P958" s="11"/>
      <c r="Q958" s="13"/>
      <c r="R958" s="14"/>
    </row>
    <row r="959" spans="1:18" ht="15" customHeight="1">
      <c r="A959" s="17" t="s">
        <v>26</v>
      </c>
      <c r="B959" s="17" t="s">
        <v>357</v>
      </c>
      <c r="C959" s="18">
        <v>0.3923611111111111</v>
      </c>
      <c r="D959" s="17" t="s">
        <v>28</v>
      </c>
      <c r="E959" s="17" t="s">
        <v>90</v>
      </c>
      <c r="F959" s="17" t="s">
        <v>45</v>
      </c>
      <c r="G959" s="298"/>
      <c r="H959" s="10"/>
      <c r="I959" s="11"/>
      <c r="J959" s="11"/>
      <c r="K959" s="11"/>
      <c r="L959" s="11"/>
      <c r="M959" s="11"/>
      <c r="N959" s="11"/>
      <c r="O959" s="12"/>
      <c r="P959" s="11"/>
      <c r="Q959" s="13"/>
      <c r="R959" s="14"/>
    </row>
    <row r="960" spans="1:18" ht="15" customHeight="1">
      <c r="A960" s="15" t="s">
        <v>26</v>
      </c>
      <c r="B960" s="15" t="s">
        <v>357</v>
      </c>
      <c r="C960" s="16">
        <v>0.3923611111111111</v>
      </c>
      <c r="D960" s="15" t="s">
        <v>31</v>
      </c>
      <c r="E960" s="15" t="s">
        <v>82</v>
      </c>
      <c r="F960" s="15" t="s">
        <v>355</v>
      </c>
      <c r="G960" s="298"/>
      <c r="H960" s="10"/>
      <c r="I960" s="11"/>
      <c r="J960" s="11"/>
      <c r="K960" s="11"/>
      <c r="L960" s="11"/>
      <c r="M960" s="11"/>
      <c r="N960" s="11"/>
      <c r="O960" s="12"/>
      <c r="P960" s="11"/>
      <c r="Q960" s="13"/>
      <c r="R960" s="14"/>
    </row>
    <row r="961" spans="1:18" ht="15" customHeight="1">
      <c r="A961" s="15" t="s">
        <v>26</v>
      </c>
      <c r="B961" s="15" t="s">
        <v>357</v>
      </c>
      <c r="C961" s="16">
        <v>0.3923611111111111</v>
      </c>
      <c r="D961" s="15" t="s">
        <v>34</v>
      </c>
      <c r="E961" s="15" t="s">
        <v>82</v>
      </c>
      <c r="F961" s="15" t="s">
        <v>358</v>
      </c>
      <c r="G961" s="298"/>
      <c r="H961" s="10"/>
      <c r="I961" s="11"/>
      <c r="J961" s="11"/>
      <c r="K961" s="11"/>
      <c r="L961" s="11"/>
      <c r="M961" s="11"/>
      <c r="N961" s="11"/>
      <c r="O961" s="12"/>
      <c r="P961" s="11"/>
      <c r="Q961" s="13"/>
      <c r="R961" s="14"/>
    </row>
    <row r="962" spans="1:18" ht="15" customHeight="1">
      <c r="A962" s="17" t="s">
        <v>26</v>
      </c>
      <c r="B962" s="17" t="s">
        <v>354</v>
      </c>
      <c r="C962" s="18">
        <v>0.34722222222222232</v>
      </c>
      <c r="D962" s="17" t="s">
        <v>28</v>
      </c>
      <c r="E962" s="17" t="s">
        <v>98</v>
      </c>
      <c r="F962" s="17" t="s">
        <v>455</v>
      </c>
      <c r="G962" s="298"/>
      <c r="H962" s="10"/>
      <c r="I962" s="11"/>
      <c r="J962" s="11"/>
      <c r="K962" s="11"/>
      <c r="L962" s="11"/>
      <c r="M962" s="11"/>
      <c r="N962" s="11"/>
      <c r="O962" s="12"/>
      <c r="P962" s="11"/>
      <c r="Q962" s="13"/>
      <c r="R962" s="14"/>
    </row>
    <row r="963" spans="1:18" ht="15" customHeight="1">
      <c r="A963" s="15" t="s">
        <v>26</v>
      </c>
      <c r="B963" s="15" t="s">
        <v>354</v>
      </c>
      <c r="C963" s="16">
        <v>0.34722222222222232</v>
      </c>
      <c r="D963" s="15" t="s">
        <v>31</v>
      </c>
      <c r="E963" s="15" t="s">
        <v>99</v>
      </c>
      <c r="F963" s="15" t="s">
        <v>456</v>
      </c>
      <c r="G963" s="298"/>
      <c r="H963" s="10"/>
      <c r="I963" s="11"/>
      <c r="J963" s="11"/>
      <c r="K963" s="11"/>
      <c r="L963" s="11"/>
      <c r="M963" s="11"/>
      <c r="N963" s="11"/>
      <c r="O963" s="12"/>
      <c r="P963" s="11"/>
      <c r="Q963" s="13"/>
      <c r="R963" s="14"/>
    </row>
    <row r="964" spans="1:18" ht="15" customHeight="1">
      <c r="A964" s="15" t="s">
        <v>26</v>
      </c>
      <c r="B964" s="15" t="s">
        <v>354</v>
      </c>
      <c r="C964" s="16">
        <v>0.34722222222222232</v>
      </c>
      <c r="D964" s="15" t="s">
        <v>34</v>
      </c>
      <c r="E964" s="15" t="s">
        <v>99</v>
      </c>
      <c r="F964" s="15" t="s">
        <v>457</v>
      </c>
      <c r="G964" s="298"/>
      <c r="H964" s="10"/>
      <c r="I964" s="11"/>
      <c r="J964" s="11"/>
      <c r="K964" s="11"/>
      <c r="L964" s="11"/>
      <c r="M964" s="11"/>
      <c r="N964" s="11"/>
      <c r="O964" s="12"/>
      <c r="P964" s="11"/>
      <c r="Q964" s="13"/>
      <c r="R964" s="14"/>
    </row>
    <row r="965" spans="1:18" ht="15" customHeight="1">
      <c r="A965" s="19" t="s">
        <v>48</v>
      </c>
      <c r="B965" s="19" t="s">
        <v>386</v>
      </c>
      <c r="C965" s="20">
        <v>0.82986111111111116</v>
      </c>
      <c r="D965" s="19" t="s">
        <v>50</v>
      </c>
      <c r="E965" s="19" t="s">
        <v>107</v>
      </c>
      <c r="F965" s="19" t="s">
        <v>383</v>
      </c>
      <c r="G965" s="298"/>
      <c r="H965" s="10"/>
      <c r="I965" s="11"/>
      <c r="J965" s="11"/>
      <c r="K965" s="11"/>
      <c r="L965" s="11"/>
      <c r="M965" s="11"/>
      <c r="N965" s="11"/>
      <c r="O965" s="12"/>
      <c r="P965" s="11"/>
      <c r="Q965" s="13"/>
      <c r="R965" s="14"/>
    </row>
    <row r="966" spans="1:18" ht="15" customHeight="1">
      <c r="A966" s="15" t="s">
        <v>48</v>
      </c>
      <c r="B966" s="15" t="s">
        <v>386</v>
      </c>
      <c r="C966" s="16">
        <v>0.82986111111111116</v>
      </c>
      <c r="D966" s="15" t="s">
        <v>53</v>
      </c>
      <c r="E966" s="15" t="s">
        <v>108</v>
      </c>
      <c r="F966" s="15" t="s">
        <v>384</v>
      </c>
      <c r="G966" s="298"/>
      <c r="H966" s="10"/>
      <c r="I966" s="11"/>
      <c r="J966" s="11"/>
      <c r="K966" s="11"/>
      <c r="L966" s="11"/>
      <c r="M966" s="11"/>
      <c r="N966" s="11"/>
      <c r="O966" s="12"/>
      <c r="P966" s="11"/>
      <c r="Q966" s="13"/>
      <c r="R966" s="14"/>
    </row>
    <row r="967" spans="1:18" ht="15" customHeight="1">
      <c r="A967" s="17" t="s">
        <v>48</v>
      </c>
      <c r="B967" s="17" t="s">
        <v>385</v>
      </c>
      <c r="C967" s="18">
        <v>0.94097222222222221</v>
      </c>
      <c r="D967" s="17" t="s">
        <v>50</v>
      </c>
      <c r="E967" s="17" t="s">
        <v>57</v>
      </c>
      <c r="F967" s="17" t="s">
        <v>383</v>
      </c>
      <c r="G967" s="298"/>
      <c r="H967" s="10"/>
      <c r="I967" s="11"/>
      <c r="J967" s="11"/>
      <c r="K967" s="11"/>
      <c r="L967" s="11"/>
      <c r="M967" s="11"/>
      <c r="N967" s="11"/>
      <c r="O967" s="12"/>
      <c r="P967" s="11"/>
      <c r="Q967" s="13"/>
      <c r="R967" s="14"/>
    </row>
    <row r="968" spans="1:18" ht="15" customHeight="1">
      <c r="A968" s="15" t="s">
        <v>48</v>
      </c>
      <c r="B968" s="15" t="s">
        <v>385</v>
      </c>
      <c r="C968" s="16">
        <v>0.94097222222222221</v>
      </c>
      <c r="D968" s="15" t="s">
        <v>53</v>
      </c>
      <c r="E968" s="15" t="s">
        <v>54</v>
      </c>
      <c r="F968" s="15" t="s">
        <v>384</v>
      </c>
      <c r="G968" s="298"/>
      <c r="H968" s="10"/>
      <c r="I968" s="11"/>
      <c r="J968" s="11"/>
      <c r="K968" s="11"/>
      <c r="L968" s="11"/>
      <c r="M968" s="11"/>
      <c r="N968" s="11"/>
      <c r="O968" s="12"/>
      <c r="P968" s="11"/>
      <c r="Q968" s="13"/>
      <c r="R968" s="14"/>
    </row>
    <row r="969" spans="1:18" ht="15" customHeight="1">
      <c r="A969" s="17" t="s">
        <v>48</v>
      </c>
      <c r="B969" s="17" t="s">
        <v>388</v>
      </c>
      <c r="C969" s="18">
        <v>0.72222222222222221</v>
      </c>
      <c r="D969" s="17" t="s">
        <v>50</v>
      </c>
      <c r="E969" s="17" t="s">
        <v>57</v>
      </c>
      <c r="F969" s="17" t="s">
        <v>79</v>
      </c>
      <c r="G969" s="298"/>
      <c r="H969" s="10"/>
      <c r="I969" s="11"/>
      <c r="J969" s="11"/>
      <c r="K969" s="11"/>
      <c r="L969" s="11"/>
      <c r="M969" s="11"/>
      <c r="N969" s="11"/>
      <c r="O969" s="12"/>
      <c r="P969" s="11"/>
      <c r="Q969" s="13"/>
      <c r="R969" s="14"/>
    </row>
    <row r="970" spans="1:18" ht="15" customHeight="1">
      <c r="A970" s="15" t="s">
        <v>48</v>
      </c>
      <c r="B970" s="15" t="s">
        <v>388</v>
      </c>
      <c r="C970" s="16">
        <v>0.72222222222222221</v>
      </c>
      <c r="D970" s="15" t="s">
        <v>53</v>
      </c>
      <c r="E970" s="15" t="s">
        <v>54</v>
      </c>
      <c r="F970" s="15" t="s">
        <v>387</v>
      </c>
      <c r="G970" s="298"/>
      <c r="H970" s="10"/>
      <c r="I970" s="11"/>
      <c r="J970" s="11"/>
      <c r="K970" s="11"/>
      <c r="L970" s="11"/>
      <c r="M970" s="11"/>
      <c r="N970" s="11"/>
      <c r="O970" s="12"/>
      <c r="P970" s="11"/>
      <c r="Q970" s="13"/>
      <c r="R970" s="14"/>
    </row>
    <row r="971" spans="1:18" ht="15" customHeight="1">
      <c r="A971" s="17" t="s">
        <v>48</v>
      </c>
      <c r="B971" s="17" t="s">
        <v>389</v>
      </c>
      <c r="C971" s="18">
        <v>0.70138888888888884</v>
      </c>
      <c r="D971" s="17" t="s">
        <v>50</v>
      </c>
      <c r="E971" s="17" t="s">
        <v>57</v>
      </c>
      <c r="F971" s="17" t="s">
        <v>462</v>
      </c>
      <c r="G971" s="298"/>
      <c r="H971" s="10"/>
      <c r="I971" s="11"/>
      <c r="J971" s="11"/>
      <c r="K971" s="11"/>
      <c r="L971" s="11"/>
      <c r="M971" s="11"/>
      <c r="N971" s="11"/>
      <c r="O971" s="12"/>
      <c r="P971" s="11"/>
      <c r="Q971" s="13"/>
      <c r="R971" s="14"/>
    </row>
    <row r="972" spans="1:18" ht="15" customHeight="1">
      <c r="A972" s="15" t="s">
        <v>48</v>
      </c>
      <c r="B972" s="15" t="s">
        <v>389</v>
      </c>
      <c r="C972" s="16">
        <v>0.70138888888888884</v>
      </c>
      <c r="D972" s="15" t="s">
        <v>53</v>
      </c>
      <c r="E972" s="15" t="s">
        <v>54</v>
      </c>
      <c r="F972" s="15" t="s">
        <v>463</v>
      </c>
      <c r="G972" s="298"/>
      <c r="H972" s="10"/>
      <c r="I972" s="11"/>
      <c r="J972" s="11"/>
      <c r="K972" s="11"/>
      <c r="L972" s="11"/>
      <c r="M972" s="11"/>
      <c r="N972" s="11"/>
      <c r="O972" s="12"/>
      <c r="P972" s="11"/>
      <c r="Q972" s="13"/>
      <c r="R972" s="14"/>
    </row>
    <row r="973" spans="1:18" ht="15" customHeight="1">
      <c r="A973" s="17" t="s">
        <v>48</v>
      </c>
      <c r="B973" s="17" t="s">
        <v>390</v>
      </c>
      <c r="C973" s="18">
        <v>4.1666666666666657E-2</v>
      </c>
      <c r="D973" s="17" t="s">
        <v>50</v>
      </c>
      <c r="E973" s="17" t="s">
        <v>57</v>
      </c>
      <c r="F973" s="17" t="s">
        <v>462</v>
      </c>
      <c r="G973" s="298"/>
      <c r="H973" s="10"/>
      <c r="I973" s="11"/>
      <c r="J973" s="11"/>
      <c r="K973" s="11"/>
      <c r="L973" s="11"/>
      <c r="M973" s="11"/>
      <c r="N973" s="11"/>
      <c r="O973" s="12"/>
      <c r="P973" s="11"/>
      <c r="Q973" s="13"/>
      <c r="R973" s="14"/>
    </row>
    <row r="974" spans="1:18" ht="15" customHeight="1">
      <c r="A974" s="15" t="s">
        <v>48</v>
      </c>
      <c r="B974" s="15" t="s">
        <v>390</v>
      </c>
      <c r="C974" s="16">
        <v>4.1666666666666657E-2</v>
      </c>
      <c r="D974" s="15" t="s">
        <v>53</v>
      </c>
      <c r="E974" s="15" t="s">
        <v>54</v>
      </c>
      <c r="F974" s="15" t="s">
        <v>463</v>
      </c>
      <c r="G974" s="298"/>
      <c r="H974" s="10"/>
      <c r="I974" s="11"/>
      <c r="J974" s="11"/>
      <c r="K974" s="11"/>
      <c r="L974" s="11"/>
      <c r="M974" s="11"/>
      <c r="N974" s="11"/>
      <c r="O974" s="12"/>
      <c r="P974" s="11"/>
      <c r="Q974" s="13"/>
      <c r="R974" s="14"/>
    </row>
    <row r="975" spans="1:18" ht="15" customHeight="1">
      <c r="A975" s="17" t="s">
        <v>48</v>
      </c>
      <c r="B975" s="17" t="s">
        <v>400</v>
      </c>
      <c r="C975" s="18">
        <v>0.25347222222222221</v>
      </c>
      <c r="D975" s="17" t="s">
        <v>50</v>
      </c>
      <c r="E975" s="17" t="s">
        <v>57</v>
      </c>
      <c r="F975" s="17" t="s">
        <v>392</v>
      </c>
      <c r="G975" s="298"/>
      <c r="H975" s="10"/>
      <c r="I975" s="11"/>
      <c r="J975" s="11"/>
      <c r="K975" s="11"/>
      <c r="L975" s="11"/>
      <c r="M975" s="11"/>
      <c r="N975" s="11"/>
      <c r="O975" s="12"/>
      <c r="P975" s="11"/>
      <c r="Q975" s="13"/>
      <c r="R975" s="14"/>
    </row>
    <row r="976" spans="1:18" ht="15" customHeight="1">
      <c r="A976" s="15" t="s">
        <v>48</v>
      </c>
      <c r="B976" s="15" t="s">
        <v>400</v>
      </c>
      <c r="C976" s="16">
        <v>0.25347222222222221</v>
      </c>
      <c r="D976" s="15" t="s">
        <v>53</v>
      </c>
      <c r="E976" s="15" t="s">
        <v>54</v>
      </c>
      <c r="F976" s="15" t="s">
        <v>393</v>
      </c>
      <c r="G976" s="298"/>
      <c r="H976" s="10"/>
      <c r="I976" s="11"/>
      <c r="J976" s="11"/>
      <c r="K976" s="11"/>
      <c r="L976" s="11"/>
      <c r="M976" s="11"/>
      <c r="N976" s="11"/>
      <c r="O976" s="12"/>
      <c r="P976" s="11"/>
      <c r="Q976" s="13"/>
      <c r="R976" s="14"/>
    </row>
    <row r="977" spans="1:18" ht="15" customHeight="1">
      <c r="A977" s="17" t="s">
        <v>48</v>
      </c>
      <c r="B977" s="17" t="s">
        <v>396</v>
      </c>
      <c r="C977" s="18">
        <v>0.48958333333333331</v>
      </c>
      <c r="D977" s="17" t="s">
        <v>53</v>
      </c>
      <c r="E977" s="17" t="s">
        <v>37</v>
      </c>
      <c r="F977" s="17" t="s">
        <v>395</v>
      </c>
      <c r="G977" s="298"/>
      <c r="H977" s="10"/>
      <c r="I977" s="11"/>
      <c r="J977" s="11"/>
      <c r="K977" s="11"/>
      <c r="L977" s="11"/>
      <c r="M977" s="11"/>
      <c r="N977" s="11"/>
      <c r="O977" s="12"/>
      <c r="P977" s="11"/>
      <c r="Q977" s="13"/>
      <c r="R977" s="14"/>
    </row>
    <row r="978" spans="1:18" ht="15" customHeight="1">
      <c r="A978" s="17" t="s">
        <v>48</v>
      </c>
      <c r="B978" s="17" t="s">
        <v>397</v>
      </c>
      <c r="C978" s="18">
        <v>0.88888888888888884</v>
      </c>
      <c r="D978" s="17" t="s">
        <v>53</v>
      </c>
      <c r="E978" s="17" t="s">
        <v>37</v>
      </c>
      <c r="F978" s="17" t="s">
        <v>438</v>
      </c>
      <c r="G978" s="298"/>
      <c r="H978" s="10"/>
      <c r="I978" s="11"/>
      <c r="J978" s="11"/>
      <c r="K978" s="11"/>
      <c r="L978" s="11"/>
      <c r="M978" s="11"/>
      <c r="N978" s="11"/>
      <c r="O978" s="12"/>
      <c r="P978" s="11"/>
      <c r="Q978" s="13"/>
      <c r="R978" s="14"/>
    </row>
    <row r="979" spans="1:18" ht="15" customHeight="1">
      <c r="A979" s="17" t="s">
        <v>48</v>
      </c>
      <c r="B979" s="17" t="s">
        <v>394</v>
      </c>
      <c r="C979" s="18">
        <v>0.98958333333333337</v>
      </c>
      <c r="D979" s="17" t="s">
        <v>53</v>
      </c>
      <c r="E979" s="17" t="s">
        <v>37</v>
      </c>
      <c r="F979" s="17" t="s">
        <v>399</v>
      </c>
      <c r="G979" s="298"/>
      <c r="H979" s="10"/>
      <c r="I979" s="11"/>
      <c r="J979" s="11"/>
      <c r="K979" s="11"/>
      <c r="L979" s="11"/>
      <c r="M979" s="11"/>
      <c r="N979" s="11"/>
      <c r="O979" s="12"/>
      <c r="P979" s="11"/>
      <c r="Q979" s="13"/>
      <c r="R979" s="14"/>
    </row>
    <row r="980" spans="1:18" ht="15" customHeight="1">
      <c r="A980" s="17" t="s">
        <v>48</v>
      </c>
      <c r="B980" s="17" t="s">
        <v>398</v>
      </c>
      <c r="C980" s="18">
        <v>0.39930555555555558</v>
      </c>
      <c r="D980" s="17" t="s">
        <v>53</v>
      </c>
      <c r="E980" s="17" t="s">
        <v>37</v>
      </c>
      <c r="F980" s="17" t="s">
        <v>399</v>
      </c>
      <c r="G980" s="298"/>
      <c r="H980" s="10"/>
      <c r="I980" s="11"/>
      <c r="J980" s="11"/>
      <c r="K980" s="11"/>
      <c r="L980" s="11"/>
      <c r="M980" s="11"/>
      <c r="N980" s="11"/>
      <c r="O980" s="12"/>
      <c r="P980" s="11"/>
      <c r="Q980" s="13"/>
      <c r="R980" s="14"/>
    </row>
    <row r="981" spans="1:18" ht="15" customHeight="1">
      <c r="A981" s="17" t="s">
        <v>48</v>
      </c>
      <c r="B981" s="17" t="s">
        <v>391</v>
      </c>
      <c r="C981" s="18">
        <v>0.48958333333333331</v>
      </c>
      <c r="D981" s="17" t="s">
        <v>53</v>
      </c>
      <c r="E981" s="17" t="s">
        <v>435</v>
      </c>
      <c r="F981" s="17" t="s">
        <v>401</v>
      </c>
      <c r="G981" s="298"/>
      <c r="H981" s="10"/>
      <c r="I981" s="11"/>
      <c r="J981" s="11"/>
      <c r="K981" s="11"/>
      <c r="L981" s="11"/>
      <c r="M981" s="11"/>
      <c r="N981" s="11"/>
      <c r="O981" s="12"/>
      <c r="P981" s="11"/>
      <c r="Q981" s="13"/>
      <c r="R981" s="14"/>
    </row>
    <row r="982" spans="1:18" ht="15" customHeight="1">
      <c r="A982" s="17" t="s">
        <v>48</v>
      </c>
      <c r="B982" s="17" t="s">
        <v>382</v>
      </c>
      <c r="C982" s="18">
        <v>0.11805555555555559</v>
      </c>
      <c r="D982" s="17" t="s">
        <v>53</v>
      </c>
      <c r="E982" s="17" t="s">
        <v>57</v>
      </c>
      <c r="F982" s="17" t="s">
        <v>401</v>
      </c>
      <c r="G982" s="298"/>
      <c r="H982" s="10"/>
      <c r="I982" s="11"/>
      <c r="J982" s="11"/>
      <c r="K982" s="11"/>
      <c r="L982" s="11"/>
      <c r="M982" s="11"/>
      <c r="N982" s="11"/>
      <c r="O982" s="12"/>
      <c r="P982" s="11"/>
      <c r="Q982" s="13"/>
      <c r="R982" s="14"/>
    </row>
    <row r="983" spans="1:18" ht="15" customHeight="1">
      <c r="A983" s="19" t="s">
        <v>359</v>
      </c>
      <c r="B983" s="19" t="s">
        <v>445</v>
      </c>
      <c r="C983" s="20">
        <v>5.5555555555555552E-2</v>
      </c>
      <c r="D983" s="19" t="s">
        <v>361</v>
      </c>
      <c r="E983" s="19" t="s">
        <v>80</v>
      </c>
      <c r="F983" s="19" t="s">
        <v>493</v>
      </c>
      <c r="G983" s="298"/>
      <c r="H983" s="10"/>
      <c r="I983" s="11"/>
      <c r="J983" s="11"/>
      <c r="K983" s="11"/>
      <c r="L983" s="11"/>
      <c r="M983" s="11"/>
      <c r="N983" s="11"/>
      <c r="O983" s="12"/>
      <c r="P983" s="11"/>
      <c r="Q983" s="13"/>
      <c r="R983" s="14"/>
    </row>
    <row r="984" spans="1:18" ht="15" customHeight="1">
      <c r="A984" s="15" t="s">
        <v>359</v>
      </c>
      <c r="B984" s="15" t="s">
        <v>445</v>
      </c>
      <c r="C984" s="16">
        <v>5.5555555555555552E-2</v>
      </c>
      <c r="D984" s="15" t="s">
        <v>46</v>
      </c>
      <c r="E984" s="15" t="s">
        <v>82</v>
      </c>
      <c r="F984" s="15" t="s">
        <v>494</v>
      </c>
      <c r="G984" s="298"/>
      <c r="H984" s="10"/>
      <c r="I984" s="11"/>
      <c r="J984" s="11"/>
      <c r="K984" s="11"/>
      <c r="L984" s="11"/>
      <c r="M984" s="11"/>
      <c r="N984" s="11"/>
      <c r="O984" s="12"/>
      <c r="P984" s="11"/>
      <c r="Q984" s="13"/>
      <c r="R984" s="14"/>
    </row>
    <row r="985" spans="1:18" ht="15" customHeight="1">
      <c r="A985" s="19" t="s">
        <v>402</v>
      </c>
      <c r="B985" s="19" t="s">
        <v>403</v>
      </c>
      <c r="C985" s="20">
        <v>0.49305555555555558</v>
      </c>
      <c r="D985" s="19" t="s">
        <v>63</v>
      </c>
      <c r="E985" s="19" t="s">
        <v>103</v>
      </c>
      <c r="F985" s="19" t="s">
        <v>404</v>
      </c>
      <c r="G985" s="298"/>
      <c r="H985" s="10"/>
      <c r="I985" s="11"/>
      <c r="J985" s="11"/>
      <c r="K985" s="11"/>
      <c r="L985" s="11"/>
      <c r="M985" s="11"/>
      <c r="N985" s="11"/>
      <c r="O985" s="12"/>
      <c r="P985" s="11"/>
      <c r="Q985" s="13"/>
      <c r="R985" s="14"/>
    </row>
    <row r="986" spans="1:18" ht="15" customHeight="1">
      <c r="A986" s="19" t="s">
        <v>68</v>
      </c>
      <c r="B986" s="19" t="s">
        <v>405</v>
      </c>
      <c r="C986" s="20">
        <v>0.83680555555555547</v>
      </c>
      <c r="D986" s="19" t="s">
        <v>70</v>
      </c>
      <c r="E986" s="19" t="s">
        <v>51</v>
      </c>
      <c r="F986" s="19" t="s">
        <v>406</v>
      </c>
      <c r="G986" s="298"/>
      <c r="H986" s="10"/>
      <c r="I986" s="11"/>
      <c r="J986" s="11"/>
      <c r="K986" s="11"/>
      <c r="L986" s="11"/>
      <c r="M986" s="11"/>
      <c r="N986" s="11"/>
      <c r="O986" s="12"/>
      <c r="P986" s="11"/>
      <c r="Q986" s="13"/>
      <c r="R986" s="14"/>
    </row>
    <row r="987" spans="1:18" ht="15" customHeight="1">
      <c r="A987" s="17" t="s">
        <v>68</v>
      </c>
      <c r="B987" s="17" t="s">
        <v>407</v>
      </c>
      <c r="C987" s="18">
        <v>0.3125</v>
      </c>
      <c r="D987" s="17" t="s">
        <v>70</v>
      </c>
      <c r="E987" s="17" t="s">
        <v>57</v>
      </c>
      <c r="F987" s="17" t="s">
        <v>406</v>
      </c>
      <c r="G987" s="298"/>
      <c r="H987" s="10"/>
      <c r="I987" s="11"/>
      <c r="J987" s="11"/>
      <c r="K987" s="11"/>
      <c r="L987" s="11"/>
      <c r="M987" s="11"/>
      <c r="N987" s="11"/>
      <c r="O987" s="12"/>
      <c r="P987" s="11"/>
      <c r="Q987" s="13"/>
      <c r="R987" s="14"/>
    </row>
    <row r="988" spans="1:18" ht="15" customHeight="1">
      <c r="A988" s="17" t="s">
        <v>68</v>
      </c>
      <c r="B988" s="17" t="s">
        <v>408</v>
      </c>
      <c r="C988" s="18">
        <v>0.97222222222222221</v>
      </c>
      <c r="D988" s="17" t="s">
        <v>70</v>
      </c>
      <c r="E988" s="17" t="s">
        <v>57</v>
      </c>
      <c r="F988" s="17" t="s">
        <v>406</v>
      </c>
      <c r="G988" s="298"/>
      <c r="H988" s="10"/>
      <c r="I988" s="11"/>
      <c r="J988" s="11"/>
      <c r="K988" s="11"/>
      <c r="L988" s="11"/>
      <c r="M988" s="11"/>
      <c r="N988" s="11"/>
      <c r="O988" s="12"/>
      <c r="P988" s="11"/>
      <c r="Q988" s="13"/>
      <c r="R988" s="14"/>
    </row>
    <row r="989" spans="1:18" ht="15" customHeight="1">
      <c r="A989" s="17" t="s">
        <v>68</v>
      </c>
      <c r="B989" s="17" t="s">
        <v>437</v>
      </c>
      <c r="C989" s="18">
        <v>0.1041666666666667</v>
      </c>
      <c r="D989" s="17" t="s">
        <v>70</v>
      </c>
      <c r="E989" s="17" t="s">
        <v>57</v>
      </c>
      <c r="F989" s="17" t="s">
        <v>406</v>
      </c>
      <c r="G989" s="298"/>
      <c r="H989" s="10"/>
      <c r="I989" s="11"/>
      <c r="J989" s="11"/>
      <c r="K989" s="11"/>
      <c r="L989" s="11"/>
      <c r="M989" s="11"/>
      <c r="N989" s="11"/>
      <c r="O989" s="12"/>
      <c r="P989" s="11"/>
      <c r="Q989" s="13"/>
      <c r="R989" s="14"/>
    </row>
    <row r="990" spans="1:18" ht="15" customHeight="1">
      <c r="A990" s="17" t="s">
        <v>68</v>
      </c>
      <c r="B990" s="17" t="s">
        <v>409</v>
      </c>
      <c r="C990" s="18">
        <v>0.34027777777777768</v>
      </c>
      <c r="D990" s="17" t="s">
        <v>70</v>
      </c>
      <c r="E990" s="17" t="s">
        <v>57</v>
      </c>
      <c r="F990" s="17" t="s">
        <v>406</v>
      </c>
      <c r="G990" s="298"/>
      <c r="H990" s="10"/>
      <c r="I990" s="11"/>
      <c r="J990" s="11"/>
      <c r="K990" s="11"/>
      <c r="L990" s="11"/>
      <c r="M990" s="11"/>
      <c r="N990" s="11"/>
      <c r="O990" s="12"/>
      <c r="P990" s="11"/>
      <c r="Q990" s="13"/>
      <c r="R990" s="14"/>
    </row>
    <row r="991" spans="1:18" ht="15" customHeight="1">
      <c r="A991" s="17" t="s">
        <v>68</v>
      </c>
      <c r="B991" s="17" t="s">
        <v>411</v>
      </c>
      <c r="C991" s="18">
        <v>0.78472222222222221</v>
      </c>
      <c r="D991" s="17" t="s">
        <v>70</v>
      </c>
      <c r="E991" s="17" t="s">
        <v>57</v>
      </c>
      <c r="F991" s="17" t="s">
        <v>406</v>
      </c>
      <c r="G991" s="298"/>
      <c r="H991" s="10"/>
      <c r="I991" s="11"/>
      <c r="J991" s="11"/>
      <c r="K991" s="11"/>
      <c r="L991" s="11"/>
      <c r="M991" s="11"/>
      <c r="N991" s="11"/>
      <c r="O991" s="12"/>
      <c r="P991" s="11"/>
      <c r="Q991" s="13"/>
      <c r="R991" s="14"/>
    </row>
    <row r="992" spans="1:18" ht="15" customHeight="1">
      <c r="A992" s="17" t="s">
        <v>68</v>
      </c>
      <c r="B992" s="17" t="s">
        <v>410</v>
      </c>
      <c r="C992" s="18">
        <v>0.59722222222222221</v>
      </c>
      <c r="D992" s="17" t="s">
        <v>70</v>
      </c>
      <c r="E992" s="17" t="s">
        <v>57</v>
      </c>
      <c r="F992" s="17" t="s">
        <v>406</v>
      </c>
      <c r="G992" s="298"/>
      <c r="H992" s="10"/>
      <c r="I992" s="11"/>
      <c r="J992" s="11"/>
      <c r="K992" s="11"/>
      <c r="L992" s="11"/>
      <c r="M992" s="11"/>
      <c r="N992" s="11"/>
      <c r="O992" s="12"/>
      <c r="P992" s="11"/>
      <c r="Q992" s="13"/>
      <c r="R992" s="14"/>
    </row>
    <row r="993" spans="1:18" ht="15" customHeight="1">
      <c r="A993" s="17" t="s">
        <v>68</v>
      </c>
      <c r="B993" s="17" t="s">
        <v>413</v>
      </c>
      <c r="C993" s="18">
        <v>4.8611111111111112E-2</v>
      </c>
      <c r="D993" s="17" t="s">
        <v>70</v>
      </c>
      <c r="E993" s="17" t="s">
        <v>57</v>
      </c>
      <c r="F993" s="17" t="s">
        <v>406</v>
      </c>
      <c r="G993" s="298"/>
      <c r="H993" s="10"/>
      <c r="I993" s="11"/>
      <c r="J993" s="11"/>
      <c r="K993" s="11"/>
      <c r="L993" s="11"/>
      <c r="M993" s="11"/>
      <c r="N993" s="11"/>
      <c r="O993" s="12"/>
      <c r="P993" s="11"/>
      <c r="Q993" s="13"/>
      <c r="R993" s="14"/>
    </row>
    <row r="994" spans="1:18" ht="15" customHeight="1">
      <c r="A994" s="19" t="s">
        <v>415</v>
      </c>
      <c r="B994" s="19" t="s">
        <v>416</v>
      </c>
      <c r="C994" s="20">
        <v>0.10069444444444441</v>
      </c>
      <c r="D994" s="19" t="s">
        <v>63</v>
      </c>
      <c r="E994" s="19" t="s">
        <v>51</v>
      </c>
      <c r="F994" s="19" t="s">
        <v>417</v>
      </c>
      <c r="G994" s="298"/>
      <c r="H994" s="10"/>
      <c r="I994" s="11"/>
      <c r="J994" s="11"/>
      <c r="K994" s="11"/>
      <c r="L994" s="11"/>
      <c r="M994" s="11"/>
      <c r="N994" s="11"/>
      <c r="O994" s="12"/>
      <c r="P994" s="11"/>
      <c r="Q994" s="13"/>
      <c r="R994" s="14"/>
    </row>
    <row r="995" spans="1:18" ht="15" customHeight="1" thickBot="1">
      <c r="A995" s="30" t="s">
        <v>415</v>
      </c>
      <c r="B995" s="30" t="s">
        <v>418</v>
      </c>
      <c r="C995" s="31">
        <v>0.27083333333333331</v>
      </c>
      <c r="D995" s="30" t="s">
        <v>63</v>
      </c>
      <c r="E995" s="30" t="s">
        <v>57</v>
      </c>
      <c r="F995" s="30" t="s">
        <v>417</v>
      </c>
      <c r="G995" s="299"/>
      <c r="H995" s="300"/>
      <c r="I995" s="140"/>
      <c r="J995" s="140"/>
      <c r="K995" s="140"/>
      <c r="L995" s="140"/>
      <c r="M995" s="140"/>
      <c r="N995" s="140"/>
      <c r="O995" s="141"/>
      <c r="P995" s="140"/>
      <c r="Q995" s="142"/>
      <c r="R995" s="301"/>
    </row>
    <row r="996" spans="1:18" ht="17.45" customHeight="1" thickBot="1">
      <c r="A996" s="283"/>
      <c r="B996" s="284"/>
      <c r="C996" s="284"/>
      <c r="D996" s="284"/>
      <c r="E996" s="284"/>
      <c r="F996" s="284"/>
      <c r="G996" s="284"/>
      <c r="H996" s="284"/>
      <c r="I996" s="284"/>
      <c r="J996" s="284"/>
      <c r="K996" s="284"/>
      <c r="L996" s="284"/>
      <c r="M996" s="284"/>
      <c r="N996" s="284"/>
      <c r="O996" s="284"/>
      <c r="P996" s="284"/>
      <c r="Q996" s="284"/>
      <c r="R996" s="285"/>
    </row>
    <row r="997" spans="1:18" ht="22.15" customHeight="1" thickTop="1" thickBot="1">
      <c r="A997" s="279" t="s">
        <v>6</v>
      </c>
      <c r="B997" s="295"/>
      <c r="C997" s="295"/>
      <c r="D997" s="295"/>
      <c r="E997" s="295"/>
      <c r="F997" s="296"/>
      <c r="G997" s="32">
        <v>46036</v>
      </c>
      <c r="H997" s="278" t="s">
        <v>7</v>
      </c>
      <c r="I997" s="295"/>
      <c r="J997" s="295"/>
      <c r="K997" s="295"/>
      <c r="L997" s="295"/>
      <c r="M997" s="295"/>
      <c r="N997" s="295"/>
      <c r="O997" s="295"/>
      <c r="P997" s="295"/>
      <c r="Q997" s="295"/>
      <c r="R997" s="296"/>
    </row>
    <row r="998" spans="1:18" ht="24" customHeight="1">
      <c r="A998" s="33" t="s">
        <v>8</v>
      </c>
      <c r="B998" s="33" t="s">
        <v>9</v>
      </c>
      <c r="C998" s="34" t="s">
        <v>10</v>
      </c>
      <c r="D998" s="33" t="s">
        <v>11</v>
      </c>
      <c r="E998" s="33" t="s">
        <v>12</v>
      </c>
      <c r="F998" s="35" t="s">
        <v>13</v>
      </c>
      <c r="G998" s="36" t="s">
        <v>14</v>
      </c>
      <c r="H998" s="33" t="s">
        <v>15</v>
      </c>
      <c r="I998" s="37" t="s">
        <v>16</v>
      </c>
      <c r="J998" s="38" t="s">
        <v>17</v>
      </c>
      <c r="K998" s="39" t="s">
        <v>18</v>
      </c>
      <c r="L998" s="38" t="s">
        <v>19</v>
      </c>
      <c r="M998" s="38" t="s">
        <v>20</v>
      </c>
      <c r="N998" s="38" t="s">
        <v>21</v>
      </c>
      <c r="O998" s="33" t="s">
        <v>22</v>
      </c>
      <c r="P998" s="34" t="s">
        <v>23</v>
      </c>
      <c r="Q998" s="38" t="s">
        <v>24</v>
      </c>
      <c r="R998" s="33" t="s">
        <v>25</v>
      </c>
    </row>
    <row r="999" spans="1:18" ht="15" customHeight="1">
      <c r="A999" s="8" t="s">
        <v>38</v>
      </c>
      <c r="B999" s="8" t="s">
        <v>342</v>
      </c>
      <c r="C999" s="9">
        <v>0.48958333333333331</v>
      </c>
      <c r="D999" s="8" t="s">
        <v>40</v>
      </c>
      <c r="E999" s="8" t="s">
        <v>192</v>
      </c>
      <c r="F999" s="8" t="s">
        <v>343</v>
      </c>
      <c r="G999" s="297"/>
      <c r="H999" s="10"/>
      <c r="I999" s="11"/>
      <c r="J999" s="11"/>
      <c r="K999" s="11"/>
      <c r="L999" s="11"/>
      <c r="M999" s="11"/>
      <c r="N999" s="11"/>
      <c r="O999" s="12"/>
      <c r="P999" s="11"/>
      <c r="Q999" s="13"/>
      <c r="R999" s="14"/>
    </row>
    <row r="1000" spans="1:18" ht="15" customHeight="1">
      <c r="A1000" s="15" t="s">
        <v>38</v>
      </c>
      <c r="B1000" s="15" t="s">
        <v>342</v>
      </c>
      <c r="C1000" s="16">
        <v>0.48958333333333331</v>
      </c>
      <c r="D1000" s="15" t="s">
        <v>43</v>
      </c>
      <c r="E1000" s="15" t="s">
        <v>193</v>
      </c>
      <c r="F1000" s="15" t="s">
        <v>33</v>
      </c>
      <c r="G1000" s="298"/>
      <c r="H1000" s="10"/>
      <c r="I1000" s="11"/>
      <c r="J1000" s="11"/>
      <c r="K1000" s="11"/>
      <c r="L1000" s="11"/>
      <c r="M1000" s="11"/>
      <c r="N1000" s="11"/>
      <c r="O1000" s="12"/>
      <c r="P1000" s="11"/>
      <c r="Q1000" s="13"/>
      <c r="R1000" s="14"/>
    </row>
    <row r="1001" spans="1:18" ht="15" customHeight="1">
      <c r="A1001" s="15" t="s">
        <v>38</v>
      </c>
      <c r="B1001" s="15" t="s">
        <v>342</v>
      </c>
      <c r="C1001" s="16">
        <v>0.48958333333333331</v>
      </c>
      <c r="D1001" s="15" t="s">
        <v>46</v>
      </c>
      <c r="E1001" s="15" t="s">
        <v>193</v>
      </c>
      <c r="F1001" s="15" t="s">
        <v>47</v>
      </c>
      <c r="G1001" s="298"/>
      <c r="H1001" s="10"/>
      <c r="I1001" s="11"/>
      <c r="J1001" s="11"/>
      <c r="K1001" s="11"/>
      <c r="L1001" s="11"/>
      <c r="M1001" s="11"/>
      <c r="N1001" s="11"/>
      <c r="O1001" s="12"/>
      <c r="P1001" s="11"/>
      <c r="Q1001" s="13"/>
      <c r="R1001" s="14"/>
    </row>
    <row r="1002" spans="1:18" ht="15" customHeight="1">
      <c r="A1002" s="17" t="s">
        <v>38</v>
      </c>
      <c r="B1002" s="17" t="s">
        <v>346</v>
      </c>
      <c r="C1002" s="18">
        <v>0.39930555555555558</v>
      </c>
      <c r="D1002" s="17" t="s">
        <v>40</v>
      </c>
      <c r="E1002" s="17" t="s">
        <v>125</v>
      </c>
      <c r="F1002" s="17" t="s">
        <v>30</v>
      </c>
      <c r="G1002" s="298"/>
      <c r="H1002" s="10"/>
      <c r="I1002" s="11"/>
      <c r="J1002" s="11"/>
      <c r="K1002" s="11"/>
      <c r="L1002" s="11"/>
      <c r="M1002" s="11"/>
      <c r="N1002" s="11"/>
      <c r="O1002" s="12"/>
      <c r="P1002" s="11"/>
      <c r="Q1002" s="13"/>
      <c r="R1002" s="14"/>
    </row>
    <row r="1003" spans="1:18" ht="15" customHeight="1">
      <c r="A1003" s="15" t="s">
        <v>38</v>
      </c>
      <c r="B1003" s="15" t="s">
        <v>346</v>
      </c>
      <c r="C1003" s="16">
        <v>0.39930555555555558</v>
      </c>
      <c r="D1003" s="15" t="s">
        <v>43</v>
      </c>
      <c r="E1003" s="15" t="s">
        <v>44</v>
      </c>
      <c r="F1003" s="15" t="s">
        <v>420</v>
      </c>
      <c r="G1003" s="298"/>
      <c r="H1003" s="10"/>
      <c r="I1003" s="11"/>
      <c r="J1003" s="11"/>
      <c r="K1003" s="11"/>
      <c r="L1003" s="11"/>
      <c r="M1003" s="11"/>
      <c r="N1003" s="11"/>
      <c r="O1003" s="12"/>
      <c r="P1003" s="11"/>
      <c r="Q1003" s="13"/>
      <c r="R1003" s="14"/>
    </row>
    <row r="1004" spans="1:18" ht="15" customHeight="1">
      <c r="A1004" s="15" t="s">
        <v>38</v>
      </c>
      <c r="B1004" s="15" t="s">
        <v>346</v>
      </c>
      <c r="C1004" s="16">
        <v>0.39930555555555558</v>
      </c>
      <c r="D1004" s="15" t="s">
        <v>46</v>
      </c>
      <c r="E1004" s="15" t="s">
        <v>44</v>
      </c>
      <c r="F1004" s="15" t="s">
        <v>47</v>
      </c>
      <c r="G1004" s="298"/>
      <c r="H1004" s="10"/>
      <c r="I1004" s="11"/>
      <c r="J1004" s="11"/>
      <c r="K1004" s="11"/>
      <c r="L1004" s="11"/>
      <c r="M1004" s="11"/>
      <c r="N1004" s="11"/>
      <c r="O1004" s="12"/>
      <c r="P1004" s="11"/>
      <c r="Q1004" s="13"/>
      <c r="R1004" s="14"/>
    </row>
    <row r="1005" spans="1:18" ht="15" customHeight="1">
      <c r="A1005" s="17" t="s">
        <v>38</v>
      </c>
      <c r="B1005" s="17" t="s">
        <v>345</v>
      </c>
      <c r="C1005" s="18">
        <v>0.98958333333333337</v>
      </c>
      <c r="D1005" s="17" t="s">
        <v>40</v>
      </c>
      <c r="E1005" s="17" t="s">
        <v>170</v>
      </c>
      <c r="F1005" s="17" t="s">
        <v>347</v>
      </c>
      <c r="G1005" s="298"/>
      <c r="H1005" s="10"/>
      <c r="I1005" s="11"/>
      <c r="J1005" s="11"/>
      <c r="K1005" s="11"/>
      <c r="L1005" s="11"/>
      <c r="M1005" s="11"/>
      <c r="N1005" s="11"/>
      <c r="O1005" s="12"/>
      <c r="P1005" s="11"/>
      <c r="Q1005" s="13"/>
      <c r="R1005" s="14"/>
    </row>
    <row r="1006" spans="1:18" ht="15" customHeight="1">
      <c r="A1006" s="15" t="s">
        <v>38</v>
      </c>
      <c r="B1006" s="15" t="s">
        <v>345</v>
      </c>
      <c r="C1006" s="16">
        <v>0.98958333333333337</v>
      </c>
      <c r="D1006" s="15" t="s">
        <v>43</v>
      </c>
      <c r="E1006" s="15" t="s">
        <v>152</v>
      </c>
      <c r="F1006" s="15" t="s">
        <v>138</v>
      </c>
      <c r="G1006" s="298"/>
      <c r="H1006" s="10"/>
      <c r="I1006" s="11"/>
      <c r="J1006" s="11"/>
      <c r="K1006" s="11"/>
      <c r="L1006" s="11"/>
      <c r="M1006" s="11"/>
      <c r="N1006" s="11"/>
      <c r="O1006" s="12"/>
      <c r="P1006" s="11"/>
      <c r="Q1006" s="13"/>
      <c r="R1006" s="14"/>
    </row>
    <row r="1007" spans="1:18" ht="15" customHeight="1">
      <c r="A1007" s="15" t="s">
        <v>38</v>
      </c>
      <c r="B1007" s="15" t="s">
        <v>345</v>
      </c>
      <c r="C1007" s="16">
        <v>0.98958333333333337</v>
      </c>
      <c r="D1007" s="15" t="s">
        <v>46</v>
      </c>
      <c r="E1007" s="15" t="s">
        <v>152</v>
      </c>
      <c r="F1007" s="15" t="s">
        <v>47</v>
      </c>
      <c r="G1007" s="298"/>
      <c r="H1007" s="10"/>
      <c r="I1007" s="11"/>
      <c r="J1007" s="11"/>
      <c r="K1007" s="11"/>
      <c r="L1007" s="11"/>
      <c r="M1007" s="11"/>
      <c r="N1007" s="11"/>
      <c r="O1007" s="12"/>
      <c r="P1007" s="11"/>
      <c r="Q1007" s="13"/>
      <c r="R1007" s="14"/>
    </row>
    <row r="1008" spans="1:18" ht="15" customHeight="1">
      <c r="A1008" s="17" t="s">
        <v>38</v>
      </c>
      <c r="B1008" s="17" t="s">
        <v>344</v>
      </c>
      <c r="C1008" s="18">
        <v>0.88888888888888884</v>
      </c>
      <c r="D1008" s="17" t="s">
        <v>40</v>
      </c>
      <c r="E1008" s="17" t="s">
        <v>459</v>
      </c>
      <c r="F1008" s="17" t="s">
        <v>349</v>
      </c>
      <c r="G1008" s="298"/>
      <c r="H1008" s="10"/>
      <c r="I1008" s="11"/>
      <c r="J1008" s="11"/>
      <c r="K1008" s="11"/>
      <c r="L1008" s="11"/>
      <c r="M1008" s="11"/>
      <c r="N1008" s="11"/>
      <c r="O1008" s="12"/>
      <c r="P1008" s="11"/>
      <c r="Q1008" s="13"/>
      <c r="R1008" s="14"/>
    </row>
    <row r="1009" spans="1:18" ht="15" customHeight="1">
      <c r="A1009" s="15" t="s">
        <v>38</v>
      </c>
      <c r="B1009" s="15" t="s">
        <v>344</v>
      </c>
      <c r="C1009" s="16">
        <v>0.88888888888888884</v>
      </c>
      <c r="D1009" s="15" t="s">
        <v>43</v>
      </c>
      <c r="E1009" s="15" t="s">
        <v>182</v>
      </c>
      <c r="F1009" s="15" t="s">
        <v>443</v>
      </c>
      <c r="G1009" s="298"/>
      <c r="H1009" s="10"/>
      <c r="I1009" s="11"/>
      <c r="J1009" s="11"/>
      <c r="K1009" s="11"/>
      <c r="L1009" s="11"/>
      <c r="M1009" s="11"/>
      <c r="N1009" s="11"/>
      <c r="O1009" s="12"/>
      <c r="P1009" s="11"/>
      <c r="Q1009" s="13"/>
      <c r="R1009" s="14"/>
    </row>
    <row r="1010" spans="1:18" ht="15" customHeight="1">
      <c r="A1010" s="15" t="s">
        <v>38</v>
      </c>
      <c r="B1010" s="15" t="s">
        <v>344</v>
      </c>
      <c r="C1010" s="16">
        <v>0.88888888888888884</v>
      </c>
      <c r="D1010" s="15" t="s">
        <v>46</v>
      </c>
      <c r="E1010" s="15" t="s">
        <v>182</v>
      </c>
      <c r="F1010" s="15" t="s">
        <v>47</v>
      </c>
      <c r="G1010" s="298"/>
      <c r="H1010" s="10"/>
      <c r="I1010" s="11"/>
      <c r="J1010" s="11"/>
      <c r="K1010" s="11"/>
      <c r="L1010" s="11"/>
      <c r="M1010" s="11"/>
      <c r="N1010" s="11"/>
      <c r="O1010" s="12"/>
      <c r="P1010" s="11"/>
      <c r="Q1010" s="13"/>
      <c r="R1010" s="14"/>
    </row>
    <row r="1011" spans="1:18" ht="15" customHeight="1">
      <c r="A1011" s="98" t="s">
        <v>61</v>
      </c>
      <c r="B1011" s="98" t="s">
        <v>364</v>
      </c>
      <c r="C1011" s="99">
        <v>0.2326388888888889</v>
      </c>
      <c r="D1011" s="98" t="s">
        <v>63</v>
      </c>
      <c r="E1011" s="98" t="s">
        <v>177</v>
      </c>
      <c r="F1011" s="98" t="s">
        <v>365</v>
      </c>
      <c r="G1011" s="298"/>
      <c r="H1011" s="100" t="s">
        <v>366</v>
      </c>
      <c r="I1011" s="101">
        <v>0</v>
      </c>
      <c r="J1011" s="102">
        <v>0</v>
      </c>
      <c r="K1011" s="103" t="s">
        <v>66</v>
      </c>
      <c r="L1011" s="102">
        <v>0</v>
      </c>
      <c r="M1011" s="102">
        <v>0</v>
      </c>
      <c r="N1011" s="102">
        <v>0</v>
      </c>
      <c r="O1011" s="104" t="s">
        <v>436</v>
      </c>
      <c r="P1011" s="105">
        <v>0.2326388888888889</v>
      </c>
      <c r="Q1011" s="102">
        <v>180</v>
      </c>
      <c r="R1011" s="106" t="s">
        <v>66</v>
      </c>
    </row>
    <row r="1012" spans="1:18" ht="15" customHeight="1">
      <c r="A1012" s="154" t="s">
        <v>61</v>
      </c>
      <c r="B1012" s="154" t="s">
        <v>432</v>
      </c>
      <c r="C1012" s="155">
        <v>0.34375</v>
      </c>
      <c r="D1012" s="154" t="s">
        <v>63</v>
      </c>
      <c r="E1012" s="154" t="s">
        <v>372</v>
      </c>
      <c r="F1012" s="154" t="s">
        <v>365</v>
      </c>
      <c r="G1012" s="298"/>
      <c r="H1012" s="69" t="s">
        <v>433</v>
      </c>
      <c r="I1012" s="70">
        <v>0</v>
      </c>
      <c r="J1012" s="71">
        <v>0</v>
      </c>
      <c r="K1012" s="72" t="s">
        <v>66</v>
      </c>
      <c r="L1012" s="71">
        <v>0</v>
      </c>
      <c r="M1012" s="71">
        <v>0</v>
      </c>
      <c r="N1012" s="71">
        <v>0</v>
      </c>
      <c r="O1012" s="73" t="s">
        <v>436</v>
      </c>
      <c r="P1012" s="74">
        <v>0.34375</v>
      </c>
      <c r="Q1012" s="71">
        <v>180</v>
      </c>
      <c r="R1012" s="75" t="s">
        <v>66</v>
      </c>
    </row>
    <row r="1013" spans="1:18" ht="15" customHeight="1">
      <c r="A1013" s="152" t="s">
        <v>61</v>
      </c>
      <c r="B1013" s="152" t="s">
        <v>428</v>
      </c>
      <c r="C1013" s="153">
        <v>0.9375</v>
      </c>
      <c r="D1013" s="152" t="s">
        <v>63</v>
      </c>
      <c r="E1013" s="152" t="s">
        <v>200</v>
      </c>
      <c r="F1013" s="152" t="s">
        <v>365</v>
      </c>
      <c r="G1013" s="298"/>
      <c r="H1013" s="100" t="s">
        <v>429</v>
      </c>
      <c r="I1013" s="101">
        <v>1.67E-2</v>
      </c>
      <c r="J1013" s="102">
        <v>3</v>
      </c>
      <c r="K1013" s="103">
        <v>46334</v>
      </c>
      <c r="L1013" s="102">
        <v>3</v>
      </c>
      <c r="M1013" s="102">
        <v>0</v>
      </c>
      <c r="N1013" s="102">
        <v>0</v>
      </c>
      <c r="O1013" s="104" t="s">
        <v>446</v>
      </c>
      <c r="P1013" s="105">
        <v>0.9375</v>
      </c>
      <c r="Q1013" s="102">
        <v>180</v>
      </c>
      <c r="R1013" s="106" t="s">
        <v>446</v>
      </c>
    </row>
    <row r="1014" spans="1:18" ht="15" customHeight="1">
      <c r="A1014" s="160" t="s">
        <v>61</v>
      </c>
      <c r="B1014" s="160" t="s">
        <v>375</v>
      </c>
      <c r="C1014" s="161">
        <v>0.34027777777777768</v>
      </c>
      <c r="D1014" s="160" t="s">
        <v>63</v>
      </c>
      <c r="E1014" s="160" t="s">
        <v>372</v>
      </c>
      <c r="F1014" s="160" t="s">
        <v>365</v>
      </c>
      <c r="G1014" s="298"/>
      <c r="H1014" s="23" t="s">
        <v>376</v>
      </c>
      <c r="I1014" s="24">
        <v>0</v>
      </c>
      <c r="J1014" s="25">
        <v>0</v>
      </c>
      <c r="K1014" s="26" t="s">
        <v>66</v>
      </c>
      <c r="L1014" s="25">
        <v>0</v>
      </c>
      <c r="M1014" s="25">
        <v>0</v>
      </c>
      <c r="N1014" s="25">
        <v>0</v>
      </c>
      <c r="O1014" s="27" t="s">
        <v>436</v>
      </c>
      <c r="P1014" s="28">
        <v>0.34027777777777768</v>
      </c>
      <c r="Q1014" s="25">
        <v>180</v>
      </c>
      <c r="R1014" s="29" t="s">
        <v>66</v>
      </c>
    </row>
    <row r="1015" spans="1:18" ht="15" customHeight="1">
      <c r="A1015" s="156" t="s">
        <v>61</v>
      </c>
      <c r="B1015" s="156" t="s">
        <v>377</v>
      </c>
      <c r="C1015" s="157">
        <v>0.4375</v>
      </c>
      <c r="D1015" s="156" t="s">
        <v>63</v>
      </c>
      <c r="E1015" s="156" t="s">
        <v>98</v>
      </c>
      <c r="F1015" s="156" t="s">
        <v>79</v>
      </c>
      <c r="G1015" s="298"/>
      <c r="H1015" s="42" t="s">
        <v>378</v>
      </c>
      <c r="I1015" s="43">
        <v>4.4400000000000002E-2</v>
      </c>
      <c r="J1015" s="44">
        <v>8</v>
      </c>
      <c r="K1015" s="45">
        <v>46327</v>
      </c>
      <c r="L1015" s="44">
        <v>8</v>
      </c>
      <c r="M1015" s="44">
        <v>0</v>
      </c>
      <c r="N1015" s="44">
        <v>0</v>
      </c>
      <c r="O1015" s="46" t="s">
        <v>306</v>
      </c>
      <c r="P1015" s="47">
        <v>0.4375</v>
      </c>
      <c r="Q1015" s="44">
        <v>180</v>
      </c>
      <c r="R1015" s="48" t="s">
        <v>495</v>
      </c>
    </row>
    <row r="1016" spans="1:18" ht="15" customHeight="1">
      <c r="A1016" s="19" t="s">
        <v>26</v>
      </c>
      <c r="B1016" s="19" t="s">
        <v>354</v>
      </c>
      <c r="C1016" s="20">
        <v>0.34722222222222232</v>
      </c>
      <c r="D1016" s="19" t="s">
        <v>28</v>
      </c>
      <c r="E1016" s="19" t="s">
        <v>103</v>
      </c>
      <c r="F1016" s="19" t="s">
        <v>83</v>
      </c>
      <c r="G1016" s="298"/>
      <c r="H1016" s="10"/>
      <c r="I1016" s="11"/>
      <c r="J1016" s="11"/>
      <c r="K1016" s="11"/>
      <c r="L1016" s="11"/>
      <c r="M1016" s="11"/>
      <c r="N1016" s="11"/>
      <c r="O1016" s="12"/>
      <c r="P1016" s="11"/>
      <c r="Q1016" s="13"/>
      <c r="R1016" s="14"/>
    </row>
    <row r="1017" spans="1:18" ht="15" customHeight="1">
      <c r="A1017" s="15" t="s">
        <v>26</v>
      </c>
      <c r="B1017" s="15" t="s">
        <v>354</v>
      </c>
      <c r="C1017" s="16">
        <v>0.34722222222222232</v>
      </c>
      <c r="D1017" s="15" t="s">
        <v>31</v>
      </c>
      <c r="E1017" s="15" t="s">
        <v>99</v>
      </c>
      <c r="F1017" s="15" t="s">
        <v>159</v>
      </c>
      <c r="G1017" s="298"/>
      <c r="H1017" s="10"/>
      <c r="I1017" s="11"/>
      <c r="J1017" s="11"/>
      <c r="K1017" s="11"/>
      <c r="L1017" s="11"/>
      <c r="M1017" s="11"/>
      <c r="N1017" s="11"/>
      <c r="O1017" s="12"/>
      <c r="P1017" s="11"/>
      <c r="Q1017" s="13"/>
      <c r="R1017" s="14"/>
    </row>
    <row r="1018" spans="1:18" ht="15" customHeight="1">
      <c r="A1018" s="15" t="s">
        <v>26</v>
      </c>
      <c r="B1018" s="15" t="s">
        <v>354</v>
      </c>
      <c r="C1018" s="16">
        <v>0.34722222222222232</v>
      </c>
      <c r="D1018" s="15" t="s">
        <v>34</v>
      </c>
      <c r="E1018" s="15" t="s">
        <v>99</v>
      </c>
      <c r="F1018" s="15" t="s">
        <v>355</v>
      </c>
      <c r="G1018" s="298"/>
      <c r="H1018" s="10"/>
      <c r="I1018" s="11"/>
      <c r="J1018" s="11"/>
      <c r="K1018" s="11"/>
      <c r="L1018" s="11"/>
      <c r="M1018" s="11"/>
      <c r="N1018" s="11"/>
      <c r="O1018" s="12"/>
      <c r="P1018" s="11"/>
      <c r="Q1018" s="13"/>
      <c r="R1018" s="14"/>
    </row>
    <row r="1019" spans="1:18" ht="15" customHeight="1">
      <c r="A1019" s="17" t="s">
        <v>26</v>
      </c>
      <c r="B1019" s="17" t="s">
        <v>348</v>
      </c>
      <c r="C1019" s="18">
        <v>0.99305555555555547</v>
      </c>
      <c r="D1019" s="17" t="s">
        <v>28</v>
      </c>
      <c r="E1019" s="17" t="s">
        <v>37</v>
      </c>
      <c r="F1019" s="17" t="s">
        <v>83</v>
      </c>
      <c r="G1019" s="298"/>
      <c r="H1019" s="10"/>
      <c r="I1019" s="11"/>
      <c r="J1019" s="11"/>
      <c r="K1019" s="11"/>
      <c r="L1019" s="11"/>
      <c r="M1019" s="11"/>
      <c r="N1019" s="11"/>
      <c r="O1019" s="12"/>
      <c r="P1019" s="11"/>
      <c r="Q1019" s="13"/>
      <c r="R1019" s="14"/>
    </row>
    <row r="1020" spans="1:18" ht="15" customHeight="1">
      <c r="A1020" s="15" t="s">
        <v>26</v>
      </c>
      <c r="B1020" s="15" t="s">
        <v>348</v>
      </c>
      <c r="C1020" s="16">
        <v>0.99305555555555547</v>
      </c>
      <c r="D1020" s="15" t="s">
        <v>31</v>
      </c>
      <c r="E1020" s="15" t="s">
        <v>32</v>
      </c>
      <c r="F1020" s="15" t="s">
        <v>159</v>
      </c>
      <c r="G1020" s="298"/>
      <c r="H1020" s="10"/>
      <c r="I1020" s="11"/>
      <c r="J1020" s="11"/>
      <c r="K1020" s="11"/>
      <c r="L1020" s="11"/>
      <c r="M1020" s="11"/>
      <c r="N1020" s="11"/>
      <c r="O1020" s="12"/>
      <c r="P1020" s="11"/>
      <c r="Q1020" s="13"/>
      <c r="R1020" s="14"/>
    </row>
    <row r="1021" spans="1:18" ht="15" customHeight="1">
      <c r="A1021" s="15" t="s">
        <v>26</v>
      </c>
      <c r="B1021" s="15" t="s">
        <v>348</v>
      </c>
      <c r="C1021" s="16">
        <v>0.99305555555555547</v>
      </c>
      <c r="D1021" s="15" t="s">
        <v>34</v>
      </c>
      <c r="E1021" s="15" t="s">
        <v>32</v>
      </c>
      <c r="F1021" s="15" t="s">
        <v>355</v>
      </c>
      <c r="G1021" s="298"/>
      <c r="H1021" s="10"/>
      <c r="I1021" s="11"/>
      <c r="J1021" s="11"/>
      <c r="K1021" s="11"/>
      <c r="L1021" s="11"/>
      <c r="M1021" s="11"/>
      <c r="N1021" s="11"/>
      <c r="O1021" s="12"/>
      <c r="P1021" s="11"/>
      <c r="Q1021" s="13"/>
      <c r="R1021" s="14"/>
    </row>
    <row r="1022" spans="1:18" ht="15" customHeight="1">
      <c r="A1022" s="17" t="s">
        <v>26</v>
      </c>
      <c r="B1022" s="17" t="s">
        <v>351</v>
      </c>
      <c r="C1022" s="18">
        <v>0.83680555555555547</v>
      </c>
      <c r="D1022" s="17" t="s">
        <v>28</v>
      </c>
      <c r="E1022" s="17" t="s">
        <v>134</v>
      </c>
      <c r="F1022" s="17" t="s">
        <v>83</v>
      </c>
      <c r="G1022" s="298"/>
      <c r="H1022" s="10"/>
      <c r="I1022" s="11"/>
      <c r="J1022" s="11"/>
      <c r="K1022" s="11"/>
      <c r="L1022" s="11"/>
      <c r="M1022" s="11"/>
      <c r="N1022" s="11"/>
      <c r="O1022" s="12"/>
      <c r="P1022" s="11"/>
      <c r="Q1022" s="13"/>
      <c r="R1022" s="14"/>
    </row>
    <row r="1023" spans="1:18" ht="15" customHeight="1">
      <c r="A1023" s="15" t="s">
        <v>26</v>
      </c>
      <c r="B1023" s="15" t="s">
        <v>351</v>
      </c>
      <c r="C1023" s="16">
        <v>0.83680555555555547</v>
      </c>
      <c r="D1023" s="15" t="s">
        <v>31</v>
      </c>
      <c r="E1023" s="15" t="s">
        <v>135</v>
      </c>
      <c r="F1023" s="15" t="s">
        <v>159</v>
      </c>
      <c r="G1023" s="298"/>
      <c r="H1023" s="10"/>
      <c r="I1023" s="11"/>
      <c r="J1023" s="11"/>
      <c r="K1023" s="11"/>
      <c r="L1023" s="11"/>
      <c r="M1023" s="11"/>
      <c r="N1023" s="11"/>
      <c r="O1023" s="12"/>
      <c r="P1023" s="11"/>
      <c r="Q1023" s="13"/>
      <c r="R1023" s="14"/>
    </row>
    <row r="1024" spans="1:18" ht="15" customHeight="1">
      <c r="A1024" s="15" t="s">
        <v>26</v>
      </c>
      <c r="B1024" s="15" t="s">
        <v>351</v>
      </c>
      <c r="C1024" s="16">
        <v>0.83680555555555547</v>
      </c>
      <c r="D1024" s="15" t="s">
        <v>34</v>
      </c>
      <c r="E1024" s="15" t="s">
        <v>135</v>
      </c>
      <c r="F1024" s="15" t="s">
        <v>355</v>
      </c>
      <c r="G1024" s="298"/>
      <c r="H1024" s="10"/>
      <c r="I1024" s="11"/>
      <c r="J1024" s="11"/>
      <c r="K1024" s="11"/>
      <c r="L1024" s="11"/>
      <c r="M1024" s="11"/>
      <c r="N1024" s="11"/>
      <c r="O1024" s="12"/>
      <c r="P1024" s="11"/>
      <c r="Q1024" s="13"/>
      <c r="R1024" s="14"/>
    </row>
    <row r="1025" spans="1:18" ht="15" customHeight="1">
      <c r="A1025" s="17" t="s">
        <v>26</v>
      </c>
      <c r="B1025" s="17" t="s">
        <v>353</v>
      </c>
      <c r="C1025" s="18">
        <v>0.88888888888888884</v>
      </c>
      <c r="D1025" s="17" t="s">
        <v>28</v>
      </c>
      <c r="E1025" s="17" t="s">
        <v>200</v>
      </c>
      <c r="F1025" s="17" t="s">
        <v>83</v>
      </c>
      <c r="G1025" s="298"/>
      <c r="H1025" s="10"/>
      <c r="I1025" s="11"/>
      <c r="J1025" s="11"/>
      <c r="K1025" s="11"/>
      <c r="L1025" s="11"/>
      <c r="M1025" s="11"/>
      <c r="N1025" s="11"/>
      <c r="O1025" s="12"/>
      <c r="P1025" s="11"/>
      <c r="Q1025" s="13"/>
      <c r="R1025" s="14"/>
    </row>
    <row r="1026" spans="1:18" ht="15" customHeight="1">
      <c r="A1026" s="15" t="s">
        <v>26</v>
      </c>
      <c r="B1026" s="15" t="s">
        <v>353</v>
      </c>
      <c r="C1026" s="16">
        <v>0.88888888888888884</v>
      </c>
      <c r="D1026" s="15" t="s">
        <v>31</v>
      </c>
      <c r="E1026" s="15" t="s">
        <v>127</v>
      </c>
      <c r="F1026" s="15" t="s">
        <v>159</v>
      </c>
      <c r="G1026" s="298"/>
      <c r="H1026" s="10"/>
      <c r="I1026" s="11"/>
      <c r="J1026" s="11"/>
      <c r="K1026" s="11"/>
      <c r="L1026" s="11"/>
      <c r="M1026" s="11"/>
      <c r="N1026" s="11"/>
      <c r="O1026" s="12"/>
      <c r="P1026" s="11"/>
      <c r="Q1026" s="13"/>
      <c r="R1026" s="14"/>
    </row>
    <row r="1027" spans="1:18" ht="15" customHeight="1">
      <c r="A1027" s="15" t="s">
        <v>26</v>
      </c>
      <c r="B1027" s="15" t="s">
        <v>353</v>
      </c>
      <c r="C1027" s="16">
        <v>0.88888888888888884</v>
      </c>
      <c r="D1027" s="15" t="s">
        <v>34</v>
      </c>
      <c r="E1027" s="15" t="s">
        <v>127</v>
      </c>
      <c r="F1027" s="15" t="s">
        <v>355</v>
      </c>
      <c r="G1027" s="298"/>
      <c r="H1027" s="10"/>
      <c r="I1027" s="11"/>
      <c r="J1027" s="11"/>
      <c r="K1027" s="11"/>
      <c r="L1027" s="11"/>
      <c r="M1027" s="11"/>
      <c r="N1027" s="11"/>
      <c r="O1027" s="12"/>
      <c r="P1027" s="11"/>
      <c r="Q1027" s="13"/>
      <c r="R1027" s="14"/>
    </row>
    <row r="1028" spans="1:18" ht="15" customHeight="1">
      <c r="A1028" s="17" t="s">
        <v>26</v>
      </c>
      <c r="B1028" s="17" t="s">
        <v>350</v>
      </c>
      <c r="C1028" s="18">
        <v>0.73611111111111116</v>
      </c>
      <c r="D1028" s="17" t="s">
        <v>28</v>
      </c>
      <c r="E1028" s="17" t="s">
        <v>98</v>
      </c>
      <c r="F1028" s="17" t="s">
        <v>79</v>
      </c>
      <c r="G1028" s="298"/>
      <c r="H1028" s="10"/>
      <c r="I1028" s="11"/>
      <c r="J1028" s="11"/>
      <c r="K1028" s="11"/>
      <c r="L1028" s="11"/>
      <c r="M1028" s="11"/>
      <c r="N1028" s="11"/>
      <c r="O1028" s="12"/>
      <c r="P1028" s="11"/>
      <c r="Q1028" s="13"/>
      <c r="R1028" s="14"/>
    </row>
    <row r="1029" spans="1:18" ht="15" customHeight="1">
      <c r="A1029" s="15" t="s">
        <v>26</v>
      </c>
      <c r="B1029" s="15" t="s">
        <v>350</v>
      </c>
      <c r="C1029" s="16">
        <v>0.73611111111111116</v>
      </c>
      <c r="D1029" s="15" t="s">
        <v>31</v>
      </c>
      <c r="E1029" s="15" t="s">
        <v>99</v>
      </c>
      <c r="F1029" s="15" t="s">
        <v>123</v>
      </c>
      <c r="G1029" s="298"/>
      <c r="H1029" s="10"/>
      <c r="I1029" s="11"/>
      <c r="J1029" s="11"/>
      <c r="K1029" s="11"/>
      <c r="L1029" s="11"/>
      <c r="M1029" s="11"/>
      <c r="N1029" s="11"/>
      <c r="O1029" s="12"/>
      <c r="P1029" s="11"/>
      <c r="Q1029" s="13"/>
      <c r="R1029" s="14"/>
    </row>
    <row r="1030" spans="1:18" ht="15" customHeight="1">
      <c r="A1030" s="15" t="s">
        <v>26</v>
      </c>
      <c r="B1030" s="15" t="s">
        <v>350</v>
      </c>
      <c r="C1030" s="16">
        <v>0.73611111111111116</v>
      </c>
      <c r="D1030" s="15" t="s">
        <v>34</v>
      </c>
      <c r="E1030" s="15" t="s">
        <v>99</v>
      </c>
      <c r="F1030" s="15" t="s">
        <v>118</v>
      </c>
      <c r="G1030" s="298"/>
      <c r="H1030" s="10"/>
      <c r="I1030" s="11"/>
      <c r="J1030" s="11"/>
      <c r="K1030" s="11"/>
      <c r="L1030" s="11"/>
      <c r="M1030" s="11"/>
      <c r="N1030" s="11"/>
      <c r="O1030" s="12"/>
      <c r="P1030" s="11"/>
      <c r="Q1030" s="13"/>
      <c r="R1030" s="14"/>
    </row>
    <row r="1031" spans="1:18" ht="15" customHeight="1">
      <c r="A1031" s="17" t="s">
        <v>26</v>
      </c>
      <c r="B1031" s="17" t="s">
        <v>352</v>
      </c>
      <c r="C1031" s="18">
        <v>0.94444444444444453</v>
      </c>
      <c r="D1031" s="17" t="s">
        <v>28</v>
      </c>
      <c r="E1031" s="17" t="s">
        <v>90</v>
      </c>
      <c r="F1031" s="17" t="s">
        <v>45</v>
      </c>
      <c r="G1031" s="298"/>
      <c r="H1031" s="10"/>
      <c r="I1031" s="11"/>
      <c r="J1031" s="11"/>
      <c r="K1031" s="11"/>
      <c r="L1031" s="11"/>
      <c r="M1031" s="11"/>
      <c r="N1031" s="11"/>
      <c r="O1031" s="12"/>
      <c r="P1031" s="11"/>
      <c r="Q1031" s="13"/>
      <c r="R1031" s="14"/>
    </row>
    <row r="1032" spans="1:18" ht="15" customHeight="1">
      <c r="A1032" s="15" t="s">
        <v>26</v>
      </c>
      <c r="B1032" s="15" t="s">
        <v>352</v>
      </c>
      <c r="C1032" s="16">
        <v>0.94444444444444453</v>
      </c>
      <c r="D1032" s="15" t="s">
        <v>31</v>
      </c>
      <c r="E1032" s="15" t="s">
        <v>82</v>
      </c>
      <c r="F1032" s="15" t="s">
        <v>355</v>
      </c>
      <c r="G1032" s="298"/>
      <c r="H1032" s="10"/>
      <c r="I1032" s="11"/>
      <c r="J1032" s="11"/>
      <c r="K1032" s="11"/>
      <c r="L1032" s="11"/>
      <c r="M1032" s="11"/>
      <c r="N1032" s="11"/>
      <c r="O1032" s="12"/>
      <c r="P1032" s="11"/>
      <c r="Q1032" s="13"/>
      <c r="R1032" s="14"/>
    </row>
    <row r="1033" spans="1:18" ht="15" customHeight="1">
      <c r="A1033" s="15" t="s">
        <v>26</v>
      </c>
      <c r="B1033" s="15" t="s">
        <v>352</v>
      </c>
      <c r="C1033" s="16">
        <v>0.94444444444444453</v>
      </c>
      <c r="D1033" s="15" t="s">
        <v>34</v>
      </c>
      <c r="E1033" s="15" t="s">
        <v>82</v>
      </c>
      <c r="F1033" s="15" t="s">
        <v>358</v>
      </c>
      <c r="G1033" s="298"/>
      <c r="H1033" s="10"/>
      <c r="I1033" s="11"/>
      <c r="J1033" s="11"/>
      <c r="K1033" s="11"/>
      <c r="L1033" s="11"/>
      <c r="M1033" s="11"/>
      <c r="N1033" s="11"/>
      <c r="O1033" s="12"/>
      <c r="P1033" s="11"/>
      <c r="Q1033" s="13"/>
      <c r="R1033" s="14"/>
    </row>
    <row r="1034" spans="1:18" ht="15" customHeight="1">
      <c r="A1034" s="17" t="s">
        <v>26</v>
      </c>
      <c r="B1034" s="17" t="s">
        <v>356</v>
      </c>
      <c r="C1034" s="18">
        <v>0.4861111111111111</v>
      </c>
      <c r="D1034" s="17" t="s">
        <v>28</v>
      </c>
      <c r="E1034" s="17" t="s">
        <v>200</v>
      </c>
      <c r="F1034" s="17" t="s">
        <v>455</v>
      </c>
      <c r="G1034" s="298"/>
      <c r="H1034" s="10"/>
      <c r="I1034" s="11"/>
      <c r="J1034" s="11"/>
      <c r="K1034" s="11"/>
      <c r="L1034" s="11"/>
      <c r="M1034" s="11"/>
      <c r="N1034" s="11"/>
      <c r="O1034" s="12"/>
      <c r="P1034" s="11"/>
      <c r="Q1034" s="13"/>
      <c r="R1034" s="14"/>
    </row>
    <row r="1035" spans="1:18" ht="15" customHeight="1">
      <c r="A1035" s="15" t="s">
        <v>26</v>
      </c>
      <c r="B1035" s="15" t="s">
        <v>356</v>
      </c>
      <c r="C1035" s="16">
        <v>0.4861111111111111</v>
      </c>
      <c r="D1035" s="15" t="s">
        <v>31</v>
      </c>
      <c r="E1035" s="15" t="s">
        <v>127</v>
      </c>
      <c r="F1035" s="15" t="s">
        <v>456</v>
      </c>
      <c r="G1035" s="298"/>
      <c r="H1035" s="10"/>
      <c r="I1035" s="11"/>
      <c r="J1035" s="11"/>
      <c r="K1035" s="11"/>
      <c r="L1035" s="11"/>
      <c r="M1035" s="11"/>
      <c r="N1035" s="11"/>
      <c r="O1035" s="12"/>
      <c r="P1035" s="11"/>
      <c r="Q1035" s="13"/>
      <c r="R1035" s="14"/>
    </row>
    <row r="1036" spans="1:18" ht="15" customHeight="1">
      <c r="A1036" s="15" t="s">
        <v>26</v>
      </c>
      <c r="B1036" s="15" t="s">
        <v>356</v>
      </c>
      <c r="C1036" s="16">
        <v>0.4861111111111111</v>
      </c>
      <c r="D1036" s="15" t="s">
        <v>34</v>
      </c>
      <c r="E1036" s="15" t="s">
        <v>127</v>
      </c>
      <c r="F1036" s="15" t="s">
        <v>457</v>
      </c>
      <c r="G1036" s="298"/>
      <c r="H1036" s="10"/>
      <c r="I1036" s="11"/>
      <c r="J1036" s="11"/>
      <c r="K1036" s="11"/>
      <c r="L1036" s="11"/>
      <c r="M1036" s="11"/>
      <c r="N1036" s="11"/>
      <c r="O1036" s="12"/>
      <c r="P1036" s="11"/>
      <c r="Q1036" s="13"/>
      <c r="R1036" s="14"/>
    </row>
    <row r="1037" spans="1:18" ht="15" customHeight="1">
      <c r="A1037" s="17" t="s">
        <v>26</v>
      </c>
      <c r="B1037" s="17" t="s">
        <v>357</v>
      </c>
      <c r="C1037" s="18">
        <v>0.3923611111111111</v>
      </c>
      <c r="D1037" s="17" t="s">
        <v>28</v>
      </c>
      <c r="E1037" s="17" t="s">
        <v>98</v>
      </c>
      <c r="F1037" s="17" t="s">
        <v>456</v>
      </c>
      <c r="G1037" s="298"/>
      <c r="H1037" s="10"/>
      <c r="I1037" s="11"/>
      <c r="J1037" s="11"/>
      <c r="K1037" s="11"/>
      <c r="L1037" s="11"/>
      <c r="M1037" s="11"/>
      <c r="N1037" s="11"/>
      <c r="O1037" s="12"/>
      <c r="P1037" s="11"/>
      <c r="Q1037" s="13"/>
      <c r="R1037" s="14"/>
    </row>
    <row r="1038" spans="1:18" ht="15" customHeight="1">
      <c r="A1038" s="15" t="s">
        <v>26</v>
      </c>
      <c r="B1038" s="15" t="s">
        <v>357</v>
      </c>
      <c r="C1038" s="16">
        <v>0.3923611111111111</v>
      </c>
      <c r="D1038" s="15" t="s">
        <v>31</v>
      </c>
      <c r="E1038" s="15" t="s">
        <v>99</v>
      </c>
      <c r="F1038" s="15" t="s">
        <v>106</v>
      </c>
      <c r="G1038" s="298"/>
      <c r="H1038" s="10"/>
      <c r="I1038" s="11"/>
      <c r="J1038" s="11"/>
      <c r="K1038" s="11"/>
      <c r="L1038" s="11"/>
      <c r="M1038" s="11"/>
      <c r="N1038" s="11"/>
      <c r="O1038" s="12"/>
      <c r="P1038" s="11"/>
      <c r="Q1038" s="13"/>
      <c r="R1038" s="14"/>
    </row>
    <row r="1039" spans="1:18" ht="15" customHeight="1">
      <c r="A1039" s="15" t="s">
        <v>26</v>
      </c>
      <c r="B1039" s="15" t="s">
        <v>357</v>
      </c>
      <c r="C1039" s="16">
        <v>0.3923611111111111</v>
      </c>
      <c r="D1039" s="15" t="s">
        <v>34</v>
      </c>
      <c r="E1039" s="15" t="s">
        <v>99</v>
      </c>
      <c r="F1039" s="15" t="s">
        <v>478</v>
      </c>
      <c r="G1039" s="298"/>
      <c r="H1039" s="10"/>
      <c r="I1039" s="11"/>
      <c r="J1039" s="11"/>
      <c r="K1039" s="11"/>
      <c r="L1039" s="11"/>
      <c r="M1039" s="11"/>
      <c r="N1039" s="11"/>
      <c r="O1039" s="12"/>
      <c r="P1039" s="11"/>
      <c r="Q1039" s="13"/>
      <c r="R1039" s="14"/>
    </row>
    <row r="1040" spans="1:18" ht="15" customHeight="1">
      <c r="A1040" s="19" t="s">
        <v>48</v>
      </c>
      <c r="B1040" s="19" t="s">
        <v>386</v>
      </c>
      <c r="C1040" s="20">
        <v>0.82986111111111116</v>
      </c>
      <c r="D1040" s="19" t="s">
        <v>50</v>
      </c>
      <c r="E1040" s="19" t="s">
        <v>156</v>
      </c>
      <c r="F1040" s="19" t="s">
        <v>383</v>
      </c>
      <c r="G1040" s="298"/>
      <c r="H1040" s="10"/>
      <c r="I1040" s="11"/>
      <c r="J1040" s="11"/>
      <c r="K1040" s="11"/>
      <c r="L1040" s="11"/>
      <c r="M1040" s="11"/>
      <c r="N1040" s="11"/>
      <c r="O1040" s="12"/>
      <c r="P1040" s="11"/>
      <c r="Q1040" s="13"/>
      <c r="R1040" s="14"/>
    </row>
    <row r="1041" spans="1:18" ht="15" customHeight="1">
      <c r="A1041" s="15" t="s">
        <v>48</v>
      </c>
      <c r="B1041" s="15" t="s">
        <v>386</v>
      </c>
      <c r="C1041" s="16">
        <v>0.82986111111111116</v>
      </c>
      <c r="D1041" s="15" t="s">
        <v>53</v>
      </c>
      <c r="E1041" s="15" t="s">
        <v>135</v>
      </c>
      <c r="F1041" s="15" t="s">
        <v>384</v>
      </c>
      <c r="G1041" s="298"/>
      <c r="H1041" s="10"/>
      <c r="I1041" s="11"/>
      <c r="J1041" s="11"/>
      <c r="K1041" s="11"/>
      <c r="L1041" s="11"/>
      <c r="M1041" s="11"/>
      <c r="N1041" s="11"/>
      <c r="O1041" s="12"/>
      <c r="P1041" s="11"/>
      <c r="Q1041" s="13"/>
      <c r="R1041" s="14"/>
    </row>
    <row r="1042" spans="1:18" ht="15" customHeight="1">
      <c r="A1042" s="17" t="s">
        <v>48</v>
      </c>
      <c r="B1042" s="17" t="s">
        <v>385</v>
      </c>
      <c r="C1042" s="18">
        <v>0.94097222222222221</v>
      </c>
      <c r="D1042" s="17" t="s">
        <v>50</v>
      </c>
      <c r="E1042" s="17" t="s">
        <v>57</v>
      </c>
      <c r="F1042" s="17" t="s">
        <v>79</v>
      </c>
      <c r="G1042" s="298"/>
      <c r="H1042" s="10"/>
      <c r="I1042" s="11"/>
      <c r="J1042" s="11"/>
      <c r="K1042" s="11"/>
      <c r="L1042" s="11"/>
      <c r="M1042" s="11"/>
      <c r="N1042" s="11"/>
      <c r="O1042" s="12"/>
      <c r="P1042" s="11"/>
      <c r="Q1042" s="13"/>
      <c r="R1042" s="14"/>
    </row>
    <row r="1043" spans="1:18" ht="15" customHeight="1">
      <c r="A1043" s="15" t="s">
        <v>48</v>
      </c>
      <c r="B1043" s="15" t="s">
        <v>385</v>
      </c>
      <c r="C1043" s="16">
        <v>0.94097222222222221</v>
      </c>
      <c r="D1043" s="15" t="s">
        <v>53</v>
      </c>
      <c r="E1043" s="15" t="s">
        <v>54</v>
      </c>
      <c r="F1043" s="15" t="s">
        <v>387</v>
      </c>
      <c r="G1043" s="298"/>
      <c r="H1043" s="10"/>
      <c r="I1043" s="11"/>
      <c r="J1043" s="11"/>
      <c r="K1043" s="11"/>
      <c r="L1043" s="11"/>
      <c r="M1043" s="11"/>
      <c r="N1043" s="11"/>
      <c r="O1043" s="12"/>
      <c r="P1043" s="11"/>
      <c r="Q1043" s="13"/>
      <c r="R1043" s="14"/>
    </row>
    <row r="1044" spans="1:18" ht="15" customHeight="1">
      <c r="A1044" s="17" t="s">
        <v>48</v>
      </c>
      <c r="B1044" s="17" t="s">
        <v>388</v>
      </c>
      <c r="C1044" s="18">
        <v>0.72222222222222221</v>
      </c>
      <c r="D1044" s="17" t="s">
        <v>50</v>
      </c>
      <c r="E1044" s="17" t="s">
        <v>57</v>
      </c>
      <c r="F1044" s="17" t="s">
        <v>462</v>
      </c>
      <c r="G1044" s="298"/>
      <c r="H1044" s="10"/>
      <c r="I1044" s="11"/>
      <c r="J1044" s="11"/>
      <c r="K1044" s="11"/>
      <c r="L1044" s="11"/>
      <c r="M1044" s="11"/>
      <c r="N1044" s="11"/>
      <c r="O1044" s="12"/>
      <c r="P1044" s="11"/>
      <c r="Q1044" s="13"/>
      <c r="R1044" s="14"/>
    </row>
    <row r="1045" spans="1:18" ht="15" customHeight="1">
      <c r="A1045" s="15" t="s">
        <v>48</v>
      </c>
      <c r="B1045" s="15" t="s">
        <v>388</v>
      </c>
      <c r="C1045" s="16">
        <v>0.72222222222222221</v>
      </c>
      <c r="D1045" s="15" t="s">
        <v>53</v>
      </c>
      <c r="E1045" s="15" t="s">
        <v>54</v>
      </c>
      <c r="F1045" s="15" t="s">
        <v>463</v>
      </c>
      <c r="G1045" s="298"/>
      <c r="H1045" s="10"/>
      <c r="I1045" s="11"/>
      <c r="J1045" s="11"/>
      <c r="K1045" s="11"/>
      <c r="L1045" s="11"/>
      <c r="M1045" s="11"/>
      <c r="N1045" s="11"/>
      <c r="O1045" s="12"/>
      <c r="P1045" s="11"/>
      <c r="Q1045" s="13"/>
      <c r="R1045" s="14"/>
    </row>
    <row r="1046" spans="1:18" ht="15" customHeight="1">
      <c r="A1046" s="17" t="s">
        <v>48</v>
      </c>
      <c r="B1046" s="17" t="s">
        <v>389</v>
      </c>
      <c r="C1046" s="18">
        <v>0.70138888888888884</v>
      </c>
      <c r="D1046" s="17" t="s">
        <v>50</v>
      </c>
      <c r="E1046" s="17" t="s">
        <v>57</v>
      </c>
      <c r="F1046" s="17" t="s">
        <v>462</v>
      </c>
      <c r="G1046" s="298"/>
      <c r="H1046" s="10"/>
      <c r="I1046" s="11"/>
      <c r="J1046" s="11"/>
      <c r="K1046" s="11"/>
      <c r="L1046" s="11"/>
      <c r="M1046" s="11"/>
      <c r="N1046" s="11"/>
      <c r="O1046" s="12"/>
      <c r="P1046" s="11"/>
      <c r="Q1046" s="13"/>
      <c r="R1046" s="14"/>
    </row>
    <row r="1047" spans="1:18" ht="15" customHeight="1">
      <c r="A1047" s="15" t="s">
        <v>48</v>
      </c>
      <c r="B1047" s="15" t="s">
        <v>389</v>
      </c>
      <c r="C1047" s="16">
        <v>0.70138888888888884</v>
      </c>
      <c r="D1047" s="15" t="s">
        <v>53</v>
      </c>
      <c r="E1047" s="15" t="s">
        <v>54</v>
      </c>
      <c r="F1047" s="15" t="s">
        <v>463</v>
      </c>
      <c r="G1047" s="298"/>
      <c r="H1047" s="10"/>
      <c r="I1047" s="11"/>
      <c r="J1047" s="11"/>
      <c r="K1047" s="11"/>
      <c r="L1047" s="11"/>
      <c r="M1047" s="11"/>
      <c r="N1047" s="11"/>
      <c r="O1047" s="12"/>
      <c r="P1047" s="11"/>
      <c r="Q1047" s="13"/>
      <c r="R1047" s="14"/>
    </row>
    <row r="1048" spans="1:18" ht="15" customHeight="1">
      <c r="A1048" s="17" t="s">
        <v>48</v>
      </c>
      <c r="B1048" s="17" t="s">
        <v>400</v>
      </c>
      <c r="C1048" s="18">
        <v>0.25347222222222221</v>
      </c>
      <c r="D1048" s="17" t="s">
        <v>50</v>
      </c>
      <c r="E1048" s="17" t="s">
        <v>57</v>
      </c>
      <c r="F1048" s="17" t="s">
        <v>392</v>
      </c>
      <c r="G1048" s="298"/>
      <c r="H1048" s="10"/>
      <c r="I1048" s="11"/>
      <c r="J1048" s="11"/>
      <c r="K1048" s="11"/>
      <c r="L1048" s="11"/>
      <c r="M1048" s="11"/>
      <c r="N1048" s="11"/>
      <c r="O1048" s="12"/>
      <c r="P1048" s="11"/>
      <c r="Q1048" s="13"/>
      <c r="R1048" s="14"/>
    </row>
    <row r="1049" spans="1:18" ht="15" customHeight="1">
      <c r="A1049" s="15" t="s">
        <v>48</v>
      </c>
      <c r="B1049" s="15" t="s">
        <v>400</v>
      </c>
      <c r="C1049" s="16">
        <v>0.25347222222222221</v>
      </c>
      <c r="D1049" s="15" t="s">
        <v>53</v>
      </c>
      <c r="E1049" s="15" t="s">
        <v>54</v>
      </c>
      <c r="F1049" s="15" t="s">
        <v>393</v>
      </c>
      <c r="G1049" s="298"/>
      <c r="H1049" s="10"/>
      <c r="I1049" s="11"/>
      <c r="J1049" s="11"/>
      <c r="K1049" s="11"/>
      <c r="L1049" s="11"/>
      <c r="M1049" s="11"/>
      <c r="N1049" s="11"/>
      <c r="O1049" s="12"/>
      <c r="P1049" s="11"/>
      <c r="Q1049" s="13"/>
      <c r="R1049" s="14"/>
    </row>
    <row r="1050" spans="1:18" ht="15" customHeight="1">
      <c r="A1050" s="17" t="s">
        <v>48</v>
      </c>
      <c r="B1050" s="17" t="s">
        <v>396</v>
      </c>
      <c r="C1050" s="18">
        <v>0.48958333333333331</v>
      </c>
      <c r="D1050" s="17" t="s">
        <v>53</v>
      </c>
      <c r="E1050" s="17" t="s">
        <v>37</v>
      </c>
      <c r="F1050" s="17" t="s">
        <v>395</v>
      </c>
      <c r="G1050" s="298"/>
      <c r="H1050" s="10"/>
      <c r="I1050" s="11"/>
      <c r="J1050" s="11"/>
      <c r="K1050" s="11"/>
      <c r="L1050" s="11"/>
      <c r="M1050" s="11"/>
      <c r="N1050" s="11"/>
      <c r="O1050" s="12"/>
      <c r="P1050" s="11"/>
      <c r="Q1050" s="13"/>
      <c r="R1050" s="14"/>
    </row>
    <row r="1051" spans="1:18" ht="15" customHeight="1">
      <c r="A1051" s="17" t="s">
        <v>48</v>
      </c>
      <c r="B1051" s="17" t="s">
        <v>398</v>
      </c>
      <c r="C1051" s="18">
        <v>0.39930555555555558</v>
      </c>
      <c r="D1051" s="17" t="s">
        <v>53</v>
      </c>
      <c r="E1051" s="17" t="s">
        <v>37</v>
      </c>
      <c r="F1051" s="17" t="s">
        <v>438</v>
      </c>
      <c r="G1051" s="298"/>
      <c r="H1051" s="10"/>
      <c r="I1051" s="11"/>
      <c r="J1051" s="11"/>
      <c r="K1051" s="11"/>
      <c r="L1051" s="11"/>
      <c r="M1051" s="11"/>
      <c r="N1051" s="11"/>
      <c r="O1051" s="12"/>
      <c r="P1051" s="11"/>
      <c r="Q1051" s="13"/>
      <c r="R1051" s="14"/>
    </row>
    <row r="1052" spans="1:18" ht="15" customHeight="1">
      <c r="A1052" s="17" t="s">
        <v>48</v>
      </c>
      <c r="B1052" s="17" t="s">
        <v>394</v>
      </c>
      <c r="C1052" s="18">
        <v>0.98958333333333337</v>
      </c>
      <c r="D1052" s="17" t="s">
        <v>53</v>
      </c>
      <c r="E1052" s="17" t="s">
        <v>37</v>
      </c>
      <c r="F1052" s="17" t="s">
        <v>399</v>
      </c>
      <c r="G1052" s="298"/>
      <c r="H1052" s="10"/>
      <c r="I1052" s="11"/>
      <c r="J1052" s="11"/>
      <c r="K1052" s="11"/>
      <c r="L1052" s="11"/>
      <c r="M1052" s="11"/>
      <c r="N1052" s="11"/>
      <c r="O1052" s="12"/>
      <c r="P1052" s="11"/>
      <c r="Q1052" s="13"/>
      <c r="R1052" s="14"/>
    </row>
    <row r="1053" spans="1:18" ht="15" customHeight="1">
      <c r="A1053" s="17" t="s">
        <v>48</v>
      </c>
      <c r="B1053" s="17" t="s">
        <v>391</v>
      </c>
      <c r="C1053" s="18">
        <v>0.48958333333333331</v>
      </c>
      <c r="D1053" s="17" t="s">
        <v>53</v>
      </c>
      <c r="E1053" s="17" t="s">
        <v>37</v>
      </c>
      <c r="F1053" s="17" t="s">
        <v>401</v>
      </c>
      <c r="G1053" s="298"/>
      <c r="H1053" s="10"/>
      <c r="I1053" s="11"/>
      <c r="J1053" s="11"/>
      <c r="K1053" s="11"/>
      <c r="L1053" s="11"/>
      <c r="M1053" s="11"/>
      <c r="N1053" s="11"/>
      <c r="O1053" s="12"/>
      <c r="P1053" s="11"/>
      <c r="Q1053" s="13"/>
      <c r="R1053" s="14"/>
    </row>
    <row r="1054" spans="1:18" ht="15" customHeight="1">
      <c r="A1054" s="17" t="s">
        <v>48</v>
      </c>
      <c r="B1054" s="17" t="s">
        <v>382</v>
      </c>
      <c r="C1054" s="18">
        <v>0.11805555555555559</v>
      </c>
      <c r="D1054" s="17" t="s">
        <v>53</v>
      </c>
      <c r="E1054" s="17" t="s">
        <v>57</v>
      </c>
      <c r="F1054" s="17" t="s">
        <v>401</v>
      </c>
      <c r="G1054" s="298"/>
      <c r="H1054" s="10"/>
      <c r="I1054" s="11"/>
      <c r="J1054" s="11"/>
      <c r="K1054" s="11"/>
      <c r="L1054" s="11"/>
      <c r="M1054" s="11"/>
      <c r="N1054" s="11"/>
      <c r="O1054" s="12"/>
      <c r="P1054" s="11"/>
      <c r="Q1054" s="13"/>
      <c r="R1054" s="14"/>
    </row>
    <row r="1055" spans="1:18" ht="15" customHeight="1">
      <c r="A1055" s="17" t="s">
        <v>48</v>
      </c>
      <c r="B1055" s="17" t="s">
        <v>390</v>
      </c>
      <c r="C1055" s="18">
        <v>4.1666666666666657E-2</v>
      </c>
      <c r="D1055" s="17" t="s">
        <v>53</v>
      </c>
      <c r="E1055" s="17" t="s">
        <v>57</v>
      </c>
      <c r="F1055" s="17" t="s">
        <v>401</v>
      </c>
      <c r="G1055" s="298"/>
      <c r="H1055" s="10"/>
      <c r="I1055" s="11"/>
      <c r="J1055" s="11"/>
      <c r="K1055" s="11"/>
      <c r="L1055" s="11"/>
      <c r="M1055" s="11"/>
      <c r="N1055" s="11"/>
      <c r="O1055" s="12"/>
      <c r="P1055" s="11"/>
      <c r="Q1055" s="13"/>
      <c r="R1055" s="14"/>
    </row>
    <row r="1056" spans="1:18" ht="15" customHeight="1">
      <c r="A1056" s="17" t="s">
        <v>48</v>
      </c>
      <c r="B1056" s="17" t="s">
        <v>397</v>
      </c>
      <c r="C1056" s="18">
        <v>0.88888888888888884</v>
      </c>
      <c r="D1056" s="17" t="s">
        <v>53</v>
      </c>
      <c r="E1056" s="17" t="s">
        <v>37</v>
      </c>
      <c r="F1056" s="17" t="s">
        <v>452</v>
      </c>
      <c r="G1056" s="298"/>
      <c r="H1056" s="10"/>
      <c r="I1056" s="11"/>
      <c r="J1056" s="11"/>
      <c r="K1056" s="11"/>
      <c r="L1056" s="11"/>
      <c r="M1056" s="11"/>
      <c r="N1056" s="11"/>
      <c r="O1056" s="12"/>
      <c r="P1056" s="11"/>
      <c r="Q1056" s="13"/>
      <c r="R1056" s="14"/>
    </row>
    <row r="1057" spans="1:18" ht="15" customHeight="1">
      <c r="A1057" s="19" t="s">
        <v>359</v>
      </c>
      <c r="B1057" s="19" t="s">
        <v>360</v>
      </c>
      <c r="C1057" s="20">
        <v>0.22569444444444439</v>
      </c>
      <c r="D1057" s="19" t="s">
        <v>361</v>
      </c>
      <c r="E1057" s="19" t="s">
        <v>80</v>
      </c>
      <c r="F1057" s="19" t="s">
        <v>493</v>
      </c>
      <c r="G1057" s="298"/>
      <c r="H1057" s="10"/>
      <c r="I1057" s="11"/>
      <c r="J1057" s="11"/>
      <c r="K1057" s="11"/>
      <c r="L1057" s="11"/>
      <c r="M1057" s="11"/>
      <c r="N1057" s="11"/>
      <c r="O1057" s="12"/>
      <c r="P1057" s="11"/>
      <c r="Q1057" s="13"/>
      <c r="R1057" s="14"/>
    </row>
    <row r="1058" spans="1:18" ht="15" customHeight="1">
      <c r="A1058" s="15" t="s">
        <v>359</v>
      </c>
      <c r="B1058" s="15" t="s">
        <v>360</v>
      </c>
      <c r="C1058" s="16">
        <v>0.22569444444444439</v>
      </c>
      <c r="D1058" s="15" t="s">
        <v>46</v>
      </c>
      <c r="E1058" s="15" t="s">
        <v>82</v>
      </c>
      <c r="F1058" s="15" t="s">
        <v>494</v>
      </c>
      <c r="G1058" s="298"/>
      <c r="H1058" s="10"/>
      <c r="I1058" s="11"/>
      <c r="J1058" s="11"/>
      <c r="K1058" s="11"/>
      <c r="L1058" s="11"/>
      <c r="M1058" s="11"/>
      <c r="N1058" s="11"/>
      <c r="O1058" s="12"/>
      <c r="P1058" s="11"/>
      <c r="Q1058" s="13"/>
      <c r="R1058" s="14"/>
    </row>
    <row r="1059" spans="1:18" ht="15" customHeight="1">
      <c r="A1059" s="19" t="s">
        <v>402</v>
      </c>
      <c r="B1059" s="19" t="s">
        <v>403</v>
      </c>
      <c r="C1059" s="20">
        <v>0.49305555555555558</v>
      </c>
      <c r="D1059" s="19" t="s">
        <v>63</v>
      </c>
      <c r="E1059" s="19" t="s">
        <v>103</v>
      </c>
      <c r="F1059" s="19" t="s">
        <v>404</v>
      </c>
      <c r="G1059" s="298"/>
      <c r="H1059" s="10"/>
      <c r="I1059" s="11"/>
      <c r="J1059" s="11"/>
      <c r="K1059" s="11"/>
      <c r="L1059" s="11"/>
      <c r="M1059" s="11"/>
      <c r="N1059" s="11"/>
      <c r="O1059" s="12"/>
      <c r="P1059" s="11"/>
      <c r="Q1059" s="13"/>
      <c r="R1059" s="14"/>
    </row>
    <row r="1060" spans="1:18" ht="15" customHeight="1">
      <c r="A1060" s="17" t="s">
        <v>402</v>
      </c>
      <c r="B1060" s="17" t="s">
        <v>465</v>
      </c>
      <c r="C1060" s="18">
        <v>0.19444444444444439</v>
      </c>
      <c r="D1060" s="17" t="s">
        <v>63</v>
      </c>
      <c r="E1060" s="17" t="s">
        <v>98</v>
      </c>
      <c r="F1060" s="17" t="s">
        <v>404</v>
      </c>
      <c r="G1060" s="298"/>
      <c r="H1060" s="10"/>
      <c r="I1060" s="11"/>
      <c r="J1060" s="11"/>
      <c r="K1060" s="11"/>
      <c r="L1060" s="11"/>
      <c r="M1060" s="11"/>
      <c r="N1060" s="11"/>
      <c r="O1060" s="12"/>
      <c r="P1060" s="11"/>
      <c r="Q1060" s="13"/>
      <c r="R1060" s="14"/>
    </row>
    <row r="1061" spans="1:18" ht="15" customHeight="1">
      <c r="A1061" s="19" t="s">
        <v>68</v>
      </c>
      <c r="B1061" s="19" t="s">
        <v>405</v>
      </c>
      <c r="C1061" s="20">
        <v>0.83680555555555547</v>
      </c>
      <c r="D1061" s="19" t="s">
        <v>70</v>
      </c>
      <c r="E1061" s="19" t="s">
        <v>51</v>
      </c>
      <c r="F1061" s="19" t="s">
        <v>406</v>
      </c>
      <c r="G1061" s="298"/>
      <c r="H1061" s="10"/>
      <c r="I1061" s="11"/>
      <c r="J1061" s="11"/>
      <c r="K1061" s="11"/>
      <c r="L1061" s="11"/>
      <c r="M1061" s="11"/>
      <c r="N1061" s="11"/>
      <c r="O1061" s="12"/>
      <c r="P1061" s="11"/>
      <c r="Q1061" s="13"/>
      <c r="R1061" s="14"/>
    </row>
    <row r="1062" spans="1:18" ht="15" customHeight="1">
      <c r="A1062" s="17" t="s">
        <v>68</v>
      </c>
      <c r="B1062" s="17" t="s">
        <v>407</v>
      </c>
      <c r="C1062" s="18">
        <v>0.3125</v>
      </c>
      <c r="D1062" s="17" t="s">
        <v>70</v>
      </c>
      <c r="E1062" s="17" t="s">
        <v>98</v>
      </c>
      <c r="F1062" s="17" t="s">
        <v>406</v>
      </c>
      <c r="G1062" s="298"/>
      <c r="H1062" s="10"/>
      <c r="I1062" s="11"/>
      <c r="J1062" s="11"/>
      <c r="K1062" s="11"/>
      <c r="L1062" s="11"/>
      <c r="M1062" s="11"/>
      <c r="N1062" s="11"/>
      <c r="O1062" s="12"/>
      <c r="P1062" s="11"/>
      <c r="Q1062" s="13"/>
      <c r="R1062" s="14"/>
    </row>
    <row r="1063" spans="1:18" ht="15" customHeight="1">
      <c r="A1063" s="17" t="s">
        <v>68</v>
      </c>
      <c r="B1063" s="17" t="s">
        <v>408</v>
      </c>
      <c r="C1063" s="18">
        <v>0.97222222222222221</v>
      </c>
      <c r="D1063" s="17" t="s">
        <v>70</v>
      </c>
      <c r="E1063" s="17" t="s">
        <v>57</v>
      </c>
      <c r="F1063" s="17" t="s">
        <v>406</v>
      </c>
      <c r="G1063" s="298"/>
      <c r="H1063" s="10"/>
      <c r="I1063" s="11"/>
      <c r="J1063" s="11"/>
      <c r="K1063" s="11"/>
      <c r="L1063" s="11"/>
      <c r="M1063" s="11"/>
      <c r="N1063" s="11"/>
      <c r="O1063" s="12"/>
      <c r="P1063" s="11"/>
      <c r="Q1063" s="13"/>
      <c r="R1063" s="14"/>
    </row>
    <row r="1064" spans="1:18" ht="15" customHeight="1">
      <c r="A1064" s="17" t="s">
        <v>68</v>
      </c>
      <c r="B1064" s="17" t="s">
        <v>437</v>
      </c>
      <c r="C1064" s="18">
        <v>0.1041666666666667</v>
      </c>
      <c r="D1064" s="17" t="s">
        <v>70</v>
      </c>
      <c r="E1064" s="17" t="s">
        <v>57</v>
      </c>
      <c r="F1064" s="17" t="s">
        <v>406</v>
      </c>
      <c r="G1064" s="298"/>
      <c r="H1064" s="10"/>
      <c r="I1064" s="11"/>
      <c r="J1064" s="11"/>
      <c r="K1064" s="11"/>
      <c r="L1064" s="11"/>
      <c r="M1064" s="11"/>
      <c r="N1064" s="11"/>
      <c r="O1064" s="12"/>
      <c r="P1064" s="11"/>
      <c r="Q1064" s="13"/>
      <c r="R1064" s="14"/>
    </row>
    <row r="1065" spans="1:18" ht="15" customHeight="1">
      <c r="A1065" s="17" t="s">
        <v>68</v>
      </c>
      <c r="B1065" s="17" t="s">
        <v>409</v>
      </c>
      <c r="C1065" s="18">
        <v>0.34027777777777768</v>
      </c>
      <c r="D1065" s="17" t="s">
        <v>70</v>
      </c>
      <c r="E1065" s="17" t="s">
        <v>57</v>
      </c>
      <c r="F1065" s="17" t="s">
        <v>406</v>
      </c>
      <c r="G1065" s="298"/>
      <c r="H1065" s="10"/>
      <c r="I1065" s="11"/>
      <c r="J1065" s="11"/>
      <c r="K1065" s="11"/>
      <c r="L1065" s="11"/>
      <c r="M1065" s="11"/>
      <c r="N1065" s="11"/>
      <c r="O1065" s="12"/>
      <c r="P1065" s="11"/>
      <c r="Q1065" s="13"/>
      <c r="R1065" s="14"/>
    </row>
    <row r="1066" spans="1:18" ht="15" customHeight="1">
      <c r="A1066" s="17" t="s">
        <v>68</v>
      </c>
      <c r="B1066" s="17" t="s">
        <v>410</v>
      </c>
      <c r="C1066" s="18">
        <v>0.59722222222222221</v>
      </c>
      <c r="D1066" s="17" t="s">
        <v>70</v>
      </c>
      <c r="E1066" s="17" t="s">
        <v>57</v>
      </c>
      <c r="F1066" s="17" t="s">
        <v>406</v>
      </c>
      <c r="G1066" s="298"/>
      <c r="H1066" s="10"/>
      <c r="I1066" s="11"/>
      <c r="J1066" s="11"/>
      <c r="K1066" s="11"/>
      <c r="L1066" s="11"/>
      <c r="M1066" s="11"/>
      <c r="N1066" s="11"/>
      <c r="O1066" s="12"/>
      <c r="P1066" s="11"/>
      <c r="Q1066" s="13"/>
      <c r="R1066" s="14"/>
    </row>
    <row r="1067" spans="1:18" ht="15" customHeight="1">
      <c r="A1067" s="17" t="s">
        <v>68</v>
      </c>
      <c r="B1067" s="17" t="s">
        <v>411</v>
      </c>
      <c r="C1067" s="18">
        <v>0.78472222222222221</v>
      </c>
      <c r="D1067" s="17" t="s">
        <v>70</v>
      </c>
      <c r="E1067" s="17" t="s">
        <v>57</v>
      </c>
      <c r="F1067" s="17" t="s">
        <v>412</v>
      </c>
      <c r="G1067" s="298"/>
      <c r="H1067" s="10"/>
      <c r="I1067" s="11"/>
      <c r="J1067" s="11"/>
      <c r="K1067" s="11"/>
      <c r="L1067" s="11"/>
      <c r="M1067" s="11"/>
      <c r="N1067" s="11"/>
      <c r="O1067" s="12"/>
      <c r="P1067" s="11"/>
      <c r="Q1067" s="13"/>
      <c r="R1067" s="14"/>
    </row>
    <row r="1068" spans="1:18" ht="15" customHeight="1">
      <c r="A1068" s="19" t="s">
        <v>415</v>
      </c>
      <c r="B1068" s="19" t="s">
        <v>418</v>
      </c>
      <c r="C1068" s="20">
        <v>0.6875</v>
      </c>
      <c r="D1068" s="19" t="s">
        <v>63</v>
      </c>
      <c r="E1068" s="19" t="s">
        <v>51</v>
      </c>
      <c r="F1068" s="19" t="s">
        <v>417</v>
      </c>
      <c r="G1068" s="298"/>
      <c r="H1068" s="10"/>
      <c r="I1068" s="11"/>
      <c r="J1068" s="11"/>
      <c r="K1068" s="11"/>
      <c r="L1068" s="11"/>
      <c r="M1068" s="11"/>
      <c r="N1068" s="11"/>
      <c r="O1068" s="12"/>
      <c r="P1068" s="11"/>
      <c r="Q1068" s="13"/>
      <c r="R1068" s="14"/>
    </row>
    <row r="1069" spans="1:18" ht="15" customHeight="1" thickBot="1">
      <c r="A1069" s="30" t="s">
        <v>415</v>
      </c>
      <c r="B1069" s="30" t="s">
        <v>480</v>
      </c>
      <c r="C1069" s="31">
        <v>0.80555555555555547</v>
      </c>
      <c r="D1069" s="30" t="s">
        <v>63</v>
      </c>
      <c r="E1069" s="30" t="s">
        <v>57</v>
      </c>
      <c r="F1069" s="30" t="s">
        <v>417</v>
      </c>
      <c r="G1069" s="299"/>
      <c r="H1069" s="300"/>
      <c r="I1069" s="140"/>
      <c r="J1069" s="140"/>
      <c r="K1069" s="140"/>
      <c r="L1069" s="140"/>
      <c r="M1069" s="140"/>
      <c r="N1069" s="140"/>
      <c r="O1069" s="141"/>
      <c r="P1069" s="140"/>
      <c r="Q1069" s="142"/>
      <c r="R1069" s="301"/>
    </row>
    <row r="1070" spans="1:18" ht="17.45" customHeight="1" thickBot="1">
      <c r="A1070" s="283"/>
      <c r="B1070" s="284"/>
      <c r="C1070" s="284"/>
      <c r="D1070" s="284"/>
      <c r="E1070" s="284"/>
      <c r="F1070" s="284"/>
      <c r="G1070" s="284"/>
      <c r="H1070" s="284"/>
      <c r="I1070" s="284"/>
      <c r="J1070" s="284"/>
      <c r="K1070" s="284"/>
      <c r="L1070" s="284"/>
      <c r="M1070" s="284"/>
      <c r="N1070" s="284"/>
      <c r="O1070" s="284"/>
      <c r="P1070" s="284"/>
      <c r="Q1070" s="284"/>
      <c r="R1070" s="285"/>
    </row>
    <row r="1071" spans="1:18" ht="22.15" customHeight="1" thickTop="1" thickBot="1">
      <c r="A1071" s="279" t="s">
        <v>6</v>
      </c>
      <c r="B1071" s="295"/>
      <c r="C1071" s="295"/>
      <c r="D1071" s="295"/>
      <c r="E1071" s="295"/>
      <c r="F1071" s="296"/>
      <c r="G1071" s="32">
        <v>46037</v>
      </c>
      <c r="H1071" s="278" t="s">
        <v>7</v>
      </c>
      <c r="I1071" s="295"/>
      <c r="J1071" s="295"/>
      <c r="K1071" s="295"/>
      <c r="L1071" s="295"/>
      <c r="M1071" s="295"/>
      <c r="N1071" s="295"/>
      <c r="O1071" s="295"/>
      <c r="P1071" s="295"/>
      <c r="Q1071" s="295"/>
      <c r="R1071" s="296"/>
    </row>
    <row r="1072" spans="1:18" ht="24" customHeight="1">
      <c r="A1072" s="33" t="s">
        <v>8</v>
      </c>
      <c r="B1072" s="33" t="s">
        <v>9</v>
      </c>
      <c r="C1072" s="34" t="s">
        <v>10</v>
      </c>
      <c r="D1072" s="33" t="s">
        <v>11</v>
      </c>
      <c r="E1072" s="33" t="s">
        <v>12</v>
      </c>
      <c r="F1072" s="35" t="s">
        <v>13</v>
      </c>
      <c r="G1072" s="36" t="s">
        <v>14</v>
      </c>
      <c r="H1072" s="33" t="s">
        <v>15</v>
      </c>
      <c r="I1072" s="37" t="s">
        <v>16</v>
      </c>
      <c r="J1072" s="38" t="s">
        <v>17</v>
      </c>
      <c r="K1072" s="39" t="s">
        <v>18</v>
      </c>
      <c r="L1072" s="38" t="s">
        <v>19</v>
      </c>
      <c r="M1072" s="38" t="s">
        <v>20</v>
      </c>
      <c r="N1072" s="38" t="s">
        <v>21</v>
      </c>
      <c r="O1072" s="33" t="s">
        <v>22</v>
      </c>
      <c r="P1072" s="34" t="s">
        <v>23</v>
      </c>
      <c r="Q1072" s="38" t="s">
        <v>24</v>
      </c>
      <c r="R1072" s="33" t="s">
        <v>25</v>
      </c>
    </row>
    <row r="1073" spans="1:18" ht="15" customHeight="1">
      <c r="A1073" s="8" t="s">
        <v>38</v>
      </c>
      <c r="B1073" s="8" t="s">
        <v>344</v>
      </c>
      <c r="C1073" s="9">
        <v>0.88888888888888884</v>
      </c>
      <c r="D1073" s="8" t="s">
        <v>40</v>
      </c>
      <c r="E1073" s="8" t="s">
        <v>496</v>
      </c>
      <c r="F1073" s="8" t="s">
        <v>347</v>
      </c>
      <c r="G1073" s="297"/>
      <c r="H1073" s="10"/>
      <c r="I1073" s="11"/>
      <c r="J1073" s="11"/>
      <c r="K1073" s="11"/>
      <c r="L1073" s="11"/>
      <c r="M1073" s="11"/>
      <c r="N1073" s="11"/>
      <c r="O1073" s="12"/>
      <c r="P1073" s="11"/>
      <c r="Q1073" s="13"/>
      <c r="R1073" s="14"/>
    </row>
    <row r="1074" spans="1:18" ht="15" customHeight="1">
      <c r="A1074" s="15" t="s">
        <v>38</v>
      </c>
      <c r="B1074" s="15" t="s">
        <v>344</v>
      </c>
      <c r="C1074" s="16">
        <v>0.88888888888888884</v>
      </c>
      <c r="D1074" s="15" t="s">
        <v>43</v>
      </c>
      <c r="E1074" s="15" t="s">
        <v>195</v>
      </c>
      <c r="F1074" s="15" t="s">
        <v>138</v>
      </c>
      <c r="G1074" s="298"/>
      <c r="H1074" s="10"/>
      <c r="I1074" s="11"/>
      <c r="J1074" s="11"/>
      <c r="K1074" s="11"/>
      <c r="L1074" s="11"/>
      <c r="M1074" s="11"/>
      <c r="N1074" s="11"/>
      <c r="O1074" s="12"/>
      <c r="P1074" s="11"/>
      <c r="Q1074" s="13"/>
      <c r="R1074" s="14"/>
    </row>
    <row r="1075" spans="1:18" ht="15" customHeight="1">
      <c r="A1075" s="15" t="s">
        <v>38</v>
      </c>
      <c r="B1075" s="15" t="s">
        <v>344</v>
      </c>
      <c r="C1075" s="16">
        <v>0.88888888888888884</v>
      </c>
      <c r="D1075" s="15" t="s">
        <v>46</v>
      </c>
      <c r="E1075" s="15" t="s">
        <v>195</v>
      </c>
      <c r="F1075" s="15" t="s">
        <v>47</v>
      </c>
      <c r="G1075" s="298"/>
      <c r="H1075" s="10"/>
      <c r="I1075" s="11"/>
      <c r="J1075" s="11"/>
      <c r="K1075" s="11"/>
      <c r="L1075" s="11"/>
      <c r="M1075" s="11"/>
      <c r="N1075" s="11"/>
      <c r="O1075" s="12"/>
      <c r="P1075" s="11"/>
      <c r="Q1075" s="13"/>
      <c r="R1075" s="14"/>
    </row>
    <row r="1076" spans="1:18" ht="15" customHeight="1">
      <c r="A1076" s="17" t="s">
        <v>38</v>
      </c>
      <c r="B1076" s="17" t="s">
        <v>345</v>
      </c>
      <c r="C1076" s="18">
        <v>0.98958333333333337</v>
      </c>
      <c r="D1076" s="17" t="s">
        <v>40</v>
      </c>
      <c r="E1076" s="17" t="s">
        <v>125</v>
      </c>
      <c r="F1076" s="17" t="s">
        <v>347</v>
      </c>
      <c r="G1076" s="298"/>
      <c r="H1076" s="10"/>
      <c r="I1076" s="11"/>
      <c r="J1076" s="11"/>
      <c r="K1076" s="11"/>
      <c r="L1076" s="11"/>
      <c r="M1076" s="11"/>
      <c r="N1076" s="11"/>
      <c r="O1076" s="12"/>
      <c r="P1076" s="11"/>
      <c r="Q1076" s="13"/>
      <c r="R1076" s="14"/>
    </row>
    <row r="1077" spans="1:18" ht="15" customHeight="1">
      <c r="A1077" s="15" t="s">
        <v>38</v>
      </c>
      <c r="B1077" s="15" t="s">
        <v>345</v>
      </c>
      <c r="C1077" s="16">
        <v>0.98958333333333337</v>
      </c>
      <c r="D1077" s="15" t="s">
        <v>43</v>
      </c>
      <c r="E1077" s="15" t="s">
        <v>44</v>
      </c>
      <c r="F1077" s="15" t="s">
        <v>138</v>
      </c>
      <c r="G1077" s="298"/>
      <c r="H1077" s="10"/>
      <c r="I1077" s="11"/>
      <c r="J1077" s="11"/>
      <c r="K1077" s="11"/>
      <c r="L1077" s="11"/>
      <c r="M1077" s="11"/>
      <c r="N1077" s="11"/>
      <c r="O1077" s="12"/>
      <c r="P1077" s="11"/>
      <c r="Q1077" s="13"/>
      <c r="R1077" s="14"/>
    </row>
    <row r="1078" spans="1:18" ht="15" customHeight="1">
      <c r="A1078" s="15" t="s">
        <v>38</v>
      </c>
      <c r="B1078" s="15" t="s">
        <v>345</v>
      </c>
      <c r="C1078" s="16">
        <v>0.98958333333333337</v>
      </c>
      <c r="D1078" s="15" t="s">
        <v>46</v>
      </c>
      <c r="E1078" s="15" t="s">
        <v>44</v>
      </c>
      <c r="F1078" s="15" t="s">
        <v>47</v>
      </c>
      <c r="G1078" s="298"/>
      <c r="H1078" s="10"/>
      <c r="I1078" s="11"/>
      <c r="J1078" s="11"/>
      <c r="K1078" s="11"/>
      <c r="L1078" s="11"/>
      <c r="M1078" s="11"/>
      <c r="N1078" s="11"/>
      <c r="O1078" s="12"/>
      <c r="P1078" s="11"/>
      <c r="Q1078" s="13"/>
      <c r="R1078" s="14"/>
    </row>
    <row r="1079" spans="1:18" ht="15" customHeight="1">
      <c r="A1079" s="17" t="s">
        <v>38</v>
      </c>
      <c r="B1079" s="17" t="s">
        <v>342</v>
      </c>
      <c r="C1079" s="18">
        <v>0.48958333333333331</v>
      </c>
      <c r="D1079" s="17" t="s">
        <v>40</v>
      </c>
      <c r="E1079" s="17" t="s">
        <v>421</v>
      </c>
      <c r="F1079" s="17" t="s">
        <v>121</v>
      </c>
      <c r="G1079" s="298"/>
      <c r="H1079" s="10"/>
      <c r="I1079" s="11"/>
      <c r="J1079" s="11"/>
      <c r="K1079" s="11"/>
      <c r="L1079" s="11"/>
      <c r="M1079" s="11"/>
      <c r="N1079" s="11"/>
      <c r="O1079" s="12"/>
      <c r="P1079" s="11"/>
      <c r="Q1079" s="13"/>
      <c r="R1079" s="14"/>
    </row>
    <row r="1080" spans="1:18" ht="15" customHeight="1">
      <c r="A1080" s="15" t="s">
        <v>38</v>
      </c>
      <c r="B1080" s="15" t="s">
        <v>342</v>
      </c>
      <c r="C1080" s="16">
        <v>0.48958333333333331</v>
      </c>
      <c r="D1080" s="15" t="s">
        <v>43</v>
      </c>
      <c r="E1080" s="15" t="s">
        <v>193</v>
      </c>
      <c r="F1080" s="15" t="s">
        <v>123</v>
      </c>
      <c r="G1080" s="298"/>
      <c r="H1080" s="10"/>
      <c r="I1080" s="11"/>
      <c r="J1080" s="11"/>
      <c r="K1080" s="11"/>
      <c r="L1080" s="11"/>
      <c r="M1080" s="11"/>
      <c r="N1080" s="11"/>
      <c r="O1080" s="12"/>
      <c r="P1080" s="11"/>
      <c r="Q1080" s="13"/>
      <c r="R1080" s="14"/>
    </row>
    <row r="1081" spans="1:18" ht="15" customHeight="1">
      <c r="A1081" s="15" t="s">
        <v>38</v>
      </c>
      <c r="B1081" s="15" t="s">
        <v>342</v>
      </c>
      <c r="C1081" s="16">
        <v>0.48958333333333331</v>
      </c>
      <c r="D1081" s="15" t="s">
        <v>46</v>
      </c>
      <c r="E1081" s="15" t="s">
        <v>193</v>
      </c>
      <c r="F1081" s="15" t="s">
        <v>47</v>
      </c>
      <c r="G1081" s="298"/>
      <c r="H1081" s="10"/>
      <c r="I1081" s="11"/>
      <c r="J1081" s="11"/>
      <c r="K1081" s="11"/>
      <c r="L1081" s="11"/>
      <c r="M1081" s="11"/>
      <c r="N1081" s="11"/>
      <c r="O1081" s="12"/>
      <c r="P1081" s="11"/>
      <c r="Q1081" s="13"/>
      <c r="R1081" s="14"/>
    </row>
    <row r="1082" spans="1:18" ht="15" customHeight="1">
      <c r="A1082" s="17" t="s">
        <v>38</v>
      </c>
      <c r="B1082" s="17" t="s">
        <v>346</v>
      </c>
      <c r="C1082" s="18">
        <v>0.39930555555555558</v>
      </c>
      <c r="D1082" s="17" t="s">
        <v>40</v>
      </c>
      <c r="E1082" s="17" t="s">
        <v>113</v>
      </c>
      <c r="F1082" s="17" t="s">
        <v>349</v>
      </c>
      <c r="G1082" s="298"/>
      <c r="H1082" s="10"/>
      <c r="I1082" s="11"/>
      <c r="J1082" s="11"/>
      <c r="K1082" s="11"/>
      <c r="L1082" s="11"/>
      <c r="M1082" s="11"/>
      <c r="N1082" s="11"/>
      <c r="O1082" s="12"/>
      <c r="P1082" s="11"/>
      <c r="Q1082" s="13"/>
      <c r="R1082" s="14"/>
    </row>
    <row r="1083" spans="1:18" ht="15" customHeight="1">
      <c r="A1083" s="15" t="s">
        <v>38</v>
      </c>
      <c r="B1083" s="15" t="s">
        <v>346</v>
      </c>
      <c r="C1083" s="16">
        <v>0.39930555555555558</v>
      </c>
      <c r="D1083" s="15" t="s">
        <v>43</v>
      </c>
      <c r="E1083" s="15" t="s">
        <v>114</v>
      </c>
      <c r="F1083" s="15" t="s">
        <v>443</v>
      </c>
      <c r="G1083" s="298"/>
      <c r="H1083" s="10"/>
      <c r="I1083" s="11"/>
      <c r="J1083" s="11"/>
      <c r="K1083" s="11"/>
      <c r="L1083" s="11"/>
      <c r="M1083" s="11"/>
      <c r="N1083" s="11"/>
      <c r="O1083" s="12"/>
      <c r="P1083" s="11"/>
      <c r="Q1083" s="13"/>
      <c r="R1083" s="14"/>
    </row>
    <row r="1084" spans="1:18" ht="15" customHeight="1">
      <c r="A1084" s="15" t="s">
        <v>38</v>
      </c>
      <c r="B1084" s="15" t="s">
        <v>346</v>
      </c>
      <c r="C1084" s="16">
        <v>0.39930555555555558</v>
      </c>
      <c r="D1084" s="15" t="s">
        <v>46</v>
      </c>
      <c r="E1084" s="15" t="s">
        <v>114</v>
      </c>
      <c r="F1084" s="15" t="s">
        <v>47</v>
      </c>
      <c r="G1084" s="298"/>
      <c r="H1084" s="10"/>
      <c r="I1084" s="11"/>
      <c r="J1084" s="11"/>
      <c r="K1084" s="11"/>
      <c r="L1084" s="11"/>
      <c r="M1084" s="11"/>
      <c r="N1084" s="11"/>
      <c r="O1084" s="12"/>
      <c r="P1084" s="11"/>
      <c r="Q1084" s="13"/>
      <c r="R1084" s="14"/>
    </row>
    <row r="1085" spans="1:18" ht="15" customHeight="1">
      <c r="A1085" s="21" t="s">
        <v>61</v>
      </c>
      <c r="B1085" s="21" t="s">
        <v>371</v>
      </c>
      <c r="C1085" s="22">
        <v>6.5972222222222224E-2</v>
      </c>
      <c r="D1085" s="21" t="s">
        <v>63</v>
      </c>
      <c r="E1085" s="21" t="s">
        <v>156</v>
      </c>
      <c r="F1085" s="21" t="s">
        <v>365</v>
      </c>
      <c r="G1085" s="298"/>
      <c r="H1085" s="23" t="s">
        <v>373</v>
      </c>
      <c r="I1085" s="24">
        <v>3.3300000000000003E-2</v>
      </c>
      <c r="J1085" s="25">
        <v>6</v>
      </c>
      <c r="K1085" s="26">
        <v>46341</v>
      </c>
      <c r="L1085" s="25">
        <v>6</v>
      </c>
      <c r="M1085" s="25">
        <v>0</v>
      </c>
      <c r="N1085" s="25">
        <v>0</v>
      </c>
      <c r="O1085" s="27" t="s">
        <v>430</v>
      </c>
      <c r="P1085" s="28">
        <v>6.5972222222222224E-2</v>
      </c>
      <c r="Q1085" s="25">
        <v>180</v>
      </c>
      <c r="R1085" s="29" t="s">
        <v>497</v>
      </c>
    </row>
    <row r="1086" spans="1:18" ht="15" customHeight="1">
      <c r="A1086" s="156" t="s">
        <v>61</v>
      </c>
      <c r="B1086" s="156" t="s">
        <v>369</v>
      </c>
      <c r="C1086" s="157">
        <v>0.1875</v>
      </c>
      <c r="D1086" s="156" t="s">
        <v>63</v>
      </c>
      <c r="E1086" s="156" t="s">
        <v>57</v>
      </c>
      <c r="F1086" s="156" t="s">
        <v>79</v>
      </c>
      <c r="G1086" s="298"/>
      <c r="H1086" s="42" t="s">
        <v>370</v>
      </c>
      <c r="I1086" s="43">
        <v>0</v>
      </c>
      <c r="J1086" s="44">
        <v>0</v>
      </c>
      <c r="K1086" s="45" t="s">
        <v>66</v>
      </c>
      <c r="L1086" s="44">
        <v>0</v>
      </c>
      <c r="M1086" s="44">
        <v>0</v>
      </c>
      <c r="N1086" s="44">
        <v>0</v>
      </c>
      <c r="O1086" s="46" t="s">
        <v>292</v>
      </c>
      <c r="P1086" s="47">
        <v>0.1875</v>
      </c>
      <c r="Q1086" s="44">
        <v>180</v>
      </c>
      <c r="R1086" s="48" t="s">
        <v>66</v>
      </c>
    </row>
    <row r="1087" spans="1:18" ht="15" customHeight="1">
      <c r="A1087" s="150" t="s">
        <v>61</v>
      </c>
      <c r="B1087" s="150" t="s">
        <v>375</v>
      </c>
      <c r="C1087" s="151">
        <v>0.15625</v>
      </c>
      <c r="D1087" s="150" t="s">
        <v>63</v>
      </c>
      <c r="E1087" s="150" t="s">
        <v>435</v>
      </c>
      <c r="F1087" s="150" t="s">
        <v>79</v>
      </c>
      <c r="G1087" s="298"/>
      <c r="H1087" s="80" t="s">
        <v>376</v>
      </c>
      <c r="I1087" s="81">
        <v>3.3300000000000003E-2</v>
      </c>
      <c r="J1087" s="82">
        <v>6</v>
      </c>
      <c r="K1087" s="83">
        <v>46326</v>
      </c>
      <c r="L1087" s="82">
        <v>6</v>
      </c>
      <c r="M1087" s="82">
        <v>0</v>
      </c>
      <c r="N1087" s="82">
        <v>0</v>
      </c>
      <c r="O1087" s="84" t="s">
        <v>299</v>
      </c>
      <c r="P1087" s="85">
        <v>0.15625</v>
      </c>
      <c r="Q1087" s="82">
        <v>180</v>
      </c>
      <c r="R1087" s="86" t="s">
        <v>436</v>
      </c>
    </row>
    <row r="1088" spans="1:18" ht="15" customHeight="1">
      <c r="A1088" s="158" t="s">
        <v>61</v>
      </c>
      <c r="B1088" s="158" t="s">
        <v>377</v>
      </c>
      <c r="C1088" s="159">
        <v>0.40625</v>
      </c>
      <c r="D1088" s="158" t="s">
        <v>63</v>
      </c>
      <c r="E1088" s="158" t="s">
        <v>435</v>
      </c>
      <c r="F1088" s="158" t="s">
        <v>79</v>
      </c>
      <c r="G1088" s="298"/>
      <c r="H1088" s="89" t="s">
        <v>378</v>
      </c>
      <c r="I1088" s="90">
        <v>3.3300000000000003E-2</v>
      </c>
      <c r="J1088" s="91">
        <v>6</v>
      </c>
      <c r="K1088" s="92">
        <v>46344</v>
      </c>
      <c r="L1088" s="91">
        <v>6</v>
      </c>
      <c r="M1088" s="91">
        <v>0</v>
      </c>
      <c r="N1088" s="91">
        <v>0</v>
      </c>
      <c r="O1088" s="93" t="s">
        <v>299</v>
      </c>
      <c r="P1088" s="94">
        <v>0.40625</v>
      </c>
      <c r="Q1088" s="91">
        <v>180</v>
      </c>
      <c r="R1088" s="95" t="s">
        <v>436</v>
      </c>
    </row>
    <row r="1089" spans="1:18" ht="15" customHeight="1">
      <c r="A1089" s="160" t="s">
        <v>61</v>
      </c>
      <c r="B1089" s="160" t="s">
        <v>379</v>
      </c>
      <c r="C1089" s="161">
        <v>0.5625</v>
      </c>
      <c r="D1089" s="160" t="s">
        <v>63</v>
      </c>
      <c r="E1089" s="160" t="s">
        <v>37</v>
      </c>
      <c r="F1089" s="160" t="s">
        <v>79</v>
      </c>
      <c r="G1089" s="298"/>
      <c r="H1089" s="23" t="s">
        <v>380</v>
      </c>
      <c r="I1089" s="24">
        <v>0.05</v>
      </c>
      <c r="J1089" s="25">
        <v>9</v>
      </c>
      <c r="K1089" s="26">
        <v>46344</v>
      </c>
      <c r="L1089" s="25">
        <v>9</v>
      </c>
      <c r="M1089" s="25">
        <v>0</v>
      </c>
      <c r="N1089" s="25">
        <v>0</v>
      </c>
      <c r="O1089" s="27" t="s">
        <v>307</v>
      </c>
      <c r="P1089" s="28">
        <v>0.5625</v>
      </c>
      <c r="Q1089" s="25">
        <v>180</v>
      </c>
      <c r="R1089" s="29" t="s">
        <v>498</v>
      </c>
    </row>
    <row r="1090" spans="1:18" ht="15" customHeight="1">
      <c r="A1090" s="148" t="s">
        <v>61</v>
      </c>
      <c r="B1090" s="148" t="s">
        <v>364</v>
      </c>
      <c r="C1090" s="149">
        <v>0.9375</v>
      </c>
      <c r="D1090" s="148" t="s">
        <v>63</v>
      </c>
      <c r="E1090" s="148" t="s">
        <v>57</v>
      </c>
      <c r="F1090" s="148" t="s">
        <v>449</v>
      </c>
      <c r="G1090" s="298"/>
      <c r="H1090" s="51" t="s">
        <v>366</v>
      </c>
      <c r="I1090" s="52">
        <v>9.4399999999999998E-2</v>
      </c>
      <c r="J1090" s="53">
        <v>17</v>
      </c>
      <c r="K1090" s="54">
        <v>46340</v>
      </c>
      <c r="L1090" s="53">
        <v>17</v>
      </c>
      <c r="M1090" s="53">
        <v>0</v>
      </c>
      <c r="N1090" s="53">
        <v>0</v>
      </c>
      <c r="O1090" s="55" t="s">
        <v>67</v>
      </c>
      <c r="P1090" s="56">
        <v>0.9375</v>
      </c>
      <c r="Q1090" s="53">
        <v>180</v>
      </c>
      <c r="R1090" s="57" t="s">
        <v>499</v>
      </c>
    </row>
    <row r="1091" spans="1:18" ht="15" customHeight="1">
      <c r="A1091" s="19" t="s">
        <v>48</v>
      </c>
      <c r="B1091" s="19" t="s">
        <v>386</v>
      </c>
      <c r="C1091" s="20">
        <v>0.82986111111111116</v>
      </c>
      <c r="D1091" s="19" t="s">
        <v>50</v>
      </c>
      <c r="E1091" s="19" t="s">
        <v>156</v>
      </c>
      <c r="F1091" s="19" t="s">
        <v>383</v>
      </c>
      <c r="G1091" s="298"/>
      <c r="H1091" s="10"/>
      <c r="I1091" s="11"/>
      <c r="J1091" s="11"/>
      <c r="K1091" s="11"/>
      <c r="L1091" s="11"/>
      <c r="M1091" s="11"/>
      <c r="N1091" s="11"/>
      <c r="O1091" s="12"/>
      <c r="P1091" s="11"/>
      <c r="Q1091" s="13"/>
      <c r="R1091" s="14"/>
    </row>
    <row r="1092" spans="1:18" ht="15" customHeight="1">
      <c r="A1092" s="15" t="s">
        <v>48</v>
      </c>
      <c r="B1092" s="15" t="s">
        <v>386</v>
      </c>
      <c r="C1092" s="16">
        <v>0.82986111111111116</v>
      </c>
      <c r="D1092" s="15" t="s">
        <v>53</v>
      </c>
      <c r="E1092" s="15" t="s">
        <v>135</v>
      </c>
      <c r="F1092" s="15" t="s">
        <v>384</v>
      </c>
      <c r="G1092" s="298"/>
      <c r="H1092" s="10"/>
      <c r="I1092" s="11"/>
      <c r="J1092" s="11"/>
      <c r="K1092" s="11"/>
      <c r="L1092" s="11"/>
      <c r="M1092" s="11"/>
      <c r="N1092" s="11"/>
      <c r="O1092" s="12"/>
      <c r="P1092" s="11"/>
      <c r="Q1092" s="13"/>
      <c r="R1092" s="14"/>
    </row>
    <row r="1093" spans="1:18" ht="15" customHeight="1">
      <c r="A1093" s="17" t="s">
        <v>48</v>
      </c>
      <c r="B1093" s="17" t="s">
        <v>385</v>
      </c>
      <c r="C1093" s="18">
        <v>0.94097222222222221</v>
      </c>
      <c r="D1093" s="17" t="s">
        <v>50</v>
      </c>
      <c r="E1093" s="17" t="s">
        <v>134</v>
      </c>
      <c r="F1093" s="17" t="s">
        <v>383</v>
      </c>
      <c r="G1093" s="298"/>
      <c r="H1093" s="10"/>
      <c r="I1093" s="11"/>
      <c r="J1093" s="11"/>
      <c r="K1093" s="11"/>
      <c r="L1093" s="11"/>
      <c r="M1093" s="11"/>
      <c r="N1093" s="11"/>
      <c r="O1093" s="12"/>
      <c r="P1093" s="11"/>
      <c r="Q1093" s="13"/>
      <c r="R1093" s="14"/>
    </row>
    <row r="1094" spans="1:18" ht="15" customHeight="1">
      <c r="A1094" s="15" t="s">
        <v>48</v>
      </c>
      <c r="B1094" s="15" t="s">
        <v>385</v>
      </c>
      <c r="C1094" s="16">
        <v>0.94097222222222221</v>
      </c>
      <c r="D1094" s="15" t="s">
        <v>53</v>
      </c>
      <c r="E1094" s="15" t="s">
        <v>135</v>
      </c>
      <c r="F1094" s="15" t="s">
        <v>384</v>
      </c>
      <c r="G1094" s="298"/>
      <c r="H1094" s="10"/>
      <c r="I1094" s="11"/>
      <c r="J1094" s="11"/>
      <c r="K1094" s="11"/>
      <c r="L1094" s="11"/>
      <c r="M1094" s="11"/>
      <c r="N1094" s="11"/>
      <c r="O1094" s="12"/>
      <c r="P1094" s="11"/>
      <c r="Q1094" s="13"/>
      <c r="R1094" s="14"/>
    </row>
    <row r="1095" spans="1:18" ht="15" customHeight="1">
      <c r="A1095" s="17" t="s">
        <v>48</v>
      </c>
      <c r="B1095" s="17" t="s">
        <v>382</v>
      </c>
      <c r="C1095" s="18">
        <v>0.11805555555555559</v>
      </c>
      <c r="D1095" s="17" t="s">
        <v>50</v>
      </c>
      <c r="E1095" s="17" t="s">
        <v>57</v>
      </c>
      <c r="F1095" s="17" t="s">
        <v>79</v>
      </c>
      <c r="G1095" s="298"/>
      <c r="H1095" s="10"/>
      <c r="I1095" s="11"/>
      <c r="J1095" s="11"/>
      <c r="K1095" s="11"/>
      <c r="L1095" s="11"/>
      <c r="M1095" s="11"/>
      <c r="N1095" s="11"/>
      <c r="O1095" s="12"/>
      <c r="P1095" s="11"/>
      <c r="Q1095" s="13"/>
      <c r="R1095" s="14"/>
    </row>
    <row r="1096" spans="1:18" ht="15" customHeight="1">
      <c r="A1096" s="15" t="s">
        <v>48</v>
      </c>
      <c r="B1096" s="15" t="s">
        <v>382</v>
      </c>
      <c r="C1096" s="16">
        <v>0.11805555555555559</v>
      </c>
      <c r="D1096" s="15" t="s">
        <v>53</v>
      </c>
      <c r="E1096" s="15" t="s">
        <v>54</v>
      </c>
      <c r="F1096" s="15" t="s">
        <v>387</v>
      </c>
      <c r="G1096" s="298"/>
      <c r="H1096" s="10"/>
      <c r="I1096" s="11"/>
      <c r="J1096" s="11"/>
      <c r="K1096" s="11"/>
      <c r="L1096" s="11"/>
      <c r="M1096" s="11"/>
      <c r="N1096" s="11"/>
      <c r="O1096" s="12"/>
      <c r="P1096" s="11"/>
      <c r="Q1096" s="13"/>
      <c r="R1096" s="14"/>
    </row>
    <row r="1097" spans="1:18" ht="15" customHeight="1">
      <c r="A1097" s="17" t="s">
        <v>48</v>
      </c>
      <c r="B1097" s="17" t="s">
        <v>390</v>
      </c>
      <c r="C1097" s="18">
        <v>4.1666666666666657E-2</v>
      </c>
      <c r="D1097" s="17" t="s">
        <v>50</v>
      </c>
      <c r="E1097" s="17" t="s">
        <v>57</v>
      </c>
      <c r="F1097" s="17" t="s">
        <v>79</v>
      </c>
      <c r="G1097" s="298"/>
      <c r="H1097" s="10"/>
      <c r="I1097" s="11"/>
      <c r="J1097" s="11"/>
      <c r="K1097" s="11"/>
      <c r="L1097" s="11"/>
      <c r="M1097" s="11"/>
      <c r="N1097" s="11"/>
      <c r="O1097" s="12"/>
      <c r="P1097" s="11"/>
      <c r="Q1097" s="13"/>
      <c r="R1097" s="14"/>
    </row>
    <row r="1098" spans="1:18" ht="15" customHeight="1">
      <c r="A1098" s="15" t="s">
        <v>48</v>
      </c>
      <c r="B1098" s="15" t="s">
        <v>390</v>
      </c>
      <c r="C1098" s="16">
        <v>4.1666666666666657E-2</v>
      </c>
      <c r="D1098" s="15" t="s">
        <v>53</v>
      </c>
      <c r="E1098" s="15" t="s">
        <v>54</v>
      </c>
      <c r="F1098" s="15" t="s">
        <v>387</v>
      </c>
      <c r="G1098" s="298"/>
      <c r="H1098" s="10"/>
      <c r="I1098" s="11"/>
      <c r="J1098" s="11"/>
      <c r="K1098" s="11"/>
      <c r="L1098" s="11"/>
      <c r="M1098" s="11"/>
      <c r="N1098" s="11"/>
      <c r="O1098" s="12"/>
      <c r="P1098" s="11"/>
      <c r="Q1098" s="13"/>
      <c r="R1098" s="14"/>
    </row>
    <row r="1099" spans="1:18" ht="15" customHeight="1">
      <c r="A1099" s="17" t="s">
        <v>48</v>
      </c>
      <c r="B1099" s="17" t="s">
        <v>388</v>
      </c>
      <c r="C1099" s="18">
        <v>0.72222222222222221</v>
      </c>
      <c r="D1099" s="17" t="s">
        <v>50</v>
      </c>
      <c r="E1099" s="17" t="s">
        <v>57</v>
      </c>
      <c r="F1099" s="17" t="s">
        <v>462</v>
      </c>
      <c r="G1099" s="298"/>
      <c r="H1099" s="10"/>
      <c r="I1099" s="11"/>
      <c r="J1099" s="11"/>
      <c r="K1099" s="11"/>
      <c r="L1099" s="11"/>
      <c r="M1099" s="11"/>
      <c r="N1099" s="11"/>
      <c r="O1099" s="12"/>
      <c r="P1099" s="11"/>
      <c r="Q1099" s="13"/>
      <c r="R1099" s="14"/>
    </row>
    <row r="1100" spans="1:18" ht="15" customHeight="1">
      <c r="A1100" s="15" t="s">
        <v>48</v>
      </c>
      <c r="B1100" s="15" t="s">
        <v>388</v>
      </c>
      <c r="C1100" s="16">
        <v>0.72222222222222221</v>
      </c>
      <c r="D1100" s="15" t="s">
        <v>53</v>
      </c>
      <c r="E1100" s="15" t="s">
        <v>54</v>
      </c>
      <c r="F1100" s="15" t="s">
        <v>463</v>
      </c>
      <c r="G1100" s="298"/>
      <c r="H1100" s="10"/>
      <c r="I1100" s="11"/>
      <c r="J1100" s="11"/>
      <c r="K1100" s="11"/>
      <c r="L1100" s="11"/>
      <c r="M1100" s="11"/>
      <c r="N1100" s="11"/>
      <c r="O1100" s="12"/>
      <c r="P1100" s="11"/>
      <c r="Q1100" s="13"/>
      <c r="R1100" s="14"/>
    </row>
    <row r="1101" spans="1:18" ht="15" customHeight="1">
      <c r="A1101" s="17" t="s">
        <v>48</v>
      </c>
      <c r="B1101" s="17" t="s">
        <v>389</v>
      </c>
      <c r="C1101" s="18">
        <v>0.70486111111111116</v>
      </c>
      <c r="D1101" s="17" t="s">
        <v>50</v>
      </c>
      <c r="E1101" s="17" t="s">
        <v>57</v>
      </c>
      <c r="F1101" s="17" t="s">
        <v>462</v>
      </c>
      <c r="G1101" s="298"/>
      <c r="H1101" s="10"/>
      <c r="I1101" s="11"/>
      <c r="J1101" s="11"/>
      <c r="K1101" s="11"/>
      <c r="L1101" s="11"/>
      <c r="M1101" s="11"/>
      <c r="N1101" s="11"/>
      <c r="O1101" s="12"/>
      <c r="P1101" s="11"/>
      <c r="Q1101" s="13"/>
      <c r="R1101" s="14"/>
    </row>
    <row r="1102" spans="1:18" ht="15" customHeight="1">
      <c r="A1102" s="15" t="s">
        <v>48</v>
      </c>
      <c r="B1102" s="15" t="s">
        <v>389</v>
      </c>
      <c r="C1102" s="16">
        <v>0.70486111111111116</v>
      </c>
      <c r="D1102" s="15" t="s">
        <v>53</v>
      </c>
      <c r="E1102" s="15" t="s">
        <v>54</v>
      </c>
      <c r="F1102" s="15" t="s">
        <v>463</v>
      </c>
      <c r="G1102" s="298"/>
      <c r="H1102" s="10"/>
      <c r="I1102" s="11"/>
      <c r="J1102" s="11"/>
      <c r="K1102" s="11"/>
      <c r="L1102" s="11"/>
      <c r="M1102" s="11"/>
      <c r="N1102" s="11"/>
      <c r="O1102" s="12"/>
      <c r="P1102" s="11"/>
      <c r="Q1102" s="13"/>
      <c r="R1102" s="14"/>
    </row>
    <row r="1103" spans="1:18" ht="15" customHeight="1">
      <c r="A1103" s="17" t="s">
        <v>48</v>
      </c>
      <c r="B1103" s="17" t="s">
        <v>391</v>
      </c>
      <c r="C1103" s="18">
        <v>0.48958333333333331</v>
      </c>
      <c r="D1103" s="17" t="s">
        <v>50</v>
      </c>
      <c r="E1103" s="17" t="s">
        <v>57</v>
      </c>
      <c r="F1103" s="17" t="s">
        <v>392</v>
      </c>
      <c r="G1103" s="298"/>
      <c r="H1103" s="10"/>
      <c r="I1103" s="11"/>
      <c r="J1103" s="11"/>
      <c r="K1103" s="11"/>
      <c r="L1103" s="11"/>
      <c r="M1103" s="11"/>
      <c r="N1103" s="11"/>
      <c r="O1103" s="12"/>
      <c r="P1103" s="11"/>
      <c r="Q1103" s="13"/>
      <c r="R1103" s="14"/>
    </row>
    <row r="1104" spans="1:18" ht="15" customHeight="1">
      <c r="A1104" s="15" t="s">
        <v>48</v>
      </c>
      <c r="B1104" s="15" t="s">
        <v>391</v>
      </c>
      <c r="C1104" s="16">
        <v>0.48958333333333331</v>
      </c>
      <c r="D1104" s="15" t="s">
        <v>53</v>
      </c>
      <c r="E1104" s="15" t="s">
        <v>54</v>
      </c>
      <c r="F1104" s="15" t="s">
        <v>393</v>
      </c>
      <c r="G1104" s="298"/>
      <c r="H1104" s="10"/>
      <c r="I1104" s="11"/>
      <c r="J1104" s="11"/>
      <c r="K1104" s="11"/>
      <c r="L1104" s="11"/>
      <c r="M1104" s="11"/>
      <c r="N1104" s="11"/>
      <c r="O1104" s="12"/>
      <c r="P1104" s="11"/>
      <c r="Q1104" s="13"/>
      <c r="R1104" s="14"/>
    </row>
    <row r="1105" spans="1:18" ht="15" customHeight="1">
      <c r="A1105" s="17" t="s">
        <v>48</v>
      </c>
      <c r="B1105" s="17" t="s">
        <v>394</v>
      </c>
      <c r="C1105" s="18">
        <v>0.98958333333333337</v>
      </c>
      <c r="D1105" s="17" t="s">
        <v>53</v>
      </c>
      <c r="E1105" s="17" t="s">
        <v>37</v>
      </c>
      <c r="F1105" s="17" t="s">
        <v>399</v>
      </c>
      <c r="G1105" s="298"/>
      <c r="H1105" s="10"/>
      <c r="I1105" s="11"/>
      <c r="J1105" s="11"/>
      <c r="K1105" s="11"/>
      <c r="L1105" s="11"/>
      <c r="M1105" s="11"/>
      <c r="N1105" s="11"/>
      <c r="O1105" s="12"/>
      <c r="P1105" s="11"/>
      <c r="Q1105" s="13"/>
      <c r="R1105" s="14"/>
    </row>
    <row r="1106" spans="1:18" ht="15" customHeight="1">
      <c r="A1106" s="17" t="s">
        <v>48</v>
      </c>
      <c r="B1106" s="17" t="s">
        <v>397</v>
      </c>
      <c r="C1106" s="18">
        <v>0.88888888888888884</v>
      </c>
      <c r="D1106" s="17" t="s">
        <v>53</v>
      </c>
      <c r="E1106" s="17" t="s">
        <v>37</v>
      </c>
      <c r="F1106" s="17" t="s">
        <v>399</v>
      </c>
      <c r="G1106" s="298"/>
      <c r="H1106" s="10"/>
      <c r="I1106" s="11"/>
      <c r="J1106" s="11"/>
      <c r="K1106" s="11"/>
      <c r="L1106" s="11"/>
      <c r="M1106" s="11"/>
      <c r="N1106" s="11"/>
      <c r="O1106" s="12"/>
      <c r="P1106" s="11"/>
      <c r="Q1106" s="13"/>
      <c r="R1106" s="14"/>
    </row>
    <row r="1107" spans="1:18" ht="15" customHeight="1">
      <c r="A1107" s="17" t="s">
        <v>48</v>
      </c>
      <c r="B1107" s="17" t="s">
        <v>396</v>
      </c>
      <c r="C1107" s="18">
        <v>0.48958333333333331</v>
      </c>
      <c r="D1107" s="17" t="s">
        <v>53</v>
      </c>
      <c r="E1107" s="17" t="s">
        <v>37</v>
      </c>
      <c r="F1107" s="17" t="s">
        <v>464</v>
      </c>
      <c r="G1107" s="298"/>
      <c r="H1107" s="10"/>
      <c r="I1107" s="11"/>
      <c r="J1107" s="11"/>
      <c r="K1107" s="11"/>
      <c r="L1107" s="11"/>
      <c r="M1107" s="11"/>
      <c r="N1107" s="11"/>
      <c r="O1107" s="12"/>
      <c r="P1107" s="11"/>
      <c r="Q1107" s="13"/>
      <c r="R1107" s="14"/>
    </row>
    <row r="1108" spans="1:18" ht="15" customHeight="1">
      <c r="A1108" s="17" t="s">
        <v>48</v>
      </c>
      <c r="B1108" s="17" t="s">
        <v>400</v>
      </c>
      <c r="C1108" s="18">
        <v>0.25347222222222221</v>
      </c>
      <c r="D1108" s="17" t="s">
        <v>53</v>
      </c>
      <c r="E1108" s="17" t="s">
        <v>57</v>
      </c>
      <c r="F1108" s="17" t="s">
        <v>401</v>
      </c>
      <c r="G1108" s="298"/>
      <c r="H1108" s="10"/>
      <c r="I1108" s="11"/>
      <c r="J1108" s="11"/>
      <c r="K1108" s="11"/>
      <c r="L1108" s="11"/>
      <c r="M1108" s="11"/>
      <c r="N1108" s="11"/>
      <c r="O1108" s="12"/>
      <c r="P1108" s="11"/>
      <c r="Q1108" s="13"/>
      <c r="R1108" s="14"/>
    </row>
    <row r="1109" spans="1:18" ht="15" customHeight="1">
      <c r="A1109" s="17" t="s">
        <v>48</v>
      </c>
      <c r="B1109" s="17" t="s">
        <v>398</v>
      </c>
      <c r="C1109" s="18">
        <v>0.39930555555555558</v>
      </c>
      <c r="D1109" s="17" t="s">
        <v>53</v>
      </c>
      <c r="E1109" s="17" t="s">
        <v>37</v>
      </c>
      <c r="F1109" s="17" t="s">
        <v>452</v>
      </c>
      <c r="G1109" s="298"/>
      <c r="H1109" s="10"/>
      <c r="I1109" s="11"/>
      <c r="J1109" s="11"/>
      <c r="K1109" s="11"/>
      <c r="L1109" s="11"/>
      <c r="M1109" s="11"/>
      <c r="N1109" s="11"/>
      <c r="O1109" s="12"/>
      <c r="P1109" s="11"/>
      <c r="Q1109" s="13"/>
      <c r="R1109" s="14"/>
    </row>
    <row r="1110" spans="1:18" ht="15" customHeight="1">
      <c r="A1110" s="19" t="s">
        <v>359</v>
      </c>
      <c r="B1110" s="19" t="s">
        <v>360</v>
      </c>
      <c r="C1110" s="20">
        <v>0.1701388888888889</v>
      </c>
      <c r="D1110" s="19" t="s">
        <v>361</v>
      </c>
      <c r="E1110" s="19" t="s">
        <v>80</v>
      </c>
      <c r="F1110" s="19" t="s">
        <v>493</v>
      </c>
      <c r="G1110" s="298"/>
      <c r="H1110" s="10"/>
      <c r="I1110" s="11"/>
      <c r="J1110" s="11"/>
      <c r="K1110" s="11"/>
      <c r="L1110" s="11"/>
      <c r="M1110" s="11"/>
      <c r="N1110" s="11"/>
      <c r="O1110" s="12"/>
      <c r="P1110" s="11"/>
      <c r="Q1110" s="13"/>
      <c r="R1110" s="14"/>
    </row>
    <row r="1111" spans="1:18" ht="15" customHeight="1">
      <c r="A1111" s="15" t="s">
        <v>359</v>
      </c>
      <c r="B1111" s="15" t="s">
        <v>360</v>
      </c>
      <c r="C1111" s="16">
        <v>0.1701388888888889</v>
      </c>
      <c r="D1111" s="15" t="s">
        <v>46</v>
      </c>
      <c r="E1111" s="15" t="s">
        <v>82</v>
      </c>
      <c r="F1111" s="15" t="s">
        <v>494</v>
      </c>
      <c r="G1111" s="298"/>
      <c r="H1111" s="10"/>
      <c r="I1111" s="11"/>
      <c r="J1111" s="11"/>
      <c r="K1111" s="11"/>
      <c r="L1111" s="11"/>
      <c r="M1111" s="11"/>
      <c r="N1111" s="11"/>
      <c r="O1111" s="12"/>
      <c r="P1111" s="11"/>
      <c r="Q1111" s="13"/>
      <c r="R1111" s="14"/>
    </row>
    <row r="1112" spans="1:18" ht="15" customHeight="1">
      <c r="A1112" s="19" t="s">
        <v>402</v>
      </c>
      <c r="B1112" s="19" t="s">
        <v>403</v>
      </c>
      <c r="C1112" s="20">
        <v>0.49305555555555558</v>
      </c>
      <c r="D1112" s="19" t="s">
        <v>63</v>
      </c>
      <c r="E1112" s="19" t="s">
        <v>103</v>
      </c>
      <c r="F1112" s="19" t="s">
        <v>404</v>
      </c>
      <c r="G1112" s="298"/>
      <c r="H1112" s="10"/>
      <c r="I1112" s="11"/>
      <c r="J1112" s="11"/>
      <c r="K1112" s="11"/>
      <c r="L1112" s="11"/>
      <c r="M1112" s="11"/>
      <c r="N1112" s="11"/>
      <c r="O1112" s="12"/>
      <c r="P1112" s="11"/>
      <c r="Q1112" s="13"/>
      <c r="R1112" s="14"/>
    </row>
    <row r="1113" spans="1:18" ht="15" customHeight="1">
      <c r="A1113" s="19" t="s">
        <v>26</v>
      </c>
      <c r="B1113" s="19" t="s">
        <v>348</v>
      </c>
      <c r="C1113" s="20">
        <v>0.99305555555555547</v>
      </c>
      <c r="D1113" s="19" t="s">
        <v>28</v>
      </c>
      <c r="E1113" s="19" t="s">
        <v>143</v>
      </c>
      <c r="F1113" s="19" t="s">
        <v>79</v>
      </c>
      <c r="G1113" s="298"/>
      <c r="H1113" s="10"/>
      <c r="I1113" s="11"/>
      <c r="J1113" s="11"/>
      <c r="K1113" s="11"/>
      <c r="L1113" s="11"/>
      <c r="M1113" s="11"/>
      <c r="N1113" s="11"/>
      <c r="O1113" s="12"/>
      <c r="P1113" s="11"/>
      <c r="Q1113" s="13"/>
      <c r="R1113" s="14"/>
    </row>
    <row r="1114" spans="1:18" ht="15" customHeight="1">
      <c r="A1114" s="15" t="s">
        <v>26</v>
      </c>
      <c r="B1114" s="15" t="s">
        <v>348</v>
      </c>
      <c r="C1114" s="16">
        <v>0.99305555555555547</v>
      </c>
      <c r="D1114" s="15" t="s">
        <v>31</v>
      </c>
      <c r="E1114" s="15" t="s">
        <v>92</v>
      </c>
      <c r="F1114" s="15" t="s">
        <v>123</v>
      </c>
      <c r="G1114" s="298"/>
      <c r="H1114" s="10"/>
      <c r="I1114" s="11"/>
      <c r="J1114" s="11"/>
      <c r="K1114" s="11"/>
      <c r="L1114" s="11"/>
      <c r="M1114" s="11"/>
      <c r="N1114" s="11"/>
      <c r="O1114" s="12"/>
      <c r="P1114" s="11"/>
      <c r="Q1114" s="13"/>
      <c r="R1114" s="14"/>
    </row>
    <row r="1115" spans="1:18" ht="15" customHeight="1">
      <c r="A1115" s="15" t="s">
        <v>26</v>
      </c>
      <c r="B1115" s="15" t="s">
        <v>348</v>
      </c>
      <c r="C1115" s="16">
        <v>0.99305555555555547</v>
      </c>
      <c r="D1115" s="15" t="s">
        <v>34</v>
      </c>
      <c r="E1115" s="15" t="s">
        <v>92</v>
      </c>
      <c r="F1115" s="15" t="s">
        <v>118</v>
      </c>
      <c r="G1115" s="298"/>
      <c r="H1115" s="10"/>
      <c r="I1115" s="11"/>
      <c r="J1115" s="11"/>
      <c r="K1115" s="11"/>
      <c r="L1115" s="11"/>
      <c r="M1115" s="11"/>
      <c r="N1115" s="11"/>
      <c r="O1115" s="12"/>
      <c r="P1115" s="11"/>
      <c r="Q1115" s="13"/>
      <c r="R1115" s="14"/>
    </row>
    <row r="1116" spans="1:18" ht="15" customHeight="1">
      <c r="A1116" s="17" t="s">
        <v>26</v>
      </c>
      <c r="B1116" s="17" t="s">
        <v>350</v>
      </c>
      <c r="C1116" s="18">
        <v>0.73611111111111116</v>
      </c>
      <c r="D1116" s="17" t="s">
        <v>28</v>
      </c>
      <c r="E1116" s="17" t="s">
        <v>134</v>
      </c>
      <c r="F1116" s="17" t="s">
        <v>79</v>
      </c>
      <c r="G1116" s="298"/>
      <c r="H1116" s="10"/>
      <c r="I1116" s="11"/>
      <c r="J1116" s="11"/>
      <c r="K1116" s="11"/>
      <c r="L1116" s="11"/>
      <c r="M1116" s="11"/>
      <c r="N1116" s="11"/>
      <c r="O1116" s="12"/>
      <c r="P1116" s="11"/>
      <c r="Q1116" s="13"/>
      <c r="R1116" s="14"/>
    </row>
    <row r="1117" spans="1:18" ht="15" customHeight="1">
      <c r="A1117" s="15" t="s">
        <v>26</v>
      </c>
      <c r="B1117" s="15" t="s">
        <v>350</v>
      </c>
      <c r="C1117" s="16">
        <v>0.73611111111111116</v>
      </c>
      <c r="D1117" s="15" t="s">
        <v>31</v>
      </c>
      <c r="E1117" s="15" t="s">
        <v>135</v>
      </c>
      <c r="F1117" s="15" t="s">
        <v>123</v>
      </c>
      <c r="G1117" s="298"/>
      <c r="H1117" s="10"/>
      <c r="I1117" s="11"/>
      <c r="J1117" s="11"/>
      <c r="K1117" s="11"/>
      <c r="L1117" s="11"/>
      <c r="M1117" s="11"/>
      <c r="N1117" s="11"/>
      <c r="O1117" s="12"/>
      <c r="P1117" s="11"/>
      <c r="Q1117" s="13"/>
      <c r="R1117" s="14"/>
    </row>
    <row r="1118" spans="1:18" ht="15" customHeight="1">
      <c r="A1118" s="15" t="s">
        <v>26</v>
      </c>
      <c r="B1118" s="15" t="s">
        <v>350</v>
      </c>
      <c r="C1118" s="16">
        <v>0.73611111111111116</v>
      </c>
      <c r="D1118" s="15" t="s">
        <v>34</v>
      </c>
      <c r="E1118" s="15" t="s">
        <v>135</v>
      </c>
      <c r="F1118" s="15" t="s">
        <v>118</v>
      </c>
      <c r="G1118" s="298"/>
      <c r="H1118" s="10"/>
      <c r="I1118" s="11"/>
      <c r="J1118" s="11"/>
      <c r="K1118" s="11"/>
      <c r="L1118" s="11"/>
      <c r="M1118" s="11"/>
      <c r="N1118" s="11"/>
      <c r="O1118" s="12"/>
      <c r="P1118" s="11"/>
      <c r="Q1118" s="13"/>
      <c r="R1118" s="14"/>
    </row>
    <row r="1119" spans="1:18" ht="15" customHeight="1">
      <c r="A1119" s="17" t="s">
        <v>26</v>
      </c>
      <c r="B1119" s="17" t="s">
        <v>356</v>
      </c>
      <c r="C1119" s="18">
        <v>0.4861111111111111</v>
      </c>
      <c r="D1119" s="17" t="s">
        <v>28</v>
      </c>
      <c r="E1119" s="17" t="s">
        <v>134</v>
      </c>
      <c r="F1119" s="17" t="s">
        <v>79</v>
      </c>
      <c r="G1119" s="298"/>
      <c r="H1119" s="10"/>
      <c r="I1119" s="11"/>
      <c r="J1119" s="11"/>
      <c r="K1119" s="11"/>
      <c r="L1119" s="11"/>
      <c r="M1119" s="11"/>
      <c r="N1119" s="11"/>
      <c r="O1119" s="12"/>
      <c r="P1119" s="11"/>
      <c r="Q1119" s="13"/>
      <c r="R1119" s="14"/>
    </row>
    <row r="1120" spans="1:18" ht="15" customHeight="1">
      <c r="A1120" s="15" t="s">
        <v>26</v>
      </c>
      <c r="B1120" s="15" t="s">
        <v>356</v>
      </c>
      <c r="C1120" s="16">
        <v>0.4861111111111111</v>
      </c>
      <c r="D1120" s="15" t="s">
        <v>31</v>
      </c>
      <c r="E1120" s="15" t="s">
        <v>135</v>
      </c>
      <c r="F1120" s="15" t="s">
        <v>123</v>
      </c>
      <c r="G1120" s="298"/>
      <c r="H1120" s="10"/>
      <c r="I1120" s="11"/>
      <c r="J1120" s="11"/>
      <c r="K1120" s="11"/>
      <c r="L1120" s="11"/>
      <c r="M1120" s="11"/>
      <c r="N1120" s="11"/>
      <c r="O1120" s="12"/>
      <c r="P1120" s="11"/>
      <c r="Q1120" s="13"/>
      <c r="R1120" s="14"/>
    </row>
    <row r="1121" spans="1:18" ht="15" customHeight="1">
      <c r="A1121" s="15" t="s">
        <v>26</v>
      </c>
      <c r="B1121" s="15" t="s">
        <v>356</v>
      </c>
      <c r="C1121" s="16">
        <v>0.4861111111111111</v>
      </c>
      <c r="D1121" s="15" t="s">
        <v>34</v>
      </c>
      <c r="E1121" s="15" t="s">
        <v>135</v>
      </c>
      <c r="F1121" s="15" t="s">
        <v>118</v>
      </c>
      <c r="G1121" s="298"/>
      <c r="H1121" s="10"/>
      <c r="I1121" s="11"/>
      <c r="J1121" s="11"/>
      <c r="K1121" s="11"/>
      <c r="L1121" s="11"/>
      <c r="M1121" s="11"/>
      <c r="N1121" s="11"/>
      <c r="O1121" s="12"/>
      <c r="P1121" s="11"/>
      <c r="Q1121" s="13"/>
      <c r="R1121" s="14"/>
    </row>
    <row r="1122" spans="1:18" ht="15" customHeight="1">
      <c r="A1122" s="17" t="s">
        <v>26</v>
      </c>
      <c r="B1122" s="17" t="s">
        <v>353</v>
      </c>
      <c r="C1122" s="18">
        <v>0.88888888888888884</v>
      </c>
      <c r="D1122" s="17" t="s">
        <v>28</v>
      </c>
      <c r="E1122" s="17" t="s">
        <v>37</v>
      </c>
      <c r="F1122" s="17" t="s">
        <v>79</v>
      </c>
      <c r="G1122" s="298"/>
      <c r="H1122" s="10"/>
      <c r="I1122" s="11"/>
      <c r="J1122" s="11"/>
      <c r="K1122" s="11"/>
      <c r="L1122" s="11"/>
      <c r="M1122" s="11"/>
      <c r="N1122" s="11"/>
      <c r="O1122" s="12"/>
      <c r="P1122" s="11"/>
      <c r="Q1122" s="13"/>
      <c r="R1122" s="14"/>
    </row>
    <row r="1123" spans="1:18" ht="15" customHeight="1">
      <c r="A1123" s="15" t="s">
        <v>26</v>
      </c>
      <c r="B1123" s="15" t="s">
        <v>353</v>
      </c>
      <c r="C1123" s="16">
        <v>0.88888888888888884</v>
      </c>
      <c r="D1123" s="15" t="s">
        <v>31</v>
      </c>
      <c r="E1123" s="15" t="s">
        <v>32</v>
      </c>
      <c r="F1123" s="15" t="s">
        <v>123</v>
      </c>
      <c r="G1123" s="298"/>
      <c r="H1123" s="10"/>
      <c r="I1123" s="11"/>
      <c r="J1123" s="11"/>
      <c r="K1123" s="11"/>
      <c r="L1123" s="11"/>
      <c r="M1123" s="11"/>
      <c r="N1123" s="11"/>
      <c r="O1123" s="12"/>
      <c r="P1123" s="11"/>
      <c r="Q1123" s="13"/>
      <c r="R1123" s="14"/>
    </row>
    <row r="1124" spans="1:18" ht="15" customHeight="1">
      <c r="A1124" s="15" t="s">
        <v>26</v>
      </c>
      <c r="B1124" s="15" t="s">
        <v>353</v>
      </c>
      <c r="C1124" s="16">
        <v>0.88888888888888884</v>
      </c>
      <c r="D1124" s="15" t="s">
        <v>34</v>
      </c>
      <c r="E1124" s="15" t="s">
        <v>32</v>
      </c>
      <c r="F1124" s="15" t="s">
        <v>118</v>
      </c>
      <c r="G1124" s="298"/>
      <c r="H1124" s="10"/>
      <c r="I1124" s="11"/>
      <c r="J1124" s="11"/>
      <c r="K1124" s="11"/>
      <c r="L1124" s="11"/>
      <c r="M1124" s="11"/>
      <c r="N1124" s="11"/>
      <c r="O1124" s="12"/>
      <c r="P1124" s="11"/>
      <c r="Q1124" s="13"/>
      <c r="R1124" s="14"/>
    </row>
    <row r="1125" spans="1:18" ht="15" customHeight="1">
      <c r="A1125" s="17" t="s">
        <v>26</v>
      </c>
      <c r="B1125" s="17" t="s">
        <v>351</v>
      </c>
      <c r="C1125" s="18">
        <v>0.83680555555555547</v>
      </c>
      <c r="D1125" s="17" t="s">
        <v>28</v>
      </c>
      <c r="E1125" s="17" t="s">
        <v>90</v>
      </c>
      <c r="F1125" s="17" t="s">
        <v>45</v>
      </c>
      <c r="G1125" s="298"/>
      <c r="H1125" s="10"/>
      <c r="I1125" s="11"/>
      <c r="J1125" s="11"/>
      <c r="K1125" s="11"/>
      <c r="L1125" s="11"/>
      <c r="M1125" s="11"/>
      <c r="N1125" s="11"/>
      <c r="O1125" s="12"/>
      <c r="P1125" s="11"/>
      <c r="Q1125" s="13"/>
      <c r="R1125" s="14"/>
    </row>
    <row r="1126" spans="1:18" ht="15" customHeight="1">
      <c r="A1126" s="15" t="s">
        <v>26</v>
      </c>
      <c r="B1126" s="15" t="s">
        <v>351</v>
      </c>
      <c r="C1126" s="16">
        <v>0.83680555555555547</v>
      </c>
      <c r="D1126" s="15" t="s">
        <v>31</v>
      </c>
      <c r="E1126" s="15" t="s">
        <v>82</v>
      </c>
      <c r="F1126" s="15" t="s">
        <v>355</v>
      </c>
      <c r="G1126" s="298"/>
      <c r="H1126" s="10"/>
      <c r="I1126" s="11"/>
      <c r="J1126" s="11"/>
      <c r="K1126" s="11"/>
      <c r="L1126" s="11"/>
      <c r="M1126" s="11"/>
      <c r="N1126" s="11"/>
      <c r="O1126" s="12"/>
      <c r="P1126" s="11"/>
      <c r="Q1126" s="13"/>
      <c r="R1126" s="14"/>
    </row>
    <row r="1127" spans="1:18" ht="15" customHeight="1">
      <c r="A1127" s="15" t="s">
        <v>26</v>
      </c>
      <c r="B1127" s="15" t="s">
        <v>351</v>
      </c>
      <c r="C1127" s="16">
        <v>0.83680555555555547</v>
      </c>
      <c r="D1127" s="15" t="s">
        <v>34</v>
      </c>
      <c r="E1127" s="15" t="s">
        <v>82</v>
      </c>
      <c r="F1127" s="15" t="s">
        <v>358</v>
      </c>
      <c r="G1127" s="298"/>
      <c r="H1127" s="10"/>
      <c r="I1127" s="11"/>
      <c r="J1127" s="11"/>
      <c r="K1127" s="11"/>
      <c r="L1127" s="11"/>
      <c r="M1127" s="11"/>
      <c r="N1127" s="11"/>
      <c r="O1127" s="12"/>
      <c r="P1127" s="11"/>
      <c r="Q1127" s="13"/>
      <c r="R1127" s="14"/>
    </row>
    <row r="1128" spans="1:18" ht="15" customHeight="1">
      <c r="A1128" s="17" t="s">
        <v>26</v>
      </c>
      <c r="B1128" s="17" t="s">
        <v>352</v>
      </c>
      <c r="C1128" s="18">
        <v>0.94444444444444453</v>
      </c>
      <c r="D1128" s="17" t="s">
        <v>28</v>
      </c>
      <c r="E1128" s="17" t="s">
        <v>90</v>
      </c>
      <c r="F1128" s="17" t="s">
        <v>45</v>
      </c>
      <c r="G1128" s="298"/>
      <c r="H1128" s="10"/>
      <c r="I1128" s="11"/>
      <c r="J1128" s="11"/>
      <c r="K1128" s="11"/>
      <c r="L1128" s="11"/>
      <c r="M1128" s="11"/>
      <c r="N1128" s="11"/>
      <c r="O1128" s="12"/>
      <c r="P1128" s="11"/>
      <c r="Q1128" s="13"/>
      <c r="R1128" s="14"/>
    </row>
    <row r="1129" spans="1:18" ht="15" customHeight="1">
      <c r="A1129" s="15" t="s">
        <v>26</v>
      </c>
      <c r="B1129" s="15" t="s">
        <v>352</v>
      </c>
      <c r="C1129" s="16">
        <v>0.94444444444444453</v>
      </c>
      <c r="D1129" s="15" t="s">
        <v>31</v>
      </c>
      <c r="E1129" s="15" t="s">
        <v>82</v>
      </c>
      <c r="F1129" s="15" t="s">
        <v>355</v>
      </c>
      <c r="G1129" s="298"/>
      <c r="H1129" s="10"/>
      <c r="I1129" s="11"/>
      <c r="J1129" s="11"/>
      <c r="K1129" s="11"/>
      <c r="L1129" s="11"/>
      <c r="M1129" s="11"/>
      <c r="N1129" s="11"/>
      <c r="O1129" s="12"/>
      <c r="P1129" s="11"/>
      <c r="Q1129" s="13"/>
      <c r="R1129" s="14"/>
    </row>
    <row r="1130" spans="1:18" ht="15" customHeight="1">
      <c r="A1130" s="15" t="s">
        <v>26</v>
      </c>
      <c r="B1130" s="15" t="s">
        <v>352</v>
      </c>
      <c r="C1130" s="16">
        <v>0.94444444444444453</v>
      </c>
      <c r="D1130" s="15" t="s">
        <v>34</v>
      </c>
      <c r="E1130" s="15" t="s">
        <v>82</v>
      </c>
      <c r="F1130" s="15" t="s">
        <v>358</v>
      </c>
      <c r="G1130" s="298"/>
      <c r="H1130" s="10"/>
      <c r="I1130" s="11"/>
      <c r="J1130" s="11"/>
      <c r="K1130" s="11"/>
      <c r="L1130" s="11"/>
      <c r="M1130" s="11"/>
      <c r="N1130" s="11"/>
      <c r="O1130" s="12"/>
      <c r="P1130" s="11"/>
      <c r="Q1130" s="13"/>
      <c r="R1130" s="14"/>
    </row>
    <row r="1131" spans="1:18" ht="15" customHeight="1">
      <c r="A1131" s="17" t="s">
        <v>26</v>
      </c>
      <c r="B1131" s="17" t="s">
        <v>357</v>
      </c>
      <c r="C1131" s="18">
        <v>0.3923611111111111</v>
      </c>
      <c r="D1131" s="17" t="s">
        <v>28</v>
      </c>
      <c r="E1131" s="17" t="s">
        <v>90</v>
      </c>
      <c r="F1131" s="17" t="s">
        <v>45</v>
      </c>
      <c r="G1131" s="298"/>
      <c r="H1131" s="10"/>
      <c r="I1131" s="11"/>
      <c r="J1131" s="11"/>
      <c r="K1131" s="11"/>
      <c r="L1131" s="11"/>
      <c r="M1131" s="11"/>
      <c r="N1131" s="11"/>
      <c r="O1131" s="12"/>
      <c r="P1131" s="11"/>
      <c r="Q1131" s="13"/>
      <c r="R1131" s="14"/>
    </row>
    <row r="1132" spans="1:18" ht="15" customHeight="1">
      <c r="A1132" s="15" t="s">
        <v>26</v>
      </c>
      <c r="B1132" s="15" t="s">
        <v>357</v>
      </c>
      <c r="C1132" s="16">
        <v>0.3923611111111111</v>
      </c>
      <c r="D1132" s="15" t="s">
        <v>31</v>
      </c>
      <c r="E1132" s="15" t="s">
        <v>82</v>
      </c>
      <c r="F1132" s="15" t="s">
        <v>355</v>
      </c>
      <c r="G1132" s="298"/>
      <c r="H1132" s="10"/>
      <c r="I1132" s="11"/>
      <c r="J1132" s="11"/>
      <c r="K1132" s="11"/>
      <c r="L1132" s="11"/>
      <c r="M1132" s="11"/>
      <c r="N1132" s="11"/>
      <c r="O1132" s="12"/>
      <c r="P1132" s="11"/>
      <c r="Q1132" s="13"/>
      <c r="R1132" s="14"/>
    </row>
    <row r="1133" spans="1:18" ht="15" customHeight="1">
      <c r="A1133" s="15" t="s">
        <v>26</v>
      </c>
      <c r="B1133" s="15" t="s">
        <v>357</v>
      </c>
      <c r="C1133" s="16">
        <v>0.3923611111111111</v>
      </c>
      <c r="D1133" s="15" t="s">
        <v>34</v>
      </c>
      <c r="E1133" s="15" t="s">
        <v>82</v>
      </c>
      <c r="F1133" s="15" t="s">
        <v>358</v>
      </c>
      <c r="G1133" s="298"/>
      <c r="H1133" s="10"/>
      <c r="I1133" s="11"/>
      <c r="J1133" s="11"/>
      <c r="K1133" s="11"/>
      <c r="L1133" s="11"/>
      <c r="M1133" s="11"/>
      <c r="N1133" s="11"/>
      <c r="O1133" s="12"/>
      <c r="P1133" s="11"/>
      <c r="Q1133" s="13"/>
      <c r="R1133" s="14"/>
    </row>
    <row r="1134" spans="1:18" ht="15" customHeight="1">
      <c r="A1134" s="17" t="s">
        <v>26</v>
      </c>
      <c r="B1134" s="17" t="s">
        <v>354</v>
      </c>
      <c r="C1134" s="18">
        <v>0.34722222222222232</v>
      </c>
      <c r="D1134" s="17" t="s">
        <v>34</v>
      </c>
      <c r="E1134" s="17" t="s">
        <v>91</v>
      </c>
      <c r="F1134" s="17" t="s">
        <v>500</v>
      </c>
      <c r="G1134" s="298"/>
      <c r="H1134" s="10"/>
      <c r="I1134" s="11"/>
      <c r="J1134" s="11"/>
      <c r="K1134" s="11"/>
      <c r="L1134" s="11"/>
      <c r="M1134" s="11"/>
      <c r="N1134" s="11"/>
      <c r="O1134" s="12"/>
      <c r="P1134" s="11"/>
      <c r="Q1134" s="13"/>
      <c r="R1134" s="14"/>
    </row>
    <row r="1135" spans="1:18" ht="15" customHeight="1">
      <c r="A1135" s="15" t="s">
        <v>26</v>
      </c>
      <c r="B1135" s="15" t="s">
        <v>354</v>
      </c>
      <c r="C1135" s="16">
        <v>0.34722222222222232</v>
      </c>
      <c r="D1135" s="15" t="s">
        <v>28</v>
      </c>
      <c r="E1135" s="15" t="s">
        <v>92</v>
      </c>
      <c r="F1135" s="15" t="s">
        <v>501</v>
      </c>
      <c r="G1135" s="298"/>
      <c r="H1135" s="10"/>
      <c r="I1135" s="11"/>
      <c r="J1135" s="11"/>
      <c r="K1135" s="11"/>
      <c r="L1135" s="11"/>
      <c r="M1135" s="11"/>
      <c r="N1135" s="11"/>
      <c r="O1135" s="12"/>
      <c r="P1135" s="11"/>
      <c r="Q1135" s="13"/>
      <c r="R1135" s="14"/>
    </row>
    <row r="1136" spans="1:18" ht="15" customHeight="1">
      <c r="A1136" s="15" t="s">
        <v>26</v>
      </c>
      <c r="B1136" s="15" t="s">
        <v>354</v>
      </c>
      <c r="C1136" s="16">
        <v>0.34722222222222232</v>
      </c>
      <c r="D1136" s="15" t="s">
        <v>31</v>
      </c>
      <c r="E1136" s="15" t="s">
        <v>92</v>
      </c>
      <c r="F1136" s="15" t="s">
        <v>502</v>
      </c>
      <c r="G1136" s="298"/>
      <c r="H1136" s="10"/>
      <c r="I1136" s="11"/>
      <c r="J1136" s="11"/>
      <c r="K1136" s="11"/>
      <c r="L1136" s="11"/>
      <c r="M1136" s="11"/>
      <c r="N1136" s="11"/>
      <c r="O1136" s="12"/>
      <c r="P1136" s="11"/>
      <c r="Q1136" s="13"/>
      <c r="R1136" s="14"/>
    </row>
    <row r="1137" spans="1:18" ht="15" customHeight="1">
      <c r="A1137" s="19" t="s">
        <v>68</v>
      </c>
      <c r="B1137" s="19" t="s">
        <v>408</v>
      </c>
      <c r="C1137" s="20">
        <v>0.97222222222222221</v>
      </c>
      <c r="D1137" s="19" t="s">
        <v>70</v>
      </c>
      <c r="E1137" s="19" t="s">
        <v>51</v>
      </c>
      <c r="F1137" s="19" t="s">
        <v>406</v>
      </c>
      <c r="G1137" s="298"/>
      <c r="H1137" s="10"/>
      <c r="I1137" s="11"/>
      <c r="J1137" s="11"/>
      <c r="K1137" s="11"/>
      <c r="L1137" s="11"/>
      <c r="M1137" s="11"/>
      <c r="N1137" s="11"/>
      <c r="O1137" s="12"/>
      <c r="P1137" s="11"/>
      <c r="Q1137" s="13"/>
      <c r="R1137" s="14"/>
    </row>
    <row r="1138" spans="1:18" ht="15" customHeight="1">
      <c r="A1138" s="17" t="s">
        <v>68</v>
      </c>
      <c r="B1138" s="17" t="s">
        <v>413</v>
      </c>
      <c r="C1138" s="18">
        <v>4.8611111111111112E-2</v>
      </c>
      <c r="D1138" s="17" t="s">
        <v>70</v>
      </c>
      <c r="E1138" s="17" t="s">
        <v>57</v>
      </c>
      <c r="F1138" s="17" t="s">
        <v>406</v>
      </c>
      <c r="G1138" s="298"/>
      <c r="H1138" s="10"/>
      <c r="I1138" s="11"/>
      <c r="J1138" s="11"/>
      <c r="K1138" s="11"/>
      <c r="L1138" s="11"/>
      <c r="M1138" s="11"/>
      <c r="N1138" s="11"/>
      <c r="O1138" s="12"/>
      <c r="P1138" s="11"/>
      <c r="Q1138" s="13"/>
      <c r="R1138" s="14"/>
    </row>
    <row r="1139" spans="1:18" ht="15" customHeight="1">
      <c r="A1139" s="17" t="s">
        <v>68</v>
      </c>
      <c r="B1139" s="17" t="s">
        <v>407</v>
      </c>
      <c r="C1139" s="18">
        <v>0.3125</v>
      </c>
      <c r="D1139" s="17" t="s">
        <v>70</v>
      </c>
      <c r="E1139" s="17" t="s">
        <v>57</v>
      </c>
      <c r="F1139" s="17" t="s">
        <v>412</v>
      </c>
      <c r="G1139" s="298"/>
      <c r="H1139" s="10"/>
      <c r="I1139" s="11"/>
      <c r="J1139" s="11"/>
      <c r="K1139" s="11"/>
      <c r="L1139" s="11"/>
      <c r="M1139" s="11"/>
      <c r="N1139" s="11"/>
      <c r="O1139" s="12"/>
      <c r="P1139" s="11"/>
      <c r="Q1139" s="13"/>
      <c r="R1139" s="14"/>
    </row>
    <row r="1140" spans="1:18" ht="15" customHeight="1">
      <c r="A1140" s="17" t="s">
        <v>68</v>
      </c>
      <c r="B1140" s="17" t="s">
        <v>410</v>
      </c>
      <c r="C1140" s="18">
        <v>0.59722222222222221</v>
      </c>
      <c r="D1140" s="17" t="s">
        <v>70</v>
      </c>
      <c r="E1140" s="17" t="s">
        <v>57</v>
      </c>
      <c r="F1140" s="17" t="s">
        <v>412</v>
      </c>
      <c r="G1140" s="298"/>
      <c r="H1140" s="10"/>
      <c r="I1140" s="11"/>
      <c r="J1140" s="11"/>
      <c r="K1140" s="11"/>
      <c r="L1140" s="11"/>
      <c r="M1140" s="11"/>
      <c r="N1140" s="11"/>
      <c r="O1140" s="12"/>
      <c r="P1140" s="11"/>
      <c r="Q1140" s="13"/>
      <c r="R1140" s="14"/>
    </row>
    <row r="1141" spans="1:18" ht="15" customHeight="1">
      <c r="A1141" s="17" t="s">
        <v>68</v>
      </c>
      <c r="B1141" s="17" t="s">
        <v>409</v>
      </c>
      <c r="C1141" s="18">
        <v>0.34027777777777768</v>
      </c>
      <c r="D1141" s="17" t="s">
        <v>70</v>
      </c>
      <c r="E1141" s="17" t="s">
        <v>57</v>
      </c>
      <c r="F1141" s="17" t="s">
        <v>466</v>
      </c>
      <c r="G1141" s="298"/>
      <c r="H1141" s="10"/>
      <c r="I1141" s="11"/>
      <c r="J1141" s="11"/>
      <c r="K1141" s="11"/>
      <c r="L1141" s="11"/>
      <c r="M1141" s="11"/>
      <c r="N1141" s="11"/>
      <c r="O1141" s="12"/>
      <c r="P1141" s="11"/>
      <c r="Q1141" s="13"/>
      <c r="R1141" s="14"/>
    </row>
    <row r="1142" spans="1:18" ht="15" customHeight="1">
      <c r="A1142" s="17" t="s">
        <v>68</v>
      </c>
      <c r="B1142" s="17" t="s">
        <v>411</v>
      </c>
      <c r="C1142" s="18">
        <v>0.78472222222222221</v>
      </c>
      <c r="D1142" s="17" t="s">
        <v>70</v>
      </c>
      <c r="E1142" s="17" t="s">
        <v>57</v>
      </c>
      <c r="F1142" s="17" t="s">
        <v>466</v>
      </c>
      <c r="G1142" s="298"/>
      <c r="H1142" s="10"/>
      <c r="I1142" s="11"/>
      <c r="J1142" s="11"/>
      <c r="K1142" s="11"/>
      <c r="L1142" s="11"/>
      <c r="M1142" s="11"/>
      <c r="N1142" s="11"/>
      <c r="O1142" s="12"/>
      <c r="P1142" s="11"/>
      <c r="Q1142" s="13"/>
      <c r="R1142" s="14"/>
    </row>
    <row r="1143" spans="1:18" ht="15" customHeight="1">
      <c r="A1143" s="17" t="s">
        <v>68</v>
      </c>
      <c r="B1143" s="17" t="s">
        <v>405</v>
      </c>
      <c r="C1143" s="18">
        <v>0.83680555555555547</v>
      </c>
      <c r="D1143" s="17" t="s">
        <v>70</v>
      </c>
      <c r="E1143" s="17" t="s">
        <v>57</v>
      </c>
      <c r="F1143" s="17" t="s">
        <v>474</v>
      </c>
      <c r="G1143" s="298"/>
      <c r="H1143" s="10"/>
      <c r="I1143" s="11"/>
      <c r="J1143" s="11"/>
      <c r="K1143" s="11"/>
      <c r="L1143" s="11"/>
      <c r="M1143" s="11"/>
      <c r="N1143" s="11"/>
      <c r="O1143" s="12"/>
      <c r="P1143" s="11"/>
      <c r="Q1143" s="13"/>
      <c r="R1143" s="14"/>
    </row>
    <row r="1144" spans="1:18" ht="15" customHeight="1">
      <c r="A1144" s="19" t="s">
        <v>415</v>
      </c>
      <c r="B1144" s="19" t="s">
        <v>416</v>
      </c>
      <c r="C1144" s="20">
        <v>0.11805555555555559</v>
      </c>
      <c r="D1144" s="19" t="s">
        <v>63</v>
      </c>
      <c r="E1144" s="19" t="s">
        <v>51</v>
      </c>
      <c r="F1144" s="19" t="s">
        <v>417</v>
      </c>
      <c r="G1144" s="298"/>
      <c r="H1144" s="10"/>
      <c r="I1144" s="11"/>
      <c r="J1144" s="11"/>
      <c r="K1144" s="11"/>
      <c r="L1144" s="11"/>
      <c r="M1144" s="11"/>
      <c r="N1144" s="11"/>
      <c r="O1144" s="12"/>
      <c r="P1144" s="11"/>
      <c r="Q1144" s="13"/>
      <c r="R1144" s="14"/>
    </row>
    <row r="1145" spans="1:18" ht="15" customHeight="1" thickBot="1">
      <c r="A1145" s="30" t="s">
        <v>415</v>
      </c>
      <c r="B1145" s="30" t="s">
        <v>418</v>
      </c>
      <c r="C1145" s="31">
        <v>0.4201388888888889</v>
      </c>
      <c r="D1145" s="30" t="s">
        <v>63</v>
      </c>
      <c r="E1145" s="30" t="s">
        <v>57</v>
      </c>
      <c r="F1145" s="30" t="s">
        <v>417</v>
      </c>
      <c r="G1145" s="299"/>
      <c r="H1145" s="300"/>
      <c r="I1145" s="140"/>
      <c r="J1145" s="140"/>
      <c r="K1145" s="140"/>
      <c r="L1145" s="140"/>
      <c r="M1145" s="140"/>
      <c r="N1145" s="140"/>
      <c r="O1145" s="141"/>
      <c r="P1145" s="140"/>
      <c r="Q1145" s="142"/>
      <c r="R1145" s="301"/>
    </row>
    <row r="1146" spans="1:18" ht="17.45" customHeight="1" thickBot="1">
      <c r="A1146" s="283"/>
      <c r="B1146" s="284"/>
      <c r="C1146" s="284"/>
      <c r="D1146" s="284"/>
      <c r="E1146" s="284"/>
      <c r="F1146" s="284"/>
      <c r="G1146" s="284"/>
      <c r="H1146" s="284"/>
      <c r="I1146" s="284"/>
      <c r="J1146" s="284"/>
      <c r="K1146" s="284"/>
      <c r="L1146" s="284"/>
      <c r="M1146" s="284"/>
      <c r="N1146" s="284"/>
      <c r="O1146" s="284"/>
      <c r="P1146" s="284"/>
      <c r="Q1146" s="284"/>
      <c r="R1146" s="285"/>
    </row>
    <row r="1147" spans="1:18" ht="22.15" customHeight="1" thickTop="1" thickBot="1">
      <c r="A1147" s="279" t="s">
        <v>6</v>
      </c>
      <c r="B1147" s="295"/>
      <c r="C1147" s="295"/>
      <c r="D1147" s="295"/>
      <c r="E1147" s="295"/>
      <c r="F1147" s="296"/>
      <c r="G1147" s="32">
        <v>46038</v>
      </c>
      <c r="H1147" s="278" t="s">
        <v>7</v>
      </c>
      <c r="I1147" s="295"/>
      <c r="J1147" s="295"/>
      <c r="K1147" s="295"/>
      <c r="L1147" s="295"/>
      <c r="M1147" s="295"/>
      <c r="N1147" s="295"/>
      <c r="O1147" s="295"/>
      <c r="P1147" s="295"/>
      <c r="Q1147" s="295"/>
      <c r="R1147" s="296"/>
    </row>
    <row r="1148" spans="1:18" ht="24" customHeight="1">
      <c r="A1148" s="33" t="s">
        <v>8</v>
      </c>
      <c r="B1148" s="33" t="s">
        <v>9</v>
      </c>
      <c r="C1148" s="34" t="s">
        <v>10</v>
      </c>
      <c r="D1148" s="33" t="s">
        <v>11</v>
      </c>
      <c r="E1148" s="33" t="s">
        <v>12</v>
      </c>
      <c r="F1148" s="35" t="s">
        <v>13</v>
      </c>
      <c r="G1148" s="36" t="s">
        <v>14</v>
      </c>
      <c r="H1148" s="33" t="s">
        <v>15</v>
      </c>
      <c r="I1148" s="37" t="s">
        <v>16</v>
      </c>
      <c r="J1148" s="38" t="s">
        <v>17</v>
      </c>
      <c r="K1148" s="39" t="s">
        <v>18</v>
      </c>
      <c r="L1148" s="38" t="s">
        <v>19</v>
      </c>
      <c r="M1148" s="38" t="s">
        <v>20</v>
      </c>
      <c r="N1148" s="38" t="s">
        <v>21</v>
      </c>
      <c r="O1148" s="33" t="s">
        <v>22</v>
      </c>
      <c r="P1148" s="34" t="s">
        <v>23</v>
      </c>
      <c r="Q1148" s="38" t="s">
        <v>24</v>
      </c>
      <c r="R1148" s="33" t="s">
        <v>25</v>
      </c>
    </row>
    <row r="1149" spans="1:18" ht="15" customHeight="1">
      <c r="A1149" s="8" t="s">
        <v>38</v>
      </c>
      <c r="B1149" s="8" t="s">
        <v>346</v>
      </c>
      <c r="C1149" s="9">
        <v>0.39930555555555558</v>
      </c>
      <c r="D1149" s="8" t="s">
        <v>40</v>
      </c>
      <c r="E1149" s="8" t="s">
        <v>168</v>
      </c>
      <c r="F1149" s="8" t="s">
        <v>121</v>
      </c>
      <c r="G1149" s="297"/>
      <c r="H1149" s="10"/>
      <c r="I1149" s="11"/>
      <c r="J1149" s="11"/>
      <c r="K1149" s="11"/>
      <c r="L1149" s="11"/>
      <c r="M1149" s="11"/>
      <c r="N1149" s="11"/>
      <c r="O1149" s="12"/>
      <c r="P1149" s="11"/>
      <c r="Q1149" s="13"/>
      <c r="R1149" s="14"/>
    </row>
    <row r="1150" spans="1:18" ht="15" customHeight="1">
      <c r="A1150" s="15" t="s">
        <v>38</v>
      </c>
      <c r="B1150" s="15" t="s">
        <v>346</v>
      </c>
      <c r="C1150" s="16">
        <v>0.39930555555555558</v>
      </c>
      <c r="D1150" s="15" t="s">
        <v>43</v>
      </c>
      <c r="E1150" s="15" t="s">
        <v>114</v>
      </c>
      <c r="F1150" s="15" t="s">
        <v>123</v>
      </c>
      <c r="G1150" s="298"/>
      <c r="H1150" s="10"/>
      <c r="I1150" s="11"/>
      <c r="J1150" s="11"/>
      <c r="K1150" s="11"/>
      <c r="L1150" s="11"/>
      <c r="M1150" s="11"/>
      <c r="N1150" s="11"/>
      <c r="O1150" s="12"/>
      <c r="P1150" s="11"/>
      <c r="Q1150" s="13"/>
      <c r="R1150" s="14"/>
    </row>
    <row r="1151" spans="1:18" ht="15" customHeight="1">
      <c r="A1151" s="15" t="s">
        <v>38</v>
      </c>
      <c r="B1151" s="15" t="s">
        <v>346</v>
      </c>
      <c r="C1151" s="16">
        <v>0.39930555555555558</v>
      </c>
      <c r="D1151" s="15" t="s">
        <v>46</v>
      </c>
      <c r="E1151" s="15" t="s">
        <v>114</v>
      </c>
      <c r="F1151" s="15" t="s">
        <v>47</v>
      </c>
      <c r="G1151" s="298"/>
      <c r="H1151" s="10"/>
      <c r="I1151" s="11"/>
      <c r="J1151" s="11"/>
      <c r="K1151" s="11"/>
      <c r="L1151" s="11"/>
      <c r="M1151" s="11"/>
      <c r="N1151" s="11"/>
      <c r="O1151" s="12"/>
      <c r="P1151" s="11"/>
      <c r="Q1151" s="13"/>
      <c r="R1151" s="14"/>
    </row>
    <row r="1152" spans="1:18" ht="15" customHeight="1">
      <c r="A1152" s="17" t="s">
        <v>38</v>
      </c>
      <c r="B1152" s="17" t="s">
        <v>342</v>
      </c>
      <c r="C1152" s="18">
        <v>0.48958333333333331</v>
      </c>
      <c r="D1152" s="17" t="s">
        <v>40</v>
      </c>
      <c r="E1152" s="17" t="s">
        <v>125</v>
      </c>
      <c r="F1152" s="17" t="s">
        <v>349</v>
      </c>
      <c r="G1152" s="298"/>
      <c r="H1152" s="10"/>
      <c r="I1152" s="11"/>
      <c r="J1152" s="11"/>
      <c r="K1152" s="11"/>
      <c r="L1152" s="11"/>
      <c r="M1152" s="11"/>
      <c r="N1152" s="11"/>
      <c r="O1152" s="12"/>
      <c r="P1152" s="11"/>
      <c r="Q1152" s="13"/>
      <c r="R1152" s="14"/>
    </row>
    <row r="1153" spans="1:18" ht="15" customHeight="1">
      <c r="A1153" s="15" t="s">
        <v>38</v>
      </c>
      <c r="B1153" s="15" t="s">
        <v>342</v>
      </c>
      <c r="C1153" s="16">
        <v>0.48958333333333331</v>
      </c>
      <c r="D1153" s="15" t="s">
        <v>43</v>
      </c>
      <c r="E1153" s="15" t="s">
        <v>44</v>
      </c>
      <c r="F1153" s="15" t="s">
        <v>443</v>
      </c>
      <c r="G1153" s="298"/>
      <c r="H1153" s="10"/>
      <c r="I1153" s="11"/>
      <c r="J1153" s="11"/>
      <c r="K1153" s="11"/>
      <c r="L1153" s="11"/>
      <c r="M1153" s="11"/>
      <c r="N1153" s="11"/>
      <c r="O1153" s="12"/>
      <c r="P1153" s="11"/>
      <c r="Q1153" s="13"/>
      <c r="R1153" s="14"/>
    </row>
    <row r="1154" spans="1:18" ht="15" customHeight="1">
      <c r="A1154" s="15" t="s">
        <v>38</v>
      </c>
      <c r="B1154" s="15" t="s">
        <v>342</v>
      </c>
      <c r="C1154" s="16">
        <v>0.48958333333333331</v>
      </c>
      <c r="D1154" s="15" t="s">
        <v>46</v>
      </c>
      <c r="E1154" s="15" t="s">
        <v>44</v>
      </c>
      <c r="F1154" s="15" t="s">
        <v>47</v>
      </c>
      <c r="G1154" s="298"/>
      <c r="H1154" s="10"/>
      <c r="I1154" s="11"/>
      <c r="J1154" s="11"/>
      <c r="K1154" s="11"/>
      <c r="L1154" s="11"/>
      <c r="M1154" s="11"/>
      <c r="N1154" s="11"/>
      <c r="O1154" s="12"/>
      <c r="P1154" s="11"/>
      <c r="Q1154" s="13"/>
      <c r="R1154" s="14"/>
    </row>
    <row r="1155" spans="1:18" ht="15" customHeight="1">
      <c r="A1155" s="17" t="s">
        <v>38</v>
      </c>
      <c r="B1155" s="17" t="s">
        <v>344</v>
      </c>
      <c r="C1155" s="18">
        <v>0.88888888888888884</v>
      </c>
      <c r="D1155" s="17" t="s">
        <v>40</v>
      </c>
      <c r="E1155" s="17" t="s">
        <v>194</v>
      </c>
      <c r="F1155" s="17" t="s">
        <v>426</v>
      </c>
      <c r="G1155" s="298"/>
      <c r="H1155" s="10"/>
      <c r="I1155" s="11"/>
      <c r="J1155" s="11"/>
      <c r="K1155" s="11"/>
      <c r="L1155" s="11"/>
      <c r="M1155" s="11"/>
      <c r="N1155" s="11"/>
      <c r="O1155" s="12"/>
      <c r="P1155" s="11"/>
      <c r="Q1155" s="13"/>
      <c r="R1155" s="14"/>
    </row>
    <row r="1156" spans="1:18" ht="15" customHeight="1">
      <c r="A1156" s="15" t="s">
        <v>38</v>
      </c>
      <c r="B1156" s="15" t="s">
        <v>344</v>
      </c>
      <c r="C1156" s="16">
        <v>0.88888888888888884</v>
      </c>
      <c r="D1156" s="15" t="s">
        <v>43</v>
      </c>
      <c r="E1156" s="15" t="s">
        <v>195</v>
      </c>
      <c r="F1156" s="15" t="s">
        <v>503</v>
      </c>
      <c r="G1156" s="298"/>
      <c r="H1156" s="10"/>
      <c r="I1156" s="11"/>
      <c r="J1156" s="11"/>
      <c r="K1156" s="11"/>
      <c r="L1156" s="11"/>
      <c r="M1156" s="11"/>
      <c r="N1156" s="11"/>
      <c r="O1156" s="12"/>
      <c r="P1156" s="11"/>
      <c r="Q1156" s="13"/>
      <c r="R1156" s="14"/>
    </row>
    <row r="1157" spans="1:18" ht="15" customHeight="1">
      <c r="A1157" s="15" t="s">
        <v>38</v>
      </c>
      <c r="B1157" s="15" t="s">
        <v>344</v>
      </c>
      <c r="C1157" s="16">
        <v>0.88888888888888884</v>
      </c>
      <c r="D1157" s="15" t="s">
        <v>46</v>
      </c>
      <c r="E1157" s="15" t="s">
        <v>195</v>
      </c>
      <c r="F1157" s="15" t="s">
        <v>47</v>
      </c>
      <c r="G1157" s="298"/>
      <c r="H1157" s="10"/>
      <c r="I1157" s="11"/>
      <c r="J1157" s="11"/>
      <c r="K1157" s="11"/>
      <c r="L1157" s="11"/>
      <c r="M1157" s="11"/>
      <c r="N1157" s="11"/>
      <c r="O1157" s="12"/>
      <c r="P1157" s="11"/>
      <c r="Q1157" s="13"/>
      <c r="R1157" s="14"/>
    </row>
    <row r="1158" spans="1:18" ht="15" customHeight="1">
      <c r="A1158" s="17" t="s">
        <v>38</v>
      </c>
      <c r="B1158" s="17" t="s">
        <v>345</v>
      </c>
      <c r="C1158" s="18">
        <v>0.98958333333333337</v>
      </c>
      <c r="D1158" s="17" t="s">
        <v>40</v>
      </c>
      <c r="E1158" s="17" t="s">
        <v>442</v>
      </c>
      <c r="F1158" s="17" t="s">
        <v>426</v>
      </c>
      <c r="G1158" s="298"/>
      <c r="H1158" s="10"/>
      <c r="I1158" s="11"/>
      <c r="J1158" s="11"/>
      <c r="K1158" s="11"/>
      <c r="L1158" s="11"/>
      <c r="M1158" s="11"/>
      <c r="N1158" s="11"/>
      <c r="O1158" s="12"/>
      <c r="P1158" s="11"/>
      <c r="Q1158" s="13"/>
      <c r="R1158" s="14"/>
    </row>
    <row r="1159" spans="1:18" ht="15" customHeight="1">
      <c r="A1159" s="15" t="s">
        <v>38</v>
      </c>
      <c r="B1159" s="15" t="s">
        <v>345</v>
      </c>
      <c r="C1159" s="16">
        <v>0.98958333333333337</v>
      </c>
      <c r="D1159" s="15" t="s">
        <v>43</v>
      </c>
      <c r="E1159" s="15" t="s">
        <v>122</v>
      </c>
      <c r="F1159" s="15" t="s">
        <v>503</v>
      </c>
      <c r="G1159" s="298"/>
      <c r="H1159" s="10"/>
      <c r="I1159" s="11"/>
      <c r="J1159" s="11"/>
      <c r="K1159" s="11"/>
      <c r="L1159" s="11"/>
      <c r="M1159" s="11"/>
      <c r="N1159" s="11"/>
      <c r="O1159" s="12"/>
      <c r="P1159" s="11"/>
      <c r="Q1159" s="13"/>
      <c r="R1159" s="14"/>
    </row>
    <row r="1160" spans="1:18" ht="15" customHeight="1">
      <c r="A1160" s="15" t="s">
        <v>38</v>
      </c>
      <c r="B1160" s="15" t="s">
        <v>345</v>
      </c>
      <c r="C1160" s="16">
        <v>0.98958333333333337</v>
      </c>
      <c r="D1160" s="15" t="s">
        <v>46</v>
      </c>
      <c r="E1160" s="15" t="s">
        <v>122</v>
      </c>
      <c r="F1160" s="15" t="s">
        <v>47</v>
      </c>
      <c r="G1160" s="298"/>
      <c r="H1160" s="10"/>
      <c r="I1160" s="11"/>
      <c r="J1160" s="11"/>
      <c r="K1160" s="11"/>
      <c r="L1160" s="11"/>
      <c r="M1160" s="11"/>
      <c r="N1160" s="11"/>
      <c r="O1160" s="12"/>
      <c r="P1160" s="11"/>
      <c r="Q1160" s="13"/>
      <c r="R1160" s="14"/>
    </row>
    <row r="1161" spans="1:18" ht="15" customHeight="1">
      <c r="A1161" s="19" t="s">
        <v>359</v>
      </c>
      <c r="B1161" s="19" t="s">
        <v>422</v>
      </c>
      <c r="C1161" s="20">
        <v>0.80902777777777779</v>
      </c>
      <c r="D1161" s="19" t="s">
        <v>361</v>
      </c>
      <c r="E1161" s="19" t="s">
        <v>80</v>
      </c>
      <c r="F1161" s="19" t="s">
        <v>504</v>
      </c>
      <c r="G1161" s="298"/>
      <c r="H1161" s="10"/>
      <c r="I1161" s="11"/>
      <c r="J1161" s="11"/>
      <c r="K1161" s="11"/>
      <c r="L1161" s="11"/>
      <c r="M1161" s="11"/>
      <c r="N1161" s="11"/>
      <c r="O1161" s="12"/>
      <c r="P1161" s="11"/>
      <c r="Q1161" s="13"/>
      <c r="R1161" s="14"/>
    </row>
    <row r="1162" spans="1:18" ht="15" customHeight="1">
      <c r="A1162" s="15" t="s">
        <v>359</v>
      </c>
      <c r="B1162" s="15" t="s">
        <v>422</v>
      </c>
      <c r="C1162" s="16">
        <v>0.80902777777777779</v>
      </c>
      <c r="D1162" s="15" t="s">
        <v>46</v>
      </c>
      <c r="E1162" s="15" t="s">
        <v>82</v>
      </c>
      <c r="F1162" s="15" t="s">
        <v>505</v>
      </c>
      <c r="G1162" s="298"/>
      <c r="H1162" s="10"/>
      <c r="I1162" s="11"/>
      <c r="J1162" s="11"/>
      <c r="K1162" s="11"/>
      <c r="L1162" s="11"/>
      <c r="M1162" s="11"/>
      <c r="N1162" s="11"/>
      <c r="O1162" s="12"/>
      <c r="P1162" s="11"/>
      <c r="Q1162" s="13"/>
      <c r="R1162" s="14"/>
    </row>
    <row r="1163" spans="1:18" ht="15" customHeight="1">
      <c r="A1163" s="17" t="s">
        <v>359</v>
      </c>
      <c r="B1163" s="17" t="s">
        <v>360</v>
      </c>
      <c r="C1163" s="18">
        <v>0.22569444444444439</v>
      </c>
      <c r="D1163" s="17" t="s">
        <v>361</v>
      </c>
      <c r="E1163" s="17" t="s">
        <v>90</v>
      </c>
      <c r="F1163" s="17" t="s">
        <v>504</v>
      </c>
      <c r="G1163" s="298"/>
      <c r="H1163" s="10"/>
      <c r="I1163" s="11"/>
      <c r="J1163" s="11"/>
      <c r="K1163" s="11"/>
      <c r="L1163" s="11"/>
      <c r="M1163" s="11"/>
      <c r="N1163" s="11"/>
      <c r="O1163" s="12"/>
      <c r="P1163" s="11"/>
      <c r="Q1163" s="13"/>
      <c r="R1163" s="14"/>
    </row>
    <row r="1164" spans="1:18" ht="15" customHeight="1">
      <c r="A1164" s="15" t="s">
        <v>359</v>
      </c>
      <c r="B1164" s="15" t="s">
        <v>360</v>
      </c>
      <c r="C1164" s="16">
        <v>0.22569444444444439</v>
      </c>
      <c r="D1164" s="15" t="s">
        <v>46</v>
      </c>
      <c r="E1164" s="15" t="s">
        <v>82</v>
      </c>
      <c r="F1164" s="15" t="s">
        <v>505</v>
      </c>
      <c r="G1164" s="298"/>
      <c r="H1164" s="10"/>
      <c r="I1164" s="11"/>
      <c r="J1164" s="11"/>
      <c r="K1164" s="11"/>
      <c r="L1164" s="11"/>
      <c r="M1164" s="11"/>
      <c r="N1164" s="11"/>
      <c r="O1164" s="12"/>
      <c r="P1164" s="11"/>
      <c r="Q1164" s="13"/>
      <c r="R1164" s="14"/>
    </row>
    <row r="1165" spans="1:18" ht="15" customHeight="1">
      <c r="A1165" s="17" t="s">
        <v>359</v>
      </c>
      <c r="B1165" s="17" t="s">
        <v>425</v>
      </c>
      <c r="C1165" s="18">
        <v>0.51041666666666663</v>
      </c>
      <c r="D1165" s="17" t="s">
        <v>361</v>
      </c>
      <c r="E1165" s="17" t="s">
        <v>90</v>
      </c>
      <c r="F1165" s="17" t="s">
        <v>504</v>
      </c>
      <c r="G1165" s="298"/>
      <c r="H1165" s="10"/>
      <c r="I1165" s="11"/>
      <c r="J1165" s="11"/>
      <c r="K1165" s="11"/>
      <c r="L1165" s="11"/>
      <c r="M1165" s="11"/>
      <c r="N1165" s="11"/>
      <c r="O1165" s="12"/>
      <c r="P1165" s="11"/>
      <c r="Q1165" s="13"/>
      <c r="R1165" s="14"/>
    </row>
    <row r="1166" spans="1:18" ht="15" customHeight="1">
      <c r="A1166" s="15" t="s">
        <v>359</v>
      </c>
      <c r="B1166" s="15" t="s">
        <v>425</v>
      </c>
      <c r="C1166" s="16">
        <v>0.51041666666666663</v>
      </c>
      <c r="D1166" s="15" t="s">
        <v>46</v>
      </c>
      <c r="E1166" s="15" t="s">
        <v>82</v>
      </c>
      <c r="F1166" s="15" t="s">
        <v>505</v>
      </c>
      <c r="G1166" s="298"/>
      <c r="H1166" s="10"/>
      <c r="I1166" s="11"/>
      <c r="J1166" s="11"/>
      <c r="K1166" s="11"/>
      <c r="L1166" s="11"/>
      <c r="M1166" s="11"/>
      <c r="N1166" s="11"/>
      <c r="O1166" s="12"/>
      <c r="P1166" s="11"/>
      <c r="Q1166" s="13"/>
      <c r="R1166" s="14"/>
    </row>
    <row r="1167" spans="1:18" ht="15" customHeight="1">
      <c r="A1167" s="19" t="s">
        <v>402</v>
      </c>
      <c r="B1167" s="19" t="s">
        <v>403</v>
      </c>
      <c r="C1167" s="20">
        <v>0.49305555555555558</v>
      </c>
      <c r="D1167" s="19" t="s">
        <v>63</v>
      </c>
      <c r="E1167" s="19" t="s">
        <v>103</v>
      </c>
      <c r="F1167" s="19" t="s">
        <v>404</v>
      </c>
      <c r="G1167" s="298"/>
      <c r="H1167" s="10"/>
      <c r="I1167" s="11"/>
      <c r="J1167" s="11"/>
      <c r="K1167" s="11"/>
      <c r="L1167" s="11"/>
      <c r="M1167" s="11"/>
      <c r="N1167" s="11"/>
      <c r="O1167" s="12"/>
      <c r="P1167" s="11"/>
      <c r="Q1167" s="13"/>
      <c r="R1167" s="14"/>
    </row>
    <row r="1168" spans="1:18" ht="15" customHeight="1">
      <c r="A1168" s="58" t="s">
        <v>61</v>
      </c>
      <c r="B1168" s="58" t="s">
        <v>428</v>
      </c>
      <c r="C1168" s="59">
        <v>0.55902777777777779</v>
      </c>
      <c r="D1168" s="58" t="s">
        <v>63</v>
      </c>
      <c r="E1168" s="58" t="s">
        <v>143</v>
      </c>
      <c r="F1168" s="58" t="s">
        <v>79</v>
      </c>
      <c r="G1168" s="298"/>
      <c r="H1168" s="60" t="s">
        <v>429</v>
      </c>
      <c r="I1168" s="61">
        <v>7.7799999999999994E-2</v>
      </c>
      <c r="J1168" s="62">
        <v>14</v>
      </c>
      <c r="K1168" s="63">
        <v>46344</v>
      </c>
      <c r="L1168" s="62">
        <v>14</v>
      </c>
      <c r="M1168" s="62">
        <v>0</v>
      </c>
      <c r="N1168" s="62">
        <v>0</v>
      </c>
      <c r="O1168" s="64" t="s">
        <v>298</v>
      </c>
      <c r="P1168" s="65">
        <v>0.55902777777777779</v>
      </c>
      <c r="Q1168" s="62">
        <v>180</v>
      </c>
      <c r="R1168" s="66" t="s">
        <v>506</v>
      </c>
    </row>
    <row r="1169" spans="1:18" ht="15" customHeight="1">
      <c r="A1169" s="150" t="s">
        <v>61</v>
      </c>
      <c r="B1169" s="150" t="s">
        <v>375</v>
      </c>
      <c r="C1169" s="151">
        <v>0.1423611111111111</v>
      </c>
      <c r="D1169" s="150" t="s">
        <v>63</v>
      </c>
      <c r="E1169" s="150" t="s">
        <v>134</v>
      </c>
      <c r="F1169" s="150" t="s">
        <v>79</v>
      </c>
      <c r="G1169" s="298"/>
      <c r="H1169" s="80" t="s">
        <v>376</v>
      </c>
      <c r="I1169" s="81">
        <v>6.6699999999999995E-2</v>
      </c>
      <c r="J1169" s="82">
        <v>12</v>
      </c>
      <c r="K1169" s="83">
        <v>46330</v>
      </c>
      <c r="L1169" s="82">
        <v>12</v>
      </c>
      <c r="M1169" s="82">
        <v>0</v>
      </c>
      <c r="N1169" s="82">
        <v>0</v>
      </c>
      <c r="O1169" s="84" t="s">
        <v>302</v>
      </c>
      <c r="P1169" s="85">
        <v>0.1423611111111111</v>
      </c>
      <c r="Q1169" s="82">
        <v>180</v>
      </c>
      <c r="R1169" s="86" t="s">
        <v>507</v>
      </c>
    </row>
    <row r="1170" spans="1:18" ht="15" customHeight="1">
      <c r="A1170" s="160" t="s">
        <v>61</v>
      </c>
      <c r="B1170" s="160" t="s">
        <v>377</v>
      </c>
      <c r="C1170" s="161">
        <v>0.28125</v>
      </c>
      <c r="D1170" s="160" t="s">
        <v>63</v>
      </c>
      <c r="E1170" s="160" t="s">
        <v>98</v>
      </c>
      <c r="F1170" s="160" t="s">
        <v>79</v>
      </c>
      <c r="G1170" s="298"/>
      <c r="H1170" s="23" t="s">
        <v>378</v>
      </c>
      <c r="I1170" s="24">
        <v>4.4400000000000002E-2</v>
      </c>
      <c r="J1170" s="25">
        <v>8</v>
      </c>
      <c r="K1170" s="26">
        <v>46321</v>
      </c>
      <c r="L1170" s="25">
        <v>8</v>
      </c>
      <c r="M1170" s="25">
        <v>0</v>
      </c>
      <c r="N1170" s="25">
        <v>0</v>
      </c>
      <c r="O1170" s="27" t="s">
        <v>306</v>
      </c>
      <c r="P1170" s="28">
        <v>0.28125</v>
      </c>
      <c r="Q1170" s="25">
        <v>180</v>
      </c>
      <c r="R1170" s="29" t="s">
        <v>508</v>
      </c>
    </row>
    <row r="1171" spans="1:18" ht="15" customHeight="1">
      <c r="A1171" s="152" t="s">
        <v>61</v>
      </c>
      <c r="B1171" s="152" t="s">
        <v>379</v>
      </c>
      <c r="C1171" s="153">
        <v>0.4375</v>
      </c>
      <c r="D1171" s="152" t="s">
        <v>63</v>
      </c>
      <c r="E1171" s="152" t="s">
        <v>91</v>
      </c>
      <c r="F1171" s="152" t="s">
        <v>79</v>
      </c>
      <c r="G1171" s="298"/>
      <c r="H1171" s="100" t="s">
        <v>380</v>
      </c>
      <c r="I1171" s="101">
        <v>6.1100000000000002E-2</v>
      </c>
      <c r="J1171" s="102">
        <v>11</v>
      </c>
      <c r="K1171" s="103">
        <v>46330</v>
      </c>
      <c r="L1171" s="102">
        <v>11</v>
      </c>
      <c r="M1171" s="102">
        <v>0</v>
      </c>
      <c r="N1171" s="102">
        <v>0</v>
      </c>
      <c r="O1171" s="104" t="s">
        <v>298</v>
      </c>
      <c r="P1171" s="105">
        <v>0.4375</v>
      </c>
      <c r="Q1171" s="102">
        <v>180</v>
      </c>
      <c r="R1171" s="106" t="s">
        <v>509</v>
      </c>
    </row>
    <row r="1172" spans="1:18" ht="15" customHeight="1">
      <c r="A1172" s="148" t="s">
        <v>61</v>
      </c>
      <c r="B1172" s="148" t="s">
        <v>432</v>
      </c>
      <c r="C1172" s="149">
        <v>0.76041666666666663</v>
      </c>
      <c r="D1172" s="148" t="s">
        <v>63</v>
      </c>
      <c r="E1172" s="148" t="s">
        <v>57</v>
      </c>
      <c r="F1172" s="148" t="s">
        <v>449</v>
      </c>
      <c r="G1172" s="298"/>
      <c r="H1172" s="51" t="s">
        <v>433</v>
      </c>
      <c r="I1172" s="52">
        <v>0.1</v>
      </c>
      <c r="J1172" s="53">
        <v>18</v>
      </c>
      <c r="K1172" s="54">
        <v>46344</v>
      </c>
      <c r="L1172" s="53">
        <v>18</v>
      </c>
      <c r="M1172" s="53">
        <v>0</v>
      </c>
      <c r="N1172" s="53">
        <v>0</v>
      </c>
      <c r="O1172" s="55" t="s">
        <v>67</v>
      </c>
      <c r="P1172" s="56">
        <v>0.76041666666666663</v>
      </c>
      <c r="Q1172" s="53">
        <v>180</v>
      </c>
      <c r="R1172" s="57" t="s">
        <v>510</v>
      </c>
    </row>
    <row r="1173" spans="1:18" ht="15" customHeight="1">
      <c r="A1173" s="19" t="s">
        <v>26</v>
      </c>
      <c r="B1173" s="19" t="s">
        <v>354</v>
      </c>
      <c r="C1173" s="20">
        <v>0.34722222222222232</v>
      </c>
      <c r="D1173" s="19" t="s">
        <v>28</v>
      </c>
      <c r="E1173" s="19" t="s">
        <v>29</v>
      </c>
      <c r="F1173" s="19" t="s">
        <v>79</v>
      </c>
      <c r="G1173" s="298"/>
      <c r="H1173" s="10"/>
      <c r="I1173" s="11"/>
      <c r="J1173" s="11"/>
      <c r="K1173" s="11"/>
      <c r="L1173" s="11"/>
      <c r="M1173" s="11"/>
      <c r="N1173" s="11"/>
      <c r="O1173" s="12"/>
      <c r="P1173" s="11"/>
      <c r="Q1173" s="13"/>
      <c r="R1173" s="14"/>
    </row>
    <row r="1174" spans="1:18" ht="15" customHeight="1">
      <c r="A1174" s="15" t="s">
        <v>26</v>
      </c>
      <c r="B1174" s="15" t="s">
        <v>354</v>
      </c>
      <c r="C1174" s="16">
        <v>0.34722222222222232</v>
      </c>
      <c r="D1174" s="15" t="s">
        <v>31</v>
      </c>
      <c r="E1174" s="15" t="s">
        <v>32</v>
      </c>
      <c r="F1174" s="15" t="s">
        <v>123</v>
      </c>
      <c r="G1174" s="298"/>
      <c r="H1174" s="10"/>
      <c r="I1174" s="11"/>
      <c r="J1174" s="11"/>
      <c r="K1174" s="11"/>
      <c r="L1174" s="11"/>
      <c r="M1174" s="11"/>
      <c r="N1174" s="11"/>
      <c r="O1174" s="12"/>
      <c r="P1174" s="11"/>
      <c r="Q1174" s="13"/>
      <c r="R1174" s="14"/>
    </row>
    <row r="1175" spans="1:18" ht="15" customHeight="1">
      <c r="A1175" s="15" t="s">
        <v>26</v>
      </c>
      <c r="B1175" s="15" t="s">
        <v>354</v>
      </c>
      <c r="C1175" s="16">
        <v>0.34722222222222232</v>
      </c>
      <c r="D1175" s="15" t="s">
        <v>34</v>
      </c>
      <c r="E1175" s="15" t="s">
        <v>32</v>
      </c>
      <c r="F1175" s="15" t="s">
        <v>118</v>
      </c>
      <c r="G1175" s="298"/>
      <c r="H1175" s="10"/>
      <c r="I1175" s="11"/>
      <c r="J1175" s="11"/>
      <c r="K1175" s="11"/>
      <c r="L1175" s="11"/>
      <c r="M1175" s="11"/>
      <c r="N1175" s="11"/>
      <c r="O1175" s="12"/>
      <c r="P1175" s="11"/>
      <c r="Q1175" s="13"/>
      <c r="R1175" s="14"/>
    </row>
    <row r="1176" spans="1:18" ht="15" customHeight="1">
      <c r="A1176" s="17" t="s">
        <v>26</v>
      </c>
      <c r="B1176" s="17" t="s">
        <v>356</v>
      </c>
      <c r="C1176" s="18">
        <v>0.4861111111111111</v>
      </c>
      <c r="D1176" s="17" t="s">
        <v>28</v>
      </c>
      <c r="E1176" s="17" t="s">
        <v>37</v>
      </c>
      <c r="F1176" s="17" t="s">
        <v>45</v>
      </c>
      <c r="G1176" s="298"/>
      <c r="H1176" s="10"/>
      <c r="I1176" s="11"/>
      <c r="J1176" s="11"/>
      <c r="K1176" s="11"/>
      <c r="L1176" s="11"/>
      <c r="M1176" s="11"/>
      <c r="N1176" s="11"/>
      <c r="O1176" s="12"/>
      <c r="P1176" s="11"/>
      <c r="Q1176" s="13"/>
      <c r="R1176" s="14"/>
    </row>
    <row r="1177" spans="1:18" ht="15" customHeight="1">
      <c r="A1177" s="15" t="s">
        <v>26</v>
      </c>
      <c r="B1177" s="15" t="s">
        <v>356</v>
      </c>
      <c r="C1177" s="16">
        <v>0.4861111111111111</v>
      </c>
      <c r="D1177" s="15" t="s">
        <v>31</v>
      </c>
      <c r="E1177" s="15" t="s">
        <v>32</v>
      </c>
      <c r="F1177" s="15" t="s">
        <v>355</v>
      </c>
      <c r="G1177" s="298"/>
      <c r="H1177" s="10"/>
      <c r="I1177" s="11"/>
      <c r="J1177" s="11"/>
      <c r="K1177" s="11"/>
      <c r="L1177" s="11"/>
      <c r="M1177" s="11"/>
      <c r="N1177" s="11"/>
      <c r="O1177" s="12"/>
      <c r="P1177" s="11"/>
      <c r="Q1177" s="13"/>
      <c r="R1177" s="14"/>
    </row>
    <row r="1178" spans="1:18" ht="15" customHeight="1">
      <c r="A1178" s="15" t="s">
        <v>26</v>
      </c>
      <c r="B1178" s="15" t="s">
        <v>356</v>
      </c>
      <c r="C1178" s="16">
        <v>0.4861111111111111</v>
      </c>
      <c r="D1178" s="15" t="s">
        <v>34</v>
      </c>
      <c r="E1178" s="15" t="s">
        <v>32</v>
      </c>
      <c r="F1178" s="15" t="s">
        <v>358</v>
      </c>
      <c r="G1178" s="298"/>
      <c r="H1178" s="10"/>
      <c r="I1178" s="11"/>
      <c r="J1178" s="11"/>
      <c r="K1178" s="11"/>
      <c r="L1178" s="11"/>
      <c r="M1178" s="11"/>
      <c r="N1178" s="11"/>
      <c r="O1178" s="12"/>
      <c r="P1178" s="11"/>
      <c r="Q1178" s="13"/>
      <c r="R1178" s="14"/>
    </row>
    <row r="1179" spans="1:18" ht="15" customHeight="1">
      <c r="A1179" s="17" t="s">
        <v>26</v>
      </c>
      <c r="B1179" s="17" t="s">
        <v>348</v>
      </c>
      <c r="C1179" s="18">
        <v>0.99305555555555547</v>
      </c>
      <c r="D1179" s="17" t="s">
        <v>28</v>
      </c>
      <c r="E1179" s="17" t="s">
        <v>91</v>
      </c>
      <c r="F1179" s="17" t="s">
        <v>123</v>
      </c>
      <c r="G1179" s="298"/>
      <c r="H1179" s="10"/>
      <c r="I1179" s="11"/>
      <c r="J1179" s="11"/>
      <c r="K1179" s="11"/>
      <c r="L1179" s="11"/>
      <c r="M1179" s="11"/>
      <c r="N1179" s="11"/>
      <c r="O1179" s="12"/>
      <c r="P1179" s="11"/>
      <c r="Q1179" s="13"/>
      <c r="R1179" s="14"/>
    </row>
    <row r="1180" spans="1:18" ht="15" customHeight="1">
      <c r="A1180" s="15" t="s">
        <v>26</v>
      </c>
      <c r="B1180" s="15" t="s">
        <v>348</v>
      </c>
      <c r="C1180" s="16">
        <v>0.99305555555555547</v>
      </c>
      <c r="D1180" s="15" t="s">
        <v>31</v>
      </c>
      <c r="E1180" s="15" t="s">
        <v>92</v>
      </c>
      <c r="F1180" s="15" t="s">
        <v>163</v>
      </c>
      <c r="G1180" s="298"/>
      <c r="H1180" s="10"/>
      <c r="I1180" s="11"/>
      <c r="J1180" s="11"/>
      <c r="K1180" s="11"/>
      <c r="L1180" s="11"/>
      <c r="M1180" s="11"/>
      <c r="N1180" s="11"/>
      <c r="O1180" s="12"/>
      <c r="P1180" s="11"/>
      <c r="Q1180" s="13"/>
      <c r="R1180" s="14"/>
    </row>
    <row r="1181" spans="1:18" ht="15" customHeight="1">
      <c r="A1181" s="15" t="s">
        <v>26</v>
      </c>
      <c r="B1181" s="15" t="s">
        <v>348</v>
      </c>
      <c r="C1181" s="16">
        <v>0.99305555555555547</v>
      </c>
      <c r="D1181" s="15" t="s">
        <v>34</v>
      </c>
      <c r="E1181" s="15" t="s">
        <v>92</v>
      </c>
      <c r="F1181" s="15" t="s">
        <v>119</v>
      </c>
      <c r="G1181" s="298"/>
      <c r="H1181" s="10"/>
      <c r="I1181" s="11"/>
      <c r="J1181" s="11"/>
      <c r="K1181" s="11"/>
      <c r="L1181" s="11"/>
      <c r="M1181" s="11"/>
      <c r="N1181" s="11"/>
      <c r="O1181" s="12"/>
      <c r="P1181" s="11"/>
      <c r="Q1181" s="13"/>
      <c r="R1181" s="14"/>
    </row>
    <row r="1182" spans="1:18" ht="15" customHeight="1">
      <c r="A1182" s="17" t="s">
        <v>26</v>
      </c>
      <c r="B1182" s="17" t="s">
        <v>350</v>
      </c>
      <c r="C1182" s="18">
        <v>0.73611111111111116</v>
      </c>
      <c r="D1182" s="17" t="s">
        <v>28</v>
      </c>
      <c r="E1182" s="17" t="s">
        <v>98</v>
      </c>
      <c r="F1182" s="17" t="s">
        <v>123</v>
      </c>
      <c r="G1182" s="298"/>
      <c r="H1182" s="10"/>
      <c r="I1182" s="11"/>
      <c r="J1182" s="11"/>
      <c r="K1182" s="11"/>
      <c r="L1182" s="11"/>
      <c r="M1182" s="11"/>
      <c r="N1182" s="11"/>
      <c r="O1182" s="12"/>
      <c r="P1182" s="11"/>
      <c r="Q1182" s="13"/>
      <c r="R1182" s="14"/>
    </row>
    <row r="1183" spans="1:18" ht="15" customHeight="1">
      <c r="A1183" s="15" t="s">
        <v>26</v>
      </c>
      <c r="B1183" s="15" t="s">
        <v>350</v>
      </c>
      <c r="C1183" s="16">
        <v>0.73611111111111116</v>
      </c>
      <c r="D1183" s="15" t="s">
        <v>31</v>
      </c>
      <c r="E1183" s="15" t="s">
        <v>99</v>
      </c>
      <c r="F1183" s="15" t="s">
        <v>163</v>
      </c>
      <c r="G1183" s="298"/>
      <c r="H1183" s="10"/>
      <c r="I1183" s="11"/>
      <c r="J1183" s="11"/>
      <c r="K1183" s="11"/>
      <c r="L1183" s="11"/>
      <c r="M1183" s="11"/>
      <c r="N1183" s="11"/>
      <c r="O1183" s="12"/>
      <c r="P1183" s="11"/>
      <c r="Q1183" s="13"/>
      <c r="R1183" s="14"/>
    </row>
    <row r="1184" spans="1:18" ht="15" customHeight="1">
      <c r="A1184" s="15" t="s">
        <v>26</v>
      </c>
      <c r="B1184" s="15" t="s">
        <v>350</v>
      </c>
      <c r="C1184" s="16">
        <v>0.73611111111111116</v>
      </c>
      <c r="D1184" s="15" t="s">
        <v>34</v>
      </c>
      <c r="E1184" s="15" t="s">
        <v>99</v>
      </c>
      <c r="F1184" s="15" t="s">
        <v>119</v>
      </c>
      <c r="G1184" s="298"/>
      <c r="H1184" s="10"/>
      <c r="I1184" s="11"/>
      <c r="J1184" s="11"/>
      <c r="K1184" s="11"/>
      <c r="L1184" s="11"/>
      <c r="M1184" s="11"/>
      <c r="N1184" s="11"/>
      <c r="O1184" s="12"/>
      <c r="P1184" s="11"/>
      <c r="Q1184" s="13"/>
      <c r="R1184" s="14"/>
    </row>
    <row r="1185" spans="1:18" ht="15" customHeight="1">
      <c r="A1185" s="17" t="s">
        <v>26</v>
      </c>
      <c r="B1185" s="17" t="s">
        <v>352</v>
      </c>
      <c r="C1185" s="18">
        <v>0.94444444444444453</v>
      </c>
      <c r="D1185" s="17" t="s">
        <v>28</v>
      </c>
      <c r="E1185" s="17" t="s">
        <v>427</v>
      </c>
      <c r="F1185" s="17" t="s">
        <v>123</v>
      </c>
      <c r="G1185" s="298"/>
      <c r="H1185" s="10"/>
      <c r="I1185" s="11"/>
      <c r="J1185" s="11"/>
      <c r="K1185" s="11"/>
      <c r="L1185" s="11"/>
      <c r="M1185" s="11"/>
      <c r="N1185" s="11"/>
      <c r="O1185" s="12"/>
      <c r="P1185" s="11"/>
      <c r="Q1185" s="13"/>
      <c r="R1185" s="14"/>
    </row>
    <row r="1186" spans="1:18" ht="15" customHeight="1">
      <c r="A1186" s="15" t="s">
        <v>26</v>
      </c>
      <c r="B1186" s="15" t="s">
        <v>352</v>
      </c>
      <c r="C1186" s="16">
        <v>0.94444444444444453</v>
      </c>
      <c r="D1186" s="15" t="s">
        <v>31</v>
      </c>
      <c r="E1186" s="15" t="s">
        <v>115</v>
      </c>
      <c r="F1186" s="15" t="s">
        <v>163</v>
      </c>
      <c r="G1186" s="298"/>
      <c r="H1186" s="10"/>
      <c r="I1186" s="11"/>
      <c r="J1186" s="11"/>
      <c r="K1186" s="11"/>
      <c r="L1186" s="11"/>
      <c r="M1186" s="11"/>
      <c r="N1186" s="11"/>
      <c r="O1186" s="12"/>
      <c r="P1186" s="11"/>
      <c r="Q1186" s="13"/>
      <c r="R1186" s="14"/>
    </row>
    <row r="1187" spans="1:18" ht="15" customHeight="1">
      <c r="A1187" s="15" t="s">
        <v>26</v>
      </c>
      <c r="B1187" s="15" t="s">
        <v>352</v>
      </c>
      <c r="C1187" s="16">
        <v>0.94444444444444453</v>
      </c>
      <c r="D1187" s="15" t="s">
        <v>34</v>
      </c>
      <c r="E1187" s="15" t="s">
        <v>115</v>
      </c>
      <c r="F1187" s="15" t="s">
        <v>119</v>
      </c>
      <c r="G1187" s="298"/>
      <c r="H1187" s="10"/>
      <c r="I1187" s="11"/>
      <c r="J1187" s="11"/>
      <c r="K1187" s="11"/>
      <c r="L1187" s="11"/>
      <c r="M1187" s="11"/>
      <c r="N1187" s="11"/>
      <c r="O1187" s="12"/>
      <c r="P1187" s="11"/>
      <c r="Q1187" s="13"/>
      <c r="R1187" s="14"/>
    </row>
    <row r="1188" spans="1:18" ht="15" customHeight="1">
      <c r="A1188" s="17" t="s">
        <v>26</v>
      </c>
      <c r="B1188" s="17" t="s">
        <v>357</v>
      </c>
      <c r="C1188" s="18">
        <v>0.55902777777777779</v>
      </c>
      <c r="D1188" s="17" t="s">
        <v>28</v>
      </c>
      <c r="E1188" s="17" t="s">
        <v>90</v>
      </c>
      <c r="F1188" s="17" t="s">
        <v>123</v>
      </c>
      <c r="G1188" s="298"/>
      <c r="H1188" s="10"/>
      <c r="I1188" s="11"/>
      <c r="J1188" s="11"/>
      <c r="K1188" s="11"/>
      <c r="L1188" s="11"/>
      <c r="M1188" s="11"/>
      <c r="N1188" s="11"/>
      <c r="O1188" s="12"/>
      <c r="P1188" s="11"/>
      <c r="Q1188" s="13"/>
      <c r="R1188" s="14"/>
    </row>
    <row r="1189" spans="1:18" ht="15" customHeight="1">
      <c r="A1189" s="15" t="s">
        <v>26</v>
      </c>
      <c r="B1189" s="15" t="s">
        <v>357</v>
      </c>
      <c r="C1189" s="16">
        <v>0.55902777777777779</v>
      </c>
      <c r="D1189" s="15" t="s">
        <v>31</v>
      </c>
      <c r="E1189" s="15" t="s">
        <v>82</v>
      </c>
      <c r="F1189" s="15" t="s">
        <v>163</v>
      </c>
      <c r="G1189" s="298"/>
      <c r="H1189" s="10"/>
      <c r="I1189" s="11"/>
      <c r="J1189" s="11"/>
      <c r="K1189" s="11"/>
      <c r="L1189" s="11"/>
      <c r="M1189" s="11"/>
      <c r="N1189" s="11"/>
      <c r="O1189" s="12"/>
      <c r="P1189" s="11"/>
      <c r="Q1189" s="13"/>
      <c r="R1189" s="14"/>
    </row>
    <row r="1190" spans="1:18" ht="15" customHeight="1">
      <c r="A1190" s="15" t="s">
        <v>26</v>
      </c>
      <c r="B1190" s="15" t="s">
        <v>357</v>
      </c>
      <c r="C1190" s="16">
        <v>0.55902777777777779</v>
      </c>
      <c r="D1190" s="15" t="s">
        <v>34</v>
      </c>
      <c r="E1190" s="15" t="s">
        <v>82</v>
      </c>
      <c r="F1190" s="15" t="s">
        <v>119</v>
      </c>
      <c r="G1190" s="298"/>
      <c r="H1190" s="10"/>
      <c r="I1190" s="11"/>
      <c r="J1190" s="11"/>
      <c r="K1190" s="11"/>
      <c r="L1190" s="11"/>
      <c r="M1190" s="11"/>
      <c r="N1190" s="11"/>
      <c r="O1190" s="12"/>
      <c r="P1190" s="11"/>
      <c r="Q1190" s="13"/>
      <c r="R1190" s="14"/>
    </row>
    <row r="1191" spans="1:18" ht="15" customHeight="1">
      <c r="A1191" s="17" t="s">
        <v>26</v>
      </c>
      <c r="B1191" s="17" t="s">
        <v>353</v>
      </c>
      <c r="C1191" s="18">
        <v>0.88888888888888884</v>
      </c>
      <c r="D1191" s="17" t="s">
        <v>28</v>
      </c>
      <c r="E1191" s="17" t="s">
        <v>98</v>
      </c>
      <c r="F1191" s="17" t="s">
        <v>123</v>
      </c>
      <c r="G1191" s="298"/>
      <c r="H1191" s="10"/>
      <c r="I1191" s="11"/>
      <c r="J1191" s="11"/>
      <c r="K1191" s="11"/>
      <c r="L1191" s="11"/>
      <c r="M1191" s="11"/>
      <c r="N1191" s="11"/>
      <c r="O1191" s="12"/>
      <c r="P1191" s="11"/>
      <c r="Q1191" s="13"/>
      <c r="R1191" s="14"/>
    </row>
    <row r="1192" spans="1:18" ht="15" customHeight="1">
      <c r="A1192" s="15" t="s">
        <v>26</v>
      </c>
      <c r="B1192" s="15" t="s">
        <v>353</v>
      </c>
      <c r="C1192" s="16">
        <v>0.88888888888888884</v>
      </c>
      <c r="D1192" s="15" t="s">
        <v>31</v>
      </c>
      <c r="E1192" s="15" t="s">
        <v>99</v>
      </c>
      <c r="F1192" s="15" t="s">
        <v>163</v>
      </c>
      <c r="G1192" s="298"/>
      <c r="H1192" s="10"/>
      <c r="I1192" s="11"/>
      <c r="J1192" s="11"/>
      <c r="K1192" s="11"/>
      <c r="L1192" s="11"/>
      <c r="M1192" s="11"/>
      <c r="N1192" s="11"/>
      <c r="O1192" s="12"/>
      <c r="P1192" s="11"/>
      <c r="Q1192" s="13"/>
      <c r="R1192" s="14"/>
    </row>
    <row r="1193" spans="1:18" ht="15" customHeight="1">
      <c r="A1193" s="15" t="s">
        <v>26</v>
      </c>
      <c r="B1193" s="15" t="s">
        <v>353</v>
      </c>
      <c r="C1193" s="16">
        <v>0.88888888888888884</v>
      </c>
      <c r="D1193" s="15" t="s">
        <v>34</v>
      </c>
      <c r="E1193" s="15" t="s">
        <v>99</v>
      </c>
      <c r="F1193" s="15" t="s">
        <v>119</v>
      </c>
      <c r="G1193" s="298"/>
      <c r="H1193" s="10"/>
      <c r="I1193" s="11"/>
      <c r="J1193" s="11"/>
      <c r="K1193" s="11"/>
      <c r="L1193" s="11"/>
      <c r="M1193" s="11"/>
      <c r="N1193" s="11"/>
      <c r="O1193" s="12"/>
      <c r="P1193" s="11"/>
      <c r="Q1193" s="13"/>
      <c r="R1193" s="14"/>
    </row>
    <row r="1194" spans="1:18" ht="15" customHeight="1">
      <c r="A1194" s="17" t="s">
        <v>26</v>
      </c>
      <c r="B1194" s="17" t="s">
        <v>351</v>
      </c>
      <c r="C1194" s="18">
        <v>0.83680555555555547</v>
      </c>
      <c r="D1194" s="17" t="s">
        <v>28</v>
      </c>
      <c r="E1194" s="17" t="s">
        <v>91</v>
      </c>
      <c r="F1194" s="17" t="s">
        <v>467</v>
      </c>
      <c r="G1194" s="298"/>
      <c r="H1194" s="10"/>
      <c r="I1194" s="11"/>
      <c r="J1194" s="11"/>
      <c r="K1194" s="11"/>
      <c r="L1194" s="11"/>
      <c r="M1194" s="11"/>
      <c r="N1194" s="11"/>
      <c r="O1194" s="12"/>
      <c r="P1194" s="11"/>
      <c r="Q1194" s="13"/>
      <c r="R1194" s="14"/>
    </row>
    <row r="1195" spans="1:18" ht="15" customHeight="1">
      <c r="A1195" s="15" t="s">
        <v>26</v>
      </c>
      <c r="B1195" s="15" t="s">
        <v>351</v>
      </c>
      <c r="C1195" s="16">
        <v>0.83680555555555547</v>
      </c>
      <c r="D1195" s="15" t="s">
        <v>31</v>
      </c>
      <c r="E1195" s="15" t="s">
        <v>92</v>
      </c>
      <c r="F1195" s="15" t="s">
        <v>104</v>
      </c>
      <c r="G1195" s="298"/>
      <c r="H1195" s="10"/>
      <c r="I1195" s="11"/>
      <c r="J1195" s="11"/>
      <c r="K1195" s="11"/>
      <c r="L1195" s="11"/>
      <c r="M1195" s="11"/>
      <c r="N1195" s="11"/>
      <c r="O1195" s="12"/>
      <c r="P1195" s="11"/>
      <c r="Q1195" s="13"/>
      <c r="R1195" s="14"/>
    </row>
    <row r="1196" spans="1:18" ht="15" customHeight="1">
      <c r="A1196" s="15" t="s">
        <v>26</v>
      </c>
      <c r="B1196" s="15" t="s">
        <v>351</v>
      </c>
      <c r="C1196" s="16">
        <v>0.83680555555555547</v>
      </c>
      <c r="D1196" s="15" t="s">
        <v>34</v>
      </c>
      <c r="E1196" s="15" t="s">
        <v>92</v>
      </c>
      <c r="F1196" s="15" t="s">
        <v>456</v>
      </c>
      <c r="G1196" s="298"/>
      <c r="H1196" s="10"/>
      <c r="I1196" s="11"/>
      <c r="J1196" s="11"/>
      <c r="K1196" s="11"/>
      <c r="L1196" s="11"/>
      <c r="M1196" s="11"/>
      <c r="N1196" s="11"/>
      <c r="O1196" s="12"/>
      <c r="P1196" s="11"/>
      <c r="Q1196" s="13"/>
      <c r="R1196" s="14"/>
    </row>
    <row r="1197" spans="1:18" ht="15" customHeight="1">
      <c r="A1197" s="19" t="s">
        <v>68</v>
      </c>
      <c r="B1197" s="19" t="s">
        <v>405</v>
      </c>
      <c r="C1197" s="20">
        <v>0.83680555555555547</v>
      </c>
      <c r="D1197" s="19" t="s">
        <v>70</v>
      </c>
      <c r="E1197" s="19" t="s">
        <v>51</v>
      </c>
      <c r="F1197" s="19" t="s">
        <v>412</v>
      </c>
      <c r="G1197" s="298"/>
      <c r="H1197" s="10"/>
      <c r="I1197" s="11"/>
      <c r="J1197" s="11"/>
      <c r="K1197" s="11"/>
      <c r="L1197" s="11"/>
      <c r="M1197" s="11"/>
      <c r="N1197" s="11"/>
      <c r="O1197" s="12"/>
      <c r="P1197" s="11"/>
      <c r="Q1197" s="13"/>
      <c r="R1197" s="14"/>
    </row>
    <row r="1198" spans="1:18" ht="15" customHeight="1">
      <c r="A1198" s="17" t="s">
        <v>68</v>
      </c>
      <c r="B1198" s="17" t="s">
        <v>407</v>
      </c>
      <c r="C1198" s="18">
        <v>0.3125</v>
      </c>
      <c r="D1198" s="17" t="s">
        <v>70</v>
      </c>
      <c r="E1198" s="17" t="s">
        <v>57</v>
      </c>
      <c r="F1198" s="17" t="s">
        <v>412</v>
      </c>
      <c r="G1198" s="298"/>
      <c r="H1198" s="10"/>
      <c r="I1198" s="11"/>
      <c r="J1198" s="11"/>
      <c r="K1198" s="11"/>
      <c r="L1198" s="11"/>
      <c r="M1198" s="11"/>
      <c r="N1198" s="11"/>
      <c r="O1198" s="12"/>
      <c r="P1198" s="11"/>
      <c r="Q1198" s="13"/>
      <c r="R1198" s="14"/>
    </row>
    <row r="1199" spans="1:18" ht="15" customHeight="1">
      <c r="A1199" s="17" t="s">
        <v>68</v>
      </c>
      <c r="B1199" s="17" t="s">
        <v>408</v>
      </c>
      <c r="C1199" s="18">
        <v>0.97222222222222221</v>
      </c>
      <c r="D1199" s="17" t="s">
        <v>70</v>
      </c>
      <c r="E1199" s="17" t="s">
        <v>57</v>
      </c>
      <c r="F1199" s="17" t="s">
        <v>412</v>
      </c>
      <c r="G1199" s="298"/>
      <c r="H1199" s="10"/>
      <c r="I1199" s="11"/>
      <c r="J1199" s="11"/>
      <c r="K1199" s="11"/>
      <c r="L1199" s="11"/>
      <c r="M1199" s="11"/>
      <c r="N1199" s="11"/>
      <c r="O1199" s="12"/>
      <c r="P1199" s="11"/>
      <c r="Q1199" s="13"/>
      <c r="R1199" s="14"/>
    </row>
    <row r="1200" spans="1:18" ht="15" customHeight="1">
      <c r="A1200" s="17" t="s">
        <v>68</v>
      </c>
      <c r="B1200" s="17" t="s">
        <v>437</v>
      </c>
      <c r="C1200" s="18">
        <v>0.1041666666666667</v>
      </c>
      <c r="D1200" s="17" t="s">
        <v>70</v>
      </c>
      <c r="E1200" s="17" t="s">
        <v>57</v>
      </c>
      <c r="F1200" s="17" t="s">
        <v>412</v>
      </c>
      <c r="G1200" s="298"/>
      <c r="H1200" s="10"/>
      <c r="I1200" s="11"/>
      <c r="J1200" s="11"/>
      <c r="K1200" s="11"/>
      <c r="L1200" s="11"/>
      <c r="M1200" s="11"/>
      <c r="N1200" s="11"/>
      <c r="O1200" s="12"/>
      <c r="P1200" s="11"/>
      <c r="Q1200" s="13"/>
      <c r="R1200" s="14"/>
    </row>
    <row r="1201" spans="1:18" ht="15" customHeight="1">
      <c r="A1201" s="17" t="s">
        <v>68</v>
      </c>
      <c r="B1201" s="17" t="s">
        <v>411</v>
      </c>
      <c r="C1201" s="18">
        <v>0.78472222222222221</v>
      </c>
      <c r="D1201" s="17" t="s">
        <v>70</v>
      </c>
      <c r="E1201" s="17" t="s">
        <v>57</v>
      </c>
      <c r="F1201" s="17" t="s">
        <v>412</v>
      </c>
      <c r="G1201" s="298"/>
      <c r="H1201" s="10"/>
      <c r="I1201" s="11"/>
      <c r="J1201" s="11"/>
      <c r="K1201" s="11"/>
      <c r="L1201" s="11"/>
      <c r="M1201" s="11"/>
      <c r="N1201" s="11"/>
      <c r="O1201" s="12"/>
      <c r="P1201" s="11"/>
      <c r="Q1201" s="13"/>
      <c r="R1201" s="14"/>
    </row>
    <row r="1202" spans="1:18" ht="15" customHeight="1">
      <c r="A1202" s="17" t="s">
        <v>68</v>
      </c>
      <c r="B1202" s="17" t="s">
        <v>410</v>
      </c>
      <c r="C1202" s="18">
        <v>0.59722222222222221</v>
      </c>
      <c r="D1202" s="17" t="s">
        <v>70</v>
      </c>
      <c r="E1202" s="17" t="s">
        <v>57</v>
      </c>
      <c r="F1202" s="17" t="s">
        <v>412</v>
      </c>
      <c r="G1202" s="298"/>
      <c r="H1202" s="10"/>
      <c r="I1202" s="11"/>
      <c r="J1202" s="11"/>
      <c r="K1202" s="11"/>
      <c r="L1202" s="11"/>
      <c r="M1202" s="11"/>
      <c r="N1202" s="11"/>
      <c r="O1202" s="12"/>
      <c r="P1202" s="11"/>
      <c r="Q1202" s="13"/>
      <c r="R1202" s="14"/>
    </row>
    <row r="1203" spans="1:18" ht="15" customHeight="1">
      <c r="A1203" s="17" t="s">
        <v>68</v>
      </c>
      <c r="B1203" s="17" t="s">
        <v>413</v>
      </c>
      <c r="C1203" s="18">
        <v>4.8611111111111112E-2</v>
      </c>
      <c r="D1203" s="17" t="s">
        <v>70</v>
      </c>
      <c r="E1203" s="17" t="s">
        <v>57</v>
      </c>
      <c r="F1203" s="17" t="s">
        <v>412</v>
      </c>
      <c r="G1203" s="298"/>
      <c r="H1203" s="10"/>
      <c r="I1203" s="11"/>
      <c r="J1203" s="11"/>
      <c r="K1203" s="11"/>
      <c r="L1203" s="11"/>
      <c r="M1203" s="11"/>
      <c r="N1203" s="11"/>
      <c r="O1203" s="12"/>
      <c r="P1203" s="11"/>
      <c r="Q1203" s="13"/>
      <c r="R1203" s="14"/>
    </row>
    <row r="1204" spans="1:18" ht="15" customHeight="1">
      <c r="A1204" s="19" t="s">
        <v>48</v>
      </c>
      <c r="B1204" s="19" t="s">
        <v>398</v>
      </c>
      <c r="C1204" s="20">
        <v>0.39930555555555558</v>
      </c>
      <c r="D1204" s="19" t="s">
        <v>53</v>
      </c>
      <c r="E1204" s="19" t="s">
        <v>29</v>
      </c>
      <c r="F1204" s="19" t="s">
        <v>464</v>
      </c>
      <c r="G1204" s="298"/>
      <c r="H1204" s="10"/>
      <c r="I1204" s="11"/>
      <c r="J1204" s="11"/>
      <c r="K1204" s="11"/>
      <c r="L1204" s="11"/>
      <c r="M1204" s="11"/>
      <c r="N1204" s="11"/>
      <c r="O1204" s="12"/>
      <c r="P1204" s="11"/>
      <c r="Q1204" s="13"/>
      <c r="R1204" s="14"/>
    </row>
    <row r="1205" spans="1:18" ht="15" customHeight="1">
      <c r="A1205" s="17" t="s">
        <v>48</v>
      </c>
      <c r="B1205" s="17" t="s">
        <v>394</v>
      </c>
      <c r="C1205" s="18">
        <v>0.98958333333333337</v>
      </c>
      <c r="D1205" s="17" t="s">
        <v>53</v>
      </c>
      <c r="E1205" s="17" t="s">
        <v>37</v>
      </c>
      <c r="F1205" s="17" t="s">
        <v>452</v>
      </c>
      <c r="G1205" s="298"/>
      <c r="H1205" s="10"/>
      <c r="I1205" s="11"/>
      <c r="J1205" s="11"/>
      <c r="K1205" s="11"/>
      <c r="L1205" s="11"/>
      <c r="M1205" s="11"/>
      <c r="N1205" s="11"/>
      <c r="O1205" s="12"/>
      <c r="P1205" s="11"/>
      <c r="Q1205" s="13"/>
      <c r="R1205" s="14"/>
    </row>
    <row r="1206" spans="1:18" ht="15" customHeight="1">
      <c r="A1206" s="17" t="s">
        <v>48</v>
      </c>
      <c r="B1206" s="17" t="s">
        <v>396</v>
      </c>
      <c r="C1206" s="18">
        <v>0.48958333333333331</v>
      </c>
      <c r="D1206" s="17" t="s">
        <v>53</v>
      </c>
      <c r="E1206" s="17" t="s">
        <v>37</v>
      </c>
      <c r="F1206" s="17" t="s">
        <v>452</v>
      </c>
      <c r="G1206" s="298"/>
      <c r="H1206" s="10"/>
      <c r="I1206" s="11"/>
      <c r="J1206" s="11"/>
      <c r="K1206" s="11"/>
      <c r="L1206" s="11"/>
      <c r="M1206" s="11"/>
      <c r="N1206" s="11"/>
      <c r="O1206" s="12"/>
      <c r="P1206" s="11"/>
      <c r="Q1206" s="13"/>
      <c r="R1206" s="14"/>
    </row>
    <row r="1207" spans="1:18" ht="15" customHeight="1">
      <c r="A1207" s="17" t="s">
        <v>48</v>
      </c>
      <c r="B1207" s="17" t="s">
        <v>397</v>
      </c>
      <c r="C1207" s="18">
        <v>0.88888888888888884</v>
      </c>
      <c r="D1207" s="17" t="s">
        <v>53</v>
      </c>
      <c r="E1207" s="17" t="s">
        <v>37</v>
      </c>
      <c r="F1207" s="17" t="s">
        <v>452</v>
      </c>
      <c r="G1207" s="298"/>
      <c r="H1207" s="10"/>
      <c r="I1207" s="11"/>
      <c r="J1207" s="11"/>
      <c r="K1207" s="11"/>
      <c r="L1207" s="11"/>
      <c r="M1207" s="11"/>
      <c r="N1207" s="11"/>
      <c r="O1207" s="12"/>
      <c r="P1207" s="11"/>
      <c r="Q1207" s="13"/>
      <c r="R1207" s="14"/>
    </row>
    <row r="1208" spans="1:18" ht="15" customHeight="1">
      <c r="A1208" s="17" t="s">
        <v>48</v>
      </c>
      <c r="B1208" s="17" t="s">
        <v>391</v>
      </c>
      <c r="C1208" s="18">
        <v>0.48958333333333331</v>
      </c>
      <c r="D1208" s="17" t="s">
        <v>53</v>
      </c>
      <c r="E1208" s="17" t="s">
        <v>57</v>
      </c>
      <c r="F1208" s="17" t="s">
        <v>439</v>
      </c>
      <c r="G1208" s="298"/>
      <c r="H1208" s="10"/>
      <c r="I1208" s="11"/>
      <c r="J1208" s="11"/>
      <c r="K1208" s="11"/>
      <c r="L1208" s="11"/>
      <c r="M1208" s="11"/>
      <c r="N1208" s="11"/>
      <c r="O1208" s="12"/>
      <c r="P1208" s="11"/>
      <c r="Q1208" s="13"/>
      <c r="R1208" s="14"/>
    </row>
    <row r="1209" spans="1:18" ht="15" customHeight="1">
      <c r="A1209" s="17" t="s">
        <v>48</v>
      </c>
      <c r="B1209" s="17" t="s">
        <v>386</v>
      </c>
      <c r="C1209" s="18">
        <v>0.82986111111111116</v>
      </c>
      <c r="D1209" s="17" t="s">
        <v>53</v>
      </c>
      <c r="E1209" s="17" t="s">
        <v>57</v>
      </c>
      <c r="F1209" s="17" t="s">
        <v>439</v>
      </c>
      <c r="G1209" s="298"/>
      <c r="H1209" s="10"/>
      <c r="I1209" s="11"/>
      <c r="J1209" s="11"/>
      <c r="K1209" s="11"/>
      <c r="L1209" s="11"/>
      <c r="M1209" s="11"/>
      <c r="N1209" s="11"/>
      <c r="O1209" s="12"/>
      <c r="P1209" s="11"/>
      <c r="Q1209" s="13"/>
      <c r="R1209" s="14"/>
    </row>
    <row r="1210" spans="1:18" ht="15" customHeight="1">
      <c r="A1210" s="17" t="s">
        <v>48</v>
      </c>
      <c r="B1210" s="17" t="s">
        <v>388</v>
      </c>
      <c r="C1210" s="18">
        <v>0.72222222222222221</v>
      </c>
      <c r="D1210" s="17" t="s">
        <v>53</v>
      </c>
      <c r="E1210" s="17" t="s">
        <v>57</v>
      </c>
      <c r="F1210" s="17" t="s">
        <v>439</v>
      </c>
      <c r="G1210" s="298"/>
      <c r="H1210" s="10"/>
      <c r="I1210" s="11"/>
      <c r="J1210" s="11"/>
      <c r="K1210" s="11"/>
      <c r="L1210" s="11"/>
      <c r="M1210" s="11"/>
      <c r="N1210" s="11"/>
      <c r="O1210" s="12"/>
      <c r="P1210" s="11"/>
      <c r="Q1210" s="13"/>
      <c r="R1210" s="14"/>
    </row>
    <row r="1211" spans="1:18" ht="15" customHeight="1">
      <c r="A1211" s="17" t="s">
        <v>48</v>
      </c>
      <c r="B1211" s="17" t="s">
        <v>382</v>
      </c>
      <c r="C1211" s="18">
        <v>0.11805555555555559</v>
      </c>
      <c r="D1211" s="17" t="s">
        <v>53</v>
      </c>
      <c r="E1211" s="17" t="s">
        <v>57</v>
      </c>
      <c r="F1211" s="17" t="s">
        <v>439</v>
      </c>
      <c r="G1211" s="298"/>
      <c r="H1211" s="10"/>
      <c r="I1211" s="11"/>
      <c r="J1211" s="11"/>
      <c r="K1211" s="11"/>
      <c r="L1211" s="11"/>
      <c r="M1211" s="11"/>
      <c r="N1211" s="11"/>
      <c r="O1211" s="12"/>
      <c r="P1211" s="11"/>
      <c r="Q1211" s="13"/>
      <c r="R1211" s="14"/>
    </row>
    <row r="1212" spans="1:18" ht="15" customHeight="1">
      <c r="A1212" s="17" t="s">
        <v>48</v>
      </c>
      <c r="B1212" s="17" t="s">
        <v>389</v>
      </c>
      <c r="C1212" s="18">
        <v>0.70138888888888884</v>
      </c>
      <c r="D1212" s="17" t="s">
        <v>53</v>
      </c>
      <c r="E1212" s="17" t="s">
        <v>57</v>
      </c>
      <c r="F1212" s="17" t="s">
        <v>439</v>
      </c>
      <c r="G1212" s="298"/>
      <c r="H1212" s="10"/>
      <c r="I1212" s="11"/>
      <c r="J1212" s="11"/>
      <c r="K1212" s="11"/>
      <c r="L1212" s="11"/>
      <c r="M1212" s="11"/>
      <c r="N1212" s="11"/>
      <c r="O1212" s="12"/>
      <c r="P1212" s="11"/>
      <c r="Q1212" s="13"/>
      <c r="R1212" s="14"/>
    </row>
    <row r="1213" spans="1:18" ht="15" customHeight="1">
      <c r="A1213" s="17" t="s">
        <v>48</v>
      </c>
      <c r="B1213" s="17" t="s">
        <v>400</v>
      </c>
      <c r="C1213" s="18">
        <v>0.25347222222222221</v>
      </c>
      <c r="D1213" s="17" t="s">
        <v>53</v>
      </c>
      <c r="E1213" s="17" t="s">
        <v>57</v>
      </c>
      <c r="F1213" s="17" t="s">
        <v>439</v>
      </c>
      <c r="G1213" s="298"/>
      <c r="H1213" s="10"/>
      <c r="I1213" s="11"/>
      <c r="J1213" s="11"/>
      <c r="K1213" s="11"/>
      <c r="L1213" s="11"/>
      <c r="M1213" s="11"/>
      <c r="N1213" s="11"/>
      <c r="O1213" s="12"/>
      <c r="P1213" s="11"/>
      <c r="Q1213" s="13"/>
      <c r="R1213" s="14"/>
    </row>
    <row r="1214" spans="1:18" ht="15" customHeight="1">
      <c r="A1214" s="17" t="s">
        <v>48</v>
      </c>
      <c r="B1214" s="17" t="s">
        <v>390</v>
      </c>
      <c r="C1214" s="18">
        <v>4.1666666666666657E-2</v>
      </c>
      <c r="D1214" s="17" t="s">
        <v>53</v>
      </c>
      <c r="E1214" s="17" t="s">
        <v>57</v>
      </c>
      <c r="F1214" s="17" t="s">
        <v>439</v>
      </c>
      <c r="G1214" s="298"/>
      <c r="H1214" s="10"/>
      <c r="I1214" s="11"/>
      <c r="J1214" s="11"/>
      <c r="K1214" s="11"/>
      <c r="L1214" s="11"/>
      <c r="M1214" s="11"/>
      <c r="N1214" s="11"/>
      <c r="O1214" s="12"/>
      <c r="P1214" s="11"/>
      <c r="Q1214" s="13"/>
      <c r="R1214" s="14"/>
    </row>
    <row r="1215" spans="1:18" ht="15" customHeight="1">
      <c r="A1215" s="17" t="s">
        <v>48</v>
      </c>
      <c r="B1215" s="17" t="s">
        <v>385</v>
      </c>
      <c r="C1215" s="18">
        <v>0.94097222222222221</v>
      </c>
      <c r="D1215" s="17" t="s">
        <v>53</v>
      </c>
      <c r="E1215" s="17" t="s">
        <v>57</v>
      </c>
      <c r="F1215" s="17" t="s">
        <v>439</v>
      </c>
      <c r="G1215" s="298"/>
      <c r="H1215" s="10"/>
      <c r="I1215" s="11"/>
      <c r="J1215" s="11"/>
      <c r="K1215" s="11"/>
      <c r="L1215" s="11"/>
      <c r="M1215" s="11"/>
      <c r="N1215" s="11"/>
      <c r="O1215" s="12"/>
      <c r="P1215" s="11"/>
      <c r="Q1215" s="13"/>
      <c r="R1215" s="14"/>
    </row>
    <row r="1216" spans="1:18" ht="15" customHeight="1" thickBot="1">
      <c r="A1216" s="96" t="s">
        <v>415</v>
      </c>
      <c r="B1216" s="96" t="s">
        <v>416</v>
      </c>
      <c r="C1216" s="97">
        <v>9.7222222222222224E-2</v>
      </c>
      <c r="D1216" s="96" t="s">
        <v>63</v>
      </c>
      <c r="E1216" s="96" t="s">
        <v>51</v>
      </c>
      <c r="F1216" s="96" t="s">
        <v>417</v>
      </c>
      <c r="G1216" s="299"/>
      <c r="H1216" s="300"/>
      <c r="I1216" s="140"/>
      <c r="J1216" s="140"/>
      <c r="K1216" s="140"/>
      <c r="L1216" s="140"/>
      <c r="M1216" s="140"/>
      <c r="N1216" s="140"/>
      <c r="O1216" s="141"/>
      <c r="P1216" s="140"/>
      <c r="Q1216" s="142"/>
      <c r="R1216" s="301"/>
    </row>
    <row r="1217" spans="1:18" ht="17.45" customHeight="1" thickBot="1">
      <c r="A1217" s="283"/>
      <c r="B1217" s="284"/>
      <c r="C1217" s="284"/>
      <c r="D1217" s="284"/>
      <c r="E1217" s="284"/>
      <c r="F1217" s="284"/>
      <c r="G1217" s="284"/>
      <c r="H1217" s="284"/>
      <c r="I1217" s="284"/>
      <c r="J1217" s="284"/>
      <c r="K1217" s="284"/>
      <c r="L1217" s="284"/>
      <c r="M1217" s="284"/>
      <c r="N1217" s="284"/>
      <c r="O1217" s="284"/>
      <c r="P1217" s="284"/>
      <c r="Q1217" s="284"/>
      <c r="R1217" s="285"/>
    </row>
    <row r="1218" spans="1:18" ht="22.15" customHeight="1" thickTop="1" thickBot="1">
      <c r="A1218" s="279" t="s">
        <v>6</v>
      </c>
      <c r="B1218" s="295"/>
      <c r="C1218" s="295"/>
      <c r="D1218" s="295"/>
      <c r="E1218" s="295"/>
      <c r="F1218" s="296"/>
      <c r="G1218" s="32">
        <v>46039</v>
      </c>
      <c r="H1218" s="278" t="s">
        <v>7</v>
      </c>
      <c r="I1218" s="295"/>
      <c r="J1218" s="295"/>
      <c r="K1218" s="295"/>
      <c r="L1218" s="295"/>
      <c r="M1218" s="295"/>
      <c r="N1218" s="295"/>
      <c r="O1218" s="295"/>
      <c r="P1218" s="295"/>
      <c r="Q1218" s="295"/>
      <c r="R1218" s="296"/>
    </row>
    <row r="1219" spans="1:18" ht="24" customHeight="1">
      <c r="A1219" s="33" t="s">
        <v>8</v>
      </c>
      <c r="B1219" s="33" t="s">
        <v>9</v>
      </c>
      <c r="C1219" s="34" t="s">
        <v>10</v>
      </c>
      <c r="D1219" s="33" t="s">
        <v>11</v>
      </c>
      <c r="E1219" s="33" t="s">
        <v>12</v>
      </c>
      <c r="F1219" s="35" t="s">
        <v>13</v>
      </c>
      <c r="G1219" s="36" t="s">
        <v>14</v>
      </c>
      <c r="H1219" s="33" t="s">
        <v>15</v>
      </c>
      <c r="I1219" s="37" t="s">
        <v>16</v>
      </c>
      <c r="J1219" s="38" t="s">
        <v>17</v>
      </c>
      <c r="K1219" s="39" t="s">
        <v>18</v>
      </c>
      <c r="L1219" s="38" t="s">
        <v>19</v>
      </c>
      <c r="M1219" s="38" t="s">
        <v>20</v>
      </c>
      <c r="N1219" s="38" t="s">
        <v>21</v>
      </c>
      <c r="O1219" s="33" t="s">
        <v>22</v>
      </c>
      <c r="P1219" s="34" t="s">
        <v>23</v>
      </c>
      <c r="Q1219" s="38" t="s">
        <v>24</v>
      </c>
      <c r="R1219" s="33" t="s">
        <v>25</v>
      </c>
    </row>
    <row r="1220" spans="1:18" ht="15" customHeight="1">
      <c r="A1220" s="8" t="s">
        <v>38</v>
      </c>
      <c r="B1220" s="8" t="s">
        <v>346</v>
      </c>
      <c r="C1220" s="9">
        <v>0.39930555555555558</v>
      </c>
      <c r="D1220" s="8" t="s">
        <v>40</v>
      </c>
      <c r="E1220" s="8" t="s">
        <v>482</v>
      </c>
      <c r="F1220" s="8" t="s">
        <v>121</v>
      </c>
      <c r="G1220" s="297"/>
      <c r="H1220" s="10"/>
      <c r="I1220" s="11"/>
      <c r="J1220" s="11"/>
      <c r="K1220" s="11"/>
      <c r="L1220" s="11"/>
      <c r="M1220" s="11"/>
      <c r="N1220" s="11"/>
      <c r="O1220" s="12"/>
      <c r="P1220" s="11"/>
      <c r="Q1220" s="13"/>
      <c r="R1220" s="14"/>
    </row>
    <row r="1221" spans="1:18" ht="15" customHeight="1">
      <c r="A1221" s="15" t="s">
        <v>38</v>
      </c>
      <c r="B1221" s="15" t="s">
        <v>346</v>
      </c>
      <c r="C1221" s="16">
        <v>0.39930555555555558</v>
      </c>
      <c r="D1221" s="15" t="s">
        <v>43</v>
      </c>
      <c r="E1221" s="15" t="s">
        <v>483</v>
      </c>
      <c r="F1221" s="15" t="s">
        <v>123</v>
      </c>
      <c r="G1221" s="298"/>
      <c r="H1221" s="10"/>
      <c r="I1221" s="11"/>
      <c r="J1221" s="11"/>
      <c r="K1221" s="11"/>
      <c r="L1221" s="11"/>
      <c r="M1221" s="11"/>
      <c r="N1221" s="11"/>
      <c r="O1221" s="12"/>
      <c r="P1221" s="11"/>
      <c r="Q1221" s="13"/>
      <c r="R1221" s="14"/>
    </row>
    <row r="1222" spans="1:18" ht="15" customHeight="1">
      <c r="A1222" s="15" t="s">
        <v>38</v>
      </c>
      <c r="B1222" s="15" t="s">
        <v>346</v>
      </c>
      <c r="C1222" s="16">
        <v>0.39930555555555558</v>
      </c>
      <c r="D1222" s="15" t="s">
        <v>46</v>
      </c>
      <c r="E1222" s="15" t="s">
        <v>483</v>
      </c>
      <c r="F1222" s="15" t="s">
        <v>47</v>
      </c>
      <c r="G1222" s="298"/>
      <c r="H1222" s="10"/>
      <c r="I1222" s="11"/>
      <c r="J1222" s="11"/>
      <c r="K1222" s="11"/>
      <c r="L1222" s="11"/>
      <c r="M1222" s="11"/>
      <c r="N1222" s="11"/>
      <c r="O1222" s="12"/>
      <c r="P1222" s="11"/>
      <c r="Q1222" s="13"/>
      <c r="R1222" s="14"/>
    </row>
    <row r="1223" spans="1:18" ht="15" customHeight="1">
      <c r="A1223" s="17" t="s">
        <v>38</v>
      </c>
      <c r="B1223" s="17" t="s">
        <v>345</v>
      </c>
      <c r="C1223" s="18">
        <v>0.98958333333333337</v>
      </c>
      <c r="D1223" s="17" t="s">
        <v>40</v>
      </c>
      <c r="E1223" s="17" t="s">
        <v>194</v>
      </c>
      <c r="F1223" s="17" t="s">
        <v>426</v>
      </c>
      <c r="G1223" s="298"/>
      <c r="H1223" s="10"/>
      <c r="I1223" s="11"/>
      <c r="J1223" s="11"/>
      <c r="K1223" s="11"/>
      <c r="L1223" s="11"/>
      <c r="M1223" s="11"/>
      <c r="N1223" s="11"/>
      <c r="O1223" s="12"/>
      <c r="P1223" s="11"/>
      <c r="Q1223" s="13"/>
      <c r="R1223" s="14"/>
    </row>
    <row r="1224" spans="1:18" ht="15" customHeight="1">
      <c r="A1224" s="15" t="s">
        <v>38</v>
      </c>
      <c r="B1224" s="15" t="s">
        <v>345</v>
      </c>
      <c r="C1224" s="16">
        <v>0.98958333333333337</v>
      </c>
      <c r="D1224" s="15" t="s">
        <v>43</v>
      </c>
      <c r="E1224" s="15" t="s">
        <v>195</v>
      </c>
      <c r="F1224" s="15" t="s">
        <v>503</v>
      </c>
      <c r="G1224" s="298"/>
      <c r="H1224" s="10"/>
      <c r="I1224" s="11"/>
      <c r="J1224" s="11"/>
      <c r="K1224" s="11"/>
      <c r="L1224" s="11"/>
      <c r="M1224" s="11"/>
      <c r="N1224" s="11"/>
      <c r="O1224" s="12"/>
      <c r="P1224" s="11"/>
      <c r="Q1224" s="13"/>
      <c r="R1224" s="14"/>
    </row>
    <row r="1225" spans="1:18" ht="15" customHeight="1">
      <c r="A1225" s="15" t="s">
        <v>38</v>
      </c>
      <c r="B1225" s="15" t="s">
        <v>345</v>
      </c>
      <c r="C1225" s="16">
        <v>0.98958333333333337</v>
      </c>
      <c r="D1225" s="15" t="s">
        <v>46</v>
      </c>
      <c r="E1225" s="15" t="s">
        <v>195</v>
      </c>
      <c r="F1225" s="15" t="s">
        <v>47</v>
      </c>
      <c r="G1225" s="298"/>
      <c r="H1225" s="10"/>
      <c r="I1225" s="11"/>
      <c r="J1225" s="11"/>
      <c r="K1225" s="11"/>
      <c r="L1225" s="11"/>
      <c r="M1225" s="11"/>
      <c r="N1225" s="11"/>
      <c r="O1225" s="12"/>
      <c r="P1225" s="11"/>
      <c r="Q1225" s="13"/>
      <c r="R1225" s="14"/>
    </row>
    <row r="1226" spans="1:18" ht="15" customHeight="1">
      <c r="A1226" s="17" t="s">
        <v>38</v>
      </c>
      <c r="B1226" s="17" t="s">
        <v>342</v>
      </c>
      <c r="C1226" s="18">
        <v>0.48958333333333331</v>
      </c>
      <c r="D1226" s="17" t="s">
        <v>40</v>
      </c>
      <c r="E1226" s="17" t="s">
        <v>444</v>
      </c>
      <c r="F1226" s="17" t="s">
        <v>138</v>
      </c>
      <c r="G1226" s="298"/>
      <c r="H1226" s="10"/>
      <c r="I1226" s="11"/>
      <c r="J1226" s="11"/>
      <c r="K1226" s="11"/>
      <c r="L1226" s="11"/>
      <c r="M1226" s="11"/>
      <c r="N1226" s="11"/>
      <c r="O1226" s="12"/>
      <c r="P1226" s="11"/>
      <c r="Q1226" s="13"/>
      <c r="R1226" s="14"/>
    </row>
    <row r="1227" spans="1:18" ht="15" customHeight="1">
      <c r="A1227" s="15" t="s">
        <v>38</v>
      </c>
      <c r="B1227" s="15" t="s">
        <v>342</v>
      </c>
      <c r="C1227" s="16">
        <v>0.48958333333333331</v>
      </c>
      <c r="D1227" s="15" t="s">
        <v>43</v>
      </c>
      <c r="E1227" s="15" t="s">
        <v>95</v>
      </c>
      <c r="F1227" s="15" t="s">
        <v>511</v>
      </c>
      <c r="G1227" s="298"/>
      <c r="H1227" s="10"/>
      <c r="I1227" s="11"/>
      <c r="J1227" s="11"/>
      <c r="K1227" s="11"/>
      <c r="L1227" s="11"/>
      <c r="M1227" s="11"/>
      <c r="N1227" s="11"/>
      <c r="O1227" s="12"/>
      <c r="P1227" s="11"/>
      <c r="Q1227" s="13"/>
      <c r="R1227" s="14"/>
    </row>
    <row r="1228" spans="1:18" ht="15" customHeight="1">
      <c r="A1228" s="15" t="s">
        <v>38</v>
      </c>
      <c r="B1228" s="15" t="s">
        <v>342</v>
      </c>
      <c r="C1228" s="16">
        <v>0.48958333333333331</v>
      </c>
      <c r="D1228" s="15" t="s">
        <v>46</v>
      </c>
      <c r="E1228" s="15" t="s">
        <v>95</v>
      </c>
      <c r="F1228" s="15" t="s">
        <v>47</v>
      </c>
      <c r="G1228" s="298"/>
      <c r="H1228" s="10"/>
      <c r="I1228" s="11"/>
      <c r="J1228" s="11"/>
      <c r="K1228" s="11"/>
      <c r="L1228" s="11"/>
      <c r="M1228" s="11"/>
      <c r="N1228" s="11"/>
      <c r="O1228" s="12"/>
      <c r="P1228" s="11"/>
      <c r="Q1228" s="13"/>
      <c r="R1228" s="14"/>
    </row>
    <row r="1229" spans="1:18" ht="15" customHeight="1">
      <c r="A1229" s="17" t="s">
        <v>38</v>
      </c>
      <c r="B1229" s="17" t="s">
        <v>344</v>
      </c>
      <c r="C1229" s="18">
        <v>0.88888888888888884</v>
      </c>
      <c r="D1229" s="17" t="s">
        <v>40</v>
      </c>
      <c r="E1229" s="17" t="s">
        <v>170</v>
      </c>
      <c r="F1229" s="17" t="s">
        <v>511</v>
      </c>
      <c r="G1229" s="298"/>
      <c r="H1229" s="10"/>
      <c r="I1229" s="11"/>
      <c r="J1229" s="11"/>
      <c r="K1229" s="11"/>
      <c r="L1229" s="11"/>
      <c r="M1229" s="11"/>
      <c r="N1229" s="11"/>
      <c r="O1229" s="12"/>
      <c r="P1229" s="11"/>
      <c r="Q1229" s="13"/>
      <c r="R1229" s="14"/>
    </row>
    <row r="1230" spans="1:18" ht="15" customHeight="1">
      <c r="A1230" s="15" t="s">
        <v>38</v>
      </c>
      <c r="B1230" s="15" t="s">
        <v>344</v>
      </c>
      <c r="C1230" s="16">
        <v>0.88888888888888884</v>
      </c>
      <c r="D1230" s="15" t="s">
        <v>43</v>
      </c>
      <c r="E1230" s="15" t="s">
        <v>152</v>
      </c>
      <c r="F1230" s="15" t="s">
        <v>456</v>
      </c>
      <c r="G1230" s="298"/>
      <c r="H1230" s="10"/>
      <c r="I1230" s="11"/>
      <c r="J1230" s="11"/>
      <c r="K1230" s="11"/>
      <c r="L1230" s="11"/>
      <c r="M1230" s="11"/>
      <c r="N1230" s="11"/>
      <c r="O1230" s="12"/>
      <c r="P1230" s="11"/>
      <c r="Q1230" s="13"/>
      <c r="R1230" s="14"/>
    </row>
    <row r="1231" spans="1:18" ht="15" customHeight="1">
      <c r="A1231" s="15" t="s">
        <v>38</v>
      </c>
      <c r="B1231" s="15" t="s">
        <v>344</v>
      </c>
      <c r="C1231" s="16">
        <v>0.88888888888888884</v>
      </c>
      <c r="D1231" s="15" t="s">
        <v>46</v>
      </c>
      <c r="E1231" s="15" t="s">
        <v>152</v>
      </c>
      <c r="F1231" s="15" t="s">
        <v>419</v>
      </c>
      <c r="G1231" s="298"/>
      <c r="H1231" s="10"/>
      <c r="I1231" s="11"/>
      <c r="J1231" s="11"/>
      <c r="K1231" s="11"/>
      <c r="L1231" s="11"/>
      <c r="M1231" s="11"/>
      <c r="N1231" s="11"/>
      <c r="O1231" s="12"/>
      <c r="P1231" s="11"/>
      <c r="Q1231" s="13"/>
      <c r="R1231" s="14"/>
    </row>
    <row r="1232" spans="1:18" ht="15" customHeight="1">
      <c r="A1232" s="19" t="s">
        <v>359</v>
      </c>
      <c r="B1232" s="19" t="s">
        <v>360</v>
      </c>
      <c r="C1232" s="20">
        <v>0.1701388888888889</v>
      </c>
      <c r="D1232" s="19" t="s">
        <v>361</v>
      </c>
      <c r="E1232" s="19" t="s">
        <v>80</v>
      </c>
      <c r="F1232" s="19" t="s">
        <v>504</v>
      </c>
      <c r="G1232" s="298"/>
      <c r="H1232" s="10"/>
      <c r="I1232" s="11"/>
      <c r="J1232" s="11"/>
      <c r="K1232" s="11"/>
      <c r="L1232" s="11"/>
      <c r="M1232" s="11"/>
      <c r="N1232" s="11"/>
      <c r="O1232" s="12"/>
      <c r="P1232" s="11"/>
      <c r="Q1232" s="13"/>
      <c r="R1232" s="14"/>
    </row>
    <row r="1233" spans="1:18" ht="15" customHeight="1">
      <c r="A1233" s="15" t="s">
        <v>359</v>
      </c>
      <c r="B1233" s="15" t="s">
        <v>360</v>
      </c>
      <c r="C1233" s="16">
        <v>0.1701388888888889</v>
      </c>
      <c r="D1233" s="15" t="s">
        <v>46</v>
      </c>
      <c r="E1233" s="15" t="s">
        <v>82</v>
      </c>
      <c r="F1233" s="15" t="s">
        <v>505</v>
      </c>
      <c r="G1233" s="298"/>
      <c r="H1233" s="10"/>
      <c r="I1233" s="11"/>
      <c r="J1233" s="11"/>
      <c r="K1233" s="11"/>
      <c r="L1233" s="11"/>
      <c r="M1233" s="11"/>
      <c r="N1233" s="11"/>
      <c r="O1233" s="12"/>
      <c r="P1233" s="11"/>
      <c r="Q1233" s="13"/>
      <c r="R1233" s="14"/>
    </row>
    <row r="1234" spans="1:18" ht="15" customHeight="1">
      <c r="A1234" s="17" t="s">
        <v>359</v>
      </c>
      <c r="B1234" s="17" t="s">
        <v>445</v>
      </c>
      <c r="C1234" s="18">
        <v>5.5555555555555552E-2</v>
      </c>
      <c r="D1234" s="17" t="s">
        <v>361</v>
      </c>
      <c r="E1234" s="17" t="s">
        <v>90</v>
      </c>
      <c r="F1234" s="17" t="s">
        <v>504</v>
      </c>
      <c r="G1234" s="298"/>
      <c r="H1234" s="10"/>
      <c r="I1234" s="11"/>
      <c r="J1234" s="11"/>
      <c r="K1234" s="11"/>
      <c r="L1234" s="11"/>
      <c r="M1234" s="11"/>
      <c r="N1234" s="11"/>
      <c r="O1234" s="12"/>
      <c r="P1234" s="11"/>
      <c r="Q1234" s="13"/>
      <c r="R1234" s="14"/>
    </row>
    <row r="1235" spans="1:18" ht="15" customHeight="1">
      <c r="A1235" s="15" t="s">
        <v>359</v>
      </c>
      <c r="B1235" s="15" t="s">
        <v>445</v>
      </c>
      <c r="C1235" s="16">
        <v>5.5555555555555552E-2</v>
      </c>
      <c r="D1235" s="15" t="s">
        <v>46</v>
      </c>
      <c r="E1235" s="15" t="s">
        <v>82</v>
      </c>
      <c r="F1235" s="15" t="s">
        <v>505</v>
      </c>
      <c r="G1235" s="298"/>
      <c r="H1235" s="10"/>
      <c r="I1235" s="11"/>
      <c r="J1235" s="11"/>
      <c r="K1235" s="11"/>
      <c r="L1235" s="11"/>
      <c r="M1235" s="11"/>
      <c r="N1235" s="11"/>
      <c r="O1235" s="12"/>
      <c r="P1235" s="11"/>
      <c r="Q1235" s="13"/>
      <c r="R1235" s="14"/>
    </row>
    <row r="1236" spans="1:18" ht="15" customHeight="1">
      <c r="A1236" s="19" t="s">
        <v>402</v>
      </c>
      <c r="B1236" s="19" t="s">
        <v>403</v>
      </c>
      <c r="C1236" s="20">
        <v>0.49305555555555558</v>
      </c>
      <c r="D1236" s="19" t="s">
        <v>63</v>
      </c>
      <c r="E1236" s="19" t="s">
        <v>126</v>
      </c>
      <c r="F1236" s="19" t="s">
        <v>404</v>
      </c>
      <c r="G1236" s="298"/>
      <c r="H1236" s="10"/>
      <c r="I1236" s="11"/>
      <c r="J1236" s="11"/>
      <c r="K1236" s="11"/>
      <c r="L1236" s="11"/>
      <c r="M1236" s="11"/>
      <c r="N1236" s="11"/>
      <c r="O1236" s="12"/>
      <c r="P1236" s="11"/>
      <c r="Q1236" s="13"/>
      <c r="R1236" s="14"/>
    </row>
    <row r="1237" spans="1:18" ht="15" customHeight="1">
      <c r="A1237" s="19" t="s">
        <v>26</v>
      </c>
      <c r="B1237" s="19" t="s">
        <v>357</v>
      </c>
      <c r="C1237" s="20">
        <v>0.3923611111111111</v>
      </c>
      <c r="D1237" s="19" t="s">
        <v>28</v>
      </c>
      <c r="E1237" s="19" t="s">
        <v>177</v>
      </c>
      <c r="F1237" s="19" t="s">
        <v>45</v>
      </c>
      <c r="G1237" s="298"/>
      <c r="H1237" s="10"/>
      <c r="I1237" s="11"/>
      <c r="J1237" s="11"/>
      <c r="K1237" s="11"/>
      <c r="L1237" s="11"/>
      <c r="M1237" s="11"/>
      <c r="N1237" s="11"/>
      <c r="O1237" s="12"/>
      <c r="P1237" s="11"/>
      <c r="Q1237" s="13"/>
      <c r="R1237" s="14"/>
    </row>
    <row r="1238" spans="1:18" ht="15" customHeight="1">
      <c r="A1238" s="15" t="s">
        <v>26</v>
      </c>
      <c r="B1238" s="15" t="s">
        <v>357</v>
      </c>
      <c r="C1238" s="16">
        <v>0.3923611111111111</v>
      </c>
      <c r="D1238" s="15" t="s">
        <v>31</v>
      </c>
      <c r="E1238" s="15" t="s">
        <v>454</v>
      </c>
      <c r="F1238" s="15" t="s">
        <v>355</v>
      </c>
      <c r="G1238" s="298"/>
      <c r="H1238" s="10"/>
      <c r="I1238" s="11"/>
      <c r="J1238" s="11"/>
      <c r="K1238" s="11"/>
      <c r="L1238" s="11"/>
      <c r="M1238" s="11"/>
      <c r="N1238" s="11"/>
      <c r="O1238" s="12"/>
      <c r="P1238" s="11"/>
      <c r="Q1238" s="13"/>
      <c r="R1238" s="14"/>
    </row>
    <row r="1239" spans="1:18" ht="15" customHeight="1">
      <c r="A1239" s="15" t="s">
        <v>26</v>
      </c>
      <c r="B1239" s="15" t="s">
        <v>357</v>
      </c>
      <c r="C1239" s="16">
        <v>0.3923611111111111</v>
      </c>
      <c r="D1239" s="15" t="s">
        <v>34</v>
      </c>
      <c r="E1239" s="15" t="s">
        <v>454</v>
      </c>
      <c r="F1239" s="15" t="s">
        <v>358</v>
      </c>
      <c r="G1239" s="298"/>
      <c r="H1239" s="10"/>
      <c r="I1239" s="11"/>
      <c r="J1239" s="11"/>
      <c r="K1239" s="11"/>
      <c r="L1239" s="11"/>
      <c r="M1239" s="11"/>
      <c r="N1239" s="11"/>
      <c r="O1239" s="12"/>
      <c r="P1239" s="11"/>
      <c r="Q1239" s="13"/>
      <c r="R1239" s="14"/>
    </row>
    <row r="1240" spans="1:18" ht="15" customHeight="1">
      <c r="A1240" s="17" t="s">
        <v>26</v>
      </c>
      <c r="B1240" s="17" t="s">
        <v>354</v>
      </c>
      <c r="C1240" s="18">
        <v>0.34722222222222232</v>
      </c>
      <c r="D1240" s="17" t="s">
        <v>28</v>
      </c>
      <c r="E1240" s="17" t="s">
        <v>90</v>
      </c>
      <c r="F1240" s="17" t="s">
        <v>123</v>
      </c>
      <c r="G1240" s="298"/>
      <c r="H1240" s="10"/>
      <c r="I1240" s="11"/>
      <c r="J1240" s="11"/>
      <c r="K1240" s="11"/>
      <c r="L1240" s="11"/>
      <c r="M1240" s="11"/>
      <c r="N1240" s="11"/>
      <c r="O1240" s="12"/>
      <c r="P1240" s="11"/>
      <c r="Q1240" s="13"/>
      <c r="R1240" s="14"/>
    </row>
    <row r="1241" spans="1:18" ht="15" customHeight="1">
      <c r="A1241" s="15" t="s">
        <v>26</v>
      </c>
      <c r="B1241" s="15" t="s">
        <v>354</v>
      </c>
      <c r="C1241" s="16">
        <v>0.34722222222222232</v>
      </c>
      <c r="D1241" s="15" t="s">
        <v>31</v>
      </c>
      <c r="E1241" s="15" t="s">
        <v>82</v>
      </c>
      <c r="F1241" s="15" t="s">
        <v>163</v>
      </c>
      <c r="G1241" s="298"/>
      <c r="H1241" s="10"/>
      <c r="I1241" s="11"/>
      <c r="J1241" s="11"/>
      <c r="K1241" s="11"/>
      <c r="L1241" s="11"/>
      <c r="M1241" s="11"/>
      <c r="N1241" s="11"/>
      <c r="O1241" s="12"/>
      <c r="P1241" s="11"/>
      <c r="Q1241" s="13"/>
      <c r="R1241" s="14"/>
    </row>
    <row r="1242" spans="1:18" ht="15" customHeight="1">
      <c r="A1242" s="15" t="s">
        <v>26</v>
      </c>
      <c r="B1242" s="15" t="s">
        <v>354</v>
      </c>
      <c r="C1242" s="16">
        <v>0.34722222222222232</v>
      </c>
      <c r="D1242" s="15" t="s">
        <v>34</v>
      </c>
      <c r="E1242" s="15" t="s">
        <v>82</v>
      </c>
      <c r="F1242" s="15" t="s">
        <v>119</v>
      </c>
      <c r="G1242" s="298"/>
      <c r="H1242" s="10"/>
      <c r="I1242" s="11"/>
      <c r="J1242" s="11"/>
      <c r="K1242" s="11"/>
      <c r="L1242" s="11"/>
      <c r="M1242" s="11"/>
      <c r="N1242" s="11"/>
      <c r="O1242" s="12"/>
      <c r="P1242" s="11"/>
      <c r="Q1242" s="13"/>
      <c r="R1242" s="14"/>
    </row>
    <row r="1243" spans="1:18" ht="15" customHeight="1">
      <c r="A1243" s="17" t="s">
        <v>26</v>
      </c>
      <c r="B1243" s="17" t="s">
        <v>348</v>
      </c>
      <c r="C1243" s="18">
        <v>0.99305555555555547</v>
      </c>
      <c r="D1243" s="17" t="s">
        <v>28</v>
      </c>
      <c r="E1243" s="17" t="s">
        <v>98</v>
      </c>
      <c r="F1243" s="17" t="s">
        <v>123</v>
      </c>
      <c r="G1243" s="298"/>
      <c r="H1243" s="10"/>
      <c r="I1243" s="11"/>
      <c r="J1243" s="11"/>
      <c r="K1243" s="11"/>
      <c r="L1243" s="11"/>
      <c r="M1243" s="11"/>
      <c r="N1243" s="11"/>
      <c r="O1243" s="12"/>
      <c r="P1243" s="11"/>
      <c r="Q1243" s="13"/>
      <c r="R1243" s="14"/>
    </row>
    <row r="1244" spans="1:18" ht="15" customHeight="1">
      <c r="A1244" s="15" t="s">
        <v>26</v>
      </c>
      <c r="B1244" s="15" t="s">
        <v>348</v>
      </c>
      <c r="C1244" s="16">
        <v>0.99305555555555547</v>
      </c>
      <c r="D1244" s="15" t="s">
        <v>31</v>
      </c>
      <c r="E1244" s="15" t="s">
        <v>99</v>
      </c>
      <c r="F1244" s="15" t="s">
        <v>163</v>
      </c>
      <c r="G1244" s="298"/>
      <c r="H1244" s="10"/>
      <c r="I1244" s="11"/>
      <c r="J1244" s="11"/>
      <c r="K1244" s="11"/>
      <c r="L1244" s="11"/>
      <c r="M1244" s="11"/>
      <c r="N1244" s="11"/>
      <c r="O1244" s="12"/>
      <c r="P1244" s="11"/>
      <c r="Q1244" s="13"/>
      <c r="R1244" s="14"/>
    </row>
    <row r="1245" spans="1:18" ht="15" customHeight="1">
      <c r="A1245" s="15" t="s">
        <v>26</v>
      </c>
      <c r="B1245" s="15" t="s">
        <v>348</v>
      </c>
      <c r="C1245" s="16">
        <v>0.99305555555555547</v>
      </c>
      <c r="D1245" s="15" t="s">
        <v>34</v>
      </c>
      <c r="E1245" s="15" t="s">
        <v>99</v>
      </c>
      <c r="F1245" s="15" t="s">
        <v>119</v>
      </c>
      <c r="G1245" s="298"/>
      <c r="H1245" s="10"/>
      <c r="I1245" s="11"/>
      <c r="J1245" s="11"/>
      <c r="K1245" s="11"/>
      <c r="L1245" s="11"/>
      <c r="M1245" s="11"/>
      <c r="N1245" s="11"/>
      <c r="O1245" s="12"/>
      <c r="P1245" s="11"/>
      <c r="Q1245" s="13"/>
      <c r="R1245" s="14"/>
    </row>
    <row r="1246" spans="1:18" ht="15" customHeight="1">
      <c r="A1246" s="17" t="s">
        <v>26</v>
      </c>
      <c r="B1246" s="17" t="s">
        <v>352</v>
      </c>
      <c r="C1246" s="18">
        <v>0.94444444444444453</v>
      </c>
      <c r="D1246" s="17" t="s">
        <v>28</v>
      </c>
      <c r="E1246" s="17" t="s">
        <v>90</v>
      </c>
      <c r="F1246" s="17" t="s">
        <v>123</v>
      </c>
      <c r="G1246" s="298"/>
      <c r="H1246" s="10"/>
      <c r="I1246" s="11"/>
      <c r="J1246" s="11"/>
      <c r="K1246" s="11"/>
      <c r="L1246" s="11"/>
      <c r="M1246" s="11"/>
      <c r="N1246" s="11"/>
      <c r="O1246" s="12"/>
      <c r="P1246" s="11"/>
      <c r="Q1246" s="13"/>
      <c r="R1246" s="14"/>
    </row>
    <row r="1247" spans="1:18" ht="15" customHeight="1">
      <c r="A1247" s="15" t="s">
        <v>26</v>
      </c>
      <c r="B1247" s="15" t="s">
        <v>352</v>
      </c>
      <c r="C1247" s="16">
        <v>0.94444444444444453</v>
      </c>
      <c r="D1247" s="15" t="s">
        <v>31</v>
      </c>
      <c r="E1247" s="15" t="s">
        <v>82</v>
      </c>
      <c r="F1247" s="15" t="s">
        <v>163</v>
      </c>
      <c r="G1247" s="298"/>
      <c r="H1247" s="10"/>
      <c r="I1247" s="11"/>
      <c r="J1247" s="11"/>
      <c r="K1247" s="11"/>
      <c r="L1247" s="11"/>
      <c r="M1247" s="11"/>
      <c r="N1247" s="11"/>
      <c r="O1247" s="12"/>
      <c r="P1247" s="11"/>
      <c r="Q1247" s="13"/>
      <c r="R1247" s="14"/>
    </row>
    <row r="1248" spans="1:18" ht="15" customHeight="1">
      <c r="A1248" s="15" t="s">
        <v>26</v>
      </c>
      <c r="B1248" s="15" t="s">
        <v>352</v>
      </c>
      <c r="C1248" s="16">
        <v>0.94444444444444453</v>
      </c>
      <c r="D1248" s="15" t="s">
        <v>34</v>
      </c>
      <c r="E1248" s="15" t="s">
        <v>82</v>
      </c>
      <c r="F1248" s="15" t="s">
        <v>119</v>
      </c>
      <c r="G1248" s="298"/>
      <c r="H1248" s="10"/>
      <c r="I1248" s="11"/>
      <c r="J1248" s="11"/>
      <c r="K1248" s="11"/>
      <c r="L1248" s="11"/>
      <c r="M1248" s="11"/>
      <c r="N1248" s="11"/>
      <c r="O1248" s="12"/>
      <c r="P1248" s="11"/>
      <c r="Q1248" s="13"/>
      <c r="R1248" s="14"/>
    </row>
    <row r="1249" spans="1:18" ht="15" customHeight="1">
      <c r="A1249" s="17" t="s">
        <v>26</v>
      </c>
      <c r="B1249" s="17" t="s">
        <v>356</v>
      </c>
      <c r="C1249" s="18">
        <v>0.4861111111111111</v>
      </c>
      <c r="D1249" s="17" t="s">
        <v>28</v>
      </c>
      <c r="E1249" s="17" t="s">
        <v>91</v>
      </c>
      <c r="F1249" s="17" t="s">
        <v>123</v>
      </c>
      <c r="G1249" s="298"/>
      <c r="H1249" s="10"/>
      <c r="I1249" s="11"/>
      <c r="J1249" s="11"/>
      <c r="K1249" s="11"/>
      <c r="L1249" s="11"/>
      <c r="M1249" s="11"/>
      <c r="N1249" s="11"/>
      <c r="O1249" s="12"/>
      <c r="P1249" s="11"/>
      <c r="Q1249" s="13"/>
      <c r="R1249" s="14"/>
    </row>
    <row r="1250" spans="1:18" ht="15" customHeight="1">
      <c r="A1250" s="15" t="s">
        <v>26</v>
      </c>
      <c r="B1250" s="15" t="s">
        <v>356</v>
      </c>
      <c r="C1250" s="16">
        <v>0.4861111111111111</v>
      </c>
      <c r="D1250" s="15" t="s">
        <v>31</v>
      </c>
      <c r="E1250" s="15" t="s">
        <v>92</v>
      </c>
      <c r="F1250" s="15" t="s">
        <v>163</v>
      </c>
      <c r="G1250" s="298"/>
      <c r="H1250" s="10"/>
      <c r="I1250" s="11"/>
      <c r="J1250" s="11"/>
      <c r="K1250" s="11"/>
      <c r="L1250" s="11"/>
      <c r="M1250" s="11"/>
      <c r="N1250" s="11"/>
      <c r="O1250" s="12"/>
      <c r="P1250" s="11"/>
      <c r="Q1250" s="13"/>
      <c r="R1250" s="14"/>
    </row>
    <row r="1251" spans="1:18" ht="15" customHeight="1">
      <c r="A1251" s="15" t="s">
        <v>26</v>
      </c>
      <c r="B1251" s="15" t="s">
        <v>356</v>
      </c>
      <c r="C1251" s="16">
        <v>0.4861111111111111</v>
      </c>
      <c r="D1251" s="15" t="s">
        <v>34</v>
      </c>
      <c r="E1251" s="15" t="s">
        <v>92</v>
      </c>
      <c r="F1251" s="15" t="s">
        <v>119</v>
      </c>
      <c r="G1251" s="298"/>
      <c r="H1251" s="10"/>
      <c r="I1251" s="11"/>
      <c r="J1251" s="11"/>
      <c r="K1251" s="11"/>
      <c r="L1251" s="11"/>
      <c r="M1251" s="11"/>
      <c r="N1251" s="11"/>
      <c r="O1251" s="12"/>
      <c r="P1251" s="11"/>
      <c r="Q1251" s="13"/>
      <c r="R1251" s="14"/>
    </row>
    <row r="1252" spans="1:18" ht="15" customHeight="1">
      <c r="A1252" s="17" t="s">
        <v>26</v>
      </c>
      <c r="B1252" s="17" t="s">
        <v>351</v>
      </c>
      <c r="C1252" s="18">
        <v>0.83680555555555547</v>
      </c>
      <c r="D1252" s="17" t="s">
        <v>28</v>
      </c>
      <c r="E1252" s="17" t="s">
        <v>98</v>
      </c>
      <c r="F1252" s="17" t="s">
        <v>467</v>
      </c>
      <c r="G1252" s="298"/>
      <c r="H1252" s="10"/>
      <c r="I1252" s="11"/>
      <c r="J1252" s="11"/>
      <c r="K1252" s="11"/>
      <c r="L1252" s="11"/>
      <c r="M1252" s="11"/>
      <c r="N1252" s="11"/>
      <c r="O1252" s="12"/>
      <c r="P1252" s="11"/>
      <c r="Q1252" s="13"/>
      <c r="R1252" s="14"/>
    </row>
    <row r="1253" spans="1:18" ht="15" customHeight="1">
      <c r="A1253" s="15" t="s">
        <v>26</v>
      </c>
      <c r="B1253" s="15" t="s">
        <v>351</v>
      </c>
      <c r="C1253" s="16">
        <v>0.83680555555555547</v>
      </c>
      <c r="D1253" s="15" t="s">
        <v>31</v>
      </c>
      <c r="E1253" s="15" t="s">
        <v>99</v>
      </c>
      <c r="F1253" s="15" t="s">
        <v>104</v>
      </c>
      <c r="G1253" s="298"/>
      <c r="H1253" s="10"/>
      <c r="I1253" s="11"/>
      <c r="J1253" s="11"/>
      <c r="K1253" s="11"/>
      <c r="L1253" s="11"/>
      <c r="M1253" s="11"/>
      <c r="N1253" s="11"/>
      <c r="O1253" s="12"/>
      <c r="P1253" s="11"/>
      <c r="Q1253" s="13"/>
      <c r="R1253" s="14"/>
    </row>
    <row r="1254" spans="1:18" ht="15" customHeight="1">
      <c r="A1254" s="15" t="s">
        <v>26</v>
      </c>
      <c r="B1254" s="15" t="s">
        <v>351</v>
      </c>
      <c r="C1254" s="16">
        <v>0.83680555555555547</v>
      </c>
      <c r="D1254" s="15" t="s">
        <v>34</v>
      </c>
      <c r="E1254" s="15" t="s">
        <v>99</v>
      </c>
      <c r="F1254" s="15" t="s">
        <v>456</v>
      </c>
      <c r="G1254" s="298"/>
      <c r="H1254" s="10"/>
      <c r="I1254" s="11"/>
      <c r="J1254" s="11"/>
      <c r="K1254" s="11"/>
      <c r="L1254" s="11"/>
      <c r="M1254" s="11"/>
      <c r="N1254" s="11"/>
      <c r="O1254" s="12"/>
      <c r="P1254" s="11"/>
      <c r="Q1254" s="13"/>
      <c r="R1254" s="14"/>
    </row>
    <row r="1255" spans="1:18" ht="15" customHeight="1">
      <c r="A1255" s="17" t="s">
        <v>26</v>
      </c>
      <c r="B1255" s="17" t="s">
        <v>353</v>
      </c>
      <c r="C1255" s="18">
        <v>0.88888888888888884</v>
      </c>
      <c r="D1255" s="17" t="s">
        <v>28</v>
      </c>
      <c r="E1255" s="17" t="s">
        <v>98</v>
      </c>
      <c r="F1255" s="17" t="s">
        <v>467</v>
      </c>
      <c r="G1255" s="298"/>
      <c r="H1255" s="10"/>
      <c r="I1255" s="11"/>
      <c r="J1255" s="11"/>
      <c r="K1255" s="11"/>
      <c r="L1255" s="11"/>
      <c r="M1255" s="11"/>
      <c r="N1255" s="11"/>
      <c r="O1255" s="12"/>
      <c r="P1255" s="11"/>
      <c r="Q1255" s="13"/>
      <c r="R1255" s="14"/>
    </row>
    <row r="1256" spans="1:18" ht="15" customHeight="1">
      <c r="A1256" s="15" t="s">
        <v>26</v>
      </c>
      <c r="B1256" s="15" t="s">
        <v>353</v>
      </c>
      <c r="C1256" s="16">
        <v>0.88888888888888884</v>
      </c>
      <c r="D1256" s="15" t="s">
        <v>31</v>
      </c>
      <c r="E1256" s="15" t="s">
        <v>99</v>
      </c>
      <c r="F1256" s="15" t="s">
        <v>104</v>
      </c>
      <c r="G1256" s="298"/>
      <c r="H1256" s="10"/>
      <c r="I1256" s="11"/>
      <c r="J1256" s="11"/>
      <c r="K1256" s="11"/>
      <c r="L1256" s="11"/>
      <c r="M1256" s="11"/>
      <c r="N1256" s="11"/>
      <c r="O1256" s="12"/>
      <c r="P1256" s="11"/>
      <c r="Q1256" s="13"/>
      <c r="R1256" s="14"/>
    </row>
    <row r="1257" spans="1:18" ht="15" customHeight="1">
      <c r="A1257" s="15" t="s">
        <v>26</v>
      </c>
      <c r="B1257" s="15" t="s">
        <v>353</v>
      </c>
      <c r="C1257" s="16">
        <v>0.88888888888888884</v>
      </c>
      <c r="D1257" s="15" t="s">
        <v>34</v>
      </c>
      <c r="E1257" s="15" t="s">
        <v>99</v>
      </c>
      <c r="F1257" s="15" t="s">
        <v>456</v>
      </c>
      <c r="G1257" s="298"/>
      <c r="H1257" s="10"/>
      <c r="I1257" s="11"/>
      <c r="J1257" s="11"/>
      <c r="K1257" s="11"/>
      <c r="L1257" s="11"/>
      <c r="M1257" s="11"/>
      <c r="N1257" s="11"/>
      <c r="O1257" s="12"/>
      <c r="P1257" s="11"/>
      <c r="Q1257" s="13"/>
      <c r="R1257" s="14"/>
    </row>
    <row r="1258" spans="1:18" ht="15" customHeight="1">
      <c r="A1258" s="17" t="s">
        <v>26</v>
      </c>
      <c r="B1258" s="17" t="s">
        <v>350</v>
      </c>
      <c r="C1258" s="18">
        <v>0.73611111111111116</v>
      </c>
      <c r="D1258" s="17" t="s">
        <v>28</v>
      </c>
      <c r="E1258" s="17" t="s">
        <v>90</v>
      </c>
      <c r="F1258" s="17" t="s">
        <v>455</v>
      </c>
      <c r="G1258" s="298"/>
      <c r="H1258" s="10"/>
      <c r="I1258" s="11"/>
      <c r="J1258" s="11"/>
      <c r="K1258" s="11"/>
      <c r="L1258" s="11"/>
      <c r="M1258" s="11"/>
      <c r="N1258" s="11"/>
      <c r="O1258" s="12"/>
      <c r="P1258" s="11"/>
      <c r="Q1258" s="13"/>
      <c r="R1258" s="14"/>
    </row>
    <row r="1259" spans="1:18" ht="15" customHeight="1">
      <c r="A1259" s="15" t="s">
        <v>26</v>
      </c>
      <c r="B1259" s="15" t="s">
        <v>350</v>
      </c>
      <c r="C1259" s="16">
        <v>0.73611111111111116</v>
      </c>
      <c r="D1259" s="15" t="s">
        <v>31</v>
      </c>
      <c r="E1259" s="15" t="s">
        <v>82</v>
      </c>
      <c r="F1259" s="15" t="s">
        <v>456</v>
      </c>
      <c r="G1259" s="298"/>
      <c r="H1259" s="10"/>
      <c r="I1259" s="11"/>
      <c r="J1259" s="11"/>
      <c r="K1259" s="11"/>
      <c r="L1259" s="11"/>
      <c r="M1259" s="11"/>
      <c r="N1259" s="11"/>
      <c r="O1259" s="12"/>
      <c r="P1259" s="11"/>
      <c r="Q1259" s="13"/>
      <c r="R1259" s="14"/>
    </row>
    <row r="1260" spans="1:18" ht="15" customHeight="1">
      <c r="A1260" s="15" t="s">
        <v>26</v>
      </c>
      <c r="B1260" s="15" t="s">
        <v>350</v>
      </c>
      <c r="C1260" s="16">
        <v>0.73611111111111116</v>
      </c>
      <c r="D1260" s="15" t="s">
        <v>34</v>
      </c>
      <c r="E1260" s="15" t="s">
        <v>82</v>
      </c>
      <c r="F1260" s="15" t="s">
        <v>457</v>
      </c>
      <c r="G1260" s="298"/>
      <c r="H1260" s="10"/>
      <c r="I1260" s="11"/>
      <c r="J1260" s="11"/>
      <c r="K1260" s="11"/>
      <c r="L1260" s="11"/>
      <c r="M1260" s="11"/>
      <c r="N1260" s="11"/>
      <c r="O1260" s="12"/>
      <c r="P1260" s="11"/>
      <c r="Q1260" s="13"/>
      <c r="R1260" s="14"/>
    </row>
    <row r="1261" spans="1:18" ht="15" customHeight="1">
      <c r="A1261" s="67" t="s">
        <v>61</v>
      </c>
      <c r="B1261" s="67" t="s">
        <v>371</v>
      </c>
      <c r="C1261" s="68">
        <v>4.8611111111111112E-2</v>
      </c>
      <c r="D1261" s="67" t="s">
        <v>63</v>
      </c>
      <c r="E1261" s="67" t="s">
        <v>103</v>
      </c>
      <c r="F1261" s="67" t="s">
        <v>449</v>
      </c>
      <c r="G1261" s="298"/>
      <c r="H1261" s="69" t="s">
        <v>373</v>
      </c>
      <c r="I1261" s="70">
        <v>0.3387</v>
      </c>
      <c r="J1261" s="71">
        <v>63</v>
      </c>
      <c r="K1261" s="72">
        <v>46344</v>
      </c>
      <c r="L1261" s="71">
        <v>25</v>
      </c>
      <c r="M1261" s="71">
        <v>0</v>
      </c>
      <c r="N1261" s="71">
        <v>0</v>
      </c>
      <c r="O1261" s="73" t="s">
        <v>471</v>
      </c>
      <c r="P1261" s="74">
        <v>4.8611111111111112E-2</v>
      </c>
      <c r="Q1261" s="71">
        <v>186</v>
      </c>
      <c r="R1261" s="75" t="s">
        <v>512</v>
      </c>
    </row>
    <row r="1262" spans="1:18" ht="15" customHeight="1">
      <c r="A1262" s="152" t="s">
        <v>61</v>
      </c>
      <c r="B1262" s="152" t="s">
        <v>375</v>
      </c>
      <c r="C1262" s="153">
        <v>0.15625</v>
      </c>
      <c r="D1262" s="152" t="s">
        <v>63</v>
      </c>
      <c r="E1262" s="152" t="s">
        <v>57</v>
      </c>
      <c r="F1262" s="152" t="s">
        <v>449</v>
      </c>
      <c r="G1262" s="298"/>
      <c r="H1262" s="100" t="s">
        <v>376</v>
      </c>
      <c r="I1262" s="101">
        <v>0.1</v>
      </c>
      <c r="J1262" s="102">
        <v>18</v>
      </c>
      <c r="K1262" s="103">
        <v>46345</v>
      </c>
      <c r="L1262" s="102">
        <v>21</v>
      </c>
      <c r="M1262" s="102">
        <v>0</v>
      </c>
      <c r="N1262" s="102">
        <v>0</v>
      </c>
      <c r="O1262" s="104" t="s">
        <v>67</v>
      </c>
      <c r="P1262" s="105">
        <v>0.15625</v>
      </c>
      <c r="Q1262" s="102">
        <v>180</v>
      </c>
      <c r="R1262" s="106" t="s">
        <v>510</v>
      </c>
    </row>
    <row r="1263" spans="1:18" ht="15" customHeight="1">
      <c r="A1263" s="156" t="s">
        <v>61</v>
      </c>
      <c r="B1263" s="156" t="s">
        <v>364</v>
      </c>
      <c r="C1263" s="157">
        <v>0.90625</v>
      </c>
      <c r="D1263" s="156" t="s">
        <v>63</v>
      </c>
      <c r="E1263" s="156" t="s">
        <v>57</v>
      </c>
      <c r="F1263" s="156" t="s">
        <v>513</v>
      </c>
      <c r="G1263" s="298"/>
      <c r="H1263" s="42" t="s">
        <v>366</v>
      </c>
      <c r="I1263" s="43">
        <v>0.17780000000000001</v>
      </c>
      <c r="J1263" s="44">
        <v>32</v>
      </c>
      <c r="K1263" s="45">
        <v>46345</v>
      </c>
      <c r="L1263" s="44">
        <v>32</v>
      </c>
      <c r="M1263" s="44">
        <v>0</v>
      </c>
      <c r="N1263" s="44">
        <v>0</v>
      </c>
      <c r="O1263" s="46" t="s">
        <v>514</v>
      </c>
      <c r="P1263" s="47">
        <v>0.90625</v>
      </c>
      <c r="Q1263" s="44">
        <v>180</v>
      </c>
      <c r="R1263" s="48" t="s">
        <v>515</v>
      </c>
    </row>
    <row r="1264" spans="1:18" ht="15" customHeight="1">
      <c r="A1264" s="154" t="s">
        <v>61</v>
      </c>
      <c r="B1264" s="154" t="s">
        <v>377</v>
      </c>
      <c r="C1264" s="155">
        <v>0.50347222222222221</v>
      </c>
      <c r="D1264" s="154" t="s">
        <v>63</v>
      </c>
      <c r="E1264" s="154" t="s">
        <v>372</v>
      </c>
      <c r="F1264" s="154" t="s">
        <v>513</v>
      </c>
      <c r="G1264" s="298"/>
      <c r="H1264" s="69" t="s">
        <v>378</v>
      </c>
      <c r="I1264" s="70">
        <v>0.2</v>
      </c>
      <c r="J1264" s="71">
        <v>36</v>
      </c>
      <c r="K1264" s="72">
        <v>46344</v>
      </c>
      <c r="L1264" s="71">
        <v>36</v>
      </c>
      <c r="M1264" s="71">
        <v>0</v>
      </c>
      <c r="N1264" s="71">
        <v>0</v>
      </c>
      <c r="O1264" s="73" t="s">
        <v>516</v>
      </c>
      <c r="P1264" s="74">
        <v>0.50347222222222221</v>
      </c>
      <c r="Q1264" s="71">
        <v>180</v>
      </c>
      <c r="R1264" s="75" t="s">
        <v>517</v>
      </c>
    </row>
    <row r="1265" spans="1:18" ht="15" customHeight="1">
      <c r="A1265" s="19" t="s">
        <v>68</v>
      </c>
      <c r="B1265" s="19" t="s">
        <v>407</v>
      </c>
      <c r="C1265" s="20">
        <v>0.3125</v>
      </c>
      <c r="D1265" s="19" t="s">
        <v>70</v>
      </c>
      <c r="E1265" s="19" t="s">
        <v>51</v>
      </c>
      <c r="F1265" s="19" t="s">
        <v>412</v>
      </c>
      <c r="G1265" s="298"/>
      <c r="H1265" s="10"/>
      <c r="I1265" s="11"/>
      <c r="J1265" s="11"/>
      <c r="K1265" s="11"/>
      <c r="L1265" s="11"/>
      <c r="M1265" s="11"/>
      <c r="N1265" s="11"/>
      <c r="O1265" s="12"/>
      <c r="P1265" s="11"/>
      <c r="Q1265" s="13"/>
      <c r="R1265" s="14"/>
    </row>
    <row r="1266" spans="1:18" ht="15" customHeight="1">
      <c r="A1266" s="17" t="s">
        <v>68</v>
      </c>
      <c r="B1266" s="17" t="s">
        <v>408</v>
      </c>
      <c r="C1266" s="18">
        <v>0.97222222222222221</v>
      </c>
      <c r="D1266" s="17" t="s">
        <v>70</v>
      </c>
      <c r="E1266" s="17" t="s">
        <v>57</v>
      </c>
      <c r="F1266" s="17" t="s">
        <v>412</v>
      </c>
      <c r="G1266" s="298"/>
      <c r="H1266" s="10"/>
      <c r="I1266" s="11"/>
      <c r="J1266" s="11"/>
      <c r="K1266" s="11"/>
      <c r="L1266" s="11"/>
      <c r="M1266" s="11"/>
      <c r="N1266" s="11"/>
      <c r="O1266" s="12"/>
      <c r="P1266" s="11"/>
      <c r="Q1266" s="13"/>
      <c r="R1266" s="14"/>
    </row>
    <row r="1267" spans="1:18" ht="15" customHeight="1">
      <c r="A1267" s="17" t="s">
        <v>68</v>
      </c>
      <c r="B1267" s="17" t="s">
        <v>437</v>
      </c>
      <c r="C1267" s="18">
        <v>0.1041666666666667</v>
      </c>
      <c r="D1267" s="17" t="s">
        <v>70</v>
      </c>
      <c r="E1267" s="17" t="s">
        <v>57</v>
      </c>
      <c r="F1267" s="17" t="s">
        <v>412</v>
      </c>
      <c r="G1267" s="298"/>
      <c r="H1267" s="10"/>
      <c r="I1267" s="11"/>
      <c r="J1267" s="11"/>
      <c r="K1267" s="11"/>
      <c r="L1267" s="11"/>
      <c r="M1267" s="11"/>
      <c r="N1267" s="11"/>
      <c r="O1267" s="12"/>
      <c r="P1267" s="11"/>
      <c r="Q1267" s="13"/>
      <c r="R1267" s="14"/>
    </row>
    <row r="1268" spans="1:18" ht="15" customHeight="1">
      <c r="A1268" s="17" t="s">
        <v>68</v>
      </c>
      <c r="B1268" s="17" t="s">
        <v>409</v>
      </c>
      <c r="C1268" s="18">
        <v>0.34027777777777768</v>
      </c>
      <c r="D1268" s="17" t="s">
        <v>70</v>
      </c>
      <c r="E1268" s="17" t="s">
        <v>57</v>
      </c>
      <c r="F1268" s="17" t="s">
        <v>412</v>
      </c>
      <c r="G1268" s="298"/>
      <c r="H1268" s="10"/>
      <c r="I1268" s="11"/>
      <c r="J1268" s="11"/>
      <c r="K1268" s="11"/>
      <c r="L1268" s="11"/>
      <c r="M1268" s="11"/>
      <c r="N1268" s="11"/>
      <c r="O1268" s="12"/>
      <c r="P1268" s="11"/>
      <c r="Q1268" s="13"/>
      <c r="R1268" s="14"/>
    </row>
    <row r="1269" spans="1:18" ht="15" customHeight="1">
      <c r="A1269" s="17" t="s">
        <v>68</v>
      </c>
      <c r="B1269" s="17" t="s">
        <v>411</v>
      </c>
      <c r="C1269" s="18">
        <v>0.78472222222222221</v>
      </c>
      <c r="D1269" s="17" t="s">
        <v>70</v>
      </c>
      <c r="E1269" s="17" t="s">
        <v>57</v>
      </c>
      <c r="F1269" s="17" t="s">
        <v>412</v>
      </c>
      <c r="G1269" s="298"/>
      <c r="H1269" s="10"/>
      <c r="I1269" s="11"/>
      <c r="J1269" s="11"/>
      <c r="K1269" s="11"/>
      <c r="L1269" s="11"/>
      <c r="M1269" s="11"/>
      <c r="N1269" s="11"/>
      <c r="O1269" s="12"/>
      <c r="P1269" s="11"/>
      <c r="Q1269" s="13"/>
      <c r="R1269" s="14"/>
    </row>
    <row r="1270" spans="1:18" ht="15" customHeight="1">
      <c r="A1270" s="17" t="s">
        <v>68</v>
      </c>
      <c r="B1270" s="17" t="s">
        <v>410</v>
      </c>
      <c r="C1270" s="18">
        <v>0.59722222222222221</v>
      </c>
      <c r="D1270" s="17" t="s">
        <v>70</v>
      </c>
      <c r="E1270" s="17" t="s">
        <v>57</v>
      </c>
      <c r="F1270" s="17" t="s">
        <v>412</v>
      </c>
      <c r="G1270" s="298"/>
      <c r="H1270" s="10"/>
      <c r="I1270" s="11"/>
      <c r="J1270" s="11"/>
      <c r="K1270" s="11"/>
      <c r="L1270" s="11"/>
      <c r="M1270" s="11"/>
      <c r="N1270" s="11"/>
      <c r="O1270" s="12"/>
      <c r="P1270" s="11"/>
      <c r="Q1270" s="13"/>
      <c r="R1270" s="14"/>
    </row>
    <row r="1271" spans="1:18" ht="15" customHeight="1">
      <c r="A1271" s="17" t="s">
        <v>68</v>
      </c>
      <c r="B1271" s="17" t="s">
        <v>413</v>
      </c>
      <c r="C1271" s="18">
        <v>4.8611111111111112E-2</v>
      </c>
      <c r="D1271" s="17" t="s">
        <v>70</v>
      </c>
      <c r="E1271" s="17" t="s">
        <v>57</v>
      </c>
      <c r="F1271" s="17" t="s">
        <v>412</v>
      </c>
      <c r="G1271" s="298"/>
      <c r="H1271" s="10"/>
      <c r="I1271" s="11"/>
      <c r="J1271" s="11"/>
      <c r="K1271" s="11"/>
      <c r="L1271" s="11"/>
      <c r="M1271" s="11"/>
      <c r="N1271" s="11"/>
      <c r="O1271" s="12"/>
      <c r="P1271" s="11"/>
      <c r="Q1271" s="13"/>
      <c r="R1271" s="14"/>
    </row>
    <row r="1272" spans="1:18" ht="15" customHeight="1">
      <c r="A1272" s="17" t="s">
        <v>68</v>
      </c>
      <c r="B1272" s="17" t="s">
        <v>405</v>
      </c>
      <c r="C1272" s="18">
        <v>0.83680555555555547</v>
      </c>
      <c r="D1272" s="17" t="s">
        <v>70</v>
      </c>
      <c r="E1272" s="17" t="s">
        <v>57</v>
      </c>
      <c r="F1272" s="17" t="s">
        <v>466</v>
      </c>
      <c r="G1272" s="298"/>
      <c r="H1272" s="10"/>
      <c r="I1272" s="11"/>
      <c r="J1272" s="11"/>
      <c r="K1272" s="11"/>
      <c r="L1272" s="11"/>
      <c r="M1272" s="11"/>
      <c r="N1272" s="11"/>
      <c r="O1272" s="12"/>
      <c r="P1272" s="11"/>
      <c r="Q1272" s="13"/>
      <c r="R1272" s="14"/>
    </row>
    <row r="1273" spans="1:18" ht="15" customHeight="1">
      <c r="A1273" s="19" t="s">
        <v>48</v>
      </c>
      <c r="B1273" s="19" t="s">
        <v>398</v>
      </c>
      <c r="C1273" s="20">
        <v>0.39930555555555558</v>
      </c>
      <c r="D1273" s="19" t="s">
        <v>53</v>
      </c>
      <c r="E1273" s="19" t="s">
        <v>29</v>
      </c>
      <c r="F1273" s="19" t="s">
        <v>464</v>
      </c>
      <c r="G1273" s="298"/>
      <c r="H1273" s="10"/>
      <c r="I1273" s="11"/>
      <c r="J1273" s="11"/>
      <c r="K1273" s="11"/>
      <c r="L1273" s="11"/>
      <c r="M1273" s="11"/>
      <c r="N1273" s="11"/>
      <c r="O1273" s="12"/>
      <c r="P1273" s="11"/>
      <c r="Q1273" s="13"/>
      <c r="R1273" s="14"/>
    </row>
    <row r="1274" spans="1:18" ht="15" customHeight="1">
      <c r="A1274" s="17" t="s">
        <v>48</v>
      </c>
      <c r="B1274" s="17" t="s">
        <v>394</v>
      </c>
      <c r="C1274" s="18">
        <v>0.98958333333333337</v>
      </c>
      <c r="D1274" s="17" t="s">
        <v>53</v>
      </c>
      <c r="E1274" s="17" t="s">
        <v>37</v>
      </c>
      <c r="F1274" s="17" t="s">
        <v>452</v>
      </c>
      <c r="G1274" s="298"/>
      <c r="H1274" s="10"/>
      <c r="I1274" s="11"/>
      <c r="J1274" s="11"/>
      <c r="K1274" s="11"/>
      <c r="L1274" s="11"/>
      <c r="M1274" s="11"/>
      <c r="N1274" s="11"/>
      <c r="O1274" s="12"/>
      <c r="P1274" s="11"/>
      <c r="Q1274" s="13"/>
      <c r="R1274" s="14"/>
    </row>
    <row r="1275" spans="1:18" ht="15" customHeight="1">
      <c r="A1275" s="17" t="s">
        <v>48</v>
      </c>
      <c r="B1275" s="17" t="s">
        <v>391</v>
      </c>
      <c r="C1275" s="18">
        <v>0.48958333333333331</v>
      </c>
      <c r="D1275" s="17" t="s">
        <v>53</v>
      </c>
      <c r="E1275" s="17" t="s">
        <v>57</v>
      </c>
      <c r="F1275" s="17" t="s">
        <v>439</v>
      </c>
      <c r="G1275" s="298"/>
      <c r="H1275" s="10"/>
      <c r="I1275" s="11"/>
      <c r="J1275" s="11"/>
      <c r="K1275" s="11"/>
      <c r="L1275" s="11"/>
      <c r="M1275" s="11"/>
      <c r="N1275" s="11"/>
      <c r="O1275" s="12"/>
      <c r="P1275" s="11"/>
      <c r="Q1275" s="13"/>
      <c r="R1275" s="14"/>
    </row>
    <row r="1276" spans="1:18" ht="15" customHeight="1">
      <c r="A1276" s="17" t="s">
        <v>48</v>
      </c>
      <c r="B1276" s="17" t="s">
        <v>382</v>
      </c>
      <c r="C1276" s="18">
        <v>0.11805555555555559</v>
      </c>
      <c r="D1276" s="17" t="s">
        <v>53</v>
      </c>
      <c r="E1276" s="17" t="s">
        <v>57</v>
      </c>
      <c r="F1276" s="17" t="s">
        <v>439</v>
      </c>
      <c r="G1276" s="298"/>
      <c r="H1276" s="10"/>
      <c r="I1276" s="11"/>
      <c r="J1276" s="11"/>
      <c r="K1276" s="11"/>
      <c r="L1276" s="11"/>
      <c r="M1276" s="11"/>
      <c r="N1276" s="11"/>
      <c r="O1276" s="12"/>
      <c r="P1276" s="11"/>
      <c r="Q1276" s="13"/>
      <c r="R1276" s="14"/>
    </row>
    <row r="1277" spans="1:18" ht="15" customHeight="1">
      <c r="A1277" s="17" t="s">
        <v>48</v>
      </c>
      <c r="B1277" s="17" t="s">
        <v>389</v>
      </c>
      <c r="C1277" s="18">
        <v>0.70486111111111116</v>
      </c>
      <c r="D1277" s="17" t="s">
        <v>53</v>
      </c>
      <c r="E1277" s="17" t="s">
        <v>57</v>
      </c>
      <c r="F1277" s="17" t="s">
        <v>439</v>
      </c>
      <c r="G1277" s="298"/>
      <c r="H1277" s="10"/>
      <c r="I1277" s="11"/>
      <c r="J1277" s="11"/>
      <c r="K1277" s="11"/>
      <c r="L1277" s="11"/>
      <c r="M1277" s="11"/>
      <c r="N1277" s="11"/>
      <c r="O1277" s="12"/>
      <c r="P1277" s="11"/>
      <c r="Q1277" s="13"/>
      <c r="R1277" s="14"/>
    </row>
    <row r="1278" spans="1:18" ht="15" customHeight="1">
      <c r="A1278" s="17" t="s">
        <v>48</v>
      </c>
      <c r="B1278" s="17" t="s">
        <v>400</v>
      </c>
      <c r="C1278" s="18">
        <v>0.25347222222222221</v>
      </c>
      <c r="D1278" s="17" t="s">
        <v>53</v>
      </c>
      <c r="E1278" s="17" t="s">
        <v>57</v>
      </c>
      <c r="F1278" s="17" t="s">
        <v>439</v>
      </c>
      <c r="G1278" s="298"/>
      <c r="H1278" s="10"/>
      <c r="I1278" s="11"/>
      <c r="J1278" s="11"/>
      <c r="K1278" s="11"/>
      <c r="L1278" s="11"/>
      <c r="M1278" s="11"/>
      <c r="N1278" s="11"/>
      <c r="O1278" s="12"/>
      <c r="P1278" s="11"/>
      <c r="Q1278" s="13"/>
      <c r="R1278" s="14"/>
    </row>
    <row r="1279" spans="1:18" ht="15" customHeight="1">
      <c r="A1279" s="17" t="s">
        <v>48</v>
      </c>
      <c r="B1279" s="17" t="s">
        <v>390</v>
      </c>
      <c r="C1279" s="18">
        <v>4.1666666666666657E-2</v>
      </c>
      <c r="D1279" s="17" t="s">
        <v>53</v>
      </c>
      <c r="E1279" s="17" t="s">
        <v>57</v>
      </c>
      <c r="F1279" s="17" t="s">
        <v>439</v>
      </c>
      <c r="G1279" s="298"/>
      <c r="H1279" s="10"/>
      <c r="I1279" s="11"/>
      <c r="J1279" s="11"/>
      <c r="K1279" s="11"/>
      <c r="L1279" s="11"/>
      <c r="M1279" s="11"/>
      <c r="N1279" s="11"/>
      <c r="O1279" s="12"/>
      <c r="P1279" s="11"/>
      <c r="Q1279" s="13"/>
      <c r="R1279" s="14"/>
    </row>
    <row r="1280" spans="1:18" ht="15" customHeight="1">
      <c r="A1280" s="17" t="s">
        <v>48</v>
      </c>
      <c r="B1280" s="17" t="s">
        <v>385</v>
      </c>
      <c r="C1280" s="18">
        <v>0.94097222222222221</v>
      </c>
      <c r="D1280" s="17" t="s">
        <v>53</v>
      </c>
      <c r="E1280" s="17" t="s">
        <v>57</v>
      </c>
      <c r="F1280" s="17" t="s">
        <v>439</v>
      </c>
      <c r="G1280" s="298"/>
      <c r="H1280" s="10"/>
      <c r="I1280" s="11"/>
      <c r="J1280" s="11"/>
      <c r="K1280" s="11"/>
      <c r="L1280" s="11"/>
      <c r="M1280" s="11"/>
      <c r="N1280" s="11"/>
      <c r="O1280" s="12"/>
      <c r="P1280" s="11"/>
      <c r="Q1280" s="13"/>
      <c r="R1280" s="14"/>
    </row>
    <row r="1281" spans="1:18" ht="15" customHeight="1">
      <c r="A1281" s="17" t="s">
        <v>48</v>
      </c>
      <c r="B1281" s="17" t="s">
        <v>396</v>
      </c>
      <c r="C1281" s="18">
        <v>0.48958333333333331</v>
      </c>
      <c r="D1281" s="17" t="s">
        <v>53</v>
      </c>
      <c r="E1281" s="17" t="s">
        <v>37</v>
      </c>
      <c r="F1281" s="17" t="s">
        <v>518</v>
      </c>
      <c r="G1281" s="298"/>
      <c r="H1281" s="10"/>
      <c r="I1281" s="11"/>
      <c r="J1281" s="11"/>
      <c r="K1281" s="11"/>
      <c r="L1281" s="11"/>
      <c r="M1281" s="11"/>
      <c r="N1281" s="11"/>
      <c r="O1281" s="12"/>
      <c r="P1281" s="11"/>
      <c r="Q1281" s="13"/>
      <c r="R1281" s="14"/>
    </row>
    <row r="1282" spans="1:18" ht="15" customHeight="1">
      <c r="A1282" s="17" t="s">
        <v>48</v>
      </c>
      <c r="B1282" s="17" t="s">
        <v>386</v>
      </c>
      <c r="C1282" s="18">
        <v>0.82986111111111116</v>
      </c>
      <c r="D1282" s="17" t="s">
        <v>53</v>
      </c>
      <c r="E1282" s="17" t="s">
        <v>57</v>
      </c>
      <c r="F1282" s="17" t="s">
        <v>453</v>
      </c>
      <c r="G1282" s="298"/>
      <c r="H1282" s="10"/>
      <c r="I1282" s="11"/>
      <c r="J1282" s="11"/>
      <c r="K1282" s="11"/>
      <c r="L1282" s="11"/>
      <c r="M1282" s="11"/>
      <c r="N1282" s="11"/>
      <c r="O1282" s="12"/>
      <c r="P1282" s="11"/>
      <c r="Q1282" s="13"/>
      <c r="R1282" s="14"/>
    </row>
    <row r="1283" spans="1:18" ht="15" customHeight="1">
      <c r="A1283" s="17" t="s">
        <v>48</v>
      </c>
      <c r="B1283" s="17" t="s">
        <v>388</v>
      </c>
      <c r="C1283" s="18">
        <v>0.72222222222222221</v>
      </c>
      <c r="D1283" s="17" t="s">
        <v>53</v>
      </c>
      <c r="E1283" s="17" t="s">
        <v>57</v>
      </c>
      <c r="F1283" s="17" t="s">
        <v>453</v>
      </c>
      <c r="G1283" s="298"/>
      <c r="H1283" s="10"/>
      <c r="I1283" s="11"/>
      <c r="J1283" s="11"/>
      <c r="K1283" s="11"/>
      <c r="L1283" s="11"/>
      <c r="M1283" s="11"/>
      <c r="N1283" s="11"/>
      <c r="O1283" s="12"/>
      <c r="P1283" s="11"/>
      <c r="Q1283" s="13"/>
      <c r="R1283" s="14"/>
    </row>
    <row r="1284" spans="1:18" ht="15" customHeight="1">
      <c r="A1284" s="17" t="s">
        <v>48</v>
      </c>
      <c r="B1284" s="17" t="s">
        <v>397</v>
      </c>
      <c r="C1284" s="18">
        <v>0.88888888888888884</v>
      </c>
      <c r="D1284" s="17" t="s">
        <v>53</v>
      </c>
      <c r="E1284" s="17" t="s">
        <v>37</v>
      </c>
      <c r="F1284" s="17" t="s">
        <v>519</v>
      </c>
      <c r="G1284" s="298"/>
      <c r="H1284" s="10"/>
      <c r="I1284" s="11"/>
      <c r="J1284" s="11"/>
      <c r="K1284" s="11"/>
      <c r="L1284" s="11"/>
      <c r="M1284" s="11"/>
      <c r="N1284" s="11"/>
      <c r="O1284" s="12"/>
      <c r="P1284" s="11"/>
      <c r="Q1284" s="13"/>
      <c r="R1284" s="14"/>
    </row>
    <row r="1285" spans="1:18" ht="15" customHeight="1" thickBot="1">
      <c r="A1285" s="96" t="s">
        <v>415</v>
      </c>
      <c r="B1285" s="96" t="s">
        <v>416</v>
      </c>
      <c r="C1285" s="97">
        <v>9.7222222222222224E-2</v>
      </c>
      <c r="D1285" s="96" t="s">
        <v>63</v>
      </c>
      <c r="E1285" s="96" t="s">
        <v>51</v>
      </c>
      <c r="F1285" s="96" t="s">
        <v>417</v>
      </c>
      <c r="G1285" s="299"/>
      <c r="H1285" s="300"/>
      <c r="I1285" s="140"/>
      <c r="J1285" s="140"/>
      <c r="K1285" s="140"/>
      <c r="L1285" s="140"/>
      <c r="M1285" s="140"/>
      <c r="N1285" s="140"/>
      <c r="O1285" s="141"/>
      <c r="P1285" s="140"/>
      <c r="Q1285" s="142"/>
      <c r="R1285" s="301"/>
    </row>
    <row r="1286" spans="1:18" ht="17.45" customHeight="1" thickBot="1">
      <c r="A1286" s="283"/>
      <c r="B1286" s="284"/>
      <c r="C1286" s="284"/>
      <c r="D1286" s="284"/>
      <c r="E1286" s="284"/>
      <c r="F1286" s="284"/>
      <c r="G1286" s="284"/>
      <c r="H1286" s="284"/>
      <c r="I1286" s="284"/>
      <c r="J1286" s="284"/>
      <c r="K1286" s="284"/>
      <c r="L1286" s="284"/>
      <c r="M1286" s="284"/>
      <c r="N1286" s="284"/>
      <c r="O1286" s="284"/>
      <c r="P1286" s="284"/>
      <c r="Q1286" s="284"/>
      <c r="R1286" s="285"/>
    </row>
    <row r="1287" spans="1:18" ht="22.15" customHeight="1" thickTop="1" thickBot="1">
      <c r="A1287" s="279" t="s">
        <v>6</v>
      </c>
      <c r="B1287" s="295"/>
      <c r="C1287" s="295"/>
      <c r="D1287" s="295"/>
      <c r="E1287" s="295"/>
      <c r="F1287" s="296"/>
      <c r="G1287" s="32">
        <v>46040</v>
      </c>
      <c r="H1287" s="278" t="s">
        <v>7</v>
      </c>
      <c r="I1287" s="295"/>
      <c r="J1287" s="295"/>
      <c r="K1287" s="295"/>
      <c r="L1287" s="295"/>
      <c r="M1287" s="295"/>
      <c r="N1287" s="295"/>
      <c r="O1287" s="295"/>
      <c r="P1287" s="295"/>
      <c r="Q1287" s="295"/>
      <c r="R1287" s="296"/>
    </row>
    <row r="1288" spans="1:18" ht="24" customHeight="1">
      <c r="A1288" s="33" t="s">
        <v>8</v>
      </c>
      <c r="B1288" s="33" t="s">
        <v>9</v>
      </c>
      <c r="C1288" s="34" t="s">
        <v>10</v>
      </c>
      <c r="D1288" s="33" t="s">
        <v>11</v>
      </c>
      <c r="E1288" s="33" t="s">
        <v>12</v>
      </c>
      <c r="F1288" s="35" t="s">
        <v>13</v>
      </c>
      <c r="G1288" s="36" t="s">
        <v>14</v>
      </c>
      <c r="H1288" s="33" t="s">
        <v>15</v>
      </c>
      <c r="I1288" s="37" t="s">
        <v>16</v>
      </c>
      <c r="J1288" s="38" t="s">
        <v>17</v>
      </c>
      <c r="K1288" s="39" t="s">
        <v>18</v>
      </c>
      <c r="L1288" s="38" t="s">
        <v>19</v>
      </c>
      <c r="M1288" s="38" t="s">
        <v>20</v>
      </c>
      <c r="N1288" s="38" t="s">
        <v>21</v>
      </c>
      <c r="O1288" s="33" t="s">
        <v>22</v>
      </c>
      <c r="P1288" s="34" t="s">
        <v>23</v>
      </c>
      <c r="Q1288" s="38" t="s">
        <v>24</v>
      </c>
      <c r="R1288" s="33" t="s">
        <v>25</v>
      </c>
    </row>
    <row r="1289" spans="1:18" ht="15" customHeight="1">
      <c r="A1289" s="8" t="s">
        <v>38</v>
      </c>
      <c r="B1289" s="8" t="s">
        <v>346</v>
      </c>
      <c r="C1289" s="9">
        <v>0.39930555555555558</v>
      </c>
      <c r="D1289" s="8" t="s">
        <v>40</v>
      </c>
      <c r="E1289" s="8" t="s">
        <v>94</v>
      </c>
      <c r="F1289" s="8" t="s">
        <v>347</v>
      </c>
      <c r="G1289" s="297"/>
      <c r="H1289" s="10"/>
      <c r="I1289" s="11"/>
      <c r="J1289" s="11"/>
      <c r="K1289" s="11"/>
      <c r="L1289" s="11"/>
      <c r="M1289" s="11"/>
      <c r="N1289" s="11"/>
      <c r="O1289" s="12"/>
      <c r="P1289" s="11"/>
      <c r="Q1289" s="13"/>
      <c r="R1289" s="14"/>
    </row>
    <row r="1290" spans="1:18" ht="15" customHeight="1">
      <c r="A1290" s="15" t="s">
        <v>38</v>
      </c>
      <c r="B1290" s="15" t="s">
        <v>346</v>
      </c>
      <c r="C1290" s="16">
        <v>0.39930555555555558</v>
      </c>
      <c r="D1290" s="15" t="s">
        <v>43</v>
      </c>
      <c r="E1290" s="15" t="s">
        <v>95</v>
      </c>
      <c r="F1290" s="15" t="s">
        <v>138</v>
      </c>
      <c r="G1290" s="298"/>
      <c r="H1290" s="10"/>
      <c r="I1290" s="11"/>
      <c r="J1290" s="11"/>
      <c r="K1290" s="11"/>
      <c r="L1290" s="11"/>
      <c r="M1290" s="11"/>
      <c r="N1290" s="11"/>
      <c r="O1290" s="12"/>
      <c r="P1290" s="11"/>
      <c r="Q1290" s="13"/>
      <c r="R1290" s="14"/>
    </row>
    <row r="1291" spans="1:18" ht="15" customHeight="1">
      <c r="A1291" s="15" t="s">
        <v>38</v>
      </c>
      <c r="B1291" s="15" t="s">
        <v>346</v>
      </c>
      <c r="C1291" s="16">
        <v>0.39930555555555558</v>
      </c>
      <c r="D1291" s="15" t="s">
        <v>46</v>
      </c>
      <c r="E1291" s="15" t="s">
        <v>95</v>
      </c>
      <c r="F1291" s="15" t="s">
        <v>47</v>
      </c>
      <c r="G1291" s="298"/>
      <c r="H1291" s="10"/>
      <c r="I1291" s="11"/>
      <c r="J1291" s="11"/>
      <c r="K1291" s="11"/>
      <c r="L1291" s="11"/>
      <c r="M1291" s="11"/>
      <c r="N1291" s="11"/>
      <c r="O1291" s="12"/>
      <c r="P1291" s="11"/>
      <c r="Q1291" s="13"/>
      <c r="R1291" s="14"/>
    </row>
    <row r="1292" spans="1:18" ht="15" customHeight="1">
      <c r="A1292" s="17" t="s">
        <v>38</v>
      </c>
      <c r="B1292" s="17" t="s">
        <v>342</v>
      </c>
      <c r="C1292" s="18">
        <v>0.48958333333333331</v>
      </c>
      <c r="D1292" s="17" t="s">
        <v>40</v>
      </c>
      <c r="E1292" s="17" t="s">
        <v>125</v>
      </c>
      <c r="F1292" s="17" t="s">
        <v>347</v>
      </c>
      <c r="G1292" s="298"/>
      <c r="H1292" s="10"/>
      <c r="I1292" s="11"/>
      <c r="J1292" s="11"/>
      <c r="K1292" s="11"/>
      <c r="L1292" s="11"/>
      <c r="M1292" s="11"/>
      <c r="N1292" s="11"/>
      <c r="O1292" s="12"/>
      <c r="P1292" s="11"/>
      <c r="Q1292" s="13"/>
      <c r="R1292" s="14"/>
    </row>
    <row r="1293" spans="1:18" ht="15" customHeight="1">
      <c r="A1293" s="15" t="s">
        <v>38</v>
      </c>
      <c r="B1293" s="15" t="s">
        <v>342</v>
      </c>
      <c r="C1293" s="16">
        <v>0.48958333333333331</v>
      </c>
      <c r="D1293" s="15" t="s">
        <v>43</v>
      </c>
      <c r="E1293" s="15" t="s">
        <v>44</v>
      </c>
      <c r="F1293" s="15" t="s">
        <v>138</v>
      </c>
      <c r="G1293" s="298"/>
      <c r="H1293" s="10"/>
      <c r="I1293" s="11"/>
      <c r="J1293" s="11"/>
      <c r="K1293" s="11"/>
      <c r="L1293" s="11"/>
      <c r="M1293" s="11"/>
      <c r="N1293" s="11"/>
      <c r="O1293" s="12"/>
      <c r="P1293" s="11"/>
      <c r="Q1293" s="13"/>
      <c r="R1293" s="14"/>
    </row>
    <row r="1294" spans="1:18" ht="15" customHeight="1">
      <c r="A1294" s="15" t="s">
        <v>38</v>
      </c>
      <c r="B1294" s="15" t="s">
        <v>342</v>
      </c>
      <c r="C1294" s="16">
        <v>0.48958333333333331</v>
      </c>
      <c r="D1294" s="15" t="s">
        <v>46</v>
      </c>
      <c r="E1294" s="15" t="s">
        <v>44</v>
      </c>
      <c r="F1294" s="15" t="s">
        <v>47</v>
      </c>
      <c r="G1294" s="298"/>
      <c r="H1294" s="10"/>
      <c r="I1294" s="11"/>
      <c r="J1294" s="11"/>
      <c r="K1294" s="11"/>
      <c r="L1294" s="11"/>
      <c r="M1294" s="11"/>
      <c r="N1294" s="11"/>
      <c r="O1294" s="12"/>
      <c r="P1294" s="11"/>
      <c r="Q1294" s="13"/>
      <c r="R1294" s="14"/>
    </row>
    <row r="1295" spans="1:18" ht="15" customHeight="1">
      <c r="A1295" s="17" t="s">
        <v>38</v>
      </c>
      <c r="B1295" s="17" t="s">
        <v>345</v>
      </c>
      <c r="C1295" s="18">
        <v>0.98958333333333337</v>
      </c>
      <c r="D1295" s="17" t="s">
        <v>40</v>
      </c>
      <c r="E1295" s="17" t="s">
        <v>444</v>
      </c>
      <c r="F1295" s="17" t="s">
        <v>349</v>
      </c>
      <c r="G1295" s="298"/>
      <c r="H1295" s="10"/>
      <c r="I1295" s="11"/>
      <c r="J1295" s="11"/>
      <c r="K1295" s="11"/>
      <c r="L1295" s="11"/>
      <c r="M1295" s="11"/>
      <c r="N1295" s="11"/>
      <c r="O1295" s="12"/>
      <c r="P1295" s="11"/>
      <c r="Q1295" s="13"/>
      <c r="R1295" s="14"/>
    </row>
    <row r="1296" spans="1:18" ht="15" customHeight="1">
      <c r="A1296" s="15" t="s">
        <v>38</v>
      </c>
      <c r="B1296" s="15" t="s">
        <v>345</v>
      </c>
      <c r="C1296" s="16">
        <v>0.98958333333333337</v>
      </c>
      <c r="D1296" s="15" t="s">
        <v>43</v>
      </c>
      <c r="E1296" s="15" t="s">
        <v>95</v>
      </c>
      <c r="F1296" s="15" t="s">
        <v>443</v>
      </c>
      <c r="G1296" s="298"/>
      <c r="H1296" s="10"/>
      <c r="I1296" s="11"/>
      <c r="J1296" s="11"/>
      <c r="K1296" s="11"/>
      <c r="L1296" s="11"/>
      <c r="M1296" s="11"/>
      <c r="N1296" s="11"/>
      <c r="O1296" s="12"/>
      <c r="P1296" s="11"/>
      <c r="Q1296" s="13"/>
      <c r="R1296" s="14"/>
    </row>
    <row r="1297" spans="1:18" ht="15" customHeight="1">
      <c r="A1297" s="15" t="s">
        <v>38</v>
      </c>
      <c r="B1297" s="15" t="s">
        <v>345</v>
      </c>
      <c r="C1297" s="16">
        <v>0.98958333333333337</v>
      </c>
      <c r="D1297" s="15" t="s">
        <v>46</v>
      </c>
      <c r="E1297" s="15" t="s">
        <v>95</v>
      </c>
      <c r="F1297" s="15" t="s">
        <v>47</v>
      </c>
      <c r="G1297" s="298"/>
      <c r="H1297" s="10"/>
      <c r="I1297" s="11"/>
      <c r="J1297" s="11"/>
      <c r="K1297" s="11"/>
      <c r="L1297" s="11"/>
      <c r="M1297" s="11"/>
      <c r="N1297" s="11"/>
      <c r="O1297" s="12"/>
      <c r="P1297" s="11"/>
      <c r="Q1297" s="13"/>
      <c r="R1297" s="14"/>
    </row>
    <row r="1298" spans="1:18" ht="15" customHeight="1">
      <c r="A1298" s="17" t="s">
        <v>38</v>
      </c>
      <c r="B1298" s="17" t="s">
        <v>344</v>
      </c>
      <c r="C1298" s="18">
        <v>0.88888888888888884</v>
      </c>
      <c r="D1298" s="17" t="s">
        <v>40</v>
      </c>
      <c r="E1298" s="17" t="s">
        <v>458</v>
      </c>
      <c r="F1298" s="17" t="s">
        <v>150</v>
      </c>
      <c r="G1298" s="298"/>
      <c r="H1298" s="10"/>
      <c r="I1298" s="11"/>
      <c r="J1298" s="11"/>
      <c r="K1298" s="11"/>
      <c r="L1298" s="11"/>
      <c r="M1298" s="11"/>
      <c r="N1298" s="11"/>
      <c r="O1298" s="12"/>
      <c r="P1298" s="11"/>
      <c r="Q1298" s="13"/>
      <c r="R1298" s="14"/>
    </row>
    <row r="1299" spans="1:18" ht="15" customHeight="1">
      <c r="A1299" s="15" t="s">
        <v>38</v>
      </c>
      <c r="B1299" s="15" t="s">
        <v>344</v>
      </c>
      <c r="C1299" s="16">
        <v>0.88888888888888884</v>
      </c>
      <c r="D1299" s="15" t="s">
        <v>43</v>
      </c>
      <c r="E1299" s="15" t="s">
        <v>155</v>
      </c>
      <c r="F1299" s="15" t="s">
        <v>455</v>
      </c>
      <c r="G1299" s="298"/>
      <c r="H1299" s="10"/>
      <c r="I1299" s="11"/>
      <c r="J1299" s="11"/>
      <c r="K1299" s="11"/>
      <c r="L1299" s="11"/>
      <c r="M1299" s="11"/>
      <c r="N1299" s="11"/>
      <c r="O1299" s="12"/>
      <c r="P1299" s="11"/>
      <c r="Q1299" s="13"/>
      <c r="R1299" s="14"/>
    </row>
    <row r="1300" spans="1:18" ht="15" customHeight="1">
      <c r="A1300" s="15" t="s">
        <v>38</v>
      </c>
      <c r="B1300" s="15" t="s">
        <v>344</v>
      </c>
      <c r="C1300" s="16">
        <v>0.88888888888888884</v>
      </c>
      <c r="D1300" s="15" t="s">
        <v>46</v>
      </c>
      <c r="E1300" s="15" t="s">
        <v>155</v>
      </c>
      <c r="F1300" s="15" t="s">
        <v>47</v>
      </c>
      <c r="G1300" s="298"/>
      <c r="H1300" s="10"/>
      <c r="I1300" s="11"/>
      <c r="J1300" s="11"/>
      <c r="K1300" s="11"/>
      <c r="L1300" s="11"/>
      <c r="M1300" s="11"/>
      <c r="N1300" s="11"/>
      <c r="O1300" s="12"/>
      <c r="P1300" s="11"/>
      <c r="Q1300" s="13"/>
      <c r="R1300" s="14"/>
    </row>
    <row r="1301" spans="1:18" ht="15" customHeight="1">
      <c r="A1301" s="19" t="s">
        <v>359</v>
      </c>
      <c r="B1301" s="19" t="s">
        <v>360</v>
      </c>
      <c r="C1301" s="20">
        <v>0.22916666666666671</v>
      </c>
      <c r="D1301" s="19" t="s">
        <v>361</v>
      </c>
      <c r="E1301" s="19" t="s">
        <v>80</v>
      </c>
      <c r="F1301" s="19" t="s">
        <v>504</v>
      </c>
      <c r="G1301" s="298"/>
      <c r="H1301" s="10"/>
      <c r="I1301" s="11"/>
      <c r="J1301" s="11"/>
      <c r="K1301" s="11"/>
      <c r="L1301" s="11"/>
      <c r="M1301" s="11"/>
      <c r="N1301" s="11"/>
      <c r="O1301" s="12"/>
      <c r="P1301" s="11"/>
      <c r="Q1301" s="13"/>
      <c r="R1301" s="14"/>
    </row>
    <row r="1302" spans="1:18" ht="15" customHeight="1">
      <c r="A1302" s="15" t="s">
        <v>359</v>
      </c>
      <c r="B1302" s="15" t="s">
        <v>360</v>
      </c>
      <c r="C1302" s="16">
        <v>0.22916666666666671</v>
      </c>
      <c r="D1302" s="15" t="s">
        <v>46</v>
      </c>
      <c r="E1302" s="15" t="s">
        <v>82</v>
      </c>
      <c r="F1302" s="15" t="s">
        <v>505</v>
      </c>
      <c r="G1302" s="298"/>
      <c r="H1302" s="10"/>
      <c r="I1302" s="11"/>
      <c r="J1302" s="11"/>
      <c r="K1302" s="11"/>
      <c r="L1302" s="11"/>
      <c r="M1302" s="11"/>
      <c r="N1302" s="11"/>
      <c r="O1302" s="12"/>
      <c r="P1302" s="11"/>
      <c r="Q1302" s="13"/>
      <c r="R1302" s="14"/>
    </row>
    <row r="1303" spans="1:18" ht="15" customHeight="1">
      <c r="A1303" s="19" t="s">
        <v>402</v>
      </c>
      <c r="B1303" s="19" t="s">
        <v>403</v>
      </c>
      <c r="C1303" s="20">
        <v>0.49305555555555558</v>
      </c>
      <c r="D1303" s="19" t="s">
        <v>63</v>
      </c>
      <c r="E1303" s="19" t="s">
        <v>103</v>
      </c>
      <c r="F1303" s="19" t="s">
        <v>404</v>
      </c>
      <c r="G1303" s="298"/>
      <c r="H1303" s="10"/>
      <c r="I1303" s="11"/>
      <c r="J1303" s="11"/>
      <c r="K1303" s="11"/>
      <c r="L1303" s="11"/>
      <c r="M1303" s="11"/>
      <c r="N1303" s="11"/>
      <c r="O1303" s="12"/>
      <c r="P1303" s="11"/>
      <c r="Q1303" s="13"/>
      <c r="R1303" s="14"/>
    </row>
    <row r="1304" spans="1:18" ht="15" customHeight="1">
      <c r="A1304" s="17" t="s">
        <v>402</v>
      </c>
      <c r="B1304" s="17" t="s">
        <v>465</v>
      </c>
      <c r="C1304" s="18">
        <v>0.2048611111111111</v>
      </c>
      <c r="D1304" s="17" t="s">
        <v>63</v>
      </c>
      <c r="E1304" s="17" t="s">
        <v>98</v>
      </c>
      <c r="F1304" s="17" t="s">
        <v>404</v>
      </c>
      <c r="G1304" s="298"/>
      <c r="H1304" s="10"/>
      <c r="I1304" s="11"/>
      <c r="J1304" s="11"/>
      <c r="K1304" s="11"/>
      <c r="L1304" s="11"/>
      <c r="M1304" s="11"/>
      <c r="N1304" s="11"/>
      <c r="O1304" s="12"/>
      <c r="P1304" s="11"/>
      <c r="Q1304" s="13"/>
      <c r="R1304" s="14"/>
    </row>
    <row r="1305" spans="1:18" ht="15" customHeight="1">
      <c r="A1305" s="21" t="s">
        <v>61</v>
      </c>
      <c r="B1305" s="21" t="s">
        <v>369</v>
      </c>
      <c r="C1305" s="22">
        <v>0.15625</v>
      </c>
      <c r="D1305" s="21" t="s">
        <v>63</v>
      </c>
      <c r="E1305" s="21" t="s">
        <v>51</v>
      </c>
      <c r="F1305" s="21" t="s">
        <v>79</v>
      </c>
      <c r="G1305" s="298"/>
      <c r="H1305" s="23" t="s">
        <v>370</v>
      </c>
      <c r="I1305" s="24">
        <v>1.11E-2</v>
      </c>
      <c r="J1305" s="25">
        <v>2</v>
      </c>
      <c r="K1305" s="26">
        <v>46342</v>
      </c>
      <c r="L1305" s="25">
        <v>5</v>
      </c>
      <c r="M1305" s="25">
        <v>0</v>
      </c>
      <c r="N1305" s="25">
        <v>0</v>
      </c>
      <c r="O1305" s="27" t="s">
        <v>292</v>
      </c>
      <c r="P1305" s="28">
        <v>0.15625</v>
      </c>
      <c r="Q1305" s="25">
        <v>180</v>
      </c>
      <c r="R1305" s="29" t="s">
        <v>298</v>
      </c>
    </row>
    <row r="1306" spans="1:18" ht="15" customHeight="1">
      <c r="A1306" s="162" t="s">
        <v>61</v>
      </c>
      <c r="B1306" s="162" t="s">
        <v>432</v>
      </c>
      <c r="C1306" s="163">
        <v>0.33333333333333331</v>
      </c>
      <c r="D1306" s="162" t="s">
        <v>63</v>
      </c>
      <c r="E1306" s="162" t="s">
        <v>435</v>
      </c>
      <c r="F1306" s="162" t="s">
        <v>79</v>
      </c>
      <c r="G1306" s="298"/>
      <c r="H1306" s="60" t="s">
        <v>433</v>
      </c>
      <c r="I1306" s="61">
        <v>3.3300000000000003E-2</v>
      </c>
      <c r="J1306" s="62">
        <v>6</v>
      </c>
      <c r="K1306" s="63">
        <v>46313</v>
      </c>
      <c r="L1306" s="62">
        <v>6</v>
      </c>
      <c r="M1306" s="62">
        <v>0</v>
      </c>
      <c r="N1306" s="62">
        <v>0</v>
      </c>
      <c r="O1306" s="64" t="s">
        <v>299</v>
      </c>
      <c r="P1306" s="65">
        <v>0.33333333333333331</v>
      </c>
      <c r="Q1306" s="62">
        <v>180</v>
      </c>
      <c r="R1306" s="66" t="s">
        <v>436</v>
      </c>
    </row>
    <row r="1307" spans="1:18" ht="15" customHeight="1">
      <c r="A1307" s="148" t="s">
        <v>61</v>
      </c>
      <c r="B1307" s="148" t="s">
        <v>377</v>
      </c>
      <c r="C1307" s="149">
        <v>0.4548611111111111</v>
      </c>
      <c r="D1307" s="148" t="s">
        <v>63</v>
      </c>
      <c r="E1307" s="148" t="s">
        <v>134</v>
      </c>
      <c r="F1307" s="148" t="s">
        <v>79</v>
      </c>
      <c r="G1307" s="298"/>
      <c r="H1307" s="51" t="s">
        <v>378</v>
      </c>
      <c r="I1307" s="52">
        <v>6.6699999999999995E-2</v>
      </c>
      <c r="J1307" s="53">
        <v>12</v>
      </c>
      <c r="K1307" s="54">
        <v>46338</v>
      </c>
      <c r="L1307" s="53">
        <v>12</v>
      </c>
      <c r="M1307" s="53">
        <v>0</v>
      </c>
      <c r="N1307" s="53">
        <v>0</v>
      </c>
      <c r="O1307" s="55" t="s">
        <v>302</v>
      </c>
      <c r="P1307" s="56">
        <v>0.4548611111111111</v>
      </c>
      <c r="Q1307" s="53">
        <v>180</v>
      </c>
      <c r="R1307" s="57" t="s">
        <v>520</v>
      </c>
    </row>
    <row r="1308" spans="1:18" ht="15" customHeight="1">
      <c r="A1308" s="152" t="s">
        <v>61</v>
      </c>
      <c r="B1308" s="152" t="s">
        <v>379</v>
      </c>
      <c r="C1308" s="153">
        <v>0.82986111111111116</v>
      </c>
      <c r="D1308" s="152" t="s">
        <v>63</v>
      </c>
      <c r="E1308" s="152" t="s">
        <v>134</v>
      </c>
      <c r="F1308" s="152" t="s">
        <v>79</v>
      </c>
      <c r="G1308" s="298"/>
      <c r="H1308" s="100" t="s">
        <v>380</v>
      </c>
      <c r="I1308" s="101">
        <v>8.8900000000000007E-2</v>
      </c>
      <c r="J1308" s="102">
        <v>16</v>
      </c>
      <c r="K1308" s="103">
        <v>46345</v>
      </c>
      <c r="L1308" s="102">
        <v>16</v>
      </c>
      <c r="M1308" s="102">
        <v>0</v>
      </c>
      <c r="N1308" s="102">
        <v>0</v>
      </c>
      <c r="O1308" s="104" t="s">
        <v>304</v>
      </c>
      <c r="P1308" s="105">
        <v>0.82986111111111116</v>
      </c>
      <c r="Q1308" s="102">
        <v>180</v>
      </c>
      <c r="R1308" s="106" t="s">
        <v>521</v>
      </c>
    </row>
    <row r="1309" spans="1:18" ht="15" customHeight="1">
      <c r="A1309" s="150" t="s">
        <v>61</v>
      </c>
      <c r="B1309" s="150" t="s">
        <v>375</v>
      </c>
      <c r="C1309" s="151">
        <v>0.1423611111111111</v>
      </c>
      <c r="D1309" s="150" t="s">
        <v>63</v>
      </c>
      <c r="E1309" s="150" t="s">
        <v>57</v>
      </c>
      <c r="F1309" s="150" t="s">
        <v>449</v>
      </c>
      <c r="G1309" s="298"/>
      <c r="H1309" s="80" t="s">
        <v>376</v>
      </c>
      <c r="I1309" s="81">
        <v>7.22E-2</v>
      </c>
      <c r="J1309" s="82">
        <v>13</v>
      </c>
      <c r="K1309" s="83">
        <v>46338</v>
      </c>
      <c r="L1309" s="82">
        <v>14</v>
      </c>
      <c r="M1309" s="82">
        <v>0</v>
      </c>
      <c r="N1309" s="82">
        <v>0</v>
      </c>
      <c r="O1309" s="84" t="s">
        <v>67</v>
      </c>
      <c r="P1309" s="85">
        <v>0.1423611111111111</v>
      </c>
      <c r="Q1309" s="82">
        <v>180</v>
      </c>
      <c r="R1309" s="86" t="s">
        <v>522</v>
      </c>
    </row>
    <row r="1310" spans="1:18" ht="15" customHeight="1">
      <c r="A1310" s="19" t="s">
        <v>26</v>
      </c>
      <c r="B1310" s="19" t="s">
        <v>353</v>
      </c>
      <c r="C1310" s="20">
        <v>0.88888888888888884</v>
      </c>
      <c r="D1310" s="19" t="s">
        <v>28</v>
      </c>
      <c r="E1310" s="19" t="s">
        <v>29</v>
      </c>
      <c r="F1310" s="19" t="s">
        <v>79</v>
      </c>
      <c r="G1310" s="298"/>
      <c r="H1310" s="10"/>
      <c r="I1310" s="11"/>
      <c r="J1310" s="11"/>
      <c r="K1310" s="11"/>
      <c r="L1310" s="11"/>
      <c r="M1310" s="11"/>
      <c r="N1310" s="11"/>
      <c r="O1310" s="12"/>
      <c r="P1310" s="11"/>
      <c r="Q1310" s="13"/>
      <c r="R1310" s="14"/>
    </row>
    <row r="1311" spans="1:18" ht="15" customHeight="1">
      <c r="A1311" s="15" t="s">
        <v>26</v>
      </c>
      <c r="B1311" s="15" t="s">
        <v>353</v>
      </c>
      <c r="C1311" s="16">
        <v>0.88888888888888884</v>
      </c>
      <c r="D1311" s="15" t="s">
        <v>31</v>
      </c>
      <c r="E1311" s="15" t="s">
        <v>32</v>
      </c>
      <c r="F1311" s="15" t="s">
        <v>123</v>
      </c>
      <c r="G1311" s="298"/>
      <c r="H1311" s="10"/>
      <c r="I1311" s="11"/>
      <c r="J1311" s="11"/>
      <c r="K1311" s="11"/>
      <c r="L1311" s="11"/>
      <c r="M1311" s="11"/>
      <c r="N1311" s="11"/>
      <c r="O1311" s="12"/>
      <c r="P1311" s="11"/>
      <c r="Q1311" s="13"/>
      <c r="R1311" s="14"/>
    </row>
    <row r="1312" spans="1:18" ht="15" customHeight="1">
      <c r="A1312" s="15" t="s">
        <v>26</v>
      </c>
      <c r="B1312" s="15" t="s">
        <v>353</v>
      </c>
      <c r="C1312" s="16">
        <v>0.88888888888888884</v>
      </c>
      <c r="D1312" s="15" t="s">
        <v>34</v>
      </c>
      <c r="E1312" s="15" t="s">
        <v>32</v>
      </c>
      <c r="F1312" s="15" t="s">
        <v>118</v>
      </c>
      <c r="G1312" s="298"/>
      <c r="H1312" s="10"/>
      <c r="I1312" s="11"/>
      <c r="J1312" s="11"/>
      <c r="K1312" s="11"/>
      <c r="L1312" s="11"/>
      <c r="M1312" s="11"/>
      <c r="N1312" s="11"/>
      <c r="O1312" s="12"/>
      <c r="P1312" s="11"/>
      <c r="Q1312" s="13"/>
      <c r="R1312" s="14"/>
    </row>
    <row r="1313" spans="1:18" ht="15" customHeight="1">
      <c r="A1313" s="17" t="s">
        <v>26</v>
      </c>
      <c r="B1313" s="17" t="s">
        <v>354</v>
      </c>
      <c r="C1313" s="18">
        <v>0.34722222222222232</v>
      </c>
      <c r="D1313" s="17" t="s">
        <v>28</v>
      </c>
      <c r="E1313" s="17" t="s">
        <v>98</v>
      </c>
      <c r="F1313" s="17" t="s">
        <v>45</v>
      </c>
      <c r="G1313" s="298"/>
      <c r="H1313" s="10"/>
      <c r="I1313" s="11"/>
      <c r="J1313" s="11"/>
      <c r="K1313" s="11"/>
      <c r="L1313" s="11"/>
      <c r="M1313" s="11"/>
      <c r="N1313" s="11"/>
      <c r="O1313" s="12"/>
      <c r="P1313" s="11"/>
      <c r="Q1313" s="13"/>
      <c r="R1313" s="14"/>
    </row>
    <row r="1314" spans="1:18" ht="15" customHeight="1">
      <c r="A1314" s="15" t="s">
        <v>26</v>
      </c>
      <c r="B1314" s="15" t="s">
        <v>354</v>
      </c>
      <c r="C1314" s="16">
        <v>0.34722222222222232</v>
      </c>
      <c r="D1314" s="15" t="s">
        <v>31</v>
      </c>
      <c r="E1314" s="15" t="s">
        <v>99</v>
      </c>
      <c r="F1314" s="15" t="s">
        <v>355</v>
      </c>
      <c r="G1314" s="298"/>
      <c r="H1314" s="10"/>
      <c r="I1314" s="11"/>
      <c r="J1314" s="11"/>
      <c r="K1314" s="11"/>
      <c r="L1314" s="11"/>
      <c r="M1314" s="11"/>
      <c r="N1314" s="11"/>
      <c r="O1314" s="12"/>
      <c r="P1314" s="11"/>
      <c r="Q1314" s="13"/>
      <c r="R1314" s="14"/>
    </row>
    <row r="1315" spans="1:18" ht="15" customHeight="1">
      <c r="A1315" s="15" t="s">
        <v>26</v>
      </c>
      <c r="B1315" s="15" t="s">
        <v>354</v>
      </c>
      <c r="C1315" s="16">
        <v>0.34722222222222232</v>
      </c>
      <c r="D1315" s="15" t="s">
        <v>34</v>
      </c>
      <c r="E1315" s="15" t="s">
        <v>99</v>
      </c>
      <c r="F1315" s="15" t="s">
        <v>358</v>
      </c>
      <c r="G1315" s="298"/>
      <c r="H1315" s="10"/>
      <c r="I1315" s="11"/>
      <c r="J1315" s="11"/>
      <c r="K1315" s="11"/>
      <c r="L1315" s="11"/>
      <c r="M1315" s="11"/>
      <c r="N1315" s="11"/>
      <c r="O1315" s="12"/>
      <c r="P1315" s="11"/>
      <c r="Q1315" s="13"/>
      <c r="R1315" s="14"/>
    </row>
    <row r="1316" spans="1:18" ht="15" customHeight="1">
      <c r="A1316" s="17" t="s">
        <v>26</v>
      </c>
      <c r="B1316" s="17" t="s">
        <v>348</v>
      </c>
      <c r="C1316" s="18">
        <v>0.99305555555555547</v>
      </c>
      <c r="D1316" s="17" t="s">
        <v>28</v>
      </c>
      <c r="E1316" s="17" t="s">
        <v>98</v>
      </c>
      <c r="F1316" s="17" t="s">
        <v>45</v>
      </c>
      <c r="G1316" s="298"/>
      <c r="H1316" s="10"/>
      <c r="I1316" s="11"/>
      <c r="J1316" s="11"/>
      <c r="K1316" s="11"/>
      <c r="L1316" s="11"/>
      <c r="M1316" s="11"/>
      <c r="N1316" s="11"/>
      <c r="O1316" s="12"/>
      <c r="P1316" s="11"/>
      <c r="Q1316" s="13"/>
      <c r="R1316" s="14"/>
    </row>
    <row r="1317" spans="1:18" ht="15" customHeight="1">
      <c r="A1317" s="15" t="s">
        <v>26</v>
      </c>
      <c r="B1317" s="15" t="s">
        <v>348</v>
      </c>
      <c r="C1317" s="16">
        <v>0.99305555555555547</v>
      </c>
      <c r="D1317" s="15" t="s">
        <v>31</v>
      </c>
      <c r="E1317" s="15" t="s">
        <v>99</v>
      </c>
      <c r="F1317" s="15" t="s">
        <v>355</v>
      </c>
      <c r="G1317" s="298"/>
      <c r="H1317" s="10"/>
      <c r="I1317" s="11"/>
      <c r="J1317" s="11"/>
      <c r="K1317" s="11"/>
      <c r="L1317" s="11"/>
      <c r="M1317" s="11"/>
      <c r="N1317" s="11"/>
      <c r="O1317" s="12"/>
      <c r="P1317" s="11"/>
      <c r="Q1317" s="13"/>
      <c r="R1317" s="14"/>
    </row>
    <row r="1318" spans="1:18" ht="15" customHeight="1">
      <c r="A1318" s="15" t="s">
        <v>26</v>
      </c>
      <c r="B1318" s="15" t="s">
        <v>348</v>
      </c>
      <c r="C1318" s="16">
        <v>0.99305555555555547</v>
      </c>
      <c r="D1318" s="15" t="s">
        <v>34</v>
      </c>
      <c r="E1318" s="15" t="s">
        <v>99</v>
      </c>
      <c r="F1318" s="15" t="s">
        <v>358</v>
      </c>
      <c r="G1318" s="298"/>
      <c r="H1318" s="10"/>
      <c r="I1318" s="11"/>
      <c r="J1318" s="11"/>
      <c r="K1318" s="11"/>
      <c r="L1318" s="11"/>
      <c r="M1318" s="11"/>
      <c r="N1318" s="11"/>
      <c r="O1318" s="12"/>
      <c r="P1318" s="11"/>
      <c r="Q1318" s="13"/>
      <c r="R1318" s="14"/>
    </row>
    <row r="1319" spans="1:18" ht="15" customHeight="1">
      <c r="A1319" s="17" t="s">
        <v>26</v>
      </c>
      <c r="B1319" s="17" t="s">
        <v>350</v>
      </c>
      <c r="C1319" s="18">
        <v>0.73611111111111116</v>
      </c>
      <c r="D1319" s="17" t="s">
        <v>28</v>
      </c>
      <c r="E1319" s="17" t="s">
        <v>98</v>
      </c>
      <c r="F1319" s="17" t="s">
        <v>45</v>
      </c>
      <c r="G1319" s="298"/>
      <c r="H1319" s="10"/>
      <c r="I1319" s="11"/>
      <c r="J1319" s="11"/>
      <c r="K1319" s="11"/>
      <c r="L1319" s="11"/>
      <c r="M1319" s="11"/>
      <c r="N1319" s="11"/>
      <c r="O1319" s="12"/>
      <c r="P1319" s="11"/>
      <c r="Q1319" s="13"/>
      <c r="R1319" s="14"/>
    </row>
    <row r="1320" spans="1:18" ht="15" customHeight="1">
      <c r="A1320" s="15" t="s">
        <v>26</v>
      </c>
      <c r="B1320" s="15" t="s">
        <v>350</v>
      </c>
      <c r="C1320" s="16">
        <v>0.73611111111111116</v>
      </c>
      <c r="D1320" s="15" t="s">
        <v>31</v>
      </c>
      <c r="E1320" s="15" t="s">
        <v>99</v>
      </c>
      <c r="F1320" s="15" t="s">
        <v>355</v>
      </c>
      <c r="G1320" s="298"/>
      <c r="H1320" s="10"/>
      <c r="I1320" s="11"/>
      <c r="J1320" s="11"/>
      <c r="K1320" s="11"/>
      <c r="L1320" s="11"/>
      <c r="M1320" s="11"/>
      <c r="N1320" s="11"/>
      <c r="O1320" s="12"/>
      <c r="P1320" s="11"/>
      <c r="Q1320" s="13"/>
      <c r="R1320" s="14"/>
    </row>
    <row r="1321" spans="1:18" ht="15" customHeight="1">
      <c r="A1321" s="15" t="s">
        <v>26</v>
      </c>
      <c r="B1321" s="15" t="s">
        <v>350</v>
      </c>
      <c r="C1321" s="16">
        <v>0.73611111111111116</v>
      </c>
      <c r="D1321" s="15" t="s">
        <v>34</v>
      </c>
      <c r="E1321" s="15" t="s">
        <v>99</v>
      </c>
      <c r="F1321" s="15" t="s">
        <v>358</v>
      </c>
      <c r="G1321" s="298"/>
      <c r="H1321" s="10"/>
      <c r="I1321" s="11"/>
      <c r="J1321" s="11"/>
      <c r="K1321" s="11"/>
      <c r="L1321" s="11"/>
      <c r="M1321" s="11"/>
      <c r="N1321" s="11"/>
      <c r="O1321" s="12"/>
      <c r="P1321" s="11"/>
      <c r="Q1321" s="13"/>
      <c r="R1321" s="14"/>
    </row>
    <row r="1322" spans="1:18" ht="15" customHeight="1">
      <c r="A1322" s="17" t="s">
        <v>26</v>
      </c>
      <c r="B1322" s="17" t="s">
        <v>351</v>
      </c>
      <c r="C1322" s="18">
        <v>0.83680555555555547</v>
      </c>
      <c r="D1322" s="17" t="s">
        <v>28</v>
      </c>
      <c r="E1322" s="17" t="s">
        <v>200</v>
      </c>
      <c r="F1322" s="17" t="s">
        <v>45</v>
      </c>
      <c r="G1322" s="298"/>
      <c r="H1322" s="10"/>
      <c r="I1322" s="11"/>
      <c r="J1322" s="11"/>
      <c r="K1322" s="11"/>
      <c r="L1322" s="11"/>
      <c r="M1322" s="11"/>
      <c r="N1322" s="11"/>
      <c r="O1322" s="12"/>
      <c r="P1322" s="11"/>
      <c r="Q1322" s="13"/>
      <c r="R1322" s="14"/>
    </row>
    <row r="1323" spans="1:18" ht="15" customHeight="1">
      <c r="A1323" s="15" t="s">
        <v>26</v>
      </c>
      <c r="B1323" s="15" t="s">
        <v>351</v>
      </c>
      <c r="C1323" s="16">
        <v>0.83680555555555547</v>
      </c>
      <c r="D1323" s="15" t="s">
        <v>31</v>
      </c>
      <c r="E1323" s="15" t="s">
        <v>127</v>
      </c>
      <c r="F1323" s="15" t="s">
        <v>355</v>
      </c>
      <c r="G1323" s="298"/>
      <c r="H1323" s="10"/>
      <c r="I1323" s="11"/>
      <c r="J1323" s="11"/>
      <c r="K1323" s="11"/>
      <c r="L1323" s="11"/>
      <c r="M1323" s="11"/>
      <c r="N1323" s="11"/>
      <c r="O1323" s="12"/>
      <c r="P1323" s="11"/>
      <c r="Q1323" s="13"/>
      <c r="R1323" s="14"/>
    </row>
    <row r="1324" spans="1:18" ht="15" customHeight="1">
      <c r="A1324" s="15" t="s">
        <v>26</v>
      </c>
      <c r="B1324" s="15" t="s">
        <v>351</v>
      </c>
      <c r="C1324" s="16">
        <v>0.83680555555555547</v>
      </c>
      <c r="D1324" s="15" t="s">
        <v>34</v>
      </c>
      <c r="E1324" s="15" t="s">
        <v>127</v>
      </c>
      <c r="F1324" s="15" t="s">
        <v>358</v>
      </c>
      <c r="G1324" s="298"/>
      <c r="H1324" s="10"/>
      <c r="I1324" s="11"/>
      <c r="J1324" s="11"/>
      <c r="K1324" s="11"/>
      <c r="L1324" s="11"/>
      <c r="M1324" s="11"/>
      <c r="N1324" s="11"/>
      <c r="O1324" s="12"/>
      <c r="P1324" s="11"/>
      <c r="Q1324" s="13"/>
      <c r="R1324" s="14"/>
    </row>
    <row r="1325" spans="1:18" ht="15" customHeight="1">
      <c r="A1325" s="17" t="s">
        <v>26</v>
      </c>
      <c r="B1325" s="17" t="s">
        <v>352</v>
      </c>
      <c r="C1325" s="18">
        <v>0.94444444444444453</v>
      </c>
      <c r="D1325" s="17" t="s">
        <v>28</v>
      </c>
      <c r="E1325" s="17" t="s">
        <v>372</v>
      </c>
      <c r="F1325" s="17" t="s">
        <v>45</v>
      </c>
      <c r="G1325" s="298"/>
      <c r="H1325" s="10"/>
      <c r="I1325" s="11"/>
      <c r="J1325" s="11"/>
      <c r="K1325" s="11"/>
      <c r="L1325" s="11"/>
      <c r="M1325" s="11"/>
      <c r="N1325" s="11"/>
      <c r="O1325" s="12"/>
      <c r="P1325" s="11"/>
      <c r="Q1325" s="13"/>
      <c r="R1325" s="14"/>
    </row>
    <row r="1326" spans="1:18" ht="15" customHeight="1">
      <c r="A1326" s="15" t="s">
        <v>26</v>
      </c>
      <c r="B1326" s="15" t="s">
        <v>352</v>
      </c>
      <c r="C1326" s="16">
        <v>0.94444444444444453</v>
      </c>
      <c r="D1326" s="15" t="s">
        <v>31</v>
      </c>
      <c r="E1326" s="15" t="s">
        <v>454</v>
      </c>
      <c r="F1326" s="15" t="s">
        <v>355</v>
      </c>
      <c r="G1326" s="298"/>
      <c r="H1326" s="10"/>
      <c r="I1326" s="11"/>
      <c r="J1326" s="11"/>
      <c r="K1326" s="11"/>
      <c r="L1326" s="11"/>
      <c r="M1326" s="11"/>
      <c r="N1326" s="11"/>
      <c r="O1326" s="12"/>
      <c r="P1326" s="11"/>
      <c r="Q1326" s="13"/>
      <c r="R1326" s="14"/>
    </row>
    <row r="1327" spans="1:18" ht="15" customHeight="1">
      <c r="A1327" s="15" t="s">
        <v>26</v>
      </c>
      <c r="B1327" s="15" t="s">
        <v>352</v>
      </c>
      <c r="C1327" s="16">
        <v>0.94444444444444453</v>
      </c>
      <c r="D1327" s="15" t="s">
        <v>34</v>
      </c>
      <c r="E1327" s="15" t="s">
        <v>454</v>
      </c>
      <c r="F1327" s="15" t="s">
        <v>358</v>
      </c>
      <c r="G1327" s="298"/>
      <c r="H1327" s="10"/>
      <c r="I1327" s="11"/>
      <c r="J1327" s="11"/>
      <c r="K1327" s="11"/>
      <c r="L1327" s="11"/>
      <c r="M1327" s="11"/>
      <c r="N1327" s="11"/>
      <c r="O1327" s="12"/>
      <c r="P1327" s="11"/>
      <c r="Q1327" s="13"/>
      <c r="R1327" s="14"/>
    </row>
    <row r="1328" spans="1:18" ht="15" customHeight="1">
      <c r="A1328" s="17" t="s">
        <v>26</v>
      </c>
      <c r="B1328" s="17" t="s">
        <v>356</v>
      </c>
      <c r="C1328" s="18">
        <v>0.4861111111111111</v>
      </c>
      <c r="D1328" s="17" t="s">
        <v>28</v>
      </c>
      <c r="E1328" s="17" t="s">
        <v>37</v>
      </c>
      <c r="F1328" s="17" t="s">
        <v>45</v>
      </c>
      <c r="G1328" s="298"/>
      <c r="H1328" s="10"/>
      <c r="I1328" s="11"/>
      <c r="J1328" s="11"/>
      <c r="K1328" s="11"/>
      <c r="L1328" s="11"/>
      <c r="M1328" s="11"/>
      <c r="N1328" s="11"/>
      <c r="O1328" s="12"/>
      <c r="P1328" s="11"/>
      <c r="Q1328" s="13"/>
      <c r="R1328" s="14"/>
    </row>
    <row r="1329" spans="1:18" ht="15" customHeight="1">
      <c r="A1329" s="15" t="s">
        <v>26</v>
      </c>
      <c r="B1329" s="15" t="s">
        <v>356</v>
      </c>
      <c r="C1329" s="16">
        <v>0.4861111111111111</v>
      </c>
      <c r="D1329" s="15" t="s">
        <v>31</v>
      </c>
      <c r="E1329" s="15" t="s">
        <v>32</v>
      </c>
      <c r="F1329" s="15" t="s">
        <v>355</v>
      </c>
      <c r="G1329" s="298"/>
      <c r="H1329" s="10"/>
      <c r="I1329" s="11"/>
      <c r="J1329" s="11"/>
      <c r="K1329" s="11"/>
      <c r="L1329" s="11"/>
      <c r="M1329" s="11"/>
      <c r="N1329" s="11"/>
      <c r="O1329" s="12"/>
      <c r="P1329" s="11"/>
      <c r="Q1329" s="13"/>
      <c r="R1329" s="14"/>
    </row>
    <row r="1330" spans="1:18" ht="15" customHeight="1">
      <c r="A1330" s="15" t="s">
        <v>26</v>
      </c>
      <c r="B1330" s="15" t="s">
        <v>356</v>
      </c>
      <c r="C1330" s="16">
        <v>0.4861111111111111</v>
      </c>
      <c r="D1330" s="15" t="s">
        <v>34</v>
      </c>
      <c r="E1330" s="15" t="s">
        <v>32</v>
      </c>
      <c r="F1330" s="15" t="s">
        <v>358</v>
      </c>
      <c r="G1330" s="298"/>
      <c r="H1330" s="10"/>
      <c r="I1330" s="11"/>
      <c r="J1330" s="11"/>
      <c r="K1330" s="11"/>
      <c r="L1330" s="11"/>
      <c r="M1330" s="11"/>
      <c r="N1330" s="11"/>
      <c r="O1330" s="12"/>
      <c r="P1330" s="11"/>
      <c r="Q1330" s="13"/>
      <c r="R1330" s="14"/>
    </row>
    <row r="1331" spans="1:18" ht="15" customHeight="1">
      <c r="A1331" s="17" t="s">
        <v>26</v>
      </c>
      <c r="B1331" s="17" t="s">
        <v>357</v>
      </c>
      <c r="C1331" s="18">
        <v>0.3923611111111111</v>
      </c>
      <c r="D1331" s="17" t="s">
        <v>28</v>
      </c>
      <c r="E1331" s="17" t="s">
        <v>90</v>
      </c>
      <c r="F1331" s="17" t="s">
        <v>45</v>
      </c>
      <c r="G1331" s="298"/>
      <c r="H1331" s="10"/>
      <c r="I1331" s="11"/>
      <c r="J1331" s="11"/>
      <c r="K1331" s="11"/>
      <c r="L1331" s="11"/>
      <c r="M1331" s="11"/>
      <c r="N1331" s="11"/>
      <c r="O1331" s="12"/>
      <c r="P1331" s="11"/>
      <c r="Q1331" s="13"/>
      <c r="R1331" s="14"/>
    </row>
    <row r="1332" spans="1:18" ht="15" customHeight="1">
      <c r="A1332" s="15" t="s">
        <v>26</v>
      </c>
      <c r="B1332" s="15" t="s">
        <v>357</v>
      </c>
      <c r="C1332" s="16">
        <v>0.3923611111111111</v>
      </c>
      <c r="D1332" s="15" t="s">
        <v>31</v>
      </c>
      <c r="E1332" s="15" t="s">
        <v>82</v>
      </c>
      <c r="F1332" s="15" t="s">
        <v>355</v>
      </c>
      <c r="G1332" s="298"/>
      <c r="H1332" s="10"/>
      <c r="I1332" s="11"/>
      <c r="J1332" s="11"/>
      <c r="K1332" s="11"/>
      <c r="L1332" s="11"/>
      <c r="M1332" s="11"/>
      <c r="N1332" s="11"/>
      <c r="O1332" s="12"/>
      <c r="P1332" s="11"/>
      <c r="Q1332" s="13"/>
      <c r="R1332" s="14"/>
    </row>
    <row r="1333" spans="1:18" ht="15" customHeight="1">
      <c r="A1333" s="15" t="s">
        <v>26</v>
      </c>
      <c r="B1333" s="15" t="s">
        <v>357</v>
      </c>
      <c r="C1333" s="16">
        <v>0.3923611111111111</v>
      </c>
      <c r="D1333" s="15" t="s">
        <v>34</v>
      </c>
      <c r="E1333" s="15" t="s">
        <v>82</v>
      </c>
      <c r="F1333" s="15" t="s">
        <v>358</v>
      </c>
      <c r="G1333" s="298"/>
      <c r="H1333" s="10"/>
      <c r="I1333" s="11"/>
      <c r="J1333" s="11"/>
      <c r="K1333" s="11"/>
      <c r="L1333" s="11"/>
      <c r="M1333" s="11"/>
      <c r="N1333" s="11"/>
      <c r="O1333" s="12"/>
      <c r="P1333" s="11"/>
      <c r="Q1333" s="13"/>
      <c r="R1333" s="14"/>
    </row>
    <row r="1334" spans="1:18" ht="15" customHeight="1">
      <c r="A1334" s="19" t="s">
        <v>68</v>
      </c>
      <c r="B1334" s="19" t="s">
        <v>407</v>
      </c>
      <c r="C1334" s="20">
        <v>0.3125</v>
      </c>
      <c r="D1334" s="19" t="s">
        <v>70</v>
      </c>
      <c r="E1334" s="19" t="s">
        <v>51</v>
      </c>
      <c r="F1334" s="19" t="s">
        <v>412</v>
      </c>
      <c r="G1334" s="298"/>
      <c r="H1334" s="10"/>
      <c r="I1334" s="11"/>
      <c r="J1334" s="11"/>
      <c r="K1334" s="11"/>
      <c r="L1334" s="11"/>
      <c r="M1334" s="11"/>
      <c r="N1334" s="11"/>
      <c r="O1334" s="12"/>
      <c r="P1334" s="11"/>
      <c r="Q1334" s="13"/>
      <c r="R1334" s="14"/>
    </row>
    <row r="1335" spans="1:18" ht="15" customHeight="1">
      <c r="A1335" s="17" t="s">
        <v>68</v>
      </c>
      <c r="B1335" s="17" t="s">
        <v>408</v>
      </c>
      <c r="C1335" s="18">
        <v>0.97222222222222221</v>
      </c>
      <c r="D1335" s="17" t="s">
        <v>70</v>
      </c>
      <c r="E1335" s="17" t="s">
        <v>57</v>
      </c>
      <c r="F1335" s="17" t="s">
        <v>412</v>
      </c>
      <c r="G1335" s="298"/>
      <c r="H1335" s="10"/>
      <c r="I1335" s="11"/>
      <c r="J1335" s="11"/>
      <c r="K1335" s="11"/>
      <c r="L1335" s="11"/>
      <c r="M1335" s="11"/>
      <c r="N1335" s="11"/>
      <c r="O1335" s="12"/>
      <c r="P1335" s="11"/>
      <c r="Q1335" s="13"/>
      <c r="R1335" s="14"/>
    </row>
    <row r="1336" spans="1:18" ht="15" customHeight="1">
      <c r="A1336" s="17" t="s">
        <v>68</v>
      </c>
      <c r="B1336" s="17" t="s">
        <v>437</v>
      </c>
      <c r="C1336" s="18">
        <v>0.1041666666666667</v>
      </c>
      <c r="D1336" s="17" t="s">
        <v>70</v>
      </c>
      <c r="E1336" s="17" t="s">
        <v>57</v>
      </c>
      <c r="F1336" s="17" t="s">
        <v>412</v>
      </c>
      <c r="G1336" s="298"/>
      <c r="H1336" s="10"/>
      <c r="I1336" s="11"/>
      <c r="J1336" s="11"/>
      <c r="K1336" s="11"/>
      <c r="L1336" s="11"/>
      <c r="M1336" s="11"/>
      <c r="N1336" s="11"/>
      <c r="O1336" s="12"/>
      <c r="P1336" s="11"/>
      <c r="Q1336" s="13"/>
      <c r="R1336" s="14"/>
    </row>
    <row r="1337" spans="1:18" ht="15" customHeight="1">
      <c r="A1337" s="17" t="s">
        <v>68</v>
      </c>
      <c r="B1337" s="17" t="s">
        <v>411</v>
      </c>
      <c r="C1337" s="18">
        <v>0.78472222222222221</v>
      </c>
      <c r="D1337" s="17" t="s">
        <v>70</v>
      </c>
      <c r="E1337" s="17" t="s">
        <v>57</v>
      </c>
      <c r="F1337" s="17" t="s">
        <v>412</v>
      </c>
      <c r="G1337" s="298"/>
      <c r="H1337" s="10"/>
      <c r="I1337" s="11"/>
      <c r="J1337" s="11"/>
      <c r="K1337" s="11"/>
      <c r="L1337" s="11"/>
      <c r="M1337" s="11"/>
      <c r="N1337" s="11"/>
      <c r="O1337" s="12"/>
      <c r="P1337" s="11"/>
      <c r="Q1337" s="13"/>
      <c r="R1337" s="14"/>
    </row>
    <row r="1338" spans="1:18" ht="15" customHeight="1">
      <c r="A1338" s="17" t="s">
        <v>68</v>
      </c>
      <c r="B1338" s="17" t="s">
        <v>413</v>
      </c>
      <c r="C1338" s="18">
        <v>4.8611111111111112E-2</v>
      </c>
      <c r="D1338" s="17" t="s">
        <v>70</v>
      </c>
      <c r="E1338" s="17" t="s">
        <v>57</v>
      </c>
      <c r="F1338" s="17" t="s">
        <v>412</v>
      </c>
      <c r="G1338" s="298"/>
      <c r="H1338" s="10"/>
      <c r="I1338" s="11"/>
      <c r="J1338" s="11"/>
      <c r="K1338" s="11"/>
      <c r="L1338" s="11"/>
      <c r="M1338" s="11"/>
      <c r="N1338" s="11"/>
      <c r="O1338" s="12"/>
      <c r="P1338" s="11"/>
      <c r="Q1338" s="13"/>
      <c r="R1338" s="14"/>
    </row>
    <row r="1339" spans="1:18" ht="15" customHeight="1">
      <c r="A1339" s="17" t="s">
        <v>68</v>
      </c>
      <c r="B1339" s="17" t="s">
        <v>405</v>
      </c>
      <c r="C1339" s="18">
        <v>0.83680555555555547</v>
      </c>
      <c r="D1339" s="17" t="s">
        <v>70</v>
      </c>
      <c r="E1339" s="17" t="s">
        <v>57</v>
      </c>
      <c r="F1339" s="17" t="s">
        <v>523</v>
      </c>
      <c r="G1339" s="298"/>
      <c r="H1339" s="10"/>
      <c r="I1339" s="11"/>
      <c r="J1339" s="11"/>
      <c r="K1339" s="11"/>
      <c r="L1339" s="11"/>
      <c r="M1339" s="11"/>
      <c r="N1339" s="11"/>
      <c r="O1339" s="12"/>
      <c r="P1339" s="11"/>
      <c r="Q1339" s="13"/>
      <c r="R1339" s="14"/>
    </row>
    <row r="1340" spans="1:18" ht="15" customHeight="1">
      <c r="A1340" s="17" t="s">
        <v>68</v>
      </c>
      <c r="B1340" s="17" t="s">
        <v>410</v>
      </c>
      <c r="C1340" s="18">
        <v>0.59722222222222221</v>
      </c>
      <c r="D1340" s="17" t="s">
        <v>70</v>
      </c>
      <c r="E1340" s="17" t="s">
        <v>57</v>
      </c>
      <c r="F1340" s="17" t="s">
        <v>524</v>
      </c>
      <c r="G1340" s="298"/>
      <c r="H1340" s="10"/>
      <c r="I1340" s="11"/>
      <c r="J1340" s="11"/>
      <c r="K1340" s="11"/>
      <c r="L1340" s="11"/>
      <c r="M1340" s="11"/>
      <c r="N1340" s="11"/>
      <c r="O1340" s="12"/>
      <c r="P1340" s="11"/>
      <c r="Q1340" s="13"/>
      <c r="R1340" s="14"/>
    </row>
    <row r="1341" spans="1:18" ht="15" customHeight="1">
      <c r="A1341" s="19" t="s">
        <v>48</v>
      </c>
      <c r="B1341" s="19" t="s">
        <v>398</v>
      </c>
      <c r="C1341" s="20">
        <v>0.39930555555555558</v>
      </c>
      <c r="D1341" s="19" t="s">
        <v>53</v>
      </c>
      <c r="E1341" s="19" t="s">
        <v>29</v>
      </c>
      <c r="F1341" s="19" t="s">
        <v>399</v>
      </c>
      <c r="G1341" s="298"/>
      <c r="H1341" s="10"/>
      <c r="I1341" s="11"/>
      <c r="J1341" s="11"/>
      <c r="K1341" s="11"/>
      <c r="L1341" s="11"/>
      <c r="M1341" s="11"/>
      <c r="N1341" s="11"/>
      <c r="O1341" s="12"/>
      <c r="P1341" s="11"/>
      <c r="Q1341" s="13"/>
      <c r="R1341" s="14"/>
    </row>
    <row r="1342" spans="1:18" ht="15" customHeight="1">
      <c r="A1342" s="17" t="s">
        <v>48</v>
      </c>
      <c r="B1342" s="17" t="s">
        <v>396</v>
      </c>
      <c r="C1342" s="18">
        <v>0.48958333333333331</v>
      </c>
      <c r="D1342" s="17" t="s">
        <v>53</v>
      </c>
      <c r="E1342" s="17" t="s">
        <v>37</v>
      </c>
      <c r="F1342" s="17" t="s">
        <v>399</v>
      </c>
      <c r="G1342" s="298"/>
      <c r="H1342" s="10"/>
      <c r="I1342" s="11"/>
      <c r="J1342" s="11"/>
      <c r="K1342" s="11"/>
      <c r="L1342" s="11"/>
      <c r="M1342" s="11"/>
      <c r="N1342" s="11"/>
      <c r="O1342" s="12"/>
      <c r="P1342" s="11"/>
      <c r="Q1342" s="13"/>
      <c r="R1342" s="14"/>
    </row>
    <row r="1343" spans="1:18" ht="15" customHeight="1">
      <c r="A1343" s="17" t="s">
        <v>48</v>
      </c>
      <c r="B1343" s="17" t="s">
        <v>394</v>
      </c>
      <c r="C1343" s="18">
        <v>0.98958333333333337</v>
      </c>
      <c r="D1343" s="17" t="s">
        <v>53</v>
      </c>
      <c r="E1343" s="17" t="s">
        <v>37</v>
      </c>
      <c r="F1343" s="17" t="s">
        <v>452</v>
      </c>
      <c r="G1343" s="298"/>
      <c r="H1343" s="10"/>
      <c r="I1343" s="11"/>
      <c r="J1343" s="11"/>
      <c r="K1343" s="11"/>
      <c r="L1343" s="11"/>
      <c r="M1343" s="11"/>
      <c r="N1343" s="11"/>
      <c r="O1343" s="12"/>
      <c r="P1343" s="11"/>
      <c r="Q1343" s="13"/>
      <c r="R1343" s="14"/>
    </row>
    <row r="1344" spans="1:18" ht="15" customHeight="1">
      <c r="A1344" s="17" t="s">
        <v>48</v>
      </c>
      <c r="B1344" s="17" t="s">
        <v>391</v>
      </c>
      <c r="C1344" s="18">
        <v>0.48958333333333331</v>
      </c>
      <c r="D1344" s="17" t="s">
        <v>53</v>
      </c>
      <c r="E1344" s="17" t="s">
        <v>57</v>
      </c>
      <c r="F1344" s="17" t="s">
        <v>439</v>
      </c>
      <c r="G1344" s="298"/>
      <c r="H1344" s="10"/>
      <c r="I1344" s="11"/>
      <c r="J1344" s="11"/>
      <c r="K1344" s="11"/>
      <c r="L1344" s="11"/>
      <c r="M1344" s="11"/>
      <c r="N1344" s="11"/>
      <c r="O1344" s="12"/>
      <c r="P1344" s="11"/>
      <c r="Q1344" s="13"/>
      <c r="R1344" s="14"/>
    </row>
    <row r="1345" spans="1:18" ht="15" customHeight="1">
      <c r="A1345" s="17" t="s">
        <v>48</v>
      </c>
      <c r="B1345" s="17" t="s">
        <v>386</v>
      </c>
      <c r="C1345" s="18">
        <v>0.82986111111111116</v>
      </c>
      <c r="D1345" s="17" t="s">
        <v>53</v>
      </c>
      <c r="E1345" s="17" t="s">
        <v>57</v>
      </c>
      <c r="F1345" s="17" t="s">
        <v>439</v>
      </c>
      <c r="G1345" s="298"/>
      <c r="H1345" s="10"/>
      <c r="I1345" s="11"/>
      <c r="J1345" s="11"/>
      <c r="K1345" s="11"/>
      <c r="L1345" s="11"/>
      <c r="M1345" s="11"/>
      <c r="N1345" s="11"/>
      <c r="O1345" s="12"/>
      <c r="P1345" s="11"/>
      <c r="Q1345" s="13"/>
      <c r="R1345" s="14"/>
    </row>
    <row r="1346" spans="1:18" ht="15" customHeight="1">
      <c r="A1346" s="17" t="s">
        <v>48</v>
      </c>
      <c r="B1346" s="17" t="s">
        <v>388</v>
      </c>
      <c r="C1346" s="18">
        <v>0.72222222222222221</v>
      </c>
      <c r="D1346" s="17" t="s">
        <v>53</v>
      </c>
      <c r="E1346" s="17" t="s">
        <v>57</v>
      </c>
      <c r="F1346" s="17" t="s">
        <v>439</v>
      </c>
      <c r="G1346" s="298"/>
      <c r="H1346" s="10"/>
      <c r="I1346" s="11"/>
      <c r="J1346" s="11"/>
      <c r="K1346" s="11"/>
      <c r="L1346" s="11"/>
      <c r="M1346" s="11"/>
      <c r="N1346" s="11"/>
      <c r="O1346" s="12"/>
      <c r="P1346" s="11"/>
      <c r="Q1346" s="13"/>
      <c r="R1346" s="14"/>
    </row>
    <row r="1347" spans="1:18" ht="15" customHeight="1">
      <c r="A1347" s="17" t="s">
        <v>48</v>
      </c>
      <c r="B1347" s="17" t="s">
        <v>382</v>
      </c>
      <c r="C1347" s="18">
        <v>0.11805555555555559</v>
      </c>
      <c r="D1347" s="17" t="s">
        <v>53</v>
      </c>
      <c r="E1347" s="17" t="s">
        <v>57</v>
      </c>
      <c r="F1347" s="17" t="s">
        <v>439</v>
      </c>
      <c r="G1347" s="298"/>
      <c r="H1347" s="10"/>
      <c r="I1347" s="11"/>
      <c r="J1347" s="11"/>
      <c r="K1347" s="11"/>
      <c r="L1347" s="11"/>
      <c r="M1347" s="11"/>
      <c r="N1347" s="11"/>
      <c r="O1347" s="12"/>
      <c r="P1347" s="11"/>
      <c r="Q1347" s="13"/>
      <c r="R1347" s="14"/>
    </row>
    <row r="1348" spans="1:18" ht="15" customHeight="1">
      <c r="A1348" s="17" t="s">
        <v>48</v>
      </c>
      <c r="B1348" s="17" t="s">
        <v>389</v>
      </c>
      <c r="C1348" s="18">
        <v>0.70138888888888884</v>
      </c>
      <c r="D1348" s="17" t="s">
        <v>53</v>
      </c>
      <c r="E1348" s="17" t="s">
        <v>57</v>
      </c>
      <c r="F1348" s="17" t="s">
        <v>439</v>
      </c>
      <c r="G1348" s="298"/>
      <c r="H1348" s="10"/>
      <c r="I1348" s="11"/>
      <c r="J1348" s="11"/>
      <c r="K1348" s="11"/>
      <c r="L1348" s="11"/>
      <c r="M1348" s="11"/>
      <c r="N1348" s="11"/>
      <c r="O1348" s="12"/>
      <c r="P1348" s="11"/>
      <c r="Q1348" s="13"/>
      <c r="R1348" s="14"/>
    </row>
    <row r="1349" spans="1:18" ht="15" customHeight="1">
      <c r="A1349" s="17" t="s">
        <v>48</v>
      </c>
      <c r="B1349" s="17" t="s">
        <v>400</v>
      </c>
      <c r="C1349" s="18">
        <v>0.25347222222222221</v>
      </c>
      <c r="D1349" s="17" t="s">
        <v>53</v>
      </c>
      <c r="E1349" s="17" t="s">
        <v>57</v>
      </c>
      <c r="F1349" s="17" t="s">
        <v>439</v>
      </c>
      <c r="G1349" s="298"/>
      <c r="H1349" s="10"/>
      <c r="I1349" s="11"/>
      <c r="J1349" s="11"/>
      <c r="K1349" s="11"/>
      <c r="L1349" s="11"/>
      <c r="M1349" s="11"/>
      <c r="N1349" s="11"/>
      <c r="O1349" s="12"/>
      <c r="P1349" s="11"/>
      <c r="Q1349" s="13"/>
      <c r="R1349" s="14"/>
    </row>
    <row r="1350" spans="1:18" ht="15" customHeight="1">
      <c r="A1350" s="17" t="s">
        <v>48</v>
      </c>
      <c r="B1350" s="17" t="s">
        <v>390</v>
      </c>
      <c r="C1350" s="18">
        <v>4.1666666666666657E-2</v>
      </c>
      <c r="D1350" s="17" t="s">
        <v>53</v>
      </c>
      <c r="E1350" s="17" t="s">
        <v>57</v>
      </c>
      <c r="F1350" s="17" t="s">
        <v>439</v>
      </c>
      <c r="G1350" s="298"/>
      <c r="H1350" s="10"/>
      <c r="I1350" s="11"/>
      <c r="J1350" s="11"/>
      <c r="K1350" s="11"/>
      <c r="L1350" s="11"/>
      <c r="M1350" s="11"/>
      <c r="N1350" s="11"/>
      <c r="O1350" s="12"/>
      <c r="P1350" s="11"/>
      <c r="Q1350" s="13"/>
      <c r="R1350" s="14"/>
    </row>
    <row r="1351" spans="1:18" ht="15" customHeight="1">
      <c r="A1351" s="17" t="s">
        <v>48</v>
      </c>
      <c r="B1351" s="17" t="s">
        <v>385</v>
      </c>
      <c r="C1351" s="18">
        <v>0.94097222222222221</v>
      </c>
      <c r="D1351" s="17" t="s">
        <v>53</v>
      </c>
      <c r="E1351" s="17" t="s">
        <v>57</v>
      </c>
      <c r="F1351" s="17" t="s">
        <v>439</v>
      </c>
      <c r="G1351" s="298"/>
      <c r="H1351" s="10"/>
      <c r="I1351" s="11"/>
      <c r="J1351" s="11"/>
      <c r="K1351" s="11"/>
      <c r="L1351" s="11"/>
      <c r="M1351" s="11"/>
      <c r="N1351" s="11"/>
      <c r="O1351" s="12"/>
      <c r="P1351" s="11"/>
      <c r="Q1351" s="13"/>
      <c r="R1351" s="14"/>
    </row>
    <row r="1352" spans="1:18" ht="15" customHeight="1" thickBot="1">
      <c r="A1352" s="30" t="s">
        <v>48</v>
      </c>
      <c r="B1352" s="30" t="s">
        <v>397</v>
      </c>
      <c r="C1352" s="31">
        <v>0.88888888888888884</v>
      </c>
      <c r="D1352" s="30" t="s">
        <v>53</v>
      </c>
      <c r="E1352" s="30" t="s">
        <v>37</v>
      </c>
      <c r="F1352" s="30" t="s">
        <v>518</v>
      </c>
      <c r="G1352" s="299"/>
      <c r="H1352" s="300"/>
      <c r="I1352" s="140"/>
      <c r="J1352" s="140"/>
      <c r="K1352" s="140"/>
      <c r="L1352" s="140"/>
      <c r="M1352" s="140"/>
      <c r="N1352" s="140"/>
      <c r="O1352" s="141"/>
      <c r="P1352" s="140"/>
      <c r="Q1352" s="142"/>
      <c r="R1352" s="301"/>
    </row>
    <row r="1353" spans="1:18" ht="17.45" customHeight="1" thickBot="1">
      <c r="A1353" s="283"/>
      <c r="B1353" s="284"/>
      <c r="C1353" s="284"/>
      <c r="D1353" s="284"/>
      <c r="E1353" s="284"/>
      <c r="F1353" s="284"/>
      <c r="G1353" s="284"/>
      <c r="H1353" s="284"/>
      <c r="I1353" s="284"/>
      <c r="J1353" s="284"/>
      <c r="K1353" s="284"/>
      <c r="L1353" s="284"/>
      <c r="M1353" s="284"/>
      <c r="N1353" s="284"/>
      <c r="O1353" s="284"/>
      <c r="P1353" s="284"/>
      <c r="Q1353" s="284"/>
      <c r="R1353" s="285"/>
    </row>
    <row r="1354" spans="1:18" ht="22.15" customHeight="1" thickTop="1" thickBot="1">
      <c r="A1354" s="279" t="s">
        <v>6</v>
      </c>
      <c r="B1354" s="295"/>
      <c r="C1354" s="295"/>
      <c r="D1354" s="295"/>
      <c r="E1354" s="295"/>
      <c r="F1354" s="296"/>
      <c r="G1354" s="32">
        <v>46041</v>
      </c>
      <c r="H1354" s="278" t="s">
        <v>7</v>
      </c>
      <c r="I1354" s="295"/>
      <c r="J1354" s="295"/>
      <c r="K1354" s="295"/>
      <c r="L1354" s="295"/>
      <c r="M1354" s="295"/>
      <c r="N1354" s="295"/>
      <c r="O1354" s="295"/>
      <c r="P1354" s="295"/>
      <c r="Q1354" s="295"/>
      <c r="R1354" s="296"/>
    </row>
    <row r="1355" spans="1:18" ht="24" customHeight="1">
      <c r="A1355" s="33" t="s">
        <v>8</v>
      </c>
      <c r="B1355" s="33" t="s">
        <v>9</v>
      </c>
      <c r="C1355" s="34" t="s">
        <v>10</v>
      </c>
      <c r="D1355" s="33" t="s">
        <v>11</v>
      </c>
      <c r="E1355" s="33" t="s">
        <v>12</v>
      </c>
      <c r="F1355" s="35" t="s">
        <v>13</v>
      </c>
      <c r="G1355" s="36" t="s">
        <v>14</v>
      </c>
      <c r="H1355" s="33" t="s">
        <v>15</v>
      </c>
      <c r="I1355" s="37" t="s">
        <v>16</v>
      </c>
      <c r="J1355" s="38" t="s">
        <v>17</v>
      </c>
      <c r="K1355" s="39" t="s">
        <v>18</v>
      </c>
      <c r="L1355" s="38" t="s">
        <v>19</v>
      </c>
      <c r="M1355" s="38" t="s">
        <v>20</v>
      </c>
      <c r="N1355" s="38" t="s">
        <v>21</v>
      </c>
      <c r="O1355" s="33" t="s">
        <v>22</v>
      </c>
      <c r="P1355" s="34" t="s">
        <v>23</v>
      </c>
      <c r="Q1355" s="38" t="s">
        <v>24</v>
      </c>
      <c r="R1355" s="33" t="s">
        <v>25</v>
      </c>
    </row>
    <row r="1356" spans="1:18" ht="15" customHeight="1">
      <c r="A1356" s="8" t="s">
        <v>38</v>
      </c>
      <c r="B1356" s="8" t="s">
        <v>342</v>
      </c>
      <c r="C1356" s="9">
        <v>0.48958333333333331</v>
      </c>
      <c r="D1356" s="8" t="s">
        <v>40</v>
      </c>
      <c r="E1356" s="8" t="s">
        <v>168</v>
      </c>
      <c r="F1356" s="8" t="s">
        <v>81</v>
      </c>
      <c r="G1356" s="297"/>
      <c r="H1356" s="10"/>
      <c r="I1356" s="11"/>
      <c r="J1356" s="11"/>
      <c r="K1356" s="11"/>
      <c r="L1356" s="11"/>
      <c r="M1356" s="11"/>
      <c r="N1356" s="11"/>
      <c r="O1356" s="12"/>
      <c r="P1356" s="11"/>
      <c r="Q1356" s="13"/>
      <c r="R1356" s="14"/>
    </row>
    <row r="1357" spans="1:18" ht="15" customHeight="1">
      <c r="A1357" s="15" t="s">
        <v>38</v>
      </c>
      <c r="B1357" s="15" t="s">
        <v>342</v>
      </c>
      <c r="C1357" s="16">
        <v>0.48958333333333331</v>
      </c>
      <c r="D1357" s="15" t="s">
        <v>43</v>
      </c>
      <c r="E1357" s="15" t="s">
        <v>114</v>
      </c>
      <c r="F1357" s="15" t="s">
        <v>161</v>
      </c>
      <c r="G1357" s="298"/>
      <c r="H1357" s="10"/>
      <c r="I1357" s="11"/>
      <c r="J1357" s="11"/>
      <c r="K1357" s="11"/>
      <c r="L1357" s="11"/>
      <c r="M1357" s="11"/>
      <c r="N1357" s="11"/>
      <c r="O1357" s="12"/>
      <c r="P1357" s="11"/>
      <c r="Q1357" s="13"/>
      <c r="R1357" s="14"/>
    </row>
    <row r="1358" spans="1:18" ht="15" customHeight="1">
      <c r="A1358" s="15" t="s">
        <v>38</v>
      </c>
      <c r="B1358" s="15" t="s">
        <v>342</v>
      </c>
      <c r="C1358" s="16">
        <v>0.48958333333333331</v>
      </c>
      <c r="D1358" s="15" t="s">
        <v>46</v>
      </c>
      <c r="E1358" s="15" t="s">
        <v>114</v>
      </c>
      <c r="F1358" s="15" t="s">
        <v>47</v>
      </c>
      <c r="G1358" s="298"/>
      <c r="H1358" s="10"/>
      <c r="I1358" s="11"/>
      <c r="J1358" s="11"/>
      <c r="K1358" s="11"/>
      <c r="L1358" s="11"/>
      <c r="M1358" s="11"/>
      <c r="N1358" s="11"/>
      <c r="O1358" s="12"/>
      <c r="P1358" s="11"/>
      <c r="Q1358" s="13"/>
      <c r="R1358" s="14"/>
    </row>
    <row r="1359" spans="1:18" ht="15" customHeight="1">
      <c r="A1359" s="17" t="s">
        <v>38</v>
      </c>
      <c r="B1359" s="17" t="s">
        <v>346</v>
      </c>
      <c r="C1359" s="18">
        <v>0.39930555555555558</v>
      </c>
      <c r="D1359" s="17" t="s">
        <v>40</v>
      </c>
      <c r="E1359" s="17" t="s">
        <v>125</v>
      </c>
      <c r="F1359" s="17" t="s">
        <v>347</v>
      </c>
      <c r="G1359" s="298"/>
      <c r="H1359" s="10"/>
      <c r="I1359" s="11"/>
      <c r="J1359" s="11"/>
      <c r="K1359" s="11"/>
      <c r="L1359" s="11"/>
      <c r="M1359" s="11"/>
      <c r="N1359" s="11"/>
      <c r="O1359" s="12"/>
      <c r="P1359" s="11"/>
      <c r="Q1359" s="13"/>
      <c r="R1359" s="14"/>
    </row>
    <row r="1360" spans="1:18" ht="15" customHeight="1">
      <c r="A1360" s="15" t="s">
        <v>38</v>
      </c>
      <c r="B1360" s="15" t="s">
        <v>346</v>
      </c>
      <c r="C1360" s="16">
        <v>0.39930555555555558</v>
      </c>
      <c r="D1360" s="15" t="s">
        <v>43</v>
      </c>
      <c r="E1360" s="15" t="s">
        <v>44</v>
      </c>
      <c r="F1360" s="15" t="s">
        <v>138</v>
      </c>
      <c r="G1360" s="298"/>
      <c r="H1360" s="10"/>
      <c r="I1360" s="11"/>
      <c r="J1360" s="11"/>
      <c r="K1360" s="11"/>
      <c r="L1360" s="11"/>
      <c r="M1360" s="11"/>
      <c r="N1360" s="11"/>
      <c r="O1360" s="12"/>
      <c r="P1360" s="11"/>
      <c r="Q1360" s="13"/>
      <c r="R1360" s="14"/>
    </row>
    <row r="1361" spans="1:18" ht="15" customHeight="1">
      <c r="A1361" s="15" t="s">
        <v>38</v>
      </c>
      <c r="B1361" s="15" t="s">
        <v>346</v>
      </c>
      <c r="C1361" s="16">
        <v>0.39930555555555558</v>
      </c>
      <c r="D1361" s="15" t="s">
        <v>46</v>
      </c>
      <c r="E1361" s="15" t="s">
        <v>44</v>
      </c>
      <c r="F1361" s="15" t="s">
        <v>47</v>
      </c>
      <c r="G1361" s="298"/>
      <c r="H1361" s="10"/>
      <c r="I1361" s="11"/>
      <c r="J1361" s="11"/>
      <c r="K1361" s="11"/>
      <c r="L1361" s="11"/>
      <c r="M1361" s="11"/>
      <c r="N1361" s="11"/>
      <c r="O1361" s="12"/>
      <c r="P1361" s="11"/>
      <c r="Q1361" s="13"/>
      <c r="R1361" s="14"/>
    </row>
    <row r="1362" spans="1:18" ht="15" customHeight="1">
      <c r="A1362" s="17" t="s">
        <v>38</v>
      </c>
      <c r="B1362" s="17" t="s">
        <v>345</v>
      </c>
      <c r="C1362" s="18">
        <v>0.98958333333333337</v>
      </c>
      <c r="D1362" s="17" t="s">
        <v>40</v>
      </c>
      <c r="E1362" s="17" t="s">
        <v>125</v>
      </c>
      <c r="F1362" s="17" t="s">
        <v>347</v>
      </c>
      <c r="G1362" s="298"/>
      <c r="H1362" s="10"/>
      <c r="I1362" s="11"/>
      <c r="J1362" s="11"/>
      <c r="K1362" s="11"/>
      <c r="L1362" s="11"/>
      <c r="M1362" s="11"/>
      <c r="N1362" s="11"/>
      <c r="O1362" s="12"/>
      <c r="P1362" s="11"/>
      <c r="Q1362" s="13"/>
      <c r="R1362" s="14"/>
    </row>
    <row r="1363" spans="1:18" ht="15" customHeight="1">
      <c r="A1363" s="15" t="s">
        <v>38</v>
      </c>
      <c r="B1363" s="15" t="s">
        <v>345</v>
      </c>
      <c r="C1363" s="16">
        <v>0.98958333333333337</v>
      </c>
      <c r="D1363" s="15" t="s">
        <v>43</v>
      </c>
      <c r="E1363" s="15" t="s">
        <v>44</v>
      </c>
      <c r="F1363" s="15" t="s">
        <v>138</v>
      </c>
      <c r="G1363" s="298"/>
      <c r="H1363" s="10"/>
      <c r="I1363" s="11"/>
      <c r="J1363" s="11"/>
      <c r="K1363" s="11"/>
      <c r="L1363" s="11"/>
      <c r="M1363" s="11"/>
      <c r="N1363" s="11"/>
      <c r="O1363" s="12"/>
      <c r="P1363" s="11"/>
      <c r="Q1363" s="13"/>
      <c r="R1363" s="14"/>
    </row>
    <row r="1364" spans="1:18" ht="15" customHeight="1">
      <c r="A1364" s="15" t="s">
        <v>38</v>
      </c>
      <c r="B1364" s="15" t="s">
        <v>345</v>
      </c>
      <c r="C1364" s="16">
        <v>0.98958333333333337</v>
      </c>
      <c r="D1364" s="15" t="s">
        <v>46</v>
      </c>
      <c r="E1364" s="15" t="s">
        <v>44</v>
      </c>
      <c r="F1364" s="15" t="s">
        <v>47</v>
      </c>
      <c r="G1364" s="298"/>
      <c r="H1364" s="10"/>
      <c r="I1364" s="11"/>
      <c r="J1364" s="11"/>
      <c r="K1364" s="11"/>
      <c r="L1364" s="11"/>
      <c r="M1364" s="11"/>
      <c r="N1364" s="11"/>
      <c r="O1364" s="12"/>
      <c r="P1364" s="11"/>
      <c r="Q1364" s="13"/>
      <c r="R1364" s="14"/>
    </row>
    <row r="1365" spans="1:18" ht="15" customHeight="1">
      <c r="A1365" s="17" t="s">
        <v>38</v>
      </c>
      <c r="B1365" s="17" t="s">
        <v>344</v>
      </c>
      <c r="C1365" s="18">
        <v>0.88888888888888884</v>
      </c>
      <c r="D1365" s="17" t="s">
        <v>40</v>
      </c>
      <c r="E1365" s="17" t="s">
        <v>113</v>
      </c>
      <c r="F1365" s="17" t="s">
        <v>121</v>
      </c>
      <c r="G1365" s="298"/>
      <c r="H1365" s="10"/>
      <c r="I1365" s="11"/>
      <c r="J1365" s="11"/>
      <c r="K1365" s="11"/>
      <c r="L1365" s="11"/>
      <c r="M1365" s="11"/>
      <c r="N1365" s="11"/>
      <c r="O1365" s="12"/>
      <c r="P1365" s="11"/>
      <c r="Q1365" s="13"/>
      <c r="R1365" s="14"/>
    </row>
    <row r="1366" spans="1:18" ht="15" customHeight="1">
      <c r="A1366" s="15" t="s">
        <v>38</v>
      </c>
      <c r="B1366" s="15" t="s">
        <v>344</v>
      </c>
      <c r="C1366" s="16">
        <v>0.88888888888888884</v>
      </c>
      <c r="D1366" s="15" t="s">
        <v>43</v>
      </c>
      <c r="E1366" s="15" t="s">
        <v>114</v>
      </c>
      <c r="F1366" s="15" t="s">
        <v>123</v>
      </c>
      <c r="G1366" s="298"/>
      <c r="H1366" s="10"/>
      <c r="I1366" s="11"/>
      <c r="J1366" s="11"/>
      <c r="K1366" s="11"/>
      <c r="L1366" s="11"/>
      <c r="M1366" s="11"/>
      <c r="N1366" s="11"/>
      <c r="O1366" s="12"/>
      <c r="P1366" s="11"/>
      <c r="Q1366" s="13"/>
      <c r="R1366" s="14"/>
    </row>
    <row r="1367" spans="1:18" ht="15" customHeight="1">
      <c r="A1367" s="15" t="s">
        <v>38</v>
      </c>
      <c r="B1367" s="15" t="s">
        <v>344</v>
      </c>
      <c r="C1367" s="16">
        <v>0.88888888888888884</v>
      </c>
      <c r="D1367" s="15" t="s">
        <v>46</v>
      </c>
      <c r="E1367" s="15" t="s">
        <v>114</v>
      </c>
      <c r="F1367" s="15" t="s">
        <v>47</v>
      </c>
      <c r="G1367" s="298"/>
      <c r="H1367" s="10"/>
      <c r="I1367" s="11"/>
      <c r="J1367" s="11"/>
      <c r="K1367" s="11"/>
      <c r="L1367" s="11"/>
      <c r="M1367" s="11"/>
      <c r="N1367" s="11"/>
      <c r="O1367" s="12"/>
      <c r="P1367" s="11"/>
      <c r="Q1367" s="13"/>
      <c r="R1367" s="14"/>
    </row>
    <row r="1368" spans="1:18" ht="15" customHeight="1">
      <c r="A1368" s="19" t="s">
        <v>359</v>
      </c>
      <c r="B1368" s="19" t="s">
        <v>360</v>
      </c>
      <c r="C1368" s="20">
        <v>0.22569444444444439</v>
      </c>
      <c r="D1368" s="19" t="s">
        <v>361</v>
      </c>
      <c r="E1368" s="19" t="s">
        <v>80</v>
      </c>
      <c r="F1368" s="19" t="s">
        <v>525</v>
      </c>
      <c r="G1368" s="298"/>
      <c r="H1368" s="10"/>
      <c r="I1368" s="11"/>
      <c r="J1368" s="11"/>
      <c r="K1368" s="11"/>
      <c r="L1368" s="11"/>
      <c r="M1368" s="11"/>
      <c r="N1368" s="11"/>
      <c r="O1368" s="12"/>
      <c r="P1368" s="11"/>
      <c r="Q1368" s="13"/>
      <c r="R1368" s="14"/>
    </row>
    <row r="1369" spans="1:18" ht="15" customHeight="1">
      <c r="A1369" s="15" t="s">
        <v>359</v>
      </c>
      <c r="B1369" s="15" t="s">
        <v>360</v>
      </c>
      <c r="C1369" s="16">
        <v>0.22569444444444439</v>
      </c>
      <c r="D1369" s="15" t="s">
        <v>46</v>
      </c>
      <c r="E1369" s="15" t="s">
        <v>82</v>
      </c>
      <c r="F1369" s="15" t="s">
        <v>526</v>
      </c>
      <c r="G1369" s="298"/>
      <c r="H1369" s="10"/>
      <c r="I1369" s="11"/>
      <c r="J1369" s="11"/>
      <c r="K1369" s="11"/>
      <c r="L1369" s="11"/>
      <c r="M1369" s="11"/>
      <c r="N1369" s="11"/>
      <c r="O1369" s="12"/>
      <c r="P1369" s="11"/>
      <c r="Q1369" s="13"/>
      <c r="R1369" s="14"/>
    </row>
    <row r="1370" spans="1:18" ht="15" customHeight="1">
      <c r="A1370" s="17" t="s">
        <v>359</v>
      </c>
      <c r="B1370" s="17" t="s">
        <v>445</v>
      </c>
      <c r="C1370" s="18">
        <v>1.388888888888889E-2</v>
      </c>
      <c r="D1370" s="17" t="s">
        <v>361</v>
      </c>
      <c r="E1370" s="17" t="s">
        <v>90</v>
      </c>
      <c r="F1370" s="17" t="s">
        <v>525</v>
      </c>
      <c r="G1370" s="298"/>
      <c r="H1370" s="10"/>
      <c r="I1370" s="11"/>
      <c r="J1370" s="11"/>
      <c r="K1370" s="11"/>
      <c r="L1370" s="11"/>
      <c r="M1370" s="11"/>
      <c r="N1370" s="11"/>
      <c r="O1370" s="12"/>
      <c r="P1370" s="11"/>
      <c r="Q1370" s="13"/>
      <c r="R1370" s="14"/>
    </row>
    <row r="1371" spans="1:18" ht="15" customHeight="1">
      <c r="A1371" s="15" t="s">
        <v>359</v>
      </c>
      <c r="B1371" s="15" t="s">
        <v>445</v>
      </c>
      <c r="C1371" s="16">
        <v>1.388888888888889E-2</v>
      </c>
      <c r="D1371" s="15" t="s">
        <v>46</v>
      </c>
      <c r="E1371" s="15" t="s">
        <v>82</v>
      </c>
      <c r="F1371" s="15" t="s">
        <v>526</v>
      </c>
      <c r="G1371" s="298"/>
      <c r="H1371" s="10"/>
      <c r="I1371" s="11"/>
      <c r="J1371" s="11"/>
      <c r="K1371" s="11"/>
      <c r="L1371" s="11"/>
      <c r="M1371" s="11"/>
      <c r="N1371" s="11"/>
      <c r="O1371" s="12"/>
      <c r="P1371" s="11"/>
      <c r="Q1371" s="13"/>
      <c r="R1371" s="14"/>
    </row>
    <row r="1372" spans="1:18" ht="15" customHeight="1">
      <c r="A1372" s="67" t="s">
        <v>61</v>
      </c>
      <c r="B1372" s="67" t="s">
        <v>375</v>
      </c>
      <c r="C1372" s="68">
        <v>0.24652777777777779</v>
      </c>
      <c r="D1372" s="67" t="s">
        <v>63</v>
      </c>
      <c r="E1372" s="67" t="s">
        <v>126</v>
      </c>
      <c r="F1372" s="67" t="s">
        <v>365</v>
      </c>
      <c r="G1372" s="298"/>
      <c r="H1372" s="69" t="s">
        <v>376</v>
      </c>
      <c r="I1372" s="70">
        <v>1.67E-2</v>
      </c>
      <c r="J1372" s="71">
        <v>3</v>
      </c>
      <c r="K1372" s="72">
        <v>46328</v>
      </c>
      <c r="L1372" s="71">
        <v>5</v>
      </c>
      <c r="M1372" s="71">
        <v>0</v>
      </c>
      <c r="N1372" s="71">
        <v>0</v>
      </c>
      <c r="O1372" s="73" t="s">
        <v>446</v>
      </c>
      <c r="P1372" s="74">
        <v>0.24652777777777779</v>
      </c>
      <c r="Q1372" s="71">
        <v>180</v>
      </c>
      <c r="R1372" s="75" t="s">
        <v>446</v>
      </c>
    </row>
    <row r="1373" spans="1:18" ht="15" customHeight="1">
      <c r="A1373" s="148" t="s">
        <v>61</v>
      </c>
      <c r="B1373" s="148" t="s">
        <v>377</v>
      </c>
      <c r="C1373" s="149">
        <v>0.4375</v>
      </c>
      <c r="D1373" s="148" t="s">
        <v>63</v>
      </c>
      <c r="E1373" s="148" t="s">
        <v>91</v>
      </c>
      <c r="F1373" s="148" t="s">
        <v>365</v>
      </c>
      <c r="G1373" s="298"/>
      <c r="H1373" s="51" t="s">
        <v>378</v>
      </c>
      <c r="I1373" s="52">
        <v>2.2200000000000001E-2</v>
      </c>
      <c r="J1373" s="53">
        <v>4</v>
      </c>
      <c r="K1373" s="54">
        <v>46344</v>
      </c>
      <c r="L1373" s="53">
        <v>5</v>
      </c>
      <c r="M1373" s="53">
        <v>0</v>
      </c>
      <c r="N1373" s="53">
        <v>0</v>
      </c>
      <c r="O1373" s="55" t="s">
        <v>367</v>
      </c>
      <c r="P1373" s="56">
        <v>0.4375</v>
      </c>
      <c r="Q1373" s="53">
        <v>180</v>
      </c>
      <c r="R1373" s="57" t="s">
        <v>368</v>
      </c>
    </row>
    <row r="1374" spans="1:18" ht="15" customHeight="1">
      <c r="A1374" s="154" t="s">
        <v>61</v>
      </c>
      <c r="B1374" s="154" t="s">
        <v>432</v>
      </c>
      <c r="C1374" s="155">
        <v>0.80208333333333337</v>
      </c>
      <c r="D1374" s="154" t="s">
        <v>63</v>
      </c>
      <c r="E1374" s="154" t="s">
        <v>200</v>
      </c>
      <c r="F1374" s="154" t="s">
        <v>79</v>
      </c>
      <c r="G1374" s="298"/>
      <c r="H1374" s="69" t="s">
        <v>433</v>
      </c>
      <c r="I1374" s="70">
        <v>5.5599999999999997E-2</v>
      </c>
      <c r="J1374" s="71">
        <v>10</v>
      </c>
      <c r="K1374" s="72">
        <v>46342</v>
      </c>
      <c r="L1374" s="71">
        <v>10</v>
      </c>
      <c r="M1374" s="71">
        <v>0</v>
      </c>
      <c r="N1374" s="71">
        <v>0</v>
      </c>
      <c r="O1374" s="73" t="s">
        <v>304</v>
      </c>
      <c r="P1374" s="74">
        <v>0.80208333333333337</v>
      </c>
      <c r="Q1374" s="71">
        <v>180</v>
      </c>
      <c r="R1374" s="75" t="s">
        <v>448</v>
      </c>
    </row>
    <row r="1375" spans="1:18" ht="15" customHeight="1">
      <c r="A1375" s="19" t="s">
        <v>48</v>
      </c>
      <c r="B1375" s="19" t="s">
        <v>386</v>
      </c>
      <c r="C1375" s="20">
        <v>0.82986111111111116</v>
      </c>
      <c r="D1375" s="19" t="s">
        <v>50</v>
      </c>
      <c r="E1375" s="19" t="s">
        <v>156</v>
      </c>
      <c r="F1375" s="19" t="s">
        <v>383</v>
      </c>
      <c r="G1375" s="298"/>
      <c r="H1375" s="10"/>
      <c r="I1375" s="11"/>
      <c r="J1375" s="11"/>
      <c r="K1375" s="11"/>
      <c r="L1375" s="11"/>
      <c r="M1375" s="11"/>
      <c r="N1375" s="11"/>
      <c r="O1375" s="12"/>
      <c r="P1375" s="11"/>
      <c r="Q1375" s="13"/>
      <c r="R1375" s="14"/>
    </row>
    <row r="1376" spans="1:18" ht="15" customHeight="1">
      <c r="A1376" s="15" t="s">
        <v>48</v>
      </c>
      <c r="B1376" s="15" t="s">
        <v>386</v>
      </c>
      <c r="C1376" s="16">
        <v>0.82986111111111116</v>
      </c>
      <c r="D1376" s="15" t="s">
        <v>53</v>
      </c>
      <c r="E1376" s="15" t="s">
        <v>135</v>
      </c>
      <c r="F1376" s="15" t="s">
        <v>384</v>
      </c>
      <c r="G1376" s="298"/>
      <c r="H1376" s="10"/>
      <c r="I1376" s="11"/>
      <c r="J1376" s="11"/>
      <c r="K1376" s="11"/>
      <c r="L1376" s="11"/>
      <c r="M1376" s="11"/>
      <c r="N1376" s="11"/>
      <c r="O1376" s="12"/>
      <c r="P1376" s="11"/>
      <c r="Q1376" s="13"/>
      <c r="R1376" s="14"/>
    </row>
    <row r="1377" spans="1:18" ht="15" customHeight="1">
      <c r="A1377" s="17" t="s">
        <v>48</v>
      </c>
      <c r="B1377" s="17" t="s">
        <v>382</v>
      </c>
      <c r="C1377" s="18">
        <v>0.11805555555555559</v>
      </c>
      <c r="D1377" s="17" t="s">
        <v>50</v>
      </c>
      <c r="E1377" s="17" t="s">
        <v>91</v>
      </c>
      <c r="F1377" s="17" t="s">
        <v>383</v>
      </c>
      <c r="G1377" s="298"/>
      <c r="H1377" s="10"/>
      <c r="I1377" s="11"/>
      <c r="J1377" s="11"/>
      <c r="K1377" s="11"/>
      <c r="L1377" s="11"/>
      <c r="M1377" s="11"/>
      <c r="N1377" s="11"/>
      <c r="O1377" s="12"/>
      <c r="P1377" s="11"/>
      <c r="Q1377" s="13"/>
      <c r="R1377" s="14"/>
    </row>
    <row r="1378" spans="1:18" ht="15" customHeight="1">
      <c r="A1378" s="15" t="s">
        <v>48</v>
      </c>
      <c r="B1378" s="15" t="s">
        <v>382</v>
      </c>
      <c r="C1378" s="16">
        <v>0.11805555555555559</v>
      </c>
      <c r="D1378" s="15" t="s">
        <v>53</v>
      </c>
      <c r="E1378" s="15" t="s">
        <v>92</v>
      </c>
      <c r="F1378" s="15" t="s">
        <v>384</v>
      </c>
      <c r="G1378" s="298"/>
      <c r="H1378" s="10"/>
      <c r="I1378" s="11"/>
      <c r="J1378" s="11"/>
      <c r="K1378" s="11"/>
      <c r="L1378" s="11"/>
      <c r="M1378" s="11"/>
      <c r="N1378" s="11"/>
      <c r="O1378" s="12"/>
      <c r="P1378" s="11"/>
      <c r="Q1378" s="13"/>
      <c r="R1378" s="14"/>
    </row>
    <row r="1379" spans="1:18" ht="15" customHeight="1">
      <c r="A1379" s="17" t="s">
        <v>48</v>
      </c>
      <c r="B1379" s="17" t="s">
        <v>391</v>
      </c>
      <c r="C1379" s="18">
        <v>0.48958333333333331</v>
      </c>
      <c r="D1379" s="17" t="s">
        <v>50</v>
      </c>
      <c r="E1379" s="17" t="s">
        <v>57</v>
      </c>
      <c r="F1379" s="17" t="s">
        <v>79</v>
      </c>
      <c r="G1379" s="298"/>
      <c r="H1379" s="10"/>
      <c r="I1379" s="11"/>
      <c r="J1379" s="11"/>
      <c r="K1379" s="11"/>
      <c r="L1379" s="11"/>
      <c r="M1379" s="11"/>
      <c r="N1379" s="11"/>
      <c r="O1379" s="12"/>
      <c r="P1379" s="11"/>
      <c r="Q1379" s="13"/>
      <c r="R1379" s="14"/>
    </row>
    <row r="1380" spans="1:18" ht="15" customHeight="1">
      <c r="A1380" s="15" t="s">
        <v>48</v>
      </c>
      <c r="B1380" s="15" t="s">
        <v>391</v>
      </c>
      <c r="C1380" s="16">
        <v>0.48958333333333331</v>
      </c>
      <c r="D1380" s="15" t="s">
        <v>53</v>
      </c>
      <c r="E1380" s="15" t="s">
        <v>54</v>
      </c>
      <c r="F1380" s="15" t="s">
        <v>387</v>
      </c>
      <c r="G1380" s="298"/>
      <c r="H1380" s="10"/>
      <c r="I1380" s="11"/>
      <c r="J1380" s="11"/>
      <c r="K1380" s="11"/>
      <c r="L1380" s="11"/>
      <c r="M1380" s="11"/>
      <c r="N1380" s="11"/>
      <c r="O1380" s="12"/>
      <c r="P1380" s="11"/>
      <c r="Q1380" s="13"/>
      <c r="R1380" s="14"/>
    </row>
    <row r="1381" spans="1:18" ht="15" customHeight="1">
      <c r="A1381" s="17" t="s">
        <v>48</v>
      </c>
      <c r="B1381" s="17" t="s">
        <v>389</v>
      </c>
      <c r="C1381" s="18">
        <v>0.70138888888888884</v>
      </c>
      <c r="D1381" s="17" t="s">
        <v>50</v>
      </c>
      <c r="E1381" s="17" t="s">
        <v>57</v>
      </c>
      <c r="F1381" s="17" t="s">
        <v>79</v>
      </c>
      <c r="G1381" s="298"/>
      <c r="H1381" s="10"/>
      <c r="I1381" s="11"/>
      <c r="J1381" s="11"/>
      <c r="K1381" s="11"/>
      <c r="L1381" s="11"/>
      <c r="M1381" s="11"/>
      <c r="N1381" s="11"/>
      <c r="O1381" s="12"/>
      <c r="P1381" s="11"/>
      <c r="Q1381" s="13"/>
      <c r="R1381" s="14"/>
    </row>
    <row r="1382" spans="1:18" ht="15" customHeight="1">
      <c r="A1382" s="15" t="s">
        <v>48</v>
      </c>
      <c r="B1382" s="15" t="s">
        <v>389</v>
      </c>
      <c r="C1382" s="16">
        <v>0.70138888888888884</v>
      </c>
      <c r="D1382" s="15" t="s">
        <v>53</v>
      </c>
      <c r="E1382" s="15" t="s">
        <v>54</v>
      </c>
      <c r="F1382" s="15" t="s">
        <v>387</v>
      </c>
      <c r="G1382" s="298"/>
      <c r="H1382" s="10"/>
      <c r="I1382" s="11"/>
      <c r="J1382" s="11"/>
      <c r="K1382" s="11"/>
      <c r="L1382" s="11"/>
      <c r="M1382" s="11"/>
      <c r="N1382" s="11"/>
      <c r="O1382" s="12"/>
      <c r="P1382" s="11"/>
      <c r="Q1382" s="13"/>
      <c r="R1382" s="14"/>
    </row>
    <row r="1383" spans="1:18" ht="15" customHeight="1">
      <c r="A1383" s="17" t="s">
        <v>48</v>
      </c>
      <c r="B1383" s="17" t="s">
        <v>400</v>
      </c>
      <c r="C1383" s="18">
        <v>0.25347222222222221</v>
      </c>
      <c r="D1383" s="17" t="s">
        <v>50</v>
      </c>
      <c r="E1383" s="17" t="s">
        <v>435</v>
      </c>
      <c r="F1383" s="17" t="s">
        <v>79</v>
      </c>
      <c r="G1383" s="298"/>
      <c r="H1383" s="10"/>
      <c r="I1383" s="11"/>
      <c r="J1383" s="11"/>
      <c r="K1383" s="11"/>
      <c r="L1383" s="11"/>
      <c r="M1383" s="11"/>
      <c r="N1383" s="11"/>
      <c r="O1383" s="12"/>
      <c r="P1383" s="11"/>
      <c r="Q1383" s="13"/>
      <c r="R1383" s="14"/>
    </row>
    <row r="1384" spans="1:18" ht="15" customHeight="1">
      <c r="A1384" s="15" t="s">
        <v>48</v>
      </c>
      <c r="B1384" s="15" t="s">
        <v>400</v>
      </c>
      <c r="C1384" s="16">
        <v>0.25347222222222221</v>
      </c>
      <c r="D1384" s="15" t="s">
        <v>53</v>
      </c>
      <c r="E1384" s="15" t="s">
        <v>108</v>
      </c>
      <c r="F1384" s="15" t="s">
        <v>387</v>
      </c>
      <c r="G1384" s="298"/>
      <c r="H1384" s="10"/>
      <c r="I1384" s="11"/>
      <c r="J1384" s="11"/>
      <c r="K1384" s="11"/>
      <c r="L1384" s="11"/>
      <c r="M1384" s="11"/>
      <c r="N1384" s="11"/>
      <c r="O1384" s="12"/>
      <c r="P1384" s="11"/>
      <c r="Q1384" s="13"/>
      <c r="R1384" s="14"/>
    </row>
    <row r="1385" spans="1:18" ht="15" customHeight="1">
      <c r="A1385" s="17" t="s">
        <v>48</v>
      </c>
      <c r="B1385" s="17" t="s">
        <v>385</v>
      </c>
      <c r="C1385" s="18">
        <v>0.94097222222222221</v>
      </c>
      <c r="D1385" s="17" t="s">
        <v>50</v>
      </c>
      <c r="E1385" s="17" t="s">
        <v>57</v>
      </c>
      <c r="F1385" s="17" t="s">
        <v>79</v>
      </c>
      <c r="G1385" s="298"/>
      <c r="H1385" s="10"/>
      <c r="I1385" s="11"/>
      <c r="J1385" s="11"/>
      <c r="K1385" s="11"/>
      <c r="L1385" s="11"/>
      <c r="M1385" s="11"/>
      <c r="N1385" s="11"/>
      <c r="O1385" s="12"/>
      <c r="P1385" s="11"/>
      <c r="Q1385" s="13"/>
      <c r="R1385" s="14"/>
    </row>
    <row r="1386" spans="1:18" ht="15" customHeight="1">
      <c r="A1386" s="15" t="s">
        <v>48</v>
      </c>
      <c r="B1386" s="15" t="s">
        <v>385</v>
      </c>
      <c r="C1386" s="16">
        <v>0.94097222222222221</v>
      </c>
      <c r="D1386" s="15" t="s">
        <v>53</v>
      </c>
      <c r="E1386" s="15" t="s">
        <v>54</v>
      </c>
      <c r="F1386" s="15" t="s">
        <v>387</v>
      </c>
      <c r="G1386" s="298"/>
      <c r="H1386" s="10"/>
      <c r="I1386" s="11"/>
      <c r="J1386" s="11"/>
      <c r="K1386" s="11"/>
      <c r="L1386" s="11"/>
      <c r="M1386" s="11"/>
      <c r="N1386" s="11"/>
      <c r="O1386" s="12"/>
      <c r="P1386" s="11"/>
      <c r="Q1386" s="13"/>
      <c r="R1386" s="14"/>
    </row>
    <row r="1387" spans="1:18" ht="15" customHeight="1">
      <c r="A1387" s="17" t="s">
        <v>48</v>
      </c>
      <c r="B1387" s="17" t="s">
        <v>388</v>
      </c>
      <c r="C1387" s="18">
        <v>0.72222222222222221</v>
      </c>
      <c r="D1387" s="17" t="s">
        <v>50</v>
      </c>
      <c r="E1387" s="17" t="s">
        <v>57</v>
      </c>
      <c r="F1387" s="17" t="s">
        <v>476</v>
      </c>
      <c r="G1387" s="298"/>
      <c r="H1387" s="10"/>
      <c r="I1387" s="11"/>
      <c r="J1387" s="11"/>
      <c r="K1387" s="11"/>
      <c r="L1387" s="11"/>
      <c r="M1387" s="11"/>
      <c r="N1387" s="11"/>
      <c r="O1387" s="12"/>
      <c r="P1387" s="11"/>
      <c r="Q1387" s="13"/>
      <c r="R1387" s="14"/>
    </row>
    <row r="1388" spans="1:18" ht="15" customHeight="1">
      <c r="A1388" s="15" t="s">
        <v>48</v>
      </c>
      <c r="B1388" s="15" t="s">
        <v>388</v>
      </c>
      <c r="C1388" s="16">
        <v>0.72222222222222221</v>
      </c>
      <c r="D1388" s="15" t="s">
        <v>53</v>
      </c>
      <c r="E1388" s="15" t="s">
        <v>54</v>
      </c>
      <c r="F1388" s="15" t="s">
        <v>477</v>
      </c>
      <c r="G1388" s="298"/>
      <c r="H1388" s="10"/>
      <c r="I1388" s="11"/>
      <c r="J1388" s="11"/>
      <c r="K1388" s="11"/>
      <c r="L1388" s="11"/>
      <c r="M1388" s="11"/>
      <c r="N1388" s="11"/>
      <c r="O1388" s="12"/>
      <c r="P1388" s="11"/>
      <c r="Q1388" s="13"/>
      <c r="R1388" s="14"/>
    </row>
    <row r="1389" spans="1:18" ht="15" customHeight="1">
      <c r="A1389" s="17" t="s">
        <v>48</v>
      </c>
      <c r="B1389" s="17" t="s">
        <v>390</v>
      </c>
      <c r="C1389" s="18">
        <v>4.1666666666666657E-2</v>
      </c>
      <c r="D1389" s="17" t="s">
        <v>50</v>
      </c>
      <c r="E1389" s="17" t="s">
        <v>57</v>
      </c>
      <c r="F1389" s="17" t="s">
        <v>476</v>
      </c>
      <c r="G1389" s="298"/>
      <c r="H1389" s="10"/>
      <c r="I1389" s="11"/>
      <c r="J1389" s="11"/>
      <c r="K1389" s="11"/>
      <c r="L1389" s="11"/>
      <c r="M1389" s="11"/>
      <c r="N1389" s="11"/>
      <c r="O1389" s="12"/>
      <c r="P1389" s="11"/>
      <c r="Q1389" s="13"/>
      <c r="R1389" s="14"/>
    </row>
    <row r="1390" spans="1:18" ht="15" customHeight="1">
      <c r="A1390" s="15" t="s">
        <v>48</v>
      </c>
      <c r="B1390" s="15" t="s">
        <v>390</v>
      </c>
      <c r="C1390" s="16">
        <v>4.1666666666666657E-2</v>
      </c>
      <c r="D1390" s="15" t="s">
        <v>53</v>
      </c>
      <c r="E1390" s="15" t="s">
        <v>54</v>
      </c>
      <c r="F1390" s="15" t="s">
        <v>477</v>
      </c>
      <c r="G1390" s="298"/>
      <c r="H1390" s="10"/>
      <c r="I1390" s="11"/>
      <c r="J1390" s="11"/>
      <c r="K1390" s="11"/>
      <c r="L1390" s="11"/>
      <c r="M1390" s="11"/>
      <c r="N1390" s="11"/>
      <c r="O1390" s="12"/>
      <c r="P1390" s="11"/>
      <c r="Q1390" s="13"/>
      <c r="R1390" s="14"/>
    </row>
    <row r="1391" spans="1:18" ht="15" customHeight="1">
      <c r="A1391" s="17" t="s">
        <v>48</v>
      </c>
      <c r="B1391" s="17" t="s">
        <v>396</v>
      </c>
      <c r="C1391" s="18">
        <v>0.48958333333333331</v>
      </c>
      <c r="D1391" s="17" t="s">
        <v>53</v>
      </c>
      <c r="E1391" s="17" t="s">
        <v>37</v>
      </c>
      <c r="F1391" s="17" t="s">
        <v>481</v>
      </c>
      <c r="G1391" s="298"/>
      <c r="H1391" s="10"/>
      <c r="I1391" s="11"/>
      <c r="J1391" s="11"/>
      <c r="K1391" s="11"/>
      <c r="L1391" s="11"/>
      <c r="M1391" s="11"/>
      <c r="N1391" s="11"/>
      <c r="O1391" s="12"/>
      <c r="P1391" s="11"/>
      <c r="Q1391" s="13"/>
      <c r="R1391" s="14"/>
    </row>
    <row r="1392" spans="1:18" ht="15" customHeight="1">
      <c r="A1392" s="17" t="s">
        <v>48</v>
      </c>
      <c r="B1392" s="17" t="s">
        <v>394</v>
      </c>
      <c r="C1392" s="18">
        <v>0.98958333333333337</v>
      </c>
      <c r="D1392" s="17" t="s">
        <v>53</v>
      </c>
      <c r="E1392" s="17" t="s">
        <v>37</v>
      </c>
      <c r="F1392" s="17" t="s">
        <v>399</v>
      </c>
      <c r="G1392" s="298"/>
      <c r="H1392" s="10"/>
      <c r="I1392" s="11"/>
      <c r="J1392" s="11"/>
      <c r="K1392" s="11"/>
      <c r="L1392" s="11"/>
      <c r="M1392" s="11"/>
      <c r="N1392" s="11"/>
      <c r="O1392" s="12"/>
      <c r="P1392" s="11"/>
      <c r="Q1392" s="13"/>
      <c r="R1392" s="14"/>
    </row>
    <row r="1393" spans="1:18" ht="15" customHeight="1">
      <c r="A1393" s="17" t="s">
        <v>48</v>
      </c>
      <c r="B1393" s="17" t="s">
        <v>398</v>
      </c>
      <c r="C1393" s="18">
        <v>0.39930555555555558</v>
      </c>
      <c r="D1393" s="17" t="s">
        <v>53</v>
      </c>
      <c r="E1393" s="17" t="s">
        <v>37</v>
      </c>
      <c r="F1393" s="17" t="s">
        <v>399</v>
      </c>
      <c r="G1393" s="298"/>
      <c r="H1393" s="10"/>
      <c r="I1393" s="11"/>
      <c r="J1393" s="11"/>
      <c r="K1393" s="11"/>
      <c r="L1393" s="11"/>
      <c r="M1393" s="11"/>
      <c r="N1393" s="11"/>
      <c r="O1393" s="12"/>
      <c r="P1393" s="11"/>
      <c r="Q1393" s="13"/>
      <c r="R1393" s="14"/>
    </row>
    <row r="1394" spans="1:18" ht="15" customHeight="1">
      <c r="A1394" s="17" t="s">
        <v>48</v>
      </c>
      <c r="B1394" s="17" t="s">
        <v>397</v>
      </c>
      <c r="C1394" s="18">
        <v>0.88888888888888884</v>
      </c>
      <c r="D1394" s="17" t="s">
        <v>53</v>
      </c>
      <c r="E1394" s="17" t="s">
        <v>37</v>
      </c>
      <c r="F1394" s="17" t="s">
        <v>464</v>
      </c>
      <c r="G1394" s="298"/>
      <c r="H1394" s="10"/>
      <c r="I1394" s="11"/>
      <c r="J1394" s="11"/>
      <c r="K1394" s="11"/>
      <c r="L1394" s="11"/>
      <c r="M1394" s="11"/>
      <c r="N1394" s="11"/>
      <c r="O1394" s="12"/>
      <c r="P1394" s="11"/>
      <c r="Q1394" s="13"/>
      <c r="R1394" s="14"/>
    </row>
    <row r="1395" spans="1:18" ht="15" customHeight="1">
      <c r="A1395" s="19" t="s">
        <v>402</v>
      </c>
      <c r="B1395" s="19" t="s">
        <v>403</v>
      </c>
      <c r="C1395" s="20">
        <v>0.49305555555555558</v>
      </c>
      <c r="D1395" s="19" t="s">
        <v>63</v>
      </c>
      <c r="E1395" s="19" t="s">
        <v>103</v>
      </c>
      <c r="F1395" s="19" t="s">
        <v>404</v>
      </c>
      <c r="G1395" s="298"/>
      <c r="H1395" s="10"/>
      <c r="I1395" s="11"/>
      <c r="J1395" s="11"/>
      <c r="K1395" s="11"/>
      <c r="L1395" s="11"/>
      <c r="M1395" s="11"/>
      <c r="N1395" s="11"/>
      <c r="O1395" s="12"/>
      <c r="P1395" s="11"/>
      <c r="Q1395" s="13"/>
      <c r="R1395" s="14"/>
    </row>
    <row r="1396" spans="1:18" ht="15" customHeight="1">
      <c r="A1396" s="17" t="s">
        <v>402</v>
      </c>
      <c r="B1396" s="17" t="s">
        <v>465</v>
      </c>
      <c r="C1396" s="18">
        <v>0.13541666666666671</v>
      </c>
      <c r="D1396" s="17" t="s">
        <v>63</v>
      </c>
      <c r="E1396" s="17" t="s">
        <v>98</v>
      </c>
      <c r="F1396" s="17" t="s">
        <v>404</v>
      </c>
      <c r="G1396" s="298"/>
      <c r="H1396" s="10"/>
      <c r="I1396" s="11"/>
      <c r="J1396" s="11"/>
      <c r="K1396" s="11"/>
      <c r="L1396" s="11"/>
      <c r="M1396" s="11"/>
      <c r="N1396" s="11"/>
      <c r="O1396" s="12"/>
      <c r="P1396" s="11"/>
      <c r="Q1396" s="13"/>
      <c r="R1396" s="14"/>
    </row>
    <row r="1397" spans="1:18" ht="15" customHeight="1">
      <c r="A1397" s="17" t="s">
        <v>402</v>
      </c>
      <c r="B1397" s="17" t="s">
        <v>473</v>
      </c>
      <c r="C1397" s="18">
        <v>0.86805555555555547</v>
      </c>
      <c r="D1397" s="17" t="s">
        <v>63</v>
      </c>
      <c r="E1397" s="17" t="s">
        <v>98</v>
      </c>
      <c r="F1397" s="17" t="s">
        <v>404</v>
      </c>
      <c r="G1397" s="298"/>
      <c r="H1397" s="10"/>
      <c r="I1397" s="11"/>
      <c r="J1397" s="11"/>
      <c r="K1397" s="11"/>
      <c r="L1397" s="11"/>
      <c r="M1397" s="11"/>
      <c r="N1397" s="11"/>
      <c r="O1397" s="12"/>
      <c r="P1397" s="11"/>
      <c r="Q1397" s="13"/>
      <c r="R1397" s="14"/>
    </row>
    <row r="1398" spans="1:18" ht="15" customHeight="1">
      <c r="A1398" s="19" t="s">
        <v>26</v>
      </c>
      <c r="B1398" s="19" t="s">
        <v>354</v>
      </c>
      <c r="C1398" s="20">
        <v>0.34722222222222232</v>
      </c>
      <c r="D1398" s="19" t="s">
        <v>28</v>
      </c>
      <c r="E1398" s="19" t="s">
        <v>103</v>
      </c>
      <c r="F1398" s="19" t="s">
        <v>79</v>
      </c>
      <c r="G1398" s="298"/>
      <c r="H1398" s="10"/>
      <c r="I1398" s="11"/>
      <c r="J1398" s="11"/>
      <c r="K1398" s="11"/>
      <c r="L1398" s="11"/>
      <c r="M1398" s="11"/>
      <c r="N1398" s="11"/>
      <c r="O1398" s="12"/>
      <c r="P1398" s="11"/>
      <c r="Q1398" s="13"/>
      <c r="R1398" s="14"/>
    </row>
    <row r="1399" spans="1:18" ht="15" customHeight="1">
      <c r="A1399" s="15" t="s">
        <v>26</v>
      </c>
      <c r="B1399" s="15" t="s">
        <v>354</v>
      </c>
      <c r="C1399" s="16">
        <v>0.34722222222222232</v>
      </c>
      <c r="D1399" s="15" t="s">
        <v>31</v>
      </c>
      <c r="E1399" s="15" t="s">
        <v>99</v>
      </c>
      <c r="F1399" s="15" t="s">
        <v>123</v>
      </c>
      <c r="G1399" s="298"/>
      <c r="H1399" s="10"/>
      <c r="I1399" s="11"/>
      <c r="J1399" s="11"/>
      <c r="K1399" s="11"/>
      <c r="L1399" s="11"/>
      <c r="M1399" s="11"/>
      <c r="N1399" s="11"/>
      <c r="O1399" s="12"/>
      <c r="P1399" s="11"/>
      <c r="Q1399" s="13"/>
      <c r="R1399" s="14"/>
    </row>
    <row r="1400" spans="1:18" ht="15" customHeight="1">
      <c r="A1400" s="15" t="s">
        <v>26</v>
      </c>
      <c r="B1400" s="15" t="s">
        <v>354</v>
      </c>
      <c r="C1400" s="16">
        <v>0.34722222222222232</v>
      </c>
      <c r="D1400" s="15" t="s">
        <v>34</v>
      </c>
      <c r="E1400" s="15" t="s">
        <v>99</v>
      </c>
      <c r="F1400" s="15" t="s">
        <v>118</v>
      </c>
      <c r="G1400" s="298"/>
      <c r="H1400" s="10"/>
      <c r="I1400" s="11"/>
      <c r="J1400" s="11"/>
      <c r="K1400" s="11"/>
      <c r="L1400" s="11"/>
      <c r="M1400" s="11"/>
      <c r="N1400" s="11"/>
      <c r="O1400" s="12"/>
      <c r="P1400" s="11"/>
      <c r="Q1400" s="13"/>
      <c r="R1400" s="14"/>
    </row>
    <row r="1401" spans="1:18" ht="15" customHeight="1">
      <c r="A1401" s="17" t="s">
        <v>26</v>
      </c>
      <c r="B1401" s="17" t="s">
        <v>348</v>
      </c>
      <c r="C1401" s="18">
        <v>0.99305555555555547</v>
      </c>
      <c r="D1401" s="17" t="s">
        <v>28</v>
      </c>
      <c r="E1401" s="17" t="s">
        <v>98</v>
      </c>
      <c r="F1401" s="17" t="s">
        <v>79</v>
      </c>
      <c r="G1401" s="298"/>
      <c r="H1401" s="10"/>
      <c r="I1401" s="11"/>
      <c r="J1401" s="11"/>
      <c r="K1401" s="11"/>
      <c r="L1401" s="11"/>
      <c r="M1401" s="11"/>
      <c r="N1401" s="11"/>
      <c r="O1401" s="12"/>
      <c r="P1401" s="11"/>
      <c r="Q1401" s="13"/>
      <c r="R1401" s="14"/>
    </row>
    <row r="1402" spans="1:18" ht="15" customHeight="1">
      <c r="A1402" s="15" t="s">
        <v>26</v>
      </c>
      <c r="B1402" s="15" t="s">
        <v>348</v>
      </c>
      <c r="C1402" s="16">
        <v>0.99305555555555547</v>
      </c>
      <c r="D1402" s="15" t="s">
        <v>31</v>
      </c>
      <c r="E1402" s="15" t="s">
        <v>99</v>
      </c>
      <c r="F1402" s="15" t="s">
        <v>123</v>
      </c>
      <c r="G1402" s="298"/>
      <c r="H1402" s="10"/>
      <c r="I1402" s="11"/>
      <c r="J1402" s="11"/>
      <c r="K1402" s="11"/>
      <c r="L1402" s="11"/>
      <c r="M1402" s="11"/>
      <c r="N1402" s="11"/>
      <c r="O1402" s="12"/>
      <c r="P1402" s="11"/>
      <c r="Q1402" s="13"/>
      <c r="R1402" s="14"/>
    </row>
    <row r="1403" spans="1:18" ht="15" customHeight="1">
      <c r="A1403" s="15" t="s">
        <v>26</v>
      </c>
      <c r="B1403" s="15" t="s">
        <v>348</v>
      </c>
      <c r="C1403" s="16">
        <v>0.99305555555555547</v>
      </c>
      <c r="D1403" s="15" t="s">
        <v>34</v>
      </c>
      <c r="E1403" s="15" t="s">
        <v>99</v>
      </c>
      <c r="F1403" s="15" t="s">
        <v>118</v>
      </c>
      <c r="G1403" s="298"/>
      <c r="H1403" s="10"/>
      <c r="I1403" s="11"/>
      <c r="J1403" s="11"/>
      <c r="K1403" s="11"/>
      <c r="L1403" s="11"/>
      <c r="M1403" s="11"/>
      <c r="N1403" s="11"/>
      <c r="O1403" s="12"/>
      <c r="P1403" s="11"/>
      <c r="Q1403" s="13"/>
      <c r="R1403" s="14"/>
    </row>
    <row r="1404" spans="1:18" ht="15" customHeight="1">
      <c r="A1404" s="17" t="s">
        <v>26</v>
      </c>
      <c r="B1404" s="17" t="s">
        <v>350</v>
      </c>
      <c r="C1404" s="18">
        <v>0.73611111111111116</v>
      </c>
      <c r="D1404" s="17" t="s">
        <v>28</v>
      </c>
      <c r="E1404" s="17" t="s">
        <v>98</v>
      </c>
      <c r="F1404" s="17" t="s">
        <v>79</v>
      </c>
      <c r="G1404" s="298"/>
      <c r="H1404" s="10"/>
      <c r="I1404" s="11"/>
      <c r="J1404" s="11"/>
      <c r="K1404" s="11"/>
      <c r="L1404" s="11"/>
      <c r="M1404" s="11"/>
      <c r="N1404" s="11"/>
      <c r="O1404" s="12"/>
      <c r="P1404" s="11"/>
      <c r="Q1404" s="13"/>
      <c r="R1404" s="14"/>
    </row>
    <row r="1405" spans="1:18" ht="15" customHeight="1">
      <c r="A1405" s="15" t="s">
        <v>26</v>
      </c>
      <c r="B1405" s="15" t="s">
        <v>350</v>
      </c>
      <c r="C1405" s="16">
        <v>0.73611111111111116</v>
      </c>
      <c r="D1405" s="15" t="s">
        <v>31</v>
      </c>
      <c r="E1405" s="15" t="s">
        <v>99</v>
      </c>
      <c r="F1405" s="15" t="s">
        <v>123</v>
      </c>
      <c r="G1405" s="298"/>
      <c r="H1405" s="10"/>
      <c r="I1405" s="11"/>
      <c r="J1405" s="11"/>
      <c r="K1405" s="11"/>
      <c r="L1405" s="11"/>
      <c r="M1405" s="11"/>
      <c r="N1405" s="11"/>
      <c r="O1405" s="12"/>
      <c r="P1405" s="11"/>
      <c r="Q1405" s="13"/>
      <c r="R1405" s="14"/>
    </row>
    <row r="1406" spans="1:18" ht="15" customHeight="1">
      <c r="A1406" s="15" t="s">
        <v>26</v>
      </c>
      <c r="B1406" s="15" t="s">
        <v>350</v>
      </c>
      <c r="C1406" s="16">
        <v>0.73611111111111116</v>
      </c>
      <c r="D1406" s="15" t="s">
        <v>34</v>
      </c>
      <c r="E1406" s="15" t="s">
        <v>99</v>
      </c>
      <c r="F1406" s="15" t="s">
        <v>118</v>
      </c>
      <c r="G1406" s="298"/>
      <c r="H1406" s="10"/>
      <c r="I1406" s="11"/>
      <c r="J1406" s="11"/>
      <c r="K1406" s="11"/>
      <c r="L1406" s="11"/>
      <c r="M1406" s="11"/>
      <c r="N1406" s="11"/>
      <c r="O1406" s="12"/>
      <c r="P1406" s="11"/>
      <c r="Q1406" s="13"/>
      <c r="R1406" s="14"/>
    </row>
    <row r="1407" spans="1:18" ht="15" customHeight="1">
      <c r="A1407" s="17" t="s">
        <v>26</v>
      </c>
      <c r="B1407" s="17" t="s">
        <v>351</v>
      </c>
      <c r="C1407" s="18">
        <v>0.83680555555555547</v>
      </c>
      <c r="D1407" s="17" t="s">
        <v>28</v>
      </c>
      <c r="E1407" s="17" t="s">
        <v>98</v>
      </c>
      <c r="F1407" s="17" t="s">
        <v>79</v>
      </c>
      <c r="G1407" s="298"/>
      <c r="H1407" s="10"/>
      <c r="I1407" s="11"/>
      <c r="J1407" s="11"/>
      <c r="K1407" s="11"/>
      <c r="L1407" s="11"/>
      <c r="M1407" s="11"/>
      <c r="N1407" s="11"/>
      <c r="O1407" s="12"/>
      <c r="P1407" s="11"/>
      <c r="Q1407" s="13"/>
      <c r="R1407" s="14"/>
    </row>
    <row r="1408" spans="1:18" ht="15" customHeight="1">
      <c r="A1408" s="15" t="s">
        <v>26</v>
      </c>
      <c r="B1408" s="15" t="s">
        <v>351</v>
      </c>
      <c r="C1408" s="16">
        <v>0.83680555555555547</v>
      </c>
      <c r="D1408" s="15" t="s">
        <v>31</v>
      </c>
      <c r="E1408" s="15" t="s">
        <v>99</v>
      </c>
      <c r="F1408" s="15" t="s">
        <v>123</v>
      </c>
      <c r="G1408" s="298"/>
      <c r="H1408" s="10"/>
      <c r="I1408" s="11"/>
      <c r="J1408" s="11"/>
      <c r="K1408" s="11"/>
      <c r="L1408" s="11"/>
      <c r="M1408" s="11"/>
      <c r="N1408" s="11"/>
      <c r="O1408" s="12"/>
      <c r="P1408" s="11"/>
      <c r="Q1408" s="13"/>
      <c r="R1408" s="14"/>
    </row>
    <row r="1409" spans="1:18" ht="15" customHeight="1">
      <c r="A1409" s="15" t="s">
        <v>26</v>
      </c>
      <c r="B1409" s="15" t="s">
        <v>351</v>
      </c>
      <c r="C1409" s="16">
        <v>0.83680555555555547</v>
      </c>
      <c r="D1409" s="15" t="s">
        <v>34</v>
      </c>
      <c r="E1409" s="15" t="s">
        <v>99</v>
      </c>
      <c r="F1409" s="15" t="s">
        <v>118</v>
      </c>
      <c r="G1409" s="298"/>
      <c r="H1409" s="10"/>
      <c r="I1409" s="11"/>
      <c r="J1409" s="11"/>
      <c r="K1409" s="11"/>
      <c r="L1409" s="11"/>
      <c r="M1409" s="11"/>
      <c r="N1409" s="11"/>
      <c r="O1409" s="12"/>
      <c r="P1409" s="11"/>
      <c r="Q1409" s="13"/>
      <c r="R1409" s="14"/>
    </row>
    <row r="1410" spans="1:18" ht="15" customHeight="1">
      <c r="A1410" s="17" t="s">
        <v>26</v>
      </c>
      <c r="B1410" s="17" t="s">
        <v>353</v>
      </c>
      <c r="C1410" s="18">
        <v>0.88888888888888884</v>
      </c>
      <c r="D1410" s="17" t="s">
        <v>28</v>
      </c>
      <c r="E1410" s="17" t="s">
        <v>98</v>
      </c>
      <c r="F1410" s="17" t="s">
        <v>79</v>
      </c>
      <c r="G1410" s="298"/>
      <c r="H1410" s="10"/>
      <c r="I1410" s="11"/>
      <c r="J1410" s="11"/>
      <c r="K1410" s="11"/>
      <c r="L1410" s="11"/>
      <c r="M1410" s="11"/>
      <c r="N1410" s="11"/>
      <c r="O1410" s="12"/>
      <c r="P1410" s="11"/>
      <c r="Q1410" s="13"/>
      <c r="R1410" s="14"/>
    </row>
    <row r="1411" spans="1:18" ht="15" customHeight="1">
      <c r="A1411" s="15" t="s">
        <v>26</v>
      </c>
      <c r="B1411" s="15" t="s">
        <v>353</v>
      </c>
      <c r="C1411" s="16">
        <v>0.88888888888888884</v>
      </c>
      <c r="D1411" s="15" t="s">
        <v>31</v>
      </c>
      <c r="E1411" s="15" t="s">
        <v>99</v>
      </c>
      <c r="F1411" s="15" t="s">
        <v>123</v>
      </c>
      <c r="G1411" s="298"/>
      <c r="H1411" s="10"/>
      <c r="I1411" s="11"/>
      <c r="J1411" s="11"/>
      <c r="K1411" s="11"/>
      <c r="L1411" s="11"/>
      <c r="M1411" s="11"/>
      <c r="N1411" s="11"/>
      <c r="O1411" s="12"/>
      <c r="P1411" s="11"/>
      <c r="Q1411" s="13"/>
      <c r="R1411" s="14"/>
    </row>
    <row r="1412" spans="1:18" ht="15" customHeight="1">
      <c r="A1412" s="15" t="s">
        <v>26</v>
      </c>
      <c r="B1412" s="15" t="s">
        <v>353</v>
      </c>
      <c r="C1412" s="16">
        <v>0.88888888888888884</v>
      </c>
      <c r="D1412" s="15" t="s">
        <v>34</v>
      </c>
      <c r="E1412" s="15" t="s">
        <v>99</v>
      </c>
      <c r="F1412" s="15" t="s">
        <v>118</v>
      </c>
      <c r="G1412" s="298"/>
      <c r="H1412" s="10"/>
      <c r="I1412" s="11"/>
      <c r="J1412" s="11"/>
      <c r="K1412" s="11"/>
      <c r="L1412" s="11"/>
      <c r="M1412" s="11"/>
      <c r="N1412" s="11"/>
      <c r="O1412" s="12"/>
      <c r="P1412" s="11"/>
      <c r="Q1412" s="13"/>
      <c r="R1412" s="14"/>
    </row>
    <row r="1413" spans="1:18" ht="15" customHeight="1">
      <c r="A1413" s="17" t="s">
        <v>26</v>
      </c>
      <c r="B1413" s="17" t="s">
        <v>352</v>
      </c>
      <c r="C1413" s="18">
        <v>0.94444444444444453</v>
      </c>
      <c r="D1413" s="17" t="s">
        <v>28</v>
      </c>
      <c r="E1413" s="17" t="s">
        <v>98</v>
      </c>
      <c r="F1413" s="17" t="s">
        <v>45</v>
      </c>
      <c r="G1413" s="298"/>
      <c r="H1413" s="10"/>
      <c r="I1413" s="11"/>
      <c r="J1413" s="11"/>
      <c r="K1413" s="11"/>
      <c r="L1413" s="11"/>
      <c r="M1413" s="11"/>
      <c r="N1413" s="11"/>
      <c r="O1413" s="12"/>
      <c r="P1413" s="11"/>
      <c r="Q1413" s="13"/>
      <c r="R1413" s="14"/>
    </row>
    <row r="1414" spans="1:18" ht="15" customHeight="1">
      <c r="A1414" s="15" t="s">
        <v>26</v>
      </c>
      <c r="B1414" s="15" t="s">
        <v>352</v>
      </c>
      <c r="C1414" s="16">
        <v>0.94444444444444453</v>
      </c>
      <c r="D1414" s="15" t="s">
        <v>31</v>
      </c>
      <c r="E1414" s="15" t="s">
        <v>99</v>
      </c>
      <c r="F1414" s="15" t="s">
        <v>355</v>
      </c>
      <c r="G1414" s="298"/>
      <c r="H1414" s="10"/>
      <c r="I1414" s="11"/>
      <c r="J1414" s="11"/>
      <c r="K1414" s="11"/>
      <c r="L1414" s="11"/>
      <c r="M1414" s="11"/>
      <c r="N1414" s="11"/>
      <c r="O1414" s="12"/>
      <c r="P1414" s="11"/>
      <c r="Q1414" s="13"/>
      <c r="R1414" s="14"/>
    </row>
    <row r="1415" spans="1:18" ht="15" customHeight="1">
      <c r="A1415" s="15" t="s">
        <v>26</v>
      </c>
      <c r="B1415" s="15" t="s">
        <v>352</v>
      </c>
      <c r="C1415" s="16">
        <v>0.94444444444444453</v>
      </c>
      <c r="D1415" s="15" t="s">
        <v>34</v>
      </c>
      <c r="E1415" s="15" t="s">
        <v>99</v>
      </c>
      <c r="F1415" s="15" t="s">
        <v>358</v>
      </c>
      <c r="G1415" s="298"/>
      <c r="H1415" s="10"/>
      <c r="I1415" s="11"/>
      <c r="J1415" s="11"/>
      <c r="K1415" s="11"/>
      <c r="L1415" s="11"/>
      <c r="M1415" s="11"/>
      <c r="N1415" s="11"/>
      <c r="O1415" s="12"/>
      <c r="P1415" s="11"/>
      <c r="Q1415" s="13"/>
      <c r="R1415" s="14"/>
    </row>
    <row r="1416" spans="1:18" ht="15" customHeight="1">
      <c r="A1416" s="17" t="s">
        <v>26</v>
      </c>
      <c r="B1416" s="17" t="s">
        <v>357</v>
      </c>
      <c r="C1416" s="18">
        <v>0.55902777777777779</v>
      </c>
      <c r="D1416" s="17" t="s">
        <v>28</v>
      </c>
      <c r="E1416" s="17" t="s">
        <v>98</v>
      </c>
      <c r="F1416" s="17" t="s">
        <v>45</v>
      </c>
      <c r="G1416" s="298"/>
      <c r="H1416" s="10"/>
      <c r="I1416" s="11"/>
      <c r="J1416" s="11"/>
      <c r="K1416" s="11"/>
      <c r="L1416" s="11"/>
      <c r="M1416" s="11"/>
      <c r="N1416" s="11"/>
      <c r="O1416" s="12"/>
      <c r="P1416" s="11"/>
      <c r="Q1416" s="13"/>
      <c r="R1416" s="14"/>
    </row>
    <row r="1417" spans="1:18" ht="15" customHeight="1">
      <c r="A1417" s="15" t="s">
        <v>26</v>
      </c>
      <c r="B1417" s="15" t="s">
        <v>357</v>
      </c>
      <c r="C1417" s="16">
        <v>0.55902777777777779</v>
      </c>
      <c r="D1417" s="15" t="s">
        <v>31</v>
      </c>
      <c r="E1417" s="15" t="s">
        <v>99</v>
      </c>
      <c r="F1417" s="15" t="s">
        <v>355</v>
      </c>
      <c r="G1417" s="298"/>
      <c r="H1417" s="10"/>
      <c r="I1417" s="11"/>
      <c r="J1417" s="11"/>
      <c r="K1417" s="11"/>
      <c r="L1417" s="11"/>
      <c r="M1417" s="11"/>
      <c r="N1417" s="11"/>
      <c r="O1417" s="12"/>
      <c r="P1417" s="11"/>
      <c r="Q1417" s="13"/>
      <c r="R1417" s="14"/>
    </row>
    <row r="1418" spans="1:18" ht="15" customHeight="1">
      <c r="A1418" s="15" t="s">
        <v>26</v>
      </c>
      <c r="B1418" s="15" t="s">
        <v>357</v>
      </c>
      <c r="C1418" s="16">
        <v>0.55902777777777779</v>
      </c>
      <c r="D1418" s="15" t="s">
        <v>34</v>
      </c>
      <c r="E1418" s="15" t="s">
        <v>99</v>
      </c>
      <c r="F1418" s="15" t="s">
        <v>358</v>
      </c>
      <c r="G1418" s="298"/>
      <c r="H1418" s="10"/>
      <c r="I1418" s="11"/>
      <c r="J1418" s="11"/>
      <c r="K1418" s="11"/>
      <c r="L1418" s="11"/>
      <c r="M1418" s="11"/>
      <c r="N1418" s="11"/>
      <c r="O1418" s="12"/>
      <c r="P1418" s="11"/>
      <c r="Q1418" s="13"/>
      <c r="R1418" s="14"/>
    </row>
    <row r="1419" spans="1:18" ht="15" customHeight="1">
      <c r="A1419" s="17" t="s">
        <v>26</v>
      </c>
      <c r="B1419" s="17" t="s">
        <v>356</v>
      </c>
      <c r="C1419" s="18">
        <v>0.4861111111111111</v>
      </c>
      <c r="D1419" s="17" t="s">
        <v>28</v>
      </c>
      <c r="E1419" s="17" t="s">
        <v>90</v>
      </c>
      <c r="F1419" s="17" t="s">
        <v>123</v>
      </c>
      <c r="G1419" s="298"/>
      <c r="H1419" s="10"/>
      <c r="I1419" s="11"/>
      <c r="J1419" s="11"/>
      <c r="K1419" s="11"/>
      <c r="L1419" s="11"/>
      <c r="M1419" s="11"/>
      <c r="N1419" s="11"/>
      <c r="O1419" s="12"/>
      <c r="P1419" s="11"/>
      <c r="Q1419" s="13"/>
      <c r="R1419" s="14"/>
    </row>
    <row r="1420" spans="1:18" ht="15" customHeight="1">
      <c r="A1420" s="15" t="s">
        <v>26</v>
      </c>
      <c r="B1420" s="15" t="s">
        <v>356</v>
      </c>
      <c r="C1420" s="16">
        <v>0.4861111111111111</v>
      </c>
      <c r="D1420" s="15" t="s">
        <v>31</v>
      </c>
      <c r="E1420" s="15" t="s">
        <v>82</v>
      </c>
      <c r="F1420" s="15" t="s">
        <v>163</v>
      </c>
      <c r="G1420" s="298"/>
      <c r="H1420" s="10"/>
      <c r="I1420" s="11"/>
      <c r="J1420" s="11"/>
      <c r="K1420" s="11"/>
      <c r="L1420" s="11"/>
      <c r="M1420" s="11"/>
      <c r="N1420" s="11"/>
      <c r="O1420" s="12"/>
      <c r="P1420" s="11"/>
      <c r="Q1420" s="13"/>
      <c r="R1420" s="14"/>
    </row>
    <row r="1421" spans="1:18" ht="15" customHeight="1">
      <c r="A1421" s="15" t="s">
        <v>26</v>
      </c>
      <c r="B1421" s="15" t="s">
        <v>356</v>
      </c>
      <c r="C1421" s="16">
        <v>0.4861111111111111</v>
      </c>
      <c r="D1421" s="15" t="s">
        <v>34</v>
      </c>
      <c r="E1421" s="15" t="s">
        <v>82</v>
      </c>
      <c r="F1421" s="15" t="s">
        <v>119</v>
      </c>
      <c r="G1421" s="298"/>
      <c r="H1421" s="10"/>
      <c r="I1421" s="11"/>
      <c r="J1421" s="11"/>
      <c r="K1421" s="11"/>
      <c r="L1421" s="11"/>
      <c r="M1421" s="11"/>
      <c r="N1421" s="11"/>
      <c r="O1421" s="12"/>
      <c r="P1421" s="11"/>
      <c r="Q1421" s="13"/>
      <c r="R1421" s="14"/>
    </row>
    <row r="1422" spans="1:18" ht="15" customHeight="1">
      <c r="A1422" s="19" t="s">
        <v>68</v>
      </c>
      <c r="B1422" s="19" t="s">
        <v>405</v>
      </c>
      <c r="C1422" s="20">
        <v>0.83680555555555547</v>
      </c>
      <c r="D1422" s="19" t="s">
        <v>70</v>
      </c>
      <c r="E1422" s="19" t="s">
        <v>51</v>
      </c>
      <c r="F1422" s="19" t="s">
        <v>406</v>
      </c>
      <c r="G1422" s="298"/>
      <c r="H1422" s="10"/>
      <c r="I1422" s="11"/>
      <c r="J1422" s="11"/>
      <c r="K1422" s="11"/>
      <c r="L1422" s="11"/>
      <c r="M1422" s="11"/>
      <c r="N1422" s="11"/>
      <c r="O1422" s="12"/>
      <c r="P1422" s="11"/>
      <c r="Q1422" s="13"/>
      <c r="R1422" s="14"/>
    </row>
    <row r="1423" spans="1:18" ht="15" customHeight="1">
      <c r="A1423" s="17" t="s">
        <v>68</v>
      </c>
      <c r="B1423" s="17" t="s">
        <v>407</v>
      </c>
      <c r="C1423" s="18">
        <v>0.3125</v>
      </c>
      <c r="D1423" s="17" t="s">
        <v>70</v>
      </c>
      <c r="E1423" s="17" t="s">
        <v>57</v>
      </c>
      <c r="F1423" s="17" t="s">
        <v>406</v>
      </c>
      <c r="G1423" s="298"/>
      <c r="H1423" s="10"/>
      <c r="I1423" s="11"/>
      <c r="J1423" s="11"/>
      <c r="K1423" s="11"/>
      <c r="L1423" s="11"/>
      <c r="M1423" s="11"/>
      <c r="N1423" s="11"/>
      <c r="O1423" s="12"/>
      <c r="P1423" s="11"/>
      <c r="Q1423" s="13"/>
      <c r="R1423" s="14"/>
    </row>
    <row r="1424" spans="1:18" ht="15" customHeight="1">
      <c r="A1424" s="17" t="s">
        <v>68</v>
      </c>
      <c r="B1424" s="17" t="s">
        <v>408</v>
      </c>
      <c r="C1424" s="18">
        <v>0.97222222222222221</v>
      </c>
      <c r="D1424" s="17" t="s">
        <v>70</v>
      </c>
      <c r="E1424" s="17" t="s">
        <v>57</v>
      </c>
      <c r="F1424" s="17" t="s">
        <v>406</v>
      </c>
      <c r="G1424" s="298"/>
      <c r="H1424" s="10"/>
      <c r="I1424" s="11"/>
      <c r="J1424" s="11"/>
      <c r="K1424" s="11"/>
      <c r="L1424" s="11"/>
      <c r="M1424" s="11"/>
      <c r="N1424" s="11"/>
      <c r="O1424" s="12"/>
      <c r="P1424" s="11"/>
      <c r="Q1424" s="13"/>
      <c r="R1424" s="14"/>
    </row>
    <row r="1425" spans="1:18" ht="15" customHeight="1">
      <c r="A1425" s="17" t="s">
        <v>68</v>
      </c>
      <c r="B1425" s="17" t="s">
        <v>411</v>
      </c>
      <c r="C1425" s="18">
        <v>0.78472222222222221</v>
      </c>
      <c r="D1425" s="17" t="s">
        <v>70</v>
      </c>
      <c r="E1425" s="17" t="s">
        <v>57</v>
      </c>
      <c r="F1425" s="17" t="s">
        <v>406</v>
      </c>
      <c r="G1425" s="298"/>
      <c r="H1425" s="10"/>
      <c r="I1425" s="11"/>
      <c r="J1425" s="11"/>
      <c r="K1425" s="11"/>
      <c r="L1425" s="11"/>
      <c r="M1425" s="11"/>
      <c r="N1425" s="11"/>
      <c r="O1425" s="12"/>
      <c r="P1425" s="11"/>
      <c r="Q1425" s="13"/>
      <c r="R1425" s="14"/>
    </row>
    <row r="1426" spans="1:18" ht="15" customHeight="1">
      <c r="A1426" s="17" t="s">
        <v>68</v>
      </c>
      <c r="B1426" s="17" t="s">
        <v>410</v>
      </c>
      <c r="C1426" s="18">
        <v>0.59722222222222221</v>
      </c>
      <c r="D1426" s="17" t="s">
        <v>70</v>
      </c>
      <c r="E1426" s="17" t="s">
        <v>57</v>
      </c>
      <c r="F1426" s="17" t="s">
        <v>406</v>
      </c>
      <c r="G1426" s="298"/>
      <c r="H1426" s="10"/>
      <c r="I1426" s="11"/>
      <c r="J1426" s="11"/>
      <c r="K1426" s="11"/>
      <c r="L1426" s="11"/>
      <c r="M1426" s="11"/>
      <c r="N1426" s="11"/>
      <c r="O1426" s="12"/>
      <c r="P1426" s="11"/>
      <c r="Q1426" s="13"/>
      <c r="R1426" s="14"/>
    </row>
    <row r="1427" spans="1:18" ht="15" customHeight="1">
      <c r="A1427" s="17" t="s">
        <v>68</v>
      </c>
      <c r="B1427" s="17" t="s">
        <v>413</v>
      </c>
      <c r="C1427" s="18">
        <v>4.8611111111111112E-2</v>
      </c>
      <c r="D1427" s="17" t="s">
        <v>70</v>
      </c>
      <c r="E1427" s="17" t="s">
        <v>57</v>
      </c>
      <c r="F1427" s="17" t="s">
        <v>412</v>
      </c>
      <c r="G1427" s="298"/>
      <c r="H1427" s="10"/>
      <c r="I1427" s="11"/>
      <c r="J1427" s="11"/>
      <c r="K1427" s="11"/>
      <c r="L1427" s="11"/>
      <c r="M1427" s="11"/>
      <c r="N1427" s="11"/>
      <c r="O1427" s="12"/>
      <c r="P1427" s="11"/>
      <c r="Q1427" s="13"/>
      <c r="R1427" s="14"/>
    </row>
    <row r="1428" spans="1:18" ht="15" customHeight="1">
      <c r="A1428" s="17" t="s">
        <v>68</v>
      </c>
      <c r="B1428" s="17" t="s">
        <v>409</v>
      </c>
      <c r="C1428" s="18">
        <v>0.34027777777777768</v>
      </c>
      <c r="D1428" s="17" t="s">
        <v>70</v>
      </c>
      <c r="E1428" s="17" t="s">
        <v>57</v>
      </c>
      <c r="F1428" s="17" t="s">
        <v>523</v>
      </c>
      <c r="G1428" s="298"/>
      <c r="H1428" s="10"/>
      <c r="I1428" s="11"/>
      <c r="J1428" s="11"/>
      <c r="K1428" s="11"/>
      <c r="L1428" s="11"/>
      <c r="M1428" s="11"/>
      <c r="N1428" s="11"/>
      <c r="O1428" s="12"/>
      <c r="P1428" s="11"/>
      <c r="Q1428" s="13"/>
      <c r="R1428" s="14"/>
    </row>
    <row r="1429" spans="1:18" ht="15" customHeight="1">
      <c r="A1429" s="17" t="s">
        <v>68</v>
      </c>
      <c r="B1429" s="17" t="s">
        <v>437</v>
      </c>
      <c r="C1429" s="18">
        <v>0.1041666666666667</v>
      </c>
      <c r="D1429" s="17" t="s">
        <v>70</v>
      </c>
      <c r="E1429" s="17" t="s">
        <v>57</v>
      </c>
      <c r="F1429" s="17" t="s">
        <v>474</v>
      </c>
      <c r="G1429" s="298"/>
      <c r="H1429" s="10"/>
      <c r="I1429" s="11"/>
      <c r="J1429" s="11"/>
      <c r="K1429" s="11"/>
      <c r="L1429" s="11"/>
      <c r="M1429" s="11"/>
      <c r="N1429" s="11"/>
      <c r="O1429" s="12"/>
      <c r="P1429" s="11"/>
      <c r="Q1429" s="13"/>
      <c r="R1429" s="14"/>
    </row>
    <row r="1430" spans="1:18" ht="15" customHeight="1" thickBot="1">
      <c r="A1430" s="96" t="s">
        <v>415</v>
      </c>
      <c r="B1430" s="96" t="s">
        <v>480</v>
      </c>
      <c r="C1430" s="97">
        <v>0.72222222222222221</v>
      </c>
      <c r="D1430" s="96" t="s">
        <v>63</v>
      </c>
      <c r="E1430" s="96" t="s">
        <v>51</v>
      </c>
      <c r="F1430" s="96" t="s">
        <v>417</v>
      </c>
      <c r="G1430" s="299"/>
      <c r="H1430" s="300"/>
      <c r="I1430" s="140"/>
      <c r="J1430" s="140"/>
      <c r="K1430" s="140"/>
      <c r="L1430" s="140"/>
      <c r="M1430" s="140"/>
      <c r="N1430" s="140"/>
      <c r="O1430" s="141"/>
      <c r="P1430" s="140"/>
      <c r="Q1430" s="142"/>
      <c r="R1430" s="301"/>
    </row>
    <row r="1431" spans="1:18" ht="17.45" customHeight="1" thickBot="1">
      <c r="A1431" s="283"/>
      <c r="B1431" s="284"/>
      <c r="C1431" s="284"/>
      <c r="D1431" s="284"/>
      <c r="E1431" s="284"/>
      <c r="F1431" s="284"/>
      <c r="G1431" s="284"/>
      <c r="H1431" s="284"/>
      <c r="I1431" s="284"/>
      <c r="J1431" s="284"/>
      <c r="K1431" s="284"/>
      <c r="L1431" s="284"/>
      <c r="M1431" s="284"/>
      <c r="N1431" s="284"/>
      <c r="O1431" s="284"/>
      <c r="P1431" s="284"/>
      <c r="Q1431" s="284"/>
      <c r="R1431" s="285"/>
    </row>
    <row r="1432" spans="1:18" ht="22.15" customHeight="1" thickTop="1" thickBot="1">
      <c r="A1432" s="279" t="s">
        <v>6</v>
      </c>
      <c r="B1432" s="295"/>
      <c r="C1432" s="295"/>
      <c r="D1432" s="295"/>
      <c r="E1432" s="295"/>
      <c r="F1432" s="296"/>
      <c r="G1432" s="32">
        <v>46042</v>
      </c>
      <c r="H1432" s="278" t="s">
        <v>7</v>
      </c>
      <c r="I1432" s="295"/>
      <c r="J1432" s="295"/>
      <c r="K1432" s="295"/>
      <c r="L1432" s="295"/>
      <c r="M1432" s="295"/>
      <c r="N1432" s="295"/>
      <c r="O1432" s="295"/>
      <c r="P1432" s="295"/>
      <c r="Q1432" s="295"/>
      <c r="R1432" s="296"/>
    </row>
    <row r="1433" spans="1:18" ht="24" customHeight="1">
      <c r="A1433" s="33" t="s">
        <v>8</v>
      </c>
      <c r="B1433" s="33" t="s">
        <v>9</v>
      </c>
      <c r="C1433" s="34" t="s">
        <v>10</v>
      </c>
      <c r="D1433" s="33" t="s">
        <v>11</v>
      </c>
      <c r="E1433" s="33" t="s">
        <v>12</v>
      </c>
      <c r="F1433" s="35" t="s">
        <v>13</v>
      </c>
      <c r="G1433" s="36" t="s">
        <v>14</v>
      </c>
      <c r="H1433" s="33" t="s">
        <v>15</v>
      </c>
      <c r="I1433" s="37" t="s">
        <v>16</v>
      </c>
      <c r="J1433" s="38" t="s">
        <v>17</v>
      </c>
      <c r="K1433" s="39" t="s">
        <v>18</v>
      </c>
      <c r="L1433" s="38" t="s">
        <v>19</v>
      </c>
      <c r="M1433" s="38" t="s">
        <v>20</v>
      </c>
      <c r="N1433" s="38" t="s">
        <v>21</v>
      </c>
      <c r="O1433" s="33" t="s">
        <v>22</v>
      </c>
      <c r="P1433" s="34" t="s">
        <v>23</v>
      </c>
      <c r="Q1433" s="38" t="s">
        <v>24</v>
      </c>
      <c r="R1433" s="33" t="s">
        <v>25</v>
      </c>
    </row>
    <row r="1434" spans="1:18" ht="15" customHeight="1">
      <c r="A1434" s="8" t="s">
        <v>38</v>
      </c>
      <c r="B1434" s="8" t="s">
        <v>342</v>
      </c>
      <c r="C1434" s="9">
        <v>0.48958333333333331</v>
      </c>
      <c r="D1434" s="8" t="s">
        <v>40</v>
      </c>
      <c r="E1434" s="8" t="s">
        <v>192</v>
      </c>
      <c r="F1434" s="8" t="s">
        <v>81</v>
      </c>
      <c r="G1434" s="302"/>
      <c r="H1434" s="10"/>
      <c r="I1434" s="11"/>
      <c r="J1434" s="11"/>
      <c r="K1434" s="11"/>
      <c r="L1434" s="11"/>
      <c r="M1434" s="11"/>
      <c r="N1434" s="11"/>
      <c r="O1434" s="12"/>
      <c r="P1434" s="11"/>
      <c r="Q1434" s="13"/>
      <c r="R1434" s="14"/>
    </row>
    <row r="1435" spans="1:18" ht="15" customHeight="1">
      <c r="A1435" s="15" t="s">
        <v>38</v>
      </c>
      <c r="B1435" s="15" t="s">
        <v>342</v>
      </c>
      <c r="C1435" s="16">
        <v>0.48958333333333331</v>
      </c>
      <c r="D1435" s="15" t="s">
        <v>43</v>
      </c>
      <c r="E1435" s="15" t="s">
        <v>193</v>
      </c>
      <c r="F1435" s="15" t="s">
        <v>161</v>
      </c>
      <c r="G1435" s="298"/>
      <c r="H1435" s="10"/>
      <c r="I1435" s="11"/>
      <c r="J1435" s="11"/>
      <c r="K1435" s="11"/>
      <c r="L1435" s="11"/>
      <c r="M1435" s="11"/>
      <c r="N1435" s="11"/>
      <c r="O1435" s="12"/>
      <c r="P1435" s="11"/>
      <c r="Q1435" s="13"/>
      <c r="R1435" s="14"/>
    </row>
    <row r="1436" spans="1:18" ht="15" customHeight="1">
      <c r="A1436" s="15" t="s">
        <v>38</v>
      </c>
      <c r="B1436" s="15" t="s">
        <v>342</v>
      </c>
      <c r="C1436" s="16">
        <v>0.48958333333333331</v>
      </c>
      <c r="D1436" s="15" t="s">
        <v>46</v>
      </c>
      <c r="E1436" s="15" t="s">
        <v>193</v>
      </c>
      <c r="F1436" s="15" t="s">
        <v>47</v>
      </c>
      <c r="G1436" s="298"/>
      <c r="H1436" s="10"/>
      <c r="I1436" s="11"/>
      <c r="J1436" s="11"/>
      <c r="K1436" s="11"/>
      <c r="L1436" s="11"/>
      <c r="M1436" s="11"/>
      <c r="N1436" s="11"/>
      <c r="O1436" s="12"/>
      <c r="P1436" s="11"/>
      <c r="Q1436" s="13"/>
      <c r="R1436" s="14"/>
    </row>
    <row r="1437" spans="1:18" ht="15" customHeight="1">
      <c r="A1437" s="17" t="s">
        <v>38</v>
      </c>
      <c r="B1437" s="17" t="s">
        <v>344</v>
      </c>
      <c r="C1437" s="18">
        <v>0.88888888888888884</v>
      </c>
      <c r="D1437" s="17" t="s">
        <v>40</v>
      </c>
      <c r="E1437" s="17" t="s">
        <v>125</v>
      </c>
      <c r="F1437" s="17" t="s">
        <v>30</v>
      </c>
      <c r="G1437" s="298"/>
      <c r="H1437" s="10"/>
      <c r="I1437" s="11"/>
      <c r="J1437" s="11"/>
      <c r="K1437" s="11"/>
      <c r="L1437" s="11"/>
      <c r="M1437" s="11"/>
      <c r="N1437" s="11"/>
      <c r="O1437" s="12"/>
      <c r="P1437" s="11"/>
      <c r="Q1437" s="13"/>
      <c r="R1437" s="14"/>
    </row>
    <row r="1438" spans="1:18" ht="15" customHeight="1">
      <c r="A1438" s="15" t="s">
        <v>38</v>
      </c>
      <c r="B1438" s="15" t="s">
        <v>344</v>
      </c>
      <c r="C1438" s="16">
        <v>0.88888888888888884</v>
      </c>
      <c r="D1438" s="15" t="s">
        <v>43</v>
      </c>
      <c r="E1438" s="15" t="s">
        <v>44</v>
      </c>
      <c r="F1438" s="15" t="s">
        <v>420</v>
      </c>
      <c r="G1438" s="298"/>
      <c r="H1438" s="10"/>
      <c r="I1438" s="11"/>
      <c r="J1438" s="11"/>
      <c r="K1438" s="11"/>
      <c r="L1438" s="11"/>
      <c r="M1438" s="11"/>
      <c r="N1438" s="11"/>
      <c r="O1438" s="12"/>
      <c r="P1438" s="11"/>
      <c r="Q1438" s="13"/>
      <c r="R1438" s="14"/>
    </row>
    <row r="1439" spans="1:18" ht="15" customHeight="1">
      <c r="A1439" s="15" t="s">
        <v>38</v>
      </c>
      <c r="B1439" s="15" t="s">
        <v>344</v>
      </c>
      <c r="C1439" s="16">
        <v>0.88888888888888884</v>
      </c>
      <c r="D1439" s="15" t="s">
        <v>46</v>
      </c>
      <c r="E1439" s="15" t="s">
        <v>44</v>
      </c>
      <c r="F1439" s="15" t="s">
        <v>47</v>
      </c>
      <c r="G1439" s="298"/>
      <c r="H1439" s="10"/>
      <c r="I1439" s="11"/>
      <c r="J1439" s="11"/>
      <c r="K1439" s="11"/>
      <c r="L1439" s="11"/>
      <c r="M1439" s="11"/>
      <c r="N1439" s="11"/>
      <c r="O1439" s="12"/>
      <c r="P1439" s="11"/>
      <c r="Q1439" s="13"/>
      <c r="R1439" s="14"/>
    </row>
    <row r="1440" spans="1:18" ht="15" customHeight="1">
      <c r="A1440" s="17" t="s">
        <v>38</v>
      </c>
      <c r="B1440" s="17" t="s">
        <v>346</v>
      </c>
      <c r="C1440" s="18">
        <v>0.39930555555555558</v>
      </c>
      <c r="D1440" s="17" t="s">
        <v>40</v>
      </c>
      <c r="E1440" s="17" t="s">
        <v>125</v>
      </c>
      <c r="F1440" s="17" t="s">
        <v>347</v>
      </c>
      <c r="G1440" s="298"/>
      <c r="H1440" s="10"/>
      <c r="I1440" s="11"/>
      <c r="J1440" s="11"/>
      <c r="K1440" s="11"/>
      <c r="L1440" s="11"/>
      <c r="M1440" s="11"/>
      <c r="N1440" s="11"/>
      <c r="O1440" s="12"/>
      <c r="P1440" s="11"/>
      <c r="Q1440" s="13"/>
      <c r="R1440" s="14"/>
    </row>
    <row r="1441" spans="1:18" ht="15" customHeight="1">
      <c r="A1441" s="15" t="s">
        <v>38</v>
      </c>
      <c r="B1441" s="15" t="s">
        <v>346</v>
      </c>
      <c r="C1441" s="16">
        <v>0.39930555555555558</v>
      </c>
      <c r="D1441" s="15" t="s">
        <v>43</v>
      </c>
      <c r="E1441" s="15" t="s">
        <v>44</v>
      </c>
      <c r="F1441" s="15" t="s">
        <v>138</v>
      </c>
      <c r="G1441" s="298"/>
      <c r="H1441" s="10"/>
      <c r="I1441" s="11"/>
      <c r="J1441" s="11"/>
      <c r="K1441" s="11"/>
      <c r="L1441" s="11"/>
      <c r="M1441" s="11"/>
      <c r="N1441" s="11"/>
      <c r="O1441" s="12"/>
      <c r="P1441" s="11"/>
      <c r="Q1441" s="13"/>
      <c r="R1441" s="14"/>
    </row>
    <row r="1442" spans="1:18" ht="15" customHeight="1">
      <c r="A1442" s="15" t="s">
        <v>38</v>
      </c>
      <c r="B1442" s="15" t="s">
        <v>346</v>
      </c>
      <c r="C1442" s="16">
        <v>0.39930555555555558</v>
      </c>
      <c r="D1442" s="15" t="s">
        <v>46</v>
      </c>
      <c r="E1442" s="15" t="s">
        <v>44</v>
      </c>
      <c r="F1442" s="15" t="s">
        <v>47</v>
      </c>
      <c r="G1442" s="298"/>
      <c r="H1442" s="10"/>
      <c r="I1442" s="11"/>
      <c r="J1442" s="11"/>
      <c r="K1442" s="11"/>
      <c r="L1442" s="11"/>
      <c r="M1442" s="11"/>
      <c r="N1442" s="11"/>
      <c r="O1442" s="12"/>
      <c r="P1442" s="11"/>
      <c r="Q1442" s="13"/>
      <c r="R1442" s="14"/>
    </row>
    <row r="1443" spans="1:18" ht="15" customHeight="1">
      <c r="A1443" s="17" t="s">
        <v>38</v>
      </c>
      <c r="B1443" s="17" t="s">
        <v>345</v>
      </c>
      <c r="C1443" s="18">
        <v>0.98958333333333337</v>
      </c>
      <c r="D1443" s="17" t="s">
        <v>40</v>
      </c>
      <c r="E1443" s="17" t="s">
        <v>125</v>
      </c>
      <c r="F1443" s="17" t="s">
        <v>347</v>
      </c>
      <c r="G1443" s="298"/>
      <c r="H1443" s="10"/>
      <c r="I1443" s="11"/>
      <c r="J1443" s="11"/>
      <c r="K1443" s="11"/>
      <c r="L1443" s="11"/>
      <c r="M1443" s="11"/>
      <c r="N1443" s="11"/>
      <c r="O1443" s="12"/>
      <c r="P1443" s="11"/>
      <c r="Q1443" s="13"/>
      <c r="R1443" s="14"/>
    </row>
    <row r="1444" spans="1:18" ht="15" customHeight="1">
      <c r="A1444" s="15" t="s">
        <v>38</v>
      </c>
      <c r="B1444" s="15" t="s">
        <v>345</v>
      </c>
      <c r="C1444" s="16">
        <v>0.98958333333333337</v>
      </c>
      <c r="D1444" s="15" t="s">
        <v>43</v>
      </c>
      <c r="E1444" s="15" t="s">
        <v>44</v>
      </c>
      <c r="F1444" s="15" t="s">
        <v>138</v>
      </c>
      <c r="G1444" s="298"/>
      <c r="H1444" s="10"/>
      <c r="I1444" s="11"/>
      <c r="J1444" s="11"/>
      <c r="K1444" s="11"/>
      <c r="L1444" s="11"/>
      <c r="M1444" s="11"/>
      <c r="N1444" s="11"/>
      <c r="O1444" s="12"/>
      <c r="P1444" s="11"/>
      <c r="Q1444" s="13"/>
      <c r="R1444" s="14"/>
    </row>
    <row r="1445" spans="1:18" ht="15" customHeight="1">
      <c r="A1445" s="15" t="s">
        <v>38</v>
      </c>
      <c r="B1445" s="15" t="s">
        <v>345</v>
      </c>
      <c r="C1445" s="16">
        <v>0.98958333333333337</v>
      </c>
      <c r="D1445" s="15" t="s">
        <v>46</v>
      </c>
      <c r="E1445" s="15" t="s">
        <v>44</v>
      </c>
      <c r="F1445" s="15" t="s">
        <v>47</v>
      </c>
      <c r="G1445" s="298"/>
      <c r="H1445" s="10"/>
      <c r="I1445" s="11"/>
      <c r="J1445" s="11"/>
      <c r="K1445" s="11"/>
      <c r="L1445" s="11"/>
      <c r="M1445" s="11"/>
      <c r="N1445" s="11"/>
      <c r="O1445" s="12"/>
      <c r="P1445" s="11"/>
      <c r="Q1445" s="13"/>
      <c r="R1445" s="14"/>
    </row>
    <row r="1446" spans="1:18" ht="15" customHeight="1">
      <c r="A1446" s="19" t="s">
        <v>359</v>
      </c>
      <c r="B1446" s="19" t="s">
        <v>445</v>
      </c>
      <c r="C1446" s="20">
        <v>5.5555555555555552E-2</v>
      </c>
      <c r="D1446" s="19" t="s">
        <v>361</v>
      </c>
      <c r="E1446" s="19" t="s">
        <v>80</v>
      </c>
      <c r="F1446" s="19" t="s">
        <v>525</v>
      </c>
      <c r="G1446" s="298"/>
      <c r="H1446" s="10"/>
      <c r="I1446" s="11"/>
      <c r="J1446" s="11"/>
      <c r="K1446" s="11"/>
      <c r="L1446" s="11"/>
      <c r="M1446" s="11"/>
      <c r="N1446" s="11"/>
      <c r="O1446" s="12"/>
      <c r="P1446" s="11"/>
      <c r="Q1446" s="13"/>
      <c r="R1446" s="14"/>
    </row>
    <row r="1447" spans="1:18" ht="15" customHeight="1">
      <c r="A1447" s="15" t="s">
        <v>359</v>
      </c>
      <c r="B1447" s="15" t="s">
        <v>445</v>
      </c>
      <c r="C1447" s="16">
        <v>5.5555555555555552E-2</v>
      </c>
      <c r="D1447" s="15" t="s">
        <v>46</v>
      </c>
      <c r="E1447" s="15" t="s">
        <v>82</v>
      </c>
      <c r="F1447" s="15" t="s">
        <v>526</v>
      </c>
      <c r="G1447" s="298"/>
      <c r="H1447" s="10"/>
      <c r="I1447" s="11"/>
      <c r="J1447" s="11"/>
      <c r="K1447" s="11"/>
      <c r="L1447" s="11"/>
      <c r="M1447" s="11"/>
      <c r="N1447" s="11"/>
      <c r="O1447" s="12"/>
      <c r="P1447" s="11"/>
      <c r="Q1447" s="13"/>
      <c r="R1447" s="14"/>
    </row>
    <row r="1448" spans="1:18" ht="15" customHeight="1">
      <c r="A1448" s="40" t="s">
        <v>61</v>
      </c>
      <c r="B1448" s="40" t="s">
        <v>364</v>
      </c>
      <c r="C1448" s="41">
        <v>0.75694444444444453</v>
      </c>
      <c r="D1448" s="40" t="s">
        <v>63</v>
      </c>
      <c r="E1448" s="40" t="s">
        <v>103</v>
      </c>
      <c r="F1448" s="40" t="s">
        <v>365</v>
      </c>
      <c r="G1448" s="298"/>
      <c r="H1448" s="42" t="s">
        <v>366</v>
      </c>
      <c r="I1448" s="43">
        <v>5.5999999999999999E-3</v>
      </c>
      <c r="J1448" s="44">
        <v>1</v>
      </c>
      <c r="K1448" s="45">
        <v>46341</v>
      </c>
      <c r="L1448" s="44">
        <v>1</v>
      </c>
      <c r="M1448" s="44">
        <v>0</v>
      </c>
      <c r="N1448" s="44">
        <v>0</v>
      </c>
      <c r="O1448" s="46" t="s">
        <v>431</v>
      </c>
      <c r="P1448" s="47">
        <v>0.75694444444444453</v>
      </c>
      <c r="Q1448" s="44">
        <v>180</v>
      </c>
      <c r="R1448" s="48" t="s">
        <v>430</v>
      </c>
    </row>
    <row r="1449" spans="1:18" ht="15" customHeight="1">
      <c r="A1449" s="150" t="s">
        <v>61</v>
      </c>
      <c r="B1449" s="150" t="s">
        <v>432</v>
      </c>
      <c r="C1449" s="151">
        <v>0.55208333333333337</v>
      </c>
      <c r="D1449" s="150" t="s">
        <v>63</v>
      </c>
      <c r="E1449" s="150" t="s">
        <v>91</v>
      </c>
      <c r="F1449" s="150" t="s">
        <v>365</v>
      </c>
      <c r="G1449" s="298"/>
      <c r="H1449" s="80" t="s">
        <v>433</v>
      </c>
      <c r="I1449" s="81">
        <v>2.7799999999999998E-2</v>
      </c>
      <c r="J1449" s="82">
        <v>5</v>
      </c>
      <c r="K1449" s="83">
        <v>46339</v>
      </c>
      <c r="L1449" s="82">
        <v>5</v>
      </c>
      <c r="M1449" s="82">
        <v>0</v>
      </c>
      <c r="N1449" s="82">
        <v>0</v>
      </c>
      <c r="O1449" s="84" t="s">
        <v>367</v>
      </c>
      <c r="P1449" s="85">
        <v>0.55208333333333337</v>
      </c>
      <c r="Q1449" s="82">
        <v>180</v>
      </c>
      <c r="R1449" s="86" t="s">
        <v>527</v>
      </c>
    </row>
    <row r="1450" spans="1:18" ht="15" customHeight="1">
      <c r="A1450" s="154" t="s">
        <v>61</v>
      </c>
      <c r="B1450" s="154" t="s">
        <v>428</v>
      </c>
      <c r="C1450" s="155">
        <v>5.2083333333333343E-2</v>
      </c>
      <c r="D1450" s="154" t="s">
        <v>63</v>
      </c>
      <c r="E1450" s="154" t="s">
        <v>98</v>
      </c>
      <c r="F1450" s="154" t="s">
        <v>365</v>
      </c>
      <c r="G1450" s="298"/>
      <c r="H1450" s="69" t="s">
        <v>429</v>
      </c>
      <c r="I1450" s="70">
        <v>1.11E-2</v>
      </c>
      <c r="J1450" s="71">
        <v>2</v>
      </c>
      <c r="K1450" s="72">
        <v>46331</v>
      </c>
      <c r="L1450" s="71">
        <v>5</v>
      </c>
      <c r="M1450" s="71">
        <v>0</v>
      </c>
      <c r="N1450" s="71">
        <v>0</v>
      </c>
      <c r="O1450" s="73" t="s">
        <v>431</v>
      </c>
      <c r="P1450" s="74">
        <v>5.2083333333333343E-2</v>
      </c>
      <c r="Q1450" s="71">
        <v>180</v>
      </c>
      <c r="R1450" s="75" t="s">
        <v>528</v>
      </c>
    </row>
    <row r="1451" spans="1:18" ht="15" customHeight="1">
      <c r="A1451" s="150" t="s">
        <v>61</v>
      </c>
      <c r="B1451" s="150" t="s">
        <v>375</v>
      </c>
      <c r="C1451" s="151">
        <v>0.79166666666666663</v>
      </c>
      <c r="D1451" s="150" t="s">
        <v>63</v>
      </c>
      <c r="E1451" s="150" t="s">
        <v>98</v>
      </c>
      <c r="F1451" s="150" t="s">
        <v>365</v>
      </c>
      <c r="G1451" s="298"/>
      <c r="H1451" s="80" t="s">
        <v>376</v>
      </c>
      <c r="I1451" s="81">
        <v>5.5999999999999999E-3</v>
      </c>
      <c r="J1451" s="82">
        <v>1</v>
      </c>
      <c r="K1451" s="83">
        <v>46273</v>
      </c>
      <c r="L1451" s="82">
        <v>1</v>
      </c>
      <c r="M1451" s="82">
        <v>0</v>
      </c>
      <c r="N1451" s="82">
        <v>0</v>
      </c>
      <c r="O1451" s="84" t="s">
        <v>431</v>
      </c>
      <c r="P1451" s="85">
        <v>0.79166666666666663</v>
      </c>
      <c r="Q1451" s="82">
        <v>180</v>
      </c>
      <c r="R1451" s="86" t="s">
        <v>430</v>
      </c>
    </row>
    <row r="1452" spans="1:18" ht="15" customHeight="1">
      <c r="A1452" s="162" t="s">
        <v>61</v>
      </c>
      <c r="B1452" s="162" t="s">
        <v>377</v>
      </c>
      <c r="C1452" s="163">
        <v>0.4375</v>
      </c>
      <c r="D1452" s="162" t="s">
        <v>63</v>
      </c>
      <c r="E1452" s="162" t="s">
        <v>98</v>
      </c>
      <c r="F1452" s="162" t="s">
        <v>365</v>
      </c>
      <c r="G1452" s="298"/>
      <c r="H1452" s="60" t="s">
        <v>378</v>
      </c>
      <c r="I1452" s="61">
        <v>5.5999999999999999E-3</v>
      </c>
      <c r="J1452" s="62">
        <v>1</v>
      </c>
      <c r="K1452" s="63">
        <v>46331</v>
      </c>
      <c r="L1452" s="62">
        <v>1</v>
      </c>
      <c r="M1452" s="62">
        <v>0</v>
      </c>
      <c r="N1452" s="62">
        <v>0</v>
      </c>
      <c r="O1452" s="64" t="s">
        <v>431</v>
      </c>
      <c r="P1452" s="65">
        <v>0.4375</v>
      </c>
      <c r="Q1452" s="62">
        <v>180</v>
      </c>
      <c r="R1452" s="66" t="s">
        <v>430</v>
      </c>
    </row>
    <row r="1453" spans="1:18" ht="15" customHeight="1">
      <c r="A1453" s="156" t="s">
        <v>61</v>
      </c>
      <c r="B1453" s="156" t="s">
        <v>379</v>
      </c>
      <c r="C1453" s="157">
        <v>0.38194444444444442</v>
      </c>
      <c r="D1453" s="156" t="s">
        <v>63</v>
      </c>
      <c r="E1453" s="156" t="s">
        <v>37</v>
      </c>
      <c r="F1453" s="156" t="s">
        <v>365</v>
      </c>
      <c r="G1453" s="298"/>
      <c r="H1453" s="42" t="s">
        <v>380</v>
      </c>
      <c r="I1453" s="43">
        <v>1.11E-2</v>
      </c>
      <c r="J1453" s="44">
        <v>2</v>
      </c>
      <c r="K1453" s="45">
        <v>46343</v>
      </c>
      <c r="L1453" s="44">
        <v>2</v>
      </c>
      <c r="M1453" s="44">
        <v>0</v>
      </c>
      <c r="N1453" s="44">
        <v>0</v>
      </c>
      <c r="O1453" s="46" t="s">
        <v>368</v>
      </c>
      <c r="P1453" s="47">
        <v>0.38194444444444442</v>
      </c>
      <c r="Q1453" s="44">
        <v>180</v>
      </c>
      <c r="R1453" s="48" t="s">
        <v>367</v>
      </c>
    </row>
    <row r="1454" spans="1:18" ht="15" customHeight="1">
      <c r="A1454" s="19" t="s">
        <v>26</v>
      </c>
      <c r="B1454" s="19" t="s">
        <v>348</v>
      </c>
      <c r="C1454" s="20">
        <v>0.99305555555555547</v>
      </c>
      <c r="D1454" s="19" t="s">
        <v>28</v>
      </c>
      <c r="E1454" s="19" t="s">
        <v>29</v>
      </c>
      <c r="F1454" s="19" t="s">
        <v>83</v>
      </c>
      <c r="G1454" s="298"/>
      <c r="H1454" s="10"/>
      <c r="I1454" s="11"/>
      <c r="J1454" s="11"/>
      <c r="K1454" s="11"/>
      <c r="L1454" s="11"/>
      <c r="M1454" s="11"/>
      <c r="N1454" s="11"/>
      <c r="O1454" s="12"/>
      <c r="P1454" s="11"/>
      <c r="Q1454" s="13"/>
      <c r="R1454" s="14"/>
    </row>
    <row r="1455" spans="1:18" ht="15" customHeight="1">
      <c r="A1455" s="15" t="s">
        <v>26</v>
      </c>
      <c r="B1455" s="15" t="s">
        <v>348</v>
      </c>
      <c r="C1455" s="16">
        <v>0.99305555555555547</v>
      </c>
      <c r="D1455" s="15" t="s">
        <v>31</v>
      </c>
      <c r="E1455" s="15" t="s">
        <v>32</v>
      </c>
      <c r="F1455" s="15" t="s">
        <v>159</v>
      </c>
      <c r="G1455" s="298"/>
      <c r="H1455" s="10"/>
      <c r="I1455" s="11"/>
      <c r="J1455" s="11"/>
      <c r="K1455" s="11"/>
      <c r="L1455" s="11"/>
      <c r="M1455" s="11"/>
      <c r="N1455" s="11"/>
      <c r="O1455" s="12"/>
      <c r="P1455" s="11"/>
      <c r="Q1455" s="13"/>
      <c r="R1455" s="14"/>
    </row>
    <row r="1456" spans="1:18" ht="15" customHeight="1">
      <c r="A1456" s="15" t="s">
        <v>26</v>
      </c>
      <c r="B1456" s="15" t="s">
        <v>348</v>
      </c>
      <c r="C1456" s="16">
        <v>0.99305555555555547</v>
      </c>
      <c r="D1456" s="15" t="s">
        <v>34</v>
      </c>
      <c r="E1456" s="15" t="s">
        <v>32</v>
      </c>
      <c r="F1456" s="15" t="s">
        <v>355</v>
      </c>
      <c r="G1456" s="298"/>
      <c r="H1456" s="10"/>
      <c r="I1456" s="11"/>
      <c r="J1456" s="11"/>
      <c r="K1456" s="11"/>
      <c r="L1456" s="11"/>
      <c r="M1456" s="11"/>
      <c r="N1456" s="11"/>
      <c r="O1456" s="12"/>
      <c r="P1456" s="11"/>
      <c r="Q1456" s="13"/>
      <c r="R1456" s="14"/>
    </row>
    <row r="1457" spans="1:18" ht="15" customHeight="1">
      <c r="A1457" s="17" t="s">
        <v>26</v>
      </c>
      <c r="B1457" s="17" t="s">
        <v>353</v>
      </c>
      <c r="C1457" s="18">
        <v>0.88888888888888884</v>
      </c>
      <c r="D1457" s="17" t="s">
        <v>28</v>
      </c>
      <c r="E1457" s="17" t="s">
        <v>37</v>
      </c>
      <c r="F1457" s="17" t="s">
        <v>83</v>
      </c>
      <c r="G1457" s="298"/>
      <c r="H1457" s="10"/>
      <c r="I1457" s="11"/>
      <c r="J1457" s="11"/>
      <c r="K1457" s="11"/>
      <c r="L1457" s="11"/>
      <c r="M1457" s="11"/>
      <c r="N1457" s="11"/>
      <c r="O1457" s="12"/>
      <c r="P1457" s="11"/>
      <c r="Q1457" s="13"/>
      <c r="R1457" s="14"/>
    </row>
    <row r="1458" spans="1:18" ht="15" customHeight="1">
      <c r="A1458" s="15" t="s">
        <v>26</v>
      </c>
      <c r="B1458" s="15" t="s">
        <v>353</v>
      </c>
      <c r="C1458" s="16">
        <v>0.88888888888888884</v>
      </c>
      <c r="D1458" s="15" t="s">
        <v>31</v>
      </c>
      <c r="E1458" s="15" t="s">
        <v>32</v>
      </c>
      <c r="F1458" s="15" t="s">
        <v>159</v>
      </c>
      <c r="G1458" s="298"/>
      <c r="H1458" s="10"/>
      <c r="I1458" s="11"/>
      <c r="J1458" s="11"/>
      <c r="K1458" s="11"/>
      <c r="L1458" s="11"/>
      <c r="M1458" s="11"/>
      <c r="N1458" s="11"/>
      <c r="O1458" s="12"/>
      <c r="P1458" s="11"/>
      <c r="Q1458" s="13"/>
      <c r="R1458" s="14"/>
    </row>
    <row r="1459" spans="1:18" ht="15" customHeight="1">
      <c r="A1459" s="15" t="s">
        <v>26</v>
      </c>
      <c r="B1459" s="15" t="s">
        <v>353</v>
      </c>
      <c r="C1459" s="16">
        <v>0.88888888888888884</v>
      </c>
      <c r="D1459" s="15" t="s">
        <v>34</v>
      </c>
      <c r="E1459" s="15" t="s">
        <v>32</v>
      </c>
      <c r="F1459" s="15" t="s">
        <v>355</v>
      </c>
      <c r="G1459" s="298"/>
      <c r="H1459" s="10"/>
      <c r="I1459" s="11"/>
      <c r="J1459" s="11"/>
      <c r="K1459" s="11"/>
      <c r="L1459" s="11"/>
      <c r="M1459" s="11"/>
      <c r="N1459" s="11"/>
      <c r="O1459" s="12"/>
      <c r="P1459" s="11"/>
      <c r="Q1459" s="13"/>
      <c r="R1459" s="14"/>
    </row>
    <row r="1460" spans="1:18" ht="15" customHeight="1">
      <c r="A1460" s="17" t="s">
        <v>26</v>
      </c>
      <c r="B1460" s="17" t="s">
        <v>354</v>
      </c>
      <c r="C1460" s="18">
        <v>0.34722222222222232</v>
      </c>
      <c r="D1460" s="17" t="s">
        <v>28</v>
      </c>
      <c r="E1460" s="17" t="s">
        <v>435</v>
      </c>
      <c r="F1460" s="17" t="s">
        <v>79</v>
      </c>
      <c r="G1460" s="298"/>
      <c r="H1460" s="10"/>
      <c r="I1460" s="11"/>
      <c r="J1460" s="11"/>
      <c r="K1460" s="11"/>
      <c r="L1460" s="11"/>
      <c r="M1460" s="11"/>
      <c r="N1460" s="11"/>
      <c r="O1460" s="12"/>
      <c r="P1460" s="11"/>
      <c r="Q1460" s="13"/>
      <c r="R1460" s="14"/>
    </row>
    <row r="1461" spans="1:18" ht="15" customHeight="1">
      <c r="A1461" s="15" t="s">
        <v>26</v>
      </c>
      <c r="B1461" s="15" t="s">
        <v>354</v>
      </c>
      <c r="C1461" s="16">
        <v>0.34722222222222232</v>
      </c>
      <c r="D1461" s="15" t="s">
        <v>31</v>
      </c>
      <c r="E1461" s="15" t="s">
        <v>108</v>
      </c>
      <c r="F1461" s="15" t="s">
        <v>123</v>
      </c>
      <c r="G1461" s="298"/>
      <c r="H1461" s="10"/>
      <c r="I1461" s="11"/>
      <c r="J1461" s="11"/>
      <c r="K1461" s="11"/>
      <c r="L1461" s="11"/>
      <c r="M1461" s="11"/>
      <c r="N1461" s="11"/>
      <c r="O1461" s="12"/>
      <c r="P1461" s="11"/>
      <c r="Q1461" s="13"/>
      <c r="R1461" s="14"/>
    </row>
    <row r="1462" spans="1:18" ht="15" customHeight="1">
      <c r="A1462" s="15" t="s">
        <v>26</v>
      </c>
      <c r="B1462" s="15" t="s">
        <v>354</v>
      </c>
      <c r="C1462" s="16">
        <v>0.34722222222222232</v>
      </c>
      <c r="D1462" s="15" t="s">
        <v>34</v>
      </c>
      <c r="E1462" s="15" t="s">
        <v>108</v>
      </c>
      <c r="F1462" s="15" t="s">
        <v>118</v>
      </c>
      <c r="G1462" s="298"/>
      <c r="H1462" s="10"/>
      <c r="I1462" s="11"/>
      <c r="J1462" s="11"/>
      <c r="K1462" s="11"/>
      <c r="L1462" s="11"/>
      <c r="M1462" s="11"/>
      <c r="N1462" s="11"/>
      <c r="O1462" s="12"/>
      <c r="P1462" s="11"/>
      <c r="Q1462" s="13"/>
      <c r="R1462" s="14"/>
    </row>
    <row r="1463" spans="1:18" ht="15" customHeight="1">
      <c r="A1463" s="17" t="s">
        <v>26</v>
      </c>
      <c r="B1463" s="17" t="s">
        <v>352</v>
      </c>
      <c r="C1463" s="18">
        <v>0.94444444444444453</v>
      </c>
      <c r="D1463" s="17" t="s">
        <v>28</v>
      </c>
      <c r="E1463" s="17" t="s">
        <v>98</v>
      </c>
      <c r="F1463" s="17" t="s">
        <v>45</v>
      </c>
      <c r="G1463" s="298"/>
      <c r="H1463" s="10"/>
      <c r="I1463" s="11"/>
      <c r="J1463" s="11"/>
      <c r="K1463" s="11"/>
      <c r="L1463" s="11"/>
      <c r="M1463" s="11"/>
      <c r="N1463" s="11"/>
      <c r="O1463" s="12"/>
      <c r="P1463" s="11"/>
      <c r="Q1463" s="13"/>
      <c r="R1463" s="14"/>
    </row>
    <row r="1464" spans="1:18" ht="15" customHeight="1">
      <c r="A1464" s="15" t="s">
        <v>26</v>
      </c>
      <c r="B1464" s="15" t="s">
        <v>352</v>
      </c>
      <c r="C1464" s="16">
        <v>0.94444444444444453</v>
      </c>
      <c r="D1464" s="15" t="s">
        <v>31</v>
      </c>
      <c r="E1464" s="15" t="s">
        <v>99</v>
      </c>
      <c r="F1464" s="15" t="s">
        <v>355</v>
      </c>
      <c r="G1464" s="298"/>
      <c r="H1464" s="10"/>
      <c r="I1464" s="11"/>
      <c r="J1464" s="11"/>
      <c r="K1464" s="11"/>
      <c r="L1464" s="11"/>
      <c r="M1464" s="11"/>
      <c r="N1464" s="11"/>
      <c r="O1464" s="12"/>
      <c r="P1464" s="11"/>
      <c r="Q1464" s="13"/>
      <c r="R1464" s="14"/>
    </row>
    <row r="1465" spans="1:18" ht="15" customHeight="1">
      <c r="A1465" s="15" t="s">
        <v>26</v>
      </c>
      <c r="B1465" s="15" t="s">
        <v>352</v>
      </c>
      <c r="C1465" s="16">
        <v>0.94444444444444453</v>
      </c>
      <c r="D1465" s="15" t="s">
        <v>34</v>
      </c>
      <c r="E1465" s="15" t="s">
        <v>99</v>
      </c>
      <c r="F1465" s="15" t="s">
        <v>358</v>
      </c>
      <c r="G1465" s="298"/>
      <c r="H1465" s="10"/>
      <c r="I1465" s="11"/>
      <c r="J1465" s="11"/>
      <c r="K1465" s="11"/>
      <c r="L1465" s="11"/>
      <c r="M1465" s="11"/>
      <c r="N1465" s="11"/>
      <c r="O1465" s="12"/>
      <c r="P1465" s="11"/>
      <c r="Q1465" s="13"/>
      <c r="R1465" s="14"/>
    </row>
    <row r="1466" spans="1:18" ht="15" customHeight="1">
      <c r="A1466" s="17" t="s">
        <v>26</v>
      </c>
      <c r="B1466" s="17" t="s">
        <v>357</v>
      </c>
      <c r="C1466" s="18">
        <v>0.3923611111111111</v>
      </c>
      <c r="D1466" s="17" t="s">
        <v>28</v>
      </c>
      <c r="E1466" s="17" t="s">
        <v>98</v>
      </c>
      <c r="F1466" s="17" t="s">
        <v>45</v>
      </c>
      <c r="G1466" s="298"/>
      <c r="H1466" s="10"/>
      <c r="I1466" s="11"/>
      <c r="J1466" s="11"/>
      <c r="K1466" s="11"/>
      <c r="L1466" s="11"/>
      <c r="M1466" s="11"/>
      <c r="N1466" s="11"/>
      <c r="O1466" s="12"/>
      <c r="P1466" s="11"/>
      <c r="Q1466" s="13"/>
      <c r="R1466" s="14"/>
    </row>
    <row r="1467" spans="1:18" ht="15" customHeight="1">
      <c r="A1467" s="15" t="s">
        <v>26</v>
      </c>
      <c r="B1467" s="15" t="s">
        <v>357</v>
      </c>
      <c r="C1467" s="16">
        <v>0.3923611111111111</v>
      </c>
      <c r="D1467" s="15" t="s">
        <v>31</v>
      </c>
      <c r="E1467" s="15" t="s">
        <v>99</v>
      </c>
      <c r="F1467" s="15" t="s">
        <v>355</v>
      </c>
      <c r="G1467" s="298"/>
      <c r="H1467" s="10"/>
      <c r="I1467" s="11"/>
      <c r="J1467" s="11"/>
      <c r="K1467" s="11"/>
      <c r="L1467" s="11"/>
      <c r="M1467" s="11"/>
      <c r="N1467" s="11"/>
      <c r="O1467" s="12"/>
      <c r="P1467" s="11"/>
      <c r="Q1467" s="13"/>
      <c r="R1467" s="14"/>
    </row>
    <row r="1468" spans="1:18" ht="15" customHeight="1">
      <c r="A1468" s="15" t="s">
        <v>26</v>
      </c>
      <c r="B1468" s="15" t="s">
        <v>357</v>
      </c>
      <c r="C1468" s="16">
        <v>0.3923611111111111</v>
      </c>
      <c r="D1468" s="15" t="s">
        <v>34</v>
      </c>
      <c r="E1468" s="15" t="s">
        <v>99</v>
      </c>
      <c r="F1468" s="15" t="s">
        <v>358</v>
      </c>
      <c r="G1468" s="298"/>
      <c r="H1468" s="10"/>
      <c r="I1468" s="11"/>
      <c r="J1468" s="11"/>
      <c r="K1468" s="11"/>
      <c r="L1468" s="11"/>
      <c r="M1468" s="11"/>
      <c r="N1468" s="11"/>
      <c r="O1468" s="12"/>
      <c r="P1468" s="11"/>
      <c r="Q1468" s="13"/>
      <c r="R1468" s="14"/>
    </row>
    <row r="1469" spans="1:18" ht="15" customHeight="1">
      <c r="A1469" s="17" t="s">
        <v>26</v>
      </c>
      <c r="B1469" s="17" t="s">
        <v>356</v>
      </c>
      <c r="C1469" s="18">
        <v>0.4861111111111111</v>
      </c>
      <c r="D1469" s="17" t="s">
        <v>28</v>
      </c>
      <c r="E1469" s="17" t="s">
        <v>37</v>
      </c>
      <c r="F1469" s="17" t="s">
        <v>455</v>
      </c>
      <c r="G1469" s="298"/>
      <c r="H1469" s="10"/>
      <c r="I1469" s="11"/>
      <c r="J1469" s="11"/>
      <c r="K1469" s="11"/>
      <c r="L1469" s="11"/>
      <c r="M1469" s="11"/>
      <c r="N1469" s="11"/>
      <c r="O1469" s="12"/>
      <c r="P1469" s="11"/>
      <c r="Q1469" s="13"/>
      <c r="R1469" s="14"/>
    </row>
    <row r="1470" spans="1:18" ht="15" customHeight="1">
      <c r="A1470" s="15" t="s">
        <v>26</v>
      </c>
      <c r="B1470" s="15" t="s">
        <v>356</v>
      </c>
      <c r="C1470" s="16">
        <v>0.4861111111111111</v>
      </c>
      <c r="D1470" s="15" t="s">
        <v>31</v>
      </c>
      <c r="E1470" s="15" t="s">
        <v>32</v>
      </c>
      <c r="F1470" s="15" t="s">
        <v>456</v>
      </c>
      <c r="G1470" s="298"/>
      <c r="H1470" s="10"/>
      <c r="I1470" s="11"/>
      <c r="J1470" s="11"/>
      <c r="K1470" s="11"/>
      <c r="L1470" s="11"/>
      <c r="M1470" s="11"/>
      <c r="N1470" s="11"/>
      <c r="O1470" s="12"/>
      <c r="P1470" s="11"/>
      <c r="Q1470" s="13"/>
      <c r="R1470" s="14"/>
    </row>
    <row r="1471" spans="1:18" ht="15" customHeight="1">
      <c r="A1471" s="15" t="s">
        <v>26</v>
      </c>
      <c r="B1471" s="15" t="s">
        <v>356</v>
      </c>
      <c r="C1471" s="16">
        <v>0.4861111111111111</v>
      </c>
      <c r="D1471" s="15" t="s">
        <v>34</v>
      </c>
      <c r="E1471" s="15" t="s">
        <v>32</v>
      </c>
      <c r="F1471" s="15" t="s">
        <v>457</v>
      </c>
      <c r="G1471" s="298"/>
      <c r="H1471" s="10"/>
      <c r="I1471" s="11"/>
      <c r="J1471" s="11"/>
      <c r="K1471" s="11"/>
      <c r="L1471" s="11"/>
      <c r="M1471" s="11"/>
      <c r="N1471" s="11"/>
      <c r="O1471" s="12"/>
      <c r="P1471" s="11"/>
      <c r="Q1471" s="13"/>
      <c r="R1471" s="14"/>
    </row>
    <row r="1472" spans="1:18" ht="15" customHeight="1">
      <c r="A1472" s="17" t="s">
        <v>26</v>
      </c>
      <c r="B1472" s="17" t="s">
        <v>351</v>
      </c>
      <c r="C1472" s="18">
        <v>0.83680555555555547</v>
      </c>
      <c r="D1472" s="17" t="s">
        <v>28</v>
      </c>
      <c r="E1472" s="17" t="s">
        <v>90</v>
      </c>
      <c r="F1472" s="17" t="s">
        <v>172</v>
      </c>
      <c r="G1472" s="298"/>
      <c r="H1472" s="10"/>
      <c r="I1472" s="11"/>
      <c r="J1472" s="11"/>
      <c r="K1472" s="11"/>
      <c r="L1472" s="11"/>
      <c r="M1472" s="11"/>
      <c r="N1472" s="11"/>
      <c r="O1472" s="12"/>
      <c r="P1472" s="11"/>
      <c r="Q1472" s="13"/>
      <c r="R1472" s="14"/>
    </row>
    <row r="1473" spans="1:18" ht="15" customHeight="1">
      <c r="A1473" s="15" t="s">
        <v>26</v>
      </c>
      <c r="B1473" s="15" t="s">
        <v>351</v>
      </c>
      <c r="C1473" s="16">
        <v>0.83680555555555547</v>
      </c>
      <c r="D1473" s="15" t="s">
        <v>31</v>
      </c>
      <c r="E1473" s="15" t="s">
        <v>82</v>
      </c>
      <c r="F1473" s="15" t="s">
        <v>419</v>
      </c>
      <c r="G1473" s="298"/>
      <c r="H1473" s="10"/>
      <c r="I1473" s="11"/>
      <c r="J1473" s="11"/>
      <c r="K1473" s="11"/>
      <c r="L1473" s="11"/>
      <c r="M1473" s="11"/>
      <c r="N1473" s="11"/>
      <c r="O1473" s="12"/>
      <c r="P1473" s="11"/>
      <c r="Q1473" s="13"/>
      <c r="R1473" s="14"/>
    </row>
    <row r="1474" spans="1:18" ht="15" customHeight="1">
      <c r="A1474" s="15" t="s">
        <v>26</v>
      </c>
      <c r="B1474" s="15" t="s">
        <v>351</v>
      </c>
      <c r="C1474" s="16">
        <v>0.83680555555555547</v>
      </c>
      <c r="D1474" s="15" t="s">
        <v>34</v>
      </c>
      <c r="E1474" s="15" t="s">
        <v>82</v>
      </c>
      <c r="F1474" s="15" t="s">
        <v>500</v>
      </c>
      <c r="G1474" s="298"/>
      <c r="H1474" s="10"/>
      <c r="I1474" s="11"/>
      <c r="J1474" s="11"/>
      <c r="K1474" s="11"/>
      <c r="L1474" s="11"/>
      <c r="M1474" s="11"/>
      <c r="N1474" s="11"/>
      <c r="O1474" s="12"/>
      <c r="P1474" s="11"/>
      <c r="Q1474" s="13"/>
      <c r="R1474" s="14"/>
    </row>
    <row r="1475" spans="1:18" ht="15" customHeight="1">
      <c r="A1475" s="17" t="s">
        <v>26</v>
      </c>
      <c r="B1475" s="17" t="s">
        <v>350</v>
      </c>
      <c r="C1475" s="18">
        <v>0.73611111111111116</v>
      </c>
      <c r="D1475" s="17" t="s">
        <v>34</v>
      </c>
      <c r="E1475" s="17" t="s">
        <v>91</v>
      </c>
      <c r="F1475" s="17" t="s">
        <v>500</v>
      </c>
      <c r="G1475" s="298"/>
      <c r="H1475" s="10"/>
      <c r="I1475" s="11"/>
      <c r="J1475" s="11"/>
      <c r="K1475" s="11"/>
      <c r="L1475" s="11"/>
      <c r="M1475" s="11"/>
      <c r="N1475" s="11"/>
      <c r="O1475" s="12"/>
      <c r="P1475" s="11"/>
      <c r="Q1475" s="13"/>
      <c r="R1475" s="14"/>
    </row>
    <row r="1476" spans="1:18" ht="15" customHeight="1">
      <c r="A1476" s="15" t="s">
        <v>26</v>
      </c>
      <c r="B1476" s="15" t="s">
        <v>350</v>
      </c>
      <c r="C1476" s="16">
        <v>0.73611111111111116</v>
      </c>
      <c r="D1476" s="15" t="s">
        <v>28</v>
      </c>
      <c r="E1476" s="15" t="s">
        <v>92</v>
      </c>
      <c r="F1476" s="15" t="s">
        <v>501</v>
      </c>
      <c r="G1476" s="298"/>
      <c r="H1476" s="10"/>
      <c r="I1476" s="11"/>
      <c r="J1476" s="11"/>
      <c r="K1476" s="11"/>
      <c r="L1476" s="11"/>
      <c r="M1476" s="11"/>
      <c r="N1476" s="11"/>
      <c r="O1476" s="12"/>
      <c r="P1476" s="11"/>
      <c r="Q1476" s="13"/>
      <c r="R1476" s="14"/>
    </row>
    <row r="1477" spans="1:18" ht="15" customHeight="1">
      <c r="A1477" s="15" t="s">
        <v>26</v>
      </c>
      <c r="B1477" s="15" t="s">
        <v>350</v>
      </c>
      <c r="C1477" s="16">
        <v>0.73611111111111116</v>
      </c>
      <c r="D1477" s="15" t="s">
        <v>31</v>
      </c>
      <c r="E1477" s="15" t="s">
        <v>92</v>
      </c>
      <c r="F1477" s="15" t="s">
        <v>502</v>
      </c>
      <c r="G1477" s="298"/>
      <c r="H1477" s="10"/>
      <c r="I1477" s="11"/>
      <c r="J1477" s="11"/>
      <c r="K1477" s="11"/>
      <c r="L1477" s="11"/>
      <c r="M1477" s="11"/>
      <c r="N1477" s="11"/>
      <c r="O1477" s="12"/>
      <c r="P1477" s="11"/>
      <c r="Q1477" s="13"/>
      <c r="R1477" s="14"/>
    </row>
    <row r="1478" spans="1:18" ht="15" customHeight="1">
      <c r="A1478" s="19" t="s">
        <v>402</v>
      </c>
      <c r="B1478" s="19" t="s">
        <v>403</v>
      </c>
      <c r="C1478" s="20">
        <v>0.49305555555555558</v>
      </c>
      <c r="D1478" s="19" t="s">
        <v>63</v>
      </c>
      <c r="E1478" s="19" t="s">
        <v>103</v>
      </c>
      <c r="F1478" s="19" t="s">
        <v>404</v>
      </c>
      <c r="G1478" s="298"/>
      <c r="H1478" s="10"/>
      <c r="I1478" s="11"/>
      <c r="J1478" s="11"/>
      <c r="K1478" s="11"/>
      <c r="L1478" s="11"/>
      <c r="M1478" s="11"/>
      <c r="N1478" s="11"/>
      <c r="O1478" s="12"/>
      <c r="P1478" s="11"/>
      <c r="Q1478" s="13"/>
      <c r="R1478" s="14"/>
    </row>
    <row r="1479" spans="1:18" ht="15" customHeight="1">
      <c r="A1479" s="19" t="s">
        <v>48</v>
      </c>
      <c r="B1479" s="19" t="s">
        <v>386</v>
      </c>
      <c r="C1479" s="20">
        <v>0.82986111111111116</v>
      </c>
      <c r="D1479" s="19" t="s">
        <v>50</v>
      </c>
      <c r="E1479" s="19" t="s">
        <v>51</v>
      </c>
      <c r="F1479" s="19" t="s">
        <v>79</v>
      </c>
      <c r="G1479" s="298"/>
      <c r="H1479" s="10"/>
      <c r="I1479" s="11"/>
      <c r="J1479" s="11"/>
      <c r="K1479" s="11"/>
      <c r="L1479" s="11"/>
      <c r="M1479" s="11"/>
      <c r="N1479" s="11"/>
      <c r="O1479" s="12"/>
      <c r="P1479" s="11"/>
      <c r="Q1479" s="13"/>
      <c r="R1479" s="14"/>
    </row>
    <row r="1480" spans="1:18" ht="15" customHeight="1">
      <c r="A1480" s="15" t="s">
        <v>48</v>
      </c>
      <c r="B1480" s="15" t="s">
        <v>386</v>
      </c>
      <c r="C1480" s="16">
        <v>0.82986111111111116</v>
      </c>
      <c r="D1480" s="15" t="s">
        <v>53</v>
      </c>
      <c r="E1480" s="15" t="s">
        <v>54</v>
      </c>
      <c r="F1480" s="15" t="s">
        <v>387</v>
      </c>
      <c r="G1480" s="298"/>
      <c r="H1480" s="10"/>
      <c r="I1480" s="11"/>
      <c r="J1480" s="11"/>
      <c r="K1480" s="11"/>
      <c r="L1480" s="11"/>
      <c r="M1480" s="11"/>
      <c r="N1480" s="11"/>
      <c r="O1480" s="12"/>
      <c r="P1480" s="11"/>
      <c r="Q1480" s="13"/>
      <c r="R1480" s="14"/>
    </row>
    <row r="1481" spans="1:18" ht="15" customHeight="1">
      <c r="A1481" s="17" t="s">
        <v>48</v>
      </c>
      <c r="B1481" s="17" t="s">
        <v>388</v>
      </c>
      <c r="C1481" s="18">
        <v>0.72222222222222221</v>
      </c>
      <c r="D1481" s="17" t="s">
        <v>50</v>
      </c>
      <c r="E1481" s="17" t="s">
        <v>57</v>
      </c>
      <c r="F1481" s="17" t="s">
        <v>79</v>
      </c>
      <c r="G1481" s="298"/>
      <c r="H1481" s="10"/>
      <c r="I1481" s="11"/>
      <c r="J1481" s="11"/>
      <c r="K1481" s="11"/>
      <c r="L1481" s="11"/>
      <c r="M1481" s="11"/>
      <c r="N1481" s="11"/>
      <c r="O1481" s="12"/>
      <c r="P1481" s="11"/>
      <c r="Q1481" s="13"/>
      <c r="R1481" s="14"/>
    </row>
    <row r="1482" spans="1:18" ht="15" customHeight="1">
      <c r="A1482" s="15" t="s">
        <v>48</v>
      </c>
      <c r="B1482" s="15" t="s">
        <v>388</v>
      </c>
      <c r="C1482" s="16">
        <v>0.72222222222222221</v>
      </c>
      <c r="D1482" s="15" t="s">
        <v>53</v>
      </c>
      <c r="E1482" s="15" t="s">
        <v>54</v>
      </c>
      <c r="F1482" s="15" t="s">
        <v>387</v>
      </c>
      <c r="G1482" s="298"/>
      <c r="H1482" s="10"/>
      <c r="I1482" s="11"/>
      <c r="J1482" s="11"/>
      <c r="K1482" s="11"/>
      <c r="L1482" s="11"/>
      <c r="M1482" s="11"/>
      <c r="N1482" s="11"/>
      <c r="O1482" s="12"/>
      <c r="P1482" s="11"/>
      <c r="Q1482" s="13"/>
      <c r="R1482" s="14"/>
    </row>
    <row r="1483" spans="1:18" ht="15" customHeight="1">
      <c r="A1483" s="17" t="s">
        <v>48</v>
      </c>
      <c r="B1483" s="17" t="s">
        <v>382</v>
      </c>
      <c r="C1483" s="18">
        <v>0.11805555555555559</v>
      </c>
      <c r="D1483" s="17" t="s">
        <v>50</v>
      </c>
      <c r="E1483" s="17" t="s">
        <v>57</v>
      </c>
      <c r="F1483" s="17" t="s">
        <v>79</v>
      </c>
      <c r="G1483" s="298"/>
      <c r="H1483" s="10"/>
      <c r="I1483" s="11"/>
      <c r="J1483" s="11"/>
      <c r="K1483" s="11"/>
      <c r="L1483" s="11"/>
      <c r="M1483" s="11"/>
      <c r="N1483" s="11"/>
      <c r="O1483" s="12"/>
      <c r="P1483" s="11"/>
      <c r="Q1483" s="13"/>
      <c r="R1483" s="14"/>
    </row>
    <row r="1484" spans="1:18" ht="15" customHeight="1">
      <c r="A1484" s="15" t="s">
        <v>48</v>
      </c>
      <c r="B1484" s="15" t="s">
        <v>382</v>
      </c>
      <c r="C1484" s="16">
        <v>0.11805555555555559</v>
      </c>
      <c r="D1484" s="15" t="s">
        <v>53</v>
      </c>
      <c r="E1484" s="15" t="s">
        <v>54</v>
      </c>
      <c r="F1484" s="15" t="s">
        <v>387</v>
      </c>
      <c r="G1484" s="298"/>
      <c r="H1484" s="10"/>
      <c r="I1484" s="11"/>
      <c r="J1484" s="11"/>
      <c r="K1484" s="11"/>
      <c r="L1484" s="11"/>
      <c r="M1484" s="11"/>
      <c r="N1484" s="11"/>
      <c r="O1484" s="12"/>
      <c r="P1484" s="11"/>
      <c r="Q1484" s="13"/>
      <c r="R1484" s="14"/>
    </row>
    <row r="1485" spans="1:18" ht="15" customHeight="1">
      <c r="A1485" s="17" t="s">
        <v>48</v>
      </c>
      <c r="B1485" s="17" t="s">
        <v>389</v>
      </c>
      <c r="C1485" s="18">
        <v>0.70138888888888884</v>
      </c>
      <c r="D1485" s="17" t="s">
        <v>50</v>
      </c>
      <c r="E1485" s="17" t="s">
        <v>57</v>
      </c>
      <c r="F1485" s="17" t="s">
        <v>79</v>
      </c>
      <c r="G1485" s="298"/>
      <c r="H1485" s="10"/>
      <c r="I1485" s="11"/>
      <c r="J1485" s="11"/>
      <c r="K1485" s="11"/>
      <c r="L1485" s="11"/>
      <c r="M1485" s="11"/>
      <c r="N1485" s="11"/>
      <c r="O1485" s="12"/>
      <c r="P1485" s="11"/>
      <c r="Q1485" s="13"/>
      <c r="R1485" s="14"/>
    </row>
    <row r="1486" spans="1:18" ht="15" customHeight="1">
      <c r="A1486" s="15" t="s">
        <v>48</v>
      </c>
      <c r="B1486" s="15" t="s">
        <v>389</v>
      </c>
      <c r="C1486" s="16">
        <v>0.70138888888888884</v>
      </c>
      <c r="D1486" s="15" t="s">
        <v>53</v>
      </c>
      <c r="E1486" s="15" t="s">
        <v>54</v>
      </c>
      <c r="F1486" s="15" t="s">
        <v>387</v>
      </c>
      <c r="G1486" s="298"/>
      <c r="H1486" s="10"/>
      <c r="I1486" s="11"/>
      <c r="J1486" s="11"/>
      <c r="K1486" s="11"/>
      <c r="L1486" s="11"/>
      <c r="M1486" s="11"/>
      <c r="N1486" s="11"/>
      <c r="O1486" s="12"/>
      <c r="P1486" s="11"/>
      <c r="Q1486" s="13"/>
      <c r="R1486" s="14"/>
    </row>
    <row r="1487" spans="1:18" ht="15" customHeight="1">
      <c r="A1487" s="17" t="s">
        <v>48</v>
      </c>
      <c r="B1487" s="17" t="s">
        <v>400</v>
      </c>
      <c r="C1487" s="18">
        <v>0.25347222222222221</v>
      </c>
      <c r="D1487" s="17" t="s">
        <v>50</v>
      </c>
      <c r="E1487" s="17" t="s">
        <v>57</v>
      </c>
      <c r="F1487" s="17" t="s">
        <v>79</v>
      </c>
      <c r="G1487" s="298"/>
      <c r="H1487" s="10"/>
      <c r="I1487" s="11"/>
      <c r="J1487" s="11"/>
      <c r="K1487" s="11"/>
      <c r="L1487" s="11"/>
      <c r="M1487" s="11"/>
      <c r="N1487" s="11"/>
      <c r="O1487" s="12"/>
      <c r="P1487" s="11"/>
      <c r="Q1487" s="13"/>
      <c r="R1487" s="14"/>
    </row>
    <row r="1488" spans="1:18" ht="15" customHeight="1">
      <c r="A1488" s="15" t="s">
        <v>48</v>
      </c>
      <c r="B1488" s="15" t="s">
        <v>400</v>
      </c>
      <c r="C1488" s="16">
        <v>0.25347222222222221</v>
      </c>
      <c r="D1488" s="15" t="s">
        <v>53</v>
      </c>
      <c r="E1488" s="15" t="s">
        <v>54</v>
      </c>
      <c r="F1488" s="15" t="s">
        <v>387</v>
      </c>
      <c r="G1488" s="298"/>
      <c r="H1488" s="10"/>
      <c r="I1488" s="11"/>
      <c r="J1488" s="11"/>
      <c r="K1488" s="11"/>
      <c r="L1488" s="11"/>
      <c r="M1488" s="11"/>
      <c r="N1488" s="11"/>
      <c r="O1488" s="12"/>
      <c r="P1488" s="11"/>
      <c r="Q1488" s="13"/>
      <c r="R1488" s="14"/>
    </row>
    <row r="1489" spans="1:18" ht="15" customHeight="1">
      <c r="A1489" s="17" t="s">
        <v>48</v>
      </c>
      <c r="B1489" s="17" t="s">
        <v>390</v>
      </c>
      <c r="C1489" s="18">
        <v>4.1666666666666657E-2</v>
      </c>
      <c r="D1489" s="17" t="s">
        <v>50</v>
      </c>
      <c r="E1489" s="17" t="s">
        <v>57</v>
      </c>
      <c r="F1489" s="17" t="s">
        <v>79</v>
      </c>
      <c r="G1489" s="298"/>
      <c r="H1489" s="10"/>
      <c r="I1489" s="11"/>
      <c r="J1489" s="11"/>
      <c r="K1489" s="11"/>
      <c r="L1489" s="11"/>
      <c r="M1489" s="11"/>
      <c r="N1489" s="11"/>
      <c r="O1489" s="12"/>
      <c r="P1489" s="11"/>
      <c r="Q1489" s="13"/>
      <c r="R1489" s="14"/>
    </row>
    <row r="1490" spans="1:18" ht="15" customHeight="1">
      <c r="A1490" s="15" t="s">
        <v>48</v>
      </c>
      <c r="B1490" s="15" t="s">
        <v>390</v>
      </c>
      <c r="C1490" s="16">
        <v>4.1666666666666657E-2</v>
      </c>
      <c r="D1490" s="15" t="s">
        <v>53</v>
      </c>
      <c r="E1490" s="15" t="s">
        <v>54</v>
      </c>
      <c r="F1490" s="15" t="s">
        <v>387</v>
      </c>
      <c r="G1490" s="298"/>
      <c r="H1490" s="10"/>
      <c r="I1490" s="11"/>
      <c r="J1490" s="11"/>
      <c r="K1490" s="11"/>
      <c r="L1490" s="11"/>
      <c r="M1490" s="11"/>
      <c r="N1490" s="11"/>
      <c r="O1490" s="12"/>
      <c r="P1490" s="11"/>
      <c r="Q1490" s="13"/>
      <c r="R1490" s="14"/>
    </row>
    <row r="1491" spans="1:18" ht="15" customHeight="1">
      <c r="A1491" s="17" t="s">
        <v>48</v>
      </c>
      <c r="B1491" s="17" t="s">
        <v>385</v>
      </c>
      <c r="C1491" s="18">
        <v>0.94097222222222221</v>
      </c>
      <c r="D1491" s="17" t="s">
        <v>50</v>
      </c>
      <c r="E1491" s="17" t="s">
        <v>57</v>
      </c>
      <c r="F1491" s="17" t="s">
        <v>79</v>
      </c>
      <c r="G1491" s="298"/>
      <c r="H1491" s="10"/>
      <c r="I1491" s="11"/>
      <c r="J1491" s="11"/>
      <c r="K1491" s="11"/>
      <c r="L1491" s="11"/>
      <c r="M1491" s="11"/>
      <c r="N1491" s="11"/>
      <c r="O1491" s="12"/>
      <c r="P1491" s="11"/>
      <c r="Q1491" s="13"/>
      <c r="R1491" s="14"/>
    </row>
    <row r="1492" spans="1:18" ht="15" customHeight="1">
      <c r="A1492" s="15" t="s">
        <v>48</v>
      </c>
      <c r="B1492" s="15" t="s">
        <v>385</v>
      </c>
      <c r="C1492" s="16">
        <v>0.94097222222222221</v>
      </c>
      <c r="D1492" s="15" t="s">
        <v>53</v>
      </c>
      <c r="E1492" s="15" t="s">
        <v>54</v>
      </c>
      <c r="F1492" s="15" t="s">
        <v>387</v>
      </c>
      <c r="G1492" s="298"/>
      <c r="H1492" s="10"/>
      <c r="I1492" s="11"/>
      <c r="J1492" s="11"/>
      <c r="K1492" s="11"/>
      <c r="L1492" s="11"/>
      <c r="M1492" s="11"/>
      <c r="N1492" s="11"/>
      <c r="O1492" s="12"/>
      <c r="P1492" s="11"/>
      <c r="Q1492" s="13"/>
      <c r="R1492" s="14"/>
    </row>
    <row r="1493" spans="1:18" ht="15" customHeight="1">
      <c r="A1493" s="17" t="s">
        <v>48</v>
      </c>
      <c r="B1493" s="17" t="s">
        <v>391</v>
      </c>
      <c r="C1493" s="18">
        <v>0.48958333333333331</v>
      </c>
      <c r="D1493" s="17" t="s">
        <v>50</v>
      </c>
      <c r="E1493" s="17" t="s">
        <v>57</v>
      </c>
      <c r="F1493" s="17" t="s">
        <v>462</v>
      </c>
      <c r="G1493" s="298"/>
      <c r="H1493" s="10"/>
      <c r="I1493" s="11"/>
      <c r="J1493" s="11"/>
      <c r="K1493" s="11"/>
      <c r="L1493" s="11"/>
      <c r="M1493" s="11"/>
      <c r="N1493" s="11"/>
      <c r="O1493" s="12"/>
      <c r="P1493" s="11"/>
      <c r="Q1493" s="13"/>
      <c r="R1493" s="14"/>
    </row>
    <row r="1494" spans="1:18" ht="15" customHeight="1">
      <c r="A1494" s="15" t="s">
        <v>48</v>
      </c>
      <c r="B1494" s="15" t="s">
        <v>391</v>
      </c>
      <c r="C1494" s="16">
        <v>0.48958333333333331</v>
      </c>
      <c r="D1494" s="15" t="s">
        <v>53</v>
      </c>
      <c r="E1494" s="15" t="s">
        <v>54</v>
      </c>
      <c r="F1494" s="15" t="s">
        <v>463</v>
      </c>
      <c r="G1494" s="298"/>
      <c r="H1494" s="10"/>
      <c r="I1494" s="11"/>
      <c r="J1494" s="11"/>
      <c r="K1494" s="11"/>
      <c r="L1494" s="11"/>
      <c r="M1494" s="11"/>
      <c r="N1494" s="11"/>
      <c r="O1494" s="12"/>
      <c r="P1494" s="11"/>
      <c r="Q1494" s="13"/>
      <c r="R1494" s="14"/>
    </row>
    <row r="1495" spans="1:18" ht="15" customHeight="1">
      <c r="A1495" s="17" t="s">
        <v>48</v>
      </c>
      <c r="B1495" s="17" t="s">
        <v>396</v>
      </c>
      <c r="C1495" s="18">
        <v>0.48958333333333331</v>
      </c>
      <c r="D1495" s="17" t="s">
        <v>53</v>
      </c>
      <c r="E1495" s="17" t="s">
        <v>37</v>
      </c>
      <c r="F1495" s="17" t="s">
        <v>481</v>
      </c>
      <c r="G1495" s="298"/>
      <c r="H1495" s="10"/>
      <c r="I1495" s="11"/>
      <c r="J1495" s="11"/>
      <c r="K1495" s="11"/>
      <c r="L1495" s="11"/>
      <c r="M1495" s="11"/>
      <c r="N1495" s="11"/>
      <c r="O1495" s="12"/>
      <c r="P1495" s="11"/>
      <c r="Q1495" s="13"/>
      <c r="R1495" s="14"/>
    </row>
    <row r="1496" spans="1:18" ht="15" customHeight="1">
      <c r="A1496" s="17" t="s">
        <v>48</v>
      </c>
      <c r="B1496" s="17" t="s">
        <v>397</v>
      </c>
      <c r="C1496" s="18">
        <v>0.88888888888888884</v>
      </c>
      <c r="D1496" s="17" t="s">
        <v>53</v>
      </c>
      <c r="E1496" s="17" t="s">
        <v>37</v>
      </c>
      <c r="F1496" s="17" t="s">
        <v>438</v>
      </c>
      <c r="G1496" s="298"/>
      <c r="H1496" s="10"/>
      <c r="I1496" s="11"/>
      <c r="J1496" s="11"/>
      <c r="K1496" s="11"/>
      <c r="L1496" s="11"/>
      <c r="M1496" s="11"/>
      <c r="N1496" s="11"/>
      <c r="O1496" s="12"/>
      <c r="P1496" s="11"/>
      <c r="Q1496" s="13"/>
      <c r="R1496" s="14"/>
    </row>
    <row r="1497" spans="1:18" ht="15" customHeight="1">
      <c r="A1497" s="17" t="s">
        <v>48</v>
      </c>
      <c r="B1497" s="17" t="s">
        <v>394</v>
      </c>
      <c r="C1497" s="18">
        <v>0.98958333333333337</v>
      </c>
      <c r="D1497" s="17" t="s">
        <v>53</v>
      </c>
      <c r="E1497" s="17" t="s">
        <v>37</v>
      </c>
      <c r="F1497" s="17" t="s">
        <v>399</v>
      </c>
      <c r="G1497" s="298"/>
      <c r="H1497" s="10"/>
      <c r="I1497" s="11"/>
      <c r="J1497" s="11"/>
      <c r="K1497" s="11"/>
      <c r="L1497" s="11"/>
      <c r="M1497" s="11"/>
      <c r="N1497" s="11"/>
      <c r="O1497" s="12"/>
      <c r="P1497" s="11"/>
      <c r="Q1497" s="13"/>
      <c r="R1497" s="14"/>
    </row>
    <row r="1498" spans="1:18" ht="15" customHeight="1">
      <c r="A1498" s="17" t="s">
        <v>48</v>
      </c>
      <c r="B1498" s="17" t="s">
        <v>398</v>
      </c>
      <c r="C1498" s="18">
        <v>0.39930555555555558</v>
      </c>
      <c r="D1498" s="17" t="s">
        <v>53</v>
      </c>
      <c r="E1498" s="17" t="s">
        <v>37</v>
      </c>
      <c r="F1498" s="17" t="s">
        <v>399</v>
      </c>
      <c r="G1498" s="298"/>
      <c r="H1498" s="10"/>
      <c r="I1498" s="11"/>
      <c r="J1498" s="11"/>
      <c r="K1498" s="11"/>
      <c r="L1498" s="11"/>
      <c r="M1498" s="11"/>
      <c r="N1498" s="11"/>
      <c r="O1498" s="12"/>
      <c r="P1498" s="11"/>
      <c r="Q1498" s="13"/>
      <c r="R1498" s="14"/>
    </row>
    <row r="1499" spans="1:18" ht="15" customHeight="1">
      <c r="A1499" s="19" t="s">
        <v>68</v>
      </c>
      <c r="B1499" s="19" t="s">
        <v>407</v>
      </c>
      <c r="C1499" s="20">
        <v>0.3125</v>
      </c>
      <c r="D1499" s="19" t="s">
        <v>70</v>
      </c>
      <c r="E1499" s="19" t="s">
        <v>51</v>
      </c>
      <c r="F1499" s="19" t="s">
        <v>406</v>
      </c>
      <c r="G1499" s="298"/>
      <c r="H1499" s="10"/>
      <c r="I1499" s="11"/>
      <c r="J1499" s="11"/>
      <c r="K1499" s="11"/>
      <c r="L1499" s="11"/>
      <c r="M1499" s="11"/>
      <c r="N1499" s="11"/>
      <c r="O1499" s="12"/>
      <c r="P1499" s="11"/>
      <c r="Q1499" s="13"/>
      <c r="R1499" s="14"/>
    </row>
    <row r="1500" spans="1:18" ht="15" customHeight="1">
      <c r="A1500" s="17" t="s">
        <v>68</v>
      </c>
      <c r="B1500" s="17" t="s">
        <v>408</v>
      </c>
      <c r="C1500" s="18">
        <v>0.97222222222222221</v>
      </c>
      <c r="D1500" s="17" t="s">
        <v>70</v>
      </c>
      <c r="E1500" s="17" t="s">
        <v>57</v>
      </c>
      <c r="F1500" s="17" t="s">
        <v>406</v>
      </c>
      <c r="G1500" s="298"/>
      <c r="H1500" s="10"/>
      <c r="I1500" s="11"/>
      <c r="J1500" s="11"/>
      <c r="K1500" s="11"/>
      <c r="L1500" s="11"/>
      <c r="M1500" s="11"/>
      <c r="N1500" s="11"/>
      <c r="O1500" s="12"/>
      <c r="P1500" s="11"/>
      <c r="Q1500" s="13"/>
      <c r="R1500" s="14"/>
    </row>
    <row r="1501" spans="1:18" ht="15" customHeight="1">
      <c r="A1501" s="17" t="s">
        <v>68</v>
      </c>
      <c r="B1501" s="17" t="s">
        <v>437</v>
      </c>
      <c r="C1501" s="18">
        <v>0.1041666666666667</v>
      </c>
      <c r="D1501" s="17" t="s">
        <v>70</v>
      </c>
      <c r="E1501" s="17" t="s">
        <v>57</v>
      </c>
      <c r="F1501" s="17" t="s">
        <v>406</v>
      </c>
      <c r="G1501" s="298"/>
      <c r="H1501" s="10"/>
      <c r="I1501" s="11"/>
      <c r="J1501" s="11"/>
      <c r="K1501" s="11"/>
      <c r="L1501" s="11"/>
      <c r="M1501" s="11"/>
      <c r="N1501" s="11"/>
      <c r="O1501" s="12"/>
      <c r="P1501" s="11"/>
      <c r="Q1501" s="13"/>
      <c r="R1501" s="14"/>
    </row>
    <row r="1502" spans="1:18" ht="15" customHeight="1">
      <c r="A1502" s="17" t="s">
        <v>68</v>
      </c>
      <c r="B1502" s="17" t="s">
        <v>409</v>
      </c>
      <c r="C1502" s="18">
        <v>0.34027777777777768</v>
      </c>
      <c r="D1502" s="17" t="s">
        <v>70</v>
      </c>
      <c r="E1502" s="17" t="s">
        <v>57</v>
      </c>
      <c r="F1502" s="17" t="s">
        <v>406</v>
      </c>
      <c r="G1502" s="298"/>
      <c r="H1502" s="10"/>
      <c r="I1502" s="11"/>
      <c r="J1502" s="11"/>
      <c r="K1502" s="11"/>
      <c r="L1502" s="11"/>
      <c r="M1502" s="11"/>
      <c r="N1502" s="11"/>
      <c r="O1502" s="12"/>
      <c r="P1502" s="11"/>
      <c r="Q1502" s="13"/>
      <c r="R1502" s="14"/>
    </row>
    <row r="1503" spans="1:18" ht="15" customHeight="1">
      <c r="A1503" s="17" t="s">
        <v>68</v>
      </c>
      <c r="B1503" s="17" t="s">
        <v>411</v>
      </c>
      <c r="C1503" s="18">
        <v>0.78472222222222221</v>
      </c>
      <c r="D1503" s="17" t="s">
        <v>70</v>
      </c>
      <c r="E1503" s="17" t="s">
        <v>57</v>
      </c>
      <c r="F1503" s="17" t="s">
        <v>406</v>
      </c>
      <c r="G1503" s="298"/>
      <c r="H1503" s="10"/>
      <c r="I1503" s="11"/>
      <c r="J1503" s="11"/>
      <c r="K1503" s="11"/>
      <c r="L1503" s="11"/>
      <c r="M1503" s="11"/>
      <c r="N1503" s="11"/>
      <c r="O1503" s="12"/>
      <c r="P1503" s="11"/>
      <c r="Q1503" s="13"/>
      <c r="R1503" s="14"/>
    </row>
    <row r="1504" spans="1:18" ht="15" customHeight="1">
      <c r="A1504" s="17" t="s">
        <v>68</v>
      </c>
      <c r="B1504" s="17" t="s">
        <v>410</v>
      </c>
      <c r="C1504" s="18">
        <v>0.59722222222222221</v>
      </c>
      <c r="D1504" s="17" t="s">
        <v>70</v>
      </c>
      <c r="E1504" s="17" t="s">
        <v>57</v>
      </c>
      <c r="F1504" s="17" t="s">
        <v>406</v>
      </c>
      <c r="G1504" s="298"/>
      <c r="H1504" s="10"/>
      <c r="I1504" s="11"/>
      <c r="J1504" s="11"/>
      <c r="K1504" s="11"/>
      <c r="L1504" s="11"/>
      <c r="M1504" s="11"/>
      <c r="N1504" s="11"/>
      <c r="O1504" s="12"/>
      <c r="P1504" s="11"/>
      <c r="Q1504" s="13"/>
      <c r="R1504" s="14"/>
    </row>
    <row r="1505" spans="1:18" ht="15" customHeight="1">
      <c r="A1505" s="17" t="s">
        <v>68</v>
      </c>
      <c r="B1505" s="17" t="s">
        <v>413</v>
      </c>
      <c r="C1505" s="18">
        <v>4.8611111111111112E-2</v>
      </c>
      <c r="D1505" s="17" t="s">
        <v>70</v>
      </c>
      <c r="E1505" s="17" t="s">
        <v>57</v>
      </c>
      <c r="F1505" s="17" t="s">
        <v>406</v>
      </c>
      <c r="G1505" s="298"/>
      <c r="H1505" s="10"/>
      <c r="I1505" s="11"/>
      <c r="J1505" s="11"/>
      <c r="K1505" s="11"/>
      <c r="L1505" s="11"/>
      <c r="M1505" s="11"/>
      <c r="N1505" s="11"/>
      <c r="O1505" s="12"/>
      <c r="P1505" s="11"/>
      <c r="Q1505" s="13"/>
      <c r="R1505" s="14"/>
    </row>
    <row r="1506" spans="1:18" ht="15" customHeight="1">
      <c r="A1506" s="17" t="s">
        <v>68</v>
      </c>
      <c r="B1506" s="17" t="s">
        <v>405</v>
      </c>
      <c r="C1506" s="18">
        <v>0.83680555555555547</v>
      </c>
      <c r="D1506" s="17" t="s">
        <v>70</v>
      </c>
      <c r="E1506" s="17" t="s">
        <v>57</v>
      </c>
      <c r="F1506" s="17" t="s">
        <v>466</v>
      </c>
      <c r="G1506" s="298"/>
      <c r="H1506" s="10"/>
      <c r="I1506" s="11"/>
      <c r="J1506" s="11"/>
      <c r="K1506" s="11"/>
      <c r="L1506" s="11"/>
      <c r="M1506" s="11"/>
      <c r="N1506" s="11"/>
      <c r="O1506" s="12"/>
      <c r="P1506" s="11"/>
      <c r="Q1506" s="13"/>
      <c r="R1506" s="14"/>
    </row>
    <row r="1507" spans="1:18" ht="15" customHeight="1">
      <c r="A1507" s="19" t="s">
        <v>415</v>
      </c>
      <c r="B1507" s="19" t="s">
        <v>416</v>
      </c>
      <c r="C1507" s="20">
        <v>0.10069444444444441</v>
      </c>
      <c r="D1507" s="19" t="s">
        <v>63</v>
      </c>
      <c r="E1507" s="19" t="s">
        <v>51</v>
      </c>
      <c r="F1507" s="19" t="s">
        <v>417</v>
      </c>
      <c r="G1507" s="298"/>
      <c r="H1507" s="10"/>
      <c r="I1507" s="11"/>
      <c r="J1507" s="11"/>
      <c r="K1507" s="11"/>
      <c r="L1507" s="11"/>
      <c r="M1507" s="11"/>
      <c r="N1507" s="11"/>
      <c r="O1507" s="12"/>
      <c r="P1507" s="11"/>
      <c r="Q1507" s="13"/>
      <c r="R1507" s="14"/>
    </row>
    <row r="1508" spans="1:18" ht="15" customHeight="1" thickBot="1">
      <c r="A1508" s="30" t="s">
        <v>415</v>
      </c>
      <c r="B1508" s="30" t="s">
        <v>418</v>
      </c>
      <c r="C1508" s="31">
        <v>0.27083333333333331</v>
      </c>
      <c r="D1508" s="30" t="s">
        <v>63</v>
      </c>
      <c r="E1508" s="30" t="s">
        <v>57</v>
      </c>
      <c r="F1508" s="30" t="s">
        <v>417</v>
      </c>
      <c r="G1508" s="299"/>
      <c r="H1508" s="300"/>
      <c r="I1508" s="140"/>
      <c r="J1508" s="140"/>
      <c r="K1508" s="140"/>
      <c r="L1508" s="140"/>
      <c r="M1508" s="140"/>
      <c r="N1508" s="140"/>
      <c r="O1508" s="141"/>
      <c r="P1508" s="140"/>
      <c r="Q1508" s="142"/>
      <c r="R1508" s="301"/>
    </row>
    <row r="1509" spans="1:18" ht="17.45" customHeight="1" thickBot="1">
      <c r="A1509" s="283"/>
      <c r="B1509" s="284"/>
      <c r="C1509" s="284"/>
      <c r="D1509" s="284"/>
      <c r="E1509" s="284"/>
      <c r="F1509" s="284"/>
      <c r="G1509" s="284"/>
      <c r="H1509" s="284"/>
      <c r="I1509" s="284"/>
      <c r="J1509" s="284"/>
      <c r="K1509" s="284"/>
      <c r="L1509" s="284"/>
      <c r="M1509" s="284"/>
      <c r="N1509" s="284"/>
      <c r="O1509" s="284"/>
      <c r="P1509" s="284"/>
      <c r="Q1509" s="284"/>
      <c r="R1509" s="285"/>
    </row>
    <row r="1510" spans="1:18" ht="22.15" customHeight="1" thickTop="1" thickBot="1">
      <c r="A1510" s="279" t="s">
        <v>6</v>
      </c>
      <c r="B1510" s="295"/>
      <c r="C1510" s="295"/>
      <c r="D1510" s="295"/>
      <c r="E1510" s="295"/>
      <c r="F1510" s="296"/>
      <c r="G1510" s="32">
        <v>46043</v>
      </c>
      <c r="H1510" s="278" t="s">
        <v>7</v>
      </c>
      <c r="I1510" s="295"/>
      <c r="J1510" s="295"/>
      <c r="K1510" s="295"/>
      <c r="L1510" s="295"/>
      <c r="M1510" s="295"/>
      <c r="N1510" s="295"/>
      <c r="O1510" s="295"/>
      <c r="P1510" s="295"/>
      <c r="Q1510" s="295"/>
      <c r="R1510" s="296"/>
    </row>
    <row r="1511" spans="1:18" ht="24" customHeight="1">
      <c r="A1511" s="33" t="s">
        <v>8</v>
      </c>
      <c r="B1511" s="33" t="s">
        <v>9</v>
      </c>
      <c r="C1511" s="34" t="s">
        <v>10</v>
      </c>
      <c r="D1511" s="33" t="s">
        <v>11</v>
      </c>
      <c r="E1511" s="33" t="s">
        <v>12</v>
      </c>
      <c r="F1511" s="35" t="s">
        <v>13</v>
      </c>
      <c r="G1511" s="36" t="s">
        <v>14</v>
      </c>
      <c r="H1511" s="33" t="s">
        <v>15</v>
      </c>
      <c r="I1511" s="37" t="s">
        <v>16</v>
      </c>
      <c r="J1511" s="38" t="s">
        <v>17</v>
      </c>
      <c r="K1511" s="39" t="s">
        <v>18</v>
      </c>
      <c r="L1511" s="38" t="s">
        <v>19</v>
      </c>
      <c r="M1511" s="38" t="s">
        <v>20</v>
      </c>
      <c r="N1511" s="38" t="s">
        <v>21</v>
      </c>
      <c r="O1511" s="33" t="s">
        <v>22</v>
      </c>
      <c r="P1511" s="34" t="s">
        <v>23</v>
      </c>
      <c r="Q1511" s="38" t="s">
        <v>24</v>
      </c>
      <c r="R1511" s="33" t="s">
        <v>25</v>
      </c>
    </row>
    <row r="1512" spans="1:18" ht="15" customHeight="1">
      <c r="A1512" s="8" t="s">
        <v>38</v>
      </c>
      <c r="B1512" s="8" t="s">
        <v>342</v>
      </c>
      <c r="C1512" s="9">
        <v>0.48958333333333331</v>
      </c>
      <c r="D1512" s="8" t="s">
        <v>40</v>
      </c>
      <c r="E1512" s="8" t="s">
        <v>496</v>
      </c>
      <c r="F1512" s="8" t="s">
        <v>81</v>
      </c>
      <c r="G1512" s="297"/>
      <c r="H1512" s="10"/>
      <c r="I1512" s="11"/>
      <c r="J1512" s="11"/>
      <c r="K1512" s="11"/>
      <c r="L1512" s="11"/>
      <c r="M1512" s="11"/>
      <c r="N1512" s="11"/>
      <c r="O1512" s="12"/>
      <c r="P1512" s="11"/>
      <c r="Q1512" s="13"/>
      <c r="R1512" s="14"/>
    </row>
    <row r="1513" spans="1:18" ht="15" customHeight="1">
      <c r="A1513" s="15" t="s">
        <v>38</v>
      </c>
      <c r="B1513" s="15" t="s">
        <v>342</v>
      </c>
      <c r="C1513" s="16">
        <v>0.48958333333333331</v>
      </c>
      <c r="D1513" s="15" t="s">
        <v>43</v>
      </c>
      <c r="E1513" s="15" t="s">
        <v>195</v>
      </c>
      <c r="F1513" s="15" t="s">
        <v>161</v>
      </c>
      <c r="G1513" s="298"/>
      <c r="H1513" s="10"/>
      <c r="I1513" s="11"/>
      <c r="J1513" s="11"/>
      <c r="K1513" s="11"/>
      <c r="L1513" s="11"/>
      <c r="M1513" s="11"/>
      <c r="N1513" s="11"/>
      <c r="O1513" s="12"/>
      <c r="P1513" s="11"/>
      <c r="Q1513" s="13"/>
      <c r="R1513" s="14"/>
    </row>
    <row r="1514" spans="1:18" ht="15" customHeight="1">
      <c r="A1514" s="15" t="s">
        <v>38</v>
      </c>
      <c r="B1514" s="15" t="s">
        <v>342</v>
      </c>
      <c r="C1514" s="16">
        <v>0.48958333333333331</v>
      </c>
      <c r="D1514" s="15" t="s">
        <v>46</v>
      </c>
      <c r="E1514" s="15" t="s">
        <v>195</v>
      </c>
      <c r="F1514" s="15" t="s">
        <v>47</v>
      </c>
      <c r="G1514" s="298"/>
      <c r="H1514" s="10"/>
      <c r="I1514" s="11"/>
      <c r="J1514" s="11"/>
      <c r="K1514" s="11"/>
      <c r="L1514" s="11"/>
      <c r="M1514" s="11"/>
      <c r="N1514" s="11"/>
      <c r="O1514" s="12"/>
      <c r="P1514" s="11"/>
      <c r="Q1514" s="13"/>
      <c r="R1514" s="14"/>
    </row>
    <row r="1515" spans="1:18" ht="15" customHeight="1">
      <c r="A1515" s="17" t="s">
        <v>38</v>
      </c>
      <c r="B1515" s="17" t="s">
        <v>346</v>
      </c>
      <c r="C1515" s="18">
        <v>0.39930555555555558</v>
      </c>
      <c r="D1515" s="17" t="s">
        <v>40</v>
      </c>
      <c r="E1515" s="17" t="s">
        <v>125</v>
      </c>
      <c r="F1515" s="17" t="s">
        <v>30</v>
      </c>
      <c r="G1515" s="298"/>
      <c r="H1515" s="10"/>
      <c r="I1515" s="11"/>
      <c r="J1515" s="11"/>
      <c r="K1515" s="11"/>
      <c r="L1515" s="11"/>
      <c r="M1515" s="11"/>
      <c r="N1515" s="11"/>
      <c r="O1515" s="12"/>
      <c r="P1515" s="11"/>
      <c r="Q1515" s="13"/>
      <c r="R1515" s="14"/>
    </row>
    <row r="1516" spans="1:18" ht="15" customHeight="1">
      <c r="A1516" s="15" t="s">
        <v>38</v>
      </c>
      <c r="B1516" s="15" t="s">
        <v>346</v>
      </c>
      <c r="C1516" s="16">
        <v>0.39930555555555558</v>
      </c>
      <c r="D1516" s="15" t="s">
        <v>43</v>
      </c>
      <c r="E1516" s="15" t="s">
        <v>44</v>
      </c>
      <c r="F1516" s="15" t="s">
        <v>420</v>
      </c>
      <c r="G1516" s="298"/>
      <c r="H1516" s="10"/>
      <c r="I1516" s="11"/>
      <c r="J1516" s="11"/>
      <c r="K1516" s="11"/>
      <c r="L1516" s="11"/>
      <c r="M1516" s="11"/>
      <c r="N1516" s="11"/>
      <c r="O1516" s="12"/>
      <c r="P1516" s="11"/>
      <c r="Q1516" s="13"/>
      <c r="R1516" s="14"/>
    </row>
    <row r="1517" spans="1:18" ht="15" customHeight="1">
      <c r="A1517" s="15" t="s">
        <v>38</v>
      </c>
      <c r="B1517" s="15" t="s">
        <v>346</v>
      </c>
      <c r="C1517" s="16">
        <v>0.39930555555555558</v>
      </c>
      <c r="D1517" s="15" t="s">
        <v>46</v>
      </c>
      <c r="E1517" s="15" t="s">
        <v>44</v>
      </c>
      <c r="F1517" s="15" t="s">
        <v>47</v>
      </c>
      <c r="G1517" s="298"/>
      <c r="H1517" s="10"/>
      <c r="I1517" s="11"/>
      <c r="J1517" s="11"/>
      <c r="K1517" s="11"/>
      <c r="L1517" s="11"/>
      <c r="M1517" s="11"/>
      <c r="N1517" s="11"/>
      <c r="O1517" s="12"/>
      <c r="P1517" s="11"/>
      <c r="Q1517" s="13"/>
      <c r="R1517" s="14"/>
    </row>
    <row r="1518" spans="1:18" ht="15" customHeight="1">
      <c r="A1518" s="17" t="s">
        <v>38</v>
      </c>
      <c r="B1518" s="17" t="s">
        <v>344</v>
      </c>
      <c r="C1518" s="18">
        <v>0.88888888888888884</v>
      </c>
      <c r="D1518" s="17" t="s">
        <v>40</v>
      </c>
      <c r="E1518" s="17" t="s">
        <v>125</v>
      </c>
      <c r="F1518" s="17" t="s">
        <v>30</v>
      </c>
      <c r="G1518" s="298"/>
      <c r="H1518" s="10"/>
      <c r="I1518" s="11"/>
      <c r="J1518" s="11"/>
      <c r="K1518" s="11"/>
      <c r="L1518" s="11"/>
      <c r="M1518" s="11"/>
      <c r="N1518" s="11"/>
      <c r="O1518" s="12"/>
      <c r="P1518" s="11"/>
      <c r="Q1518" s="13"/>
      <c r="R1518" s="14"/>
    </row>
    <row r="1519" spans="1:18" ht="15" customHeight="1">
      <c r="A1519" s="15" t="s">
        <v>38</v>
      </c>
      <c r="B1519" s="15" t="s">
        <v>344</v>
      </c>
      <c r="C1519" s="16">
        <v>0.88888888888888884</v>
      </c>
      <c r="D1519" s="15" t="s">
        <v>43</v>
      </c>
      <c r="E1519" s="15" t="s">
        <v>44</v>
      </c>
      <c r="F1519" s="15" t="s">
        <v>420</v>
      </c>
      <c r="G1519" s="298"/>
      <c r="H1519" s="10"/>
      <c r="I1519" s="11"/>
      <c r="J1519" s="11"/>
      <c r="K1519" s="11"/>
      <c r="L1519" s="11"/>
      <c r="M1519" s="11"/>
      <c r="N1519" s="11"/>
      <c r="O1519" s="12"/>
      <c r="P1519" s="11"/>
      <c r="Q1519" s="13"/>
      <c r="R1519" s="14"/>
    </row>
    <row r="1520" spans="1:18" ht="15" customHeight="1">
      <c r="A1520" s="15" t="s">
        <v>38</v>
      </c>
      <c r="B1520" s="15" t="s">
        <v>344</v>
      </c>
      <c r="C1520" s="16">
        <v>0.88888888888888884</v>
      </c>
      <c r="D1520" s="15" t="s">
        <v>46</v>
      </c>
      <c r="E1520" s="15" t="s">
        <v>44</v>
      </c>
      <c r="F1520" s="15" t="s">
        <v>47</v>
      </c>
      <c r="G1520" s="298"/>
      <c r="H1520" s="10"/>
      <c r="I1520" s="11"/>
      <c r="J1520" s="11"/>
      <c r="K1520" s="11"/>
      <c r="L1520" s="11"/>
      <c r="M1520" s="11"/>
      <c r="N1520" s="11"/>
      <c r="O1520" s="12"/>
      <c r="P1520" s="11"/>
      <c r="Q1520" s="13"/>
      <c r="R1520" s="14"/>
    </row>
    <row r="1521" spans="1:18" ht="15" customHeight="1">
      <c r="A1521" s="17" t="s">
        <v>38</v>
      </c>
      <c r="B1521" s="17" t="s">
        <v>345</v>
      </c>
      <c r="C1521" s="18">
        <v>0.98958333333333337</v>
      </c>
      <c r="D1521" s="17" t="s">
        <v>40</v>
      </c>
      <c r="E1521" s="17" t="s">
        <v>125</v>
      </c>
      <c r="F1521" s="17" t="s">
        <v>347</v>
      </c>
      <c r="G1521" s="298"/>
      <c r="H1521" s="10"/>
      <c r="I1521" s="11"/>
      <c r="J1521" s="11"/>
      <c r="K1521" s="11"/>
      <c r="L1521" s="11"/>
      <c r="M1521" s="11"/>
      <c r="N1521" s="11"/>
      <c r="O1521" s="12"/>
      <c r="P1521" s="11"/>
      <c r="Q1521" s="13"/>
      <c r="R1521" s="14"/>
    </row>
    <row r="1522" spans="1:18" ht="15" customHeight="1">
      <c r="A1522" s="15" t="s">
        <v>38</v>
      </c>
      <c r="B1522" s="15" t="s">
        <v>345</v>
      </c>
      <c r="C1522" s="16">
        <v>0.98958333333333337</v>
      </c>
      <c r="D1522" s="15" t="s">
        <v>43</v>
      </c>
      <c r="E1522" s="15" t="s">
        <v>44</v>
      </c>
      <c r="F1522" s="15" t="s">
        <v>138</v>
      </c>
      <c r="G1522" s="298"/>
      <c r="H1522" s="10"/>
      <c r="I1522" s="11"/>
      <c r="J1522" s="11"/>
      <c r="K1522" s="11"/>
      <c r="L1522" s="11"/>
      <c r="M1522" s="11"/>
      <c r="N1522" s="11"/>
      <c r="O1522" s="12"/>
      <c r="P1522" s="11"/>
      <c r="Q1522" s="13"/>
      <c r="R1522" s="14"/>
    </row>
    <row r="1523" spans="1:18" ht="15" customHeight="1">
      <c r="A1523" s="15" t="s">
        <v>38</v>
      </c>
      <c r="B1523" s="15" t="s">
        <v>345</v>
      </c>
      <c r="C1523" s="16">
        <v>0.98958333333333337</v>
      </c>
      <c r="D1523" s="15" t="s">
        <v>46</v>
      </c>
      <c r="E1523" s="15" t="s">
        <v>44</v>
      </c>
      <c r="F1523" s="15" t="s">
        <v>47</v>
      </c>
      <c r="G1523" s="298"/>
      <c r="H1523" s="10"/>
      <c r="I1523" s="11"/>
      <c r="J1523" s="11"/>
      <c r="K1523" s="11"/>
      <c r="L1523" s="11"/>
      <c r="M1523" s="11"/>
      <c r="N1523" s="11"/>
      <c r="O1523" s="12"/>
      <c r="P1523" s="11"/>
      <c r="Q1523" s="13"/>
      <c r="R1523" s="14"/>
    </row>
    <row r="1524" spans="1:18" ht="15" customHeight="1">
      <c r="A1524" s="19" t="s">
        <v>359</v>
      </c>
      <c r="B1524" s="19" t="s">
        <v>360</v>
      </c>
      <c r="C1524" s="20">
        <v>0.22569444444444439</v>
      </c>
      <c r="D1524" s="19" t="s">
        <v>361</v>
      </c>
      <c r="E1524" s="19" t="s">
        <v>80</v>
      </c>
      <c r="F1524" s="19" t="s">
        <v>525</v>
      </c>
      <c r="G1524" s="298"/>
      <c r="H1524" s="10"/>
      <c r="I1524" s="11"/>
      <c r="J1524" s="11"/>
      <c r="K1524" s="11"/>
      <c r="L1524" s="11"/>
      <c r="M1524" s="11"/>
      <c r="N1524" s="11"/>
      <c r="O1524" s="12"/>
      <c r="P1524" s="11"/>
      <c r="Q1524" s="13"/>
      <c r="R1524" s="14"/>
    </row>
    <row r="1525" spans="1:18" ht="15" customHeight="1">
      <c r="A1525" s="15" t="s">
        <v>359</v>
      </c>
      <c r="B1525" s="15" t="s">
        <v>360</v>
      </c>
      <c r="C1525" s="16">
        <v>0.22569444444444439</v>
      </c>
      <c r="D1525" s="15" t="s">
        <v>46</v>
      </c>
      <c r="E1525" s="15" t="s">
        <v>82</v>
      </c>
      <c r="F1525" s="15" t="s">
        <v>526</v>
      </c>
      <c r="G1525" s="298"/>
      <c r="H1525" s="10"/>
      <c r="I1525" s="11"/>
      <c r="J1525" s="11"/>
      <c r="K1525" s="11"/>
      <c r="L1525" s="11"/>
      <c r="M1525" s="11"/>
      <c r="N1525" s="11"/>
      <c r="O1525" s="12"/>
      <c r="P1525" s="11"/>
      <c r="Q1525" s="13"/>
      <c r="R1525" s="14"/>
    </row>
    <row r="1526" spans="1:18" ht="15" customHeight="1">
      <c r="A1526" s="78" t="s">
        <v>61</v>
      </c>
      <c r="B1526" s="78" t="s">
        <v>364</v>
      </c>
      <c r="C1526" s="79">
        <v>0.2326388888888889</v>
      </c>
      <c r="D1526" s="78" t="s">
        <v>63</v>
      </c>
      <c r="E1526" s="78" t="s">
        <v>177</v>
      </c>
      <c r="F1526" s="78" t="s">
        <v>365</v>
      </c>
      <c r="G1526" s="298"/>
      <c r="H1526" s="80" t="s">
        <v>366</v>
      </c>
      <c r="I1526" s="81">
        <v>0</v>
      </c>
      <c r="J1526" s="82">
        <v>0</v>
      </c>
      <c r="K1526" s="83" t="s">
        <v>66</v>
      </c>
      <c r="L1526" s="82">
        <v>0</v>
      </c>
      <c r="M1526" s="82">
        <v>0</v>
      </c>
      <c r="N1526" s="82">
        <v>0</v>
      </c>
      <c r="O1526" s="84" t="s">
        <v>436</v>
      </c>
      <c r="P1526" s="85">
        <v>0.2326388888888889</v>
      </c>
      <c r="Q1526" s="82">
        <v>180</v>
      </c>
      <c r="R1526" s="86" t="s">
        <v>66</v>
      </c>
    </row>
    <row r="1527" spans="1:18" ht="15" customHeight="1">
      <c r="A1527" s="152" t="s">
        <v>61</v>
      </c>
      <c r="B1527" s="152" t="s">
        <v>432</v>
      </c>
      <c r="C1527" s="153">
        <v>0.34375</v>
      </c>
      <c r="D1527" s="152" t="s">
        <v>63</v>
      </c>
      <c r="E1527" s="152" t="s">
        <v>372</v>
      </c>
      <c r="F1527" s="152" t="s">
        <v>365</v>
      </c>
      <c r="G1527" s="298"/>
      <c r="H1527" s="100" t="s">
        <v>433</v>
      </c>
      <c r="I1527" s="101">
        <v>0</v>
      </c>
      <c r="J1527" s="102">
        <v>0</v>
      </c>
      <c r="K1527" s="103" t="s">
        <v>66</v>
      </c>
      <c r="L1527" s="102">
        <v>0</v>
      </c>
      <c r="M1527" s="102">
        <v>0</v>
      </c>
      <c r="N1527" s="102">
        <v>0</v>
      </c>
      <c r="O1527" s="104" t="s">
        <v>436</v>
      </c>
      <c r="P1527" s="105">
        <v>0.34375</v>
      </c>
      <c r="Q1527" s="102">
        <v>180</v>
      </c>
      <c r="R1527" s="106" t="s">
        <v>66</v>
      </c>
    </row>
    <row r="1528" spans="1:18" ht="15" customHeight="1">
      <c r="A1528" s="150" t="s">
        <v>61</v>
      </c>
      <c r="B1528" s="150" t="s">
        <v>428</v>
      </c>
      <c r="C1528" s="151">
        <v>0.9375</v>
      </c>
      <c r="D1528" s="150" t="s">
        <v>63</v>
      </c>
      <c r="E1528" s="150" t="s">
        <v>134</v>
      </c>
      <c r="F1528" s="150" t="s">
        <v>365</v>
      </c>
      <c r="G1528" s="298"/>
      <c r="H1528" s="80" t="s">
        <v>429</v>
      </c>
      <c r="I1528" s="81">
        <v>2.7799999999999998E-2</v>
      </c>
      <c r="J1528" s="82">
        <v>5</v>
      </c>
      <c r="K1528" s="83">
        <v>46343</v>
      </c>
      <c r="L1528" s="82">
        <v>5</v>
      </c>
      <c r="M1528" s="82">
        <v>0</v>
      </c>
      <c r="N1528" s="82">
        <v>0</v>
      </c>
      <c r="O1528" s="84" t="s">
        <v>430</v>
      </c>
      <c r="P1528" s="85">
        <v>0.9375</v>
      </c>
      <c r="Q1528" s="82">
        <v>180</v>
      </c>
      <c r="R1528" s="86" t="s">
        <v>431</v>
      </c>
    </row>
    <row r="1529" spans="1:18" ht="15" customHeight="1">
      <c r="A1529" s="154" t="s">
        <v>61</v>
      </c>
      <c r="B1529" s="154" t="s">
        <v>375</v>
      </c>
      <c r="C1529" s="155">
        <v>0.34027777777777768</v>
      </c>
      <c r="D1529" s="154" t="s">
        <v>63</v>
      </c>
      <c r="E1529" s="154" t="s">
        <v>372</v>
      </c>
      <c r="F1529" s="154" t="s">
        <v>365</v>
      </c>
      <c r="G1529" s="298"/>
      <c r="H1529" s="69" t="s">
        <v>376</v>
      </c>
      <c r="I1529" s="70">
        <v>0</v>
      </c>
      <c r="J1529" s="71">
        <v>0</v>
      </c>
      <c r="K1529" s="72" t="s">
        <v>66</v>
      </c>
      <c r="L1529" s="71">
        <v>0</v>
      </c>
      <c r="M1529" s="71">
        <v>0</v>
      </c>
      <c r="N1529" s="71">
        <v>0</v>
      </c>
      <c r="O1529" s="73" t="s">
        <v>436</v>
      </c>
      <c r="P1529" s="74">
        <v>0.34027777777777768</v>
      </c>
      <c r="Q1529" s="71">
        <v>180</v>
      </c>
      <c r="R1529" s="75" t="s">
        <v>66</v>
      </c>
    </row>
    <row r="1530" spans="1:18" ht="15" customHeight="1">
      <c r="A1530" s="162" t="s">
        <v>61</v>
      </c>
      <c r="B1530" s="162" t="s">
        <v>377</v>
      </c>
      <c r="C1530" s="163">
        <v>0.4375</v>
      </c>
      <c r="D1530" s="162" t="s">
        <v>63</v>
      </c>
      <c r="E1530" s="162" t="s">
        <v>200</v>
      </c>
      <c r="F1530" s="162" t="s">
        <v>79</v>
      </c>
      <c r="G1530" s="298"/>
      <c r="H1530" s="60" t="s">
        <v>378</v>
      </c>
      <c r="I1530" s="61">
        <v>5.5599999999999997E-2</v>
      </c>
      <c r="J1530" s="62">
        <v>10</v>
      </c>
      <c r="K1530" s="63">
        <v>46338</v>
      </c>
      <c r="L1530" s="62">
        <v>10</v>
      </c>
      <c r="M1530" s="62">
        <v>0</v>
      </c>
      <c r="N1530" s="62">
        <v>0</v>
      </c>
      <c r="O1530" s="64" t="s">
        <v>304</v>
      </c>
      <c r="P1530" s="65">
        <v>0.4375</v>
      </c>
      <c r="Q1530" s="62">
        <v>180</v>
      </c>
      <c r="R1530" s="66" t="s">
        <v>434</v>
      </c>
    </row>
    <row r="1531" spans="1:18" ht="15" customHeight="1">
      <c r="A1531" s="19" t="s">
        <v>26</v>
      </c>
      <c r="B1531" s="19" t="s">
        <v>348</v>
      </c>
      <c r="C1531" s="20">
        <v>0.99305555555555547</v>
      </c>
      <c r="D1531" s="19" t="s">
        <v>28</v>
      </c>
      <c r="E1531" s="19" t="s">
        <v>29</v>
      </c>
      <c r="F1531" s="19" t="s">
        <v>83</v>
      </c>
      <c r="G1531" s="298"/>
      <c r="H1531" s="10"/>
      <c r="I1531" s="11"/>
      <c r="J1531" s="11"/>
      <c r="K1531" s="11"/>
      <c r="L1531" s="11"/>
      <c r="M1531" s="11"/>
      <c r="N1531" s="11"/>
      <c r="O1531" s="12"/>
      <c r="P1531" s="11"/>
      <c r="Q1531" s="13"/>
      <c r="R1531" s="14"/>
    </row>
    <row r="1532" spans="1:18" ht="15" customHeight="1">
      <c r="A1532" s="15" t="s">
        <v>26</v>
      </c>
      <c r="B1532" s="15" t="s">
        <v>348</v>
      </c>
      <c r="C1532" s="16">
        <v>0.99305555555555547</v>
      </c>
      <c r="D1532" s="15" t="s">
        <v>31</v>
      </c>
      <c r="E1532" s="15" t="s">
        <v>32</v>
      </c>
      <c r="F1532" s="15" t="s">
        <v>159</v>
      </c>
      <c r="G1532" s="298"/>
      <c r="H1532" s="10"/>
      <c r="I1532" s="11"/>
      <c r="J1532" s="11"/>
      <c r="K1532" s="11"/>
      <c r="L1532" s="11"/>
      <c r="M1532" s="11"/>
      <c r="N1532" s="11"/>
      <c r="O1532" s="12"/>
      <c r="P1532" s="11"/>
      <c r="Q1532" s="13"/>
      <c r="R1532" s="14"/>
    </row>
    <row r="1533" spans="1:18" ht="15" customHeight="1">
      <c r="A1533" s="15" t="s">
        <v>26</v>
      </c>
      <c r="B1533" s="15" t="s">
        <v>348</v>
      </c>
      <c r="C1533" s="16">
        <v>0.99305555555555547</v>
      </c>
      <c r="D1533" s="15" t="s">
        <v>34</v>
      </c>
      <c r="E1533" s="15" t="s">
        <v>32</v>
      </c>
      <c r="F1533" s="15" t="s">
        <v>355</v>
      </c>
      <c r="G1533" s="298"/>
      <c r="H1533" s="10"/>
      <c r="I1533" s="11"/>
      <c r="J1533" s="11"/>
      <c r="K1533" s="11"/>
      <c r="L1533" s="11"/>
      <c r="M1533" s="11"/>
      <c r="N1533" s="11"/>
      <c r="O1533" s="12"/>
      <c r="P1533" s="11"/>
      <c r="Q1533" s="13"/>
      <c r="R1533" s="14"/>
    </row>
    <row r="1534" spans="1:18" ht="15" customHeight="1">
      <c r="A1534" s="17" t="s">
        <v>26</v>
      </c>
      <c r="B1534" s="17" t="s">
        <v>351</v>
      </c>
      <c r="C1534" s="18">
        <v>0.83680555555555547</v>
      </c>
      <c r="D1534" s="17" t="s">
        <v>28</v>
      </c>
      <c r="E1534" s="17" t="s">
        <v>98</v>
      </c>
      <c r="F1534" s="17" t="s">
        <v>83</v>
      </c>
      <c r="G1534" s="298"/>
      <c r="H1534" s="10"/>
      <c r="I1534" s="11"/>
      <c r="J1534" s="11"/>
      <c r="K1534" s="11"/>
      <c r="L1534" s="11"/>
      <c r="M1534" s="11"/>
      <c r="N1534" s="11"/>
      <c r="O1534" s="12"/>
      <c r="P1534" s="11"/>
      <c r="Q1534" s="13"/>
      <c r="R1534" s="14"/>
    </row>
    <row r="1535" spans="1:18" ht="15" customHeight="1">
      <c r="A1535" s="15" t="s">
        <v>26</v>
      </c>
      <c r="B1535" s="15" t="s">
        <v>351</v>
      </c>
      <c r="C1535" s="16">
        <v>0.83680555555555547</v>
      </c>
      <c r="D1535" s="15" t="s">
        <v>31</v>
      </c>
      <c r="E1535" s="15" t="s">
        <v>99</v>
      </c>
      <c r="F1535" s="15" t="s">
        <v>159</v>
      </c>
      <c r="G1535" s="298"/>
      <c r="H1535" s="10"/>
      <c r="I1535" s="11"/>
      <c r="J1535" s="11"/>
      <c r="K1535" s="11"/>
      <c r="L1535" s="11"/>
      <c r="M1535" s="11"/>
      <c r="N1535" s="11"/>
      <c r="O1535" s="12"/>
      <c r="P1535" s="11"/>
      <c r="Q1535" s="13"/>
      <c r="R1535" s="14"/>
    </row>
    <row r="1536" spans="1:18" ht="15" customHeight="1">
      <c r="A1536" s="15" t="s">
        <v>26</v>
      </c>
      <c r="B1536" s="15" t="s">
        <v>351</v>
      </c>
      <c r="C1536" s="16">
        <v>0.83680555555555547</v>
      </c>
      <c r="D1536" s="15" t="s">
        <v>34</v>
      </c>
      <c r="E1536" s="15" t="s">
        <v>99</v>
      </c>
      <c r="F1536" s="15" t="s">
        <v>355</v>
      </c>
      <c r="G1536" s="298"/>
      <c r="H1536" s="10"/>
      <c r="I1536" s="11"/>
      <c r="J1536" s="11"/>
      <c r="K1536" s="11"/>
      <c r="L1536" s="11"/>
      <c r="M1536" s="11"/>
      <c r="N1536" s="11"/>
      <c r="O1536" s="12"/>
      <c r="P1536" s="11"/>
      <c r="Q1536" s="13"/>
      <c r="R1536" s="14"/>
    </row>
    <row r="1537" spans="1:18" ht="15" customHeight="1">
      <c r="A1537" s="17" t="s">
        <v>26</v>
      </c>
      <c r="B1537" s="17" t="s">
        <v>353</v>
      </c>
      <c r="C1537" s="18">
        <v>0.88888888888888884</v>
      </c>
      <c r="D1537" s="17" t="s">
        <v>28</v>
      </c>
      <c r="E1537" s="17" t="s">
        <v>37</v>
      </c>
      <c r="F1537" s="17" t="s">
        <v>83</v>
      </c>
      <c r="G1537" s="298"/>
      <c r="H1537" s="10"/>
      <c r="I1537" s="11"/>
      <c r="J1537" s="11"/>
      <c r="K1537" s="11"/>
      <c r="L1537" s="11"/>
      <c r="M1537" s="11"/>
      <c r="N1537" s="11"/>
      <c r="O1537" s="12"/>
      <c r="P1537" s="11"/>
      <c r="Q1537" s="13"/>
      <c r="R1537" s="14"/>
    </row>
    <row r="1538" spans="1:18" ht="15" customHeight="1">
      <c r="A1538" s="15" t="s">
        <v>26</v>
      </c>
      <c r="B1538" s="15" t="s">
        <v>353</v>
      </c>
      <c r="C1538" s="16">
        <v>0.88888888888888884</v>
      </c>
      <c r="D1538" s="15" t="s">
        <v>31</v>
      </c>
      <c r="E1538" s="15" t="s">
        <v>32</v>
      </c>
      <c r="F1538" s="15" t="s">
        <v>159</v>
      </c>
      <c r="G1538" s="298"/>
      <c r="H1538" s="10"/>
      <c r="I1538" s="11"/>
      <c r="J1538" s="11"/>
      <c r="K1538" s="11"/>
      <c r="L1538" s="11"/>
      <c r="M1538" s="11"/>
      <c r="N1538" s="11"/>
      <c r="O1538" s="12"/>
      <c r="P1538" s="11"/>
      <c r="Q1538" s="13"/>
      <c r="R1538" s="14"/>
    </row>
    <row r="1539" spans="1:18" ht="15" customHeight="1">
      <c r="A1539" s="15" t="s">
        <v>26</v>
      </c>
      <c r="B1539" s="15" t="s">
        <v>353</v>
      </c>
      <c r="C1539" s="16">
        <v>0.88888888888888884</v>
      </c>
      <c r="D1539" s="15" t="s">
        <v>34</v>
      </c>
      <c r="E1539" s="15" t="s">
        <v>32</v>
      </c>
      <c r="F1539" s="15" t="s">
        <v>355</v>
      </c>
      <c r="G1539" s="298"/>
      <c r="H1539" s="10"/>
      <c r="I1539" s="11"/>
      <c r="J1539" s="11"/>
      <c r="K1539" s="11"/>
      <c r="L1539" s="11"/>
      <c r="M1539" s="11"/>
      <c r="N1539" s="11"/>
      <c r="O1539" s="12"/>
      <c r="P1539" s="11"/>
      <c r="Q1539" s="13"/>
      <c r="R1539" s="14"/>
    </row>
    <row r="1540" spans="1:18" ht="15" customHeight="1">
      <c r="A1540" s="17" t="s">
        <v>26</v>
      </c>
      <c r="B1540" s="17" t="s">
        <v>354</v>
      </c>
      <c r="C1540" s="18">
        <v>0.34722222222222232</v>
      </c>
      <c r="D1540" s="17" t="s">
        <v>28</v>
      </c>
      <c r="E1540" s="17" t="s">
        <v>90</v>
      </c>
      <c r="F1540" s="17" t="s">
        <v>79</v>
      </c>
      <c r="G1540" s="298"/>
      <c r="H1540" s="10"/>
      <c r="I1540" s="11"/>
      <c r="J1540" s="11"/>
      <c r="K1540" s="11"/>
      <c r="L1540" s="11"/>
      <c r="M1540" s="11"/>
      <c r="N1540" s="11"/>
      <c r="O1540" s="12"/>
      <c r="P1540" s="11"/>
      <c r="Q1540" s="13"/>
      <c r="R1540" s="14"/>
    </row>
    <row r="1541" spans="1:18" ht="15" customHeight="1">
      <c r="A1541" s="15" t="s">
        <v>26</v>
      </c>
      <c r="B1541" s="15" t="s">
        <v>354</v>
      </c>
      <c r="C1541" s="16">
        <v>0.34722222222222232</v>
      </c>
      <c r="D1541" s="15" t="s">
        <v>31</v>
      </c>
      <c r="E1541" s="15" t="s">
        <v>82</v>
      </c>
      <c r="F1541" s="15" t="s">
        <v>123</v>
      </c>
      <c r="G1541" s="298"/>
      <c r="H1541" s="10"/>
      <c r="I1541" s="11"/>
      <c r="J1541" s="11"/>
      <c r="K1541" s="11"/>
      <c r="L1541" s="11"/>
      <c r="M1541" s="11"/>
      <c r="N1541" s="11"/>
      <c r="O1541" s="12"/>
      <c r="P1541" s="11"/>
      <c r="Q1541" s="13"/>
      <c r="R1541" s="14"/>
    </row>
    <row r="1542" spans="1:18" ht="15" customHeight="1">
      <c r="A1542" s="15" t="s">
        <v>26</v>
      </c>
      <c r="B1542" s="15" t="s">
        <v>354</v>
      </c>
      <c r="C1542" s="16">
        <v>0.34722222222222232</v>
      </c>
      <c r="D1542" s="15" t="s">
        <v>34</v>
      </c>
      <c r="E1542" s="15" t="s">
        <v>82</v>
      </c>
      <c r="F1542" s="15" t="s">
        <v>118</v>
      </c>
      <c r="G1542" s="298"/>
      <c r="H1542" s="10"/>
      <c r="I1542" s="11"/>
      <c r="J1542" s="11"/>
      <c r="K1542" s="11"/>
      <c r="L1542" s="11"/>
      <c r="M1542" s="11"/>
      <c r="N1542" s="11"/>
      <c r="O1542" s="12"/>
      <c r="P1542" s="11"/>
      <c r="Q1542" s="13"/>
      <c r="R1542" s="14"/>
    </row>
    <row r="1543" spans="1:18" ht="15" customHeight="1">
      <c r="A1543" s="17" t="s">
        <v>26</v>
      </c>
      <c r="B1543" s="17" t="s">
        <v>352</v>
      </c>
      <c r="C1543" s="18">
        <v>0.94444444444444453</v>
      </c>
      <c r="D1543" s="17" t="s">
        <v>28</v>
      </c>
      <c r="E1543" s="17" t="s">
        <v>98</v>
      </c>
      <c r="F1543" s="17" t="s">
        <v>45</v>
      </c>
      <c r="G1543" s="298"/>
      <c r="H1543" s="10"/>
      <c r="I1543" s="11"/>
      <c r="J1543" s="11"/>
      <c r="K1543" s="11"/>
      <c r="L1543" s="11"/>
      <c r="M1543" s="11"/>
      <c r="N1543" s="11"/>
      <c r="O1543" s="12"/>
      <c r="P1543" s="11"/>
      <c r="Q1543" s="13"/>
      <c r="R1543" s="14"/>
    </row>
    <row r="1544" spans="1:18" ht="15" customHeight="1">
      <c r="A1544" s="15" t="s">
        <v>26</v>
      </c>
      <c r="B1544" s="15" t="s">
        <v>352</v>
      </c>
      <c r="C1544" s="16">
        <v>0.94444444444444453</v>
      </c>
      <c r="D1544" s="15" t="s">
        <v>31</v>
      </c>
      <c r="E1544" s="15" t="s">
        <v>99</v>
      </c>
      <c r="F1544" s="15" t="s">
        <v>355</v>
      </c>
      <c r="G1544" s="298"/>
      <c r="H1544" s="10"/>
      <c r="I1544" s="11"/>
      <c r="J1544" s="11"/>
      <c r="K1544" s="11"/>
      <c r="L1544" s="11"/>
      <c r="M1544" s="11"/>
      <c r="N1544" s="11"/>
      <c r="O1544" s="12"/>
      <c r="P1544" s="11"/>
      <c r="Q1544" s="13"/>
      <c r="R1544" s="14"/>
    </row>
    <row r="1545" spans="1:18" ht="15" customHeight="1">
      <c r="A1545" s="15" t="s">
        <v>26</v>
      </c>
      <c r="B1545" s="15" t="s">
        <v>352</v>
      </c>
      <c r="C1545" s="16">
        <v>0.94444444444444453</v>
      </c>
      <c r="D1545" s="15" t="s">
        <v>34</v>
      </c>
      <c r="E1545" s="15" t="s">
        <v>99</v>
      </c>
      <c r="F1545" s="15" t="s">
        <v>358</v>
      </c>
      <c r="G1545" s="298"/>
      <c r="H1545" s="10"/>
      <c r="I1545" s="11"/>
      <c r="J1545" s="11"/>
      <c r="K1545" s="11"/>
      <c r="L1545" s="11"/>
      <c r="M1545" s="11"/>
      <c r="N1545" s="11"/>
      <c r="O1545" s="12"/>
      <c r="P1545" s="11"/>
      <c r="Q1545" s="13"/>
      <c r="R1545" s="14"/>
    </row>
    <row r="1546" spans="1:18" ht="15" customHeight="1">
      <c r="A1546" s="17" t="s">
        <v>26</v>
      </c>
      <c r="B1546" s="17" t="s">
        <v>357</v>
      </c>
      <c r="C1546" s="18">
        <v>0.3923611111111111</v>
      </c>
      <c r="D1546" s="17" t="s">
        <v>28</v>
      </c>
      <c r="E1546" s="17" t="s">
        <v>98</v>
      </c>
      <c r="F1546" s="17" t="s">
        <v>45</v>
      </c>
      <c r="G1546" s="298"/>
      <c r="H1546" s="10"/>
      <c r="I1546" s="11"/>
      <c r="J1546" s="11"/>
      <c r="K1546" s="11"/>
      <c r="L1546" s="11"/>
      <c r="M1546" s="11"/>
      <c r="N1546" s="11"/>
      <c r="O1546" s="12"/>
      <c r="P1546" s="11"/>
      <c r="Q1546" s="13"/>
      <c r="R1546" s="14"/>
    </row>
    <row r="1547" spans="1:18" ht="15" customHeight="1">
      <c r="A1547" s="15" t="s">
        <v>26</v>
      </c>
      <c r="B1547" s="15" t="s">
        <v>357</v>
      </c>
      <c r="C1547" s="16">
        <v>0.3923611111111111</v>
      </c>
      <c r="D1547" s="15" t="s">
        <v>31</v>
      </c>
      <c r="E1547" s="15" t="s">
        <v>99</v>
      </c>
      <c r="F1547" s="15" t="s">
        <v>355</v>
      </c>
      <c r="G1547" s="298"/>
      <c r="H1547" s="10"/>
      <c r="I1547" s="11"/>
      <c r="J1547" s="11"/>
      <c r="K1547" s="11"/>
      <c r="L1547" s="11"/>
      <c r="M1547" s="11"/>
      <c r="N1547" s="11"/>
      <c r="O1547" s="12"/>
      <c r="P1547" s="11"/>
      <c r="Q1547" s="13"/>
      <c r="R1547" s="14"/>
    </row>
    <row r="1548" spans="1:18" ht="15" customHeight="1">
      <c r="A1548" s="15" t="s">
        <v>26</v>
      </c>
      <c r="B1548" s="15" t="s">
        <v>357</v>
      </c>
      <c r="C1548" s="16">
        <v>0.3923611111111111</v>
      </c>
      <c r="D1548" s="15" t="s">
        <v>34</v>
      </c>
      <c r="E1548" s="15" t="s">
        <v>99</v>
      </c>
      <c r="F1548" s="15" t="s">
        <v>358</v>
      </c>
      <c r="G1548" s="298"/>
      <c r="H1548" s="10"/>
      <c r="I1548" s="11"/>
      <c r="J1548" s="11"/>
      <c r="K1548" s="11"/>
      <c r="L1548" s="11"/>
      <c r="M1548" s="11"/>
      <c r="N1548" s="11"/>
      <c r="O1548" s="12"/>
      <c r="P1548" s="11"/>
      <c r="Q1548" s="13"/>
      <c r="R1548" s="14"/>
    </row>
    <row r="1549" spans="1:18" ht="15" customHeight="1">
      <c r="A1549" s="17" t="s">
        <v>26</v>
      </c>
      <c r="B1549" s="17" t="s">
        <v>356</v>
      </c>
      <c r="C1549" s="18">
        <v>0.4861111111111111</v>
      </c>
      <c r="D1549" s="17" t="s">
        <v>28</v>
      </c>
      <c r="E1549" s="17" t="s">
        <v>98</v>
      </c>
      <c r="F1549" s="17" t="s">
        <v>455</v>
      </c>
      <c r="G1549" s="298"/>
      <c r="H1549" s="10"/>
      <c r="I1549" s="11"/>
      <c r="J1549" s="11"/>
      <c r="K1549" s="11"/>
      <c r="L1549" s="11"/>
      <c r="M1549" s="11"/>
      <c r="N1549" s="11"/>
      <c r="O1549" s="12"/>
      <c r="P1549" s="11"/>
      <c r="Q1549" s="13"/>
      <c r="R1549" s="14"/>
    </row>
    <row r="1550" spans="1:18" ht="15" customHeight="1">
      <c r="A1550" s="15" t="s">
        <v>26</v>
      </c>
      <c r="B1550" s="15" t="s">
        <v>356</v>
      </c>
      <c r="C1550" s="16">
        <v>0.4861111111111111</v>
      </c>
      <c r="D1550" s="15" t="s">
        <v>31</v>
      </c>
      <c r="E1550" s="15" t="s">
        <v>99</v>
      </c>
      <c r="F1550" s="15" t="s">
        <v>456</v>
      </c>
      <c r="G1550" s="298"/>
      <c r="H1550" s="10"/>
      <c r="I1550" s="11"/>
      <c r="J1550" s="11"/>
      <c r="K1550" s="11"/>
      <c r="L1550" s="11"/>
      <c r="M1550" s="11"/>
      <c r="N1550" s="11"/>
      <c r="O1550" s="12"/>
      <c r="P1550" s="11"/>
      <c r="Q1550" s="13"/>
      <c r="R1550" s="14"/>
    </row>
    <row r="1551" spans="1:18" ht="15" customHeight="1">
      <c r="A1551" s="15" t="s">
        <v>26</v>
      </c>
      <c r="B1551" s="15" t="s">
        <v>356</v>
      </c>
      <c r="C1551" s="16">
        <v>0.4861111111111111</v>
      </c>
      <c r="D1551" s="15" t="s">
        <v>34</v>
      </c>
      <c r="E1551" s="15" t="s">
        <v>99</v>
      </c>
      <c r="F1551" s="15" t="s">
        <v>457</v>
      </c>
      <c r="G1551" s="298"/>
      <c r="H1551" s="10"/>
      <c r="I1551" s="11"/>
      <c r="J1551" s="11"/>
      <c r="K1551" s="11"/>
      <c r="L1551" s="11"/>
      <c r="M1551" s="11"/>
      <c r="N1551" s="11"/>
      <c r="O1551" s="12"/>
      <c r="P1551" s="11"/>
      <c r="Q1551" s="13"/>
      <c r="R1551" s="14"/>
    </row>
    <row r="1552" spans="1:18" ht="15" customHeight="1">
      <c r="A1552" s="17" t="s">
        <v>26</v>
      </c>
      <c r="B1552" s="17" t="s">
        <v>350</v>
      </c>
      <c r="C1552" s="18">
        <v>0.73611111111111116</v>
      </c>
      <c r="D1552" s="17" t="s">
        <v>34</v>
      </c>
      <c r="E1552" s="17" t="s">
        <v>91</v>
      </c>
      <c r="F1552" s="17" t="s">
        <v>500</v>
      </c>
      <c r="G1552" s="298"/>
      <c r="H1552" s="10"/>
      <c r="I1552" s="11"/>
      <c r="J1552" s="11"/>
      <c r="K1552" s="11"/>
      <c r="L1552" s="11"/>
      <c r="M1552" s="11"/>
      <c r="N1552" s="11"/>
      <c r="O1552" s="12"/>
      <c r="P1552" s="11"/>
      <c r="Q1552" s="13"/>
      <c r="R1552" s="14"/>
    </row>
    <row r="1553" spans="1:18" ht="15" customHeight="1">
      <c r="A1553" s="15" t="s">
        <v>26</v>
      </c>
      <c r="B1553" s="15" t="s">
        <v>350</v>
      </c>
      <c r="C1553" s="16">
        <v>0.73611111111111116</v>
      </c>
      <c r="D1553" s="15" t="s">
        <v>28</v>
      </c>
      <c r="E1553" s="15" t="s">
        <v>92</v>
      </c>
      <c r="F1553" s="15" t="s">
        <v>501</v>
      </c>
      <c r="G1553" s="298"/>
      <c r="H1553" s="10"/>
      <c r="I1553" s="11"/>
      <c r="J1553" s="11"/>
      <c r="K1553" s="11"/>
      <c r="L1553" s="11"/>
      <c r="M1553" s="11"/>
      <c r="N1553" s="11"/>
      <c r="O1553" s="12"/>
      <c r="P1553" s="11"/>
      <c r="Q1553" s="13"/>
      <c r="R1553" s="14"/>
    </row>
    <row r="1554" spans="1:18" ht="15" customHeight="1">
      <c r="A1554" s="15" t="s">
        <v>26</v>
      </c>
      <c r="B1554" s="15" t="s">
        <v>350</v>
      </c>
      <c r="C1554" s="16">
        <v>0.73611111111111116</v>
      </c>
      <c r="D1554" s="15" t="s">
        <v>31</v>
      </c>
      <c r="E1554" s="15" t="s">
        <v>92</v>
      </c>
      <c r="F1554" s="15" t="s">
        <v>502</v>
      </c>
      <c r="G1554" s="298"/>
      <c r="H1554" s="10"/>
      <c r="I1554" s="11"/>
      <c r="J1554" s="11"/>
      <c r="K1554" s="11"/>
      <c r="L1554" s="11"/>
      <c r="M1554" s="11"/>
      <c r="N1554" s="11"/>
      <c r="O1554" s="12"/>
      <c r="P1554" s="11"/>
      <c r="Q1554" s="13"/>
      <c r="R1554" s="14"/>
    </row>
    <row r="1555" spans="1:18" ht="15" customHeight="1">
      <c r="A1555" s="19" t="s">
        <v>402</v>
      </c>
      <c r="B1555" s="19" t="s">
        <v>403</v>
      </c>
      <c r="C1555" s="20">
        <v>0.49305555555555558</v>
      </c>
      <c r="D1555" s="19" t="s">
        <v>63</v>
      </c>
      <c r="E1555" s="19" t="s">
        <v>103</v>
      </c>
      <c r="F1555" s="19" t="s">
        <v>404</v>
      </c>
      <c r="G1555" s="298"/>
      <c r="H1555" s="10"/>
      <c r="I1555" s="11"/>
      <c r="J1555" s="11"/>
      <c r="K1555" s="11"/>
      <c r="L1555" s="11"/>
      <c r="M1555" s="11"/>
      <c r="N1555" s="11"/>
      <c r="O1555" s="12"/>
      <c r="P1555" s="11"/>
      <c r="Q1555" s="13"/>
      <c r="R1555" s="14"/>
    </row>
    <row r="1556" spans="1:18" ht="15" customHeight="1">
      <c r="A1556" s="17" t="s">
        <v>402</v>
      </c>
      <c r="B1556" s="17" t="s">
        <v>465</v>
      </c>
      <c r="C1556" s="18">
        <v>0.19444444444444439</v>
      </c>
      <c r="D1556" s="17" t="s">
        <v>63</v>
      </c>
      <c r="E1556" s="17" t="s">
        <v>98</v>
      </c>
      <c r="F1556" s="17" t="s">
        <v>404</v>
      </c>
      <c r="G1556" s="298"/>
      <c r="H1556" s="10"/>
      <c r="I1556" s="11"/>
      <c r="J1556" s="11"/>
      <c r="K1556" s="11"/>
      <c r="L1556" s="11"/>
      <c r="M1556" s="11"/>
      <c r="N1556" s="11"/>
      <c r="O1556" s="12"/>
      <c r="P1556" s="11"/>
      <c r="Q1556" s="13"/>
      <c r="R1556" s="14"/>
    </row>
    <row r="1557" spans="1:18" ht="15" customHeight="1">
      <c r="A1557" s="19" t="s">
        <v>48</v>
      </c>
      <c r="B1557" s="19" t="s">
        <v>386</v>
      </c>
      <c r="C1557" s="20">
        <v>0.82986111111111116</v>
      </c>
      <c r="D1557" s="19" t="s">
        <v>50</v>
      </c>
      <c r="E1557" s="19" t="s">
        <v>51</v>
      </c>
      <c r="F1557" s="19" t="s">
        <v>79</v>
      </c>
      <c r="G1557" s="298"/>
      <c r="H1557" s="10"/>
      <c r="I1557" s="11"/>
      <c r="J1557" s="11"/>
      <c r="K1557" s="11"/>
      <c r="L1557" s="11"/>
      <c r="M1557" s="11"/>
      <c r="N1557" s="11"/>
      <c r="O1557" s="12"/>
      <c r="P1557" s="11"/>
      <c r="Q1557" s="13"/>
      <c r="R1557" s="14"/>
    </row>
    <row r="1558" spans="1:18" ht="15" customHeight="1">
      <c r="A1558" s="15" t="s">
        <v>48</v>
      </c>
      <c r="B1558" s="15" t="s">
        <v>386</v>
      </c>
      <c r="C1558" s="16">
        <v>0.82986111111111116</v>
      </c>
      <c r="D1558" s="15" t="s">
        <v>53</v>
      </c>
      <c r="E1558" s="15" t="s">
        <v>54</v>
      </c>
      <c r="F1558" s="15" t="s">
        <v>387</v>
      </c>
      <c r="G1558" s="298"/>
      <c r="H1558" s="10"/>
      <c r="I1558" s="11"/>
      <c r="J1558" s="11"/>
      <c r="K1558" s="11"/>
      <c r="L1558" s="11"/>
      <c r="M1558" s="11"/>
      <c r="N1558" s="11"/>
      <c r="O1558" s="12"/>
      <c r="P1558" s="11"/>
      <c r="Q1558" s="13"/>
      <c r="R1558" s="14"/>
    </row>
    <row r="1559" spans="1:18" ht="15" customHeight="1">
      <c r="A1559" s="17" t="s">
        <v>48</v>
      </c>
      <c r="B1559" s="17" t="s">
        <v>388</v>
      </c>
      <c r="C1559" s="18">
        <v>0.72222222222222221</v>
      </c>
      <c r="D1559" s="17" t="s">
        <v>50</v>
      </c>
      <c r="E1559" s="17" t="s">
        <v>57</v>
      </c>
      <c r="F1559" s="17" t="s">
        <v>79</v>
      </c>
      <c r="G1559" s="298"/>
      <c r="H1559" s="10"/>
      <c r="I1559" s="11"/>
      <c r="J1559" s="11"/>
      <c r="K1559" s="11"/>
      <c r="L1559" s="11"/>
      <c r="M1559" s="11"/>
      <c r="N1559" s="11"/>
      <c r="O1559" s="12"/>
      <c r="P1559" s="11"/>
      <c r="Q1559" s="13"/>
      <c r="R1559" s="14"/>
    </row>
    <row r="1560" spans="1:18" ht="15" customHeight="1">
      <c r="A1560" s="15" t="s">
        <v>48</v>
      </c>
      <c r="B1560" s="15" t="s">
        <v>388</v>
      </c>
      <c r="C1560" s="16">
        <v>0.72222222222222221</v>
      </c>
      <c r="D1560" s="15" t="s">
        <v>53</v>
      </c>
      <c r="E1560" s="15" t="s">
        <v>54</v>
      </c>
      <c r="F1560" s="15" t="s">
        <v>387</v>
      </c>
      <c r="G1560" s="298"/>
      <c r="H1560" s="10"/>
      <c r="I1560" s="11"/>
      <c r="J1560" s="11"/>
      <c r="K1560" s="11"/>
      <c r="L1560" s="11"/>
      <c r="M1560" s="11"/>
      <c r="N1560" s="11"/>
      <c r="O1560" s="12"/>
      <c r="P1560" s="11"/>
      <c r="Q1560" s="13"/>
      <c r="R1560" s="14"/>
    </row>
    <row r="1561" spans="1:18" ht="15" customHeight="1">
      <c r="A1561" s="17" t="s">
        <v>48</v>
      </c>
      <c r="B1561" s="17" t="s">
        <v>382</v>
      </c>
      <c r="C1561" s="18">
        <v>0.11805555555555559</v>
      </c>
      <c r="D1561" s="17" t="s">
        <v>50</v>
      </c>
      <c r="E1561" s="17" t="s">
        <v>57</v>
      </c>
      <c r="F1561" s="17" t="s">
        <v>79</v>
      </c>
      <c r="G1561" s="298"/>
      <c r="H1561" s="10"/>
      <c r="I1561" s="11"/>
      <c r="J1561" s="11"/>
      <c r="K1561" s="11"/>
      <c r="L1561" s="11"/>
      <c r="M1561" s="11"/>
      <c r="N1561" s="11"/>
      <c r="O1561" s="12"/>
      <c r="P1561" s="11"/>
      <c r="Q1561" s="13"/>
      <c r="R1561" s="14"/>
    </row>
    <row r="1562" spans="1:18" ht="15" customHeight="1">
      <c r="A1562" s="15" t="s">
        <v>48</v>
      </c>
      <c r="B1562" s="15" t="s">
        <v>382</v>
      </c>
      <c r="C1562" s="16">
        <v>0.11805555555555559</v>
      </c>
      <c r="D1562" s="15" t="s">
        <v>53</v>
      </c>
      <c r="E1562" s="15" t="s">
        <v>54</v>
      </c>
      <c r="F1562" s="15" t="s">
        <v>387</v>
      </c>
      <c r="G1562" s="298"/>
      <c r="H1562" s="10"/>
      <c r="I1562" s="11"/>
      <c r="J1562" s="11"/>
      <c r="K1562" s="11"/>
      <c r="L1562" s="11"/>
      <c r="M1562" s="11"/>
      <c r="N1562" s="11"/>
      <c r="O1562" s="12"/>
      <c r="P1562" s="11"/>
      <c r="Q1562" s="13"/>
      <c r="R1562" s="14"/>
    </row>
    <row r="1563" spans="1:18" ht="15" customHeight="1">
      <c r="A1563" s="17" t="s">
        <v>48</v>
      </c>
      <c r="B1563" s="17" t="s">
        <v>389</v>
      </c>
      <c r="C1563" s="18">
        <v>0.70138888888888884</v>
      </c>
      <c r="D1563" s="17" t="s">
        <v>50</v>
      </c>
      <c r="E1563" s="17" t="s">
        <v>57</v>
      </c>
      <c r="F1563" s="17" t="s">
        <v>79</v>
      </c>
      <c r="G1563" s="298"/>
      <c r="H1563" s="10"/>
      <c r="I1563" s="11"/>
      <c r="J1563" s="11"/>
      <c r="K1563" s="11"/>
      <c r="L1563" s="11"/>
      <c r="M1563" s="11"/>
      <c r="N1563" s="11"/>
      <c r="O1563" s="12"/>
      <c r="P1563" s="11"/>
      <c r="Q1563" s="13"/>
      <c r="R1563" s="14"/>
    </row>
    <row r="1564" spans="1:18" ht="15" customHeight="1">
      <c r="A1564" s="15" t="s">
        <v>48</v>
      </c>
      <c r="B1564" s="15" t="s">
        <v>389</v>
      </c>
      <c r="C1564" s="16">
        <v>0.70138888888888884</v>
      </c>
      <c r="D1564" s="15" t="s">
        <v>53</v>
      </c>
      <c r="E1564" s="15" t="s">
        <v>54</v>
      </c>
      <c r="F1564" s="15" t="s">
        <v>387</v>
      </c>
      <c r="G1564" s="298"/>
      <c r="H1564" s="10"/>
      <c r="I1564" s="11"/>
      <c r="J1564" s="11"/>
      <c r="K1564" s="11"/>
      <c r="L1564" s="11"/>
      <c r="M1564" s="11"/>
      <c r="N1564" s="11"/>
      <c r="O1564" s="12"/>
      <c r="P1564" s="11"/>
      <c r="Q1564" s="13"/>
      <c r="R1564" s="14"/>
    </row>
    <row r="1565" spans="1:18" ht="15" customHeight="1">
      <c r="A1565" s="17" t="s">
        <v>48</v>
      </c>
      <c r="B1565" s="17" t="s">
        <v>400</v>
      </c>
      <c r="C1565" s="18">
        <v>0.25347222222222221</v>
      </c>
      <c r="D1565" s="17" t="s">
        <v>50</v>
      </c>
      <c r="E1565" s="17" t="s">
        <v>57</v>
      </c>
      <c r="F1565" s="17" t="s">
        <v>79</v>
      </c>
      <c r="G1565" s="298"/>
      <c r="H1565" s="10"/>
      <c r="I1565" s="11"/>
      <c r="J1565" s="11"/>
      <c r="K1565" s="11"/>
      <c r="L1565" s="11"/>
      <c r="M1565" s="11"/>
      <c r="N1565" s="11"/>
      <c r="O1565" s="12"/>
      <c r="P1565" s="11"/>
      <c r="Q1565" s="13"/>
      <c r="R1565" s="14"/>
    </row>
    <row r="1566" spans="1:18" ht="15" customHeight="1">
      <c r="A1566" s="15" t="s">
        <v>48</v>
      </c>
      <c r="B1566" s="15" t="s">
        <v>400</v>
      </c>
      <c r="C1566" s="16">
        <v>0.25347222222222221</v>
      </c>
      <c r="D1566" s="15" t="s">
        <v>53</v>
      </c>
      <c r="E1566" s="15" t="s">
        <v>54</v>
      </c>
      <c r="F1566" s="15" t="s">
        <v>387</v>
      </c>
      <c r="G1566" s="298"/>
      <c r="H1566" s="10"/>
      <c r="I1566" s="11"/>
      <c r="J1566" s="11"/>
      <c r="K1566" s="11"/>
      <c r="L1566" s="11"/>
      <c r="M1566" s="11"/>
      <c r="N1566" s="11"/>
      <c r="O1566" s="12"/>
      <c r="P1566" s="11"/>
      <c r="Q1566" s="13"/>
      <c r="R1566" s="14"/>
    </row>
    <row r="1567" spans="1:18" ht="15" customHeight="1">
      <c r="A1567" s="17" t="s">
        <v>48</v>
      </c>
      <c r="B1567" s="17" t="s">
        <v>390</v>
      </c>
      <c r="C1567" s="18">
        <v>4.1666666666666657E-2</v>
      </c>
      <c r="D1567" s="17" t="s">
        <v>50</v>
      </c>
      <c r="E1567" s="17" t="s">
        <v>57</v>
      </c>
      <c r="F1567" s="17" t="s">
        <v>79</v>
      </c>
      <c r="G1567" s="298"/>
      <c r="H1567" s="10"/>
      <c r="I1567" s="11"/>
      <c r="J1567" s="11"/>
      <c r="K1567" s="11"/>
      <c r="L1567" s="11"/>
      <c r="M1567" s="11"/>
      <c r="N1567" s="11"/>
      <c r="O1567" s="12"/>
      <c r="P1567" s="11"/>
      <c r="Q1567" s="13"/>
      <c r="R1567" s="14"/>
    </row>
    <row r="1568" spans="1:18" ht="15" customHeight="1">
      <c r="A1568" s="15" t="s">
        <v>48</v>
      </c>
      <c r="B1568" s="15" t="s">
        <v>390</v>
      </c>
      <c r="C1568" s="16">
        <v>4.1666666666666657E-2</v>
      </c>
      <c r="D1568" s="15" t="s">
        <v>53</v>
      </c>
      <c r="E1568" s="15" t="s">
        <v>54</v>
      </c>
      <c r="F1568" s="15" t="s">
        <v>387</v>
      </c>
      <c r="G1568" s="298"/>
      <c r="H1568" s="10"/>
      <c r="I1568" s="11"/>
      <c r="J1568" s="11"/>
      <c r="K1568" s="11"/>
      <c r="L1568" s="11"/>
      <c r="M1568" s="11"/>
      <c r="N1568" s="11"/>
      <c r="O1568" s="12"/>
      <c r="P1568" s="11"/>
      <c r="Q1568" s="13"/>
      <c r="R1568" s="14"/>
    </row>
    <row r="1569" spans="1:18" ht="15" customHeight="1">
      <c r="A1569" s="17" t="s">
        <v>48</v>
      </c>
      <c r="B1569" s="17" t="s">
        <v>385</v>
      </c>
      <c r="C1569" s="18">
        <v>0.94097222222222221</v>
      </c>
      <c r="D1569" s="17" t="s">
        <v>50</v>
      </c>
      <c r="E1569" s="17" t="s">
        <v>57</v>
      </c>
      <c r="F1569" s="17" t="s">
        <v>79</v>
      </c>
      <c r="G1569" s="298"/>
      <c r="H1569" s="10"/>
      <c r="I1569" s="11"/>
      <c r="J1569" s="11"/>
      <c r="K1569" s="11"/>
      <c r="L1569" s="11"/>
      <c r="M1569" s="11"/>
      <c r="N1569" s="11"/>
      <c r="O1569" s="12"/>
      <c r="P1569" s="11"/>
      <c r="Q1569" s="13"/>
      <c r="R1569" s="14"/>
    </row>
    <row r="1570" spans="1:18" ht="15" customHeight="1">
      <c r="A1570" s="15" t="s">
        <v>48</v>
      </c>
      <c r="B1570" s="15" t="s">
        <v>385</v>
      </c>
      <c r="C1570" s="16">
        <v>0.94097222222222221</v>
      </c>
      <c r="D1570" s="15" t="s">
        <v>53</v>
      </c>
      <c r="E1570" s="15" t="s">
        <v>54</v>
      </c>
      <c r="F1570" s="15" t="s">
        <v>387</v>
      </c>
      <c r="G1570" s="298"/>
      <c r="H1570" s="10"/>
      <c r="I1570" s="11"/>
      <c r="J1570" s="11"/>
      <c r="K1570" s="11"/>
      <c r="L1570" s="11"/>
      <c r="M1570" s="11"/>
      <c r="N1570" s="11"/>
      <c r="O1570" s="12"/>
      <c r="P1570" s="11"/>
      <c r="Q1570" s="13"/>
      <c r="R1570" s="14"/>
    </row>
    <row r="1571" spans="1:18" ht="15" customHeight="1">
      <c r="A1571" s="17" t="s">
        <v>48</v>
      </c>
      <c r="B1571" s="17" t="s">
        <v>391</v>
      </c>
      <c r="C1571" s="18">
        <v>0.48958333333333331</v>
      </c>
      <c r="D1571" s="17" t="s">
        <v>50</v>
      </c>
      <c r="E1571" s="17" t="s">
        <v>57</v>
      </c>
      <c r="F1571" s="17" t="s">
        <v>462</v>
      </c>
      <c r="G1571" s="298"/>
      <c r="H1571" s="10"/>
      <c r="I1571" s="11"/>
      <c r="J1571" s="11"/>
      <c r="K1571" s="11"/>
      <c r="L1571" s="11"/>
      <c r="M1571" s="11"/>
      <c r="N1571" s="11"/>
      <c r="O1571" s="12"/>
      <c r="P1571" s="11"/>
      <c r="Q1571" s="13"/>
      <c r="R1571" s="14"/>
    </row>
    <row r="1572" spans="1:18" ht="15" customHeight="1">
      <c r="A1572" s="15" t="s">
        <v>48</v>
      </c>
      <c r="B1572" s="15" t="s">
        <v>391</v>
      </c>
      <c r="C1572" s="16">
        <v>0.48958333333333331</v>
      </c>
      <c r="D1572" s="15" t="s">
        <v>53</v>
      </c>
      <c r="E1572" s="15" t="s">
        <v>54</v>
      </c>
      <c r="F1572" s="15" t="s">
        <v>463</v>
      </c>
      <c r="G1572" s="298"/>
      <c r="H1572" s="10"/>
      <c r="I1572" s="11"/>
      <c r="J1572" s="11"/>
      <c r="K1572" s="11"/>
      <c r="L1572" s="11"/>
      <c r="M1572" s="11"/>
      <c r="N1572" s="11"/>
      <c r="O1572" s="12"/>
      <c r="P1572" s="11"/>
      <c r="Q1572" s="13"/>
      <c r="R1572" s="14"/>
    </row>
    <row r="1573" spans="1:18" ht="15" customHeight="1">
      <c r="A1573" s="17" t="s">
        <v>48</v>
      </c>
      <c r="B1573" s="17" t="s">
        <v>396</v>
      </c>
      <c r="C1573" s="18">
        <v>0.48958333333333331</v>
      </c>
      <c r="D1573" s="17" t="s">
        <v>53</v>
      </c>
      <c r="E1573" s="17" t="s">
        <v>37</v>
      </c>
      <c r="F1573" s="17" t="s">
        <v>481</v>
      </c>
      <c r="G1573" s="298"/>
      <c r="H1573" s="10"/>
      <c r="I1573" s="11"/>
      <c r="J1573" s="11"/>
      <c r="K1573" s="11"/>
      <c r="L1573" s="11"/>
      <c r="M1573" s="11"/>
      <c r="N1573" s="11"/>
      <c r="O1573" s="12"/>
      <c r="P1573" s="11"/>
      <c r="Q1573" s="13"/>
      <c r="R1573" s="14"/>
    </row>
    <row r="1574" spans="1:18" ht="15" customHeight="1">
      <c r="A1574" s="17" t="s">
        <v>48</v>
      </c>
      <c r="B1574" s="17" t="s">
        <v>398</v>
      </c>
      <c r="C1574" s="18">
        <v>0.39930555555555558</v>
      </c>
      <c r="D1574" s="17" t="s">
        <v>53</v>
      </c>
      <c r="E1574" s="17" t="s">
        <v>37</v>
      </c>
      <c r="F1574" s="17" t="s">
        <v>438</v>
      </c>
      <c r="G1574" s="298"/>
      <c r="H1574" s="10"/>
      <c r="I1574" s="11"/>
      <c r="J1574" s="11"/>
      <c r="K1574" s="11"/>
      <c r="L1574" s="11"/>
      <c r="M1574" s="11"/>
      <c r="N1574" s="11"/>
      <c r="O1574" s="12"/>
      <c r="P1574" s="11"/>
      <c r="Q1574" s="13"/>
      <c r="R1574" s="14"/>
    </row>
    <row r="1575" spans="1:18" ht="15" customHeight="1">
      <c r="A1575" s="17" t="s">
        <v>48</v>
      </c>
      <c r="B1575" s="17" t="s">
        <v>397</v>
      </c>
      <c r="C1575" s="18">
        <v>0.88888888888888884</v>
      </c>
      <c r="D1575" s="17" t="s">
        <v>53</v>
      </c>
      <c r="E1575" s="17" t="s">
        <v>37</v>
      </c>
      <c r="F1575" s="17" t="s">
        <v>438</v>
      </c>
      <c r="G1575" s="298"/>
      <c r="H1575" s="10"/>
      <c r="I1575" s="11"/>
      <c r="J1575" s="11"/>
      <c r="K1575" s="11"/>
      <c r="L1575" s="11"/>
      <c r="M1575" s="11"/>
      <c r="N1575" s="11"/>
      <c r="O1575" s="12"/>
      <c r="P1575" s="11"/>
      <c r="Q1575" s="13"/>
      <c r="R1575" s="14"/>
    </row>
    <row r="1576" spans="1:18" ht="15" customHeight="1">
      <c r="A1576" s="17" t="s">
        <v>48</v>
      </c>
      <c r="B1576" s="17" t="s">
        <v>394</v>
      </c>
      <c r="C1576" s="18">
        <v>0.98958333333333337</v>
      </c>
      <c r="D1576" s="17" t="s">
        <v>53</v>
      </c>
      <c r="E1576" s="17" t="s">
        <v>37</v>
      </c>
      <c r="F1576" s="17" t="s">
        <v>399</v>
      </c>
      <c r="G1576" s="298"/>
      <c r="H1576" s="10"/>
      <c r="I1576" s="11"/>
      <c r="J1576" s="11"/>
      <c r="K1576" s="11"/>
      <c r="L1576" s="11"/>
      <c r="M1576" s="11"/>
      <c r="N1576" s="11"/>
      <c r="O1576" s="12"/>
      <c r="P1576" s="11"/>
      <c r="Q1576" s="13"/>
      <c r="R1576" s="14"/>
    </row>
    <row r="1577" spans="1:18" ht="15" customHeight="1">
      <c r="A1577" s="19" t="s">
        <v>68</v>
      </c>
      <c r="B1577" s="19" t="s">
        <v>409</v>
      </c>
      <c r="C1577" s="20">
        <v>0.34027777777777768</v>
      </c>
      <c r="D1577" s="19" t="s">
        <v>70</v>
      </c>
      <c r="E1577" s="19" t="s">
        <v>51</v>
      </c>
      <c r="F1577" s="19" t="s">
        <v>529</v>
      </c>
      <c r="G1577" s="298"/>
      <c r="H1577" s="10"/>
      <c r="I1577" s="11"/>
      <c r="J1577" s="11"/>
      <c r="K1577" s="11"/>
      <c r="L1577" s="11"/>
      <c r="M1577" s="11"/>
      <c r="N1577" s="11"/>
      <c r="O1577" s="12"/>
      <c r="P1577" s="11"/>
      <c r="Q1577" s="13"/>
      <c r="R1577" s="14"/>
    </row>
    <row r="1578" spans="1:18" ht="15" customHeight="1">
      <c r="A1578" s="17" t="s">
        <v>68</v>
      </c>
      <c r="B1578" s="17" t="s">
        <v>405</v>
      </c>
      <c r="C1578" s="18">
        <v>0.83680555555555547</v>
      </c>
      <c r="D1578" s="17" t="s">
        <v>70</v>
      </c>
      <c r="E1578" s="17" t="s">
        <v>57</v>
      </c>
      <c r="F1578" s="17" t="s">
        <v>524</v>
      </c>
      <c r="G1578" s="298"/>
      <c r="H1578" s="10"/>
      <c r="I1578" s="11"/>
      <c r="J1578" s="11"/>
      <c r="K1578" s="11"/>
      <c r="L1578" s="11"/>
      <c r="M1578" s="11"/>
      <c r="N1578" s="11"/>
      <c r="O1578" s="12"/>
      <c r="P1578" s="11"/>
      <c r="Q1578" s="13"/>
      <c r="R1578" s="14"/>
    </row>
    <row r="1579" spans="1:18" ht="15" customHeight="1">
      <c r="A1579" s="17" t="s">
        <v>68</v>
      </c>
      <c r="B1579" s="17" t="s">
        <v>407</v>
      </c>
      <c r="C1579" s="18">
        <v>0.3125</v>
      </c>
      <c r="D1579" s="17" t="s">
        <v>70</v>
      </c>
      <c r="E1579" s="17" t="s">
        <v>57</v>
      </c>
      <c r="F1579" s="17" t="s">
        <v>524</v>
      </c>
      <c r="G1579" s="298"/>
      <c r="H1579" s="10"/>
      <c r="I1579" s="11"/>
      <c r="J1579" s="11"/>
      <c r="K1579" s="11"/>
      <c r="L1579" s="11"/>
      <c r="M1579" s="11"/>
      <c r="N1579" s="11"/>
      <c r="O1579" s="12"/>
      <c r="P1579" s="11"/>
      <c r="Q1579" s="13"/>
      <c r="R1579" s="14"/>
    </row>
    <row r="1580" spans="1:18" ht="15" customHeight="1">
      <c r="A1580" s="17" t="s">
        <v>68</v>
      </c>
      <c r="B1580" s="17" t="s">
        <v>408</v>
      </c>
      <c r="C1580" s="18">
        <v>0.97222222222222221</v>
      </c>
      <c r="D1580" s="17" t="s">
        <v>70</v>
      </c>
      <c r="E1580" s="17" t="s">
        <v>435</v>
      </c>
      <c r="F1580" s="17" t="s">
        <v>524</v>
      </c>
      <c r="G1580" s="298"/>
      <c r="H1580" s="10"/>
      <c r="I1580" s="11"/>
      <c r="J1580" s="11"/>
      <c r="K1580" s="11"/>
      <c r="L1580" s="11"/>
      <c r="M1580" s="11"/>
      <c r="N1580" s="11"/>
      <c r="O1580" s="12"/>
      <c r="P1580" s="11"/>
      <c r="Q1580" s="13"/>
      <c r="R1580" s="14"/>
    </row>
    <row r="1581" spans="1:18" ht="15" customHeight="1">
      <c r="A1581" s="17" t="s">
        <v>68</v>
      </c>
      <c r="B1581" s="17" t="s">
        <v>437</v>
      </c>
      <c r="C1581" s="18">
        <v>0.1041666666666667</v>
      </c>
      <c r="D1581" s="17" t="s">
        <v>70</v>
      </c>
      <c r="E1581" s="17" t="s">
        <v>57</v>
      </c>
      <c r="F1581" s="17" t="s">
        <v>524</v>
      </c>
      <c r="G1581" s="298"/>
      <c r="H1581" s="10"/>
      <c r="I1581" s="11"/>
      <c r="J1581" s="11"/>
      <c r="K1581" s="11"/>
      <c r="L1581" s="11"/>
      <c r="M1581" s="11"/>
      <c r="N1581" s="11"/>
      <c r="O1581" s="12"/>
      <c r="P1581" s="11"/>
      <c r="Q1581" s="13"/>
      <c r="R1581" s="14"/>
    </row>
    <row r="1582" spans="1:18" ht="15" customHeight="1">
      <c r="A1582" s="17" t="s">
        <v>68</v>
      </c>
      <c r="B1582" s="17" t="s">
        <v>411</v>
      </c>
      <c r="C1582" s="18">
        <v>0.78472222222222221</v>
      </c>
      <c r="D1582" s="17" t="s">
        <v>70</v>
      </c>
      <c r="E1582" s="17" t="s">
        <v>57</v>
      </c>
      <c r="F1582" s="17" t="s">
        <v>524</v>
      </c>
      <c r="G1582" s="298"/>
      <c r="H1582" s="10"/>
      <c r="I1582" s="11"/>
      <c r="J1582" s="11"/>
      <c r="K1582" s="11"/>
      <c r="L1582" s="11"/>
      <c r="M1582" s="11"/>
      <c r="N1582" s="11"/>
      <c r="O1582" s="12"/>
      <c r="P1582" s="11"/>
      <c r="Q1582" s="13"/>
      <c r="R1582" s="14"/>
    </row>
    <row r="1583" spans="1:18" ht="15" customHeight="1">
      <c r="A1583" s="17" t="s">
        <v>68</v>
      </c>
      <c r="B1583" s="17" t="s">
        <v>410</v>
      </c>
      <c r="C1583" s="18">
        <v>0.59722222222222221</v>
      </c>
      <c r="D1583" s="17" t="s">
        <v>70</v>
      </c>
      <c r="E1583" s="17" t="s">
        <v>57</v>
      </c>
      <c r="F1583" s="17" t="s">
        <v>524</v>
      </c>
      <c r="G1583" s="298"/>
      <c r="H1583" s="10"/>
      <c r="I1583" s="11"/>
      <c r="J1583" s="11"/>
      <c r="K1583" s="11"/>
      <c r="L1583" s="11"/>
      <c r="M1583" s="11"/>
      <c r="N1583" s="11"/>
      <c r="O1583" s="12"/>
      <c r="P1583" s="11"/>
      <c r="Q1583" s="13"/>
      <c r="R1583" s="14"/>
    </row>
    <row r="1584" spans="1:18" ht="15" customHeight="1">
      <c r="A1584" s="19" t="s">
        <v>415</v>
      </c>
      <c r="B1584" s="19" t="s">
        <v>418</v>
      </c>
      <c r="C1584" s="20">
        <v>0.6875</v>
      </c>
      <c r="D1584" s="19" t="s">
        <v>63</v>
      </c>
      <c r="E1584" s="19" t="s">
        <v>51</v>
      </c>
      <c r="F1584" s="19" t="s">
        <v>417</v>
      </c>
      <c r="G1584" s="298"/>
      <c r="H1584" s="10"/>
      <c r="I1584" s="11"/>
      <c r="J1584" s="11"/>
      <c r="K1584" s="11"/>
      <c r="L1584" s="11"/>
      <c r="M1584" s="11"/>
      <c r="N1584" s="11"/>
      <c r="O1584" s="12"/>
      <c r="P1584" s="11"/>
      <c r="Q1584" s="13"/>
      <c r="R1584" s="14"/>
    </row>
    <row r="1585" spans="1:18" ht="15" customHeight="1" thickBot="1">
      <c r="A1585" s="30" t="s">
        <v>415</v>
      </c>
      <c r="B1585" s="30" t="s">
        <v>480</v>
      </c>
      <c r="C1585" s="31">
        <v>0.80555555555555547</v>
      </c>
      <c r="D1585" s="30" t="s">
        <v>63</v>
      </c>
      <c r="E1585" s="30" t="s">
        <v>57</v>
      </c>
      <c r="F1585" s="30" t="s">
        <v>417</v>
      </c>
      <c r="G1585" s="299"/>
      <c r="H1585" s="300"/>
      <c r="I1585" s="140"/>
      <c r="J1585" s="140"/>
      <c r="K1585" s="140"/>
      <c r="L1585" s="140"/>
      <c r="M1585" s="140"/>
      <c r="N1585" s="140"/>
      <c r="O1585" s="141"/>
      <c r="P1585" s="140"/>
      <c r="Q1585" s="142"/>
      <c r="R1585" s="301"/>
    </row>
    <row r="1586" spans="1:18" ht="17.45" customHeight="1" thickBot="1">
      <c r="A1586" s="283"/>
      <c r="B1586" s="284"/>
      <c r="C1586" s="284"/>
      <c r="D1586" s="284"/>
      <c r="E1586" s="284"/>
      <c r="F1586" s="284"/>
      <c r="G1586" s="284"/>
      <c r="H1586" s="284"/>
      <c r="I1586" s="284"/>
      <c r="J1586" s="284"/>
      <c r="K1586" s="284"/>
      <c r="L1586" s="284"/>
      <c r="M1586" s="284"/>
      <c r="N1586" s="284"/>
      <c r="O1586" s="284"/>
      <c r="P1586" s="284"/>
      <c r="Q1586" s="284"/>
      <c r="R1586" s="285"/>
    </row>
    <row r="1587" spans="1:18" ht="22.15" customHeight="1" thickTop="1" thickBot="1">
      <c r="A1587" s="279" t="s">
        <v>6</v>
      </c>
      <c r="B1587" s="295"/>
      <c r="C1587" s="295"/>
      <c r="D1587" s="295"/>
      <c r="E1587" s="295"/>
      <c r="F1587" s="296"/>
      <c r="G1587" s="32">
        <v>46044</v>
      </c>
      <c r="H1587" s="278" t="s">
        <v>7</v>
      </c>
      <c r="I1587" s="295"/>
      <c r="J1587" s="295"/>
      <c r="K1587" s="295"/>
      <c r="L1587" s="295"/>
      <c r="M1587" s="295"/>
      <c r="N1587" s="295"/>
      <c r="O1587" s="295"/>
      <c r="P1587" s="295"/>
      <c r="Q1587" s="295"/>
      <c r="R1587" s="296"/>
    </row>
    <row r="1588" spans="1:18" ht="24" customHeight="1">
      <c r="A1588" s="33" t="s">
        <v>8</v>
      </c>
      <c r="B1588" s="33" t="s">
        <v>9</v>
      </c>
      <c r="C1588" s="34" t="s">
        <v>10</v>
      </c>
      <c r="D1588" s="33" t="s">
        <v>11</v>
      </c>
      <c r="E1588" s="33" t="s">
        <v>12</v>
      </c>
      <c r="F1588" s="35" t="s">
        <v>13</v>
      </c>
      <c r="G1588" s="36" t="s">
        <v>14</v>
      </c>
      <c r="H1588" s="33" t="s">
        <v>15</v>
      </c>
      <c r="I1588" s="37" t="s">
        <v>16</v>
      </c>
      <c r="J1588" s="38" t="s">
        <v>17</v>
      </c>
      <c r="K1588" s="39" t="s">
        <v>18</v>
      </c>
      <c r="L1588" s="38" t="s">
        <v>19</v>
      </c>
      <c r="M1588" s="38" t="s">
        <v>20</v>
      </c>
      <c r="N1588" s="38" t="s">
        <v>21</v>
      </c>
      <c r="O1588" s="33" t="s">
        <v>22</v>
      </c>
      <c r="P1588" s="34" t="s">
        <v>23</v>
      </c>
      <c r="Q1588" s="38" t="s">
        <v>24</v>
      </c>
      <c r="R1588" s="33" t="s">
        <v>25</v>
      </c>
    </row>
    <row r="1589" spans="1:18" ht="15" customHeight="1">
      <c r="A1589" s="8" t="s">
        <v>38</v>
      </c>
      <c r="B1589" s="8" t="s">
        <v>342</v>
      </c>
      <c r="C1589" s="9">
        <v>0.48958333333333331</v>
      </c>
      <c r="D1589" s="8" t="s">
        <v>40</v>
      </c>
      <c r="E1589" s="8" t="s">
        <v>41</v>
      </c>
      <c r="F1589" s="8" t="s">
        <v>347</v>
      </c>
      <c r="G1589" s="297"/>
      <c r="H1589" s="10"/>
      <c r="I1589" s="11"/>
      <c r="J1589" s="11"/>
      <c r="K1589" s="11"/>
      <c r="L1589" s="11"/>
      <c r="M1589" s="11"/>
      <c r="N1589" s="11"/>
      <c r="O1589" s="12"/>
      <c r="P1589" s="11"/>
      <c r="Q1589" s="13"/>
      <c r="R1589" s="14"/>
    </row>
    <row r="1590" spans="1:18" ht="15" customHeight="1">
      <c r="A1590" s="15" t="s">
        <v>38</v>
      </c>
      <c r="B1590" s="15" t="s">
        <v>342</v>
      </c>
      <c r="C1590" s="16">
        <v>0.48958333333333331</v>
      </c>
      <c r="D1590" s="15" t="s">
        <v>43</v>
      </c>
      <c r="E1590" s="15" t="s">
        <v>44</v>
      </c>
      <c r="F1590" s="15" t="s">
        <v>138</v>
      </c>
      <c r="G1590" s="298"/>
      <c r="H1590" s="10"/>
      <c r="I1590" s="11"/>
      <c r="J1590" s="11"/>
      <c r="K1590" s="11"/>
      <c r="L1590" s="11"/>
      <c r="M1590" s="11"/>
      <c r="N1590" s="11"/>
      <c r="O1590" s="12"/>
      <c r="P1590" s="11"/>
      <c r="Q1590" s="13"/>
      <c r="R1590" s="14"/>
    </row>
    <row r="1591" spans="1:18" ht="15" customHeight="1">
      <c r="A1591" s="15" t="s">
        <v>38</v>
      </c>
      <c r="B1591" s="15" t="s">
        <v>342</v>
      </c>
      <c r="C1591" s="16">
        <v>0.48958333333333331</v>
      </c>
      <c r="D1591" s="15" t="s">
        <v>46</v>
      </c>
      <c r="E1591" s="15" t="s">
        <v>44</v>
      </c>
      <c r="F1591" s="15" t="s">
        <v>47</v>
      </c>
      <c r="G1591" s="298"/>
      <c r="H1591" s="10"/>
      <c r="I1591" s="11"/>
      <c r="J1591" s="11"/>
      <c r="K1591" s="11"/>
      <c r="L1591" s="11"/>
      <c r="M1591" s="11"/>
      <c r="N1591" s="11"/>
      <c r="O1591" s="12"/>
      <c r="P1591" s="11"/>
      <c r="Q1591" s="13"/>
      <c r="R1591" s="14"/>
    </row>
    <row r="1592" spans="1:18" ht="15" customHeight="1">
      <c r="A1592" s="17" t="s">
        <v>38</v>
      </c>
      <c r="B1592" s="17" t="s">
        <v>344</v>
      </c>
      <c r="C1592" s="18">
        <v>0.88888888888888884</v>
      </c>
      <c r="D1592" s="17" t="s">
        <v>40</v>
      </c>
      <c r="E1592" s="17" t="s">
        <v>459</v>
      </c>
      <c r="F1592" s="17" t="s">
        <v>347</v>
      </c>
      <c r="G1592" s="298"/>
      <c r="H1592" s="10"/>
      <c r="I1592" s="11"/>
      <c r="J1592" s="11"/>
      <c r="K1592" s="11"/>
      <c r="L1592" s="11"/>
      <c r="M1592" s="11"/>
      <c r="N1592" s="11"/>
      <c r="O1592" s="12"/>
      <c r="P1592" s="11"/>
      <c r="Q1592" s="13"/>
      <c r="R1592" s="14"/>
    </row>
    <row r="1593" spans="1:18" ht="15" customHeight="1">
      <c r="A1593" s="15" t="s">
        <v>38</v>
      </c>
      <c r="B1593" s="15" t="s">
        <v>344</v>
      </c>
      <c r="C1593" s="16">
        <v>0.88888888888888884</v>
      </c>
      <c r="D1593" s="15" t="s">
        <v>43</v>
      </c>
      <c r="E1593" s="15" t="s">
        <v>182</v>
      </c>
      <c r="F1593" s="15" t="s">
        <v>138</v>
      </c>
      <c r="G1593" s="298"/>
      <c r="H1593" s="10"/>
      <c r="I1593" s="11"/>
      <c r="J1593" s="11"/>
      <c r="K1593" s="11"/>
      <c r="L1593" s="11"/>
      <c r="M1593" s="11"/>
      <c r="N1593" s="11"/>
      <c r="O1593" s="12"/>
      <c r="P1593" s="11"/>
      <c r="Q1593" s="13"/>
      <c r="R1593" s="14"/>
    </row>
    <row r="1594" spans="1:18" ht="15" customHeight="1">
      <c r="A1594" s="15" t="s">
        <v>38</v>
      </c>
      <c r="B1594" s="15" t="s">
        <v>344</v>
      </c>
      <c r="C1594" s="16">
        <v>0.88888888888888884</v>
      </c>
      <c r="D1594" s="15" t="s">
        <v>46</v>
      </c>
      <c r="E1594" s="15" t="s">
        <v>182</v>
      </c>
      <c r="F1594" s="15" t="s">
        <v>419</v>
      </c>
      <c r="G1594" s="298"/>
      <c r="H1594" s="10"/>
      <c r="I1594" s="11"/>
      <c r="J1594" s="11"/>
      <c r="K1594" s="11"/>
      <c r="L1594" s="11"/>
      <c r="M1594" s="11"/>
      <c r="N1594" s="11"/>
      <c r="O1594" s="12"/>
      <c r="P1594" s="11"/>
      <c r="Q1594" s="13"/>
      <c r="R1594" s="14"/>
    </row>
    <row r="1595" spans="1:18" ht="15" customHeight="1">
      <c r="A1595" s="17" t="s">
        <v>38</v>
      </c>
      <c r="B1595" s="17" t="s">
        <v>345</v>
      </c>
      <c r="C1595" s="18">
        <v>0.98958333333333337</v>
      </c>
      <c r="D1595" s="17" t="s">
        <v>40</v>
      </c>
      <c r="E1595" s="17" t="s">
        <v>421</v>
      </c>
      <c r="F1595" s="17" t="s">
        <v>347</v>
      </c>
      <c r="G1595" s="298"/>
      <c r="H1595" s="10"/>
      <c r="I1595" s="11"/>
      <c r="J1595" s="11"/>
      <c r="K1595" s="11"/>
      <c r="L1595" s="11"/>
      <c r="M1595" s="11"/>
      <c r="N1595" s="11"/>
      <c r="O1595" s="12"/>
      <c r="P1595" s="11"/>
      <c r="Q1595" s="13"/>
      <c r="R1595" s="14"/>
    </row>
    <row r="1596" spans="1:18" ht="15" customHeight="1">
      <c r="A1596" s="15" t="s">
        <v>38</v>
      </c>
      <c r="B1596" s="15" t="s">
        <v>345</v>
      </c>
      <c r="C1596" s="16">
        <v>0.98958333333333337</v>
      </c>
      <c r="D1596" s="15" t="s">
        <v>43</v>
      </c>
      <c r="E1596" s="15" t="s">
        <v>193</v>
      </c>
      <c r="F1596" s="15" t="s">
        <v>138</v>
      </c>
      <c r="G1596" s="298"/>
      <c r="H1596" s="10"/>
      <c r="I1596" s="11"/>
      <c r="J1596" s="11"/>
      <c r="K1596" s="11"/>
      <c r="L1596" s="11"/>
      <c r="M1596" s="11"/>
      <c r="N1596" s="11"/>
      <c r="O1596" s="12"/>
      <c r="P1596" s="11"/>
      <c r="Q1596" s="13"/>
      <c r="R1596" s="14"/>
    </row>
    <row r="1597" spans="1:18" ht="15" customHeight="1">
      <c r="A1597" s="15" t="s">
        <v>38</v>
      </c>
      <c r="B1597" s="15" t="s">
        <v>345</v>
      </c>
      <c r="C1597" s="16">
        <v>0.98958333333333337</v>
      </c>
      <c r="D1597" s="15" t="s">
        <v>46</v>
      </c>
      <c r="E1597" s="15" t="s">
        <v>193</v>
      </c>
      <c r="F1597" s="15" t="s">
        <v>47</v>
      </c>
      <c r="G1597" s="298"/>
      <c r="H1597" s="10"/>
      <c r="I1597" s="11"/>
      <c r="J1597" s="11"/>
      <c r="K1597" s="11"/>
      <c r="L1597" s="11"/>
      <c r="M1597" s="11"/>
      <c r="N1597" s="11"/>
      <c r="O1597" s="12"/>
      <c r="P1597" s="11"/>
      <c r="Q1597" s="13"/>
      <c r="R1597" s="14"/>
    </row>
    <row r="1598" spans="1:18" ht="15" customHeight="1">
      <c r="A1598" s="17" t="s">
        <v>38</v>
      </c>
      <c r="B1598" s="17" t="s">
        <v>346</v>
      </c>
      <c r="C1598" s="18">
        <v>0.39930555555555558</v>
      </c>
      <c r="D1598" s="17" t="s">
        <v>40</v>
      </c>
      <c r="E1598" s="17" t="s">
        <v>125</v>
      </c>
      <c r="F1598" s="17" t="s">
        <v>121</v>
      </c>
      <c r="G1598" s="298"/>
      <c r="H1598" s="10"/>
      <c r="I1598" s="11"/>
      <c r="J1598" s="11"/>
      <c r="K1598" s="11"/>
      <c r="L1598" s="11"/>
      <c r="M1598" s="11"/>
      <c r="N1598" s="11"/>
      <c r="O1598" s="12"/>
      <c r="P1598" s="11"/>
      <c r="Q1598" s="13"/>
      <c r="R1598" s="14"/>
    </row>
    <row r="1599" spans="1:18" ht="15" customHeight="1">
      <c r="A1599" s="15" t="s">
        <v>38</v>
      </c>
      <c r="B1599" s="15" t="s">
        <v>346</v>
      </c>
      <c r="C1599" s="16">
        <v>0.39930555555555558</v>
      </c>
      <c r="D1599" s="15" t="s">
        <v>43</v>
      </c>
      <c r="E1599" s="15" t="s">
        <v>44</v>
      </c>
      <c r="F1599" s="15" t="s">
        <v>123</v>
      </c>
      <c r="G1599" s="298"/>
      <c r="H1599" s="10"/>
      <c r="I1599" s="11"/>
      <c r="J1599" s="11"/>
      <c r="K1599" s="11"/>
      <c r="L1599" s="11"/>
      <c r="M1599" s="11"/>
      <c r="N1599" s="11"/>
      <c r="O1599" s="12"/>
      <c r="P1599" s="11"/>
      <c r="Q1599" s="13"/>
      <c r="R1599" s="14"/>
    </row>
    <row r="1600" spans="1:18" ht="15" customHeight="1">
      <c r="A1600" s="15" t="s">
        <v>38</v>
      </c>
      <c r="B1600" s="15" t="s">
        <v>346</v>
      </c>
      <c r="C1600" s="16">
        <v>0.39930555555555558</v>
      </c>
      <c r="D1600" s="15" t="s">
        <v>46</v>
      </c>
      <c r="E1600" s="15" t="s">
        <v>44</v>
      </c>
      <c r="F1600" s="15" t="s">
        <v>47</v>
      </c>
      <c r="G1600" s="298"/>
      <c r="H1600" s="10"/>
      <c r="I1600" s="11"/>
      <c r="J1600" s="11"/>
      <c r="K1600" s="11"/>
      <c r="L1600" s="11"/>
      <c r="M1600" s="11"/>
      <c r="N1600" s="11"/>
      <c r="O1600" s="12"/>
      <c r="P1600" s="11"/>
      <c r="Q1600" s="13"/>
      <c r="R1600" s="14"/>
    </row>
    <row r="1601" spans="1:18" ht="15" customHeight="1">
      <c r="A1601" s="19" t="s">
        <v>359</v>
      </c>
      <c r="B1601" s="19" t="s">
        <v>360</v>
      </c>
      <c r="C1601" s="20">
        <v>0.1701388888888889</v>
      </c>
      <c r="D1601" s="19" t="s">
        <v>361</v>
      </c>
      <c r="E1601" s="19" t="s">
        <v>80</v>
      </c>
      <c r="F1601" s="19" t="s">
        <v>525</v>
      </c>
      <c r="G1601" s="298"/>
      <c r="H1601" s="10"/>
      <c r="I1601" s="11"/>
      <c r="J1601" s="11"/>
      <c r="K1601" s="11"/>
      <c r="L1601" s="11"/>
      <c r="M1601" s="11"/>
      <c r="N1601" s="11"/>
      <c r="O1601" s="12"/>
      <c r="P1601" s="11"/>
      <c r="Q1601" s="13"/>
      <c r="R1601" s="14"/>
    </row>
    <row r="1602" spans="1:18" ht="15" customHeight="1">
      <c r="A1602" s="15" t="s">
        <v>359</v>
      </c>
      <c r="B1602" s="15" t="s">
        <v>360</v>
      </c>
      <c r="C1602" s="16">
        <v>0.1701388888888889</v>
      </c>
      <c r="D1602" s="15" t="s">
        <v>46</v>
      </c>
      <c r="E1602" s="15" t="s">
        <v>82</v>
      </c>
      <c r="F1602" s="15" t="s">
        <v>526</v>
      </c>
      <c r="G1602" s="298"/>
      <c r="H1602" s="10"/>
      <c r="I1602" s="11"/>
      <c r="J1602" s="11"/>
      <c r="K1602" s="11"/>
      <c r="L1602" s="11"/>
      <c r="M1602" s="11"/>
      <c r="N1602" s="11"/>
      <c r="O1602" s="12"/>
      <c r="P1602" s="11"/>
      <c r="Q1602" s="13"/>
      <c r="R1602" s="14"/>
    </row>
    <row r="1603" spans="1:18" ht="15" customHeight="1">
      <c r="A1603" s="19" t="s">
        <v>402</v>
      </c>
      <c r="B1603" s="19" t="s">
        <v>403</v>
      </c>
      <c r="C1603" s="20">
        <v>0.49305555555555558</v>
      </c>
      <c r="D1603" s="19" t="s">
        <v>63</v>
      </c>
      <c r="E1603" s="19" t="s">
        <v>103</v>
      </c>
      <c r="F1603" s="19" t="s">
        <v>404</v>
      </c>
      <c r="G1603" s="298"/>
      <c r="H1603" s="10"/>
      <c r="I1603" s="11"/>
      <c r="J1603" s="11"/>
      <c r="K1603" s="11"/>
      <c r="L1603" s="11"/>
      <c r="M1603" s="11"/>
      <c r="N1603" s="11"/>
      <c r="O1603" s="12"/>
      <c r="P1603" s="11"/>
      <c r="Q1603" s="13"/>
      <c r="R1603" s="14"/>
    </row>
    <row r="1604" spans="1:18" ht="15" customHeight="1">
      <c r="A1604" s="21" t="s">
        <v>61</v>
      </c>
      <c r="B1604" s="21" t="s">
        <v>369</v>
      </c>
      <c r="C1604" s="22">
        <v>0.1875</v>
      </c>
      <c r="D1604" s="21" t="s">
        <v>63</v>
      </c>
      <c r="E1604" s="21" t="s">
        <v>107</v>
      </c>
      <c r="F1604" s="21" t="s">
        <v>79</v>
      </c>
      <c r="G1604" s="298"/>
      <c r="H1604" s="23" t="s">
        <v>370</v>
      </c>
      <c r="I1604" s="24">
        <v>3.8899999999999997E-2</v>
      </c>
      <c r="J1604" s="25">
        <v>7</v>
      </c>
      <c r="K1604" s="26">
        <v>46339</v>
      </c>
      <c r="L1604" s="25">
        <v>7</v>
      </c>
      <c r="M1604" s="25">
        <v>0</v>
      </c>
      <c r="N1604" s="25">
        <v>0</v>
      </c>
      <c r="O1604" s="27" t="s">
        <v>299</v>
      </c>
      <c r="P1604" s="28">
        <v>0.1875</v>
      </c>
      <c r="Q1604" s="25">
        <v>180</v>
      </c>
      <c r="R1604" s="29" t="s">
        <v>530</v>
      </c>
    </row>
    <row r="1605" spans="1:18" ht="15" customHeight="1">
      <c r="A1605" s="152" t="s">
        <v>61</v>
      </c>
      <c r="B1605" s="152" t="s">
        <v>371</v>
      </c>
      <c r="C1605" s="153">
        <v>6.5972222222222224E-2</v>
      </c>
      <c r="D1605" s="152" t="s">
        <v>63</v>
      </c>
      <c r="E1605" s="152" t="s">
        <v>200</v>
      </c>
      <c r="F1605" s="152" t="s">
        <v>79</v>
      </c>
      <c r="G1605" s="298"/>
      <c r="H1605" s="100" t="s">
        <v>373</v>
      </c>
      <c r="I1605" s="101">
        <v>5.5599999999999997E-2</v>
      </c>
      <c r="J1605" s="102">
        <v>10</v>
      </c>
      <c r="K1605" s="103">
        <v>46343</v>
      </c>
      <c r="L1605" s="102">
        <v>10</v>
      </c>
      <c r="M1605" s="102">
        <v>0</v>
      </c>
      <c r="N1605" s="102">
        <v>0</v>
      </c>
      <c r="O1605" s="104" t="s">
        <v>304</v>
      </c>
      <c r="P1605" s="105">
        <v>6.5972222222222224E-2</v>
      </c>
      <c r="Q1605" s="102">
        <v>180</v>
      </c>
      <c r="R1605" s="106" t="s">
        <v>434</v>
      </c>
    </row>
    <row r="1606" spans="1:18" ht="15" customHeight="1">
      <c r="A1606" s="156" t="s">
        <v>61</v>
      </c>
      <c r="B1606" s="156" t="s">
        <v>375</v>
      </c>
      <c r="C1606" s="157">
        <v>0.15625</v>
      </c>
      <c r="D1606" s="156" t="s">
        <v>63</v>
      </c>
      <c r="E1606" s="156" t="s">
        <v>200</v>
      </c>
      <c r="F1606" s="156" t="s">
        <v>79</v>
      </c>
      <c r="G1606" s="298"/>
      <c r="H1606" s="42" t="s">
        <v>376</v>
      </c>
      <c r="I1606" s="43">
        <v>5.5599999999999997E-2</v>
      </c>
      <c r="J1606" s="44">
        <v>10</v>
      </c>
      <c r="K1606" s="45">
        <v>46326</v>
      </c>
      <c r="L1606" s="44">
        <v>10</v>
      </c>
      <c r="M1606" s="44">
        <v>0</v>
      </c>
      <c r="N1606" s="44">
        <v>0</v>
      </c>
      <c r="O1606" s="46" t="s">
        <v>304</v>
      </c>
      <c r="P1606" s="47">
        <v>0.15625</v>
      </c>
      <c r="Q1606" s="44">
        <v>180</v>
      </c>
      <c r="R1606" s="48" t="s">
        <v>448</v>
      </c>
    </row>
    <row r="1607" spans="1:18" ht="15" customHeight="1">
      <c r="A1607" s="154" t="s">
        <v>61</v>
      </c>
      <c r="B1607" s="154" t="s">
        <v>377</v>
      </c>
      <c r="C1607" s="155">
        <v>0.40625</v>
      </c>
      <c r="D1607" s="154" t="s">
        <v>63</v>
      </c>
      <c r="E1607" s="154" t="s">
        <v>91</v>
      </c>
      <c r="F1607" s="154" t="s">
        <v>79</v>
      </c>
      <c r="G1607" s="298"/>
      <c r="H1607" s="69" t="s">
        <v>378</v>
      </c>
      <c r="I1607" s="70">
        <v>6.1100000000000002E-2</v>
      </c>
      <c r="J1607" s="71">
        <v>11</v>
      </c>
      <c r="K1607" s="72">
        <v>46326</v>
      </c>
      <c r="L1607" s="71">
        <v>11</v>
      </c>
      <c r="M1607" s="71">
        <v>0</v>
      </c>
      <c r="N1607" s="71">
        <v>0</v>
      </c>
      <c r="O1607" s="73" t="s">
        <v>298</v>
      </c>
      <c r="P1607" s="74">
        <v>0.40625</v>
      </c>
      <c r="Q1607" s="71">
        <v>180</v>
      </c>
      <c r="R1607" s="75" t="s">
        <v>531</v>
      </c>
    </row>
    <row r="1608" spans="1:18" ht="15" customHeight="1">
      <c r="A1608" s="150" t="s">
        <v>61</v>
      </c>
      <c r="B1608" s="150" t="s">
        <v>364</v>
      </c>
      <c r="C1608" s="151">
        <v>0.9375</v>
      </c>
      <c r="D1608" s="150" t="s">
        <v>63</v>
      </c>
      <c r="E1608" s="150" t="s">
        <v>57</v>
      </c>
      <c r="F1608" s="150" t="s">
        <v>449</v>
      </c>
      <c r="G1608" s="298"/>
      <c r="H1608" s="80" t="s">
        <v>366</v>
      </c>
      <c r="I1608" s="81">
        <v>0.2167</v>
      </c>
      <c r="J1608" s="82">
        <v>39</v>
      </c>
      <c r="K1608" s="83">
        <v>46343</v>
      </c>
      <c r="L1608" s="82">
        <v>15</v>
      </c>
      <c r="M1608" s="82">
        <v>0</v>
      </c>
      <c r="N1608" s="82">
        <v>0</v>
      </c>
      <c r="O1608" s="84" t="s">
        <v>67</v>
      </c>
      <c r="P1608" s="85">
        <v>0.9375</v>
      </c>
      <c r="Q1608" s="82">
        <v>180</v>
      </c>
      <c r="R1608" s="86" t="s">
        <v>532</v>
      </c>
    </row>
    <row r="1609" spans="1:18" ht="15" customHeight="1">
      <c r="A1609" s="162" t="s">
        <v>61</v>
      </c>
      <c r="B1609" s="162" t="s">
        <v>379</v>
      </c>
      <c r="C1609" s="163">
        <v>0.5625</v>
      </c>
      <c r="D1609" s="162" t="s">
        <v>63</v>
      </c>
      <c r="E1609" s="162" t="s">
        <v>57</v>
      </c>
      <c r="F1609" s="162" t="s">
        <v>449</v>
      </c>
      <c r="G1609" s="298"/>
      <c r="H1609" s="60" t="s">
        <v>380</v>
      </c>
      <c r="I1609" s="61">
        <v>7.22E-2</v>
      </c>
      <c r="J1609" s="62">
        <v>13</v>
      </c>
      <c r="K1609" s="63">
        <v>46339</v>
      </c>
      <c r="L1609" s="62">
        <v>13</v>
      </c>
      <c r="M1609" s="62">
        <v>0</v>
      </c>
      <c r="N1609" s="62">
        <v>0</v>
      </c>
      <c r="O1609" s="64" t="s">
        <v>67</v>
      </c>
      <c r="P1609" s="65">
        <v>0.5625</v>
      </c>
      <c r="Q1609" s="62">
        <v>180</v>
      </c>
      <c r="R1609" s="66" t="s">
        <v>533</v>
      </c>
    </row>
    <row r="1610" spans="1:18" ht="15" customHeight="1">
      <c r="A1610" s="19" t="s">
        <v>26</v>
      </c>
      <c r="B1610" s="19" t="s">
        <v>354</v>
      </c>
      <c r="C1610" s="20">
        <v>0.34722222222222232</v>
      </c>
      <c r="D1610" s="19" t="s">
        <v>28</v>
      </c>
      <c r="E1610" s="19" t="s">
        <v>107</v>
      </c>
      <c r="F1610" s="19" t="s">
        <v>79</v>
      </c>
      <c r="G1610" s="298"/>
      <c r="H1610" s="10"/>
      <c r="I1610" s="11"/>
      <c r="J1610" s="11"/>
      <c r="K1610" s="11"/>
      <c r="L1610" s="11"/>
      <c r="M1610" s="11"/>
      <c r="N1610" s="11"/>
      <c r="O1610" s="12"/>
      <c r="P1610" s="11"/>
      <c r="Q1610" s="13"/>
      <c r="R1610" s="14"/>
    </row>
    <row r="1611" spans="1:18" ht="15" customHeight="1">
      <c r="A1611" s="15" t="s">
        <v>26</v>
      </c>
      <c r="B1611" s="15" t="s">
        <v>354</v>
      </c>
      <c r="C1611" s="16">
        <v>0.34722222222222232</v>
      </c>
      <c r="D1611" s="15" t="s">
        <v>31</v>
      </c>
      <c r="E1611" s="15" t="s">
        <v>108</v>
      </c>
      <c r="F1611" s="15" t="s">
        <v>123</v>
      </c>
      <c r="G1611" s="298"/>
      <c r="H1611" s="10"/>
      <c r="I1611" s="11"/>
      <c r="J1611" s="11"/>
      <c r="K1611" s="11"/>
      <c r="L1611" s="11"/>
      <c r="M1611" s="11"/>
      <c r="N1611" s="11"/>
      <c r="O1611" s="12"/>
      <c r="P1611" s="11"/>
      <c r="Q1611" s="13"/>
      <c r="R1611" s="14"/>
    </row>
    <row r="1612" spans="1:18" ht="15" customHeight="1">
      <c r="A1612" s="15" t="s">
        <v>26</v>
      </c>
      <c r="B1612" s="15" t="s">
        <v>354</v>
      </c>
      <c r="C1612" s="16">
        <v>0.34722222222222232</v>
      </c>
      <c r="D1612" s="15" t="s">
        <v>34</v>
      </c>
      <c r="E1612" s="15" t="s">
        <v>108</v>
      </c>
      <c r="F1612" s="15" t="s">
        <v>118</v>
      </c>
      <c r="G1612" s="298"/>
      <c r="H1612" s="10"/>
      <c r="I1612" s="11"/>
      <c r="J1612" s="11"/>
      <c r="K1612" s="11"/>
      <c r="L1612" s="11"/>
      <c r="M1612" s="11"/>
      <c r="N1612" s="11"/>
      <c r="O1612" s="12"/>
      <c r="P1612" s="11"/>
      <c r="Q1612" s="13"/>
      <c r="R1612" s="14"/>
    </row>
    <row r="1613" spans="1:18" ht="15" customHeight="1">
      <c r="A1613" s="17" t="s">
        <v>26</v>
      </c>
      <c r="B1613" s="17" t="s">
        <v>348</v>
      </c>
      <c r="C1613" s="18">
        <v>0.99305555555555547</v>
      </c>
      <c r="D1613" s="17" t="s">
        <v>28</v>
      </c>
      <c r="E1613" s="17" t="s">
        <v>91</v>
      </c>
      <c r="F1613" s="17" t="s">
        <v>79</v>
      </c>
      <c r="G1613" s="298"/>
      <c r="H1613" s="10"/>
      <c r="I1613" s="11"/>
      <c r="J1613" s="11"/>
      <c r="K1613" s="11"/>
      <c r="L1613" s="11"/>
      <c r="M1613" s="11"/>
      <c r="N1613" s="11"/>
      <c r="O1613" s="12"/>
      <c r="P1613" s="11"/>
      <c r="Q1613" s="13"/>
      <c r="R1613" s="14"/>
    </row>
    <row r="1614" spans="1:18" ht="15" customHeight="1">
      <c r="A1614" s="15" t="s">
        <v>26</v>
      </c>
      <c r="B1614" s="15" t="s">
        <v>348</v>
      </c>
      <c r="C1614" s="16">
        <v>0.99305555555555547</v>
      </c>
      <c r="D1614" s="15" t="s">
        <v>31</v>
      </c>
      <c r="E1614" s="15" t="s">
        <v>92</v>
      </c>
      <c r="F1614" s="15" t="s">
        <v>123</v>
      </c>
      <c r="G1614" s="298"/>
      <c r="H1614" s="10"/>
      <c r="I1614" s="11"/>
      <c r="J1614" s="11"/>
      <c r="K1614" s="11"/>
      <c r="L1614" s="11"/>
      <c r="M1614" s="11"/>
      <c r="N1614" s="11"/>
      <c r="O1614" s="12"/>
      <c r="P1614" s="11"/>
      <c r="Q1614" s="13"/>
      <c r="R1614" s="14"/>
    </row>
    <row r="1615" spans="1:18" ht="15" customHeight="1">
      <c r="A1615" s="15" t="s">
        <v>26</v>
      </c>
      <c r="B1615" s="15" t="s">
        <v>348</v>
      </c>
      <c r="C1615" s="16">
        <v>0.99305555555555547</v>
      </c>
      <c r="D1615" s="15" t="s">
        <v>34</v>
      </c>
      <c r="E1615" s="15" t="s">
        <v>92</v>
      </c>
      <c r="F1615" s="15" t="s">
        <v>118</v>
      </c>
      <c r="G1615" s="298"/>
      <c r="H1615" s="10"/>
      <c r="I1615" s="11"/>
      <c r="J1615" s="11"/>
      <c r="K1615" s="11"/>
      <c r="L1615" s="11"/>
      <c r="M1615" s="11"/>
      <c r="N1615" s="11"/>
      <c r="O1615" s="12"/>
      <c r="P1615" s="11"/>
      <c r="Q1615" s="13"/>
      <c r="R1615" s="14"/>
    </row>
    <row r="1616" spans="1:18" ht="15" customHeight="1">
      <c r="A1616" s="17" t="s">
        <v>26</v>
      </c>
      <c r="B1616" s="17" t="s">
        <v>356</v>
      </c>
      <c r="C1616" s="18">
        <v>0.4861111111111111</v>
      </c>
      <c r="D1616" s="17" t="s">
        <v>28</v>
      </c>
      <c r="E1616" s="17" t="s">
        <v>134</v>
      </c>
      <c r="F1616" s="17" t="s">
        <v>79</v>
      </c>
      <c r="G1616" s="298"/>
      <c r="H1616" s="10"/>
      <c r="I1616" s="11"/>
      <c r="J1616" s="11"/>
      <c r="K1616" s="11"/>
      <c r="L1616" s="11"/>
      <c r="M1616" s="11"/>
      <c r="N1616" s="11"/>
      <c r="O1616" s="12"/>
      <c r="P1616" s="11"/>
      <c r="Q1616" s="13"/>
      <c r="R1616" s="14"/>
    </row>
    <row r="1617" spans="1:18" ht="15" customHeight="1">
      <c r="A1617" s="15" t="s">
        <v>26</v>
      </c>
      <c r="B1617" s="15" t="s">
        <v>356</v>
      </c>
      <c r="C1617" s="16">
        <v>0.4861111111111111</v>
      </c>
      <c r="D1617" s="15" t="s">
        <v>31</v>
      </c>
      <c r="E1617" s="15" t="s">
        <v>135</v>
      </c>
      <c r="F1617" s="15" t="s">
        <v>123</v>
      </c>
      <c r="G1617" s="298"/>
      <c r="H1617" s="10"/>
      <c r="I1617" s="11"/>
      <c r="J1617" s="11"/>
      <c r="K1617" s="11"/>
      <c r="L1617" s="11"/>
      <c r="M1617" s="11"/>
      <c r="N1617" s="11"/>
      <c r="O1617" s="12"/>
      <c r="P1617" s="11"/>
      <c r="Q1617" s="13"/>
      <c r="R1617" s="14"/>
    </row>
    <row r="1618" spans="1:18" ht="15" customHeight="1">
      <c r="A1618" s="15" t="s">
        <v>26</v>
      </c>
      <c r="B1618" s="15" t="s">
        <v>356</v>
      </c>
      <c r="C1618" s="16">
        <v>0.4861111111111111</v>
      </c>
      <c r="D1618" s="15" t="s">
        <v>34</v>
      </c>
      <c r="E1618" s="15" t="s">
        <v>135</v>
      </c>
      <c r="F1618" s="15" t="s">
        <v>118</v>
      </c>
      <c r="G1618" s="298"/>
      <c r="H1618" s="10"/>
      <c r="I1618" s="11"/>
      <c r="J1618" s="11"/>
      <c r="K1618" s="11"/>
      <c r="L1618" s="11"/>
      <c r="M1618" s="11"/>
      <c r="N1618" s="11"/>
      <c r="O1618" s="12"/>
      <c r="P1618" s="11"/>
      <c r="Q1618" s="13"/>
      <c r="R1618" s="14"/>
    </row>
    <row r="1619" spans="1:18" ht="15" customHeight="1">
      <c r="A1619" s="17" t="s">
        <v>26</v>
      </c>
      <c r="B1619" s="17" t="s">
        <v>350</v>
      </c>
      <c r="C1619" s="18">
        <v>0.73611111111111116</v>
      </c>
      <c r="D1619" s="17" t="s">
        <v>28</v>
      </c>
      <c r="E1619" s="17" t="s">
        <v>90</v>
      </c>
      <c r="F1619" s="17" t="s">
        <v>45</v>
      </c>
      <c r="G1619" s="298"/>
      <c r="H1619" s="10"/>
      <c r="I1619" s="11"/>
      <c r="J1619" s="11"/>
      <c r="K1619" s="11"/>
      <c r="L1619" s="11"/>
      <c r="M1619" s="11"/>
      <c r="N1619" s="11"/>
      <c r="O1619" s="12"/>
      <c r="P1619" s="11"/>
      <c r="Q1619" s="13"/>
      <c r="R1619" s="14"/>
    </row>
    <row r="1620" spans="1:18" ht="15" customHeight="1">
      <c r="A1620" s="15" t="s">
        <v>26</v>
      </c>
      <c r="B1620" s="15" t="s">
        <v>350</v>
      </c>
      <c r="C1620" s="16">
        <v>0.73611111111111116</v>
      </c>
      <c r="D1620" s="15" t="s">
        <v>31</v>
      </c>
      <c r="E1620" s="15" t="s">
        <v>82</v>
      </c>
      <c r="F1620" s="15" t="s">
        <v>355</v>
      </c>
      <c r="G1620" s="298"/>
      <c r="H1620" s="10"/>
      <c r="I1620" s="11"/>
      <c r="J1620" s="11"/>
      <c r="K1620" s="11"/>
      <c r="L1620" s="11"/>
      <c r="M1620" s="11"/>
      <c r="N1620" s="11"/>
      <c r="O1620" s="12"/>
      <c r="P1620" s="11"/>
      <c r="Q1620" s="13"/>
      <c r="R1620" s="14"/>
    </row>
    <row r="1621" spans="1:18" ht="15" customHeight="1">
      <c r="A1621" s="15" t="s">
        <v>26</v>
      </c>
      <c r="B1621" s="15" t="s">
        <v>350</v>
      </c>
      <c r="C1621" s="16">
        <v>0.73611111111111116</v>
      </c>
      <c r="D1621" s="15" t="s">
        <v>34</v>
      </c>
      <c r="E1621" s="15" t="s">
        <v>82</v>
      </c>
      <c r="F1621" s="15" t="s">
        <v>358</v>
      </c>
      <c r="G1621" s="298"/>
      <c r="H1621" s="10"/>
      <c r="I1621" s="11"/>
      <c r="J1621" s="11"/>
      <c r="K1621" s="11"/>
      <c r="L1621" s="11"/>
      <c r="M1621" s="11"/>
      <c r="N1621" s="11"/>
      <c r="O1621" s="12"/>
      <c r="P1621" s="11"/>
      <c r="Q1621" s="13"/>
      <c r="R1621" s="14"/>
    </row>
    <row r="1622" spans="1:18" ht="15" customHeight="1">
      <c r="A1622" s="17" t="s">
        <v>26</v>
      </c>
      <c r="B1622" s="17" t="s">
        <v>352</v>
      </c>
      <c r="C1622" s="18">
        <v>0.94444444444444453</v>
      </c>
      <c r="D1622" s="17" t="s">
        <v>28</v>
      </c>
      <c r="E1622" s="17" t="s">
        <v>91</v>
      </c>
      <c r="F1622" s="17" t="s">
        <v>45</v>
      </c>
      <c r="G1622" s="298"/>
      <c r="H1622" s="10"/>
      <c r="I1622" s="11"/>
      <c r="J1622" s="11"/>
      <c r="K1622" s="11"/>
      <c r="L1622" s="11"/>
      <c r="M1622" s="11"/>
      <c r="N1622" s="11"/>
      <c r="O1622" s="12"/>
      <c r="P1622" s="11"/>
      <c r="Q1622" s="13"/>
      <c r="R1622" s="14"/>
    </row>
    <row r="1623" spans="1:18" ht="15" customHeight="1">
      <c r="A1623" s="15" t="s">
        <v>26</v>
      </c>
      <c r="B1623" s="15" t="s">
        <v>352</v>
      </c>
      <c r="C1623" s="16">
        <v>0.94444444444444453</v>
      </c>
      <c r="D1623" s="15" t="s">
        <v>31</v>
      </c>
      <c r="E1623" s="15" t="s">
        <v>92</v>
      </c>
      <c r="F1623" s="15" t="s">
        <v>355</v>
      </c>
      <c r="G1623" s="298"/>
      <c r="H1623" s="10"/>
      <c r="I1623" s="11"/>
      <c r="J1623" s="11"/>
      <c r="K1623" s="11"/>
      <c r="L1623" s="11"/>
      <c r="M1623" s="11"/>
      <c r="N1623" s="11"/>
      <c r="O1623" s="12"/>
      <c r="P1623" s="11"/>
      <c r="Q1623" s="13"/>
      <c r="R1623" s="14"/>
    </row>
    <row r="1624" spans="1:18" ht="15" customHeight="1">
      <c r="A1624" s="15" t="s">
        <v>26</v>
      </c>
      <c r="B1624" s="15" t="s">
        <v>352</v>
      </c>
      <c r="C1624" s="16">
        <v>0.94444444444444453</v>
      </c>
      <c r="D1624" s="15" t="s">
        <v>34</v>
      </c>
      <c r="E1624" s="15" t="s">
        <v>92</v>
      </c>
      <c r="F1624" s="15" t="s">
        <v>358</v>
      </c>
      <c r="G1624" s="298"/>
      <c r="H1624" s="10"/>
      <c r="I1624" s="11"/>
      <c r="J1624" s="11"/>
      <c r="K1624" s="11"/>
      <c r="L1624" s="11"/>
      <c r="M1624" s="11"/>
      <c r="N1624" s="11"/>
      <c r="O1624" s="12"/>
      <c r="P1624" s="11"/>
      <c r="Q1624" s="13"/>
      <c r="R1624" s="14"/>
    </row>
    <row r="1625" spans="1:18" ht="15" customHeight="1">
      <c r="A1625" s="17" t="s">
        <v>26</v>
      </c>
      <c r="B1625" s="17" t="s">
        <v>357</v>
      </c>
      <c r="C1625" s="18">
        <v>0.3923611111111111</v>
      </c>
      <c r="D1625" s="17" t="s">
        <v>28</v>
      </c>
      <c r="E1625" s="17" t="s">
        <v>200</v>
      </c>
      <c r="F1625" s="17" t="s">
        <v>45</v>
      </c>
      <c r="G1625" s="298"/>
      <c r="H1625" s="10"/>
      <c r="I1625" s="11"/>
      <c r="J1625" s="11"/>
      <c r="K1625" s="11"/>
      <c r="L1625" s="11"/>
      <c r="M1625" s="11"/>
      <c r="N1625" s="11"/>
      <c r="O1625" s="12"/>
      <c r="P1625" s="11"/>
      <c r="Q1625" s="13"/>
      <c r="R1625" s="14"/>
    </row>
    <row r="1626" spans="1:18" ht="15" customHeight="1">
      <c r="A1626" s="15" t="s">
        <v>26</v>
      </c>
      <c r="B1626" s="15" t="s">
        <v>357</v>
      </c>
      <c r="C1626" s="16">
        <v>0.3923611111111111</v>
      </c>
      <c r="D1626" s="15" t="s">
        <v>31</v>
      </c>
      <c r="E1626" s="15" t="s">
        <v>127</v>
      </c>
      <c r="F1626" s="15" t="s">
        <v>355</v>
      </c>
      <c r="G1626" s="298"/>
      <c r="H1626" s="10"/>
      <c r="I1626" s="11"/>
      <c r="J1626" s="11"/>
      <c r="K1626" s="11"/>
      <c r="L1626" s="11"/>
      <c r="M1626" s="11"/>
      <c r="N1626" s="11"/>
      <c r="O1626" s="12"/>
      <c r="P1626" s="11"/>
      <c r="Q1626" s="13"/>
      <c r="R1626" s="14"/>
    </row>
    <row r="1627" spans="1:18" ht="15" customHeight="1">
      <c r="A1627" s="15" t="s">
        <v>26</v>
      </c>
      <c r="B1627" s="15" t="s">
        <v>357</v>
      </c>
      <c r="C1627" s="16">
        <v>0.3923611111111111</v>
      </c>
      <c r="D1627" s="15" t="s">
        <v>34</v>
      </c>
      <c r="E1627" s="15" t="s">
        <v>127</v>
      </c>
      <c r="F1627" s="15" t="s">
        <v>358</v>
      </c>
      <c r="G1627" s="298"/>
      <c r="H1627" s="10"/>
      <c r="I1627" s="11"/>
      <c r="J1627" s="11"/>
      <c r="K1627" s="11"/>
      <c r="L1627" s="11"/>
      <c r="M1627" s="11"/>
      <c r="N1627" s="11"/>
      <c r="O1627" s="12"/>
      <c r="P1627" s="11"/>
      <c r="Q1627" s="13"/>
      <c r="R1627" s="14"/>
    </row>
    <row r="1628" spans="1:18" ht="15" customHeight="1">
      <c r="A1628" s="17" t="s">
        <v>26</v>
      </c>
      <c r="B1628" s="17" t="s">
        <v>353</v>
      </c>
      <c r="C1628" s="18">
        <v>0.88888888888888884</v>
      </c>
      <c r="D1628" s="17" t="s">
        <v>28</v>
      </c>
      <c r="E1628" s="17" t="s">
        <v>427</v>
      </c>
      <c r="F1628" s="17" t="s">
        <v>45</v>
      </c>
      <c r="G1628" s="298"/>
      <c r="H1628" s="10"/>
      <c r="I1628" s="11"/>
      <c r="J1628" s="11"/>
      <c r="K1628" s="11"/>
      <c r="L1628" s="11"/>
      <c r="M1628" s="11"/>
      <c r="N1628" s="11"/>
      <c r="O1628" s="12"/>
      <c r="P1628" s="11"/>
      <c r="Q1628" s="13"/>
      <c r="R1628" s="14"/>
    </row>
    <row r="1629" spans="1:18" ht="15" customHeight="1">
      <c r="A1629" s="15" t="s">
        <v>26</v>
      </c>
      <c r="B1629" s="15" t="s">
        <v>353</v>
      </c>
      <c r="C1629" s="16">
        <v>0.88888888888888884</v>
      </c>
      <c r="D1629" s="15" t="s">
        <v>31</v>
      </c>
      <c r="E1629" s="15" t="s">
        <v>115</v>
      </c>
      <c r="F1629" s="15" t="s">
        <v>355</v>
      </c>
      <c r="G1629" s="298"/>
      <c r="H1629" s="10"/>
      <c r="I1629" s="11"/>
      <c r="J1629" s="11"/>
      <c r="K1629" s="11"/>
      <c r="L1629" s="11"/>
      <c r="M1629" s="11"/>
      <c r="N1629" s="11"/>
      <c r="O1629" s="12"/>
      <c r="P1629" s="11"/>
      <c r="Q1629" s="13"/>
      <c r="R1629" s="14"/>
    </row>
    <row r="1630" spans="1:18" ht="15" customHeight="1">
      <c r="A1630" s="15" t="s">
        <v>26</v>
      </c>
      <c r="B1630" s="15" t="s">
        <v>353</v>
      </c>
      <c r="C1630" s="16">
        <v>0.88888888888888884</v>
      </c>
      <c r="D1630" s="15" t="s">
        <v>34</v>
      </c>
      <c r="E1630" s="15" t="s">
        <v>115</v>
      </c>
      <c r="F1630" s="15" t="s">
        <v>358</v>
      </c>
      <c r="G1630" s="298"/>
      <c r="H1630" s="10"/>
      <c r="I1630" s="11"/>
      <c r="J1630" s="11"/>
      <c r="K1630" s="11"/>
      <c r="L1630" s="11"/>
      <c r="M1630" s="11"/>
      <c r="N1630" s="11"/>
      <c r="O1630" s="12"/>
      <c r="P1630" s="11"/>
      <c r="Q1630" s="13"/>
      <c r="R1630" s="14"/>
    </row>
    <row r="1631" spans="1:18" ht="15" customHeight="1">
      <c r="A1631" s="17" t="s">
        <v>26</v>
      </c>
      <c r="B1631" s="17" t="s">
        <v>351</v>
      </c>
      <c r="C1631" s="18">
        <v>0.83680555555555547</v>
      </c>
      <c r="D1631" s="17" t="s">
        <v>28</v>
      </c>
      <c r="E1631" s="17" t="s">
        <v>90</v>
      </c>
      <c r="F1631" s="17" t="s">
        <v>123</v>
      </c>
      <c r="G1631" s="298"/>
      <c r="H1631" s="10"/>
      <c r="I1631" s="11"/>
      <c r="J1631" s="11"/>
      <c r="K1631" s="11"/>
      <c r="L1631" s="11"/>
      <c r="M1631" s="11"/>
      <c r="N1631" s="11"/>
      <c r="O1631" s="12"/>
      <c r="P1631" s="11"/>
      <c r="Q1631" s="13"/>
      <c r="R1631" s="14"/>
    </row>
    <row r="1632" spans="1:18" ht="15" customHeight="1">
      <c r="A1632" s="15" t="s">
        <v>26</v>
      </c>
      <c r="B1632" s="15" t="s">
        <v>351</v>
      </c>
      <c r="C1632" s="16">
        <v>0.83680555555555547</v>
      </c>
      <c r="D1632" s="15" t="s">
        <v>31</v>
      </c>
      <c r="E1632" s="15" t="s">
        <v>82</v>
      </c>
      <c r="F1632" s="15" t="s">
        <v>163</v>
      </c>
      <c r="G1632" s="298"/>
      <c r="H1632" s="10"/>
      <c r="I1632" s="11"/>
      <c r="J1632" s="11"/>
      <c r="K1632" s="11"/>
      <c r="L1632" s="11"/>
      <c r="M1632" s="11"/>
      <c r="N1632" s="11"/>
      <c r="O1632" s="12"/>
      <c r="P1632" s="11"/>
      <c r="Q1632" s="13"/>
      <c r="R1632" s="14"/>
    </row>
    <row r="1633" spans="1:18" ht="15" customHeight="1">
      <c r="A1633" s="15" t="s">
        <v>26</v>
      </c>
      <c r="B1633" s="15" t="s">
        <v>351</v>
      </c>
      <c r="C1633" s="16">
        <v>0.83680555555555547</v>
      </c>
      <c r="D1633" s="15" t="s">
        <v>34</v>
      </c>
      <c r="E1633" s="15" t="s">
        <v>82</v>
      </c>
      <c r="F1633" s="15" t="s">
        <v>119</v>
      </c>
      <c r="G1633" s="298"/>
      <c r="H1633" s="10"/>
      <c r="I1633" s="11"/>
      <c r="J1633" s="11"/>
      <c r="K1633" s="11"/>
      <c r="L1633" s="11"/>
      <c r="M1633" s="11"/>
      <c r="N1633" s="11"/>
      <c r="O1633" s="12"/>
      <c r="P1633" s="11"/>
      <c r="Q1633" s="13"/>
      <c r="R1633" s="14"/>
    </row>
    <row r="1634" spans="1:18" ht="15" customHeight="1">
      <c r="A1634" s="19" t="s">
        <v>48</v>
      </c>
      <c r="B1634" s="19" t="s">
        <v>394</v>
      </c>
      <c r="C1634" s="20">
        <v>0.98958333333333337</v>
      </c>
      <c r="D1634" s="19" t="s">
        <v>53</v>
      </c>
      <c r="E1634" s="19" t="s">
        <v>29</v>
      </c>
      <c r="F1634" s="19" t="s">
        <v>399</v>
      </c>
      <c r="G1634" s="298"/>
      <c r="H1634" s="10"/>
      <c r="I1634" s="11"/>
      <c r="J1634" s="11"/>
      <c r="K1634" s="11"/>
      <c r="L1634" s="11"/>
      <c r="M1634" s="11"/>
      <c r="N1634" s="11"/>
      <c r="O1634" s="12"/>
      <c r="P1634" s="11"/>
      <c r="Q1634" s="13"/>
      <c r="R1634" s="14"/>
    </row>
    <row r="1635" spans="1:18" ht="15" customHeight="1">
      <c r="A1635" s="17" t="s">
        <v>48</v>
      </c>
      <c r="B1635" s="17" t="s">
        <v>396</v>
      </c>
      <c r="C1635" s="18">
        <v>0.48958333333333331</v>
      </c>
      <c r="D1635" s="17" t="s">
        <v>53</v>
      </c>
      <c r="E1635" s="17" t="s">
        <v>37</v>
      </c>
      <c r="F1635" s="17" t="s">
        <v>399</v>
      </c>
      <c r="G1635" s="298"/>
      <c r="H1635" s="10"/>
      <c r="I1635" s="11"/>
      <c r="J1635" s="11"/>
      <c r="K1635" s="11"/>
      <c r="L1635" s="11"/>
      <c r="M1635" s="11"/>
      <c r="N1635" s="11"/>
      <c r="O1635" s="12"/>
      <c r="P1635" s="11"/>
      <c r="Q1635" s="13"/>
      <c r="R1635" s="14"/>
    </row>
    <row r="1636" spans="1:18" ht="15" customHeight="1">
      <c r="A1636" s="17" t="s">
        <v>48</v>
      </c>
      <c r="B1636" s="17" t="s">
        <v>398</v>
      </c>
      <c r="C1636" s="18">
        <v>0.39930555555555558</v>
      </c>
      <c r="D1636" s="17" t="s">
        <v>53</v>
      </c>
      <c r="E1636" s="17" t="s">
        <v>37</v>
      </c>
      <c r="F1636" s="17" t="s">
        <v>464</v>
      </c>
      <c r="G1636" s="298"/>
      <c r="H1636" s="10"/>
      <c r="I1636" s="11"/>
      <c r="J1636" s="11"/>
      <c r="K1636" s="11"/>
      <c r="L1636" s="11"/>
      <c r="M1636" s="11"/>
      <c r="N1636" s="11"/>
      <c r="O1636" s="12"/>
      <c r="P1636" s="11"/>
      <c r="Q1636" s="13"/>
      <c r="R1636" s="14"/>
    </row>
    <row r="1637" spans="1:18" ht="15" customHeight="1">
      <c r="A1637" s="17" t="s">
        <v>48</v>
      </c>
      <c r="B1637" s="17" t="s">
        <v>397</v>
      </c>
      <c r="C1637" s="18">
        <v>0.88888888888888884</v>
      </c>
      <c r="D1637" s="17" t="s">
        <v>53</v>
      </c>
      <c r="E1637" s="17" t="s">
        <v>37</v>
      </c>
      <c r="F1637" s="17" t="s">
        <v>464</v>
      </c>
      <c r="G1637" s="298"/>
      <c r="H1637" s="10"/>
      <c r="I1637" s="11"/>
      <c r="J1637" s="11"/>
      <c r="K1637" s="11"/>
      <c r="L1637" s="11"/>
      <c r="M1637" s="11"/>
      <c r="N1637" s="11"/>
      <c r="O1637" s="12"/>
      <c r="P1637" s="11"/>
      <c r="Q1637" s="13"/>
      <c r="R1637" s="14"/>
    </row>
    <row r="1638" spans="1:18" ht="15" customHeight="1">
      <c r="A1638" s="17" t="s">
        <v>48</v>
      </c>
      <c r="B1638" s="17" t="s">
        <v>391</v>
      </c>
      <c r="C1638" s="18">
        <v>0.48958333333333331</v>
      </c>
      <c r="D1638" s="17" t="s">
        <v>53</v>
      </c>
      <c r="E1638" s="17" t="s">
        <v>57</v>
      </c>
      <c r="F1638" s="17" t="s">
        <v>490</v>
      </c>
      <c r="G1638" s="298"/>
      <c r="H1638" s="10"/>
      <c r="I1638" s="11"/>
      <c r="J1638" s="11"/>
      <c r="K1638" s="11"/>
      <c r="L1638" s="11"/>
      <c r="M1638" s="11"/>
      <c r="N1638" s="11"/>
      <c r="O1638" s="12"/>
      <c r="P1638" s="11"/>
      <c r="Q1638" s="13"/>
      <c r="R1638" s="14"/>
    </row>
    <row r="1639" spans="1:18" ht="15" customHeight="1">
      <c r="A1639" s="17" t="s">
        <v>48</v>
      </c>
      <c r="B1639" s="17" t="s">
        <v>386</v>
      </c>
      <c r="C1639" s="18">
        <v>0.82986111111111116</v>
      </c>
      <c r="D1639" s="17" t="s">
        <v>53</v>
      </c>
      <c r="E1639" s="17" t="s">
        <v>57</v>
      </c>
      <c r="F1639" s="17" t="s">
        <v>490</v>
      </c>
      <c r="G1639" s="298"/>
      <c r="H1639" s="10"/>
      <c r="I1639" s="11"/>
      <c r="J1639" s="11"/>
      <c r="K1639" s="11"/>
      <c r="L1639" s="11"/>
      <c r="M1639" s="11"/>
      <c r="N1639" s="11"/>
      <c r="O1639" s="12"/>
      <c r="P1639" s="11"/>
      <c r="Q1639" s="13"/>
      <c r="R1639" s="14"/>
    </row>
    <row r="1640" spans="1:18" ht="15" customHeight="1">
      <c r="A1640" s="17" t="s">
        <v>48</v>
      </c>
      <c r="B1640" s="17" t="s">
        <v>388</v>
      </c>
      <c r="C1640" s="18">
        <v>0.72222222222222221</v>
      </c>
      <c r="D1640" s="17" t="s">
        <v>53</v>
      </c>
      <c r="E1640" s="17" t="s">
        <v>57</v>
      </c>
      <c r="F1640" s="17" t="s">
        <v>490</v>
      </c>
      <c r="G1640" s="298"/>
      <c r="H1640" s="10"/>
      <c r="I1640" s="11"/>
      <c r="J1640" s="11"/>
      <c r="K1640" s="11"/>
      <c r="L1640" s="11"/>
      <c r="M1640" s="11"/>
      <c r="N1640" s="11"/>
      <c r="O1640" s="12"/>
      <c r="P1640" s="11"/>
      <c r="Q1640" s="13"/>
      <c r="R1640" s="14"/>
    </row>
    <row r="1641" spans="1:18" ht="15" customHeight="1">
      <c r="A1641" s="17" t="s">
        <v>48</v>
      </c>
      <c r="B1641" s="17" t="s">
        <v>382</v>
      </c>
      <c r="C1641" s="18">
        <v>0.11805555555555559</v>
      </c>
      <c r="D1641" s="17" t="s">
        <v>53</v>
      </c>
      <c r="E1641" s="17" t="s">
        <v>57</v>
      </c>
      <c r="F1641" s="17" t="s">
        <v>490</v>
      </c>
      <c r="G1641" s="298"/>
      <c r="H1641" s="10"/>
      <c r="I1641" s="11"/>
      <c r="J1641" s="11"/>
      <c r="K1641" s="11"/>
      <c r="L1641" s="11"/>
      <c r="M1641" s="11"/>
      <c r="N1641" s="11"/>
      <c r="O1641" s="12"/>
      <c r="P1641" s="11"/>
      <c r="Q1641" s="13"/>
      <c r="R1641" s="14"/>
    </row>
    <row r="1642" spans="1:18" ht="15" customHeight="1">
      <c r="A1642" s="17" t="s">
        <v>48</v>
      </c>
      <c r="B1642" s="17" t="s">
        <v>389</v>
      </c>
      <c r="C1642" s="18">
        <v>0.70486111111111116</v>
      </c>
      <c r="D1642" s="17" t="s">
        <v>53</v>
      </c>
      <c r="E1642" s="17" t="s">
        <v>57</v>
      </c>
      <c r="F1642" s="17" t="s">
        <v>490</v>
      </c>
      <c r="G1642" s="298"/>
      <c r="H1642" s="10"/>
      <c r="I1642" s="11"/>
      <c r="J1642" s="11"/>
      <c r="K1642" s="11"/>
      <c r="L1642" s="11"/>
      <c r="M1642" s="11"/>
      <c r="N1642" s="11"/>
      <c r="O1642" s="12"/>
      <c r="P1642" s="11"/>
      <c r="Q1642" s="13"/>
      <c r="R1642" s="14"/>
    </row>
    <row r="1643" spans="1:18" ht="15" customHeight="1">
      <c r="A1643" s="17" t="s">
        <v>48</v>
      </c>
      <c r="B1643" s="17" t="s">
        <v>400</v>
      </c>
      <c r="C1643" s="18">
        <v>0.25347222222222221</v>
      </c>
      <c r="D1643" s="17" t="s">
        <v>53</v>
      </c>
      <c r="E1643" s="17" t="s">
        <v>57</v>
      </c>
      <c r="F1643" s="17" t="s">
        <v>490</v>
      </c>
      <c r="G1643" s="298"/>
      <c r="H1643" s="10"/>
      <c r="I1643" s="11"/>
      <c r="J1643" s="11"/>
      <c r="K1643" s="11"/>
      <c r="L1643" s="11"/>
      <c r="M1643" s="11"/>
      <c r="N1643" s="11"/>
      <c r="O1643" s="12"/>
      <c r="P1643" s="11"/>
      <c r="Q1643" s="13"/>
      <c r="R1643" s="14"/>
    </row>
    <row r="1644" spans="1:18" ht="15" customHeight="1">
      <c r="A1644" s="17" t="s">
        <v>48</v>
      </c>
      <c r="B1644" s="17" t="s">
        <v>390</v>
      </c>
      <c r="C1644" s="18">
        <v>4.1666666666666657E-2</v>
      </c>
      <c r="D1644" s="17" t="s">
        <v>53</v>
      </c>
      <c r="E1644" s="17" t="s">
        <v>57</v>
      </c>
      <c r="F1644" s="17" t="s">
        <v>490</v>
      </c>
      <c r="G1644" s="298"/>
      <c r="H1644" s="10"/>
      <c r="I1644" s="11"/>
      <c r="J1644" s="11"/>
      <c r="K1644" s="11"/>
      <c r="L1644" s="11"/>
      <c r="M1644" s="11"/>
      <c r="N1644" s="11"/>
      <c r="O1644" s="12"/>
      <c r="P1644" s="11"/>
      <c r="Q1644" s="13"/>
      <c r="R1644" s="14"/>
    </row>
    <row r="1645" spans="1:18" ht="15" customHeight="1">
      <c r="A1645" s="17" t="s">
        <v>48</v>
      </c>
      <c r="B1645" s="17" t="s">
        <v>385</v>
      </c>
      <c r="C1645" s="18">
        <v>0.94097222222222221</v>
      </c>
      <c r="D1645" s="17" t="s">
        <v>53</v>
      </c>
      <c r="E1645" s="17" t="s">
        <v>57</v>
      </c>
      <c r="F1645" s="17" t="s">
        <v>490</v>
      </c>
      <c r="G1645" s="298"/>
      <c r="H1645" s="10"/>
      <c r="I1645" s="11"/>
      <c r="J1645" s="11"/>
      <c r="K1645" s="11"/>
      <c r="L1645" s="11"/>
      <c r="M1645" s="11"/>
      <c r="N1645" s="11"/>
      <c r="O1645" s="12"/>
      <c r="P1645" s="11"/>
      <c r="Q1645" s="13"/>
      <c r="R1645" s="14"/>
    </row>
    <row r="1646" spans="1:18" ht="15" customHeight="1">
      <c r="A1646" s="19" t="s">
        <v>415</v>
      </c>
      <c r="B1646" s="19" t="s">
        <v>416</v>
      </c>
      <c r="C1646" s="20">
        <v>0.11805555555555559</v>
      </c>
      <c r="D1646" s="19" t="s">
        <v>63</v>
      </c>
      <c r="E1646" s="19" t="s">
        <v>51</v>
      </c>
      <c r="F1646" s="19" t="s">
        <v>417</v>
      </c>
      <c r="G1646" s="298"/>
      <c r="H1646" s="10"/>
      <c r="I1646" s="11"/>
      <c r="J1646" s="11"/>
      <c r="K1646" s="11"/>
      <c r="L1646" s="11"/>
      <c r="M1646" s="11"/>
      <c r="N1646" s="11"/>
      <c r="O1646" s="12"/>
      <c r="P1646" s="11"/>
      <c r="Q1646" s="13"/>
      <c r="R1646" s="14"/>
    </row>
    <row r="1647" spans="1:18" ht="15" customHeight="1">
      <c r="A1647" s="17" t="s">
        <v>415</v>
      </c>
      <c r="B1647" s="17" t="s">
        <v>418</v>
      </c>
      <c r="C1647" s="18">
        <v>0.4201388888888889</v>
      </c>
      <c r="D1647" s="17" t="s">
        <v>63</v>
      </c>
      <c r="E1647" s="17" t="s">
        <v>57</v>
      </c>
      <c r="F1647" s="17" t="s">
        <v>417</v>
      </c>
      <c r="G1647" s="298"/>
      <c r="H1647" s="10"/>
      <c r="I1647" s="11"/>
      <c r="J1647" s="11"/>
      <c r="K1647" s="11"/>
      <c r="L1647" s="11"/>
      <c r="M1647" s="11"/>
      <c r="N1647" s="11"/>
      <c r="O1647" s="12"/>
      <c r="P1647" s="11"/>
      <c r="Q1647" s="13"/>
      <c r="R1647" s="14"/>
    </row>
    <row r="1648" spans="1:18" ht="15" customHeight="1">
      <c r="A1648" s="19" t="s">
        <v>68</v>
      </c>
      <c r="B1648" s="19" t="s">
        <v>405</v>
      </c>
      <c r="C1648" s="20">
        <v>0.83680555555555547</v>
      </c>
      <c r="D1648" s="19" t="s">
        <v>70</v>
      </c>
      <c r="E1648" s="19" t="s">
        <v>51</v>
      </c>
      <c r="F1648" s="19" t="s">
        <v>524</v>
      </c>
      <c r="G1648" s="298"/>
      <c r="H1648" s="10"/>
      <c r="I1648" s="11"/>
      <c r="J1648" s="11"/>
      <c r="K1648" s="11"/>
      <c r="L1648" s="11"/>
      <c r="M1648" s="11"/>
      <c r="N1648" s="11"/>
      <c r="O1648" s="12"/>
      <c r="P1648" s="11"/>
      <c r="Q1648" s="13"/>
      <c r="R1648" s="14"/>
    </row>
    <row r="1649" spans="1:18" ht="15" customHeight="1">
      <c r="A1649" s="17" t="s">
        <v>68</v>
      </c>
      <c r="B1649" s="17" t="s">
        <v>407</v>
      </c>
      <c r="C1649" s="18">
        <v>0.3125</v>
      </c>
      <c r="D1649" s="17" t="s">
        <v>70</v>
      </c>
      <c r="E1649" s="17" t="s">
        <v>57</v>
      </c>
      <c r="F1649" s="17" t="s">
        <v>524</v>
      </c>
      <c r="G1649" s="298"/>
      <c r="H1649" s="10"/>
      <c r="I1649" s="11"/>
      <c r="J1649" s="11"/>
      <c r="K1649" s="11"/>
      <c r="L1649" s="11"/>
      <c r="M1649" s="11"/>
      <c r="N1649" s="11"/>
      <c r="O1649" s="12"/>
      <c r="P1649" s="11"/>
      <c r="Q1649" s="13"/>
      <c r="R1649" s="14"/>
    </row>
    <row r="1650" spans="1:18" ht="15" customHeight="1">
      <c r="A1650" s="17" t="s">
        <v>68</v>
      </c>
      <c r="B1650" s="17" t="s">
        <v>408</v>
      </c>
      <c r="C1650" s="18">
        <v>0.97222222222222221</v>
      </c>
      <c r="D1650" s="17" t="s">
        <v>70</v>
      </c>
      <c r="E1650" s="17" t="s">
        <v>57</v>
      </c>
      <c r="F1650" s="17" t="s">
        <v>524</v>
      </c>
      <c r="G1650" s="298"/>
      <c r="H1650" s="10"/>
      <c r="I1650" s="11"/>
      <c r="J1650" s="11"/>
      <c r="K1650" s="11"/>
      <c r="L1650" s="11"/>
      <c r="M1650" s="11"/>
      <c r="N1650" s="11"/>
      <c r="O1650" s="12"/>
      <c r="P1650" s="11"/>
      <c r="Q1650" s="13"/>
      <c r="R1650" s="14"/>
    </row>
    <row r="1651" spans="1:18" ht="15" customHeight="1">
      <c r="A1651" s="17" t="s">
        <v>68</v>
      </c>
      <c r="B1651" s="17" t="s">
        <v>409</v>
      </c>
      <c r="C1651" s="18">
        <v>0.34027777777777768</v>
      </c>
      <c r="D1651" s="17" t="s">
        <v>70</v>
      </c>
      <c r="E1651" s="17" t="s">
        <v>57</v>
      </c>
      <c r="F1651" s="17" t="s">
        <v>524</v>
      </c>
      <c r="G1651" s="298"/>
      <c r="H1651" s="10"/>
      <c r="I1651" s="11"/>
      <c r="J1651" s="11"/>
      <c r="K1651" s="11"/>
      <c r="L1651" s="11"/>
      <c r="M1651" s="11"/>
      <c r="N1651" s="11"/>
      <c r="O1651" s="12"/>
      <c r="P1651" s="11"/>
      <c r="Q1651" s="13"/>
      <c r="R1651" s="14"/>
    </row>
    <row r="1652" spans="1:18" ht="15" customHeight="1">
      <c r="A1652" s="17" t="s">
        <v>68</v>
      </c>
      <c r="B1652" s="17" t="s">
        <v>411</v>
      </c>
      <c r="C1652" s="18">
        <v>0.78472222222222221</v>
      </c>
      <c r="D1652" s="17" t="s">
        <v>70</v>
      </c>
      <c r="E1652" s="17" t="s">
        <v>57</v>
      </c>
      <c r="F1652" s="17" t="s">
        <v>524</v>
      </c>
      <c r="G1652" s="298"/>
      <c r="H1652" s="10"/>
      <c r="I1652" s="11"/>
      <c r="J1652" s="11"/>
      <c r="K1652" s="11"/>
      <c r="L1652" s="11"/>
      <c r="M1652" s="11"/>
      <c r="N1652" s="11"/>
      <c r="O1652" s="12"/>
      <c r="P1652" s="11"/>
      <c r="Q1652" s="13"/>
      <c r="R1652" s="14"/>
    </row>
    <row r="1653" spans="1:18" ht="15" customHeight="1">
      <c r="A1653" s="17" t="s">
        <v>68</v>
      </c>
      <c r="B1653" s="17" t="s">
        <v>410</v>
      </c>
      <c r="C1653" s="18">
        <v>0.59722222222222221</v>
      </c>
      <c r="D1653" s="17" t="s">
        <v>70</v>
      </c>
      <c r="E1653" s="17" t="s">
        <v>57</v>
      </c>
      <c r="F1653" s="17" t="s">
        <v>524</v>
      </c>
      <c r="G1653" s="298"/>
      <c r="H1653" s="10"/>
      <c r="I1653" s="11"/>
      <c r="J1653" s="11"/>
      <c r="K1653" s="11"/>
      <c r="L1653" s="11"/>
      <c r="M1653" s="11"/>
      <c r="N1653" s="11"/>
      <c r="O1653" s="12"/>
      <c r="P1653" s="11"/>
      <c r="Q1653" s="13"/>
      <c r="R1653" s="14"/>
    </row>
    <row r="1654" spans="1:18" ht="15" customHeight="1" thickBot="1">
      <c r="A1654" s="30" t="s">
        <v>68</v>
      </c>
      <c r="B1654" s="30" t="s">
        <v>413</v>
      </c>
      <c r="C1654" s="31">
        <v>4.8611111111111112E-2</v>
      </c>
      <c r="D1654" s="30" t="s">
        <v>70</v>
      </c>
      <c r="E1654" s="30" t="s">
        <v>57</v>
      </c>
      <c r="F1654" s="30" t="s">
        <v>524</v>
      </c>
      <c r="G1654" s="299"/>
      <c r="H1654" s="300"/>
      <c r="I1654" s="140"/>
      <c r="J1654" s="140"/>
      <c r="K1654" s="140"/>
      <c r="L1654" s="140"/>
      <c r="M1654" s="140"/>
      <c r="N1654" s="140"/>
      <c r="O1654" s="141"/>
      <c r="P1654" s="140"/>
      <c r="Q1654" s="142"/>
      <c r="R1654" s="301"/>
    </row>
    <row r="1655" spans="1:18" ht="17.45" customHeight="1" thickBot="1">
      <c r="A1655" s="283"/>
      <c r="B1655" s="284"/>
      <c r="C1655" s="284"/>
      <c r="D1655" s="284"/>
      <c r="E1655" s="284"/>
      <c r="F1655" s="284"/>
      <c r="G1655" s="284"/>
      <c r="H1655" s="284"/>
      <c r="I1655" s="284"/>
      <c r="J1655" s="284"/>
      <c r="K1655" s="284"/>
      <c r="L1655" s="284"/>
      <c r="M1655" s="284"/>
      <c r="N1655" s="284"/>
      <c r="O1655" s="284"/>
      <c r="P1655" s="284"/>
      <c r="Q1655" s="284"/>
      <c r="R1655" s="285"/>
    </row>
    <row r="1656" spans="1:18" ht="22.15" customHeight="1" thickTop="1" thickBot="1">
      <c r="A1656" s="279" t="s">
        <v>6</v>
      </c>
      <c r="B1656" s="295"/>
      <c r="C1656" s="295"/>
      <c r="D1656" s="295"/>
      <c r="E1656" s="295"/>
      <c r="F1656" s="296"/>
      <c r="G1656" s="32">
        <v>46045</v>
      </c>
      <c r="H1656" s="278" t="s">
        <v>7</v>
      </c>
      <c r="I1656" s="295"/>
      <c r="J1656" s="295"/>
      <c r="K1656" s="295"/>
      <c r="L1656" s="295"/>
      <c r="M1656" s="295"/>
      <c r="N1656" s="295"/>
      <c r="O1656" s="295"/>
      <c r="P1656" s="295"/>
      <c r="Q1656" s="295"/>
      <c r="R1656" s="296"/>
    </row>
    <row r="1657" spans="1:18" ht="24" customHeight="1">
      <c r="A1657" s="33" t="s">
        <v>8</v>
      </c>
      <c r="B1657" s="33" t="s">
        <v>9</v>
      </c>
      <c r="C1657" s="34" t="s">
        <v>10</v>
      </c>
      <c r="D1657" s="33" t="s">
        <v>11</v>
      </c>
      <c r="E1657" s="33" t="s">
        <v>12</v>
      </c>
      <c r="F1657" s="35" t="s">
        <v>13</v>
      </c>
      <c r="G1657" s="36" t="s">
        <v>14</v>
      </c>
      <c r="H1657" s="33" t="s">
        <v>15</v>
      </c>
      <c r="I1657" s="37" t="s">
        <v>16</v>
      </c>
      <c r="J1657" s="38" t="s">
        <v>17</v>
      </c>
      <c r="K1657" s="39" t="s">
        <v>18</v>
      </c>
      <c r="L1657" s="38" t="s">
        <v>19</v>
      </c>
      <c r="M1657" s="38" t="s">
        <v>20</v>
      </c>
      <c r="N1657" s="38" t="s">
        <v>21</v>
      </c>
      <c r="O1657" s="33" t="s">
        <v>22</v>
      </c>
      <c r="P1657" s="34" t="s">
        <v>23</v>
      </c>
      <c r="Q1657" s="38" t="s">
        <v>24</v>
      </c>
      <c r="R1657" s="33" t="s">
        <v>25</v>
      </c>
    </row>
    <row r="1658" spans="1:18" ht="15" customHeight="1">
      <c r="A1658" s="8" t="s">
        <v>38</v>
      </c>
      <c r="B1658" s="8" t="s">
        <v>342</v>
      </c>
      <c r="C1658" s="9">
        <v>0.48958333333333331</v>
      </c>
      <c r="D1658" s="8" t="s">
        <v>40</v>
      </c>
      <c r="E1658" s="8" t="s">
        <v>94</v>
      </c>
      <c r="F1658" s="8" t="s">
        <v>347</v>
      </c>
      <c r="G1658" s="297"/>
      <c r="H1658" s="10"/>
      <c r="I1658" s="11"/>
      <c r="J1658" s="11"/>
      <c r="K1658" s="11"/>
      <c r="L1658" s="11"/>
      <c r="M1658" s="11"/>
      <c r="N1658" s="11"/>
      <c r="O1658" s="12"/>
      <c r="P1658" s="11"/>
      <c r="Q1658" s="13"/>
      <c r="R1658" s="14"/>
    </row>
    <row r="1659" spans="1:18" ht="15" customHeight="1">
      <c r="A1659" s="15" t="s">
        <v>38</v>
      </c>
      <c r="B1659" s="15" t="s">
        <v>342</v>
      </c>
      <c r="C1659" s="16">
        <v>0.48958333333333331</v>
      </c>
      <c r="D1659" s="15" t="s">
        <v>43</v>
      </c>
      <c r="E1659" s="15" t="s">
        <v>95</v>
      </c>
      <c r="F1659" s="15" t="s">
        <v>138</v>
      </c>
      <c r="G1659" s="298"/>
      <c r="H1659" s="10"/>
      <c r="I1659" s="11"/>
      <c r="J1659" s="11"/>
      <c r="K1659" s="11"/>
      <c r="L1659" s="11"/>
      <c r="M1659" s="11"/>
      <c r="N1659" s="11"/>
      <c r="O1659" s="12"/>
      <c r="P1659" s="11"/>
      <c r="Q1659" s="13"/>
      <c r="R1659" s="14"/>
    </row>
    <row r="1660" spans="1:18" ht="15" customHeight="1">
      <c r="A1660" s="15" t="s">
        <v>38</v>
      </c>
      <c r="B1660" s="15" t="s">
        <v>342</v>
      </c>
      <c r="C1660" s="16">
        <v>0.48958333333333331</v>
      </c>
      <c r="D1660" s="15" t="s">
        <v>46</v>
      </c>
      <c r="E1660" s="15" t="s">
        <v>95</v>
      </c>
      <c r="F1660" s="15" t="s">
        <v>47</v>
      </c>
      <c r="G1660" s="298"/>
      <c r="H1660" s="10"/>
      <c r="I1660" s="11"/>
      <c r="J1660" s="11"/>
      <c r="K1660" s="11"/>
      <c r="L1660" s="11"/>
      <c r="M1660" s="11"/>
      <c r="N1660" s="11"/>
      <c r="O1660" s="12"/>
      <c r="P1660" s="11"/>
      <c r="Q1660" s="13"/>
      <c r="R1660" s="14"/>
    </row>
    <row r="1661" spans="1:18" ht="15" customHeight="1">
      <c r="A1661" s="17" t="s">
        <v>38</v>
      </c>
      <c r="B1661" s="17" t="s">
        <v>346</v>
      </c>
      <c r="C1661" s="18">
        <v>0.39930555555555558</v>
      </c>
      <c r="D1661" s="17" t="s">
        <v>40</v>
      </c>
      <c r="E1661" s="17" t="s">
        <v>125</v>
      </c>
      <c r="F1661" s="17" t="s">
        <v>121</v>
      </c>
      <c r="G1661" s="298"/>
      <c r="H1661" s="10"/>
      <c r="I1661" s="11"/>
      <c r="J1661" s="11"/>
      <c r="K1661" s="11"/>
      <c r="L1661" s="11"/>
      <c r="M1661" s="11"/>
      <c r="N1661" s="11"/>
      <c r="O1661" s="12"/>
      <c r="P1661" s="11"/>
      <c r="Q1661" s="13"/>
      <c r="R1661" s="14"/>
    </row>
    <row r="1662" spans="1:18" ht="15" customHeight="1">
      <c r="A1662" s="15" t="s">
        <v>38</v>
      </c>
      <c r="B1662" s="15" t="s">
        <v>346</v>
      </c>
      <c r="C1662" s="16">
        <v>0.39930555555555558</v>
      </c>
      <c r="D1662" s="15" t="s">
        <v>43</v>
      </c>
      <c r="E1662" s="15" t="s">
        <v>44</v>
      </c>
      <c r="F1662" s="15" t="s">
        <v>123</v>
      </c>
      <c r="G1662" s="298"/>
      <c r="H1662" s="10"/>
      <c r="I1662" s="11"/>
      <c r="J1662" s="11"/>
      <c r="K1662" s="11"/>
      <c r="L1662" s="11"/>
      <c r="M1662" s="11"/>
      <c r="N1662" s="11"/>
      <c r="O1662" s="12"/>
      <c r="P1662" s="11"/>
      <c r="Q1662" s="13"/>
      <c r="R1662" s="14"/>
    </row>
    <row r="1663" spans="1:18" ht="15" customHeight="1">
      <c r="A1663" s="15" t="s">
        <v>38</v>
      </c>
      <c r="B1663" s="15" t="s">
        <v>346</v>
      </c>
      <c r="C1663" s="16">
        <v>0.39930555555555558</v>
      </c>
      <c r="D1663" s="15" t="s">
        <v>46</v>
      </c>
      <c r="E1663" s="15" t="s">
        <v>44</v>
      </c>
      <c r="F1663" s="15" t="s">
        <v>47</v>
      </c>
      <c r="G1663" s="298"/>
      <c r="H1663" s="10"/>
      <c r="I1663" s="11"/>
      <c r="J1663" s="11"/>
      <c r="K1663" s="11"/>
      <c r="L1663" s="11"/>
      <c r="M1663" s="11"/>
      <c r="N1663" s="11"/>
      <c r="O1663" s="12"/>
      <c r="P1663" s="11"/>
      <c r="Q1663" s="13"/>
      <c r="R1663" s="14"/>
    </row>
    <row r="1664" spans="1:18" ht="15" customHeight="1">
      <c r="A1664" s="17" t="s">
        <v>38</v>
      </c>
      <c r="B1664" s="17" t="s">
        <v>344</v>
      </c>
      <c r="C1664" s="18">
        <v>0.88888888888888884</v>
      </c>
      <c r="D1664" s="17" t="s">
        <v>40</v>
      </c>
      <c r="E1664" s="17" t="s">
        <v>194</v>
      </c>
      <c r="F1664" s="17" t="s">
        <v>121</v>
      </c>
      <c r="G1664" s="298"/>
      <c r="H1664" s="10"/>
      <c r="I1664" s="11"/>
      <c r="J1664" s="11"/>
      <c r="K1664" s="11"/>
      <c r="L1664" s="11"/>
      <c r="M1664" s="11"/>
      <c r="N1664" s="11"/>
      <c r="O1664" s="12"/>
      <c r="P1664" s="11"/>
      <c r="Q1664" s="13"/>
      <c r="R1664" s="14"/>
    </row>
    <row r="1665" spans="1:18" ht="15" customHeight="1">
      <c r="A1665" s="15" t="s">
        <v>38</v>
      </c>
      <c r="B1665" s="15" t="s">
        <v>344</v>
      </c>
      <c r="C1665" s="16">
        <v>0.88888888888888884</v>
      </c>
      <c r="D1665" s="15" t="s">
        <v>43</v>
      </c>
      <c r="E1665" s="15" t="s">
        <v>195</v>
      </c>
      <c r="F1665" s="15" t="s">
        <v>123</v>
      </c>
      <c r="G1665" s="298"/>
      <c r="H1665" s="10"/>
      <c r="I1665" s="11"/>
      <c r="J1665" s="11"/>
      <c r="K1665" s="11"/>
      <c r="L1665" s="11"/>
      <c r="M1665" s="11"/>
      <c r="N1665" s="11"/>
      <c r="O1665" s="12"/>
      <c r="P1665" s="11"/>
      <c r="Q1665" s="13"/>
      <c r="R1665" s="14"/>
    </row>
    <row r="1666" spans="1:18" ht="15" customHeight="1">
      <c r="A1666" s="15" t="s">
        <v>38</v>
      </c>
      <c r="B1666" s="15" t="s">
        <v>344</v>
      </c>
      <c r="C1666" s="16">
        <v>0.88888888888888884</v>
      </c>
      <c r="D1666" s="15" t="s">
        <v>46</v>
      </c>
      <c r="E1666" s="15" t="s">
        <v>195</v>
      </c>
      <c r="F1666" s="15" t="s">
        <v>47</v>
      </c>
      <c r="G1666" s="298"/>
      <c r="H1666" s="10"/>
      <c r="I1666" s="11"/>
      <c r="J1666" s="11"/>
      <c r="K1666" s="11"/>
      <c r="L1666" s="11"/>
      <c r="M1666" s="11"/>
      <c r="N1666" s="11"/>
      <c r="O1666" s="12"/>
      <c r="P1666" s="11"/>
      <c r="Q1666" s="13"/>
      <c r="R1666" s="14"/>
    </row>
    <row r="1667" spans="1:18" ht="15" customHeight="1">
      <c r="A1667" s="17" t="s">
        <v>38</v>
      </c>
      <c r="B1667" s="17" t="s">
        <v>345</v>
      </c>
      <c r="C1667" s="18">
        <v>0.98958333333333337</v>
      </c>
      <c r="D1667" s="17" t="s">
        <v>40</v>
      </c>
      <c r="E1667" s="17" t="s">
        <v>442</v>
      </c>
      <c r="F1667" s="17" t="s">
        <v>121</v>
      </c>
      <c r="G1667" s="298"/>
      <c r="H1667" s="10"/>
      <c r="I1667" s="11"/>
      <c r="J1667" s="11"/>
      <c r="K1667" s="11"/>
      <c r="L1667" s="11"/>
      <c r="M1667" s="11"/>
      <c r="N1667" s="11"/>
      <c r="O1667" s="12"/>
      <c r="P1667" s="11"/>
      <c r="Q1667" s="13"/>
      <c r="R1667" s="14"/>
    </row>
    <row r="1668" spans="1:18" ht="15" customHeight="1">
      <c r="A1668" s="15" t="s">
        <v>38</v>
      </c>
      <c r="B1668" s="15" t="s">
        <v>345</v>
      </c>
      <c r="C1668" s="16">
        <v>0.98958333333333337</v>
      </c>
      <c r="D1668" s="15" t="s">
        <v>43</v>
      </c>
      <c r="E1668" s="15" t="s">
        <v>122</v>
      </c>
      <c r="F1668" s="15" t="s">
        <v>123</v>
      </c>
      <c r="G1668" s="298"/>
      <c r="H1668" s="10"/>
      <c r="I1668" s="11"/>
      <c r="J1668" s="11"/>
      <c r="K1668" s="11"/>
      <c r="L1668" s="11"/>
      <c r="M1668" s="11"/>
      <c r="N1668" s="11"/>
      <c r="O1668" s="12"/>
      <c r="P1668" s="11"/>
      <c r="Q1668" s="13"/>
      <c r="R1668" s="14"/>
    </row>
    <row r="1669" spans="1:18" ht="15" customHeight="1">
      <c r="A1669" s="15" t="s">
        <v>38</v>
      </c>
      <c r="B1669" s="15" t="s">
        <v>345</v>
      </c>
      <c r="C1669" s="16">
        <v>0.98958333333333337</v>
      </c>
      <c r="D1669" s="15" t="s">
        <v>46</v>
      </c>
      <c r="E1669" s="15" t="s">
        <v>122</v>
      </c>
      <c r="F1669" s="15" t="s">
        <v>47</v>
      </c>
      <c r="G1669" s="298"/>
      <c r="H1669" s="10"/>
      <c r="I1669" s="11"/>
      <c r="J1669" s="11"/>
      <c r="K1669" s="11"/>
      <c r="L1669" s="11"/>
      <c r="M1669" s="11"/>
      <c r="N1669" s="11"/>
      <c r="O1669" s="12"/>
      <c r="P1669" s="11"/>
      <c r="Q1669" s="13"/>
      <c r="R1669" s="14"/>
    </row>
    <row r="1670" spans="1:18" ht="15" customHeight="1">
      <c r="A1670" s="19" t="s">
        <v>359</v>
      </c>
      <c r="B1670" s="19" t="s">
        <v>422</v>
      </c>
      <c r="C1670" s="20">
        <v>0.80902777777777779</v>
      </c>
      <c r="D1670" s="19" t="s">
        <v>361</v>
      </c>
      <c r="E1670" s="19" t="s">
        <v>80</v>
      </c>
      <c r="F1670" s="19" t="s">
        <v>534</v>
      </c>
      <c r="G1670" s="298"/>
      <c r="H1670" s="10"/>
      <c r="I1670" s="11"/>
      <c r="J1670" s="11"/>
      <c r="K1670" s="11"/>
      <c r="L1670" s="11"/>
      <c r="M1670" s="11"/>
      <c r="N1670" s="11"/>
      <c r="O1670" s="12"/>
      <c r="P1670" s="11"/>
      <c r="Q1670" s="13"/>
      <c r="R1670" s="14"/>
    </row>
    <row r="1671" spans="1:18" ht="15" customHeight="1">
      <c r="A1671" s="15" t="s">
        <v>359</v>
      </c>
      <c r="B1671" s="15" t="s">
        <v>422</v>
      </c>
      <c r="C1671" s="16">
        <v>0.80902777777777779</v>
      </c>
      <c r="D1671" s="15" t="s">
        <v>46</v>
      </c>
      <c r="E1671" s="15" t="s">
        <v>82</v>
      </c>
      <c r="F1671" s="15" t="s">
        <v>535</v>
      </c>
      <c r="G1671" s="298"/>
      <c r="H1671" s="10"/>
      <c r="I1671" s="11"/>
      <c r="J1671" s="11"/>
      <c r="K1671" s="11"/>
      <c r="L1671" s="11"/>
      <c r="M1671" s="11"/>
      <c r="N1671" s="11"/>
      <c r="O1671" s="12"/>
      <c r="P1671" s="11"/>
      <c r="Q1671" s="13"/>
      <c r="R1671" s="14"/>
    </row>
    <row r="1672" spans="1:18" ht="15" customHeight="1">
      <c r="A1672" s="17" t="s">
        <v>359</v>
      </c>
      <c r="B1672" s="17" t="s">
        <v>360</v>
      </c>
      <c r="C1672" s="18">
        <v>0.22569444444444439</v>
      </c>
      <c r="D1672" s="17" t="s">
        <v>361</v>
      </c>
      <c r="E1672" s="17" t="s">
        <v>90</v>
      </c>
      <c r="F1672" s="17" t="s">
        <v>534</v>
      </c>
      <c r="G1672" s="298"/>
      <c r="H1672" s="10"/>
      <c r="I1672" s="11"/>
      <c r="J1672" s="11"/>
      <c r="K1672" s="11"/>
      <c r="L1672" s="11"/>
      <c r="M1672" s="11"/>
      <c r="N1672" s="11"/>
      <c r="O1672" s="12"/>
      <c r="P1672" s="11"/>
      <c r="Q1672" s="13"/>
      <c r="R1672" s="14"/>
    </row>
    <row r="1673" spans="1:18" ht="15" customHeight="1">
      <c r="A1673" s="15" t="s">
        <v>359</v>
      </c>
      <c r="B1673" s="15" t="s">
        <v>360</v>
      </c>
      <c r="C1673" s="16">
        <v>0.22569444444444439</v>
      </c>
      <c r="D1673" s="15" t="s">
        <v>46</v>
      </c>
      <c r="E1673" s="15" t="s">
        <v>82</v>
      </c>
      <c r="F1673" s="15" t="s">
        <v>535</v>
      </c>
      <c r="G1673" s="298"/>
      <c r="H1673" s="10"/>
      <c r="I1673" s="11"/>
      <c r="J1673" s="11"/>
      <c r="K1673" s="11"/>
      <c r="L1673" s="11"/>
      <c r="M1673" s="11"/>
      <c r="N1673" s="11"/>
      <c r="O1673" s="12"/>
      <c r="P1673" s="11"/>
      <c r="Q1673" s="13"/>
      <c r="R1673" s="14"/>
    </row>
    <row r="1674" spans="1:18" ht="15" customHeight="1">
      <c r="A1674" s="17" t="s">
        <v>359</v>
      </c>
      <c r="B1674" s="17" t="s">
        <v>425</v>
      </c>
      <c r="C1674" s="18">
        <v>0.51041666666666663</v>
      </c>
      <c r="D1674" s="17" t="s">
        <v>361</v>
      </c>
      <c r="E1674" s="17" t="s">
        <v>90</v>
      </c>
      <c r="F1674" s="17" t="s">
        <v>504</v>
      </c>
      <c r="G1674" s="298"/>
      <c r="H1674" s="10"/>
      <c r="I1674" s="11"/>
      <c r="J1674" s="11"/>
      <c r="K1674" s="11"/>
      <c r="L1674" s="11"/>
      <c r="M1674" s="11"/>
      <c r="N1674" s="11"/>
      <c r="O1674" s="12"/>
      <c r="P1674" s="11"/>
      <c r="Q1674" s="13"/>
      <c r="R1674" s="14"/>
    </row>
    <row r="1675" spans="1:18" ht="15" customHeight="1">
      <c r="A1675" s="15" t="s">
        <v>359</v>
      </c>
      <c r="B1675" s="15" t="s">
        <v>425</v>
      </c>
      <c r="C1675" s="16">
        <v>0.51041666666666663</v>
      </c>
      <c r="D1675" s="15" t="s">
        <v>46</v>
      </c>
      <c r="E1675" s="15" t="s">
        <v>82</v>
      </c>
      <c r="F1675" s="15" t="s">
        <v>505</v>
      </c>
      <c r="G1675" s="298"/>
      <c r="H1675" s="10"/>
      <c r="I1675" s="11"/>
      <c r="J1675" s="11"/>
      <c r="K1675" s="11"/>
      <c r="L1675" s="11"/>
      <c r="M1675" s="11"/>
      <c r="N1675" s="11"/>
      <c r="O1675" s="12"/>
      <c r="P1675" s="11"/>
      <c r="Q1675" s="13"/>
      <c r="R1675" s="14"/>
    </row>
    <row r="1676" spans="1:18" ht="15" customHeight="1">
      <c r="A1676" s="19" t="s">
        <v>26</v>
      </c>
      <c r="B1676" s="19" t="s">
        <v>348</v>
      </c>
      <c r="C1676" s="20">
        <v>0.99305555555555547</v>
      </c>
      <c r="D1676" s="19" t="s">
        <v>28</v>
      </c>
      <c r="E1676" s="19" t="s">
        <v>156</v>
      </c>
      <c r="F1676" s="19" t="s">
        <v>83</v>
      </c>
      <c r="G1676" s="298"/>
      <c r="H1676" s="10"/>
      <c r="I1676" s="11"/>
      <c r="J1676" s="11"/>
      <c r="K1676" s="11"/>
      <c r="L1676" s="11"/>
      <c r="M1676" s="11"/>
      <c r="N1676" s="11"/>
      <c r="O1676" s="12"/>
      <c r="P1676" s="11"/>
      <c r="Q1676" s="13"/>
      <c r="R1676" s="14"/>
    </row>
    <row r="1677" spans="1:18" ht="15" customHeight="1">
      <c r="A1677" s="15" t="s">
        <v>26</v>
      </c>
      <c r="B1677" s="15" t="s">
        <v>348</v>
      </c>
      <c r="C1677" s="16">
        <v>0.99305555555555547</v>
      </c>
      <c r="D1677" s="15" t="s">
        <v>31</v>
      </c>
      <c r="E1677" s="15" t="s">
        <v>135</v>
      </c>
      <c r="F1677" s="15" t="s">
        <v>159</v>
      </c>
      <c r="G1677" s="298"/>
      <c r="H1677" s="10"/>
      <c r="I1677" s="11"/>
      <c r="J1677" s="11"/>
      <c r="K1677" s="11"/>
      <c r="L1677" s="11"/>
      <c r="M1677" s="11"/>
      <c r="N1677" s="11"/>
      <c r="O1677" s="12"/>
      <c r="P1677" s="11"/>
      <c r="Q1677" s="13"/>
      <c r="R1677" s="14"/>
    </row>
    <row r="1678" spans="1:18" ht="15" customHeight="1">
      <c r="A1678" s="15" t="s">
        <v>26</v>
      </c>
      <c r="B1678" s="15" t="s">
        <v>348</v>
      </c>
      <c r="C1678" s="16">
        <v>0.99305555555555547</v>
      </c>
      <c r="D1678" s="15" t="s">
        <v>34</v>
      </c>
      <c r="E1678" s="15" t="s">
        <v>135</v>
      </c>
      <c r="F1678" s="15" t="s">
        <v>355</v>
      </c>
      <c r="G1678" s="298"/>
      <c r="H1678" s="10"/>
      <c r="I1678" s="11"/>
      <c r="J1678" s="11"/>
      <c r="K1678" s="11"/>
      <c r="L1678" s="11"/>
      <c r="M1678" s="11"/>
      <c r="N1678" s="11"/>
      <c r="O1678" s="12"/>
      <c r="P1678" s="11"/>
      <c r="Q1678" s="13"/>
      <c r="R1678" s="14"/>
    </row>
    <row r="1679" spans="1:18" ht="15" customHeight="1">
      <c r="A1679" s="17" t="s">
        <v>26</v>
      </c>
      <c r="B1679" s="17" t="s">
        <v>351</v>
      </c>
      <c r="C1679" s="18">
        <v>0.83680555555555547</v>
      </c>
      <c r="D1679" s="17" t="s">
        <v>28</v>
      </c>
      <c r="E1679" s="17" t="s">
        <v>200</v>
      </c>
      <c r="F1679" s="17" t="s">
        <v>79</v>
      </c>
      <c r="G1679" s="298"/>
      <c r="H1679" s="10"/>
      <c r="I1679" s="11"/>
      <c r="J1679" s="11"/>
      <c r="K1679" s="11"/>
      <c r="L1679" s="11"/>
      <c r="M1679" s="11"/>
      <c r="N1679" s="11"/>
      <c r="O1679" s="12"/>
      <c r="P1679" s="11"/>
      <c r="Q1679" s="13"/>
      <c r="R1679" s="14"/>
    </row>
    <row r="1680" spans="1:18" ht="15" customHeight="1">
      <c r="A1680" s="15" t="s">
        <v>26</v>
      </c>
      <c r="B1680" s="15" t="s">
        <v>351</v>
      </c>
      <c r="C1680" s="16">
        <v>0.83680555555555547</v>
      </c>
      <c r="D1680" s="15" t="s">
        <v>31</v>
      </c>
      <c r="E1680" s="15" t="s">
        <v>127</v>
      </c>
      <c r="F1680" s="15" t="s">
        <v>123</v>
      </c>
      <c r="G1680" s="298"/>
      <c r="H1680" s="10"/>
      <c r="I1680" s="11"/>
      <c r="J1680" s="11"/>
      <c r="K1680" s="11"/>
      <c r="L1680" s="11"/>
      <c r="M1680" s="11"/>
      <c r="N1680" s="11"/>
      <c r="O1680" s="12"/>
      <c r="P1680" s="11"/>
      <c r="Q1680" s="13"/>
      <c r="R1680" s="14"/>
    </row>
    <row r="1681" spans="1:18" ht="15" customHeight="1">
      <c r="A1681" s="15" t="s">
        <v>26</v>
      </c>
      <c r="B1681" s="15" t="s">
        <v>351</v>
      </c>
      <c r="C1681" s="16">
        <v>0.83680555555555547</v>
      </c>
      <c r="D1681" s="15" t="s">
        <v>34</v>
      </c>
      <c r="E1681" s="15" t="s">
        <v>127</v>
      </c>
      <c r="F1681" s="15" t="s">
        <v>118</v>
      </c>
      <c r="G1681" s="298"/>
      <c r="H1681" s="10"/>
      <c r="I1681" s="11"/>
      <c r="J1681" s="11"/>
      <c r="K1681" s="11"/>
      <c r="L1681" s="11"/>
      <c r="M1681" s="11"/>
      <c r="N1681" s="11"/>
      <c r="O1681" s="12"/>
      <c r="P1681" s="11"/>
      <c r="Q1681" s="13"/>
      <c r="R1681" s="14"/>
    </row>
    <row r="1682" spans="1:18" ht="15" customHeight="1">
      <c r="A1682" s="17" t="s">
        <v>26</v>
      </c>
      <c r="B1682" s="17" t="s">
        <v>353</v>
      </c>
      <c r="C1682" s="18">
        <v>0.88888888888888884</v>
      </c>
      <c r="D1682" s="17" t="s">
        <v>28</v>
      </c>
      <c r="E1682" s="17" t="s">
        <v>98</v>
      </c>
      <c r="F1682" s="17" t="s">
        <v>79</v>
      </c>
      <c r="G1682" s="298"/>
      <c r="H1682" s="10"/>
      <c r="I1682" s="11"/>
      <c r="J1682" s="11"/>
      <c r="K1682" s="11"/>
      <c r="L1682" s="11"/>
      <c r="M1682" s="11"/>
      <c r="N1682" s="11"/>
      <c r="O1682" s="12"/>
      <c r="P1682" s="11"/>
      <c r="Q1682" s="13"/>
      <c r="R1682" s="14"/>
    </row>
    <row r="1683" spans="1:18" ht="15" customHeight="1">
      <c r="A1683" s="15" t="s">
        <v>26</v>
      </c>
      <c r="B1683" s="15" t="s">
        <v>353</v>
      </c>
      <c r="C1683" s="16">
        <v>0.88888888888888884</v>
      </c>
      <c r="D1683" s="15" t="s">
        <v>31</v>
      </c>
      <c r="E1683" s="15" t="s">
        <v>99</v>
      </c>
      <c r="F1683" s="15" t="s">
        <v>123</v>
      </c>
      <c r="G1683" s="298"/>
      <c r="H1683" s="10"/>
      <c r="I1683" s="11"/>
      <c r="J1683" s="11"/>
      <c r="K1683" s="11"/>
      <c r="L1683" s="11"/>
      <c r="M1683" s="11"/>
      <c r="N1683" s="11"/>
      <c r="O1683" s="12"/>
      <c r="P1683" s="11"/>
      <c r="Q1683" s="13"/>
      <c r="R1683" s="14"/>
    </row>
    <row r="1684" spans="1:18" ht="15" customHeight="1">
      <c r="A1684" s="15" t="s">
        <v>26</v>
      </c>
      <c r="B1684" s="15" t="s">
        <v>353</v>
      </c>
      <c r="C1684" s="16">
        <v>0.88888888888888884</v>
      </c>
      <c r="D1684" s="15" t="s">
        <v>34</v>
      </c>
      <c r="E1684" s="15" t="s">
        <v>99</v>
      </c>
      <c r="F1684" s="15" t="s">
        <v>118</v>
      </c>
      <c r="G1684" s="298"/>
      <c r="H1684" s="10"/>
      <c r="I1684" s="11"/>
      <c r="J1684" s="11"/>
      <c r="K1684" s="11"/>
      <c r="L1684" s="11"/>
      <c r="M1684" s="11"/>
      <c r="N1684" s="11"/>
      <c r="O1684" s="12"/>
      <c r="P1684" s="11"/>
      <c r="Q1684" s="13"/>
      <c r="R1684" s="14"/>
    </row>
    <row r="1685" spans="1:18" ht="15" customHeight="1">
      <c r="A1685" s="17" t="s">
        <v>26</v>
      </c>
      <c r="B1685" s="17" t="s">
        <v>352</v>
      </c>
      <c r="C1685" s="18">
        <v>0.94444444444444453</v>
      </c>
      <c r="D1685" s="17" t="s">
        <v>28</v>
      </c>
      <c r="E1685" s="17" t="s">
        <v>37</v>
      </c>
      <c r="F1685" s="17" t="s">
        <v>45</v>
      </c>
      <c r="G1685" s="298"/>
      <c r="H1685" s="10"/>
      <c r="I1685" s="11"/>
      <c r="J1685" s="11"/>
      <c r="K1685" s="11"/>
      <c r="L1685" s="11"/>
      <c r="M1685" s="11"/>
      <c r="N1685" s="11"/>
      <c r="O1685" s="12"/>
      <c r="P1685" s="11"/>
      <c r="Q1685" s="13"/>
      <c r="R1685" s="14"/>
    </row>
    <row r="1686" spans="1:18" ht="15" customHeight="1">
      <c r="A1686" s="15" t="s">
        <v>26</v>
      </c>
      <c r="B1686" s="15" t="s">
        <v>352</v>
      </c>
      <c r="C1686" s="16">
        <v>0.94444444444444453</v>
      </c>
      <c r="D1686" s="15" t="s">
        <v>31</v>
      </c>
      <c r="E1686" s="15" t="s">
        <v>32</v>
      </c>
      <c r="F1686" s="15" t="s">
        <v>355</v>
      </c>
      <c r="G1686" s="298"/>
      <c r="H1686" s="10"/>
      <c r="I1686" s="11"/>
      <c r="J1686" s="11"/>
      <c r="K1686" s="11"/>
      <c r="L1686" s="11"/>
      <c r="M1686" s="11"/>
      <c r="N1686" s="11"/>
      <c r="O1686" s="12"/>
      <c r="P1686" s="11"/>
      <c r="Q1686" s="13"/>
      <c r="R1686" s="14"/>
    </row>
    <row r="1687" spans="1:18" ht="15" customHeight="1">
      <c r="A1687" s="15" t="s">
        <v>26</v>
      </c>
      <c r="B1687" s="15" t="s">
        <v>352</v>
      </c>
      <c r="C1687" s="16">
        <v>0.94444444444444453</v>
      </c>
      <c r="D1687" s="15" t="s">
        <v>34</v>
      </c>
      <c r="E1687" s="15" t="s">
        <v>32</v>
      </c>
      <c r="F1687" s="15" t="s">
        <v>358</v>
      </c>
      <c r="G1687" s="298"/>
      <c r="H1687" s="10"/>
      <c r="I1687" s="11"/>
      <c r="J1687" s="11"/>
      <c r="K1687" s="11"/>
      <c r="L1687" s="11"/>
      <c r="M1687" s="11"/>
      <c r="N1687" s="11"/>
      <c r="O1687" s="12"/>
      <c r="P1687" s="11"/>
      <c r="Q1687" s="13"/>
      <c r="R1687" s="14"/>
    </row>
    <row r="1688" spans="1:18" ht="15" customHeight="1">
      <c r="A1688" s="17" t="s">
        <v>26</v>
      </c>
      <c r="B1688" s="17" t="s">
        <v>356</v>
      </c>
      <c r="C1688" s="18">
        <v>0.4861111111111111</v>
      </c>
      <c r="D1688" s="17" t="s">
        <v>28</v>
      </c>
      <c r="E1688" s="17" t="s">
        <v>435</v>
      </c>
      <c r="F1688" s="17" t="s">
        <v>45</v>
      </c>
      <c r="G1688" s="298"/>
      <c r="H1688" s="10"/>
      <c r="I1688" s="11"/>
      <c r="J1688" s="11"/>
      <c r="K1688" s="11"/>
      <c r="L1688" s="11"/>
      <c r="M1688" s="11"/>
      <c r="N1688" s="11"/>
      <c r="O1688" s="12"/>
      <c r="P1688" s="11"/>
      <c r="Q1688" s="13"/>
      <c r="R1688" s="14"/>
    </row>
    <row r="1689" spans="1:18" ht="15" customHeight="1">
      <c r="A1689" s="15" t="s">
        <v>26</v>
      </c>
      <c r="B1689" s="15" t="s">
        <v>356</v>
      </c>
      <c r="C1689" s="16">
        <v>0.4861111111111111</v>
      </c>
      <c r="D1689" s="15" t="s">
        <v>31</v>
      </c>
      <c r="E1689" s="15" t="s">
        <v>108</v>
      </c>
      <c r="F1689" s="15" t="s">
        <v>355</v>
      </c>
      <c r="G1689" s="298"/>
      <c r="H1689" s="10"/>
      <c r="I1689" s="11"/>
      <c r="J1689" s="11"/>
      <c r="K1689" s="11"/>
      <c r="L1689" s="11"/>
      <c r="M1689" s="11"/>
      <c r="N1689" s="11"/>
      <c r="O1689" s="12"/>
      <c r="P1689" s="11"/>
      <c r="Q1689" s="13"/>
      <c r="R1689" s="14"/>
    </row>
    <row r="1690" spans="1:18" ht="15" customHeight="1">
      <c r="A1690" s="15" t="s">
        <v>26</v>
      </c>
      <c r="B1690" s="15" t="s">
        <v>356</v>
      </c>
      <c r="C1690" s="16">
        <v>0.4861111111111111</v>
      </c>
      <c r="D1690" s="15" t="s">
        <v>34</v>
      </c>
      <c r="E1690" s="15" t="s">
        <v>108</v>
      </c>
      <c r="F1690" s="15" t="s">
        <v>358</v>
      </c>
      <c r="G1690" s="298"/>
      <c r="H1690" s="10"/>
      <c r="I1690" s="11"/>
      <c r="J1690" s="11"/>
      <c r="K1690" s="11"/>
      <c r="L1690" s="11"/>
      <c r="M1690" s="11"/>
      <c r="N1690" s="11"/>
      <c r="O1690" s="12"/>
      <c r="P1690" s="11"/>
      <c r="Q1690" s="13"/>
      <c r="R1690" s="14"/>
    </row>
    <row r="1691" spans="1:18" ht="15" customHeight="1">
      <c r="A1691" s="17" t="s">
        <v>26</v>
      </c>
      <c r="B1691" s="17" t="s">
        <v>357</v>
      </c>
      <c r="C1691" s="18">
        <v>0.55902777777777779</v>
      </c>
      <c r="D1691" s="17" t="s">
        <v>28</v>
      </c>
      <c r="E1691" s="17" t="s">
        <v>37</v>
      </c>
      <c r="F1691" s="17" t="s">
        <v>45</v>
      </c>
      <c r="G1691" s="298"/>
      <c r="H1691" s="10"/>
      <c r="I1691" s="11"/>
      <c r="J1691" s="11"/>
      <c r="K1691" s="11"/>
      <c r="L1691" s="11"/>
      <c r="M1691" s="11"/>
      <c r="N1691" s="11"/>
      <c r="O1691" s="12"/>
      <c r="P1691" s="11"/>
      <c r="Q1691" s="13"/>
      <c r="R1691" s="14"/>
    </row>
    <row r="1692" spans="1:18" ht="15" customHeight="1">
      <c r="A1692" s="15" t="s">
        <v>26</v>
      </c>
      <c r="B1692" s="15" t="s">
        <v>357</v>
      </c>
      <c r="C1692" s="16">
        <v>0.55902777777777779</v>
      </c>
      <c r="D1692" s="15" t="s">
        <v>31</v>
      </c>
      <c r="E1692" s="15" t="s">
        <v>32</v>
      </c>
      <c r="F1692" s="15" t="s">
        <v>355</v>
      </c>
      <c r="G1692" s="298"/>
      <c r="H1692" s="10"/>
      <c r="I1692" s="11"/>
      <c r="J1692" s="11"/>
      <c r="K1692" s="11"/>
      <c r="L1692" s="11"/>
      <c r="M1692" s="11"/>
      <c r="N1692" s="11"/>
      <c r="O1692" s="12"/>
      <c r="P1692" s="11"/>
      <c r="Q1692" s="13"/>
      <c r="R1692" s="14"/>
    </row>
    <row r="1693" spans="1:18" ht="15" customHeight="1">
      <c r="A1693" s="15" t="s">
        <v>26</v>
      </c>
      <c r="B1693" s="15" t="s">
        <v>357</v>
      </c>
      <c r="C1693" s="16">
        <v>0.55902777777777779</v>
      </c>
      <c r="D1693" s="15" t="s">
        <v>34</v>
      </c>
      <c r="E1693" s="15" t="s">
        <v>32</v>
      </c>
      <c r="F1693" s="15" t="s">
        <v>358</v>
      </c>
      <c r="G1693" s="298"/>
      <c r="H1693" s="10"/>
      <c r="I1693" s="11"/>
      <c r="J1693" s="11"/>
      <c r="K1693" s="11"/>
      <c r="L1693" s="11"/>
      <c r="M1693" s="11"/>
      <c r="N1693" s="11"/>
      <c r="O1693" s="12"/>
      <c r="P1693" s="11"/>
      <c r="Q1693" s="13"/>
      <c r="R1693" s="14"/>
    </row>
    <row r="1694" spans="1:18" ht="15" customHeight="1">
      <c r="A1694" s="17" t="s">
        <v>26</v>
      </c>
      <c r="B1694" s="17" t="s">
        <v>354</v>
      </c>
      <c r="C1694" s="18">
        <v>0.34722222222222232</v>
      </c>
      <c r="D1694" s="17" t="s">
        <v>28</v>
      </c>
      <c r="E1694" s="17" t="s">
        <v>90</v>
      </c>
      <c r="F1694" s="17" t="s">
        <v>456</v>
      </c>
      <c r="G1694" s="298"/>
      <c r="H1694" s="10"/>
      <c r="I1694" s="11"/>
      <c r="J1694" s="11"/>
      <c r="K1694" s="11"/>
      <c r="L1694" s="11"/>
      <c r="M1694" s="11"/>
      <c r="N1694" s="11"/>
      <c r="O1694" s="12"/>
      <c r="P1694" s="11"/>
      <c r="Q1694" s="13"/>
      <c r="R1694" s="14"/>
    </row>
    <row r="1695" spans="1:18" ht="15" customHeight="1">
      <c r="A1695" s="15" t="s">
        <v>26</v>
      </c>
      <c r="B1695" s="15" t="s">
        <v>354</v>
      </c>
      <c r="C1695" s="16">
        <v>0.34722222222222232</v>
      </c>
      <c r="D1695" s="15" t="s">
        <v>31</v>
      </c>
      <c r="E1695" s="15" t="s">
        <v>82</v>
      </c>
      <c r="F1695" s="15" t="s">
        <v>106</v>
      </c>
      <c r="G1695" s="298"/>
      <c r="H1695" s="10"/>
      <c r="I1695" s="11"/>
      <c r="J1695" s="11"/>
      <c r="K1695" s="11"/>
      <c r="L1695" s="11"/>
      <c r="M1695" s="11"/>
      <c r="N1695" s="11"/>
      <c r="O1695" s="12"/>
      <c r="P1695" s="11"/>
      <c r="Q1695" s="13"/>
      <c r="R1695" s="14"/>
    </row>
    <row r="1696" spans="1:18" ht="15" customHeight="1">
      <c r="A1696" s="15" t="s">
        <v>26</v>
      </c>
      <c r="B1696" s="15" t="s">
        <v>354</v>
      </c>
      <c r="C1696" s="16">
        <v>0.34722222222222232</v>
      </c>
      <c r="D1696" s="15" t="s">
        <v>34</v>
      </c>
      <c r="E1696" s="15" t="s">
        <v>82</v>
      </c>
      <c r="F1696" s="15" t="s">
        <v>478</v>
      </c>
      <c r="G1696" s="298"/>
      <c r="H1696" s="10"/>
      <c r="I1696" s="11"/>
      <c r="J1696" s="11"/>
      <c r="K1696" s="11"/>
      <c r="L1696" s="11"/>
      <c r="M1696" s="11"/>
      <c r="N1696" s="11"/>
      <c r="O1696" s="12"/>
      <c r="P1696" s="11"/>
      <c r="Q1696" s="13"/>
      <c r="R1696" s="14"/>
    </row>
    <row r="1697" spans="1:18" ht="15" customHeight="1">
      <c r="A1697" s="17" t="s">
        <v>26</v>
      </c>
      <c r="B1697" s="17" t="s">
        <v>350</v>
      </c>
      <c r="C1697" s="18">
        <v>0.73611111111111116</v>
      </c>
      <c r="D1697" s="17" t="s">
        <v>28</v>
      </c>
      <c r="E1697" s="17" t="s">
        <v>427</v>
      </c>
      <c r="F1697" s="17" t="s">
        <v>456</v>
      </c>
      <c r="G1697" s="298"/>
      <c r="H1697" s="10"/>
      <c r="I1697" s="11"/>
      <c r="J1697" s="11"/>
      <c r="K1697" s="11"/>
      <c r="L1697" s="11"/>
      <c r="M1697" s="11"/>
      <c r="N1697" s="11"/>
      <c r="O1697" s="12"/>
      <c r="P1697" s="11"/>
      <c r="Q1697" s="13"/>
      <c r="R1697" s="14"/>
    </row>
    <row r="1698" spans="1:18" ht="15" customHeight="1">
      <c r="A1698" s="15" t="s">
        <v>26</v>
      </c>
      <c r="B1698" s="15" t="s">
        <v>350</v>
      </c>
      <c r="C1698" s="16">
        <v>0.73611111111111116</v>
      </c>
      <c r="D1698" s="15" t="s">
        <v>31</v>
      </c>
      <c r="E1698" s="15" t="s">
        <v>115</v>
      </c>
      <c r="F1698" s="15" t="s">
        <v>106</v>
      </c>
      <c r="G1698" s="298"/>
      <c r="H1698" s="10"/>
      <c r="I1698" s="11"/>
      <c r="J1698" s="11"/>
      <c r="K1698" s="11"/>
      <c r="L1698" s="11"/>
      <c r="M1698" s="11"/>
      <c r="N1698" s="11"/>
      <c r="O1698" s="12"/>
      <c r="P1698" s="11"/>
      <c r="Q1698" s="13"/>
      <c r="R1698" s="14"/>
    </row>
    <row r="1699" spans="1:18" ht="15" customHeight="1">
      <c r="A1699" s="15" t="s">
        <v>26</v>
      </c>
      <c r="B1699" s="15" t="s">
        <v>350</v>
      </c>
      <c r="C1699" s="16">
        <v>0.73611111111111116</v>
      </c>
      <c r="D1699" s="15" t="s">
        <v>34</v>
      </c>
      <c r="E1699" s="15" t="s">
        <v>115</v>
      </c>
      <c r="F1699" s="15" t="s">
        <v>478</v>
      </c>
      <c r="G1699" s="298"/>
      <c r="H1699" s="10"/>
      <c r="I1699" s="11"/>
      <c r="J1699" s="11"/>
      <c r="K1699" s="11"/>
      <c r="L1699" s="11"/>
      <c r="M1699" s="11"/>
      <c r="N1699" s="11"/>
      <c r="O1699" s="12"/>
      <c r="P1699" s="11"/>
      <c r="Q1699" s="13"/>
      <c r="R1699" s="14"/>
    </row>
    <row r="1700" spans="1:18" ht="15" customHeight="1">
      <c r="A1700" s="19" t="s">
        <v>402</v>
      </c>
      <c r="B1700" s="19" t="s">
        <v>403</v>
      </c>
      <c r="C1700" s="20">
        <v>0.49305555555555558</v>
      </c>
      <c r="D1700" s="19" t="s">
        <v>63</v>
      </c>
      <c r="E1700" s="19" t="s">
        <v>29</v>
      </c>
      <c r="F1700" s="19" t="s">
        <v>404</v>
      </c>
      <c r="G1700" s="298"/>
      <c r="H1700" s="10"/>
      <c r="I1700" s="11"/>
      <c r="J1700" s="11"/>
      <c r="K1700" s="11"/>
      <c r="L1700" s="11"/>
      <c r="M1700" s="11"/>
      <c r="N1700" s="11"/>
      <c r="O1700" s="12"/>
      <c r="P1700" s="11"/>
      <c r="Q1700" s="13"/>
      <c r="R1700" s="14"/>
    </row>
    <row r="1701" spans="1:18" ht="15" customHeight="1">
      <c r="A1701" s="49" t="s">
        <v>61</v>
      </c>
      <c r="B1701" s="49" t="s">
        <v>377</v>
      </c>
      <c r="C1701" s="50">
        <v>0.28125</v>
      </c>
      <c r="D1701" s="49" t="s">
        <v>63</v>
      </c>
      <c r="E1701" s="49" t="s">
        <v>103</v>
      </c>
      <c r="F1701" s="49" t="s">
        <v>79</v>
      </c>
      <c r="G1701" s="298"/>
      <c r="H1701" s="51" t="s">
        <v>378</v>
      </c>
      <c r="I1701" s="52">
        <v>7.7799999999999994E-2</v>
      </c>
      <c r="J1701" s="53">
        <v>14</v>
      </c>
      <c r="K1701" s="54">
        <v>46342</v>
      </c>
      <c r="L1701" s="53">
        <v>14</v>
      </c>
      <c r="M1701" s="53">
        <v>0</v>
      </c>
      <c r="N1701" s="53">
        <v>0</v>
      </c>
      <c r="O1701" s="55" t="s">
        <v>306</v>
      </c>
      <c r="P1701" s="56">
        <v>0.28125</v>
      </c>
      <c r="Q1701" s="53">
        <v>180</v>
      </c>
      <c r="R1701" s="57" t="s">
        <v>536</v>
      </c>
    </row>
    <row r="1702" spans="1:18" ht="15" customHeight="1">
      <c r="A1702" s="160" t="s">
        <v>61</v>
      </c>
      <c r="B1702" s="160" t="s">
        <v>379</v>
      </c>
      <c r="C1702" s="161">
        <v>0.4375</v>
      </c>
      <c r="D1702" s="160" t="s">
        <v>63</v>
      </c>
      <c r="E1702" s="160" t="s">
        <v>134</v>
      </c>
      <c r="F1702" s="160" t="s">
        <v>79</v>
      </c>
      <c r="G1702" s="298"/>
      <c r="H1702" s="23" t="s">
        <v>380</v>
      </c>
      <c r="I1702" s="24">
        <v>6.6699999999999995E-2</v>
      </c>
      <c r="J1702" s="25">
        <v>12</v>
      </c>
      <c r="K1702" s="26">
        <v>46340</v>
      </c>
      <c r="L1702" s="25">
        <v>12</v>
      </c>
      <c r="M1702" s="25">
        <v>0</v>
      </c>
      <c r="N1702" s="25">
        <v>0</v>
      </c>
      <c r="O1702" s="27" t="s">
        <v>302</v>
      </c>
      <c r="P1702" s="28">
        <v>0.4375</v>
      </c>
      <c r="Q1702" s="25">
        <v>180</v>
      </c>
      <c r="R1702" s="29" t="s">
        <v>537</v>
      </c>
    </row>
    <row r="1703" spans="1:18" ht="15" customHeight="1">
      <c r="A1703" s="154" t="s">
        <v>61</v>
      </c>
      <c r="B1703" s="154" t="s">
        <v>432</v>
      </c>
      <c r="C1703" s="155">
        <v>0.76041666666666663</v>
      </c>
      <c r="D1703" s="154" t="s">
        <v>63</v>
      </c>
      <c r="E1703" s="154" t="s">
        <v>57</v>
      </c>
      <c r="F1703" s="154" t="s">
        <v>449</v>
      </c>
      <c r="G1703" s="298"/>
      <c r="H1703" s="69" t="s">
        <v>433</v>
      </c>
      <c r="I1703" s="70">
        <v>8.3299999999999999E-2</v>
      </c>
      <c r="J1703" s="71">
        <v>15</v>
      </c>
      <c r="K1703" s="72">
        <v>46337</v>
      </c>
      <c r="L1703" s="71">
        <v>15</v>
      </c>
      <c r="M1703" s="71">
        <v>0</v>
      </c>
      <c r="N1703" s="71">
        <v>0</v>
      </c>
      <c r="O1703" s="73" t="s">
        <v>67</v>
      </c>
      <c r="P1703" s="74">
        <v>0.76041666666666663</v>
      </c>
      <c r="Q1703" s="71">
        <v>180</v>
      </c>
      <c r="R1703" s="75" t="s">
        <v>538</v>
      </c>
    </row>
    <row r="1704" spans="1:18" ht="15" customHeight="1">
      <c r="A1704" s="158" t="s">
        <v>61</v>
      </c>
      <c r="B1704" s="158" t="s">
        <v>428</v>
      </c>
      <c r="C1704" s="159">
        <v>0.55902777777777779</v>
      </c>
      <c r="D1704" s="158" t="s">
        <v>63</v>
      </c>
      <c r="E1704" s="158" t="s">
        <v>57</v>
      </c>
      <c r="F1704" s="158" t="s">
        <v>449</v>
      </c>
      <c r="G1704" s="298"/>
      <c r="H1704" s="89" t="s">
        <v>429</v>
      </c>
      <c r="I1704" s="90">
        <v>7.22E-2</v>
      </c>
      <c r="J1704" s="91">
        <v>13</v>
      </c>
      <c r="K1704" s="92">
        <v>46340</v>
      </c>
      <c r="L1704" s="91">
        <v>13</v>
      </c>
      <c r="M1704" s="91">
        <v>0</v>
      </c>
      <c r="N1704" s="91">
        <v>0</v>
      </c>
      <c r="O1704" s="93" t="s">
        <v>67</v>
      </c>
      <c r="P1704" s="94">
        <v>0.55902777777777779</v>
      </c>
      <c r="Q1704" s="91">
        <v>180</v>
      </c>
      <c r="R1704" s="95" t="s">
        <v>533</v>
      </c>
    </row>
    <row r="1705" spans="1:18" ht="15" customHeight="1">
      <c r="A1705" s="160" t="s">
        <v>61</v>
      </c>
      <c r="B1705" s="160" t="s">
        <v>375</v>
      </c>
      <c r="C1705" s="161">
        <v>0.1423611111111111</v>
      </c>
      <c r="D1705" s="160" t="s">
        <v>63</v>
      </c>
      <c r="E1705" s="160" t="s">
        <v>57</v>
      </c>
      <c r="F1705" s="160" t="s">
        <v>449</v>
      </c>
      <c r="G1705" s="298"/>
      <c r="H1705" s="23" t="s">
        <v>376</v>
      </c>
      <c r="I1705" s="24">
        <v>7.7799999999999994E-2</v>
      </c>
      <c r="J1705" s="25">
        <v>14</v>
      </c>
      <c r="K1705" s="26">
        <v>46342</v>
      </c>
      <c r="L1705" s="25">
        <v>14</v>
      </c>
      <c r="M1705" s="25">
        <v>0</v>
      </c>
      <c r="N1705" s="25">
        <v>0</v>
      </c>
      <c r="O1705" s="27" t="s">
        <v>67</v>
      </c>
      <c r="P1705" s="28">
        <v>0.1423611111111111</v>
      </c>
      <c r="Q1705" s="25">
        <v>180</v>
      </c>
      <c r="R1705" s="29" t="s">
        <v>539</v>
      </c>
    </row>
    <row r="1706" spans="1:18" ht="15" customHeight="1">
      <c r="A1706" s="19" t="s">
        <v>68</v>
      </c>
      <c r="B1706" s="19" t="s">
        <v>405</v>
      </c>
      <c r="C1706" s="20">
        <v>0.83680555555555547</v>
      </c>
      <c r="D1706" s="19" t="s">
        <v>70</v>
      </c>
      <c r="E1706" s="19" t="s">
        <v>51</v>
      </c>
      <c r="F1706" s="19" t="s">
        <v>406</v>
      </c>
      <c r="G1706" s="298"/>
      <c r="H1706" s="10"/>
      <c r="I1706" s="11"/>
      <c r="J1706" s="11"/>
      <c r="K1706" s="11"/>
      <c r="L1706" s="11"/>
      <c r="M1706" s="11"/>
      <c r="N1706" s="11"/>
      <c r="O1706" s="12"/>
      <c r="P1706" s="11"/>
      <c r="Q1706" s="13"/>
      <c r="R1706" s="14"/>
    </row>
    <row r="1707" spans="1:18" ht="15" customHeight="1">
      <c r="A1707" s="17" t="s">
        <v>68</v>
      </c>
      <c r="B1707" s="17" t="s">
        <v>407</v>
      </c>
      <c r="C1707" s="18">
        <v>0.3125</v>
      </c>
      <c r="D1707" s="17" t="s">
        <v>70</v>
      </c>
      <c r="E1707" s="17" t="s">
        <v>91</v>
      </c>
      <c r="F1707" s="17" t="s">
        <v>406</v>
      </c>
      <c r="G1707" s="298"/>
      <c r="H1707" s="10"/>
      <c r="I1707" s="11"/>
      <c r="J1707" s="11"/>
      <c r="K1707" s="11"/>
      <c r="L1707" s="11"/>
      <c r="M1707" s="11"/>
      <c r="N1707" s="11"/>
      <c r="O1707" s="12"/>
      <c r="P1707" s="11"/>
      <c r="Q1707" s="13"/>
      <c r="R1707" s="14"/>
    </row>
    <row r="1708" spans="1:18" ht="15" customHeight="1">
      <c r="A1708" s="17" t="s">
        <v>68</v>
      </c>
      <c r="B1708" s="17" t="s">
        <v>408</v>
      </c>
      <c r="C1708" s="18">
        <v>0.97222222222222221</v>
      </c>
      <c r="D1708" s="17" t="s">
        <v>70</v>
      </c>
      <c r="E1708" s="17" t="s">
        <v>57</v>
      </c>
      <c r="F1708" s="17" t="s">
        <v>406</v>
      </c>
      <c r="G1708" s="298"/>
      <c r="H1708" s="10"/>
      <c r="I1708" s="11"/>
      <c r="J1708" s="11"/>
      <c r="K1708" s="11"/>
      <c r="L1708" s="11"/>
      <c r="M1708" s="11"/>
      <c r="N1708" s="11"/>
      <c r="O1708" s="12"/>
      <c r="P1708" s="11"/>
      <c r="Q1708" s="13"/>
      <c r="R1708" s="14"/>
    </row>
    <row r="1709" spans="1:18" ht="15" customHeight="1">
      <c r="A1709" s="17" t="s">
        <v>68</v>
      </c>
      <c r="B1709" s="17" t="s">
        <v>411</v>
      </c>
      <c r="C1709" s="18">
        <v>0.78472222222222221</v>
      </c>
      <c r="D1709" s="17" t="s">
        <v>70</v>
      </c>
      <c r="E1709" s="17" t="s">
        <v>57</v>
      </c>
      <c r="F1709" s="17" t="s">
        <v>406</v>
      </c>
      <c r="G1709" s="298"/>
      <c r="H1709" s="10"/>
      <c r="I1709" s="11"/>
      <c r="J1709" s="11"/>
      <c r="K1709" s="11"/>
      <c r="L1709" s="11"/>
      <c r="M1709" s="11"/>
      <c r="N1709" s="11"/>
      <c r="O1709" s="12"/>
      <c r="P1709" s="11"/>
      <c r="Q1709" s="13"/>
      <c r="R1709" s="14"/>
    </row>
    <row r="1710" spans="1:18" ht="15" customHeight="1">
      <c r="A1710" s="17" t="s">
        <v>68</v>
      </c>
      <c r="B1710" s="17" t="s">
        <v>410</v>
      </c>
      <c r="C1710" s="18">
        <v>0.59722222222222221</v>
      </c>
      <c r="D1710" s="17" t="s">
        <v>70</v>
      </c>
      <c r="E1710" s="17" t="s">
        <v>57</v>
      </c>
      <c r="F1710" s="17" t="s">
        <v>466</v>
      </c>
      <c r="G1710" s="298"/>
      <c r="H1710" s="10"/>
      <c r="I1710" s="11"/>
      <c r="J1710" s="11"/>
      <c r="K1710" s="11"/>
      <c r="L1710" s="11"/>
      <c r="M1710" s="11"/>
      <c r="N1710" s="11"/>
      <c r="O1710" s="12"/>
      <c r="P1710" s="11"/>
      <c r="Q1710" s="13"/>
      <c r="R1710" s="14"/>
    </row>
    <row r="1711" spans="1:18" ht="15" customHeight="1">
      <c r="A1711" s="17" t="s">
        <v>68</v>
      </c>
      <c r="B1711" s="17" t="s">
        <v>437</v>
      </c>
      <c r="C1711" s="18">
        <v>0.1041666666666667</v>
      </c>
      <c r="D1711" s="17" t="s">
        <v>70</v>
      </c>
      <c r="E1711" s="17" t="s">
        <v>57</v>
      </c>
      <c r="F1711" s="17" t="s">
        <v>524</v>
      </c>
      <c r="G1711" s="298"/>
      <c r="H1711" s="10"/>
      <c r="I1711" s="11"/>
      <c r="J1711" s="11"/>
      <c r="K1711" s="11"/>
      <c r="L1711" s="11"/>
      <c r="M1711" s="11"/>
      <c r="N1711" s="11"/>
      <c r="O1711" s="12"/>
      <c r="P1711" s="11"/>
      <c r="Q1711" s="13"/>
      <c r="R1711" s="14"/>
    </row>
    <row r="1712" spans="1:18" ht="15" customHeight="1">
      <c r="A1712" s="17" t="s">
        <v>68</v>
      </c>
      <c r="B1712" s="17" t="s">
        <v>413</v>
      </c>
      <c r="C1712" s="18">
        <v>4.8611111111111112E-2</v>
      </c>
      <c r="D1712" s="17" t="s">
        <v>70</v>
      </c>
      <c r="E1712" s="17" t="s">
        <v>57</v>
      </c>
      <c r="F1712" s="17" t="s">
        <v>524</v>
      </c>
      <c r="G1712" s="298"/>
      <c r="H1712" s="10"/>
      <c r="I1712" s="11"/>
      <c r="J1712" s="11"/>
      <c r="K1712" s="11"/>
      <c r="L1712" s="11"/>
      <c r="M1712" s="11"/>
      <c r="N1712" s="11"/>
      <c r="O1712" s="12"/>
      <c r="P1712" s="11"/>
      <c r="Q1712" s="13"/>
      <c r="R1712" s="14"/>
    </row>
    <row r="1713" spans="1:18" ht="15" customHeight="1">
      <c r="A1713" s="19" t="s">
        <v>48</v>
      </c>
      <c r="B1713" s="19" t="s">
        <v>396</v>
      </c>
      <c r="C1713" s="20">
        <v>0.48958333333333331</v>
      </c>
      <c r="D1713" s="19" t="s">
        <v>53</v>
      </c>
      <c r="E1713" s="19" t="s">
        <v>29</v>
      </c>
      <c r="F1713" s="19" t="s">
        <v>399</v>
      </c>
      <c r="G1713" s="298"/>
      <c r="H1713" s="10"/>
      <c r="I1713" s="11"/>
      <c r="J1713" s="11"/>
      <c r="K1713" s="11"/>
      <c r="L1713" s="11"/>
      <c r="M1713" s="11"/>
      <c r="N1713" s="11"/>
      <c r="O1713" s="12"/>
      <c r="P1713" s="11"/>
      <c r="Q1713" s="13"/>
      <c r="R1713" s="14"/>
    </row>
    <row r="1714" spans="1:18" ht="15" customHeight="1">
      <c r="A1714" s="17" t="s">
        <v>48</v>
      </c>
      <c r="B1714" s="17" t="s">
        <v>394</v>
      </c>
      <c r="C1714" s="18">
        <v>0.98958333333333337</v>
      </c>
      <c r="D1714" s="17" t="s">
        <v>53</v>
      </c>
      <c r="E1714" s="17" t="s">
        <v>37</v>
      </c>
      <c r="F1714" s="17" t="s">
        <v>464</v>
      </c>
      <c r="G1714" s="298"/>
      <c r="H1714" s="10"/>
      <c r="I1714" s="11"/>
      <c r="J1714" s="11"/>
      <c r="K1714" s="11"/>
      <c r="L1714" s="11"/>
      <c r="M1714" s="11"/>
      <c r="N1714" s="11"/>
      <c r="O1714" s="12"/>
      <c r="P1714" s="11"/>
      <c r="Q1714" s="13"/>
      <c r="R1714" s="14"/>
    </row>
    <row r="1715" spans="1:18" ht="15" customHeight="1">
      <c r="A1715" s="17" t="s">
        <v>48</v>
      </c>
      <c r="B1715" s="17" t="s">
        <v>398</v>
      </c>
      <c r="C1715" s="18">
        <v>0.39930555555555558</v>
      </c>
      <c r="D1715" s="17" t="s">
        <v>53</v>
      </c>
      <c r="E1715" s="17" t="s">
        <v>37</v>
      </c>
      <c r="F1715" s="17" t="s">
        <v>464</v>
      </c>
      <c r="G1715" s="298"/>
      <c r="H1715" s="10"/>
      <c r="I1715" s="11"/>
      <c r="J1715" s="11"/>
      <c r="K1715" s="11"/>
      <c r="L1715" s="11"/>
      <c r="M1715" s="11"/>
      <c r="N1715" s="11"/>
      <c r="O1715" s="12"/>
      <c r="P1715" s="11"/>
      <c r="Q1715" s="13"/>
      <c r="R1715" s="14"/>
    </row>
    <row r="1716" spans="1:18" ht="15" customHeight="1">
      <c r="A1716" s="17" t="s">
        <v>48</v>
      </c>
      <c r="B1716" s="17" t="s">
        <v>397</v>
      </c>
      <c r="C1716" s="18">
        <v>0.88888888888888884</v>
      </c>
      <c r="D1716" s="17" t="s">
        <v>53</v>
      </c>
      <c r="E1716" s="17" t="s">
        <v>37</v>
      </c>
      <c r="F1716" s="17" t="s">
        <v>464</v>
      </c>
      <c r="G1716" s="298"/>
      <c r="H1716" s="10"/>
      <c r="I1716" s="11"/>
      <c r="J1716" s="11"/>
      <c r="K1716" s="11"/>
      <c r="L1716" s="11"/>
      <c r="M1716" s="11"/>
      <c r="N1716" s="11"/>
      <c r="O1716" s="12"/>
      <c r="P1716" s="11"/>
      <c r="Q1716" s="13"/>
      <c r="R1716" s="14"/>
    </row>
    <row r="1717" spans="1:18" ht="15" customHeight="1">
      <c r="A1717" s="17" t="s">
        <v>48</v>
      </c>
      <c r="B1717" s="17" t="s">
        <v>386</v>
      </c>
      <c r="C1717" s="18">
        <v>0.82986111111111116</v>
      </c>
      <c r="D1717" s="17" t="s">
        <v>53</v>
      </c>
      <c r="E1717" s="17" t="s">
        <v>57</v>
      </c>
      <c r="F1717" s="17" t="s">
        <v>490</v>
      </c>
      <c r="G1717" s="298"/>
      <c r="H1717" s="10"/>
      <c r="I1717" s="11"/>
      <c r="J1717" s="11"/>
      <c r="K1717" s="11"/>
      <c r="L1717" s="11"/>
      <c r="M1717" s="11"/>
      <c r="N1717" s="11"/>
      <c r="O1717" s="12"/>
      <c r="P1717" s="11"/>
      <c r="Q1717" s="13"/>
      <c r="R1717" s="14"/>
    </row>
    <row r="1718" spans="1:18" ht="15" customHeight="1">
      <c r="A1718" s="17" t="s">
        <v>48</v>
      </c>
      <c r="B1718" s="17" t="s">
        <v>388</v>
      </c>
      <c r="C1718" s="18">
        <v>0.72222222222222221</v>
      </c>
      <c r="D1718" s="17" t="s">
        <v>53</v>
      </c>
      <c r="E1718" s="17" t="s">
        <v>57</v>
      </c>
      <c r="F1718" s="17" t="s">
        <v>490</v>
      </c>
      <c r="G1718" s="298"/>
      <c r="H1718" s="10"/>
      <c r="I1718" s="11"/>
      <c r="J1718" s="11"/>
      <c r="K1718" s="11"/>
      <c r="L1718" s="11"/>
      <c r="M1718" s="11"/>
      <c r="N1718" s="11"/>
      <c r="O1718" s="12"/>
      <c r="P1718" s="11"/>
      <c r="Q1718" s="13"/>
      <c r="R1718" s="14"/>
    </row>
    <row r="1719" spans="1:18" ht="15" customHeight="1">
      <c r="A1719" s="17" t="s">
        <v>48</v>
      </c>
      <c r="B1719" s="17" t="s">
        <v>382</v>
      </c>
      <c r="C1719" s="18">
        <v>0.11805555555555559</v>
      </c>
      <c r="D1719" s="17" t="s">
        <v>53</v>
      </c>
      <c r="E1719" s="17" t="s">
        <v>57</v>
      </c>
      <c r="F1719" s="17" t="s">
        <v>490</v>
      </c>
      <c r="G1719" s="298"/>
      <c r="H1719" s="10"/>
      <c r="I1719" s="11"/>
      <c r="J1719" s="11"/>
      <c r="K1719" s="11"/>
      <c r="L1719" s="11"/>
      <c r="M1719" s="11"/>
      <c r="N1719" s="11"/>
      <c r="O1719" s="12"/>
      <c r="P1719" s="11"/>
      <c r="Q1719" s="13"/>
      <c r="R1719" s="14"/>
    </row>
    <row r="1720" spans="1:18" ht="15" customHeight="1">
      <c r="A1720" s="17" t="s">
        <v>48</v>
      </c>
      <c r="B1720" s="17" t="s">
        <v>389</v>
      </c>
      <c r="C1720" s="18">
        <v>0.70138888888888884</v>
      </c>
      <c r="D1720" s="17" t="s">
        <v>53</v>
      </c>
      <c r="E1720" s="17" t="s">
        <v>57</v>
      </c>
      <c r="F1720" s="17" t="s">
        <v>490</v>
      </c>
      <c r="G1720" s="298"/>
      <c r="H1720" s="10"/>
      <c r="I1720" s="11"/>
      <c r="J1720" s="11"/>
      <c r="K1720" s="11"/>
      <c r="L1720" s="11"/>
      <c r="M1720" s="11"/>
      <c r="N1720" s="11"/>
      <c r="O1720" s="12"/>
      <c r="P1720" s="11"/>
      <c r="Q1720" s="13"/>
      <c r="R1720" s="14"/>
    </row>
    <row r="1721" spans="1:18" ht="15" customHeight="1">
      <c r="A1721" s="17" t="s">
        <v>48</v>
      </c>
      <c r="B1721" s="17" t="s">
        <v>400</v>
      </c>
      <c r="C1721" s="18">
        <v>0.25347222222222221</v>
      </c>
      <c r="D1721" s="17" t="s">
        <v>53</v>
      </c>
      <c r="E1721" s="17" t="s">
        <v>57</v>
      </c>
      <c r="F1721" s="17" t="s">
        <v>490</v>
      </c>
      <c r="G1721" s="298"/>
      <c r="H1721" s="10"/>
      <c r="I1721" s="11"/>
      <c r="J1721" s="11"/>
      <c r="K1721" s="11"/>
      <c r="L1721" s="11"/>
      <c r="M1721" s="11"/>
      <c r="N1721" s="11"/>
      <c r="O1721" s="12"/>
      <c r="P1721" s="11"/>
      <c r="Q1721" s="13"/>
      <c r="R1721" s="14"/>
    </row>
    <row r="1722" spans="1:18" ht="15" customHeight="1">
      <c r="A1722" s="17" t="s">
        <v>48</v>
      </c>
      <c r="B1722" s="17" t="s">
        <v>390</v>
      </c>
      <c r="C1722" s="18">
        <v>4.1666666666666657E-2</v>
      </c>
      <c r="D1722" s="17" t="s">
        <v>53</v>
      </c>
      <c r="E1722" s="17" t="s">
        <v>57</v>
      </c>
      <c r="F1722" s="17" t="s">
        <v>490</v>
      </c>
      <c r="G1722" s="298"/>
      <c r="H1722" s="10"/>
      <c r="I1722" s="11"/>
      <c r="J1722" s="11"/>
      <c r="K1722" s="11"/>
      <c r="L1722" s="11"/>
      <c r="M1722" s="11"/>
      <c r="N1722" s="11"/>
      <c r="O1722" s="12"/>
      <c r="P1722" s="11"/>
      <c r="Q1722" s="13"/>
      <c r="R1722" s="14"/>
    </row>
    <row r="1723" spans="1:18" ht="15" customHeight="1">
      <c r="A1723" s="17" t="s">
        <v>48</v>
      </c>
      <c r="B1723" s="17" t="s">
        <v>385</v>
      </c>
      <c r="C1723" s="18">
        <v>0.94097222222222221</v>
      </c>
      <c r="D1723" s="17" t="s">
        <v>53</v>
      </c>
      <c r="E1723" s="17" t="s">
        <v>57</v>
      </c>
      <c r="F1723" s="17" t="s">
        <v>490</v>
      </c>
      <c r="G1723" s="298"/>
      <c r="H1723" s="10"/>
      <c r="I1723" s="11"/>
      <c r="J1723" s="11"/>
      <c r="K1723" s="11"/>
      <c r="L1723" s="11"/>
      <c r="M1723" s="11"/>
      <c r="N1723" s="11"/>
      <c r="O1723" s="12"/>
      <c r="P1723" s="11"/>
      <c r="Q1723" s="13"/>
      <c r="R1723" s="14"/>
    </row>
    <row r="1724" spans="1:18" ht="15" customHeight="1">
      <c r="A1724" s="17" t="s">
        <v>48</v>
      </c>
      <c r="B1724" s="17" t="s">
        <v>391</v>
      </c>
      <c r="C1724" s="18">
        <v>0.48958333333333331</v>
      </c>
      <c r="D1724" s="17" t="s">
        <v>53</v>
      </c>
      <c r="E1724" s="17" t="s">
        <v>57</v>
      </c>
      <c r="F1724" s="17" t="s">
        <v>540</v>
      </c>
      <c r="G1724" s="298"/>
      <c r="H1724" s="10"/>
      <c r="I1724" s="11"/>
      <c r="J1724" s="11"/>
      <c r="K1724" s="11"/>
      <c r="L1724" s="11"/>
      <c r="M1724" s="11"/>
      <c r="N1724" s="11"/>
      <c r="O1724" s="12"/>
      <c r="P1724" s="11"/>
      <c r="Q1724" s="13"/>
      <c r="R1724" s="14"/>
    </row>
    <row r="1725" spans="1:18" ht="15" customHeight="1" thickBot="1">
      <c r="A1725" s="96" t="s">
        <v>415</v>
      </c>
      <c r="B1725" s="96" t="s">
        <v>416</v>
      </c>
      <c r="C1725" s="97">
        <v>9.7222222222222224E-2</v>
      </c>
      <c r="D1725" s="96" t="s">
        <v>63</v>
      </c>
      <c r="E1725" s="96" t="s">
        <v>51</v>
      </c>
      <c r="F1725" s="96" t="s">
        <v>417</v>
      </c>
      <c r="G1725" s="299"/>
      <c r="H1725" s="300"/>
      <c r="I1725" s="140"/>
      <c r="J1725" s="140"/>
      <c r="K1725" s="140"/>
      <c r="L1725" s="140"/>
      <c r="M1725" s="140"/>
      <c r="N1725" s="140"/>
      <c r="O1725" s="141"/>
      <c r="P1725" s="140"/>
      <c r="Q1725" s="142"/>
      <c r="R1725" s="301"/>
    </row>
    <row r="1726" spans="1:18" ht="17.45" customHeight="1" thickBot="1">
      <c r="A1726" s="283"/>
      <c r="B1726" s="284"/>
      <c r="C1726" s="284"/>
      <c r="D1726" s="284"/>
      <c r="E1726" s="284"/>
      <c r="F1726" s="284"/>
      <c r="G1726" s="284"/>
      <c r="H1726" s="284"/>
      <c r="I1726" s="284"/>
      <c r="J1726" s="284"/>
      <c r="K1726" s="284"/>
      <c r="L1726" s="284"/>
      <c r="M1726" s="284"/>
      <c r="N1726" s="284"/>
      <c r="O1726" s="284"/>
      <c r="P1726" s="284"/>
      <c r="Q1726" s="284"/>
      <c r="R1726" s="285"/>
    </row>
    <row r="1727" spans="1:18" ht="22.15" customHeight="1" thickTop="1" thickBot="1">
      <c r="A1727" s="279" t="s">
        <v>6</v>
      </c>
      <c r="B1727" s="295"/>
      <c r="C1727" s="295"/>
      <c r="D1727" s="295"/>
      <c r="E1727" s="295"/>
      <c r="F1727" s="296"/>
      <c r="G1727" s="32">
        <v>46046</v>
      </c>
      <c r="H1727" s="278" t="s">
        <v>7</v>
      </c>
      <c r="I1727" s="295"/>
      <c r="J1727" s="295"/>
      <c r="K1727" s="295"/>
      <c r="L1727" s="295"/>
      <c r="M1727" s="295"/>
      <c r="N1727" s="295"/>
      <c r="O1727" s="295"/>
      <c r="P1727" s="295"/>
      <c r="Q1727" s="295"/>
      <c r="R1727" s="296"/>
    </row>
    <row r="1728" spans="1:18" ht="24" customHeight="1">
      <c r="A1728" s="33" t="s">
        <v>8</v>
      </c>
      <c r="B1728" s="33" t="s">
        <v>9</v>
      </c>
      <c r="C1728" s="34" t="s">
        <v>10</v>
      </c>
      <c r="D1728" s="33" t="s">
        <v>11</v>
      </c>
      <c r="E1728" s="33" t="s">
        <v>12</v>
      </c>
      <c r="F1728" s="35" t="s">
        <v>13</v>
      </c>
      <c r="G1728" s="36" t="s">
        <v>14</v>
      </c>
      <c r="H1728" s="33" t="s">
        <v>15</v>
      </c>
      <c r="I1728" s="37" t="s">
        <v>16</v>
      </c>
      <c r="J1728" s="38" t="s">
        <v>17</v>
      </c>
      <c r="K1728" s="39" t="s">
        <v>18</v>
      </c>
      <c r="L1728" s="38" t="s">
        <v>19</v>
      </c>
      <c r="M1728" s="38" t="s">
        <v>20</v>
      </c>
      <c r="N1728" s="38" t="s">
        <v>21</v>
      </c>
      <c r="O1728" s="33" t="s">
        <v>22</v>
      </c>
      <c r="P1728" s="34" t="s">
        <v>23</v>
      </c>
      <c r="Q1728" s="38" t="s">
        <v>24</v>
      </c>
      <c r="R1728" s="33" t="s">
        <v>25</v>
      </c>
    </row>
    <row r="1729" spans="1:18" ht="15" customHeight="1">
      <c r="A1729" s="8" t="s">
        <v>38</v>
      </c>
      <c r="B1729" s="8" t="s">
        <v>346</v>
      </c>
      <c r="C1729" s="9">
        <v>0.39930555555555558</v>
      </c>
      <c r="D1729" s="8" t="s">
        <v>40</v>
      </c>
      <c r="E1729" s="8" t="s">
        <v>130</v>
      </c>
      <c r="F1729" s="8" t="s">
        <v>347</v>
      </c>
      <c r="G1729" s="297"/>
      <c r="H1729" s="10"/>
      <c r="I1729" s="11"/>
      <c r="J1729" s="11"/>
      <c r="K1729" s="11"/>
      <c r="L1729" s="11"/>
      <c r="M1729" s="11"/>
      <c r="N1729" s="11"/>
      <c r="O1729" s="12"/>
      <c r="P1729" s="11"/>
      <c r="Q1729" s="13"/>
      <c r="R1729" s="14"/>
    </row>
    <row r="1730" spans="1:18" ht="15" customHeight="1">
      <c r="A1730" s="15" t="s">
        <v>38</v>
      </c>
      <c r="B1730" s="15" t="s">
        <v>346</v>
      </c>
      <c r="C1730" s="16">
        <v>0.39930555555555558</v>
      </c>
      <c r="D1730" s="15" t="s">
        <v>43</v>
      </c>
      <c r="E1730" s="15" t="s">
        <v>132</v>
      </c>
      <c r="F1730" s="15" t="s">
        <v>138</v>
      </c>
      <c r="G1730" s="298"/>
      <c r="H1730" s="10"/>
      <c r="I1730" s="11"/>
      <c r="J1730" s="11"/>
      <c r="K1730" s="11"/>
      <c r="L1730" s="11"/>
      <c r="M1730" s="11"/>
      <c r="N1730" s="11"/>
      <c r="O1730" s="12"/>
      <c r="P1730" s="11"/>
      <c r="Q1730" s="13"/>
      <c r="R1730" s="14"/>
    </row>
    <row r="1731" spans="1:18" ht="15" customHeight="1">
      <c r="A1731" s="15" t="s">
        <v>38</v>
      </c>
      <c r="B1731" s="15" t="s">
        <v>346</v>
      </c>
      <c r="C1731" s="16">
        <v>0.39930555555555558</v>
      </c>
      <c r="D1731" s="15" t="s">
        <v>46</v>
      </c>
      <c r="E1731" s="15" t="s">
        <v>132</v>
      </c>
      <c r="F1731" s="15" t="s">
        <v>47</v>
      </c>
      <c r="G1731" s="298"/>
      <c r="H1731" s="10"/>
      <c r="I1731" s="11"/>
      <c r="J1731" s="11"/>
      <c r="K1731" s="11"/>
      <c r="L1731" s="11"/>
      <c r="M1731" s="11"/>
      <c r="N1731" s="11"/>
      <c r="O1731" s="12"/>
      <c r="P1731" s="11"/>
      <c r="Q1731" s="13"/>
      <c r="R1731" s="14"/>
    </row>
    <row r="1732" spans="1:18" ht="15" customHeight="1">
      <c r="A1732" s="17" t="s">
        <v>38</v>
      </c>
      <c r="B1732" s="17" t="s">
        <v>344</v>
      </c>
      <c r="C1732" s="18">
        <v>0.88888888888888884</v>
      </c>
      <c r="D1732" s="17" t="s">
        <v>40</v>
      </c>
      <c r="E1732" s="17" t="s">
        <v>421</v>
      </c>
      <c r="F1732" s="17" t="s">
        <v>347</v>
      </c>
      <c r="G1732" s="298"/>
      <c r="H1732" s="10"/>
      <c r="I1732" s="11"/>
      <c r="J1732" s="11"/>
      <c r="K1732" s="11"/>
      <c r="L1732" s="11"/>
      <c r="M1732" s="11"/>
      <c r="N1732" s="11"/>
      <c r="O1732" s="12"/>
      <c r="P1732" s="11"/>
      <c r="Q1732" s="13"/>
      <c r="R1732" s="14"/>
    </row>
    <row r="1733" spans="1:18" ht="15" customHeight="1">
      <c r="A1733" s="15" t="s">
        <v>38</v>
      </c>
      <c r="B1733" s="15" t="s">
        <v>344</v>
      </c>
      <c r="C1733" s="16">
        <v>0.88888888888888884</v>
      </c>
      <c r="D1733" s="15" t="s">
        <v>43</v>
      </c>
      <c r="E1733" s="15" t="s">
        <v>193</v>
      </c>
      <c r="F1733" s="15" t="s">
        <v>138</v>
      </c>
      <c r="G1733" s="298"/>
      <c r="H1733" s="10"/>
      <c r="I1733" s="11"/>
      <c r="J1733" s="11"/>
      <c r="K1733" s="11"/>
      <c r="L1733" s="11"/>
      <c r="M1733" s="11"/>
      <c r="N1733" s="11"/>
      <c r="O1733" s="12"/>
      <c r="P1733" s="11"/>
      <c r="Q1733" s="13"/>
      <c r="R1733" s="14"/>
    </row>
    <row r="1734" spans="1:18" ht="15" customHeight="1">
      <c r="A1734" s="15" t="s">
        <v>38</v>
      </c>
      <c r="B1734" s="15" t="s">
        <v>344</v>
      </c>
      <c r="C1734" s="16">
        <v>0.88888888888888884</v>
      </c>
      <c r="D1734" s="15" t="s">
        <v>46</v>
      </c>
      <c r="E1734" s="15" t="s">
        <v>193</v>
      </c>
      <c r="F1734" s="15" t="s">
        <v>47</v>
      </c>
      <c r="G1734" s="298"/>
      <c r="H1734" s="10"/>
      <c r="I1734" s="11"/>
      <c r="J1734" s="11"/>
      <c r="K1734" s="11"/>
      <c r="L1734" s="11"/>
      <c r="M1734" s="11"/>
      <c r="N1734" s="11"/>
      <c r="O1734" s="12"/>
      <c r="P1734" s="11"/>
      <c r="Q1734" s="13"/>
      <c r="R1734" s="14"/>
    </row>
    <row r="1735" spans="1:18" ht="15" customHeight="1">
      <c r="A1735" s="17" t="s">
        <v>38</v>
      </c>
      <c r="B1735" s="17" t="s">
        <v>345</v>
      </c>
      <c r="C1735" s="18">
        <v>0.98958333333333337</v>
      </c>
      <c r="D1735" s="17" t="s">
        <v>40</v>
      </c>
      <c r="E1735" s="17" t="s">
        <v>442</v>
      </c>
      <c r="F1735" s="17" t="s">
        <v>347</v>
      </c>
      <c r="G1735" s="298"/>
      <c r="H1735" s="10"/>
      <c r="I1735" s="11"/>
      <c r="J1735" s="11"/>
      <c r="K1735" s="11"/>
      <c r="L1735" s="11"/>
      <c r="M1735" s="11"/>
      <c r="N1735" s="11"/>
      <c r="O1735" s="12"/>
      <c r="P1735" s="11"/>
      <c r="Q1735" s="13"/>
      <c r="R1735" s="14"/>
    </row>
    <row r="1736" spans="1:18" ht="15" customHeight="1">
      <c r="A1736" s="15" t="s">
        <v>38</v>
      </c>
      <c r="B1736" s="15" t="s">
        <v>345</v>
      </c>
      <c r="C1736" s="16">
        <v>0.98958333333333337</v>
      </c>
      <c r="D1736" s="15" t="s">
        <v>43</v>
      </c>
      <c r="E1736" s="15" t="s">
        <v>122</v>
      </c>
      <c r="F1736" s="15" t="s">
        <v>138</v>
      </c>
      <c r="G1736" s="298"/>
      <c r="H1736" s="10"/>
      <c r="I1736" s="11"/>
      <c r="J1736" s="11"/>
      <c r="K1736" s="11"/>
      <c r="L1736" s="11"/>
      <c r="M1736" s="11"/>
      <c r="N1736" s="11"/>
      <c r="O1736" s="12"/>
      <c r="P1736" s="11"/>
      <c r="Q1736" s="13"/>
      <c r="R1736" s="14"/>
    </row>
    <row r="1737" spans="1:18" ht="15" customHeight="1">
      <c r="A1737" s="15" t="s">
        <v>38</v>
      </c>
      <c r="B1737" s="15" t="s">
        <v>345</v>
      </c>
      <c r="C1737" s="16">
        <v>0.98958333333333337</v>
      </c>
      <c r="D1737" s="15" t="s">
        <v>46</v>
      </c>
      <c r="E1737" s="15" t="s">
        <v>122</v>
      </c>
      <c r="F1737" s="15" t="s">
        <v>47</v>
      </c>
      <c r="G1737" s="298"/>
      <c r="H1737" s="10"/>
      <c r="I1737" s="11"/>
      <c r="J1737" s="11"/>
      <c r="K1737" s="11"/>
      <c r="L1737" s="11"/>
      <c r="M1737" s="11"/>
      <c r="N1737" s="11"/>
      <c r="O1737" s="12"/>
      <c r="P1737" s="11"/>
      <c r="Q1737" s="13"/>
      <c r="R1737" s="14"/>
    </row>
    <row r="1738" spans="1:18" ht="15" customHeight="1">
      <c r="A1738" s="17" t="s">
        <v>38</v>
      </c>
      <c r="B1738" s="17" t="s">
        <v>342</v>
      </c>
      <c r="C1738" s="18">
        <v>0.48958333333333331</v>
      </c>
      <c r="D1738" s="17" t="s">
        <v>40</v>
      </c>
      <c r="E1738" s="17" t="s">
        <v>194</v>
      </c>
      <c r="F1738" s="17" t="s">
        <v>121</v>
      </c>
      <c r="G1738" s="298"/>
      <c r="H1738" s="10"/>
      <c r="I1738" s="11"/>
      <c r="J1738" s="11"/>
      <c r="K1738" s="11"/>
      <c r="L1738" s="11"/>
      <c r="M1738" s="11"/>
      <c r="N1738" s="11"/>
      <c r="O1738" s="12"/>
      <c r="P1738" s="11"/>
      <c r="Q1738" s="13"/>
      <c r="R1738" s="14"/>
    </row>
    <row r="1739" spans="1:18" ht="15" customHeight="1">
      <c r="A1739" s="15" t="s">
        <v>38</v>
      </c>
      <c r="B1739" s="15" t="s">
        <v>342</v>
      </c>
      <c r="C1739" s="16">
        <v>0.48958333333333331</v>
      </c>
      <c r="D1739" s="15" t="s">
        <v>43</v>
      </c>
      <c r="E1739" s="15" t="s">
        <v>195</v>
      </c>
      <c r="F1739" s="15" t="s">
        <v>123</v>
      </c>
      <c r="G1739" s="298"/>
      <c r="H1739" s="10"/>
      <c r="I1739" s="11"/>
      <c r="J1739" s="11"/>
      <c r="K1739" s="11"/>
      <c r="L1739" s="11"/>
      <c r="M1739" s="11"/>
      <c r="N1739" s="11"/>
      <c r="O1739" s="12"/>
      <c r="P1739" s="11"/>
      <c r="Q1739" s="13"/>
      <c r="R1739" s="14"/>
    </row>
    <row r="1740" spans="1:18" ht="15" customHeight="1">
      <c r="A1740" s="15" t="s">
        <v>38</v>
      </c>
      <c r="B1740" s="15" t="s">
        <v>342</v>
      </c>
      <c r="C1740" s="16">
        <v>0.48958333333333331</v>
      </c>
      <c r="D1740" s="15" t="s">
        <v>46</v>
      </c>
      <c r="E1740" s="15" t="s">
        <v>195</v>
      </c>
      <c r="F1740" s="15" t="s">
        <v>47</v>
      </c>
      <c r="G1740" s="298"/>
      <c r="H1740" s="10"/>
      <c r="I1740" s="11"/>
      <c r="J1740" s="11"/>
      <c r="K1740" s="11"/>
      <c r="L1740" s="11"/>
      <c r="M1740" s="11"/>
      <c r="N1740" s="11"/>
      <c r="O1740" s="12"/>
      <c r="P1740" s="11"/>
      <c r="Q1740" s="13"/>
      <c r="R1740" s="14"/>
    </row>
    <row r="1741" spans="1:18" ht="15" customHeight="1">
      <c r="A1741" s="19" t="s">
        <v>359</v>
      </c>
      <c r="B1741" s="19" t="s">
        <v>360</v>
      </c>
      <c r="C1741" s="20">
        <v>0.1701388888888889</v>
      </c>
      <c r="D1741" s="19" t="s">
        <v>361</v>
      </c>
      <c r="E1741" s="19" t="s">
        <v>80</v>
      </c>
      <c r="F1741" s="19" t="s">
        <v>534</v>
      </c>
      <c r="G1741" s="298"/>
      <c r="H1741" s="10"/>
      <c r="I1741" s="11"/>
      <c r="J1741" s="11"/>
      <c r="K1741" s="11"/>
      <c r="L1741" s="11"/>
      <c r="M1741" s="11"/>
      <c r="N1741" s="11"/>
      <c r="O1741" s="12"/>
      <c r="P1741" s="11"/>
      <c r="Q1741" s="13"/>
      <c r="R1741" s="14"/>
    </row>
    <row r="1742" spans="1:18" ht="15" customHeight="1">
      <c r="A1742" s="15" t="s">
        <v>359</v>
      </c>
      <c r="B1742" s="15" t="s">
        <v>360</v>
      </c>
      <c r="C1742" s="16">
        <v>0.1701388888888889</v>
      </c>
      <c r="D1742" s="15" t="s">
        <v>46</v>
      </c>
      <c r="E1742" s="15" t="s">
        <v>82</v>
      </c>
      <c r="F1742" s="15" t="s">
        <v>535</v>
      </c>
      <c r="G1742" s="298"/>
      <c r="H1742" s="10"/>
      <c r="I1742" s="11"/>
      <c r="J1742" s="11"/>
      <c r="K1742" s="11"/>
      <c r="L1742" s="11"/>
      <c r="M1742" s="11"/>
      <c r="N1742" s="11"/>
      <c r="O1742" s="12"/>
      <c r="P1742" s="11"/>
      <c r="Q1742" s="13"/>
      <c r="R1742" s="14"/>
    </row>
    <row r="1743" spans="1:18" ht="15" customHeight="1">
      <c r="A1743" s="17" t="s">
        <v>359</v>
      </c>
      <c r="B1743" s="17" t="s">
        <v>445</v>
      </c>
      <c r="C1743" s="18">
        <v>5.5555555555555552E-2</v>
      </c>
      <c r="D1743" s="17" t="s">
        <v>361</v>
      </c>
      <c r="E1743" s="17" t="s">
        <v>90</v>
      </c>
      <c r="F1743" s="17" t="s">
        <v>534</v>
      </c>
      <c r="G1743" s="298"/>
      <c r="H1743" s="10"/>
      <c r="I1743" s="11"/>
      <c r="J1743" s="11"/>
      <c r="K1743" s="11"/>
      <c r="L1743" s="11"/>
      <c r="M1743" s="11"/>
      <c r="N1743" s="11"/>
      <c r="O1743" s="12"/>
      <c r="P1743" s="11"/>
      <c r="Q1743" s="13"/>
      <c r="R1743" s="14"/>
    </row>
    <row r="1744" spans="1:18" ht="15" customHeight="1">
      <c r="A1744" s="15" t="s">
        <v>359</v>
      </c>
      <c r="B1744" s="15" t="s">
        <v>445</v>
      </c>
      <c r="C1744" s="16">
        <v>5.5555555555555552E-2</v>
      </c>
      <c r="D1744" s="15" t="s">
        <v>46</v>
      </c>
      <c r="E1744" s="15" t="s">
        <v>82</v>
      </c>
      <c r="F1744" s="15" t="s">
        <v>535</v>
      </c>
      <c r="G1744" s="298"/>
      <c r="H1744" s="10"/>
      <c r="I1744" s="11"/>
      <c r="J1744" s="11"/>
      <c r="K1744" s="11"/>
      <c r="L1744" s="11"/>
      <c r="M1744" s="11"/>
      <c r="N1744" s="11"/>
      <c r="O1744" s="12"/>
      <c r="P1744" s="11"/>
      <c r="Q1744" s="13"/>
      <c r="R1744" s="14"/>
    </row>
    <row r="1745" spans="1:18" ht="15" customHeight="1">
      <c r="A1745" s="19" t="s">
        <v>26</v>
      </c>
      <c r="B1745" s="19" t="s">
        <v>348</v>
      </c>
      <c r="C1745" s="20">
        <v>0.99305555555555547</v>
      </c>
      <c r="D1745" s="19" t="s">
        <v>28</v>
      </c>
      <c r="E1745" s="19" t="s">
        <v>143</v>
      </c>
      <c r="F1745" s="19" t="s">
        <v>83</v>
      </c>
      <c r="G1745" s="298"/>
      <c r="H1745" s="10"/>
      <c r="I1745" s="11"/>
      <c r="J1745" s="11"/>
      <c r="K1745" s="11"/>
      <c r="L1745" s="11"/>
      <c r="M1745" s="11"/>
      <c r="N1745" s="11"/>
      <c r="O1745" s="12"/>
      <c r="P1745" s="11"/>
      <c r="Q1745" s="13"/>
      <c r="R1745" s="14"/>
    </row>
    <row r="1746" spans="1:18" ht="15" customHeight="1">
      <c r="A1746" s="15" t="s">
        <v>26</v>
      </c>
      <c r="B1746" s="15" t="s">
        <v>348</v>
      </c>
      <c r="C1746" s="16">
        <v>0.99305555555555547</v>
      </c>
      <c r="D1746" s="15" t="s">
        <v>31</v>
      </c>
      <c r="E1746" s="15" t="s">
        <v>92</v>
      </c>
      <c r="F1746" s="15" t="s">
        <v>159</v>
      </c>
      <c r="G1746" s="298"/>
      <c r="H1746" s="10"/>
      <c r="I1746" s="11"/>
      <c r="J1746" s="11"/>
      <c r="K1746" s="11"/>
      <c r="L1746" s="11"/>
      <c r="M1746" s="11"/>
      <c r="N1746" s="11"/>
      <c r="O1746" s="12"/>
      <c r="P1746" s="11"/>
      <c r="Q1746" s="13"/>
      <c r="R1746" s="14"/>
    </row>
    <row r="1747" spans="1:18" ht="15" customHeight="1">
      <c r="A1747" s="15" t="s">
        <v>26</v>
      </c>
      <c r="B1747" s="15" t="s">
        <v>348</v>
      </c>
      <c r="C1747" s="16">
        <v>0.99305555555555547</v>
      </c>
      <c r="D1747" s="15" t="s">
        <v>34</v>
      </c>
      <c r="E1747" s="15" t="s">
        <v>92</v>
      </c>
      <c r="F1747" s="15" t="s">
        <v>355</v>
      </c>
      <c r="G1747" s="298"/>
      <c r="H1747" s="10"/>
      <c r="I1747" s="11"/>
      <c r="J1747" s="11"/>
      <c r="K1747" s="11"/>
      <c r="L1747" s="11"/>
      <c r="M1747" s="11"/>
      <c r="N1747" s="11"/>
      <c r="O1747" s="12"/>
      <c r="P1747" s="11"/>
      <c r="Q1747" s="13"/>
      <c r="R1747" s="14"/>
    </row>
    <row r="1748" spans="1:18" ht="15" customHeight="1">
      <c r="A1748" s="17" t="s">
        <v>26</v>
      </c>
      <c r="B1748" s="17" t="s">
        <v>351</v>
      </c>
      <c r="C1748" s="18">
        <v>0.83680555555555547</v>
      </c>
      <c r="D1748" s="17" t="s">
        <v>28</v>
      </c>
      <c r="E1748" s="17" t="s">
        <v>200</v>
      </c>
      <c r="F1748" s="17" t="s">
        <v>83</v>
      </c>
      <c r="G1748" s="298"/>
      <c r="H1748" s="10"/>
      <c r="I1748" s="11"/>
      <c r="J1748" s="11"/>
      <c r="K1748" s="11"/>
      <c r="L1748" s="11"/>
      <c r="M1748" s="11"/>
      <c r="N1748" s="11"/>
      <c r="O1748" s="12"/>
      <c r="P1748" s="11"/>
      <c r="Q1748" s="13"/>
      <c r="R1748" s="14"/>
    </row>
    <row r="1749" spans="1:18" ht="15" customHeight="1">
      <c r="A1749" s="15" t="s">
        <v>26</v>
      </c>
      <c r="B1749" s="15" t="s">
        <v>351</v>
      </c>
      <c r="C1749" s="16">
        <v>0.83680555555555547</v>
      </c>
      <c r="D1749" s="15" t="s">
        <v>31</v>
      </c>
      <c r="E1749" s="15" t="s">
        <v>127</v>
      </c>
      <c r="F1749" s="15" t="s">
        <v>159</v>
      </c>
      <c r="G1749" s="298"/>
      <c r="H1749" s="10"/>
      <c r="I1749" s="11"/>
      <c r="J1749" s="11"/>
      <c r="K1749" s="11"/>
      <c r="L1749" s="11"/>
      <c r="M1749" s="11"/>
      <c r="N1749" s="11"/>
      <c r="O1749" s="12"/>
      <c r="P1749" s="11"/>
      <c r="Q1749" s="13"/>
      <c r="R1749" s="14"/>
    </row>
    <row r="1750" spans="1:18" ht="15" customHeight="1">
      <c r="A1750" s="15" t="s">
        <v>26</v>
      </c>
      <c r="B1750" s="15" t="s">
        <v>351</v>
      </c>
      <c r="C1750" s="16">
        <v>0.83680555555555547</v>
      </c>
      <c r="D1750" s="15" t="s">
        <v>34</v>
      </c>
      <c r="E1750" s="15" t="s">
        <v>127</v>
      </c>
      <c r="F1750" s="15" t="s">
        <v>355</v>
      </c>
      <c r="G1750" s="298"/>
      <c r="H1750" s="10"/>
      <c r="I1750" s="11"/>
      <c r="J1750" s="11"/>
      <c r="K1750" s="11"/>
      <c r="L1750" s="11"/>
      <c r="M1750" s="11"/>
      <c r="N1750" s="11"/>
      <c r="O1750" s="12"/>
      <c r="P1750" s="11"/>
      <c r="Q1750" s="13"/>
      <c r="R1750" s="14"/>
    </row>
    <row r="1751" spans="1:18" ht="15" customHeight="1">
      <c r="A1751" s="17" t="s">
        <v>26</v>
      </c>
      <c r="B1751" s="17" t="s">
        <v>354</v>
      </c>
      <c r="C1751" s="18">
        <v>0.34722222222222232</v>
      </c>
      <c r="D1751" s="17" t="s">
        <v>28</v>
      </c>
      <c r="E1751" s="17" t="s">
        <v>91</v>
      </c>
      <c r="F1751" s="17" t="s">
        <v>79</v>
      </c>
      <c r="G1751" s="298"/>
      <c r="H1751" s="10"/>
      <c r="I1751" s="11"/>
      <c r="J1751" s="11"/>
      <c r="K1751" s="11"/>
      <c r="L1751" s="11"/>
      <c r="M1751" s="11"/>
      <c r="N1751" s="11"/>
      <c r="O1751" s="12"/>
      <c r="P1751" s="11"/>
      <c r="Q1751" s="13"/>
      <c r="R1751" s="14"/>
    </row>
    <row r="1752" spans="1:18" ht="15" customHeight="1">
      <c r="A1752" s="15" t="s">
        <v>26</v>
      </c>
      <c r="B1752" s="15" t="s">
        <v>354</v>
      </c>
      <c r="C1752" s="16">
        <v>0.34722222222222232</v>
      </c>
      <c r="D1752" s="15" t="s">
        <v>31</v>
      </c>
      <c r="E1752" s="15" t="s">
        <v>92</v>
      </c>
      <c r="F1752" s="15" t="s">
        <v>123</v>
      </c>
      <c r="G1752" s="298"/>
      <c r="H1752" s="10"/>
      <c r="I1752" s="11"/>
      <c r="J1752" s="11"/>
      <c r="K1752" s="11"/>
      <c r="L1752" s="11"/>
      <c r="M1752" s="11"/>
      <c r="N1752" s="11"/>
      <c r="O1752" s="12"/>
      <c r="P1752" s="11"/>
      <c r="Q1752" s="13"/>
      <c r="R1752" s="14"/>
    </row>
    <row r="1753" spans="1:18" ht="15" customHeight="1">
      <c r="A1753" s="15" t="s">
        <v>26</v>
      </c>
      <c r="B1753" s="15" t="s">
        <v>354</v>
      </c>
      <c r="C1753" s="16">
        <v>0.34722222222222232</v>
      </c>
      <c r="D1753" s="15" t="s">
        <v>34</v>
      </c>
      <c r="E1753" s="15" t="s">
        <v>92</v>
      </c>
      <c r="F1753" s="15" t="s">
        <v>118</v>
      </c>
      <c r="G1753" s="298"/>
      <c r="H1753" s="10"/>
      <c r="I1753" s="11"/>
      <c r="J1753" s="11"/>
      <c r="K1753" s="11"/>
      <c r="L1753" s="11"/>
      <c r="M1753" s="11"/>
      <c r="N1753" s="11"/>
      <c r="O1753" s="12"/>
      <c r="P1753" s="11"/>
      <c r="Q1753" s="13"/>
      <c r="R1753" s="14"/>
    </row>
    <row r="1754" spans="1:18" ht="15" customHeight="1">
      <c r="A1754" s="17" t="s">
        <v>26</v>
      </c>
      <c r="B1754" s="17" t="s">
        <v>350</v>
      </c>
      <c r="C1754" s="18">
        <v>0.73611111111111116</v>
      </c>
      <c r="D1754" s="17" t="s">
        <v>28</v>
      </c>
      <c r="E1754" s="17" t="s">
        <v>37</v>
      </c>
      <c r="F1754" s="17" t="s">
        <v>79</v>
      </c>
      <c r="G1754" s="298"/>
      <c r="H1754" s="10"/>
      <c r="I1754" s="11"/>
      <c r="J1754" s="11"/>
      <c r="K1754" s="11"/>
      <c r="L1754" s="11"/>
      <c r="M1754" s="11"/>
      <c r="N1754" s="11"/>
      <c r="O1754" s="12"/>
      <c r="P1754" s="11"/>
      <c r="Q1754" s="13"/>
      <c r="R1754" s="14"/>
    </row>
    <row r="1755" spans="1:18" ht="15" customHeight="1">
      <c r="A1755" s="15" t="s">
        <v>26</v>
      </c>
      <c r="B1755" s="15" t="s">
        <v>350</v>
      </c>
      <c r="C1755" s="16">
        <v>0.73611111111111116</v>
      </c>
      <c r="D1755" s="15" t="s">
        <v>31</v>
      </c>
      <c r="E1755" s="15" t="s">
        <v>32</v>
      </c>
      <c r="F1755" s="15" t="s">
        <v>123</v>
      </c>
      <c r="G1755" s="298"/>
      <c r="H1755" s="10"/>
      <c r="I1755" s="11"/>
      <c r="J1755" s="11"/>
      <c r="K1755" s="11"/>
      <c r="L1755" s="11"/>
      <c r="M1755" s="11"/>
      <c r="N1755" s="11"/>
      <c r="O1755" s="12"/>
      <c r="P1755" s="11"/>
      <c r="Q1755" s="13"/>
      <c r="R1755" s="14"/>
    </row>
    <row r="1756" spans="1:18" ht="15" customHeight="1">
      <c r="A1756" s="15" t="s">
        <v>26</v>
      </c>
      <c r="B1756" s="15" t="s">
        <v>350</v>
      </c>
      <c r="C1756" s="16">
        <v>0.73611111111111116</v>
      </c>
      <c r="D1756" s="15" t="s">
        <v>34</v>
      </c>
      <c r="E1756" s="15" t="s">
        <v>32</v>
      </c>
      <c r="F1756" s="15" t="s">
        <v>118</v>
      </c>
      <c r="G1756" s="298"/>
      <c r="H1756" s="10"/>
      <c r="I1756" s="11"/>
      <c r="J1756" s="11"/>
      <c r="K1756" s="11"/>
      <c r="L1756" s="11"/>
      <c r="M1756" s="11"/>
      <c r="N1756" s="11"/>
      <c r="O1756" s="12"/>
      <c r="P1756" s="11"/>
      <c r="Q1756" s="13"/>
      <c r="R1756" s="14"/>
    </row>
    <row r="1757" spans="1:18" ht="15" customHeight="1">
      <c r="A1757" s="17" t="s">
        <v>26</v>
      </c>
      <c r="B1757" s="17" t="s">
        <v>356</v>
      </c>
      <c r="C1757" s="18">
        <v>0.4861111111111111</v>
      </c>
      <c r="D1757" s="17" t="s">
        <v>28</v>
      </c>
      <c r="E1757" s="17" t="s">
        <v>200</v>
      </c>
      <c r="F1757" s="17" t="s">
        <v>79</v>
      </c>
      <c r="G1757" s="298"/>
      <c r="H1757" s="10"/>
      <c r="I1757" s="11"/>
      <c r="J1757" s="11"/>
      <c r="K1757" s="11"/>
      <c r="L1757" s="11"/>
      <c r="M1757" s="11"/>
      <c r="N1757" s="11"/>
      <c r="O1757" s="12"/>
      <c r="P1757" s="11"/>
      <c r="Q1757" s="13"/>
      <c r="R1757" s="14"/>
    </row>
    <row r="1758" spans="1:18" ht="15" customHeight="1">
      <c r="A1758" s="15" t="s">
        <v>26</v>
      </c>
      <c r="B1758" s="15" t="s">
        <v>356</v>
      </c>
      <c r="C1758" s="16">
        <v>0.4861111111111111</v>
      </c>
      <c r="D1758" s="15" t="s">
        <v>31</v>
      </c>
      <c r="E1758" s="15" t="s">
        <v>127</v>
      </c>
      <c r="F1758" s="15" t="s">
        <v>123</v>
      </c>
      <c r="G1758" s="298"/>
      <c r="H1758" s="10"/>
      <c r="I1758" s="11"/>
      <c r="J1758" s="11"/>
      <c r="K1758" s="11"/>
      <c r="L1758" s="11"/>
      <c r="M1758" s="11"/>
      <c r="N1758" s="11"/>
      <c r="O1758" s="12"/>
      <c r="P1758" s="11"/>
      <c r="Q1758" s="13"/>
      <c r="R1758" s="14"/>
    </row>
    <row r="1759" spans="1:18" ht="15" customHeight="1">
      <c r="A1759" s="15" t="s">
        <v>26</v>
      </c>
      <c r="B1759" s="15" t="s">
        <v>356</v>
      </c>
      <c r="C1759" s="16">
        <v>0.4861111111111111</v>
      </c>
      <c r="D1759" s="15" t="s">
        <v>34</v>
      </c>
      <c r="E1759" s="15" t="s">
        <v>127</v>
      </c>
      <c r="F1759" s="15" t="s">
        <v>118</v>
      </c>
      <c r="G1759" s="298"/>
      <c r="H1759" s="10"/>
      <c r="I1759" s="11"/>
      <c r="J1759" s="11"/>
      <c r="K1759" s="11"/>
      <c r="L1759" s="11"/>
      <c r="M1759" s="11"/>
      <c r="N1759" s="11"/>
      <c r="O1759" s="12"/>
      <c r="P1759" s="11"/>
      <c r="Q1759" s="13"/>
      <c r="R1759" s="14"/>
    </row>
    <row r="1760" spans="1:18" ht="15" customHeight="1">
      <c r="A1760" s="17" t="s">
        <v>26</v>
      </c>
      <c r="B1760" s="17" t="s">
        <v>353</v>
      </c>
      <c r="C1760" s="18">
        <v>0.88888888888888884</v>
      </c>
      <c r="D1760" s="17" t="s">
        <v>28</v>
      </c>
      <c r="E1760" s="17" t="s">
        <v>37</v>
      </c>
      <c r="F1760" s="17" t="s">
        <v>79</v>
      </c>
      <c r="G1760" s="298"/>
      <c r="H1760" s="10"/>
      <c r="I1760" s="11"/>
      <c r="J1760" s="11"/>
      <c r="K1760" s="11"/>
      <c r="L1760" s="11"/>
      <c r="M1760" s="11"/>
      <c r="N1760" s="11"/>
      <c r="O1760" s="12"/>
      <c r="P1760" s="11"/>
      <c r="Q1760" s="13"/>
      <c r="R1760" s="14"/>
    </row>
    <row r="1761" spans="1:18" ht="15" customHeight="1">
      <c r="A1761" s="15" t="s">
        <v>26</v>
      </c>
      <c r="B1761" s="15" t="s">
        <v>353</v>
      </c>
      <c r="C1761" s="16">
        <v>0.88888888888888884</v>
      </c>
      <c r="D1761" s="15" t="s">
        <v>31</v>
      </c>
      <c r="E1761" s="15" t="s">
        <v>32</v>
      </c>
      <c r="F1761" s="15" t="s">
        <v>123</v>
      </c>
      <c r="G1761" s="298"/>
      <c r="H1761" s="10"/>
      <c r="I1761" s="11"/>
      <c r="J1761" s="11"/>
      <c r="K1761" s="11"/>
      <c r="L1761" s="11"/>
      <c r="M1761" s="11"/>
      <c r="N1761" s="11"/>
      <c r="O1761" s="12"/>
      <c r="P1761" s="11"/>
      <c r="Q1761" s="13"/>
      <c r="R1761" s="14"/>
    </row>
    <row r="1762" spans="1:18" ht="15" customHeight="1">
      <c r="A1762" s="15" t="s">
        <v>26</v>
      </c>
      <c r="B1762" s="15" t="s">
        <v>353</v>
      </c>
      <c r="C1762" s="16">
        <v>0.88888888888888884</v>
      </c>
      <c r="D1762" s="15" t="s">
        <v>34</v>
      </c>
      <c r="E1762" s="15" t="s">
        <v>32</v>
      </c>
      <c r="F1762" s="15" t="s">
        <v>118</v>
      </c>
      <c r="G1762" s="298"/>
      <c r="H1762" s="10"/>
      <c r="I1762" s="11"/>
      <c r="J1762" s="11"/>
      <c r="K1762" s="11"/>
      <c r="L1762" s="11"/>
      <c r="M1762" s="11"/>
      <c r="N1762" s="11"/>
      <c r="O1762" s="12"/>
      <c r="P1762" s="11"/>
      <c r="Q1762" s="13"/>
      <c r="R1762" s="14"/>
    </row>
    <row r="1763" spans="1:18" ht="15" customHeight="1">
      <c r="A1763" s="17" t="s">
        <v>26</v>
      </c>
      <c r="B1763" s="17" t="s">
        <v>352</v>
      </c>
      <c r="C1763" s="18">
        <v>0.94444444444444453</v>
      </c>
      <c r="D1763" s="17" t="s">
        <v>28</v>
      </c>
      <c r="E1763" s="17" t="s">
        <v>98</v>
      </c>
      <c r="F1763" s="17" t="s">
        <v>45</v>
      </c>
      <c r="G1763" s="298"/>
      <c r="H1763" s="10"/>
      <c r="I1763" s="11"/>
      <c r="J1763" s="11"/>
      <c r="K1763" s="11"/>
      <c r="L1763" s="11"/>
      <c r="M1763" s="11"/>
      <c r="N1763" s="11"/>
      <c r="O1763" s="12"/>
      <c r="P1763" s="11"/>
      <c r="Q1763" s="13"/>
      <c r="R1763" s="14"/>
    </row>
    <row r="1764" spans="1:18" ht="15" customHeight="1">
      <c r="A1764" s="15" t="s">
        <v>26</v>
      </c>
      <c r="B1764" s="15" t="s">
        <v>352</v>
      </c>
      <c r="C1764" s="16">
        <v>0.94444444444444453</v>
      </c>
      <c r="D1764" s="15" t="s">
        <v>31</v>
      </c>
      <c r="E1764" s="15" t="s">
        <v>99</v>
      </c>
      <c r="F1764" s="15" t="s">
        <v>355</v>
      </c>
      <c r="G1764" s="298"/>
      <c r="H1764" s="10"/>
      <c r="I1764" s="11"/>
      <c r="J1764" s="11"/>
      <c r="K1764" s="11"/>
      <c r="L1764" s="11"/>
      <c r="M1764" s="11"/>
      <c r="N1764" s="11"/>
      <c r="O1764" s="12"/>
      <c r="P1764" s="11"/>
      <c r="Q1764" s="13"/>
      <c r="R1764" s="14"/>
    </row>
    <row r="1765" spans="1:18" ht="15" customHeight="1">
      <c r="A1765" s="15" t="s">
        <v>26</v>
      </c>
      <c r="B1765" s="15" t="s">
        <v>352</v>
      </c>
      <c r="C1765" s="16">
        <v>0.94444444444444453</v>
      </c>
      <c r="D1765" s="15" t="s">
        <v>34</v>
      </c>
      <c r="E1765" s="15" t="s">
        <v>99</v>
      </c>
      <c r="F1765" s="15" t="s">
        <v>358</v>
      </c>
      <c r="G1765" s="298"/>
      <c r="H1765" s="10"/>
      <c r="I1765" s="11"/>
      <c r="J1765" s="11"/>
      <c r="K1765" s="11"/>
      <c r="L1765" s="11"/>
      <c r="M1765" s="11"/>
      <c r="N1765" s="11"/>
      <c r="O1765" s="12"/>
      <c r="P1765" s="11"/>
      <c r="Q1765" s="13"/>
      <c r="R1765" s="14"/>
    </row>
    <row r="1766" spans="1:18" ht="15" customHeight="1">
      <c r="A1766" s="17" t="s">
        <v>26</v>
      </c>
      <c r="B1766" s="17" t="s">
        <v>357</v>
      </c>
      <c r="C1766" s="18">
        <v>0.3923611111111111</v>
      </c>
      <c r="D1766" s="17" t="s">
        <v>28</v>
      </c>
      <c r="E1766" s="17" t="s">
        <v>91</v>
      </c>
      <c r="F1766" s="17" t="s">
        <v>191</v>
      </c>
      <c r="G1766" s="298"/>
      <c r="H1766" s="10"/>
      <c r="I1766" s="11"/>
      <c r="J1766" s="11"/>
      <c r="K1766" s="11"/>
      <c r="L1766" s="11"/>
      <c r="M1766" s="11"/>
      <c r="N1766" s="11"/>
      <c r="O1766" s="12"/>
      <c r="P1766" s="11"/>
      <c r="Q1766" s="13"/>
      <c r="R1766" s="14"/>
    </row>
    <row r="1767" spans="1:18" ht="15" customHeight="1">
      <c r="A1767" s="15" t="s">
        <v>26</v>
      </c>
      <c r="B1767" s="15" t="s">
        <v>357</v>
      </c>
      <c r="C1767" s="16">
        <v>0.3923611111111111</v>
      </c>
      <c r="D1767" s="15" t="s">
        <v>31</v>
      </c>
      <c r="E1767" s="15" t="s">
        <v>92</v>
      </c>
      <c r="F1767" s="15" t="s">
        <v>541</v>
      </c>
      <c r="G1767" s="298"/>
      <c r="H1767" s="10"/>
      <c r="I1767" s="11"/>
      <c r="J1767" s="11"/>
      <c r="K1767" s="11"/>
      <c r="L1767" s="11"/>
      <c r="M1767" s="11"/>
      <c r="N1767" s="11"/>
      <c r="O1767" s="12"/>
      <c r="P1767" s="11"/>
      <c r="Q1767" s="13"/>
      <c r="R1767" s="14"/>
    </row>
    <row r="1768" spans="1:18" ht="15" customHeight="1">
      <c r="A1768" s="15" t="s">
        <v>26</v>
      </c>
      <c r="B1768" s="15" t="s">
        <v>357</v>
      </c>
      <c r="C1768" s="16">
        <v>0.3923611111111111</v>
      </c>
      <c r="D1768" s="15" t="s">
        <v>34</v>
      </c>
      <c r="E1768" s="15" t="s">
        <v>92</v>
      </c>
      <c r="F1768" s="15" t="s">
        <v>542</v>
      </c>
      <c r="G1768" s="298"/>
      <c r="H1768" s="10"/>
      <c r="I1768" s="11"/>
      <c r="J1768" s="11"/>
      <c r="K1768" s="11"/>
      <c r="L1768" s="11"/>
      <c r="M1768" s="11"/>
      <c r="N1768" s="11"/>
      <c r="O1768" s="12"/>
      <c r="P1768" s="11"/>
      <c r="Q1768" s="13"/>
      <c r="R1768" s="14"/>
    </row>
    <row r="1769" spans="1:18" ht="15" customHeight="1">
      <c r="A1769" s="19" t="s">
        <v>402</v>
      </c>
      <c r="B1769" s="19" t="s">
        <v>403</v>
      </c>
      <c r="C1769" s="20">
        <v>0.49305555555555558</v>
      </c>
      <c r="D1769" s="19" t="s">
        <v>63</v>
      </c>
      <c r="E1769" s="19" t="s">
        <v>103</v>
      </c>
      <c r="F1769" s="19" t="s">
        <v>404</v>
      </c>
      <c r="G1769" s="298"/>
      <c r="H1769" s="10"/>
      <c r="I1769" s="11"/>
      <c r="J1769" s="11"/>
      <c r="K1769" s="11"/>
      <c r="L1769" s="11"/>
      <c r="M1769" s="11"/>
      <c r="N1769" s="11"/>
      <c r="O1769" s="12"/>
      <c r="P1769" s="11"/>
      <c r="Q1769" s="13"/>
      <c r="R1769" s="14"/>
    </row>
    <row r="1770" spans="1:18" ht="15" customHeight="1">
      <c r="A1770" s="78" t="s">
        <v>61</v>
      </c>
      <c r="B1770" s="78" t="s">
        <v>364</v>
      </c>
      <c r="C1770" s="79">
        <v>0.90625</v>
      </c>
      <c r="D1770" s="78" t="s">
        <v>63</v>
      </c>
      <c r="E1770" s="78" t="s">
        <v>29</v>
      </c>
      <c r="F1770" s="78" t="s">
        <v>79</v>
      </c>
      <c r="G1770" s="298"/>
      <c r="H1770" s="80" t="s">
        <v>366</v>
      </c>
      <c r="I1770" s="81">
        <v>5.5599999999999997E-2</v>
      </c>
      <c r="J1770" s="82">
        <v>10</v>
      </c>
      <c r="K1770" s="83">
        <v>46343</v>
      </c>
      <c r="L1770" s="82">
        <v>10</v>
      </c>
      <c r="M1770" s="82">
        <v>0</v>
      </c>
      <c r="N1770" s="82">
        <v>0</v>
      </c>
      <c r="O1770" s="84" t="s">
        <v>307</v>
      </c>
      <c r="P1770" s="85">
        <v>0.90625</v>
      </c>
      <c r="Q1770" s="82">
        <v>180</v>
      </c>
      <c r="R1770" s="86" t="s">
        <v>543</v>
      </c>
    </row>
    <row r="1771" spans="1:18" ht="15" customHeight="1">
      <c r="A1771" s="158" t="s">
        <v>61</v>
      </c>
      <c r="B1771" s="158" t="s">
        <v>371</v>
      </c>
      <c r="C1771" s="159">
        <v>4.8611111111111112E-2</v>
      </c>
      <c r="D1771" s="158" t="s">
        <v>63</v>
      </c>
      <c r="E1771" s="158" t="s">
        <v>98</v>
      </c>
      <c r="F1771" s="158" t="s">
        <v>79</v>
      </c>
      <c r="G1771" s="298"/>
      <c r="H1771" s="89" t="s">
        <v>373</v>
      </c>
      <c r="I1771" s="90">
        <v>4.8399999999999999E-2</v>
      </c>
      <c r="J1771" s="91">
        <v>9</v>
      </c>
      <c r="K1771" s="92">
        <v>46307</v>
      </c>
      <c r="L1771" s="91">
        <v>9</v>
      </c>
      <c r="M1771" s="91">
        <v>0</v>
      </c>
      <c r="N1771" s="91">
        <v>0</v>
      </c>
      <c r="O1771" s="93" t="s">
        <v>306</v>
      </c>
      <c r="P1771" s="94">
        <v>4.8611111111111112E-2</v>
      </c>
      <c r="Q1771" s="91">
        <v>186</v>
      </c>
      <c r="R1771" s="95" t="s">
        <v>326</v>
      </c>
    </row>
    <row r="1772" spans="1:18" ht="15" customHeight="1">
      <c r="A1772" s="154" t="s">
        <v>61</v>
      </c>
      <c r="B1772" s="154" t="s">
        <v>375</v>
      </c>
      <c r="C1772" s="155">
        <v>0.15625</v>
      </c>
      <c r="D1772" s="154" t="s">
        <v>63</v>
      </c>
      <c r="E1772" s="154" t="s">
        <v>57</v>
      </c>
      <c r="F1772" s="154" t="s">
        <v>449</v>
      </c>
      <c r="G1772" s="298"/>
      <c r="H1772" s="69" t="s">
        <v>376</v>
      </c>
      <c r="I1772" s="70">
        <v>8.3299999999999999E-2</v>
      </c>
      <c r="J1772" s="71">
        <v>15</v>
      </c>
      <c r="K1772" s="72">
        <v>46343</v>
      </c>
      <c r="L1772" s="71">
        <v>19</v>
      </c>
      <c r="M1772" s="71">
        <v>0</v>
      </c>
      <c r="N1772" s="71">
        <v>0</v>
      </c>
      <c r="O1772" s="73" t="s">
        <v>67</v>
      </c>
      <c r="P1772" s="74">
        <v>0.15625</v>
      </c>
      <c r="Q1772" s="71">
        <v>180</v>
      </c>
      <c r="R1772" s="75" t="s">
        <v>538</v>
      </c>
    </row>
    <row r="1773" spans="1:18" ht="15" customHeight="1">
      <c r="A1773" s="148" t="s">
        <v>61</v>
      </c>
      <c r="B1773" s="148" t="s">
        <v>377</v>
      </c>
      <c r="C1773" s="149">
        <v>0.50347222222222221</v>
      </c>
      <c r="D1773" s="148" t="s">
        <v>63</v>
      </c>
      <c r="E1773" s="148" t="s">
        <v>57</v>
      </c>
      <c r="F1773" s="148" t="s">
        <v>449</v>
      </c>
      <c r="G1773" s="298"/>
      <c r="H1773" s="51" t="s">
        <v>378</v>
      </c>
      <c r="I1773" s="52">
        <v>9.4399999999999998E-2</v>
      </c>
      <c r="J1773" s="53">
        <v>17</v>
      </c>
      <c r="K1773" s="54">
        <v>46342</v>
      </c>
      <c r="L1773" s="53">
        <v>17</v>
      </c>
      <c r="M1773" s="53">
        <v>0</v>
      </c>
      <c r="N1773" s="53">
        <v>0</v>
      </c>
      <c r="O1773" s="55" t="s">
        <v>67</v>
      </c>
      <c r="P1773" s="56">
        <v>0.50347222222222221</v>
      </c>
      <c r="Q1773" s="53">
        <v>180</v>
      </c>
      <c r="R1773" s="57" t="s">
        <v>499</v>
      </c>
    </row>
    <row r="1774" spans="1:18" ht="15" customHeight="1">
      <c r="A1774" s="19" t="s">
        <v>48</v>
      </c>
      <c r="B1774" s="19" t="s">
        <v>394</v>
      </c>
      <c r="C1774" s="20">
        <v>0.98958333333333337</v>
      </c>
      <c r="D1774" s="19" t="s">
        <v>53</v>
      </c>
      <c r="E1774" s="19" t="s">
        <v>29</v>
      </c>
      <c r="F1774" s="19" t="s">
        <v>399</v>
      </c>
      <c r="G1774" s="298"/>
      <c r="H1774" s="10"/>
      <c r="I1774" s="11"/>
      <c r="J1774" s="11"/>
      <c r="K1774" s="11"/>
      <c r="L1774" s="11"/>
      <c r="M1774" s="11"/>
      <c r="N1774" s="11"/>
      <c r="O1774" s="12"/>
      <c r="P1774" s="11"/>
      <c r="Q1774" s="13"/>
      <c r="R1774" s="14"/>
    </row>
    <row r="1775" spans="1:18" ht="15" customHeight="1">
      <c r="A1775" s="17" t="s">
        <v>48</v>
      </c>
      <c r="B1775" s="17" t="s">
        <v>398</v>
      </c>
      <c r="C1775" s="18">
        <v>0.39930555555555558</v>
      </c>
      <c r="D1775" s="17" t="s">
        <v>53</v>
      </c>
      <c r="E1775" s="17" t="s">
        <v>37</v>
      </c>
      <c r="F1775" s="17" t="s">
        <v>399</v>
      </c>
      <c r="G1775" s="298"/>
      <c r="H1775" s="10"/>
      <c r="I1775" s="11"/>
      <c r="J1775" s="11"/>
      <c r="K1775" s="11"/>
      <c r="L1775" s="11"/>
      <c r="M1775" s="11"/>
      <c r="N1775" s="11"/>
      <c r="O1775" s="12"/>
      <c r="P1775" s="11"/>
      <c r="Q1775" s="13"/>
      <c r="R1775" s="14"/>
    </row>
    <row r="1776" spans="1:18" ht="15" customHeight="1">
      <c r="A1776" s="17" t="s">
        <v>48</v>
      </c>
      <c r="B1776" s="17" t="s">
        <v>397</v>
      </c>
      <c r="C1776" s="18">
        <v>0.88888888888888884</v>
      </c>
      <c r="D1776" s="17" t="s">
        <v>53</v>
      </c>
      <c r="E1776" s="17" t="s">
        <v>37</v>
      </c>
      <c r="F1776" s="17" t="s">
        <v>399</v>
      </c>
      <c r="G1776" s="298"/>
      <c r="H1776" s="10"/>
      <c r="I1776" s="11"/>
      <c r="J1776" s="11"/>
      <c r="K1776" s="11"/>
      <c r="L1776" s="11"/>
      <c r="M1776" s="11"/>
      <c r="N1776" s="11"/>
      <c r="O1776" s="12"/>
      <c r="P1776" s="11"/>
      <c r="Q1776" s="13"/>
      <c r="R1776" s="14"/>
    </row>
    <row r="1777" spans="1:18" ht="15" customHeight="1">
      <c r="A1777" s="17" t="s">
        <v>48</v>
      </c>
      <c r="B1777" s="17" t="s">
        <v>396</v>
      </c>
      <c r="C1777" s="18">
        <v>0.48958333333333331</v>
      </c>
      <c r="D1777" s="17" t="s">
        <v>53</v>
      </c>
      <c r="E1777" s="17" t="s">
        <v>37</v>
      </c>
      <c r="F1777" s="17" t="s">
        <v>464</v>
      </c>
      <c r="G1777" s="298"/>
      <c r="H1777" s="10"/>
      <c r="I1777" s="11"/>
      <c r="J1777" s="11"/>
      <c r="K1777" s="11"/>
      <c r="L1777" s="11"/>
      <c r="M1777" s="11"/>
      <c r="N1777" s="11"/>
      <c r="O1777" s="12"/>
      <c r="P1777" s="11"/>
      <c r="Q1777" s="13"/>
      <c r="R1777" s="14"/>
    </row>
    <row r="1778" spans="1:18" ht="15" customHeight="1">
      <c r="A1778" s="17" t="s">
        <v>48</v>
      </c>
      <c r="B1778" s="17" t="s">
        <v>382</v>
      </c>
      <c r="C1778" s="18">
        <v>0.11805555555555559</v>
      </c>
      <c r="D1778" s="17" t="s">
        <v>53</v>
      </c>
      <c r="E1778" s="17" t="s">
        <v>57</v>
      </c>
      <c r="F1778" s="17" t="s">
        <v>490</v>
      </c>
      <c r="G1778" s="298"/>
      <c r="H1778" s="10"/>
      <c r="I1778" s="11"/>
      <c r="J1778" s="11"/>
      <c r="K1778" s="11"/>
      <c r="L1778" s="11"/>
      <c r="M1778" s="11"/>
      <c r="N1778" s="11"/>
      <c r="O1778" s="12"/>
      <c r="P1778" s="11"/>
      <c r="Q1778" s="13"/>
      <c r="R1778" s="14"/>
    </row>
    <row r="1779" spans="1:18" ht="15" customHeight="1">
      <c r="A1779" s="17" t="s">
        <v>48</v>
      </c>
      <c r="B1779" s="17" t="s">
        <v>389</v>
      </c>
      <c r="C1779" s="18">
        <v>0.70486111111111116</v>
      </c>
      <c r="D1779" s="17" t="s">
        <v>53</v>
      </c>
      <c r="E1779" s="17" t="s">
        <v>57</v>
      </c>
      <c r="F1779" s="17" t="s">
        <v>490</v>
      </c>
      <c r="G1779" s="298"/>
      <c r="H1779" s="10"/>
      <c r="I1779" s="11"/>
      <c r="J1779" s="11"/>
      <c r="K1779" s="11"/>
      <c r="L1779" s="11"/>
      <c r="M1779" s="11"/>
      <c r="N1779" s="11"/>
      <c r="O1779" s="12"/>
      <c r="P1779" s="11"/>
      <c r="Q1779" s="13"/>
      <c r="R1779" s="14"/>
    </row>
    <row r="1780" spans="1:18" ht="15" customHeight="1">
      <c r="A1780" s="17" t="s">
        <v>48</v>
      </c>
      <c r="B1780" s="17" t="s">
        <v>400</v>
      </c>
      <c r="C1780" s="18">
        <v>0.25347222222222221</v>
      </c>
      <c r="D1780" s="17" t="s">
        <v>53</v>
      </c>
      <c r="E1780" s="17" t="s">
        <v>57</v>
      </c>
      <c r="F1780" s="17" t="s">
        <v>490</v>
      </c>
      <c r="G1780" s="298"/>
      <c r="H1780" s="10"/>
      <c r="I1780" s="11"/>
      <c r="J1780" s="11"/>
      <c r="K1780" s="11"/>
      <c r="L1780" s="11"/>
      <c r="M1780" s="11"/>
      <c r="N1780" s="11"/>
      <c r="O1780" s="12"/>
      <c r="P1780" s="11"/>
      <c r="Q1780" s="13"/>
      <c r="R1780" s="14"/>
    </row>
    <row r="1781" spans="1:18" ht="15" customHeight="1">
      <c r="A1781" s="17" t="s">
        <v>48</v>
      </c>
      <c r="B1781" s="17" t="s">
        <v>390</v>
      </c>
      <c r="C1781" s="18">
        <v>4.1666666666666657E-2</v>
      </c>
      <c r="D1781" s="17" t="s">
        <v>53</v>
      </c>
      <c r="E1781" s="17" t="s">
        <v>57</v>
      </c>
      <c r="F1781" s="17" t="s">
        <v>490</v>
      </c>
      <c r="G1781" s="298"/>
      <c r="H1781" s="10"/>
      <c r="I1781" s="11"/>
      <c r="J1781" s="11"/>
      <c r="K1781" s="11"/>
      <c r="L1781" s="11"/>
      <c r="M1781" s="11"/>
      <c r="N1781" s="11"/>
      <c r="O1781" s="12"/>
      <c r="P1781" s="11"/>
      <c r="Q1781" s="13"/>
      <c r="R1781" s="14"/>
    </row>
    <row r="1782" spans="1:18" ht="15" customHeight="1">
      <c r="A1782" s="17" t="s">
        <v>48</v>
      </c>
      <c r="B1782" s="17" t="s">
        <v>385</v>
      </c>
      <c r="C1782" s="18">
        <v>0.94097222222222221</v>
      </c>
      <c r="D1782" s="17" t="s">
        <v>53</v>
      </c>
      <c r="E1782" s="17" t="s">
        <v>57</v>
      </c>
      <c r="F1782" s="17" t="s">
        <v>490</v>
      </c>
      <c r="G1782" s="298"/>
      <c r="H1782" s="10"/>
      <c r="I1782" s="11"/>
      <c r="J1782" s="11"/>
      <c r="K1782" s="11"/>
      <c r="L1782" s="11"/>
      <c r="M1782" s="11"/>
      <c r="N1782" s="11"/>
      <c r="O1782" s="12"/>
      <c r="P1782" s="11"/>
      <c r="Q1782" s="13"/>
      <c r="R1782" s="14"/>
    </row>
    <row r="1783" spans="1:18" ht="15" customHeight="1">
      <c r="A1783" s="17" t="s">
        <v>48</v>
      </c>
      <c r="B1783" s="17" t="s">
        <v>386</v>
      </c>
      <c r="C1783" s="18">
        <v>0.82986111111111116</v>
      </c>
      <c r="D1783" s="17" t="s">
        <v>53</v>
      </c>
      <c r="E1783" s="17" t="s">
        <v>57</v>
      </c>
      <c r="F1783" s="17" t="s">
        <v>544</v>
      </c>
      <c r="G1783" s="298"/>
      <c r="H1783" s="10"/>
      <c r="I1783" s="11"/>
      <c r="J1783" s="11"/>
      <c r="K1783" s="11"/>
      <c r="L1783" s="11"/>
      <c r="M1783" s="11"/>
      <c r="N1783" s="11"/>
      <c r="O1783" s="12"/>
      <c r="P1783" s="11"/>
      <c r="Q1783" s="13"/>
      <c r="R1783" s="14"/>
    </row>
    <row r="1784" spans="1:18" ht="15" customHeight="1">
      <c r="A1784" s="17" t="s">
        <v>48</v>
      </c>
      <c r="B1784" s="17" t="s">
        <v>388</v>
      </c>
      <c r="C1784" s="18">
        <v>0.72222222222222221</v>
      </c>
      <c r="D1784" s="17" t="s">
        <v>53</v>
      </c>
      <c r="E1784" s="17" t="s">
        <v>57</v>
      </c>
      <c r="F1784" s="17" t="s">
        <v>544</v>
      </c>
      <c r="G1784" s="298"/>
      <c r="H1784" s="10"/>
      <c r="I1784" s="11"/>
      <c r="J1784" s="11"/>
      <c r="K1784" s="11"/>
      <c r="L1784" s="11"/>
      <c r="M1784" s="11"/>
      <c r="N1784" s="11"/>
      <c r="O1784" s="12"/>
      <c r="P1784" s="11"/>
      <c r="Q1784" s="13"/>
      <c r="R1784" s="14"/>
    </row>
    <row r="1785" spans="1:18" ht="15" customHeight="1">
      <c r="A1785" s="19" t="s">
        <v>415</v>
      </c>
      <c r="B1785" s="19" t="s">
        <v>416</v>
      </c>
      <c r="C1785" s="20">
        <v>9.7222222222222224E-2</v>
      </c>
      <c r="D1785" s="19" t="s">
        <v>63</v>
      </c>
      <c r="E1785" s="19" t="s">
        <v>51</v>
      </c>
      <c r="F1785" s="19" t="s">
        <v>417</v>
      </c>
      <c r="G1785" s="298"/>
      <c r="H1785" s="10"/>
      <c r="I1785" s="11"/>
      <c r="J1785" s="11"/>
      <c r="K1785" s="11"/>
      <c r="L1785" s="11"/>
      <c r="M1785" s="11"/>
      <c r="N1785" s="11"/>
      <c r="O1785" s="12"/>
      <c r="P1785" s="11"/>
      <c r="Q1785" s="13"/>
      <c r="R1785" s="14"/>
    </row>
    <row r="1786" spans="1:18" ht="15" customHeight="1">
      <c r="A1786" s="19" t="s">
        <v>68</v>
      </c>
      <c r="B1786" s="19" t="s">
        <v>405</v>
      </c>
      <c r="C1786" s="20">
        <v>0.83680555555555547</v>
      </c>
      <c r="D1786" s="19" t="s">
        <v>70</v>
      </c>
      <c r="E1786" s="19" t="s">
        <v>51</v>
      </c>
      <c r="F1786" s="19" t="s">
        <v>524</v>
      </c>
      <c r="G1786" s="298"/>
      <c r="H1786" s="10"/>
      <c r="I1786" s="11"/>
      <c r="J1786" s="11"/>
      <c r="K1786" s="11"/>
      <c r="L1786" s="11"/>
      <c r="M1786" s="11"/>
      <c r="N1786" s="11"/>
      <c r="O1786" s="12"/>
      <c r="P1786" s="11"/>
      <c r="Q1786" s="13"/>
      <c r="R1786" s="14"/>
    </row>
    <row r="1787" spans="1:18" ht="15" customHeight="1">
      <c r="A1787" s="17" t="s">
        <v>68</v>
      </c>
      <c r="B1787" s="17" t="s">
        <v>407</v>
      </c>
      <c r="C1787" s="18">
        <v>0.3125</v>
      </c>
      <c r="D1787" s="17" t="s">
        <v>70</v>
      </c>
      <c r="E1787" s="17" t="s">
        <v>57</v>
      </c>
      <c r="F1787" s="17" t="s">
        <v>524</v>
      </c>
      <c r="G1787" s="298"/>
      <c r="H1787" s="10"/>
      <c r="I1787" s="11"/>
      <c r="J1787" s="11"/>
      <c r="K1787" s="11"/>
      <c r="L1787" s="11"/>
      <c r="M1787" s="11"/>
      <c r="N1787" s="11"/>
      <c r="O1787" s="12"/>
      <c r="P1787" s="11"/>
      <c r="Q1787" s="13"/>
      <c r="R1787" s="14"/>
    </row>
    <row r="1788" spans="1:18" ht="15" customHeight="1">
      <c r="A1788" s="17" t="s">
        <v>68</v>
      </c>
      <c r="B1788" s="17" t="s">
        <v>408</v>
      </c>
      <c r="C1788" s="18">
        <v>0.97222222222222221</v>
      </c>
      <c r="D1788" s="17" t="s">
        <v>70</v>
      </c>
      <c r="E1788" s="17" t="s">
        <v>57</v>
      </c>
      <c r="F1788" s="17" t="s">
        <v>524</v>
      </c>
      <c r="G1788" s="298"/>
      <c r="H1788" s="10"/>
      <c r="I1788" s="11"/>
      <c r="J1788" s="11"/>
      <c r="K1788" s="11"/>
      <c r="L1788" s="11"/>
      <c r="M1788" s="11"/>
      <c r="N1788" s="11"/>
      <c r="O1788" s="12"/>
      <c r="P1788" s="11"/>
      <c r="Q1788" s="13"/>
      <c r="R1788" s="14"/>
    </row>
    <row r="1789" spans="1:18" ht="15" customHeight="1">
      <c r="A1789" s="17" t="s">
        <v>68</v>
      </c>
      <c r="B1789" s="17" t="s">
        <v>437</v>
      </c>
      <c r="C1789" s="18">
        <v>0.1041666666666667</v>
      </c>
      <c r="D1789" s="17" t="s">
        <v>70</v>
      </c>
      <c r="E1789" s="17" t="s">
        <v>57</v>
      </c>
      <c r="F1789" s="17" t="s">
        <v>524</v>
      </c>
      <c r="G1789" s="298"/>
      <c r="H1789" s="10"/>
      <c r="I1789" s="11"/>
      <c r="J1789" s="11"/>
      <c r="K1789" s="11"/>
      <c r="L1789" s="11"/>
      <c r="M1789" s="11"/>
      <c r="N1789" s="11"/>
      <c r="O1789" s="12"/>
      <c r="P1789" s="11"/>
      <c r="Q1789" s="13"/>
      <c r="R1789" s="14"/>
    </row>
    <row r="1790" spans="1:18" ht="15" customHeight="1">
      <c r="A1790" s="17" t="s">
        <v>68</v>
      </c>
      <c r="B1790" s="17" t="s">
        <v>409</v>
      </c>
      <c r="C1790" s="18">
        <v>0.34027777777777768</v>
      </c>
      <c r="D1790" s="17" t="s">
        <v>70</v>
      </c>
      <c r="E1790" s="17" t="s">
        <v>57</v>
      </c>
      <c r="F1790" s="17" t="s">
        <v>524</v>
      </c>
      <c r="G1790" s="298"/>
      <c r="H1790" s="10"/>
      <c r="I1790" s="11"/>
      <c r="J1790" s="11"/>
      <c r="K1790" s="11"/>
      <c r="L1790" s="11"/>
      <c r="M1790" s="11"/>
      <c r="N1790" s="11"/>
      <c r="O1790" s="12"/>
      <c r="P1790" s="11"/>
      <c r="Q1790" s="13"/>
      <c r="R1790" s="14"/>
    </row>
    <row r="1791" spans="1:18" ht="15" customHeight="1">
      <c r="A1791" s="17" t="s">
        <v>68</v>
      </c>
      <c r="B1791" s="17" t="s">
        <v>411</v>
      </c>
      <c r="C1791" s="18">
        <v>0.78472222222222221</v>
      </c>
      <c r="D1791" s="17" t="s">
        <v>70</v>
      </c>
      <c r="E1791" s="17" t="s">
        <v>57</v>
      </c>
      <c r="F1791" s="17" t="s">
        <v>524</v>
      </c>
      <c r="G1791" s="298"/>
      <c r="H1791" s="10"/>
      <c r="I1791" s="11"/>
      <c r="J1791" s="11"/>
      <c r="K1791" s="11"/>
      <c r="L1791" s="11"/>
      <c r="M1791" s="11"/>
      <c r="N1791" s="11"/>
      <c r="O1791" s="12"/>
      <c r="P1791" s="11"/>
      <c r="Q1791" s="13"/>
      <c r="R1791" s="14"/>
    </row>
    <row r="1792" spans="1:18" ht="15" customHeight="1">
      <c r="A1792" s="17" t="s">
        <v>68</v>
      </c>
      <c r="B1792" s="17" t="s">
        <v>410</v>
      </c>
      <c r="C1792" s="18">
        <v>0.59722222222222221</v>
      </c>
      <c r="D1792" s="17" t="s">
        <v>70</v>
      </c>
      <c r="E1792" s="17" t="s">
        <v>57</v>
      </c>
      <c r="F1792" s="17" t="s">
        <v>524</v>
      </c>
      <c r="G1792" s="298"/>
      <c r="H1792" s="10"/>
      <c r="I1792" s="11"/>
      <c r="J1792" s="11"/>
      <c r="K1792" s="11"/>
      <c r="L1792" s="11"/>
      <c r="M1792" s="11"/>
      <c r="N1792" s="11"/>
      <c r="O1792" s="12"/>
      <c r="P1792" s="11"/>
      <c r="Q1792" s="13"/>
      <c r="R1792" s="14"/>
    </row>
    <row r="1793" spans="1:18" ht="15" customHeight="1" thickBot="1">
      <c r="A1793" s="30" t="s">
        <v>68</v>
      </c>
      <c r="B1793" s="30" t="s">
        <v>413</v>
      </c>
      <c r="C1793" s="31">
        <v>4.8611111111111112E-2</v>
      </c>
      <c r="D1793" s="30" t="s">
        <v>70</v>
      </c>
      <c r="E1793" s="30" t="s">
        <v>57</v>
      </c>
      <c r="F1793" s="30" t="s">
        <v>524</v>
      </c>
      <c r="G1793" s="299"/>
      <c r="H1793" s="300"/>
      <c r="I1793" s="140"/>
      <c r="J1793" s="140"/>
      <c r="K1793" s="140"/>
      <c r="L1793" s="140"/>
      <c r="M1793" s="140"/>
      <c r="N1793" s="140"/>
      <c r="O1793" s="141"/>
      <c r="P1793" s="140"/>
      <c r="Q1793" s="142"/>
      <c r="R1793" s="301"/>
    </row>
    <row r="1794" spans="1:18" ht="17.45" customHeight="1" thickBot="1">
      <c r="A1794" s="283"/>
      <c r="B1794" s="284"/>
      <c r="C1794" s="284"/>
      <c r="D1794" s="284"/>
      <c r="E1794" s="284"/>
      <c r="F1794" s="284"/>
      <c r="G1794" s="284"/>
      <c r="H1794" s="284"/>
      <c r="I1794" s="284"/>
      <c r="J1794" s="284"/>
      <c r="K1794" s="284"/>
      <c r="L1794" s="284"/>
      <c r="M1794" s="284"/>
      <c r="N1794" s="284"/>
      <c r="O1794" s="284"/>
      <c r="P1794" s="284"/>
      <c r="Q1794" s="284"/>
      <c r="R1794" s="285"/>
    </row>
    <row r="1795" spans="1:18" ht="22.15" customHeight="1" thickTop="1" thickBot="1">
      <c r="A1795" s="279" t="s">
        <v>6</v>
      </c>
      <c r="B1795" s="295"/>
      <c r="C1795" s="295"/>
      <c r="D1795" s="295"/>
      <c r="E1795" s="295"/>
      <c r="F1795" s="296"/>
      <c r="G1795" s="32">
        <v>46047</v>
      </c>
      <c r="H1795" s="278" t="s">
        <v>7</v>
      </c>
      <c r="I1795" s="295"/>
      <c r="J1795" s="295"/>
      <c r="K1795" s="295"/>
      <c r="L1795" s="295"/>
      <c r="M1795" s="295"/>
      <c r="N1795" s="295"/>
      <c r="O1795" s="295"/>
      <c r="P1795" s="295"/>
      <c r="Q1795" s="295"/>
      <c r="R1795" s="296"/>
    </row>
    <row r="1796" spans="1:18" ht="24" customHeight="1">
      <c r="A1796" s="33" t="s">
        <v>8</v>
      </c>
      <c r="B1796" s="33" t="s">
        <v>9</v>
      </c>
      <c r="C1796" s="34" t="s">
        <v>10</v>
      </c>
      <c r="D1796" s="33" t="s">
        <v>11</v>
      </c>
      <c r="E1796" s="33" t="s">
        <v>12</v>
      </c>
      <c r="F1796" s="35" t="s">
        <v>13</v>
      </c>
      <c r="G1796" s="36" t="s">
        <v>14</v>
      </c>
      <c r="H1796" s="33" t="s">
        <v>15</v>
      </c>
      <c r="I1796" s="37" t="s">
        <v>16</v>
      </c>
      <c r="J1796" s="38" t="s">
        <v>17</v>
      </c>
      <c r="K1796" s="39" t="s">
        <v>18</v>
      </c>
      <c r="L1796" s="38" t="s">
        <v>19</v>
      </c>
      <c r="M1796" s="38" t="s">
        <v>20</v>
      </c>
      <c r="N1796" s="38" t="s">
        <v>21</v>
      </c>
      <c r="O1796" s="33" t="s">
        <v>22</v>
      </c>
      <c r="P1796" s="34" t="s">
        <v>23</v>
      </c>
      <c r="Q1796" s="38" t="s">
        <v>24</v>
      </c>
      <c r="R1796" s="33" t="s">
        <v>25</v>
      </c>
    </row>
    <row r="1797" spans="1:18" ht="15" customHeight="1">
      <c r="A1797" s="8" t="s">
        <v>38</v>
      </c>
      <c r="B1797" s="8" t="s">
        <v>342</v>
      </c>
      <c r="C1797" s="9">
        <v>0.48958333333333331</v>
      </c>
      <c r="D1797" s="8" t="s">
        <v>40</v>
      </c>
      <c r="E1797" s="8" t="s">
        <v>168</v>
      </c>
      <c r="F1797" s="8" t="s">
        <v>81</v>
      </c>
      <c r="G1797" s="297"/>
      <c r="H1797" s="10"/>
      <c r="I1797" s="11"/>
      <c r="J1797" s="11"/>
      <c r="K1797" s="11"/>
      <c r="L1797" s="11"/>
      <c r="M1797" s="11"/>
      <c r="N1797" s="11"/>
      <c r="O1797" s="12"/>
      <c r="P1797" s="11"/>
      <c r="Q1797" s="13"/>
      <c r="R1797" s="14"/>
    </row>
    <row r="1798" spans="1:18" ht="15" customHeight="1">
      <c r="A1798" s="15" t="s">
        <v>38</v>
      </c>
      <c r="B1798" s="15" t="s">
        <v>342</v>
      </c>
      <c r="C1798" s="16">
        <v>0.48958333333333331</v>
      </c>
      <c r="D1798" s="15" t="s">
        <v>43</v>
      </c>
      <c r="E1798" s="15" t="s">
        <v>114</v>
      </c>
      <c r="F1798" s="15" t="s">
        <v>161</v>
      </c>
      <c r="G1798" s="298"/>
      <c r="H1798" s="10"/>
      <c r="I1798" s="11"/>
      <c r="J1798" s="11"/>
      <c r="K1798" s="11"/>
      <c r="L1798" s="11"/>
      <c r="M1798" s="11"/>
      <c r="N1798" s="11"/>
      <c r="O1798" s="12"/>
      <c r="P1798" s="11"/>
      <c r="Q1798" s="13"/>
      <c r="R1798" s="14"/>
    </row>
    <row r="1799" spans="1:18" ht="15" customHeight="1">
      <c r="A1799" s="15" t="s">
        <v>38</v>
      </c>
      <c r="B1799" s="15" t="s">
        <v>342</v>
      </c>
      <c r="C1799" s="16">
        <v>0.48958333333333331</v>
      </c>
      <c r="D1799" s="15" t="s">
        <v>46</v>
      </c>
      <c r="E1799" s="15" t="s">
        <v>114</v>
      </c>
      <c r="F1799" s="15" t="s">
        <v>47</v>
      </c>
      <c r="G1799" s="298"/>
      <c r="H1799" s="10"/>
      <c r="I1799" s="11"/>
      <c r="J1799" s="11"/>
      <c r="K1799" s="11"/>
      <c r="L1799" s="11"/>
      <c r="M1799" s="11"/>
      <c r="N1799" s="11"/>
      <c r="O1799" s="12"/>
      <c r="P1799" s="11"/>
      <c r="Q1799" s="13"/>
      <c r="R1799" s="14"/>
    </row>
    <row r="1800" spans="1:18" ht="15" customHeight="1">
      <c r="A1800" s="17" t="s">
        <v>38</v>
      </c>
      <c r="B1800" s="17" t="s">
        <v>346</v>
      </c>
      <c r="C1800" s="18">
        <v>0.39930555555555558</v>
      </c>
      <c r="D1800" s="17" t="s">
        <v>40</v>
      </c>
      <c r="E1800" s="17" t="s">
        <v>125</v>
      </c>
      <c r="F1800" s="17" t="s">
        <v>347</v>
      </c>
      <c r="G1800" s="298"/>
      <c r="H1800" s="10"/>
      <c r="I1800" s="11"/>
      <c r="J1800" s="11"/>
      <c r="K1800" s="11"/>
      <c r="L1800" s="11"/>
      <c r="M1800" s="11"/>
      <c r="N1800" s="11"/>
      <c r="O1800" s="12"/>
      <c r="P1800" s="11"/>
      <c r="Q1800" s="13"/>
      <c r="R1800" s="14"/>
    </row>
    <row r="1801" spans="1:18" ht="15" customHeight="1">
      <c r="A1801" s="15" t="s">
        <v>38</v>
      </c>
      <c r="B1801" s="15" t="s">
        <v>346</v>
      </c>
      <c r="C1801" s="16">
        <v>0.39930555555555558</v>
      </c>
      <c r="D1801" s="15" t="s">
        <v>43</v>
      </c>
      <c r="E1801" s="15" t="s">
        <v>44</v>
      </c>
      <c r="F1801" s="15" t="s">
        <v>138</v>
      </c>
      <c r="G1801" s="298"/>
      <c r="H1801" s="10"/>
      <c r="I1801" s="11"/>
      <c r="J1801" s="11"/>
      <c r="K1801" s="11"/>
      <c r="L1801" s="11"/>
      <c r="M1801" s="11"/>
      <c r="N1801" s="11"/>
      <c r="O1801" s="12"/>
      <c r="P1801" s="11"/>
      <c r="Q1801" s="13"/>
      <c r="R1801" s="14"/>
    </row>
    <row r="1802" spans="1:18" ht="15" customHeight="1">
      <c r="A1802" s="15" t="s">
        <v>38</v>
      </c>
      <c r="B1802" s="15" t="s">
        <v>346</v>
      </c>
      <c r="C1802" s="16">
        <v>0.39930555555555558</v>
      </c>
      <c r="D1802" s="15" t="s">
        <v>46</v>
      </c>
      <c r="E1802" s="15" t="s">
        <v>44</v>
      </c>
      <c r="F1802" s="15" t="s">
        <v>47</v>
      </c>
      <c r="G1802" s="298"/>
      <c r="H1802" s="10"/>
      <c r="I1802" s="11"/>
      <c r="J1802" s="11"/>
      <c r="K1802" s="11"/>
      <c r="L1802" s="11"/>
      <c r="M1802" s="11"/>
      <c r="N1802" s="11"/>
      <c r="O1802" s="12"/>
      <c r="P1802" s="11"/>
      <c r="Q1802" s="13"/>
      <c r="R1802" s="14"/>
    </row>
    <row r="1803" spans="1:18" ht="15" customHeight="1">
      <c r="A1803" s="17" t="s">
        <v>38</v>
      </c>
      <c r="B1803" s="17" t="s">
        <v>344</v>
      </c>
      <c r="C1803" s="18">
        <v>0.88888888888888884</v>
      </c>
      <c r="D1803" s="17" t="s">
        <v>40</v>
      </c>
      <c r="E1803" s="17" t="s">
        <v>125</v>
      </c>
      <c r="F1803" s="17" t="s">
        <v>347</v>
      </c>
      <c r="G1803" s="298"/>
      <c r="H1803" s="10"/>
      <c r="I1803" s="11"/>
      <c r="J1803" s="11"/>
      <c r="K1803" s="11"/>
      <c r="L1803" s="11"/>
      <c r="M1803" s="11"/>
      <c r="N1803" s="11"/>
      <c r="O1803" s="12"/>
      <c r="P1803" s="11"/>
      <c r="Q1803" s="13"/>
      <c r="R1803" s="14"/>
    </row>
    <row r="1804" spans="1:18" ht="15" customHeight="1">
      <c r="A1804" s="15" t="s">
        <v>38</v>
      </c>
      <c r="B1804" s="15" t="s">
        <v>344</v>
      </c>
      <c r="C1804" s="16">
        <v>0.88888888888888884</v>
      </c>
      <c r="D1804" s="15" t="s">
        <v>43</v>
      </c>
      <c r="E1804" s="15" t="s">
        <v>44</v>
      </c>
      <c r="F1804" s="15" t="s">
        <v>138</v>
      </c>
      <c r="G1804" s="298"/>
      <c r="H1804" s="10"/>
      <c r="I1804" s="11"/>
      <c r="J1804" s="11"/>
      <c r="K1804" s="11"/>
      <c r="L1804" s="11"/>
      <c r="M1804" s="11"/>
      <c r="N1804" s="11"/>
      <c r="O1804" s="12"/>
      <c r="P1804" s="11"/>
      <c r="Q1804" s="13"/>
      <c r="R1804" s="14"/>
    </row>
    <row r="1805" spans="1:18" ht="15" customHeight="1">
      <c r="A1805" s="15" t="s">
        <v>38</v>
      </c>
      <c r="B1805" s="15" t="s">
        <v>344</v>
      </c>
      <c r="C1805" s="16">
        <v>0.88888888888888884</v>
      </c>
      <c r="D1805" s="15" t="s">
        <v>46</v>
      </c>
      <c r="E1805" s="15" t="s">
        <v>44</v>
      </c>
      <c r="F1805" s="15" t="s">
        <v>47</v>
      </c>
      <c r="G1805" s="298"/>
      <c r="H1805" s="10"/>
      <c r="I1805" s="11"/>
      <c r="J1805" s="11"/>
      <c r="K1805" s="11"/>
      <c r="L1805" s="11"/>
      <c r="M1805" s="11"/>
      <c r="N1805" s="11"/>
      <c r="O1805" s="12"/>
      <c r="P1805" s="11"/>
      <c r="Q1805" s="13"/>
      <c r="R1805" s="14"/>
    </row>
    <row r="1806" spans="1:18" ht="15" customHeight="1">
      <c r="A1806" s="17" t="s">
        <v>38</v>
      </c>
      <c r="B1806" s="17" t="s">
        <v>345</v>
      </c>
      <c r="C1806" s="18">
        <v>0.98958333333333337</v>
      </c>
      <c r="D1806" s="17" t="s">
        <v>40</v>
      </c>
      <c r="E1806" s="17" t="s">
        <v>170</v>
      </c>
      <c r="F1806" s="17" t="s">
        <v>347</v>
      </c>
      <c r="G1806" s="298"/>
      <c r="H1806" s="10"/>
      <c r="I1806" s="11"/>
      <c r="J1806" s="11"/>
      <c r="K1806" s="11"/>
      <c r="L1806" s="11"/>
      <c r="M1806" s="11"/>
      <c r="N1806" s="11"/>
      <c r="O1806" s="12"/>
      <c r="P1806" s="11"/>
      <c r="Q1806" s="13"/>
      <c r="R1806" s="14"/>
    </row>
    <row r="1807" spans="1:18" ht="15" customHeight="1">
      <c r="A1807" s="15" t="s">
        <v>38</v>
      </c>
      <c r="B1807" s="15" t="s">
        <v>345</v>
      </c>
      <c r="C1807" s="16">
        <v>0.98958333333333337</v>
      </c>
      <c r="D1807" s="15" t="s">
        <v>43</v>
      </c>
      <c r="E1807" s="15" t="s">
        <v>152</v>
      </c>
      <c r="F1807" s="15" t="s">
        <v>138</v>
      </c>
      <c r="G1807" s="298"/>
      <c r="H1807" s="10"/>
      <c r="I1807" s="11"/>
      <c r="J1807" s="11"/>
      <c r="K1807" s="11"/>
      <c r="L1807" s="11"/>
      <c r="M1807" s="11"/>
      <c r="N1807" s="11"/>
      <c r="O1807" s="12"/>
      <c r="P1807" s="11"/>
      <c r="Q1807" s="13"/>
      <c r="R1807" s="14"/>
    </row>
    <row r="1808" spans="1:18" ht="15" customHeight="1">
      <c r="A1808" s="15" t="s">
        <v>38</v>
      </c>
      <c r="B1808" s="15" t="s">
        <v>345</v>
      </c>
      <c r="C1808" s="16">
        <v>0.98958333333333337</v>
      </c>
      <c r="D1808" s="15" t="s">
        <v>46</v>
      </c>
      <c r="E1808" s="15" t="s">
        <v>152</v>
      </c>
      <c r="F1808" s="15" t="s">
        <v>47</v>
      </c>
      <c r="G1808" s="298"/>
      <c r="H1808" s="10"/>
      <c r="I1808" s="11"/>
      <c r="J1808" s="11"/>
      <c r="K1808" s="11"/>
      <c r="L1808" s="11"/>
      <c r="M1808" s="11"/>
      <c r="N1808" s="11"/>
      <c r="O1808" s="12"/>
      <c r="P1808" s="11"/>
      <c r="Q1808" s="13"/>
      <c r="R1808" s="14"/>
    </row>
    <row r="1809" spans="1:18" ht="15" customHeight="1">
      <c r="A1809" s="19" t="s">
        <v>359</v>
      </c>
      <c r="B1809" s="19" t="s">
        <v>360</v>
      </c>
      <c r="C1809" s="20">
        <v>0.22916666666666671</v>
      </c>
      <c r="D1809" s="19" t="s">
        <v>361</v>
      </c>
      <c r="E1809" s="19" t="s">
        <v>80</v>
      </c>
      <c r="F1809" s="19" t="s">
        <v>534</v>
      </c>
      <c r="G1809" s="298"/>
      <c r="H1809" s="10"/>
      <c r="I1809" s="11"/>
      <c r="J1809" s="11"/>
      <c r="K1809" s="11"/>
      <c r="L1809" s="11"/>
      <c r="M1809" s="11"/>
      <c r="N1809" s="11"/>
      <c r="O1809" s="12"/>
      <c r="P1809" s="11"/>
      <c r="Q1809" s="13"/>
      <c r="R1809" s="14"/>
    </row>
    <row r="1810" spans="1:18" ht="15" customHeight="1">
      <c r="A1810" s="15" t="s">
        <v>359</v>
      </c>
      <c r="B1810" s="15" t="s">
        <v>360</v>
      </c>
      <c r="C1810" s="16">
        <v>0.22916666666666671</v>
      </c>
      <c r="D1810" s="15" t="s">
        <v>46</v>
      </c>
      <c r="E1810" s="15" t="s">
        <v>82</v>
      </c>
      <c r="F1810" s="15" t="s">
        <v>535</v>
      </c>
      <c r="G1810" s="298"/>
      <c r="H1810" s="10"/>
      <c r="I1810" s="11"/>
      <c r="J1810" s="11"/>
      <c r="K1810" s="11"/>
      <c r="L1810" s="11"/>
      <c r="M1810" s="11"/>
      <c r="N1810" s="11"/>
      <c r="O1810" s="12"/>
      <c r="P1810" s="11"/>
      <c r="Q1810" s="13"/>
      <c r="R1810" s="14"/>
    </row>
    <row r="1811" spans="1:18" ht="15" customHeight="1">
      <c r="A1811" s="98" t="s">
        <v>61</v>
      </c>
      <c r="B1811" s="98" t="s">
        <v>432</v>
      </c>
      <c r="C1811" s="99">
        <v>0.33333333333333331</v>
      </c>
      <c r="D1811" s="98" t="s">
        <v>63</v>
      </c>
      <c r="E1811" s="98" t="s">
        <v>156</v>
      </c>
      <c r="F1811" s="98" t="s">
        <v>365</v>
      </c>
      <c r="G1811" s="298"/>
      <c r="H1811" s="100" t="s">
        <v>433</v>
      </c>
      <c r="I1811" s="101">
        <v>4.4400000000000002E-2</v>
      </c>
      <c r="J1811" s="102">
        <v>8</v>
      </c>
      <c r="K1811" s="103">
        <v>46343</v>
      </c>
      <c r="L1811" s="102">
        <v>8</v>
      </c>
      <c r="M1811" s="102">
        <v>0</v>
      </c>
      <c r="N1811" s="102">
        <v>0</v>
      </c>
      <c r="O1811" s="104" t="s">
        <v>430</v>
      </c>
      <c r="P1811" s="105">
        <v>0.33333333333333331</v>
      </c>
      <c r="Q1811" s="102">
        <v>180</v>
      </c>
      <c r="R1811" s="106" t="s">
        <v>545</v>
      </c>
    </row>
    <row r="1812" spans="1:18" ht="15" customHeight="1">
      <c r="A1812" s="148" t="s">
        <v>61</v>
      </c>
      <c r="B1812" s="148" t="s">
        <v>369</v>
      </c>
      <c r="C1812" s="149">
        <v>0.15625</v>
      </c>
      <c r="D1812" s="148" t="s">
        <v>63</v>
      </c>
      <c r="E1812" s="148" t="s">
        <v>57</v>
      </c>
      <c r="F1812" s="148" t="s">
        <v>79</v>
      </c>
      <c r="G1812" s="298"/>
      <c r="H1812" s="51" t="s">
        <v>370</v>
      </c>
      <c r="I1812" s="52">
        <v>0</v>
      </c>
      <c r="J1812" s="53">
        <v>0</v>
      </c>
      <c r="K1812" s="54" t="s">
        <v>66</v>
      </c>
      <c r="L1812" s="53">
        <v>0</v>
      </c>
      <c r="M1812" s="53">
        <v>0</v>
      </c>
      <c r="N1812" s="53">
        <v>0</v>
      </c>
      <c r="O1812" s="55" t="s">
        <v>292</v>
      </c>
      <c r="P1812" s="56">
        <v>0.15625</v>
      </c>
      <c r="Q1812" s="53">
        <v>180</v>
      </c>
      <c r="R1812" s="57" t="s">
        <v>66</v>
      </c>
    </row>
    <row r="1813" spans="1:18" ht="15" customHeight="1">
      <c r="A1813" s="156" t="s">
        <v>61</v>
      </c>
      <c r="B1813" s="156" t="s">
        <v>375</v>
      </c>
      <c r="C1813" s="157">
        <v>0.1423611111111111</v>
      </c>
      <c r="D1813" s="156" t="s">
        <v>63</v>
      </c>
      <c r="E1813" s="156" t="s">
        <v>134</v>
      </c>
      <c r="F1813" s="156" t="s">
        <v>79</v>
      </c>
      <c r="G1813" s="298"/>
      <c r="H1813" s="42" t="s">
        <v>376</v>
      </c>
      <c r="I1813" s="43">
        <v>6.6699999999999995E-2</v>
      </c>
      <c r="J1813" s="44">
        <v>12</v>
      </c>
      <c r="K1813" s="45">
        <v>46335</v>
      </c>
      <c r="L1813" s="44">
        <v>13</v>
      </c>
      <c r="M1813" s="44">
        <v>0</v>
      </c>
      <c r="N1813" s="44">
        <v>0</v>
      </c>
      <c r="O1813" s="46" t="s">
        <v>302</v>
      </c>
      <c r="P1813" s="47">
        <v>0.1423611111111111</v>
      </c>
      <c r="Q1813" s="44">
        <v>180</v>
      </c>
      <c r="R1813" s="48" t="s">
        <v>507</v>
      </c>
    </row>
    <row r="1814" spans="1:18" ht="15" customHeight="1">
      <c r="A1814" s="152" t="s">
        <v>61</v>
      </c>
      <c r="B1814" s="152" t="s">
        <v>377</v>
      </c>
      <c r="C1814" s="153">
        <v>0.4548611111111111</v>
      </c>
      <c r="D1814" s="152" t="s">
        <v>63</v>
      </c>
      <c r="E1814" s="152" t="s">
        <v>98</v>
      </c>
      <c r="F1814" s="152" t="s">
        <v>79</v>
      </c>
      <c r="G1814" s="298"/>
      <c r="H1814" s="100" t="s">
        <v>378</v>
      </c>
      <c r="I1814" s="101">
        <v>4.4400000000000002E-2</v>
      </c>
      <c r="J1814" s="102">
        <v>8</v>
      </c>
      <c r="K1814" s="103">
        <v>46344</v>
      </c>
      <c r="L1814" s="102">
        <v>8</v>
      </c>
      <c r="M1814" s="102">
        <v>0</v>
      </c>
      <c r="N1814" s="102">
        <v>0</v>
      </c>
      <c r="O1814" s="104" t="s">
        <v>306</v>
      </c>
      <c r="P1814" s="105">
        <v>0.4548611111111111</v>
      </c>
      <c r="Q1814" s="102">
        <v>180</v>
      </c>
      <c r="R1814" s="106" t="s">
        <v>546</v>
      </c>
    </row>
    <row r="1815" spans="1:18" ht="15" customHeight="1">
      <c r="A1815" s="158" t="s">
        <v>61</v>
      </c>
      <c r="B1815" s="158" t="s">
        <v>379</v>
      </c>
      <c r="C1815" s="159">
        <v>0.82986111111111116</v>
      </c>
      <c r="D1815" s="158" t="s">
        <v>63</v>
      </c>
      <c r="E1815" s="158" t="s">
        <v>435</v>
      </c>
      <c r="F1815" s="158" t="s">
        <v>79</v>
      </c>
      <c r="G1815" s="298"/>
      <c r="H1815" s="89" t="s">
        <v>380</v>
      </c>
      <c r="I1815" s="90">
        <v>3.3300000000000003E-2</v>
      </c>
      <c r="J1815" s="91">
        <v>6</v>
      </c>
      <c r="K1815" s="92">
        <v>46341</v>
      </c>
      <c r="L1815" s="91">
        <v>6</v>
      </c>
      <c r="M1815" s="91">
        <v>0</v>
      </c>
      <c r="N1815" s="91">
        <v>0</v>
      </c>
      <c r="O1815" s="93" t="s">
        <v>299</v>
      </c>
      <c r="P1815" s="94">
        <v>0.82986111111111116</v>
      </c>
      <c r="Q1815" s="91">
        <v>180</v>
      </c>
      <c r="R1815" s="95" t="s">
        <v>436</v>
      </c>
    </row>
    <row r="1816" spans="1:18" ht="15" customHeight="1">
      <c r="A1816" s="19" t="s">
        <v>26</v>
      </c>
      <c r="B1816" s="19" t="s">
        <v>354</v>
      </c>
      <c r="C1816" s="20">
        <v>0.34722222222222232</v>
      </c>
      <c r="D1816" s="19" t="s">
        <v>28</v>
      </c>
      <c r="E1816" s="19" t="s">
        <v>156</v>
      </c>
      <c r="F1816" s="19" t="s">
        <v>83</v>
      </c>
      <c r="G1816" s="298"/>
      <c r="H1816" s="10"/>
      <c r="I1816" s="11"/>
      <c r="J1816" s="11"/>
      <c r="K1816" s="11"/>
      <c r="L1816" s="11"/>
      <c r="M1816" s="11"/>
      <c r="N1816" s="11"/>
      <c r="O1816" s="12"/>
      <c r="P1816" s="11"/>
      <c r="Q1816" s="13"/>
      <c r="R1816" s="14"/>
    </row>
    <row r="1817" spans="1:18" ht="15" customHeight="1">
      <c r="A1817" s="15" t="s">
        <v>26</v>
      </c>
      <c r="B1817" s="15" t="s">
        <v>354</v>
      </c>
      <c r="C1817" s="16">
        <v>0.34722222222222232</v>
      </c>
      <c r="D1817" s="15" t="s">
        <v>31</v>
      </c>
      <c r="E1817" s="15" t="s">
        <v>135</v>
      </c>
      <c r="F1817" s="15" t="s">
        <v>159</v>
      </c>
      <c r="G1817" s="298"/>
      <c r="H1817" s="10"/>
      <c r="I1817" s="11"/>
      <c r="J1817" s="11"/>
      <c r="K1817" s="11"/>
      <c r="L1817" s="11"/>
      <c r="M1817" s="11"/>
      <c r="N1817" s="11"/>
      <c r="O1817" s="12"/>
      <c r="P1817" s="11"/>
      <c r="Q1817" s="13"/>
      <c r="R1817" s="14"/>
    </row>
    <row r="1818" spans="1:18" ht="15" customHeight="1">
      <c r="A1818" s="15" t="s">
        <v>26</v>
      </c>
      <c r="B1818" s="15" t="s">
        <v>354</v>
      </c>
      <c r="C1818" s="16">
        <v>0.34722222222222232</v>
      </c>
      <c r="D1818" s="15" t="s">
        <v>34</v>
      </c>
      <c r="E1818" s="15" t="s">
        <v>135</v>
      </c>
      <c r="F1818" s="15" t="s">
        <v>355</v>
      </c>
      <c r="G1818" s="298"/>
      <c r="H1818" s="10"/>
      <c r="I1818" s="11"/>
      <c r="J1818" s="11"/>
      <c r="K1818" s="11"/>
      <c r="L1818" s="11"/>
      <c r="M1818" s="11"/>
      <c r="N1818" s="11"/>
      <c r="O1818" s="12"/>
      <c r="P1818" s="11"/>
      <c r="Q1818" s="13"/>
      <c r="R1818" s="14"/>
    </row>
    <row r="1819" spans="1:18" ht="15" customHeight="1">
      <c r="A1819" s="17" t="s">
        <v>26</v>
      </c>
      <c r="B1819" s="17" t="s">
        <v>348</v>
      </c>
      <c r="C1819" s="18">
        <v>0.99305555555555547</v>
      </c>
      <c r="D1819" s="17" t="s">
        <v>28</v>
      </c>
      <c r="E1819" s="17" t="s">
        <v>91</v>
      </c>
      <c r="F1819" s="17" t="s">
        <v>83</v>
      </c>
      <c r="G1819" s="298"/>
      <c r="H1819" s="10"/>
      <c r="I1819" s="11"/>
      <c r="J1819" s="11"/>
      <c r="K1819" s="11"/>
      <c r="L1819" s="11"/>
      <c r="M1819" s="11"/>
      <c r="N1819" s="11"/>
      <c r="O1819" s="12"/>
      <c r="P1819" s="11"/>
      <c r="Q1819" s="13"/>
      <c r="R1819" s="14"/>
    </row>
    <row r="1820" spans="1:18" ht="15" customHeight="1">
      <c r="A1820" s="15" t="s">
        <v>26</v>
      </c>
      <c r="B1820" s="15" t="s">
        <v>348</v>
      </c>
      <c r="C1820" s="16">
        <v>0.99305555555555547</v>
      </c>
      <c r="D1820" s="15" t="s">
        <v>31</v>
      </c>
      <c r="E1820" s="15" t="s">
        <v>92</v>
      </c>
      <c r="F1820" s="15" t="s">
        <v>159</v>
      </c>
      <c r="G1820" s="298"/>
      <c r="H1820" s="10"/>
      <c r="I1820" s="11"/>
      <c r="J1820" s="11"/>
      <c r="K1820" s="11"/>
      <c r="L1820" s="11"/>
      <c r="M1820" s="11"/>
      <c r="N1820" s="11"/>
      <c r="O1820" s="12"/>
      <c r="P1820" s="11"/>
      <c r="Q1820" s="13"/>
      <c r="R1820" s="14"/>
    </row>
    <row r="1821" spans="1:18" ht="15" customHeight="1">
      <c r="A1821" s="15" t="s">
        <v>26</v>
      </c>
      <c r="B1821" s="15" t="s">
        <v>348</v>
      </c>
      <c r="C1821" s="16">
        <v>0.99305555555555547</v>
      </c>
      <c r="D1821" s="15" t="s">
        <v>34</v>
      </c>
      <c r="E1821" s="15" t="s">
        <v>92</v>
      </c>
      <c r="F1821" s="15" t="s">
        <v>355</v>
      </c>
      <c r="G1821" s="298"/>
      <c r="H1821" s="10"/>
      <c r="I1821" s="11"/>
      <c r="J1821" s="11"/>
      <c r="K1821" s="11"/>
      <c r="L1821" s="11"/>
      <c r="M1821" s="11"/>
      <c r="N1821" s="11"/>
      <c r="O1821" s="12"/>
      <c r="P1821" s="11"/>
      <c r="Q1821" s="13"/>
      <c r="R1821" s="14"/>
    </row>
    <row r="1822" spans="1:18" ht="15" customHeight="1">
      <c r="A1822" s="17" t="s">
        <v>26</v>
      </c>
      <c r="B1822" s="17" t="s">
        <v>350</v>
      </c>
      <c r="C1822" s="18">
        <v>0.73611111111111116</v>
      </c>
      <c r="D1822" s="17" t="s">
        <v>28</v>
      </c>
      <c r="E1822" s="17" t="s">
        <v>134</v>
      </c>
      <c r="F1822" s="17" t="s">
        <v>83</v>
      </c>
      <c r="G1822" s="298"/>
      <c r="H1822" s="10"/>
      <c r="I1822" s="11"/>
      <c r="J1822" s="11"/>
      <c r="K1822" s="11"/>
      <c r="L1822" s="11"/>
      <c r="M1822" s="11"/>
      <c r="N1822" s="11"/>
      <c r="O1822" s="12"/>
      <c r="P1822" s="11"/>
      <c r="Q1822" s="13"/>
      <c r="R1822" s="14"/>
    </row>
    <row r="1823" spans="1:18" ht="15" customHeight="1">
      <c r="A1823" s="15" t="s">
        <v>26</v>
      </c>
      <c r="B1823" s="15" t="s">
        <v>350</v>
      </c>
      <c r="C1823" s="16">
        <v>0.73611111111111116</v>
      </c>
      <c r="D1823" s="15" t="s">
        <v>31</v>
      </c>
      <c r="E1823" s="15" t="s">
        <v>135</v>
      </c>
      <c r="F1823" s="15" t="s">
        <v>159</v>
      </c>
      <c r="G1823" s="298"/>
      <c r="H1823" s="10"/>
      <c r="I1823" s="11"/>
      <c r="J1823" s="11"/>
      <c r="K1823" s="11"/>
      <c r="L1823" s="11"/>
      <c r="M1823" s="11"/>
      <c r="N1823" s="11"/>
      <c r="O1823" s="12"/>
      <c r="P1823" s="11"/>
      <c r="Q1823" s="13"/>
      <c r="R1823" s="14"/>
    </row>
    <row r="1824" spans="1:18" ht="15" customHeight="1">
      <c r="A1824" s="15" t="s">
        <v>26</v>
      </c>
      <c r="B1824" s="15" t="s">
        <v>350</v>
      </c>
      <c r="C1824" s="16">
        <v>0.73611111111111116</v>
      </c>
      <c r="D1824" s="15" t="s">
        <v>34</v>
      </c>
      <c r="E1824" s="15" t="s">
        <v>135</v>
      </c>
      <c r="F1824" s="15" t="s">
        <v>355</v>
      </c>
      <c r="G1824" s="298"/>
      <c r="H1824" s="10"/>
      <c r="I1824" s="11"/>
      <c r="J1824" s="11"/>
      <c r="K1824" s="11"/>
      <c r="L1824" s="11"/>
      <c r="M1824" s="11"/>
      <c r="N1824" s="11"/>
      <c r="O1824" s="12"/>
      <c r="P1824" s="11"/>
      <c r="Q1824" s="13"/>
      <c r="R1824" s="14"/>
    </row>
    <row r="1825" spans="1:18" ht="15" customHeight="1">
      <c r="A1825" s="17" t="s">
        <v>26</v>
      </c>
      <c r="B1825" s="17" t="s">
        <v>353</v>
      </c>
      <c r="C1825" s="18">
        <v>0.88888888888888884</v>
      </c>
      <c r="D1825" s="17" t="s">
        <v>28</v>
      </c>
      <c r="E1825" s="17" t="s">
        <v>200</v>
      </c>
      <c r="F1825" s="17" t="s">
        <v>83</v>
      </c>
      <c r="G1825" s="298"/>
      <c r="H1825" s="10"/>
      <c r="I1825" s="11"/>
      <c r="J1825" s="11"/>
      <c r="K1825" s="11"/>
      <c r="L1825" s="11"/>
      <c r="M1825" s="11"/>
      <c r="N1825" s="11"/>
      <c r="O1825" s="12"/>
      <c r="P1825" s="11"/>
      <c r="Q1825" s="13"/>
      <c r="R1825" s="14"/>
    </row>
    <row r="1826" spans="1:18" ht="15" customHeight="1">
      <c r="A1826" s="15" t="s">
        <v>26</v>
      </c>
      <c r="B1826" s="15" t="s">
        <v>353</v>
      </c>
      <c r="C1826" s="16">
        <v>0.88888888888888884</v>
      </c>
      <c r="D1826" s="15" t="s">
        <v>31</v>
      </c>
      <c r="E1826" s="15" t="s">
        <v>127</v>
      </c>
      <c r="F1826" s="15" t="s">
        <v>159</v>
      </c>
      <c r="G1826" s="298"/>
      <c r="H1826" s="10"/>
      <c r="I1826" s="11"/>
      <c r="J1826" s="11"/>
      <c r="K1826" s="11"/>
      <c r="L1826" s="11"/>
      <c r="M1826" s="11"/>
      <c r="N1826" s="11"/>
      <c r="O1826" s="12"/>
      <c r="P1826" s="11"/>
      <c r="Q1826" s="13"/>
      <c r="R1826" s="14"/>
    </row>
    <row r="1827" spans="1:18" ht="15" customHeight="1">
      <c r="A1827" s="15" t="s">
        <v>26</v>
      </c>
      <c r="B1827" s="15" t="s">
        <v>353</v>
      </c>
      <c r="C1827" s="16">
        <v>0.88888888888888884</v>
      </c>
      <c r="D1827" s="15" t="s">
        <v>34</v>
      </c>
      <c r="E1827" s="15" t="s">
        <v>127</v>
      </c>
      <c r="F1827" s="15" t="s">
        <v>355</v>
      </c>
      <c r="G1827" s="298"/>
      <c r="H1827" s="10"/>
      <c r="I1827" s="11"/>
      <c r="J1827" s="11"/>
      <c r="K1827" s="11"/>
      <c r="L1827" s="11"/>
      <c r="M1827" s="11"/>
      <c r="N1827" s="11"/>
      <c r="O1827" s="12"/>
      <c r="P1827" s="11"/>
      <c r="Q1827" s="13"/>
      <c r="R1827" s="14"/>
    </row>
    <row r="1828" spans="1:18" ht="15" customHeight="1">
      <c r="A1828" s="17" t="s">
        <v>26</v>
      </c>
      <c r="B1828" s="17" t="s">
        <v>356</v>
      </c>
      <c r="C1828" s="18">
        <v>0.4861111111111111</v>
      </c>
      <c r="D1828" s="17" t="s">
        <v>28</v>
      </c>
      <c r="E1828" s="17" t="s">
        <v>98</v>
      </c>
      <c r="F1828" s="17" t="s">
        <v>79</v>
      </c>
      <c r="G1828" s="298"/>
      <c r="H1828" s="10"/>
      <c r="I1828" s="11"/>
      <c r="J1828" s="11"/>
      <c r="K1828" s="11"/>
      <c r="L1828" s="11"/>
      <c r="M1828" s="11"/>
      <c r="N1828" s="11"/>
      <c r="O1828" s="12"/>
      <c r="P1828" s="11"/>
      <c r="Q1828" s="13"/>
      <c r="R1828" s="14"/>
    </row>
    <row r="1829" spans="1:18" ht="15" customHeight="1">
      <c r="A1829" s="15" t="s">
        <v>26</v>
      </c>
      <c r="B1829" s="15" t="s">
        <v>356</v>
      </c>
      <c r="C1829" s="16">
        <v>0.4861111111111111</v>
      </c>
      <c r="D1829" s="15" t="s">
        <v>31</v>
      </c>
      <c r="E1829" s="15" t="s">
        <v>99</v>
      </c>
      <c r="F1829" s="15" t="s">
        <v>123</v>
      </c>
      <c r="G1829" s="298"/>
      <c r="H1829" s="10"/>
      <c r="I1829" s="11"/>
      <c r="J1829" s="11"/>
      <c r="K1829" s="11"/>
      <c r="L1829" s="11"/>
      <c r="M1829" s="11"/>
      <c r="N1829" s="11"/>
      <c r="O1829" s="12"/>
      <c r="P1829" s="11"/>
      <c r="Q1829" s="13"/>
      <c r="R1829" s="14"/>
    </row>
    <row r="1830" spans="1:18" ht="15" customHeight="1">
      <c r="A1830" s="15" t="s">
        <v>26</v>
      </c>
      <c r="B1830" s="15" t="s">
        <v>356</v>
      </c>
      <c r="C1830" s="16">
        <v>0.4861111111111111</v>
      </c>
      <c r="D1830" s="15" t="s">
        <v>34</v>
      </c>
      <c r="E1830" s="15" t="s">
        <v>99</v>
      </c>
      <c r="F1830" s="15" t="s">
        <v>118</v>
      </c>
      <c r="G1830" s="298"/>
      <c r="H1830" s="10"/>
      <c r="I1830" s="11"/>
      <c r="J1830" s="11"/>
      <c r="K1830" s="11"/>
      <c r="L1830" s="11"/>
      <c r="M1830" s="11"/>
      <c r="N1830" s="11"/>
      <c r="O1830" s="12"/>
      <c r="P1830" s="11"/>
      <c r="Q1830" s="13"/>
      <c r="R1830" s="14"/>
    </row>
    <row r="1831" spans="1:18" ht="15" customHeight="1">
      <c r="A1831" s="17" t="s">
        <v>26</v>
      </c>
      <c r="B1831" s="17" t="s">
        <v>352</v>
      </c>
      <c r="C1831" s="18">
        <v>0.94444444444444453</v>
      </c>
      <c r="D1831" s="17" t="s">
        <v>28</v>
      </c>
      <c r="E1831" s="17" t="s">
        <v>98</v>
      </c>
      <c r="F1831" s="17" t="s">
        <v>45</v>
      </c>
      <c r="G1831" s="298"/>
      <c r="H1831" s="10"/>
      <c r="I1831" s="11"/>
      <c r="J1831" s="11"/>
      <c r="K1831" s="11"/>
      <c r="L1831" s="11"/>
      <c r="M1831" s="11"/>
      <c r="N1831" s="11"/>
      <c r="O1831" s="12"/>
      <c r="P1831" s="11"/>
      <c r="Q1831" s="13"/>
      <c r="R1831" s="14"/>
    </row>
    <row r="1832" spans="1:18" ht="15" customHeight="1">
      <c r="A1832" s="15" t="s">
        <v>26</v>
      </c>
      <c r="B1832" s="15" t="s">
        <v>352</v>
      </c>
      <c r="C1832" s="16">
        <v>0.94444444444444453</v>
      </c>
      <c r="D1832" s="15" t="s">
        <v>31</v>
      </c>
      <c r="E1832" s="15" t="s">
        <v>99</v>
      </c>
      <c r="F1832" s="15" t="s">
        <v>355</v>
      </c>
      <c r="G1832" s="298"/>
      <c r="H1832" s="10"/>
      <c r="I1832" s="11"/>
      <c r="J1832" s="11"/>
      <c r="K1832" s="11"/>
      <c r="L1832" s="11"/>
      <c r="M1832" s="11"/>
      <c r="N1832" s="11"/>
      <c r="O1832" s="12"/>
      <c r="P1832" s="11"/>
      <c r="Q1832" s="13"/>
      <c r="R1832" s="14"/>
    </row>
    <row r="1833" spans="1:18" ht="15" customHeight="1">
      <c r="A1833" s="15" t="s">
        <v>26</v>
      </c>
      <c r="B1833" s="15" t="s">
        <v>352</v>
      </c>
      <c r="C1833" s="16">
        <v>0.94444444444444453</v>
      </c>
      <c r="D1833" s="15" t="s">
        <v>34</v>
      </c>
      <c r="E1833" s="15" t="s">
        <v>99</v>
      </c>
      <c r="F1833" s="15" t="s">
        <v>358</v>
      </c>
      <c r="G1833" s="298"/>
      <c r="H1833" s="10"/>
      <c r="I1833" s="11"/>
      <c r="J1833" s="11"/>
      <c r="K1833" s="11"/>
      <c r="L1833" s="11"/>
      <c r="M1833" s="11"/>
      <c r="N1833" s="11"/>
      <c r="O1833" s="12"/>
      <c r="P1833" s="11"/>
      <c r="Q1833" s="13"/>
      <c r="R1833" s="14"/>
    </row>
    <row r="1834" spans="1:18" ht="15" customHeight="1">
      <c r="A1834" s="17" t="s">
        <v>26</v>
      </c>
      <c r="B1834" s="17" t="s">
        <v>357</v>
      </c>
      <c r="C1834" s="18">
        <v>0.3923611111111111</v>
      </c>
      <c r="D1834" s="17" t="s">
        <v>28</v>
      </c>
      <c r="E1834" s="17" t="s">
        <v>134</v>
      </c>
      <c r="F1834" s="17" t="s">
        <v>45</v>
      </c>
      <c r="G1834" s="298"/>
      <c r="H1834" s="10"/>
      <c r="I1834" s="11"/>
      <c r="J1834" s="11"/>
      <c r="K1834" s="11"/>
      <c r="L1834" s="11"/>
      <c r="M1834" s="11"/>
      <c r="N1834" s="11"/>
      <c r="O1834" s="12"/>
      <c r="P1834" s="11"/>
      <c r="Q1834" s="13"/>
      <c r="R1834" s="14"/>
    </row>
    <row r="1835" spans="1:18" ht="15" customHeight="1">
      <c r="A1835" s="15" t="s">
        <v>26</v>
      </c>
      <c r="B1835" s="15" t="s">
        <v>357</v>
      </c>
      <c r="C1835" s="16">
        <v>0.3923611111111111</v>
      </c>
      <c r="D1835" s="15" t="s">
        <v>31</v>
      </c>
      <c r="E1835" s="15" t="s">
        <v>135</v>
      </c>
      <c r="F1835" s="15" t="s">
        <v>355</v>
      </c>
      <c r="G1835" s="298"/>
      <c r="H1835" s="10"/>
      <c r="I1835" s="11"/>
      <c r="J1835" s="11"/>
      <c r="K1835" s="11"/>
      <c r="L1835" s="11"/>
      <c r="M1835" s="11"/>
      <c r="N1835" s="11"/>
      <c r="O1835" s="12"/>
      <c r="P1835" s="11"/>
      <c r="Q1835" s="13"/>
      <c r="R1835" s="14"/>
    </row>
    <row r="1836" spans="1:18" ht="15" customHeight="1">
      <c r="A1836" s="15" t="s">
        <v>26</v>
      </c>
      <c r="B1836" s="15" t="s">
        <v>357</v>
      </c>
      <c r="C1836" s="16">
        <v>0.3923611111111111</v>
      </c>
      <c r="D1836" s="15" t="s">
        <v>34</v>
      </c>
      <c r="E1836" s="15" t="s">
        <v>135</v>
      </c>
      <c r="F1836" s="15" t="s">
        <v>358</v>
      </c>
      <c r="G1836" s="298"/>
      <c r="H1836" s="10"/>
      <c r="I1836" s="11"/>
      <c r="J1836" s="11"/>
      <c r="K1836" s="11"/>
      <c r="L1836" s="11"/>
      <c r="M1836" s="11"/>
      <c r="N1836" s="11"/>
      <c r="O1836" s="12"/>
      <c r="P1836" s="11"/>
      <c r="Q1836" s="13"/>
      <c r="R1836" s="14"/>
    </row>
    <row r="1837" spans="1:18" ht="15" customHeight="1">
      <c r="A1837" s="17" t="s">
        <v>26</v>
      </c>
      <c r="B1837" s="17" t="s">
        <v>351</v>
      </c>
      <c r="C1837" s="18">
        <v>0.83680555555555547</v>
      </c>
      <c r="D1837" s="17" t="s">
        <v>28</v>
      </c>
      <c r="E1837" s="17" t="s">
        <v>200</v>
      </c>
      <c r="F1837" s="17" t="s">
        <v>455</v>
      </c>
      <c r="G1837" s="298"/>
      <c r="H1837" s="10"/>
      <c r="I1837" s="11"/>
      <c r="J1837" s="11"/>
      <c r="K1837" s="11"/>
      <c r="L1837" s="11"/>
      <c r="M1837" s="11"/>
      <c r="N1837" s="11"/>
      <c r="O1837" s="12"/>
      <c r="P1837" s="11"/>
      <c r="Q1837" s="13"/>
      <c r="R1837" s="14"/>
    </row>
    <row r="1838" spans="1:18" ht="15" customHeight="1">
      <c r="A1838" s="15" t="s">
        <v>26</v>
      </c>
      <c r="B1838" s="15" t="s">
        <v>351</v>
      </c>
      <c r="C1838" s="16">
        <v>0.83680555555555547</v>
      </c>
      <c r="D1838" s="15" t="s">
        <v>31</v>
      </c>
      <c r="E1838" s="15" t="s">
        <v>127</v>
      </c>
      <c r="F1838" s="15" t="s">
        <v>456</v>
      </c>
      <c r="G1838" s="298"/>
      <c r="H1838" s="10"/>
      <c r="I1838" s="11"/>
      <c r="J1838" s="11"/>
      <c r="K1838" s="11"/>
      <c r="L1838" s="11"/>
      <c r="M1838" s="11"/>
      <c r="N1838" s="11"/>
      <c r="O1838" s="12"/>
      <c r="P1838" s="11"/>
      <c r="Q1838" s="13"/>
      <c r="R1838" s="14"/>
    </row>
    <row r="1839" spans="1:18" ht="15" customHeight="1">
      <c r="A1839" s="15" t="s">
        <v>26</v>
      </c>
      <c r="B1839" s="15" t="s">
        <v>351</v>
      </c>
      <c r="C1839" s="16">
        <v>0.83680555555555547</v>
      </c>
      <c r="D1839" s="15" t="s">
        <v>34</v>
      </c>
      <c r="E1839" s="15" t="s">
        <v>127</v>
      </c>
      <c r="F1839" s="15" t="s">
        <v>457</v>
      </c>
      <c r="G1839" s="298"/>
      <c r="H1839" s="10"/>
      <c r="I1839" s="11"/>
      <c r="J1839" s="11"/>
      <c r="K1839" s="11"/>
      <c r="L1839" s="11"/>
      <c r="M1839" s="11"/>
      <c r="N1839" s="11"/>
      <c r="O1839" s="12"/>
      <c r="P1839" s="11"/>
      <c r="Q1839" s="13"/>
      <c r="R1839" s="14"/>
    </row>
    <row r="1840" spans="1:18" ht="15" customHeight="1">
      <c r="A1840" s="19" t="s">
        <v>402</v>
      </c>
      <c r="B1840" s="19" t="s">
        <v>403</v>
      </c>
      <c r="C1840" s="20">
        <v>0.49305555555555558</v>
      </c>
      <c r="D1840" s="19" t="s">
        <v>63</v>
      </c>
      <c r="E1840" s="19" t="s">
        <v>103</v>
      </c>
      <c r="F1840" s="19" t="s">
        <v>404</v>
      </c>
      <c r="G1840" s="298"/>
      <c r="H1840" s="10"/>
      <c r="I1840" s="11"/>
      <c r="J1840" s="11"/>
      <c r="K1840" s="11"/>
      <c r="L1840" s="11"/>
      <c r="M1840" s="11"/>
      <c r="N1840" s="11"/>
      <c r="O1840" s="12"/>
      <c r="P1840" s="11"/>
      <c r="Q1840" s="13"/>
      <c r="R1840" s="14"/>
    </row>
    <row r="1841" spans="1:18" ht="15" customHeight="1">
      <c r="A1841" s="17" t="s">
        <v>402</v>
      </c>
      <c r="B1841" s="17" t="s">
        <v>465</v>
      </c>
      <c r="C1841" s="18">
        <v>0.2048611111111111</v>
      </c>
      <c r="D1841" s="17" t="s">
        <v>63</v>
      </c>
      <c r="E1841" s="17" t="s">
        <v>98</v>
      </c>
      <c r="F1841" s="17" t="s">
        <v>404</v>
      </c>
      <c r="G1841" s="298"/>
      <c r="H1841" s="10"/>
      <c r="I1841" s="11"/>
      <c r="J1841" s="11"/>
      <c r="K1841" s="11"/>
      <c r="L1841" s="11"/>
      <c r="M1841" s="11"/>
      <c r="N1841" s="11"/>
      <c r="O1841" s="12"/>
      <c r="P1841" s="11"/>
      <c r="Q1841" s="13"/>
      <c r="R1841" s="14"/>
    </row>
    <row r="1842" spans="1:18" ht="15" customHeight="1">
      <c r="A1842" s="19" t="s">
        <v>48</v>
      </c>
      <c r="B1842" s="19" t="s">
        <v>396</v>
      </c>
      <c r="C1842" s="20">
        <v>0.48958333333333331</v>
      </c>
      <c r="D1842" s="19" t="s">
        <v>53</v>
      </c>
      <c r="E1842" s="19" t="s">
        <v>29</v>
      </c>
      <c r="F1842" s="19" t="s">
        <v>481</v>
      </c>
      <c r="G1842" s="298"/>
      <c r="H1842" s="10"/>
      <c r="I1842" s="11"/>
      <c r="J1842" s="11"/>
      <c r="K1842" s="11"/>
      <c r="L1842" s="11"/>
      <c r="M1842" s="11"/>
      <c r="N1842" s="11"/>
      <c r="O1842" s="12"/>
      <c r="P1842" s="11"/>
      <c r="Q1842" s="13"/>
      <c r="R1842" s="14"/>
    </row>
    <row r="1843" spans="1:18" ht="15" customHeight="1">
      <c r="A1843" s="17" t="s">
        <v>48</v>
      </c>
      <c r="B1843" s="17" t="s">
        <v>394</v>
      </c>
      <c r="C1843" s="18">
        <v>0.98958333333333337</v>
      </c>
      <c r="D1843" s="17" t="s">
        <v>53</v>
      </c>
      <c r="E1843" s="17" t="s">
        <v>37</v>
      </c>
      <c r="F1843" s="17" t="s">
        <v>399</v>
      </c>
      <c r="G1843" s="298"/>
      <c r="H1843" s="10"/>
      <c r="I1843" s="11"/>
      <c r="J1843" s="11"/>
      <c r="K1843" s="11"/>
      <c r="L1843" s="11"/>
      <c r="M1843" s="11"/>
      <c r="N1843" s="11"/>
      <c r="O1843" s="12"/>
      <c r="P1843" s="11"/>
      <c r="Q1843" s="13"/>
      <c r="R1843" s="14"/>
    </row>
    <row r="1844" spans="1:18" ht="15" customHeight="1">
      <c r="A1844" s="17" t="s">
        <v>48</v>
      </c>
      <c r="B1844" s="17" t="s">
        <v>398</v>
      </c>
      <c r="C1844" s="18">
        <v>0.39930555555555558</v>
      </c>
      <c r="D1844" s="17" t="s">
        <v>53</v>
      </c>
      <c r="E1844" s="17" t="s">
        <v>37</v>
      </c>
      <c r="F1844" s="17" t="s">
        <v>399</v>
      </c>
      <c r="G1844" s="298"/>
      <c r="H1844" s="10"/>
      <c r="I1844" s="11"/>
      <c r="J1844" s="11"/>
      <c r="K1844" s="11"/>
      <c r="L1844" s="11"/>
      <c r="M1844" s="11"/>
      <c r="N1844" s="11"/>
      <c r="O1844" s="12"/>
      <c r="P1844" s="11"/>
      <c r="Q1844" s="13"/>
      <c r="R1844" s="14"/>
    </row>
    <row r="1845" spans="1:18" ht="15" customHeight="1">
      <c r="A1845" s="17" t="s">
        <v>48</v>
      </c>
      <c r="B1845" s="17" t="s">
        <v>397</v>
      </c>
      <c r="C1845" s="18">
        <v>0.88888888888888884</v>
      </c>
      <c r="D1845" s="17" t="s">
        <v>53</v>
      </c>
      <c r="E1845" s="17" t="s">
        <v>37</v>
      </c>
      <c r="F1845" s="17" t="s">
        <v>399</v>
      </c>
      <c r="G1845" s="298"/>
      <c r="H1845" s="10"/>
      <c r="I1845" s="11"/>
      <c r="J1845" s="11"/>
      <c r="K1845" s="11"/>
      <c r="L1845" s="11"/>
      <c r="M1845" s="11"/>
      <c r="N1845" s="11"/>
      <c r="O1845" s="12"/>
      <c r="P1845" s="11"/>
      <c r="Q1845" s="13"/>
      <c r="R1845" s="14"/>
    </row>
    <row r="1846" spans="1:18" ht="15" customHeight="1">
      <c r="A1846" s="17" t="s">
        <v>48</v>
      </c>
      <c r="B1846" s="17" t="s">
        <v>391</v>
      </c>
      <c r="C1846" s="18">
        <v>0.48958333333333331</v>
      </c>
      <c r="D1846" s="17" t="s">
        <v>53</v>
      </c>
      <c r="E1846" s="17" t="s">
        <v>57</v>
      </c>
      <c r="F1846" s="17" t="s">
        <v>490</v>
      </c>
      <c r="G1846" s="298"/>
      <c r="H1846" s="10"/>
      <c r="I1846" s="11"/>
      <c r="J1846" s="11"/>
      <c r="K1846" s="11"/>
      <c r="L1846" s="11"/>
      <c r="M1846" s="11"/>
      <c r="N1846" s="11"/>
      <c r="O1846" s="12"/>
      <c r="P1846" s="11"/>
      <c r="Q1846" s="13"/>
      <c r="R1846" s="14"/>
    </row>
    <row r="1847" spans="1:18" ht="15" customHeight="1">
      <c r="A1847" s="17" t="s">
        <v>48</v>
      </c>
      <c r="B1847" s="17" t="s">
        <v>386</v>
      </c>
      <c r="C1847" s="18">
        <v>0.82986111111111116</v>
      </c>
      <c r="D1847" s="17" t="s">
        <v>53</v>
      </c>
      <c r="E1847" s="17" t="s">
        <v>57</v>
      </c>
      <c r="F1847" s="17" t="s">
        <v>490</v>
      </c>
      <c r="G1847" s="298"/>
      <c r="H1847" s="10"/>
      <c r="I1847" s="11"/>
      <c r="J1847" s="11"/>
      <c r="K1847" s="11"/>
      <c r="L1847" s="11"/>
      <c r="M1847" s="11"/>
      <c r="N1847" s="11"/>
      <c r="O1847" s="12"/>
      <c r="P1847" s="11"/>
      <c r="Q1847" s="13"/>
      <c r="R1847" s="14"/>
    </row>
    <row r="1848" spans="1:18" ht="15" customHeight="1">
      <c r="A1848" s="17" t="s">
        <v>48</v>
      </c>
      <c r="B1848" s="17" t="s">
        <v>388</v>
      </c>
      <c r="C1848" s="18">
        <v>0.72222222222222221</v>
      </c>
      <c r="D1848" s="17" t="s">
        <v>53</v>
      </c>
      <c r="E1848" s="17" t="s">
        <v>57</v>
      </c>
      <c r="F1848" s="17" t="s">
        <v>490</v>
      </c>
      <c r="G1848" s="298"/>
      <c r="H1848" s="10"/>
      <c r="I1848" s="11"/>
      <c r="J1848" s="11"/>
      <c r="K1848" s="11"/>
      <c r="L1848" s="11"/>
      <c r="M1848" s="11"/>
      <c r="N1848" s="11"/>
      <c r="O1848" s="12"/>
      <c r="P1848" s="11"/>
      <c r="Q1848" s="13"/>
      <c r="R1848" s="14"/>
    </row>
    <row r="1849" spans="1:18" ht="15" customHeight="1">
      <c r="A1849" s="17" t="s">
        <v>48</v>
      </c>
      <c r="B1849" s="17" t="s">
        <v>382</v>
      </c>
      <c r="C1849" s="18">
        <v>0.11805555555555559</v>
      </c>
      <c r="D1849" s="17" t="s">
        <v>53</v>
      </c>
      <c r="E1849" s="17" t="s">
        <v>57</v>
      </c>
      <c r="F1849" s="17" t="s">
        <v>490</v>
      </c>
      <c r="G1849" s="298"/>
      <c r="H1849" s="10"/>
      <c r="I1849" s="11"/>
      <c r="J1849" s="11"/>
      <c r="K1849" s="11"/>
      <c r="L1849" s="11"/>
      <c r="M1849" s="11"/>
      <c r="N1849" s="11"/>
      <c r="O1849" s="12"/>
      <c r="P1849" s="11"/>
      <c r="Q1849" s="13"/>
      <c r="R1849" s="14"/>
    </row>
    <row r="1850" spans="1:18" ht="15" customHeight="1">
      <c r="A1850" s="17" t="s">
        <v>48</v>
      </c>
      <c r="B1850" s="17" t="s">
        <v>389</v>
      </c>
      <c r="C1850" s="18">
        <v>0.70138888888888884</v>
      </c>
      <c r="D1850" s="17" t="s">
        <v>53</v>
      </c>
      <c r="E1850" s="17" t="s">
        <v>57</v>
      </c>
      <c r="F1850" s="17" t="s">
        <v>490</v>
      </c>
      <c r="G1850" s="298"/>
      <c r="H1850" s="10"/>
      <c r="I1850" s="11"/>
      <c r="J1850" s="11"/>
      <c r="K1850" s="11"/>
      <c r="L1850" s="11"/>
      <c r="M1850" s="11"/>
      <c r="N1850" s="11"/>
      <c r="O1850" s="12"/>
      <c r="P1850" s="11"/>
      <c r="Q1850" s="13"/>
      <c r="R1850" s="14"/>
    </row>
    <row r="1851" spans="1:18" ht="15" customHeight="1">
      <c r="A1851" s="17" t="s">
        <v>48</v>
      </c>
      <c r="B1851" s="17" t="s">
        <v>400</v>
      </c>
      <c r="C1851" s="18">
        <v>0.25347222222222221</v>
      </c>
      <c r="D1851" s="17" t="s">
        <v>53</v>
      </c>
      <c r="E1851" s="17" t="s">
        <v>57</v>
      </c>
      <c r="F1851" s="17" t="s">
        <v>490</v>
      </c>
      <c r="G1851" s="298"/>
      <c r="H1851" s="10"/>
      <c r="I1851" s="11"/>
      <c r="J1851" s="11"/>
      <c r="K1851" s="11"/>
      <c r="L1851" s="11"/>
      <c r="M1851" s="11"/>
      <c r="N1851" s="11"/>
      <c r="O1851" s="12"/>
      <c r="P1851" s="11"/>
      <c r="Q1851" s="13"/>
      <c r="R1851" s="14"/>
    </row>
    <row r="1852" spans="1:18" ht="15" customHeight="1">
      <c r="A1852" s="17" t="s">
        <v>48</v>
      </c>
      <c r="B1852" s="17" t="s">
        <v>390</v>
      </c>
      <c r="C1852" s="18">
        <v>4.1666666666666657E-2</v>
      </c>
      <c r="D1852" s="17" t="s">
        <v>53</v>
      </c>
      <c r="E1852" s="17" t="s">
        <v>57</v>
      </c>
      <c r="F1852" s="17" t="s">
        <v>490</v>
      </c>
      <c r="G1852" s="298"/>
      <c r="H1852" s="10"/>
      <c r="I1852" s="11"/>
      <c r="J1852" s="11"/>
      <c r="K1852" s="11"/>
      <c r="L1852" s="11"/>
      <c r="M1852" s="11"/>
      <c r="N1852" s="11"/>
      <c r="O1852" s="12"/>
      <c r="P1852" s="11"/>
      <c r="Q1852" s="13"/>
      <c r="R1852" s="14"/>
    </row>
    <row r="1853" spans="1:18" ht="15" customHeight="1">
      <c r="A1853" s="17" t="s">
        <v>48</v>
      </c>
      <c r="B1853" s="17" t="s">
        <v>385</v>
      </c>
      <c r="C1853" s="18">
        <v>0.94097222222222221</v>
      </c>
      <c r="D1853" s="17" t="s">
        <v>53</v>
      </c>
      <c r="E1853" s="17" t="s">
        <v>57</v>
      </c>
      <c r="F1853" s="17" t="s">
        <v>490</v>
      </c>
      <c r="G1853" s="298"/>
      <c r="H1853" s="10"/>
      <c r="I1853" s="11"/>
      <c r="J1853" s="11"/>
      <c r="K1853" s="11"/>
      <c r="L1853" s="11"/>
      <c r="M1853" s="11"/>
      <c r="N1853" s="11"/>
      <c r="O1853" s="12"/>
      <c r="P1853" s="11"/>
      <c r="Q1853" s="13"/>
      <c r="R1853" s="14"/>
    </row>
    <row r="1854" spans="1:18" ht="15" customHeight="1">
      <c r="A1854" s="19" t="s">
        <v>415</v>
      </c>
      <c r="B1854" s="19" t="s">
        <v>416</v>
      </c>
      <c r="C1854" s="20">
        <v>0.10069444444444441</v>
      </c>
      <c r="D1854" s="19" t="s">
        <v>63</v>
      </c>
      <c r="E1854" s="19" t="s">
        <v>51</v>
      </c>
      <c r="F1854" s="19" t="s">
        <v>417</v>
      </c>
      <c r="G1854" s="298"/>
      <c r="H1854" s="10"/>
      <c r="I1854" s="11"/>
      <c r="J1854" s="11"/>
      <c r="K1854" s="11"/>
      <c r="L1854" s="11"/>
      <c r="M1854" s="11"/>
      <c r="N1854" s="11"/>
      <c r="O1854" s="12"/>
      <c r="P1854" s="11"/>
      <c r="Q1854" s="13"/>
      <c r="R1854" s="14"/>
    </row>
    <row r="1855" spans="1:18" ht="15" customHeight="1">
      <c r="A1855" s="19" t="s">
        <v>68</v>
      </c>
      <c r="B1855" s="19" t="s">
        <v>405</v>
      </c>
      <c r="C1855" s="20">
        <v>0.83680555555555547</v>
      </c>
      <c r="D1855" s="19" t="s">
        <v>70</v>
      </c>
      <c r="E1855" s="19" t="s">
        <v>51</v>
      </c>
      <c r="F1855" s="19" t="s">
        <v>524</v>
      </c>
      <c r="G1855" s="298"/>
      <c r="H1855" s="10"/>
      <c r="I1855" s="11"/>
      <c r="J1855" s="11"/>
      <c r="K1855" s="11"/>
      <c r="L1855" s="11"/>
      <c r="M1855" s="11"/>
      <c r="N1855" s="11"/>
      <c r="O1855" s="12"/>
      <c r="P1855" s="11"/>
      <c r="Q1855" s="13"/>
      <c r="R1855" s="14"/>
    </row>
    <row r="1856" spans="1:18" ht="15" customHeight="1">
      <c r="A1856" s="17" t="s">
        <v>68</v>
      </c>
      <c r="B1856" s="17" t="s">
        <v>407</v>
      </c>
      <c r="C1856" s="18">
        <v>0.3125</v>
      </c>
      <c r="D1856" s="17" t="s">
        <v>70</v>
      </c>
      <c r="E1856" s="17" t="s">
        <v>57</v>
      </c>
      <c r="F1856" s="17" t="s">
        <v>524</v>
      </c>
      <c r="G1856" s="298"/>
      <c r="H1856" s="10"/>
      <c r="I1856" s="11"/>
      <c r="J1856" s="11"/>
      <c r="K1856" s="11"/>
      <c r="L1856" s="11"/>
      <c r="M1856" s="11"/>
      <c r="N1856" s="11"/>
      <c r="O1856" s="12"/>
      <c r="P1856" s="11"/>
      <c r="Q1856" s="13"/>
      <c r="R1856" s="14"/>
    </row>
    <row r="1857" spans="1:18" ht="15" customHeight="1">
      <c r="A1857" s="17" t="s">
        <v>68</v>
      </c>
      <c r="B1857" s="17" t="s">
        <v>408</v>
      </c>
      <c r="C1857" s="18">
        <v>0.97222222222222221</v>
      </c>
      <c r="D1857" s="17" t="s">
        <v>70</v>
      </c>
      <c r="E1857" s="17" t="s">
        <v>57</v>
      </c>
      <c r="F1857" s="17" t="s">
        <v>524</v>
      </c>
      <c r="G1857" s="298"/>
      <c r="H1857" s="10"/>
      <c r="I1857" s="11"/>
      <c r="J1857" s="11"/>
      <c r="K1857" s="11"/>
      <c r="L1857" s="11"/>
      <c r="M1857" s="11"/>
      <c r="N1857" s="11"/>
      <c r="O1857" s="12"/>
      <c r="P1857" s="11"/>
      <c r="Q1857" s="13"/>
      <c r="R1857" s="14"/>
    </row>
    <row r="1858" spans="1:18" ht="15" customHeight="1">
      <c r="A1858" s="17" t="s">
        <v>68</v>
      </c>
      <c r="B1858" s="17" t="s">
        <v>437</v>
      </c>
      <c r="C1858" s="18">
        <v>0.1041666666666667</v>
      </c>
      <c r="D1858" s="17" t="s">
        <v>70</v>
      </c>
      <c r="E1858" s="17" t="s">
        <v>57</v>
      </c>
      <c r="F1858" s="17" t="s">
        <v>524</v>
      </c>
      <c r="G1858" s="298"/>
      <c r="H1858" s="10"/>
      <c r="I1858" s="11"/>
      <c r="J1858" s="11"/>
      <c r="K1858" s="11"/>
      <c r="L1858" s="11"/>
      <c r="M1858" s="11"/>
      <c r="N1858" s="11"/>
      <c r="O1858" s="12"/>
      <c r="P1858" s="11"/>
      <c r="Q1858" s="13"/>
      <c r="R1858" s="14"/>
    </row>
    <row r="1859" spans="1:18" ht="15" customHeight="1">
      <c r="A1859" s="17" t="s">
        <v>68</v>
      </c>
      <c r="B1859" s="17" t="s">
        <v>411</v>
      </c>
      <c r="C1859" s="18">
        <v>0.78472222222222221</v>
      </c>
      <c r="D1859" s="17" t="s">
        <v>70</v>
      </c>
      <c r="E1859" s="17" t="s">
        <v>57</v>
      </c>
      <c r="F1859" s="17" t="s">
        <v>524</v>
      </c>
      <c r="G1859" s="298"/>
      <c r="H1859" s="10"/>
      <c r="I1859" s="11"/>
      <c r="J1859" s="11"/>
      <c r="K1859" s="11"/>
      <c r="L1859" s="11"/>
      <c r="M1859" s="11"/>
      <c r="N1859" s="11"/>
      <c r="O1859" s="12"/>
      <c r="P1859" s="11"/>
      <c r="Q1859" s="13"/>
      <c r="R1859" s="14"/>
    </row>
    <row r="1860" spans="1:18" ht="15" customHeight="1">
      <c r="A1860" s="17" t="s">
        <v>68</v>
      </c>
      <c r="B1860" s="17" t="s">
        <v>410</v>
      </c>
      <c r="C1860" s="18">
        <v>0.59722222222222221</v>
      </c>
      <c r="D1860" s="17" t="s">
        <v>70</v>
      </c>
      <c r="E1860" s="17" t="s">
        <v>57</v>
      </c>
      <c r="F1860" s="17" t="s">
        <v>524</v>
      </c>
      <c r="G1860" s="298"/>
      <c r="H1860" s="10"/>
      <c r="I1860" s="11"/>
      <c r="J1860" s="11"/>
      <c r="K1860" s="11"/>
      <c r="L1860" s="11"/>
      <c r="M1860" s="11"/>
      <c r="N1860" s="11"/>
      <c r="O1860" s="12"/>
      <c r="P1860" s="11"/>
      <c r="Q1860" s="13"/>
      <c r="R1860" s="14"/>
    </row>
    <row r="1861" spans="1:18" ht="15" customHeight="1" thickBot="1">
      <c r="A1861" s="30" t="s">
        <v>68</v>
      </c>
      <c r="B1861" s="30" t="s">
        <v>413</v>
      </c>
      <c r="C1861" s="31">
        <v>4.8611111111111112E-2</v>
      </c>
      <c r="D1861" s="30" t="s">
        <v>70</v>
      </c>
      <c r="E1861" s="30" t="s">
        <v>57</v>
      </c>
      <c r="F1861" s="30" t="s">
        <v>524</v>
      </c>
      <c r="G1861" s="299"/>
      <c r="H1861" s="300"/>
      <c r="I1861" s="140"/>
      <c r="J1861" s="140"/>
      <c r="K1861" s="140"/>
      <c r="L1861" s="140"/>
      <c r="M1861" s="140"/>
      <c r="N1861" s="140"/>
      <c r="O1861" s="141"/>
      <c r="P1861" s="140"/>
      <c r="Q1861" s="142"/>
      <c r="R1861" s="301"/>
    </row>
    <row r="1862" spans="1:18" ht="17.45" customHeight="1" thickBot="1">
      <c r="A1862" s="283"/>
      <c r="B1862" s="284"/>
      <c r="C1862" s="284"/>
      <c r="D1862" s="284"/>
      <c r="E1862" s="284"/>
      <c r="F1862" s="284"/>
      <c r="G1862" s="284"/>
      <c r="H1862" s="284"/>
      <c r="I1862" s="284"/>
      <c r="J1862" s="284"/>
      <c r="K1862" s="284"/>
      <c r="L1862" s="284"/>
      <c r="M1862" s="284"/>
      <c r="N1862" s="284"/>
      <c r="O1862" s="284"/>
      <c r="P1862" s="284"/>
      <c r="Q1862" s="284"/>
      <c r="R1862" s="285"/>
    </row>
    <row r="1863" spans="1:18" ht="22.15" customHeight="1" thickTop="1" thickBot="1">
      <c r="A1863" s="279" t="s">
        <v>6</v>
      </c>
      <c r="B1863" s="295"/>
      <c r="C1863" s="295"/>
      <c r="D1863" s="295"/>
      <c r="E1863" s="295"/>
      <c r="F1863" s="296"/>
      <c r="G1863" s="32">
        <v>46048</v>
      </c>
      <c r="H1863" s="278" t="s">
        <v>7</v>
      </c>
      <c r="I1863" s="295"/>
      <c r="J1863" s="295"/>
      <c r="K1863" s="295"/>
      <c r="L1863" s="295"/>
      <c r="M1863" s="295"/>
      <c r="N1863" s="295"/>
      <c r="O1863" s="295"/>
      <c r="P1863" s="295"/>
      <c r="Q1863" s="295"/>
      <c r="R1863" s="296"/>
    </row>
    <row r="1864" spans="1:18" ht="24" customHeight="1">
      <c r="A1864" s="33" t="s">
        <v>8</v>
      </c>
      <c r="B1864" s="33" t="s">
        <v>9</v>
      </c>
      <c r="C1864" s="34" t="s">
        <v>10</v>
      </c>
      <c r="D1864" s="33" t="s">
        <v>11</v>
      </c>
      <c r="E1864" s="33" t="s">
        <v>12</v>
      </c>
      <c r="F1864" s="35" t="s">
        <v>13</v>
      </c>
      <c r="G1864" s="36" t="s">
        <v>14</v>
      </c>
      <c r="H1864" s="33" t="s">
        <v>15</v>
      </c>
      <c r="I1864" s="37" t="s">
        <v>16</v>
      </c>
      <c r="J1864" s="38" t="s">
        <v>17</v>
      </c>
      <c r="K1864" s="39" t="s">
        <v>18</v>
      </c>
      <c r="L1864" s="38" t="s">
        <v>19</v>
      </c>
      <c r="M1864" s="38" t="s">
        <v>20</v>
      </c>
      <c r="N1864" s="38" t="s">
        <v>21</v>
      </c>
      <c r="O1864" s="33" t="s">
        <v>22</v>
      </c>
      <c r="P1864" s="34" t="s">
        <v>23</v>
      </c>
      <c r="Q1864" s="38" t="s">
        <v>24</v>
      </c>
      <c r="R1864" s="33" t="s">
        <v>25</v>
      </c>
    </row>
    <row r="1865" spans="1:18" ht="15" customHeight="1">
      <c r="A1865" s="8" t="s">
        <v>38</v>
      </c>
      <c r="B1865" s="8" t="s">
        <v>342</v>
      </c>
      <c r="C1865" s="9">
        <v>0.48958333333333331</v>
      </c>
      <c r="D1865" s="8" t="s">
        <v>40</v>
      </c>
      <c r="E1865" s="8" t="s">
        <v>192</v>
      </c>
      <c r="F1865" s="8" t="s">
        <v>81</v>
      </c>
      <c r="G1865" s="297"/>
      <c r="H1865" s="10"/>
      <c r="I1865" s="11"/>
      <c r="J1865" s="11"/>
      <c r="K1865" s="11"/>
      <c r="L1865" s="11"/>
      <c r="M1865" s="11"/>
      <c r="N1865" s="11"/>
      <c r="O1865" s="12"/>
      <c r="P1865" s="11"/>
      <c r="Q1865" s="13"/>
      <c r="R1865" s="14"/>
    </row>
    <row r="1866" spans="1:18" ht="15" customHeight="1">
      <c r="A1866" s="15" t="s">
        <v>38</v>
      </c>
      <c r="B1866" s="15" t="s">
        <v>342</v>
      </c>
      <c r="C1866" s="16">
        <v>0.48958333333333331</v>
      </c>
      <c r="D1866" s="15" t="s">
        <v>43</v>
      </c>
      <c r="E1866" s="15" t="s">
        <v>193</v>
      </c>
      <c r="F1866" s="15" t="s">
        <v>161</v>
      </c>
      <c r="G1866" s="298"/>
      <c r="H1866" s="10"/>
      <c r="I1866" s="11"/>
      <c r="J1866" s="11"/>
      <c r="K1866" s="11"/>
      <c r="L1866" s="11"/>
      <c r="M1866" s="11"/>
      <c r="N1866" s="11"/>
      <c r="O1866" s="12"/>
      <c r="P1866" s="11"/>
      <c r="Q1866" s="13"/>
      <c r="R1866" s="14"/>
    </row>
    <row r="1867" spans="1:18" ht="15" customHeight="1">
      <c r="A1867" s="15" t="s">
        <v>38</v>
      </c>
      <c r="B1867" s="15" t="s">
        <v>342</v>
      </c>
      <c r="C1867" s="16">
        <v>0.48958333333333331</v>
      </c>
      <c r="D1867" s="15" t="s">
        <v>46</v>
      </c>
      <c r="E1867" s="15" t="s">
        <v>193</v>
      </c>
      <c r="F1867" s="15" t="s">
        <v>47</v>
      </c>
      <c r="G1867" s="298"/>
      <c r="H1867" s="10"/>
      <c r="I1867" s="11"/>
      <c r="J1867" s="11"/>
      <c r="K1867" s="11"/>
      <c r="L1867" s="11"/>
      <c r="M1867" s="11"/>
      <c r="N1867" s="11"/>
      <c r="O1867" s="12"/>
      <c r="P1867" s="11"/>
      <c r="Q1867" s="13"/>
      <c r="R1867" s="14"/>
    </row>
    <row r="1868" spans="1:18" ht="15" customHeight="1">
      <c r="A1868" s="17" t="s">
        <v>38</v>
      </c>
      <c r="B1868" s="17" t="s">
        <v>346</v>
      </c>
      <c r="C1868" s="18">
        <v>0.39930555555555558</v>
      </c>
      <c r="D1868" s="17" t="s">
        <v>40</v>
      </c>
      <c r="E1868" s="17" t="s">
        <v>125</v>
      </c>
      <c r="F1868" s="17" t="s">
        <v>347</v>
      </c>
      <c r="G1868" s="298"/>
      <c r="H1868" s="10"/>
      <c r="I1868" s="11"/>
      <c r="J1868" s="11"/>
      <c r="K1868" s="11"/>
      <c r="L1868" s="11"/>
      <c r="M1868" s="11"/>
      <c r="N1868" s="11"/>
      <c r="O1868" s="12"/>
      <c r="P1868" s="11"/>
      <c r="Q1868" s="13"/>
      <c r="R1868" s="14"/>
    </row>
    <row r="1869" spans="1:18" ht="15" customHeight="1">
      <c r="A1869" s="15" t="s">
        <v>38</v>
      </c>
      <c r="B1869" s="15" t="s">
        <v>346</v>
      </c>
      <c r="C1869" s="16">
        <v>0.39930555555555558</v>
      </c>
      <c r="D1869" s="15" t="s">
        <v>43</v>
      </c>
      <c r="E1869" s="15" t="s">
        <v>44</v>
      </c>
      <c r="F1869" s="15" t="s">
        <v>138</v>
      </c>
      <c r="G1869" s="298"/>
      <c r="H1869" s="10"/>
      <c r="I1869" s="11"/>
      <c r="J1869" s="11"/>
      <c r="K1869" s="11"/>
      <c r="L1869" s="11"/>
      <c r="M1869" s="11"/>
      <c r="N1869" s="11"/>
      <c r="O1869" s="12"/>
      <c r="P1869" s="11"/>
      <c r="Q1869" s="13"/>
      <c r="R1869" s="14"/>
    </row>
    <row r="1870" spans="1:18" ht="15" customHeight="1">
      <c r="A1870" s="15" t="s">
        <v>38</v>
      </c>
      <c r="B1870" s="15" t="s">
        <v>346</v>
      </c>
      <c r="C1870" s="16">
        <v>0.39930555555555558</v>
      </c>
      <c r="D1870" s="15" t="s">
        <v>46</v>
      </c>
      <c r="E1870" s="15" t="s">
        <v>44</v>
      </c>
      <c r="F1870" s="15" t="s">
        <v>47</v>
      </c>
      <c r="G1870" s="298"/>
      <c r="H1870" s="10"/>
      <c r="I1870" s="11"/>
      <c r="J1870" s="11"/>
      <c r="K1870" s="11"/>
      <c r="L1870" s="11"/>
      <c r="M1870" s="11"/>
      <c r="N1870" s="11"/>
      <c r="O1870" s="12"/>
      <c r="P1870" s="11"/>
      <c r="Q1870" s="13"/>
      <c r="R1870" s="14"/>
    </row>
    <row r="1871" spans="1:18" ht="15" customHeight="1">
      <c r="A1871" s="17" t="s">
        <v>38</v>
      </c>
      <c r="B1871" s="17" t="s">
        <v>344</v>
      </c>
      <c r="C1871" s="18">
        <v>0.88888888888888884</v>
      </c>
      <c r="D1871" s="17" t="s">
        <v>40</v>
      </c>
      <c r="E1871" s="17" t="s">
        <v>125</v>
      </c>
      <c r="F1871" s="17" t="s">
        <v>347</v>
      </c>
      <c r="G1871" s="298"/>
      <c r="H1871" s="10"/>
      <c r="I1871" s="11"/>
      <c r="J1871" s="11"/>
      <c r="K1871" s="11"/>
      <c r="L1871" s="11"/>
      <c r="M1871" s="11"/>
      <c r="N1871" s="11"/>
      <c r="O1871" s="12"/>
      <c r="P1871" s="11"/>
      <c r="Q1871" s="13"/>
      <c r="R1871" s="14"/>
    </row>
    <row r="1872" spans="1:18" ht="15" customHeight="1">
      <c r="A1872" s="15" t="s">
        <v>38</v>
      </c>
      <c r="B1872" s="15" t="s">
        <v>344</v>
      </c>
      <c r="C1872" s="16">
        <v>0.88888888888888884</v>
      </c>
      <c r="D1872" s="15" t="s">
        <v>43</v>
      </c>
      <c r="E1872" s="15" t="s">
        <v>44</v>
      </c>
      <c r="F1872" s="15" t="s">
        <v>138</v>
      </c>
      <c r="G1872" s="298"/>
      <c r="H1872" s="10"/>
      <c r="I1872" s="11"/>
      <c r="J1872" s="11"/>
      <c r="K1872" s="11"/>
      <c r="L1872" s="11"/>
      <c r="M1872" s="11"/>
      <c r="N1872" s="11"/>
      <c r="O1872" s="12"/>
      <c r="P1872" s="11"/>
      <c r="Q1872" s="13"/>
      <c r="R1872" s="14"/>
    </row>
    <row r="1873" spans="1:18" ht="15" customHeight="1">
      <c r="A1873" s="15" t="s">
        <v>38</v>
      </c>
      <c r="B1873" s="15" t="s">
        <v>344</v>
      </c>
      <c r="C1873" s="16">
        <v>0.88888888888888884</v>
      </c>
      <c r="D1873" s="15" t="s">
        <v>46</v>
      </c>
      <c r="E1873" s="15" t="s">
        <v>44</v>
      </c>
      <c r="F1873" s="15" t="s">
        <v>47</v>
      </c>
      <c r="G1873" s="298"/>
      <c r="H1873" s="10"/>
      <c r="I1873" s="11"/>
      <c r="J1873" s="11"/>
      <c r="K1873" s="11"/>
      <c r="L1873" s="11"/>
      <c r="M1873" s="11"/>
      <c r="N1873" s="11"/>
      <c r="O1873" s="12"/>
      <c r="P1873" s="11"/>
      <c r="Q1873" s="13"/>
      <c r="R1873" s="14"/>
    </row>
    <row r="1874" spans="1:18" ht="15" customHeight="1">
      <c r="A1874" s="17" t="s">
        <v>38</v>
      </c>
      <c r="B1874" s="17" t="s">
        <v>345</v>
      </c>
      <c r="C1874" s="18">
        <v>0.98958333333333337</v>
      </c>
      <c r="D1874" s="17" t="s">
        <v>40</v>
      </c>
      <c r="E1874" s="17" t="s">
        <v>125</v>
      </c>
      <c r="F1874" s="17" t="s">
        <v>347</v>
      </c>
      <c r="G1874" s="298"/>
      <c r="H1874" s="10"/>
      <c r="I1874" s="11"/>
      <c r="J1874" s="11"/>
      <c r="K1874" s="11"/>
      <c r="L1874" s="11"/>
      <c r="M1874" s="11"/>
      <c r="N1874" s="11"/>
      <c r="O1874" s="12"/>
      <c r="P1874" s="11"/>
      <c r="Q1874" s="13"/>
      <c r="R1874" s="14"/>
    </row>
    <row r="1875" spans="1:18" ht="15" customHeight="1">
      <c r="A1875" s="15" t="s">
        <v>38</v>
      </c>
      <c r="B1875" s="15" t="s">
        <v>345</v>
      </c>
      <c r="C1875" s="16">
        <v>0.98958333333333337</v>
      </c>
      <c r="D1875" s="15" t="s">
        <v>43</v>
      </c>
      <c r="E1875" s="15" t="s">
        <v>44</v>
      </c>
      <c r="F1875" s="15" t="s">
        <v>138</v>
      </c>
      <c r="G1875" s="298"/>
      <c r="H1875" s="10"/>
      <c r="I1875" s="11"/>
      <c r="J1875" s="11"/>
      <c r="K1875" s="11"/>
      <c r="L1875" s="11"/>
      <c r="M1875" s="11"/>
      <c r="N1875" s="11"/>
      <c r="O1875" s="12"/>
      <c r="P1875" s="11"/>
      <c r="Q1875" s="13"/>
      <c r="R1875" s="14"/>
    </row>
    <row r="1876" spans="1:18" ht="15" customHeight="1">
      <c r="A1876" s="15" t="s">
        <v>38</v>
      </c>
      <c r="B1876" s="15" t="s">
        <v>345</v>
      </c>
      <c r="C1876" s="16">
        <v>0.98958333333333337</v>
      </c>
      <c r="D1876" s="15" t="s">
        <v>46</v>
      </c>
      <c r="E1876" s="15" t="s">
        <v>44</v>
      </c>
      <c r="F1876" s="15" t="s">
        <v>47</v>
      </c>
      <c r="G1876" s="298"/>
      <c r="H1876" s="10"/>
      <c r="I1876" s="11"/>
      <c r="J1876" s="11"/>
      <c r="K1876" s="11"/>
      <c r="L1876" s="11"/>
      <c r="M1876" s="11"/>
      <c r="N1876" s="11"/>
      <c r="O1876" s="12"/>
      <c r="P1876" s="11"/>
      <c r="Q1876" s="13"/>
      <c r="R1876" s="14"/>
    </row>
    <row r="1877" spans="1:18" ht="15" customHeight="1">
      <c r="A1877" s="19" t="s">
        <v>359</v>
      </c>
      <c r="B1877" s="19" t="s">
        <v>360</v>
      </c>
      <c r="C1877" s="20">
        <v>0.22569444444444439</v>
      </c>
      <c r="D1877" s="19" t="s">
        <v>361</v>
      </c>
      <c r="E1877" s="19" t="s">
        <v>80</v>
      </c>
      <c r="F1877" s="19" t="s">
        <v>525</v>
      </c>
      <c r="G1877" s="298"/>
      <c r="H1877" s="10"/>
      <c r="I1877" s="11"/>
      <c r="J1877" s="11"/>
      <c r="K1877" s="11"/>
      <c r="L1877" s="11"/>
      <c r="M1877" s="11"/>
      <c r="N1877" s="11"/>
      <c r="O1877" s="12"/>
      <c r="P1877" s="11"/>
      <c r="Q1877" s="13"/>
      <c r="R1877" s="14"/>
    </row>
    <row r="1878" spans="1:18" ht="15" customHeight="1">
      <c r="A1878" s="15" t="s">
        <v>359</v>
      </c>
      <c r="B1878" s="15" t="s">
        <v>360</v>
      </c>
      <c r="C1878" s="16">
        <v>0.22569444444444439</v>
      </c>
      <c r="D1878" s="15" t="s">
        <v>46</v>
      </c>
      <c r="E1878" s="15" t="s">
        <v>82</v>
      </c>
      <c r="F1878" s="15" t="s">
        <v>526</v>
      </c>
      <c r="G1878" s="298"/>
      <c r="H1878" s="10"/>
      <c r="I1878" s="11"/>
      <c r="J1878" s="11"/>
      <c r="K1878" s="11"/>
      <c r="L1878" s="11"/>
      <c r="M1878" s="11"/>
      <c r="N1878" s="11"/>
      <c r="O1878" s="12"/>
      <c r="P1878" s="11"/>
      <c r="Q1878" s="13"/>
      <c r="R1878" s="14"/>
    </row>
    <row r="1879" spans="1:18" ht="15" customHeight="1">
      <c r="A1879" s="17" t="s">
        <v>359</v>
      </c>
      <c r="B1879" s="17" t="s">
        <v>445</v>
      </c>
      <c r="C1879" s="18">
        <v>1.388888888888889E-2</v>
      </c>
      <c r="D1879" s="17" t="s">
        <v>361</v>
      </c>
      <c r="E1879" s="17" t="s">
        <v>90</v>
      </c>
      <c r="F1879" s="17" t="s">
        <v>525</v>
      </c>
      <c r="G1879" s="298"/>
      <c r="H1879" s="10"/>
      <c r="I1879" s="11"/>
      <c r="J1879" s="11"/>
      <c r="K1879" s="11"/>
      <c r="L1879" s="11"/>
      <c r="M1879" s="11"/>
      <c r="N1879" s="11"/>
      <c r="O1879" s="12"/>
      <c r="P1879" s="11"/>
      <c r="Q1879" s="13"/>
      <c r="R1879" s="14"/>
    </row>
    <row r="1880" spans="1:18" ht="15" customHeight="1">
      <c r="A1880" s="15" t="s">
        <v>359</v>
      </c>
      <c r="B1880" s="15" t="s">
        <v>445</v>
      </c>
      <c r="C1880" s="16">
        <v>1.388888888888889E-2</v>
      </c>
      <c r="D1880" s="15" t="s">
        <v>46</v>
      </c>
      <c r="E1880" s="15" t="s">
        <v>82</v>
      </c>
      <c r="F1880" s="15" t="s">
        <v>526</v>
      </c>
      <c r="G1880" s="298"/>
      <c r="H1880" s="10"/>
      <c r="I1880" s="11"/>
      <c r="J1880" s="11"/>
      <c r="K1880" s="11"/>
      <c r="L1880" s="11"/>
      <c r="M1880" s="11"/>
      <c r="N1880" s="11"/>
      <c r="O1880" s="12"/>
      <c r="P1880" s="11"/>
      <c r="Q1880" s="13"/>
      <c r="R1880" s="14"/>
    </row>
    <row r="1881" spans="1:18" ht="15" customHeight="1">
      <c r="A1881" s="19" t="s">
        <v>26</v>
      </c>
      <c r="B1881" s="19" t="s">
        <v>348</v>
      </c>
      <c r="C1881" s="20">
        <v>0.99305555555555547</v>
      </c>
      <c r="D1881" s="19" t="s">
        <v>28</v>
      </c>
      <c r="E1881" s="19" t="s">
        <v>29</v>
      </c>
      <c r="F1881" s="19" t="s">
        <v>83</v>
      </c>
      <c r="G1881" s="298"/>
      <c r="H1881" s="10"/>
      <c r="I1881" s="11"/>
      <c r="J1881" s="11"/>
      <c r="K1881" s="11"/>
      <c r="L1881" s="11"/>
      <c r="M1881" s="11"/>
      <c r="N1881" s="11"/>
      <c r="O1881" s="12"/>
      <c r="P1881" s="11"/>
      <c r="Q1881" s="13"/>
      <c r="R1881" s="14"/>
    </row>
    <row r="1882" spans="1:18" ht="15" customHeight="1">
      <c r="A1882" s="15" t="s">
        <v>26</v>
      </c>
      <c r="B1882" s="15" t="s">
        <v>348</v>
      </c>
      <c r="C1882" s="16">
        <v>0.99305555555555547</v>
      </c>
      <c r="D1882" s="15" t="s">
        <v>31</v>
      </c>
      <c r="E1882" s="15" t="s">
        <v>32</v>
      </c>
      <c r="F1882" s="15" t="s">
        <v>159</v>
      </c>
      <c r="G1882" s="298"/>
      <c r="H1882" s="10"/>
      <c r="I1882" s="11"/>
      <c r="J1882" s="11"/>
      <c r="K1882" s="11"/>
      <c r="L1882" s="11"/>
      <c r="M1882" s="11"/>
      <c r="N1882" s="11"/>
      <c r="O1882" s="12"/>
      <c r="P1882" s="11"/>
      <c r="Q1882" s="13"/>
      <c r="R1882" s="14"/>
    </row>
    <row r="1883" spans="1:18" ht="15" customHeight="1">
      <c r="A1883" s="15" t="s">
        <v>26</v>
      </c>
      <c r="B1883" s="15" t="s">
        <v>348</v>
      </c>
      <c r="C1883" s="16">
        <v>0.99305555555555547</v>
      </c>
      <c r="D1883" s="15" t="s">
        <v>34</v>
      </c>
      <c r="E1883" s="15" t="s">
        <v>32</v>
      </c>
      <c r="F1883" s="15" t="s">
        <v>355</v>
      </c>
      <c r="G1883" s="298"/>
      <c r="H1883" s="10"/>
      <c r="I1883" s="11"/>
      <c r="J1883" s="11"/>
      <c r="K1883" s="11"/>
      <c r="L1883" s="11"/>
      <c r="M1883" s="11"/>
      <c r="N1883" s="11"/>
      <c r="O1883" s="12"/>
      <c r="P1883" s="11"/>
      <c r="Q1883" s="13"/>
      <c r="R1883" s="14"/>
    </row>
    <row r="1884" spans="1:18" ht="15" customHeight="1">
      <c r="A1884" s="17" t="s">
        <v>26</v>
      </c>
      <c r="B1884" s="17" t="s">
        <v>351</v>
      </c>
      <c r="C1884" s="18">
        <v>0.83680555555555547</v>
      </c>
      <c r="D1884" s="17" t="s">
        <v>28</v>
      </c>
      <c r="E1884" s="17" t="s">
        <v>91</v>
      </c>
      <c r="F1884" s="17" t="s">
        <v>83</v>
      </c>
      <c r="G1884" s="298"/>
      <c r="H1884" s="10"/>
      <c r="I1884" s="11"/>
      <c r="J1884" s="11"/>
      <c r="K1884" s="11"/>
      <c r="L1884" s="11"/>
      <c r="M1884" s="11"/>
      <c r="N1884" s="11"/>
      <c r="O1884" s="12"/>
      <c r="P1884" s="11"/>
      <c r="Q1884" s="13"/>
      <c r="R1884" s="14"/>
    </row>
    <row r="1885" spans="1:18" ht="15" customHeight="1">
      <c r="A1885" s="15" t="s">
        <v>26</v>
      </c>
      <c r="B1885" s="15" t="s">
        <v>351</v>
      </c>
      <c r="C1885" s="16">
        <v>0.83680555555555547</v>
      </c>
      <c r="D1885" s="15" t="s">
        <v>31</v>
      </c>
      <c r="E1885" s="15" t="s">
        <v>92</v>
      </c>
      <c r="F1885" s="15" t="s">
        <v>159</v>
      </c>
      <c r="G1885" s="298"/>
      <c r="H1885" s="10"/>
      <c r="I1885" s="11"/>
      <c r="J1885" s="11"/>
      <c r="K1885" s="11"/>
      <c r="L1885" s="11"/>
      <c r="M1885" s="11"/>
      <c r="N1885" s="11"/>
      <c r="O1885" s="12"/>
      <c r="P1885" s="11"/>
      <c r="Q1885" s="13"/>
      <c r="R1885" s="14"/>
    </row>
    <row r="1886" spans="1:18" ht="15" customHeight="1">
      <c r="A1886" s="15" t="s">
        <v>26</v>
      </c>
      <c r="B1886" s="15" t="s">
        <v>351</v>
      </c>
      <c r="C1886" s="16">
        <v>0.83680555555555547</v>
      </c>
      <c r="D1886" s="15" t="s">
        <v>34</v>
      </c>
      <c r="E1886" s="15" t="s">
        <v>92</v>
      </c>
      <c r="F1886" s="15" t="s">
        <v>355</v>
      </c>
      <c r="G1886" s="298"/>
      <c r="H1886" s="10"/>
      <c r="I1886" s="11"/>
      <c r="J1886" s="11"/>
      <c r="K1886" s="11"/>
      <c r="L1886" s="11"/>
      <c r="M1886" s="11"/>
      <c r="N1886" s="11"/>
      <c r="O1886" s="12"/>
      <c r="P1886" s="11"/>
      <c r="Q1886" s="13"/>
      <c r="R1886" s="14"/>
    </row>
    <row r="1887" spans="1:18" ht="15" customHeight="1">
      <c r="A1887" s="17" t="s">
        <v>26</v>
      </c>
      <c r="B1887" s="17" t="s">
        <v>353</v>
      </c>
      <c r="C1887" s="18">
        <v>0.88888888888888884</v>
      </c>
      <c r="D1887" s="17" t="s">
        <v>28</v>
      </c>
      <c r="E1887" s="17" t="s">
        <v>37</v>
      </c>
      <c r="F1887" s="17" t="s">
        <v>83</v>
      </c>
      <c r="G1887" s="298"/>
      <c r="H1887" s="10"/>
      <c r="I1887" s="11"/>
      <c r="J1887" s="11"/>
      <c r="K1887" s="11"/>
      <c r="L1887" s="11"/>
      <c r="M1887" s="11"/>
      <c r="N1887" s="11"/>
      <c r="O1887" s="12"/>
      <c r="P1887" s="11"/>
      <c r="Q1887" s="13"/>
      <c r="R1887" s="14"/>
    </row>
    <row r="1888" spans="1:18" ht="15" customHeight="1">
      <c r="A1888" s="15" t="s">
        <v>26</v>
      </c>
      <c r="B1888" s="15" t="s">
        <v>353</v>
      </c>
      <c r="C1888" s="16">
        <v>0.88888888888888884</v>
      </c>
      <c r="D1888" s="15" t="s">
        <v>31</v>
      </c>
      <c r="E1888" s="15" t="s">
        <v>32</v>
      </c>
      <c r="F1888" s="15" t="s">
        <v>159</v>
      </c>
      <c r="G1888" s="298"/>
      <c r="H1888" s="10"/>
      <c r="I1888" s="11"/>
      <c r="J1888" s="11"/>
      <c r="K1888" s="11"/>
      <c r="L1888" s="11"/>
      <c r="M1888" s="11"/>
      <c r="N1888" s="11"/>
      <c r="O1888" s="12"/>
      <c r="P1888" s="11"/>
      <c r="Q1888" s="13"/>
      <c r="R1888" s="14"/>
    </row>
    <row r="1889" spans="1:18" ht="15" customHeight="1">
      <c r="A1889" s="15" t="s">
        <v>26</v>
      </c>
      <c r="B1889" s="15" t="s">
        <v>353</v>
      </c>
      <c r="C1889" s="16">
        <v>0.88888888888888884</v>
      </c>
      <c r="D1889" s="15" t="s">
        <v>34</v>
      </c>
      <c r="E1889" s="15" t="s">
        <v>32</v>
      </c>
      <c r="F1889" s="15" t="s">
        <v>355</v>
      </c>
      <c r="G1889" s="298"/>
      <c r="H1889" s="10"/>
      <c r="I1889" s="11"/>
      <c r="J1889" s="11"/>
      <c r="K1889" s="11"/>
      <c r="L1889" s="11"/>
      <c r="M1889" s="11"/>
      <c r="N1889" s="11"/>
      <c r="O1889" s="12"/>
      <c r="P1889" s="11"/>
      <c r="Q1889" s="13"/>
      <c r="R1889" s="14"/>
    </row>
    <row r="1890" spans="1:18" ht="15" customHeight="1">
      <c r="A1890" s="17" t="s">
        <v>26</v>
      </c>
      <c r="B1890" s="17" t="s">
        <v>354</v>
      </c>
      <c r="C1890" s="18">
        <v>0.34722222222222232</v>
      </c>
      <c r="D1890" s="17" t="s">
        <v>28</v>
      </c>
      <c r="E1890" s="17" t="s">
        <v>200</v>
      </c>
      <c r="F1890" s="17" t="s">
        <v>79</v>
      </c>
      <c r="G1890" s="298"/>
      <c r="H1890" s="10"/>
      <c r="I1890" s="11"/>
      <c r="J1890" s="11"/>
      <c r="K1890" s="11"/>
      <c r="L1890" s="11"/>
      <c r="M1890" s="11"/>
      <c r="N1890" s="11"/>
      <c r="O1890" s="12"/>
      <c r="P1890" s="11"/>
      <c r="Q1890" s="13"/>
      <c r="R1890" s="14"/>
    </row>
    <row r="1891" spans="1:18" ht="15" customHeight="1">
      <c r="A1891" s="15" t="s">
        <v>26</v>
      </c>
      <c r="B1891" s="15" t="s">
        <v>354</v>
      </c>
      <c r="C1891" s="16">
        <v>0.34722222222222232</v>
      </c>
      <c r="D1891" s="15" t="s">
        <v>31</v>
      </c>
      <c r="E1891" s="15" t="s">
        <v>127</v>
      </c>
      <c r="F1891" s="15" t="s">
        <v>123</v>
      </c>
      <c r="G1891" s="298"/>
      <c r="H1891" s="10"/>
      <c r="I1891" s="11"/>
      <c r="J1891" s="11"/>
      <c r="K1891" s="11"/>
      <c r="L1891" s="11"/>
      <c r="M1891" s="11"/>
      <c r="N1891" s="11"/>
      <c r="O1891" s="12"/>
      <c r="P1891" s="11"/>
      <c r="Q1891" s="13"/>
      <c r="R1891" s="14"/>
    </row>
    <row r="1892" spans="1:18" ht="15" customHeight="1">
      <c r="A1892" s="15" t="s">
        <v>26</v>
      </c>
      <c r="B1892" s="15" t="s">
        <v>354</v>
      </c>
      <c r="C1892" s="16">
        <v>0.34722222222222232</v>
      </c>
      <c r="D1892" s="15" t="s">
        <v>34</v>
      </c>
      <c r="E1892" s="15" t="s">
        <v>127</v>
      </c>
      <c r="F1892" s="15" t="s">
        <v>118</v>
      </c>
      <c r="G1892" s="298"/>
      <c r="H1892" s="10"/>
      <c r="I1892" s="11"/>
      <c r="J1892" s="11"/>
      <c r="K1892" s="11"/>
      <c r="L1892" s="11"/>
      <c r="M1892" s="11"/>
      <c r="N1892" s="11"/>
      <c r="O1892" s="12"/>
      <c r="P1892" s="11"/>
      <c r="Q1892" s="13"/>
      <c r="R1892" s="14"/>
    </row>
    <row r="1893" spans="1:18" ht="15" customHeight="1">
      <c r="A1893" s="17" t="s">
        <v>26</v>
      </c>
      <c r="B1893" s="17" t="s">
        <v>356</v>
      </c>
      <c r="C1893" s="18">
        <v>0.4861111111111111</v>
      </c>
      <c r="D1893" s="17" t="s">
        <v>28</v>
      </c>
      <c r="E1893" s="17" t="s">
        <v>200</v>
      </c>
      <c r="F1893" s="17" t="s">
        <v>79</v>
      </c>
      <c r="G1893" s="298"/>
      <c r="H1893" s="10"/>
      <c r="I1893" s="11"/>
      <c r="J1893" s="11"/>
      <c r="K1893" s="11"/>
      <c r="L1893" s="11"/>
      <c r="M1893" s="11"/>
      <c r="N1893" s="11"/>
      <c r="O1893" s="12"/>
      <c r="P1893" s="11"/>
      <c r="Q1893" s="13"/>
      <c r="R1893" s="14"/>
    </row>
    <row r="1894" spans="1:18" ht="15" customHeight="1">
      <c r="A1894" s="15" t="s">
        <v>26</v>
      </c>
      <c r="B1894" s="15" t="s">
        <v>356</v>
      </c>
      <c r="C1894" s="16">
        <v>0.4861111111111111</v>
      </c>
      <c r="D1894" s="15" t="s">
        <v>31</v>
      </c>
      <c r="E1894" s="15" t="s">
        <v>127</v>
      </c>
      <c r="F1894" s="15" t="s">
        <v>123</v>
      </c>
      <c r="G1894" s="298"/>
      <c r="H1894" s="10"/>
      <c r="I1894" s="11"/>
      <c r="J1894" s="11"/>
      <c r="K1894" s="11"/>
      <c r="L1894" s="11"/>
      <c r="M1894" s="11"/>
      <c r="N1894" s="11"/>
      <c r="O1894" s="12"/>
      <c r="P1894" s="11"/>
      <c r="Q1894" s="13"/>
      <c r="R1894" s="14"/>
    </row>
    <row r="1895" spans="1:18" ht="15" customHeight="1">
      <c r="A1895" s="15" t="s">
        <v>26</v>
      </c>
      <c r="B1895" s="15" t="s">
        <v>356</v>
      </c>
      <c r="C1895" s="16">
        <v>0.4861111111111111</v>
      </c>
      <c r="D1895" s="15" t="s">
        <v>34</v>
      </c>
      <c r="E1895" s="15" t="s">
        <v>127</v>
      </c>
      <c r="F1895" s="15" t="s">
        <v>118</v>
      </c>
      <c r="G1895" s="298"/>
      <c r="H1895" s="10"/>
      <c r="I1895" s="11"/>
      <c r="J1895" s="11"/>
      <c r="K1895" s="11"/>
      <c r="L1895" s="11"/>
      <c r="M1895" s="11"/>
      <c r="N1895" s="11"/>
      <c r="O1895" s="12"/>
      <c r="P1895" s="11"/>
      <c r="Q1895" s="13"/>
      <c r="R1895" s="14"/>
    </row>
    <row r="1896" spans="1:18" ht="15" customHeight="1">
      <c r="A1896" s="17" t="s">
        <v>26</v>
      </c>
      <c r="B1896" s="17" t="s">
        <v>352</v>
      </c>
      <c r="C1896" s="18">
        <v>0.94444444444444453</v>
      </c>
      <c r="D1896" s="17" t="s">
        <v>28</v>
      </c>
      <c r="E1896" s="17" t="s">
        <v>98</v>
      </c>
      <c r="F1896" s="17" t="s">
        <v>45</v>
      </c>
      <c r="G1896" s="298"/>
      <c r="H1896" s="10"/>
      <c r="I1896" s="11"/>
      <c r="J1896" s="11"/>
      <c r="K1896" s="11"/>
      <c r="L1896" s="11"/>
      <c r="M1896" s="11"/>
      <c r="N1896" s="11"/>
      <c r="O1896" s="12"/>
      <c r="P1896" s="11"/>
      <c r="Q1896" s="13"/>
      <c r="R1896" s="14"/>
    </row>
    <row r="1897" spans="1:18" ht="15" customHeight="1">
      <c r="A1897" s="15" t="s">
        <v>26</v>
      </c>
      <c r="B1897" s="15" t="s">
        <v>352</v>
      </c>
      <c r="C1897" s="16">
        <v>0.94444444444444453</v>
      </c>
      <c r="D1897" s="15" t="s">
        <v>31</v>
      </c>
      <c r="E1897" s="15" t="s">
        <v>99</v>
      </c>
      <c r="F1897" s="15" t="s">
        <v>355</v>
      </c>
      <c r="G1897" s="298"/>
      <c r="H1897" s="10"/>
      <c r="I1897" s="11"/>
      <c r="J1897" s="11"/>
      <c r="K1897" s="11"/>
      <c r="L1897" s="11"/>
      <c r="M1897" s="11"/>
      <c r="N1897" s="11"/>
      <c r="O1897" s="12"/>
      <c r="P1897" s="11"/>
      <c r="Q1897" s="13"/>
      <c r="R1897" s="14"/>
    </row>
    <row r="1898" spans="1:18" ht="15" customHeight="1">
      <c r="A1898" s="15" t="s">
        <v>26</v>
      </c>
      <c r="B1898" s="15" t="s">
        <v>352</v>
      </c>
      <c r="C1898" s="16">
        <v>0.94444444444444453</v>
      </c>
      <c r="D1898" s="15" t="s">
        <v>34</v>
      </c>
      <c r="E1898" s="15" t="s">
        <v>99</v>
      </c>
      <c r="F1898" s="15" t="s">
        <v>358</v>
      </c>
      <c r="G1898" s="298"/>
      <c r="H1898" s="10"/>
      <c r="I1898" s="11"/>
      <c r="J1898" s="11"/>
      <c r="K1898" s="11"/>
      <c r="L1898" s="11"/>
      <c r="M1898" s="11"/>
      <c r="N1898" s="11"/>
      <c r="O1898" s="12"/>
      <c r="P1898" s="11"/>
      <c r="Q1898" s="13"/>
      <c r="R1898" s="14"/>
    </row>
    <row r="1899" spans="1:18" ht="15" customHeight="1">
      <c r="A1899" s="17" t="s">
        <v>26</v>
      </c>
      <c r="B1899" s="17" t="s">
        <v>350</v>
      </c>
      <c r="C1899" s="18">
        <v>0.73611111111111116</v>
      </c>
      <c r="D1899" s="17" t="s">
        <v>28</v>
      </c>
      <c r="E1899" s="17" t="s">
        <v>37</v>
      </c>
      <c r="F1899" s="17" t="s">
        <v>455</v>
      </c>
      <c r="G1899" s="298"/>
      <c r="H1899" s="10"/>
      <c r="I1899" s="11"/>
      <c r="J1899" s="11"/>
      <c r="K1899" s="11"/>
      <c r="L1899" s="11"/>
      <c r="M1899" s="11"/>
      <c r="N1899" s="11"/>
      <c r="O1899" s="12"/>
      <c r="P1899" s="11"/>
      <c r="Q1899" s="13"/>
      <c r="R1899" s="14"/>
    </row>
    <row r="1900" spans="1:18" ht="15" customHeight="1">
      <c r="A1900" s="15" t="s">
        <v>26</v>
      </c>
      <c r="B1900" s="15" t="s">
        <v>350</v>
      </c>
      <c r="C1900" s="16">
        <v>0.73611111111111116</v>
      </c>
      <c r="D1900" s="15" t="s">
        <v>31</v>
      </c>
      <c r="E1900" s="15" t="s">
        <v>32</v>
      </c>
      <c r="F1900" s="15" t="s">
        <v>456</v>
      </c>
      <c r="G1900" s="298"/>
      <c r="H1900" s="10"/>
      <c r="I1900" s="11"/>
      <c r="J1900" s="11"/>
      <c r="K1900" s="11"/>
      <c r="L1900" s="11"/>
      <c r="M1900" s="11"/>
      <c r="N1900" s="11"/>
      <c r="O1900" s="12"/>
      <c r="P1900" s="11"/>
      <c r="Q1900" s="13"/>
      <c r="R1900" s="14"/>
    </row>
    <row r="1901" spans="1:18" ht="15" customHeight="1">
      <c r="A1901" s="15" t="s">
        <v>26</v>
      </c>
      <c r="B1901" s="15" t="s">
        <v>350</v>
      </c>
      <c r="C1901" s="16">
        <v>0.73611111111111116</v>
      </c>
      <c r="D1901" s="15" t="s">
        <v>34</v>
      </c>
      <c r="E1901" s="15" t="s">
        <v>32</v>
      </c>
      <c r="F1901" s="15" t="s">
        <v>457</v>
      </c>
      <c r="G1901" s="298"/>
      <c r="H1901" s="10"/>
      <c r="I1901" s="11"/>
      <c r="J1901" s="11"/>
      <c r="K1901" s="11"/>
      <c r="L1901" s="11"/>
      <c r="M1901" s="11"/>
      <c r="N1901" s="11"/>
      <c r="O1901" s="12"/>
      <c r="P1901" s="11"/>
      <c r="Q1901" s="13"/>
      <c r="R1901" s="14"/>
    </row>
    <row r="1902" spans="1:18" ht="15" customHeight="1">
      <c r="A1902" s="17" t="s">
        <v>26</v>
      </c>
      <c r="B1902" s="17" t="s">
        <v>357</v>
      </c>
      <c r="C1902" s="18">
        <v>0.55902777777777779</v>
      </c>
      <c r="D1902" s="17" t="s">
        <v>28</v>
      </c>
      <c r="E1902" s="17" t="s">
        <v>200</v>
      </c>
      <c r="F1902" s="17" t="s">
        <v>455</v>
      </c>
      <c r="G1902" s="298"/>
      <c r="H1902" s="10"/>
      <c r="I1902" s="11"/>
      <c r="J1902" s="11"/>
      <c r="K1902" s="11"/>
      <c r="L1902" s="11"/>
      <c r="M1902" s="11"/>
      <c r="N1902" s="11"/>
      <c r="O1902" s="12"/>
      <c r="P1902" s="11"/>
      <c r="Q1902" s="13"/>
      <c r="R1902" s="14"/>
    </row>
    <row r="1903" spans="1:18" ht="15" customHeight="1">
      <c r="A1903" s="15" t="s">
        <v>26</v>
      </c>
      <c r="B1903" s="15" t="s">
        <v>357</v>
      </c>
      <c r="C1903" s="16">
        <v>0.55902777777777779</v>
      </c>
      <c r="D1903" s="15" t="s">
        <v>31</v>
      </c>
      <c r="E1903" s="15" t="s">
        <v>127</v>
      </c>
      <c r="F1903" s="15" t="s">
        <v>456</v>
      </c>
      <c r="G1903" s="298"/>
      <c r="H1903" s="10"/>
      <c r="I1903" s="11"/>
      <c r="J1903" s="11"/>
      <c r="K1903" s="11"/>
      <c r="L1903" s="11"/>
      <c r="M1903" s="11"/>
      <c r="N1903" s="11"/>
      <c r="O1903" s="12"/>
      <c r="P1903" s="11"/>
      <c r="Q1903" s="13"/>
      <c r="R1903" s="14"/>
    </row>
    <row r="1904" spans="1:18" ht="15" customHeight="1">
      <c r="A1904" s="15" t="s">
        <v>26</v>
      </c>
      <c r="B1904" s="15" t="s">
        <v>357</v>
      </c>
      <c r="C1904" s="16">
        <v>0.55902777777777779</v>
      </c>
      <c r="D1904" s="15" t="s">
        <v>34</v>
      </c>
      <c r="E1904" s="15" t="s">
        <v>127</v>
      </c>
      <c r="F1904" s="15" t="s">
        <v>457</v>
      </c>
      <c r="G1904" s="298"/>
      <c r="H1904" s="10"/>
      <c r="I1904" s="11"/>
      <c r="J1904" s="11"/>
      <c r="K1904" s="11"/>
      <c r="L1904" s="11"/>
      <c r="M1904" s="11"/>
      <c r="N1904" s="11"/>
      <c r="O1904" s="12"/>
      <c r="P1904" s="11"/>
      <c r="Q1904" s="13"/>
      <c r="R1904" s="14"/>
    </row>
    <row r="1905" spans="1:18" ht="15" customHeight="1">
      <c r="A1905" s="19" t="s">
        <v>402</v>
      </c>
      <c r="B1905" s="19" t="s">
        <v>403</v>
      </c>
      <c r="C1905" s="20">
        <v>0.49305555555555558</v>
      </c>
      <c r="D1905" s="19" t="s">
        <v>63</v>
      </c>
      <c r="E1905" s="19" t="s">
        <v>103</v>
      </c>
      <c r="F1905" s="19" t="s">
        <v>404</v>
      </c>
      <c r="G1905" s="298"/>
      <c r="H1905" s="10"/>
      <c r="I1905" s="11"/>
      <c r="J1905" s="11"/>
      <c r="K1905" s="11"/>
      <c r="L1905" s="11"/>
      <c r="M1905" s="11"/>
      <c r="N1905" s="11"/>
      <c r="O1905" s="12"/>
      <c r="P1905" s="11"/>
      <c r="Q1905" s="13"/>
      <c r="R1905" s="14"/>
    </row>
    <row r="1906" spans="1:18" ht="15" customHeight="1">
      <c r="A1906" s="17" t="s">
        <v>402</v>
      </c>
      <c r="B1906" s="17" t="s">
        <v>465</v>
      </c>
      <c r="C1906" s="18">
        <v>0.13541666666666671</v>
      </c>
      <c r="D1906" s="17" t="s">
        <v>63</v>
      </c>
      <c r="E1906" s="17" t="s">
        <v>98</v>
      </c>
      <c r="F1906" s="17" t="s">
        <v>404</v>
      </c>
      <c r="G1906" s="298"/>
      <c r="H1906" s="10"/>
      <c r="I1906" s="11"/>
      <c r="J1906" s="11"/>
      <c r="K1906" s="11"/>
      <c r="L1906" s="11"/>
      <c r="M1906" s="11"/>
      <c r="N1906" s="11"/>
      <c r="O1906" s="12"/>
      <c r="P1906" s="11"/>
      <c r="Q1906" s="13"/>
      <c r="R1906" s="14"/>
    </row>
    <row r="1907" spans="1:18" ht="15" customHeight="1">
      <c r="A1907" s="17" t="s">
        <v>402</v>
      </c>
      <c r="B1907" s="17" t="s">
        <v>473</v>
      </c>
      <c r="C1907" s="18">
        <v>0.86805555555555547</v>
      </c>
      <c r="D1907" s="17" t="s">
        <v>63</v>
      </c>
      <c r="E1907" s="17" t="s">
        <v>98</v>
      </c>
      <c r="F1907" s="17" t="s">
        <v>404</v>
      </c>
      <c r="G1907" s="298"/>
      <c r="H1907" s="10"/>
      <c r="I1907" s="11"/>
      <c r="J1907" s="11"/>
      <c r="K1907" s="11"/>
      <c r="L1907" s="11"/>
      <c r="M1907" s="11"/>
      <c r="N1907" s="11"/>
      <c r="O1907" s="12"/>
      <c r="P1907" s="11"/>
      <c r="Q1907" s="13"/>
      <c r="R1907" s="14"/>
    </row>
    <row r="1908" spans="1:18" ht="15" customHeight="1">
      <c r="A1908" s="49" t="s">
        <v>61</v>
      </c>
      <c r="B1908" s="49" t="s">
        <v>432</v>
      </c>
      <c r="C1908" s="50">
        <v>0.80208333333333337</v>
      </c>
      <c r="D1908" s="49" t="s">
        <v>63</v>
      </c>
      <c r="E1908" s="49" t="s">
        <v>177</v>
      </c>
      <c r="F1908" s="49" t="s">
        <v>79</v>
      </c>
      <c r="G1908" s="298"/>
      <c r="H1908" s="51" t="s">
        <v>433</v>
      </c>
      <c r="I1908" s="52">
        <v>4.4400000000000002E-2</v>
      </c>
      <c r="J1908" s="53">
        <v>8</v>
      </c>
      <c r="K1908" s="54">
        <v>46344</v>
      </c>
      <c r="L1908" s="53">
        <v>8</v>
      </c>
      <c r="M1908" s="53">
        <v>0</v>
      </c>
      <c r="N1908" s="53">
        <v>0</v>
      </c>
      <c r="O1908" s="55" t="s">
        <v>305</v>
      </c>
      <c r="P1908" s="56">
        <v>0.80208333333333337</v>
      </c>
      <c r="Q1908" s="53">
        <v>180</v>
      </c>
      <c r="R1908" s="57" t="s">
        <v>547</v>
      </c>
    </row>
    <row r="1909" spans="1:18" ht="15" customHeight="1">
      <c r="A1909" s="152" t="s">
        <v>61</v>
      </c>
      <c r="B1909" s="152" t="s">
        <v>375</v>
      </c>
      <c r="C1909" s="153">
        <v>0.24652777777777779</v>
      </c>
      <c r="D1909" s="152" t="s">
        <v>63</v>
      </c>
      <c r="E1909" s="152" t="s">
        <v>91</v>
      </c>
      <c r="F1909" s="152" t="s">
        <v>79</v>
      </c>
      <c r="G1909" s="298"/>
      <c r="H1909" s="100" t="s">
        <v>376</v>
      </c>
      <c r="I1909" s="101">
        <v>6.1100000000000002E-2</v>
      </c>
      <c r="J1909" s="102">
        <v>11</v>
      </c>
      <c r="K1909" s="103">
        <v>46335</v>
      </c>
      <c r="L1909" s="102">
        <v>14</v>
      </c>
      <c r="M1909" s="102">
        <v>0</v>
      </c>
      <c r="N1909" s="102">
        <v>0</v>
      </c>
      <c r="O1909" s="104" t="s">
        <v>298</v>
      </c>
      <c r="P1909" s="105">
        <v>0.24652777777777779</v>
      </c>
      <c r="Q1909" s="102">
        <v>180</v>
      </c>
      <c r="R1909" s="106" t="s">
        <v>548</v>
      </c>
    </row>
    <row r="1910" spans="1:18" ht="15" customHeight="1">
      <c r="A1910" s="148" t="s">
        <v>61</v>
      </c>
      <c r="B1910" s="148" t="s">
        <v>377</v>
      </c>
      <c r="C1910" s="149">
        <v>0.4375</v>
      </c>
      <c r="D1910" s="148" t="s">
        <v>63</v>
      </c>
      <c r="E1910" s="148" t="s">
        <v>37</v>
      </c>
      <c r="F1910" s="148" t="s">
        <v>79</v>
      </c>
      <c r="G1910" s="298"/>
      <c r="H1910" s="51" t="s">
        <v>378</v>
      </c>
      <c r="I1910" s="52">
        <v>0.05</v>
      </c>
      <c r="J1910" s="53">
        <v>9</v>
      </c>
      <c r="K1910" s="54">
        <v>46302</v>
      </c>
      <c r="L1910" s="53">
        <v>9</v>
      </c>
      <c r="M1910" s="53">
        <v>0</v>
      </c>
      <c r="N1910" s="53">
        <v>0</v>
      </c>
      <c r="O1910" s="55" t="s">
        <v>307</v>
      </c>
      <c r="P1910" s="56">
        <v>0.4375</v>
      </c>
      <c r="Q1910" s="53">
        <v>180</v>
      </c>
      <c r="R1910" s="57" t="s">
        <v>549</v>
      </c>
    </row>
    <row r="1911" spans="1:18" ht="15" customHeight="1">
      <c r="A1911" s="19" t="s">
        <v>48</v>
      </c>
      <c r="B1911" s="19" t="s">
        <v>396</v>
      </c>
      <c r="C1911" s="20">
        <v>0.48958333333333331</v>
      </c>
      <c r="D1911" s="19" t="s">
        <v>53</v>
      </c>
      <c r="E1911" s="19" t="s">
        <v>29</v>
      </c>
      <c r="F1911" s="19" t="s">
        <v>481</v>
      </c>
      <c r="G1911" s="298"/>
      <c r="H1911" s="10"/>
      <c r="I1911" s="11"/>
      <c r="J1911" s="11"/>
      <c r="K1911" s="11"/>
      <c r="L1911" s="11"/>
      <c r="M1911" s="11"/>
      <c r="N1911" s="11"/>
      <c r="O1911" s="12"/>
      <c r="P1911" s="11"/>
      <c r="Q1911" s="13"/>
      <c r="R1911" s="14"/>
    </row>
    <row r="1912" spans="1:18" ht="15" customHeight="1">
      <c r="A1912" s="17" t="s">
        <v>48</v>
      </c>
      <c r="B1912" s="17" t="s">
        <v>394</v>
      </c>
      <c r="C1912" s="18">
        <v>0.98958333333333337</v>
      </c>
      <c r="D1912" s="17" t="s">
        <v>53</v>
      </c>
      <c r="E1912" s="17" t="s">
        <v>37</v>
      </c>
      <c r="F1912" s="17" t="s">
        <v>399</v>
      </c>
      <c r="G1912" s="298"/>
      <c r="H1912" s="10"/>
      <c r="I1912" s="11"/>
      <c r="J1912" s="11"/>
      <c r="K1912" s="11"/>
      <c r="L1912" s="11"/>
      <c r="M1912" s="11"/>
      <c r="N1912" s="11"/>
      <c r="O1912" s="12"/>
      <c r="P1912" s="11"/>
      <c r="Q1912" s="13"/>
      <c r="R1912" s="14"/>
    </row>
    <row r="1913" spans="1:18" ht="15" customHeight="1">
      <c r="A1913" s="17" t="s">
        <v>48</v>
      </c>
      <c r="B1913" s="17" t="s">
        <v>398</v>
      </c>
      <c r="C1913" s="18">
        <v>0.39930555555555558</v>
      </c>
      <c r="D1913" s="17" t="s">
        <v>53</v>
      </c>
      <c r="E1913" s="17" t="s">
        <v>37</v>
      </c>
      <c r="F1913" s="17" t="s">
        <v>399</v>
      </c>
      <c r="G1913" s="298"/>
      <c r="H1913" s="10"/>
      <c r="I1913" s="11"/>
      <c r="J1913" s="11"/>
      <c r="K1913" s="11"/>
      <c r="L1913" s="11"/>
      <c r="M1913" s="11"/>
      <c r="N1913" s="11"/>
      <c r="O1913" s="12"/>
      <c r="P1913" s="11"/>
      <c r="Q1913" s="13"/>
      <c r="R1913" s="14"/>
    </row>
    <row r="1914" spans="1:18" ht="15" customHeight="1">
      <c r="A1914" s="17" t="s">
        <v>48</v>
      </c>
      <c r="B1914" s="17" t="s">
        <v>397</v>
      </c>
      <c r="C1914" s="18">
        <v>0.88888888888888884</v>
      </c>
      <c r="D1914" s="17" t="s">
        <v>53</v>
      </c>
      <c r="E1914" s="17" t="s">
        <v>37</v>
      </c>
      <c r="F1914" s="17" t="s">
        <v>399</v>
      </c>
      <c r="G1914" s="298"/>
      <c r="H1914" s="10"/>
      <c r="I1914" s="11"/>
      <c r="J1914" s="11"/>
      <c r="K1914" s="11"/>
      <c r="L1914" s="11"/>
      <c r="M1914" s="11"/>
      <c r="N1914" s="11"/>
      <c r="O1914" s="12"/>
      <c r="P1914" s="11"/>
      <c r="Q1914" s="13"/>
      <c r="R1914" s="14"/>
    </row>
    <row r="1915" spans="1:18" ht="15" customHeight="1">
      <c r="A1915" s="17" t="s">
        <v>48</v>
      </c>
      <c r="B1915" s="17" t="s">
        <v>391</v>
      </c>
      <c r="C1915" s="18">
        <v>0.48958333333333331</v>
      </c>
      <c r="D1915" s="17" t="s">
        <v>53</v>
      </c>
      <c r="E1915" s="17" t="s">
        <v>57</v>
      </c>
      <c r="F1915" s="17" t="s">
        <v>490</v>
      </c>
      <c r="G1915" s="298"/>
      <c r="H1915" s="10"/>
      <c r="I1915" s="11"/>
      <c r="J1915" s="11"/>
      <c r="K1915" s="11"/>
      <c r="L1915" s="11"/>
      <c r="M1915" s="11"/>
      <c r="N1915" s="11"/>
      <c r="O1915" s="12"/>
      <c r="P1915" s="11"/>
      <c r="Q1915" s="13"/>
      <c r="R1915" s="14"/>
    </row>
    <row r="1916" spans="1:18" ht="15" customHeight="1">
      <c r="A1916" s="17" t="s">
        <v>48</v>
      </c>
      <c r="B1916" s="17" t="s">
        <v>386</v>
      </c>
      <c r="C1916" s="18">
        <v>0.82986111111111116</v>
      </c>
      <c r="D1916" s="17" t="s">
        <v>53</v>
      </c>
      <c r="E1916" s="17" t="s">
        <v>57</v>
      </c>
      <c r="F1916" s="17" t="s">
        <v>490</v>
      </c>
      <c r="G1916" s="298"/>
      <c r="H1916" s="10"/>
      <c r="I1916" s="11"/>
      <c r="J1916" s="11"/>
      <c r="K1916" s="11"/>
      <c r="L1916" s="11"/>
      <c r="M1916" s="11"/>
      <c r="N1916" s="11"/>
      <c r="O1916" s="12"/>
      <c r="P1916" s="11"/>
      <c r="Q1916" s="13"/>
      <c r="R1916" s="14"/>
    </row>
    <row r="1917" spans="1:18" ht="15" customHeight="1">
      <c r="A1917" s="17" t="s">
        <v>48</v>
      </c>
      <c r="B1917" s="17" t="s">
        <v>388</v>
      </c>
      <c r="C1917" s="18">
        <v>0.72222222222222221</v>
      </c>
      <c r="D1917" s="17" t="s">
        <v>53</v>
      </c>
      <c r="E1917" s="17" t="s">
        <v>57</v>
      </c>
      <c r="F1917" s="17" t="s">
        <v>490</v>
      </c>
      <c r="G1917" s="298"/>
      <c r="H1917" s="10"/>
      <c r="I1917" s="11"/>
      <c r="J1917" s="11"/>
      <c r="K1917" s="11"/>
      <c r="L1917" s="11"/>
      <c r="M1917" s="11"/>
      <c r="N1917" s="11"/>
      <c r="O1917" s="12"/>
      <c r="P1917" s="11"/>
      <c r="Q1917" s="13"/>
      <c r="R1917" s="14"/>
    </row>
    <row r="1918" spans="1:18" ht="15" customHeight="1">
      <c r="A1918" s="17" t="s">
        <v>48</v>
      </c>
      <c r="B1918" s="17" t="s">
        <v>382</v>
      </c>
      <c r="C1918" s="18">
        <v>0.11805555555555559</v>
      </c>
      <c r="D1918" s="17" t="s">
        <v>53</v>
      </c>
      <c r="E1918" s="17" t="s">
        <v>57</v>
      </c>
      <c r="F1918" s="17" t="s">
        <v>490</v>
      </c>
      <c r="G1918" s="298"/>
      <c r="H1918" s="10"/>
      <c r="I1918" s="11"/>
      <c r="J1918" s="11"/>
      <c r="K1918" s="11"/>
      <c r="L1918" s="11"/>
      <c r="M1918" s="11"/>
      <c r="N1918" s="11"/>
      <c r="O1918" s="12"/>
      <c r="P1918" s="11"/>
      <c r="Q1918" s="13"/>
      <c r="R1918" s="14"/>
    </row>
    <row r="1919" spans="1:18" ht="15" customHeight="1">
      <c r="A1919" s="15" t="s">
        <v>48</v>
      </c>
      <c r="B1919" s="15" t="s">
        <v>382</v>
      </c>
      <c r="C1919" s="16">
        <v>0.11805555555555559</v>
      </c>
      <c r="D1919" s="15" t="s">
        <v>70</v>
      </c>
      <c r="E1919" s="15" t="s">
        <v>54</v>
      </c>
      <c r="F1919" s="15" t="s">
        <v>490</v>
      </c>
      <c r="G1919" s="298"/>
      <c r="H1919" s="10"/>
      <c r="I1919" s="11"/>
      <c r="J1919" s="11"/>
      <c r="K1919" s="11"/>
      <c r="L1919" s="11"/>
      <c r="M1919" s="11"/>
      <c r="N1919" s="11"/>
      <c r="O1919" s="12"/>
      <c r="P1919" s="11"/>
      <c r="Q1919" s="13"/>
      <c r="R1919" s="14"/>
    </row>
    <row r="1920" spans="1:18" ht="15" customHeight="1">
      <c r="A1920" s="17" t="s">
        <v>48</v>
      </c>
      <c r="B1920" s="17" t="s">
        <v>389</v>
      </c>
      <c r="C1920" s="18">
        <v>0.70138888888888884</v>
      </c>
      <c r="D1920" s="17" t="s">
        <v>53</v>
      </c>
      <c r="E1920" s="17" t="s">
        <v>57</v>
      </c>
      <c r="F1920" s="17" t="s">
        <v>490</v>
      </c>
      <c r="G1920" s="298"/>
      <c r="H1920" s="10"/>
      <c r="I1920" s="11"/>
      <c r="J1920" s="11"/>
      <c r="K1920" s="11"/>
      <c r="L1920" s="11"/>
      <c r="M1920" s="11"/>
      <c r="N1920" s="11"/>
      <c r="O1920" s="12"/>
      <c r="P1920" s="11"/>
      <c r="Q1920" s="13"/>
      <c r="R1920" s="14"/>
    </row>
    <row r="1921" spans="1:18" ht="15" customHeight="1">
      <c r="A1921" s="17" t="s">
        <v>48</v>
      </c>
      <c r="B1921" s="17" t="s">
        <v>400</v>
      </c>
      <c r="C1921" s="18">
        <v>0.25347222222222221</v>
      </c>
      <c r="D1921" s="17" t="s">
        <v>53</v>
      </c>
      <c r="E1921" s="17" t="s">
        <v>57</v>
      </c>
      <c r="F1921" s="17" t="s">
        <v>490</v>
      </c>
      <c r="G1921" s="298"/>
      <c r="H1921" s="10"/>
      <c r="I1921" s="11"/>
      <c r="J1921" s="11"/>
      <c r="K1921" s="11"/>
      <c r="L1921" s="11"/>
      <c r="M1921" s="11"/>
      <c r="N1921" s="11"/>
      <c r="O1921" s="12"/>
      <c r="P1921" s="11"/>
      <c r="Q1921" s="13"/>
      <c r="R1921" s="14"/>
    </row>
    <row r="1922" spans="1:18" ht="15" customHeight="1">
      <c r="A1922" s="17" t="s">
        <v>48</v>
      </c>
      <c r="B1922" s="17" t="s">
        <v>390</v>
      </c>
      <c r="C1922" s="18">
        <v>4.1666666666666657E-2</v>
      </c>
      <c r="D1922" s="17" t="s">
        <v>53</v>
      </c>
      <c r="E1922" s="17" t="s">
        <v>57</v>
      </c>
      <c r="F1922" s="17" t="s">
        <v>490</v>
      </c>
      <c r="G1922" s="298"/>
      <c r="H1922" s="10"/>
      <c r="I1922" s="11"/>
      <c r="J1922" s="11"/>
      <c r="K1922" s="11"/>
      <c r="L1922" s="11"/>
      <c r="M1922" s="11"/>
      <c r="N1922" s="11"/>
      <c r="O1922" s="12"/>
      <c r="P1922" s="11"/>
      <c r="Q1922" s="13"/>
      <c r="R1922" s="14"/>
    </row>
    <row r="1923" spans="1:18" ht="15" customHeight="1">
      <c r="A1923" s="17" t="s">
        <v>48</v>
      </c>
      <c r="B1923" s="17" t="s">
        <v>385</v>
      </c>
      <c r="C1923" s="18">
        <v>0.94097222222222221</v>
      </c>
      <c r="D1923" s="17" t="s">
        <v>53</v>
      </c>
      <c r="E1923" s="17" t="s">
        <v>57</v>
      </c>
      <c r="F1923" s="17" t="s">
        <v>490</v>
      </c>
      <c r="G1923" s="298"/>
      <c r="H1923" s="10"/>
      <c r="I1923" s="11"/>
      <c r="J1923" s="11"/>
      <c r="K1923" s="11"/>
      <c r="L1923" s="11"/>
      <c r="M1923" s="11"/>
      <c r="N1923" s="11"/>
      <c r="O1923" s="12"/>
      <c r="P1923" s="11"/>
      <c r="Q1923" s="13"/>
      <c r="R1923" s="14"/>
    </row>
    <row r="1924" spans="1:18" ht="15" customHeight="1">
      <c r="A1924" s="19" t="s">
        <v>415</v>
      </c>
      <c r="B1924" s="19" t="s">
        <v>480</v>
      </c>
      <c r="C1924" s="20">
        <v>0.72222222222222221</v>
      </c>
      <c r="D1924" s="19" t="s">
        <v>63</v>
      </c>
      <c r="E1924" s="19" t="s">
        <v>51</v>
      </c>
      <c r="F1924" s="19" t="s">
        <v>417</v>
      </c>
      <c r="G1924" s="298"/>
      <c r="H1924" s="10"/>
      <c r="I1924" s="11"/>
      <c r="J1924" s="11"/>
      <c r="K1924" s="11"/>
      <c r="L1924" s="11"/>
      <c r="M1924" s="11"/>
      <c r="N1924" s="11"/>
      <c r="O1924" s="12"/>
      <c r="P1924" s="11"/>
      <c r="Q1924" s="13"/>
      <c r="R1924" s="14"/>
    </row>
    <row r="1925" spans="1:18" ht="15" customHeight="1">
      <c r="A1925" s="19" t="s">
        <v>68</v>
      </c>
      <c r="B1925" s="19" t="s">
        <v>405</v>
      </c>
      <c r="C1925" s="20">
        <v>0.83680555555555547</v>
      </c>
      <c r="D1925" s="19" t="s">
        <v>70</v>
      </c>
      <c r="E1925" s="19" t="s">
        <v>51</v>
      </c>
      <c r="F1925" s="19" t="s">
        <v>524</v>
      </c>
      <c r="G1925" s="298"/>
      <c r="H1925" s="10"/>
      <c r="I1925" s="11"/>
      <c r="J1925" s="11"/>
      <c r="K1925" s="11"/>
      <c r="L1925" s="11"/>
      <c r="M1925" s="11"/>
      <c r="N1925" s="11"/>
      <c r="O1925" s="12"/>
      <c r="P1925" s="11"/>
      <c r="Q1925" s="13"/>
      <c r="R1925" s="14"/>
    </row>
    <row r="1926" spans="1:18" ht="15" customHeight="1">
      <c r="A1926" s="17" t="s">
        <v>68</v>
      </c>
      <c r="B1926" s="17" t="s">
        <v>407</v>
      </c>
      <c r="C1926" s="18">
        <v>0.3125</v>
      </c>
      <c r="D1926" s="17" t="s">
        <v>70</v>
      </c>
      <c r="E1926" s="17" t="s">
        <v>57</v>
      </c>
      <c r="F1926" s="17" t="s">
        <v>524</v>
      </c>
      <c r="G1926" s="298"/>
      <c r="H1926" s="10"/>
      <c r="I1926" s="11"/>
      <c r="J1926" s="11"/>
      <c r="K1926" s="11"/>
      <c r="L1926" s="11"/>
      <c r="M1926" s="11"/>
      <c r="N1926" s="11"/>
      <c r="O1926" s="12"/>
      <c r="P1926" s="11"/>
      <c r="Q1926" s="13"/>
      <c r="R1926" s="14"/>
    </row>
    <row r="1927" spans="1:18" ht="15" customHeight="1">
      <c r="A1927" s="17" t="s">
        <v>68</v>
      </c>
      <c r="B1927" s="17" t="s">
        <v>408</v>
      </c>
      <c r="C1927" s="18">
        <v>0.97222222222222221</v>
      </c>
      <c r="D1927" s="17" t="s">
        <v>70</v>
      </c>
      <c r="E1927" s="17" t="s">
        <v>57</v>
      </c>
      <c r="F1927" s="17" t="s">
        <v>524</v>
      </c>
      <c r="G1927" s="298"/>
      <c r="H1927" s="10"/>
      <c r="I1927" s="11"/>
      <c r="J1927" s="11"/>
      <c r="K1927" s="11"/>
      <c r="L1927" s="11"/>
      <c r="M1927" s="11"/>
      <c r="N1927" s="11"/>
      <c r="O1927" s="12"/>
      <c r="P1927" s="11"/>
      <c r="Q1927" s="13"/>
      <c r="R1927" s="14"/>
    </row>
    <row r="1928" spans="1:18" ht="15" customHeight="1">
      <c r="A1928" s="17" t="s">
        <v>68</v>
      </c>
      <c r="B1928" s="17" t="s">
        <v>409</v>
      </c>
      <c r="C1928" s="18">
        <v>0.34027777777777768</v>
      </c>
      <c r="D1928" s="17" t="s">
        <v>70</v>
      </c>
      <c r="E1928" s="17" t="s">
        <v>37</v>
      </c>
      <c r="F1928" s="17" t="s">
        <v>524</v>
      </c>
      <c r="G1928" s="298"/>
      <c r="H1928" s="10"/>
      <c r="I1928" s="11"/>
      <c r="J1928" s="11"/>
      <c r="K1928" s="11"/>
      <c r="L1928" s="11"/>
      <c r="M1928" s="11"/>
      <c r="N1928" s="11"/>
      <c r="O1928" s="12"/>
      <c r="P1928" s="11"/>
      <c r="Q1928" s="13"/>
      <c r="R1928" s="14"/>
    </row>
    <row r="1929" spans="1:18" ht="15" customHeight="1">
      <c r="A1929" s="17" t="s">
        <v>68</v>
      </c>
      <c r="B1929" s="17" t="s">
        <v>411</v>
      </c>
      <c r="C1929" s="18">
        <v>0.78472222222222221</v>
      </c>
      <c r="D1929" s="17" t="s">
        <v>70</v>
      </c>
      <c r="E1929" s="17" t="s">
        <v>57</v>
      </c>
      <c r="F1929" s="17" t="s">
        <v>524</v>
      </c>
      <c r="G1929" s="298"/>
      <c r="H1929" s="10"/>
      <c r="I1929" s="11"/>
      <c r="J1929" s="11"/>
      <c r="K1929" s="11"/>
      <c r="L1929" s="11"/>
      <c r="M1929" s="11"/>
      <c r="N1929" s="11"/>
      <c r="O1929" s="12"/>
      <c r="P1929" s="11"/>
      <c r="Q1929" s="13"/>
      <c r="R1929" s="14"/>
    </row>
    <row r="1930" spans="1:18" ht="15" customHeight="1">
      <c r="A1930" s="17" t="s">
        <v>68</v>
      </c>
      <c r="B1930" s="17" t="s">
        <v>410</v>
      </c>
      <c r="C1930" s="18">
        <v>0.59722222222222221</v>
      </c>
      <c r="D1930" s="17" t="s">
        <v>70</v>
      </c>
      <c r="E1930" s="17" t="s">
        <v>57</v>
      </c>
      <c r="F1930" s="17" t="s">
        <v>524</v>
      </c>
      <c r="G1930" s="298"/>
      <c r="H1930" s="10"/>
      <c r="I1930" s="11"/>
      <c r="J1930" s="11"/>
      <c r="K1930" s="11"/>
      <c r="L1930" s="11"/>
      <c r="M1930" s="11"/>
      <c r="N1930" s="11"/>
      <c r="O1930" s="12"/>
      <c r="P1930" s="11"/>
      <c r="Q1930" s="13"/>
      <c r="R1930" s="14"/>
    </row>
    <row r="1931" spans="1:18" ht="15" customHeight="1" thickBot="1">
      <c r="A1931" s="30" t="s">
        <v>68</v>
      </c>
      <c r="B1931" s="30" t="s">
        <v>413</v>
      </c>
      <c r="C1931" s="31">
        <v>4.8611111111111112E-2</v>
      </c>
      <c r="D1931" s="30" t="s">
        <v>70</v>
      </c>
      <c r="E1931" s="30" t="s">
        <v>57</v>
      </c>
      <c r="F1931" s="30" t="s">
        <v>524</v>
      </c>
      <c r="G1931" s="299"/>
      <c r="H1931" s="300"/>
      <c r="I1931" s="140"/>
      <c r="J1931" s="140"/>
      <c r="K1931" s="140"/>
      <c r="L1931" s="140"/>
      <c r="M1931" s="140"/>
      <c r="N1931" s="140"/>
      <c r="O1931" s="141"/>
      <c r="P1931" s="140"/>
      <c r="Q1931" s="142"/>
      <c r="R1931" s="301"/>
    </row>
    <row r="1932" spans="1:18" ht="17.45" customHeight="1" thickBot="1">
      <c r="A1932" s="283"/>
      <c r="B1932" s="284"/>
      <c r="C1932" s="284"/>
      <c r="D1932" s="284"/>
      <c r="E1932" s="284"/>
      <c r="F1932" s="284"/>
      <c r="G1932" s="284"/>
      <c r="H1932" s="284"/>
      <c r="I1932" s="284"/>
      <c r="J1932" s="284"/>
      <c r="K1932" s="284"/>
      <c r="L1932" s="284"/>
      <c r="M1932" s="284"/>
      <c r="N1932" s="284"/>
      <c r="O1932" s="284"/>
      <c r="P1932" s="284"/>
      <c r="Q1932" s="284"/>
      <c r="R1932" s="285"/>
    </row>
    <row r="1933" spans="1:18" ht="22.15" customHeight="1" thickTop="1" thickBot="1">
      <c r="A1933" s="279" t="s">
        <v>6</v>
      </c>
      <c r="B1933" s="295"/>
      <c r="C1933" s="295"/>
      <c r="D1933" s="295"/>
      <c r="E1933" s="295"/>
      <c r="F1933" s="296"/>
      <c r="G1933" s="32">
        <v>46049</v>
      </c>
      <c r="H1933" s="278" t="s">
        <v>7</v>
      </c>
      <c r="I1933" s="295"/>
      <c r="J1933" s="295"/>
      <c r="K1933" s="295"/>
      <c r="L1933" s="295"/>
      <c r="M1933" s="295"/>
      <c r="N1933" s="295"/>
      <c r="O1933" s="295"/>
      <c r="P1933" s="295"/>
      <c r="Q1933" s="295"/>
      <c r="R1933" s="296"/>
    </row>
    <row r="1934" spans="1:18" ht="24" customHeight="1">
      <c r="A1934" s="33" t="s">
        <v>8</v>
      </c>
      <c r="B1934" s="33" t="s">
        <v>9</v>
      </c>
      <c r="C1934" s="34" t="s">
        <v>10</v>
      </c>
      <c r="D1934" s="33" t="s">
        <v>11</v>
      </c>
      <c r="E1934" s="33" t="s">
        <v>12</v>
      </c>
      <c r="F1934" s="35" t="s">
        <v>13</v>
      </c>
      <c r="G1934" s="36" t="s">
        <v>14</v>
      </c>
      <c r="H1934" s="33" t="s">
        <v>15</v>
      </c>
      <c r="I1934" s="37" t="s">
        <v>16</v>
      </c>
      <c r="J1934" s="38" t="s">
        <v>17</v>
      </c>
      <c r="K1934" s="39" t="s">
        <v>18</v>
      </c>
      <c r="L1934" s="38" t="s">
        <v>19</v>
      </c>
      <c r="M1934" s="38" t="s">
        <v>20</v>
      </c>
      <c r="N1934" s="38" t="s">
        <v>21</v>
      </c>
      <c r="O1934" s="33" t="s">
        <v>22</v>
      </c>
      <c r="P1934" s="34" t="s">
        <v>23</v>
      </c>
      <c r="Q1934" s="38" t="s">
        <v>24</v>
      </c>
      <c r="R1934" s="33" t="s">
        <v>25</v>
      </c>
    </row>
    <row r="1935" spans="1:18" ht="15" customHeight="1">
      <c r="A1935" s="8" t="s">
        <v>38</v>
      </c>
      <c r="B1935" s="8" t="s">
        <v>342</v>
      </c>
      <c r="C1935" s="9">
        <v>0.48958333333333331</v>
      </c>
      <c r="D1935" s="8" t="s">
        <v>40</v>
      </c>
      <c r="E1935" s="8" t="s">
        <v>168</v>
      </c>
      <c r="F1935" s="8" t="s">
        <v>81</v>
      </c>
      <c r="G1935" s="302"/>
      <c r="H1935" s="10"/>
      <c r="I1935" s="11"/>
      <c r="J1935" s="11"/>
      <c r="K1935" s="11"/>
      <c r="L1935" s="11"/>
      <c r="M1935" s="11"/>
      <c r="N1935" s="11"/>
      <c r="O1935" s="12"/>
      <c r="P1935" s="11"/>
      <c r="Q1935" s="13"/>
      <c r="R1935" s="14"/>
    </row>
    <row r="1936" spans="1:18" ht="15" customHeight="1">
      <c r="A1936" s="15" t="s">
        <v>38</v>
      </c>
      <c r="B1936" s="15" t="s">
        <v>342</v>
      </c>
      <c r="C1936" s="16">
        <v>0.48958333333333331</v>
      </c>
      <c r="D1936" s="15" t="s">
        <v>43</v>
      </c>
      <c r="E1936" s="15" t="s">
        <v>114</v>
      </c>
      <c r="F1936" s="15" t="s">
        <v>161</v>
      </c>
      <c r="G1936" s="298"/>
      <c r="H1936" s="10"/>
      <c r="I1936" s="11"/>
      <c r="J1936" s="11"/>
      <c r="K1936" s="11"/>
      <c r="L1936" s="11"/>
      <c r="M1936" s="11"/>
      <c r="N1936" s="11"/>
      <c r="O1936" s="12"/>
      <c r="P1936" s="11"/>
      <c r="Q1936" s="13"/>
      <c r="R1936" s="14"/>
    </row>
    <row r="1937" spans="1:18" ht="15" customHeight="1">
      <c r="A1937" s="15" t="s">
        <v>38</v>
      </c>
      <c r="B1937" s="15" t="s">
        <v>342</v>
      </c>
      <c r="C1937" s="16">
        <v>0.48958333333333331</v>
      </c>
      <c r="D1937" s="15" t="s">
        <v>46</v>
      </c>
      <c r="E1937" s="15" t="s">
        <v>114</v>
      </c>
      <c r="F1937" s="15" t="s">
        <v>47</v>
      </c>
      <c r="G1937" s="298"/>
      <c r="H1937" s="10"/>
      <c r="I1937" s="11"/>
      <c r="J1937" s="11"/>
      <c r="K1937" s="11"/>
      <c r="L1937" s="11"/>
      <c r="M1937" s="11"/>
      <c r="N1937" s="11"/>
      <c r="O1937" s="12"/>
      <c r="P1937" s="11"/>
      <c r="Q1937" s="13"/>
      <c r="R1937" s="14"/>
    </row>
    <row r="1938" spans="1:18" ht="15" customHeight="1">
      <c r="A1938" s="17" t="s">
        <v>38</v>
      </c>
      <c r="B1938" s="17" t="s">
        <v>346</v>
      </c>
      <c r="C1938" s="18">
        <v>0.39930555555555558</v>
      </c>
      <c r="D1938" s="17" t="s">
        <v>40</v>
      </c>
      <c r="E1938" s="17" t="s">
        <v>125</v>
      </c>
      <c r="F1938" s="17" t="s">
        <v>347</v>
      </c>
      <c r="G1938" s="298"/>
      <c r="H1938" s="10"/>
      <c r="I1938" s="11"/>
      <c r="J1938" s="11"/>
      <c r="K1938" s="11"/>
      <c r="L1938" s="11"/>
      <c r="M1938" s="11"/>
      <c r="N1938" s="11"/>
      <c r="O1938" s="12"/>
      <c r="P1938" s="11"/>
      <c r="Q1938" s="13"/>
      <c r="R1938" s="14"/>
    </row>
    <row r="1939" spans="1:18" ht="15" customHeight="1">
      <c r="A1939" s="15" t="s">
        <v>38</v>
      </c>
      <c r="B1939" s="15" t="s">
        <v>346</v>
      </c>
      <c r="C1939" s="16">
        <v>0.39930555555555558</v>
      </c>
      <c r="D1939" s="15" t="s">
        <v>43</v>
      </c>
      <c r="E1939" s="15" t="s">
        <v>44</v>
      </c>
      <c r="F1939" s="15" t="s">
        <v>138</v>
      </c>
      <c r="G1939" s="298"/>
      <c r="H1939" s="10"/>
      <c r="I1939" s="11"/>
      <c r="J1939" s="11"/>
      <c r="K1939" s="11"/>
      <c r="L1939" s="11"/>
      <c r="M1939" s="11"/>
      <c r="N1939" s="11"/>
      <c r="O1939" s="12"/>
      <c r="P1939" s="11"/>
      <c r="Q1939" s="13"/>
      <c r="R1939" s="14"/>
    </row>
    <row r="1940" spans="1:18" ht="15" customHeight="1">
      <c r="A1940" s="15" t="s">
        <v>38</v>
      </c>
      <c r="B1940" s="15" t="s">
        <v>346</v>
      </c>
      <c r="C1940" s="16">
        <v>0.39930555555555558</v>
      </c>
      <c r="D1940" s="15" t="s">
        <v>46</v>
      </c>
      <c r="E1940" s="15" t="s">
        <v>44</v>
      </c>
      <c r="F1940" s="15" t="s">
        <v>47</v>
      </c>
      <c r="G1940" s="298"/>
      <c r="H1940" s="10"/>
      <c r="I1940" s="11"/>
      <c r="J1940" s="11"/>
      <c r="K1940" s="11"/>
      <c r="L1940" s="11"/>
      <c r="M1940" s="11"/>
      <c r="N1940" s="11"/>
      <c r="O1940" s="12"/>
      <c r="P1940" s="11"/>
      <c r="Q1940" s="13"/>
      <c r="R1940" s="14"/>
    </row>
    <row r="1941" spans="1:18" ht="15" customHeight="1">
      <c r="A1941" s="17" t="s">
        <v>38</v>
      </c>
      <c r="B1941" s="17" t="s">
        <v>344</v>
      </c>
      <c r="C1941" s="18">
        <v>0.88888888888888884</v>
      </c>
      <c r="D1941" s="17" t="s">
        <v>40</v>
      </c>
      <c r="E1941" s="17" t="s">
        <v>125</v>
      </c>
      <c r="F1941" s="17" t="s">
        <v>347</v>
      </c>
      <c r="G1941" s="298"/>
      <c r="H1941" s="10"/>
      <c r="I1941" s="11"/>
      <c r="J1941" s="11"/>
      <c r="K1941" s="11"/>
      <c r="L1941" s="11"/>
      <c r="M1941" s="11"/>
      <c r="N1941" s="11"/>
      <c r="O1941" s="12"/>
      <c r="P1941" s="11"/>
      <c r="Q1941" s="13"/>
      <c r="R1941" s="14"/>
    </row>
    <row r="1942" spans="1:18" ht="15" customHeight="1">
      <c r="A1942" s="15" t="s">
        <v>38</v>
      </c>
      <c r="B1942" s="15" t="s">
        <v>344</v>
      </c>
      <c r="C1942" s="16">
        <v>0.88888888888888884</v>
      </c>
      <c r="D1942" s="15" t="s">
        <v>43</v>
      </c>
      <c r="E1942" s="15" t="s">
        <v>44</v>
      </c>
      <c r="F1942" s="15" t="s">
        <v>138</v>
      </c>
      <c r="G1942" s="298"/>
      <c r="H1942" s="10"/>
      <c r="I1942" s="11"/>
      <c r="J1942" s="11"/>
      <c r="K1942" s="11"/>
      <c r="L1942" s="11"/>
      <c r="M1942" s="11"/>
      <c r="N1942" s="11"/>
      <c r="O1942" s="12"/>
      <c r="P1942" s="11"/>
      <c r="Q1942" s="13"/>
      <c r="R1942" s="14"/>
    </row>
    <row r="1943" spans="1:18" ht="15" customHeight="1">
      <c r="A1943" s="15" t="s">
        <v>38</v>
      </c>
      <c r="B1943" s="15" t="s">
        <v>344</v>
      </c>
      <c r="C1943" s="16">
        <v>0.88888888888888884</v>
      </c>
      <c r="D1943" s="15" t="s">
        <v>46</v>
      </c>
      <c r="E1943" s="15" t="s">
        <v>44</v>
      </c>
      <c r="F1943" s="15" t="s">
        <v>47</v>
      </c>
      <c r="G1943" s="298"/>
      <c r="H1943" s="10"/>
      <c r="I1943" s="11"/>
      <c r="J1943" s="11"/>
      <c r="K1943" s="11"/>
      <c r="L1943" s="11"/>
      <c r="M1943" s="11"/>
      <c r="N1943" s="11"/>
      <c r="O1943" s="12"/>
      <c r="P1943" s="11"/>
      <c r="Q1943" s="13"/>
      <c r="R1943" s="14"/>
    </row>
    <row r="1944" spans="1:18" ht="15" customHeight="1">
      <c r="A1944" s="17" t="s">
        <v>38</v>
      </c>
      <c r="B1944" s="17" t="s">
        <v>345</v>
      </c>
      <c r="C1944" s="18">
        <v>0.98958333333333337</v>
      </c>
      <c r="D1944" s="17" t="s">
        <v>40</v>
      </c>
      <c r="E1944" s="17" t="s">
        <v>125</v>
      </c>
      <c r="F1944" s="17" t="s">
        <v>347</v>
      </c>
      <c r="G1944" s="298"/>
      <c r="H1944" s="10"/>
      <c r="I1944" s="11"/>
      <c r="J1944" s="11"/>
      <c r="K1944" s="11"/>
      <c r="L1944" s="11"/>
      <c r="M1944" s="11"/>
      <c r="N1944" s="11"/>
      <c r="O1944" s="12"/>
      <c r="P1944" s="11"/>
      <c r="Q1944" s="13"/>
      <c r="R1944" s="14"/>
    </row>
    <row r="1945" spans="1:18" ht="15" customHeight="1">
      <c r="A1945" s="15" t="s">
        <v>38</v>
      </c>
      <c r="B1945" s="15" t="s">
        <v>345</v>
      </c>
      <c r="C1945" s="16">
        <v>0.98958333333333337</v>
      </c>
      <c r="D1945" s="15" t="s">
        <v>43</v>
      </c>
      <c r="E1945" s="15" t="s">
        <v>44</v>
      </c>
      <c r="F1945" s="15" t="s">
        <v>138</v>
      </c>
      <c r="G1945" s="298"/>
      <c r="H1945" s="10"/>
      <c r="I1945" s="11"/>
      <c r="J1945" s="11"/>
      <c r="K1945" s="11"/>
      <c r="L1945" s="11"/>
      <c r="M1945" s="11"/>
      <c r="N1945" s="11"/>
      <c r="O1945" s="12"/>
      <c r="P1945" s="11"/>
      <c r="Q1945" s="13"/>
      <c r="R1945" s="14"/>
    </row>
    <row r="1946" spans="1:18" ht="15" customHeight="1">
      <c r="A1946" s="15" t="s">
        <v>38</v>
      </c>
      <c r="B1946" s="15" t="s">
        <v>345</v>
      </c>
      <c r="C1946" s="16">
        <v>0.98958333333333337</v>
      </c>
      <c r="D1946" s="15" t="s">
        <v>46</v>
      </c>
      <c r="E1946" s="15" t="s">
        <v>44</v>
      </c>
      <c r="F1946" s="15" t="s">
        <v>47</v>
      </c>
      <c r="G1946" s="298"/>
      <c r="H1946" s="10"/>
      <c r="I1946" s="11"/>
      <c r="J1946" s="11"/>
      <c r="K1946" s="11"/>
      <c r="L1946" s="11"/>
      <c r="M1946" s="11"/>
      <c r="N1946" s="11"/>
      <c r="O1946" s="12"/>
      <c r="P1946" s="11"/>
      <c r="Q1946" s="13"/>
      <c r="R1946" s="14"/>
    </row>
    <row r="1947" spans="1:18" ht="15" customHeight="1">
      <c r="A1947" s="19" t="s">
        <v>359</v>
      </c>
      <c r="B1947" s="19" t="s">
        <v>445</v>
      </c>
      <c r="C1947" s="20">
        <v>5.5555555555555552E-2</v>
      </c>
      <c r="D1947" s="19" t="s">
        <v>361</v>
      </c>
      <c r="E1947" s="19" t="s">
        <v>80</v>
      </c>
      <c r="F1947" s="19" t="s">
        <v>525</v>
      </c>
      <c r="G1947" s="298"/>
      <c r="H1947" s="10"/>
      <c r="I1947" s="11"/>
      <c r="J1947" s="11"/>
      <c r="K1947" s="11"/>
      <c r="L1947" s="11"/>
      <c r="M1947" s="11"/>
      <c r="N1947" s="11"/>
      <c r="O1947" s="12"/>
      <c r="P1947" s="11"/>
      <c r="Q1947" s="13"/>
      <c r="R1947" s="14"/>
    </row>
    <row r="1948" spans="1:18" ht="15" customHeight="1">
      <c r="A1948" s="15" t="s">
        <v>359</v>
      </c>
      <c r="B1948" s="15" t="s">
        <v>445</v>
      </c>
      <c r="C1948" s="16">
        <v>5.5555555555555552E-2</v>
      </c>
      <c r="D1948" s="15" t="s">
        <v>46</v>
      </c>
      <c r="E1948" s="15" t="s">
        <v>82</v>
      </c>
      <c r="F1948" s="15" t="s">
        <v>526</v>
      </c>
      <c r="G1948" s="298"/>
      <c r="H1948" s="10"/>
      <c r="I1948" s="11"/>
      <c r="J1948" s="11"/>
      <c r="K1948" s="11"/>
      <c r="L1948" s="11"/>
      <c r="M1948" s="11"/>
      <c r="N1948" s="11"/>
      <c r="O1948" s="12"/>
      <c r="P1948" s="11"/>
      <c r="Q1948" s="13"/>
      <c r="R1948" s="14"/>
    </row>
    <row r="1949" spans="1:18" ht="15" customHeight="1">
      <c r="A1949" s="49" t="s">
        <v>61</v>
      </c>
      <c r="B1949" s="49" t="s">
        <v>432</v>
      </c>
      <c r="C1949" s="50">
        <v>0.55208333333333337</v>
      </c>
      <c r="D1949" s="49" t="s">
        <v>63</v>
      </c>
      <c r="E1949" s="49" t="s">
        <v>177</v>
      </c>
      <c r="F1949" s="49" t="s">
        <v>365</v>
      </c>
      <c r="G1949" s="298"/>
      <c r="H1949" s="51" t="s">
        <v>433</v>
      </c>
      <c r="I1949" s="52">
        <v>0</v>
      </c>
      <c r="J1949" s="53">
        <v>0</v>
      </c>
      <c r="K1949" s="54" t="s">
        <v>66</v>
      </c>
      <c r="L1949" s="53">
        <v>0</v>
      </c>
      <c r="M1949" s="53">
        <v>0</v>
      </c>
      <c r="N1949" s="53">
        <v>0</v>
      </c>
      <c r="O1949" s="55" t="s">
        <v>436</v>
      </c>
      <c r="P1949" s="56">
        <v>0.55208333333333337</v>
      </c>
      <c r="Q1949" s="53">
        <v>180</v>
      </c>
      <c r="R1949" s="57" t="s">
        <v>66</v>
      </c>
    </row>
    <row r="1950" spans="1:18" ht="15" customHeight="1">
      <c r="A1950" s="160" t="s">
        <v>61</v>
      </c>
      <c r="B1950" s="160" t="s">
        <v>428</v>
      </c>
      <c r="C1950" s="161">
        <v>5.2083333333333343E-2</v>
      </c>
      <c r="D1950" s="160" t="s">
        <v>63</v>
      </c>
      <c r="E1950" s="160" t="s">
        <v>37</v>
      </c>
      <c r="F1950" s="160" t="s">
        <v>365</v>
      </c>
      <c r="G1950" s="298"/>
      <c r="H1950" s="23" t="s">
        <v>429</v>
      </c>
      <c r="I1950" s="24">
        <v>1.11E-2</v>
      </c>
      <c r="J1950" s="25">
        <v>2</v>
      </c>
      <c r="K1950" s="26">
        <v>46334</v>
      </c>
      <c r="L1950" s="25">
        <v>5</v>
      </c>
      <c r="M1950" s="25">
        <v>0</v>
      </c>
      <c r="N1950" s="25">
        <v>0</v>
      </c>
      <c r="O1950" s="27" t="s">
        <v>368</v>
      </c>
      <c r="P1950" s="28">
        <v>5.2083333333333343E-2</v>
      </c>
      <c r="Q1950" s="25">
        <v>180</v>
      </c>
      <c r="R1950" s="29" t="s">
        <v>367</v>
      </c>
    </row>
    <row r="1951" spans="1:18" ht="15" customHeight="1">
      <c r="A1951" s="152" t="s">
        <v>61</v>
      </c>
      <c r="B1951" s="152" t="s">
        <v>377</v>
      </c>
      <c r="C1951" s="153">
        <v>0.4375</v>
      </c>
      <c r="D1951" s="152" t="s">
        <v>63</v>
      </c>
      <c r="E1951" s="152" t="s">
        <v>134</v>
      </c>
      <c r="F1951" s="152" t="s">
        <v>365</v>
      </c>
      <c r="G1951" s="298"/>
      <c r="H1951" s="100" t="s">
        <v>378</v>
      </c>
      <c r="I1951" s="101">
        <v>2.7799999999999998E-2</v>
      </c>
      <c r="J1951" s="102">
        <v>5</v>
      </c>
      <c r="K1951" s="103">
        <v>46343</v>
      </c>
      <c r="L1951" s="102">
        <v>5</v>
      </c>
      <c r="M1951" s="102">
        <v>0</v>
      </c>
      <c r="N1951" s="102">
        <v>0</v>
      </c>
      <c r="O1951" s="104" t="s">
        <v>430</v>
      </c>
      <c r="P1951" s="105">
        <v>0.4375</v>
      </c>
      <c r="Q1951" s="102">
        <v>180</v>
      </c>
      <c r="R1951" s="106" t="s">
        <v>431</v>
      </c>
    </row>
    <row r="1952" spans="1:18" ht="15" customHeight="1">
      <c r="A1952" s="150" t="s">
        <v>61</v>
      </c>
      <c r="B1952" s="150" t="s">
        <v>379</v>
      </c>
      <c r="C1952" s="151">
        <v>0.38194444444444442</v>
      </c>
      <c r="D1952" s="150" t="s">
        <v>63</v>
      </c>
      <c r="E1952" s="150" t="s">
        <v>200</v>
      </c>
      <c r="F1952" s="150" t="s">
        <v>365</v>
      </c>
      <c r="G1952" s="298"/>
      <c r="H1952" s="80" t="s">
        <v>380</v>
      </c>
      <c r="I1952" s="81">
        <v>1.67E-2</v>
      </c>
      <c r="J1952" s="82">
        <v>3</v>
      </c>
      <c r="K1952" s="83">
        <v>46321</v>
      </c>
      <c r="L1952" s="82">
        <v>3</v>
      </c>
      <c r="M1952" s="82">
        <v>0</v>
      </c>
      <c r="N1952" s="82">
        <v>0</v>
      </c>
      <c r="O1952" s="84" t="s">
        <v>446</v>
      </c>
      <c r="P1952" s="85">
        <v>0.38194444444444442</v>
      </c>
      <c r="Q1952" s="82">
        <v>180</v>
      </c>
      <c r="R1952" s="86" t="s">
        <v>446</v>
      </c>
    </row>
    <row r="1953" spans="1:18" ht="15" customHeight="1">
      <c r="A1953" s="156" t="s">
        <v>61</v>
      </c>
      <c r="B1953" s="156" t="s">
        <v>364</v>
      </c>
      <c r="C1953" s="157">
        <v>0.75694444444444453</v>
      </c>
      <c r="D1953" s="156" t="s">
        <v>63</v>
      </c>
      <c r="E1953" s="156" t="s">
        <v>372</v>
      </c>
      <c r="F1953" s="156" t="s">
        <v>79</v>
      </c>
      <c r="G1953" s="298"/>
      <c r="H1953" s="42" t="s">
        <v>366</v>
      </c>
      <c r="I1953" s="43">
        <v>0.05</v>
      </c>
      <c r="J1953" s="44">
        <v>9</v>
      </c>
      <c r="K1953" s="45">
        <v>46335</v>
      </c>
      <c r="L1953" s="44">
        <v>9</v>
      </c>
      <c r="M1953" s="44">
        <v>0</v>
      </c>
      <c r="N1953" s="44">
        <v>0</v>
      </c>
      <c r="O1953" s="46" t="s">
        <v>305</v>
      </c>
      <c r="P1953" s="47">
        <v>0.75694444444444453</v>
      </c>
      <c r="Q1953" s="44">
        <v>180</v>
      </c>
      <c r="R1953" s="48" t="s">
        <v>550</v>
      </c>
    </row>
    <row r="1954" spans="1:18" ht="15" customHeight="1">
      <c r="A1954" s="162" t="s">
        <v>61</v>
      </c>
      <c r="B1954" s="162" t="s">
        <v>375</v>
      </c>
      <c r="C1954" s="163">
        <v>0.79166666666666663</v>
      </c>
      <c r="D1954" s="162" t="s">
        <v>63</v>
      </c>
      <c r="E1954" s="162" t="s">
        <v>435</v>
      </c>
      <c r="F1954" s="162" t="s">
        <v>79</v>
      </c>
      <c r="G1954" s="298"/>
      <c r="H1954" s="60" t="s">
        <v>376</v>
      </c>
      <c r="I1954" s="61">
        <v>3.3300000000000003E-2</v>
      </c>
      <c r="J1954" s="62">
        <v>6</v>
      </c>
      <c r="K1954" s="63">
        <v>46344</v>
      </c>
      <c r="L1954" s="62">
        <v>6</v>
      </c>
      <c r="M1954" s="62">
        <v>0</v>
      </c>
      <c r="N1954" s="62">
        <v>0</v>
      </c>
      <c r="O1954" s="64" t="s">
        <v>299</v>
      </c>
      <c r="P1954" s="65">
        <v>0.79166666666666663</v>
      </c>
      <c r="Q1954" s="62">
        <v>180</v>
      </c>
      <c r="R1954" s="66" t="s">
        <v>436</v>
      </c>
    </row>
    <row r="1955" spans="1:18" ht="15" customHeight="1">
      <c r="A1955" s="19" t="s">
        <v>26</v>
      </c>
      <c r="B1955" s="19" t="s">
        <v>348</v>
      </c>
      <c r="C1955" s="20">
        <v>0.99305555555555547</v>
      </c>
      <c r="D1955" s="19" t="s">
        <v>28</v>
      </c>
      <c r="E1955" s="19" t="s">
        <v>29</v>
      </c>
      <c r="F1955" s="19" t="s">
        <v>83</v>
      </c>
      <c r="G1955" s="298"/>
      <c r="H1955" s="10"/>
      <c r="I1955" s="11"/>
      <c r="J1955" s="11"/>
      <c r="K1955" s="11"/>
      <c r="L1955" s="11"/>
      <c r="M1955" s="11"/>
      <c r="N1955" s="11"/>
      <c r="O1955" s="12"/>
      <c r="P1955" s="11"/>
      <c r="Q1955" s="13"/>
      <c r="R1955" s="14"/>
    </row>
    <row r="1956" spans="1:18" ht="15" customHeight="1">
      <c r="A1956" s="15" t="s">
        <v>26</v>
      </c>
      <c r="B1956" s="15" t="s">
        <v>348</v>
      </c>
      <c r="C1956" s="16">
        <v>0.99305555555555547</v>
      </c>
      <c r="D1956" s="15" t="s">
        <v>31</v>
      </c>
      <c r="E1956" s="15" t="s">
        <v>32</v>
      </c>
      <c r="F1956" s="15" t="s">
        <v>159</v>
      </c>
      <c r="G1956" s="298"/>
      <c r="H1956" s="10"/>
      <c r="I1956" s="11"/>
      <c r="J1956" s="11"/>
      <c r="K1956" s="11"/>
      <c r="L1956" s="11"/>
      <c r="M1956" s="11"/>
      <c r="N1956" s="11"/>
      <c r="O1956" s="12"/>
      <c r="P1956" s="11"/>
      <c r="Q1956" s="13"/>
      <c r="R1956" s="14"/>
    </row>
    <row r="1957" spans="1:18" ht="15" customHeight="1">
      <c r="A1957" s="15" t="s">
        <v>26</v>
      </c>
      <c r="B1957" s="15" t="s">
        <v>348</v>
      </c>
      <c r="C1957" s="16">
        <v>0.99305555555555547</v>
      </c>
      <c r="D1957" s="15" t="s">
        <v>34</v>
      </c>
      <c r="E1957" s="15" t="s">
        <v>32</v>
      </c>
      <c r="F1957" s="15" t="s">
        <v>355</v>
      </c>
      <c r="G1957" s="298"/>
      <c r="H1957" s="10"/>
      <c r="I1957" s="11"/>
      <c r="J1957" s="11"/>
      <c r="K1957" s="11"/>
      <c r="L1957" s="11"/>
      <c r="M1957" s="11"/>
      <c r="N1957" s="11"/>
      <c r="O1957" s="12"/>
      <c r="P1957" s="11"/>
      <c r="Q1957" s="13"/>
      <c r="R1957" s="14"/>
    </row>
    <row r="1958" spans="1:18" ht="15" customHeight="1">
      <c r="A1958" s="17" t="s">
        <v>26</v>
      </c>
      <c r="B1958" s="17" t="s">
        <v>350</v>
      </c>
      <c r="C1958" s="18">
        <v>0.73611111111111116</v>
      </c>
      <c r="D1958" s="17" t="s">
        <v>28</v>
      </c>
      <c r="E1958" s="17" t="s">
        <v>37</v>
      </c>
      <c r="F1958" s="17" t="s">
        <v>83</v>
      </c>
      <c r="G1958" s="298"/>
      <c r="H1958" s="10"/>
      <c r="I1958" s="11"/>
      <c r="J1958" s="11"/>
      <c r="K1958" s="11"/>
      <c r="L1958" s="11"/>
      <c r="M1958" s="11"/>
      <c r="N1958" s="11"/>
      <c r="O1958" s="12"/>
      <c r="P1958" s="11"/>
      <c r="Q1958" s="13"/>
      <c r="R1958" s="14"/>
    </row>
    <row r="1959" spans="1:18" ht="15" customHeight="1">
      <c r="A1959" s="15" t="s">
        <v>26</v>
      </c>
      <c r="B1959" s="15" t="s">
        <v>350</v>
      </c>
      <c r="C1959" s="16">
        <v>0.73611111111111116</v>
      </c>
      <c r="D1959" s="15" t="s">
        <v>31</v>
      </c>
      <c r="E1959" s="15" t="s">
        <v>32</v>
      </c>
      <c r="F1959" s="15" t="s">
        <v>159</v>
      </c>
      <c r="G1959" s="298"/>
      <c r="H1959" s="10"/>
      <c r="I1959" s="11"/>
      <c r="J1959" s="11"/>
      <c r="K1959" s="11"/>
      <c r="L1959" s="11"/>
      <c r="M1959" s="11"/>
      <c r="N1959" s="11"/>
      <c r="O1959" s="12"/>
      <c r="P1959" s="11"/>
      <c r="Q1959" s="13"/>
      <c r="R1959" s="14"/>
    </row>
    <row r="1960" spans="1:18" ht="15" customHeight="1">
      <c r="A1960" s="15" t="s">
        <v>26</v>
      </c>
      <c r="B1960" s="15" t="s">
        <v>350</v>
      </c>
      <c r="C1960" s="16">
        <v>0.73611111111111116</v>
      </c>
      <c r="D1960" s="15" t="s">
        <v>34</v>
      </c>
      <c r="E1960" s="15" t="s">
        <v>32</v>
      </c>
      <c r="F1960" s="15" t="s">
        <v>355</v>
      </c>
      <c r="G1960" s="298"/>
      <c r="H1960" s="10"/>
      <c r="I1960" s="11"/>
      <c r="J1960" s="11"/>
      <c r="K1960" s="11"/>
      <c r="L1960" s="11"/>
      <c r="M1960" s="11"/>
      <c r="N1960" s="11"/>
      <c r="O1960" s="12"/>
      <c r="P1960" s="11"/>
      <c r="Q1960" s="13"/>
      <c r="R1960" s="14"/>
    </row>
    <row r="1961" spans="1:18" ht="15" customHeight="1">
      <c r="A1961" s="17" t="s">
        <v>26</v>
      </c>
      <c r="B1961" s="17" t="s">
        <v>351</v>
      </c>
      <c r="C1961" s="18">
        <v>0.83680555555555547</v>
      </c>
      <c r="D1961" s="17" t="s">
        <v>28</v>
      </c>
      <c r="E1961" s="17" t="s">
        <v>37</v>
      </c>
      <c r="F1961" s="17" t="s">
        <v>83</v>
      </c>
      <c r="G1961" s="298"/>
      <c r="H1961" s="10"/>
      <c r="I1961" s="11"/>
      <c r="J1961" s="11"/>
      <c r="K1961" s="11"/>
      <c r="L1961" s="11"/>
      <c r="M1961" s="11"/>
      <c r="N1961" s="11"/>
      <c r="O1961" s="12"/>
      <c r="P1961" s="11"/>
      <c r="Q1961" s="13"/>
      <c r="R1961" s="14"/>
    </row>
    <row r="1962" spans="1:18" ht="15" customHeight="1">
      <c r="A1962" s="15" t="s">
        <v>26</v>
      </c>
      <c r="B1962" s="15" t="s">
        <v>351</v>
      </c>
      <c r="C1962" s="16">
        <v>0.83680555555555547</v>
      </c>
      <c r="D1962" s="15" t="s">
        <v>31</v>
      </c>
      <c r="E1962" s="15" t="s">
        <v>32</v>
      </c>
      <c r="F1962" s="15" t="s">
        <v>159</v>
      </c>
      <c r="G1962" s="298"/>
      <c r="H1962" s="10"/>
      <c r="I1962" s="11"/>
      <c r="J1962" s="11"/>
      <c r="K1962" s="11"/>
      <c r="L1962" s="11"/>
      <c r="M1962" s="11"/>
      <c r="N1962" s="11"/>
      <c r="O1962" s="12"/>
      <c r="P1962" s="11"/>
      <c r="Q1962" s="13"/>
      <c r="R1962" s="14"/>
    </row>
    <row r="1963" spans="1:18" ht="15" customHeight="1">
      <c r="A1963" s="15" t="s">
        <v>26</v>
      </c>
      <c r="B1963" s="15" t="s">
        <v>351</v>
      </c>
      <c r="C1963" s="16">
        <v>0.83680555555555547</v>
      </c>
      <c r="D1963" s="15" t="s">
        <v>34</v>
      </c>
      <c r="E1963" s="15" t="s">
        <v>32</v>
      </c>
      <c r="F1963" s="15" t="s">
        <v>355</v>
      </c>
      <c r="G1963" s="298"/>
      <c r="H1963" s="10"/>
      <c r="I1963" s="11"/>
      <c r="J1963" s="11"/>
      <c r="K1963" s="11"/>
      <c r="L1963" s="11"/>
      <c r="M1963" s="11"/>
      <c r="N1963" s="11"/>
      <c r="O1963" s="12"/>
      <c r="P1963" s="11"/>
      <c r="Q1963" s="13"/>
      <c r="R1963" s="14"/>
    </row>
    <row r="1964" spans="1:18" ht="15" customHeight="1">
      <c r="A1964" s="17" t="s">
        <v>26</v>
      </c>
      <c r="B1964" s="17" t="s">
        <v>353</v>
      </c>
      <c r="C1964" s="18">
        <v>0.88888888888888884</v>
      </c>
      <c r="D1964" s="17" t="s">
        <v>28</v>
      </c>
      <c r="E1964" s="17" t="s">
        <v>98</v>
      </c>
      <c r="F1964" s="17" t="s">
        <v>83</v>
      </c>
      <c r="G1964" s="298"/>
      <c r="H1964" s="10"/>
      <c r="I1964" s="11"/>
      <c r="J1964" s="11"/>
      <c r="K1964" s="11"/>
      <c r="L1964" s="11"/>
      <c r="M1964" s="11"/>
      <c r="N1964" s="11"/>
      <c r="O1964" s="12"/>
      <c r="P1964" s="11"/>
      <c r="Q1964" s="13"/>
      <c r="R1964" s="14"/>
    </row>
    <row r="1965" spans="1:18" ht="15" customHeight="1">
      <c r="A1965" s="15" t="s">
        <v>26</v>
      </c>
      <c r="B1965" s="15" t="s">
        <v>353</v>
      </c>
      <c r="C1965" s="16">
        <v>0.88888888888888884</v>
      </c>
      <c r="D1965" s="15" t="s">
        <v>31</v>
      </c>
      <c r="E1965" s="15" t="s">
        <v>99</v>
      </c>
      <c r="F1965" s="15" t="s">
        <v>159</v>
      </c>
      <c r="G1965" s="298"/>
      <c r="H1965" s="10"/>
      <c r="I1965" s="11"/>
      <c r="J1965" s="11"/>
      <c r="K1965" s="11"/>
      <c r="L1965" s="11"/>
      <c r="M1965" s="11"/>
      <c r="N1965" s="11"/>
      <c r="O1965" s="12"/>
      <c r="P1965" s="11"/>
      <c r="Q1965" s="13"/>
      <c r="R1965" s="14"/>
    </row>
    <row r="1966" spans="1:18" ht="15" customHeight="1">
      <c r="A1966" s="15" t="s">
        <v>26</v>
      </c>
      <c r="B1966" s="15" t="s">
        <v>353</v>
      </c>
      <c r="C1966" s="16">
        <v>0.88888888888888884</v>
      </c>
      <c r="D1966" s="15" t="s">
        <v>34</v>
      </c>
      <c r="E1966" s="15" t="s">
        <v>99</v>
      </c>
      <c r="F1966" s="15" t="s">
        <v>355</v>
      </c>
      <c r="G1966" s="298"/>
      <c r="H1966" s="10"/>
      <c r="I1966" s="11"/>
      <c r="J1966" s="11"/>
      <c r="K1966" s="11"/>
      <c r="L1966" s="11"/>
      <c r="M1966" s="11"/>
      <c r="N1966" s="11"/>
      <c r="O1966" s="12"/>
      <c r="P1966" s="11"/>
      <c r="Q1966" s="13"/>
      <c r="R1966" s="14"/>
    </row>
    <row r="1967" spans="1:18" ht="15" customHeight="1">
      <c r="A1967" s="17" t="s">
        <v>26</v>
      </c>
      <c r="B1967" s="17" t="s">
        <v>354</v>
      </c>
      <c r="C1967" s="18">
        <v>0.34722222222222232</v>
      </c>
      <c r="D1967" s="17" t="s">
        <v>28</v>
      </c>
      <c r="E1967" s="17" t="s">
        <v>98</v>
      </c>
      <c r="F1967" s="17" t="s">
        <v>79</v>
      </c>
      <c r="G1967" s="298"/>
      <c r="H1967" s="10"/>
      <c r="I1967" s="11"/>
      <c r="J1967" s="11"/>
      <c r="K1967" s="11"/>
      <c r="L1967" s="11"/>
      <c r="M1967" s="11"/>
      <c r="N1967" s="11"/>
      <c r="O1967" s="12"/>
      <c r="P1967" s="11"/>
      <c r="Q1967" s="13"/>
      <c r="R1967" s="14"/>
    </row>
    <row r="1968" spans="1:18" ht="15" customHeight="1">
      <c r="A1968" s="15" t="s">
        <v>26</v>
      </c>
      <c r="B1968" s="15" t="s">
        <v>354</v>
      </c>
      <c r="C1968" s="16">
        <v>0.34722222222222232</v>
      </c>
      <c r="D1968" s="15" t="s">
        <v>31</v>
      </c>
      <c r="E1968" s="15" t="s">
        <v>99</v>
      </c>
      <c r="F1968" s="15" t="s">
        <v>123</v>
      </c>
      <c r="G1968" s="298"/>
      <c r="H1968" s="10"/>
      <c r="I1968" s="11"/>
      <c r="J1968" s="11"/>
      <c r="K1968" s="11"/>
      <c r="L1968" s="11"/>
      <c r="M1968" s="11"/>
      <c r="N1968" s="11"/>
      <c r="O1968" s="12"/>
      <c r="P1968" s="11"/>
      <c r="Q1968" s="13"/>
      <c r="R1968" s="14"/>
    </row>
    <row r="1969" spans="1:18" ht="15" customHeight="1">
      <c r="A1969" s="15" t="s">
        <v>26</v>
      </c>
      <c r="B1969" s="15" t="s">
        <v>354</v>
      </c>
      <c r="C1969" s="16">
        <v>0.34722222222222232</v>
      </c>
      <c r="D1969" s="15" t="s">
        <v>34</v>
      </c>
      <c r="E1969" s="15" t="s">
        <v>99</v>
      </c>
      <c r="F1969" s="15" t="s">
        <v>118</v>
      </c>
      <c r="G1969" s="298"/>
      <c r="H1969" s="10"/>
      <c r="I1969" s="11"/>
      <c r="J1969" s="11"/>
      <c r="K1969" s="11"/>
      <c r="L1969" s="11"/>
      <c r="M1969" s="11"/>
      <c r="N1969" s="11"/>
      <c r="O1969" s="12"/>
      <c r="P1969" s="11"/>
      <c r="Q1969" s="13"/>
      <c r="R1969" s="14"/>
    </row>
    <row r="1970" spans="1:18" ht="15" customHeight="1">
      <c r="A1970" s="17" t="s">
        <v>26</v>
      </c>
      <c r="B1970" s="17" t="s">
        <v>352</v>
      </c>
      <c r="C1970" s="18">
        <v>0.94444444444444453</v>
      </c>
      <c r="D1970" s="17" t="s">
        <v>28</v>
      </c>
      <c r="E1970" s="17" t="s">
        <v>98</v>
      </c>
      <c r="F1970" s="17" t="s">
        <v>45</v>
      </c>
      <c r="G1970" s="298"/>
      <c r="H1970" s="10"/>
      <c r="I1970" s="11"/>
      <c r="J1970" s="11"/>
      <c r="K1970" s="11"/>
      <c r="L1970" s="11"/>
      <c r="M1970" s="11"/>
      <c r="N1970" s="11"/>
      <c r="O1970" s="12"/>
      <c r="P1970" s="11"/>
      <c r="Q1970" s="13"/>
      <c r="R1970" s="14"/>
    </row>
    <row r="1971" spans="1:18" ht="15" customHeight="1">
      <c r="A1971" s="15" t="s">
        <v>26</v>
      </c>
      <c r="B1971" s="15" t="s">
        <v>352</v>
      </c>
      <c r="C1971" s="16">
        <v>0.94444444444444453</v>
      </c>
      <c r="D1971" s="15" t="s">
        <v>31</v>
      </c>
      <c r="E1971" s="15" t="s">
        <v>99</v>
      </c>
      <c r="F1971" s="15" t="s">
        <v>355</v>
      </c>
      <c r="G1971" s="298"/>
      <c r="H1971" s="10"/>
      <c r="I1971" s="11"/>
      <c r="J1971" s="11"/>
      <c r="K1971" s="11"/>
      <c r="L1971" s="11"/>
      <c r="M1971" s="11"/>
      <c r="N1971" s="11"/>
      <c r="O1971" s="12"/>
      <c r="P1971" s="11"/>
      <c r="Q1971" s="13"/>
      <c r="R1971" s="14"/>
    </row>
    <row r="1972" spans="1:18" ht="15" customHeight="1">
      <c r="A1972" s="15" t="s">
        <v>26</v>
      </c>
      <c r="B1972" s="15" t="s">
        <v>352</v>
      </c>
      <c r="C1972" s="16">
        <v>0.94444444444444453</v>
      </c>
      <c r="D1972" s="15" t="s">
        <v>34</v>
      </c>
      <c r="E1972" s="15" t="s">
        <v>99</v>
      </c>
      <c r="F1972" s="15" t="s">
        <v>358</v>
      </c>
      <c r="G1972" s="298"/>
      <c r="H1972" s="10"/>
      <c r="I1972" s="11"/>
      <c r="J1972" s="11"/>
      <c r="K1972" s="11"/>
      <c r="L1972" s="11"/>
      <c r="M1972" s="11"/>
      <c r="N1972" s="11"/>
      <c r="O1972" s="12"/>
      <c r="P1972" s="11"/>
      <c r="Q1972" s="13"/>
      <c r="R1972" s="14"/>
    </row>
    <row r="1973" spans="1:18" ht="15" customHeight="1">
      <c r="A1973" s="17" t="s">
        <v>26</v>
      </c>
      <c r="B1973" s="17" t="s">
        <v>357</v>
      </c>
      <c r="C1973" s="18">
        <v>0.3923611111111111</v>
      </c>
      <c r="D1973" s="17" t="s">
        <v>28</v>
      </c>
      <c r="E1973" s="17" t="s">
        <v>98</v>
      </c>
      <c r="F1973" s="17" t="s">
        <v>45</v>
      </c>
      <c r="G1973" s="298"/>
      <c r="H1973" s="10"/>
      <c r="I1973" s="11"/>
      <c r="J1973" s="11"/>
      <c r="K1973" s="11"/>
      <c r="L1973" s="11"/>
      <c r="M1973" s="11"/>
      <c r="N1973" s="11"/>
      <c r="O1973" s="12"/>
      <c r="P1973" s="11"/>
      <c r="Q1973" s="13"/>
      <c r="R1973" s="14"/>
    </row>
    <row r="1974" spans="1:18" ht="15" customHeight="1">
      <c r="A1974" s="15" t="s">
        <v>26</v>
      </c>
      <c r="B1974" s="15" t="s">
        <v>357</v>
      </c>
      <c r="C1974" s="16">
        <v>0.3923611111111111</v>
      </c>
      <c r="D1974" s="15" t="s">
        <v>31</v>
      </c>
      <c r="E1974" s="15" t="s">
        <v>99</v>
      </c>
      <c r="F1974" s="15" t="s">
        <v>355</v>
      </c>
      <c r="G1974" s="298"/>
      <c r="H1974" s="10"/>
      <c r="I1974" s="11"/>
      <c r="J1974" s="11"/>
      <c r="K1974" s="11"/>
      <c r="L1974" s="11"/>
      <c r="M1974" s="11"/>
      <c r="N1974" s="11"/>
      <c r="O1974" s="12"/>
      <c r="P1974" s="11"/>
      <c r="Q1974" s="13"/>
      <c r="R1974" s="14"/>
    </row>
    <row r="1975" spans="1:18" ht="15" customHeight="1">
      <c r="A1975" s="15" t="s">
        <v>26</v>
      </c>
      <c r="B1975" s="15" t="s">
        <v>357</v>
      </c>
      <c r="C1975" s="16">
        <v>0.3923611111111111</v>
      </c>
      <c r="D1975" s="15" t="s">
        <v>34</v>
      </c>
      <c r="E1975" s="15" t="s">
        <v>99</v>
      </c>
      <c r="F1975" s="15" t="s">
        <v>358</v>
      </c>
      <c r="G1975" s="298"/>
      <c r="H1975" s="10"/>
      <c r="I1975" s="11"/>
      <c r="J1975" s="11"/>
      <c r="K1975" s="11"/>
      <c r="L1975" s="11"/>
      <c r="M1975" s="11"/>
      <c r="N1975" s="11"/>
      <c r="O1975" s="12"/>
      <c r="P1975" s="11"/>
      <c r="Q1975" s="13"/>
      <c r="R1975" s="14"/>
    </row>
    <row r="1976" spans="1:18" ht="15" customHeight="1">
      <c r="A1976" s="17" t="s">
        <v>26</v>
      </c>
      <c r="B1976" s="17" t="s">
        <v>356</v>
      </c>
      <c r="C1976" s="18">
        <v>0.4861111111111111</v>
      </c>
      <c r="D1976" s="17" t="s">
        <v>28</v>
      </c>
      <c r="E1976" s="17" t="s">
        <v>134</v>
      </c>
      <c r="F1976" s="17" t="s">
        <v>455</v>
      </c>
      <c r="G1976" s="298"/>
      <c r="H1976" s="10"/>
      <c r="I1976" s="11"/>
      <c r="J1976" s="11"/>
      <c r="K1976" s="11"/>
      <c r="L1976" s="11"/>
      <c r="M1976" s="11"/>
      <c r="N1976" s="11"/>
      <c r="O1976" s="12"/>
      <c r="P1976" s="11"/>
      <c r="Q1976" s="13"/>
      <c r="R1976" s="14"/>
    </row>
    <row r="1977" spans="1:18" ht="15" customHeight="1">
      <c r="A1977" s="15" t="s">
        <v>26</v>
      </c>
      <c r="B1977" s="15" t="s">
        <v>356</v>
      </c>
      <c r="C1977" s="16">
        <v>0.4861111111111111</v>
      </c>
      <c r="D1977" s="15" t="s">
        <v>31</v>
      </c>
      <c r="E1977" s="15" t="s">
        <v>135</v>
      </c>
      <c r="F1977" s="15" t="s">
        <v>456</v>
      </c>
      <c r="G1977" s="298"/>
      <c r="H1977" s="10"/>
      <c r="I1977" s="11"/>
      <c r="J1977" s="11"/>
      <c r="K1977" s="11"/>
      <c r="L1977" s="11"/>
      <c r="M1977" s="11"/>
      <c r="N1977" s="11"/>
      <c r="O1977" s="12"/>
      <c r="P1977" s="11"/>
      <c r="Q1977" s="13"/>
      <c r="R1977" s="14"/>
    </row>
    <row r="1978" spans="1:18" ht="15" customHeight="1">
      <c r="A1978" s="15" t="s">
        <v>26</v>
      </c>
      <c r="B1978" s="15" t="s">
        <v>356</v>
      </c>
      <c r="C1978" s="16">
        <v>0.4861111111111111</v>
      </c>
      <c r="D1978" s="15" t="s">
        <v>34</v>
      </c>
      <c r="E1978" s="15" t="s">
        <v>135</v>
      </c>
      <c r="F1978" s="15" t="s">
        <v>457</v>
      </c>
      <c r="G1978" s="298"/>
      <c r="H1978" s="10"/>
      <c r="I1978" s="11"/>
      <c r="J1978" s="11"/>
      <c r="K1978" s="11"/>
      <c r="L1978" s="11"/>
      <c r="M1978" s="11"/>
      <c r="N1978" s="11"/>
      <c r="O1978" s="12"/>
      <c r="P1978" s="11"/>
      <c r="Q1978" s="13"/>
      <c r="R1978" s="14"/>
    </row>
    <row r="1979" spans="1:18" ht="15" customHeight="1">
      <c r="A1979" s="19" t="s">
        <v>402</v>
      </c>
      <c r="B1979" s="19" t="s">
        <v>403</v>
      </c>
      <c r="C1979" s="20">
        <v>0.49305555555555558</v>
      </c>
      <c r="D1979" s="19" t="s">
        <v>63</v>
      </c>
      <c r="E1979" s="19" t="s">
        <v>29</v>
      </c>
      <c r="F1979" s="19" t="s">
        <v>404</v>
      </c>
      <c r="G1979" s="298"/>
      <c r="H1979" s="10"/>
      <c r="I1979" s="11"/>
      <c r="J1979" s="11"/>
      <c r="K1979" s="11"/>
      <c r="L1979" s="11"/>
      <c r="M1979" s="11"/>
      <c r="N1979" s="11"/>
      <c r="O1979" s="12"/>
      <c r="P1979" s="11"/>
      <c r="Q1979" s="13"/>
      <c r="R1979" s="14"/>
    </row>
    <row r="1980" spans="1:18" ht="15" customHeight="1">
      <c r="A1980" s="19" t="s">
        <v>48</v>
      </c>
      <c r="B1980" s="19" t="s">
        <v>396</v>
      </c>
      <c r="C1980" s="20">
        <v>0.48958333333333331</v>
      </c>
      <c r="D1980" s="19" t="s">
        <v>53</v>
      </c>
      <c r="E1980" s="19" t="s">
        <v>29</v>
      </c>
      <c r="F1980" s="19" t="s">
        <v>481</v>
      </c>
      <c r="G1980" s="298"/>
      <c r="H1980" s="10"/>
      <c r="I1980" s="11"/>
      <c r="J1980" s="11"/>
      <c r="K1980" s="11"/>
      <c r="L1980" s="11"/>
      <c r="M1980" s="11"/>
      <c r="N1980" s="11"/>
      <c r="O1980" s="12"/>
      <c r="P1980" s="11"/>
      <c r="Q1980" s="13"/>
      <c r="R1980" s="14"/>
    </row>
    <row r="1981" spans="1:18" ht="15" customHeight="1">
      <c r="A1981" s="17" t="s">
        <v>48</v>
      </c>
      <c r="B1981" s="17" t="s">
        <v>394</v>
      </c>
      <c r="C1981" s="18">
        <v>0.98958333333333337</v>
      </c>
      <c r="D1981" s="17" t="s">
        <v>53</v>
      </c>
      <c r="E1981" s="17" t="s">
        <v>37</v>
      </c>
      <c r="F1981" s="17" t="s">
        <v>399</v>
      </c>
      <c r="G1981" s="298"/>
      <c r="H1981" s="10"/>
      <c r="I1981" s="11"/>
      <c r="J1981" s="11"/>
      <c r="K1981" s="11"/>
      <c r="L1981" s="11"/>
      <c r="M1981" s="11"/>
      <c r="N1981" s="11"/>
      <c r="O1981" s="12"/>
      <c r="P1981" s="11"/>
      <c r="Q1981" s="13"/>
      <c r="R1981" s="14"/>
    </row>
    <row r="1982" spans="1:18" ht="15" customHeight="1">
      <c r="A1982" s="17" t="s">
        <v>48</v>
      </c>
      <c r="B1982" s="17" t="s">
        <v>398</v>
      </c>
      <c r="C1982" s="18">
        <v>0.39930555555555558</v>
      </c>
      <c r="D1982" s="17" t="s">
        <v>53</v>
      </c>
      <c r="E1982" s="17" t="s">
        <v>37</v>
      </c>
      <c r="F1982" s="17" t="s">
        <v>399</v>
      </c>
      <c r="G1982" s="298"/>
      <c r="H1982" s="10"/>
      <c r="I1982" s="11"/>
      <c r="J1982" s="11"/>
      <c r="K1982" s="11"/>
      <c r="L1982" s="11"/>
      <c r="M1982" s="11"/>
      <c r="N1982" s="11"/>
      <c r="O1982" s="12"/>
      <c r="P1982" s="11"/>
      <c r="Q1982" s="13"/>
      <c r="R1982" s="14"/>
    </row>
    <row r="1983" spans="1:18" ht="15" customHeight="1">
      <c r="A1983" s="17" t="s">
        <v>48</v>
      </c>
      <c r="B1983" s="17" t="s">
        <v>397</v>
      </c>
      <c r="C1983" s="18">
        <v>0.88888888888888884</v>
      </c>
      <c r="D1983" s="17" t="s">
        <v>53</v>
      </c>
      <c r="E1983" s="17" t="s">
        <v>37</v>
      </c>
      <c r="F1983" s="17" t="s">
        <v>399</v>
      </c>
      <c r="G1983" s="298"/>
      <c r="H1983" s="10"/>
      <c r="I1983" s="11"/>
      <c r="J1983" s="11"/>
      <c r="K1983" s="11"/>
      <c r="L1983" s="11"/>
      <c r="M1983" s="11"/>
      <c r="N1983" s="11"/>
      <c r="O1983" s="12"/>
      <c r="P1983" s="11"/>
      <c r="Q1983" s="13"/>
      <c r="R1983" s="14"/>
    </row>
    <row r="1984" spans="1:18" ht="15" customHeight="1">
      <c r="A1984" s="17" t="s">
        <v>48</v>
      </c>
      <c r="B1984" s="17" t="s">
        <v>391</v>
      </c>
      <c r="C1984" s="18">
        <v>0.48958333333333331</v>
      </c>
      <c r="D1984" s="17" t="s">
        <v>53</v>
      </c>
      <c r="E1984" s="17" t="s">
        <v>57</v>
      </c>
      <c r="F1984" s="17" t="s">
        <v>490</v>
      </c>
      <c r="G1984" s="298"/>
      <c r="H1984" s="10"/>
      <c r="I1984" s="11"/>
      <c r="J1984" s="11"/>
      <c r="K1984" s="11"/>
      <c r="L1984" s="11"/>
      <c r="M1984" s="11"/>
      <c r="N1984" s="11"/>
      <c r="O1984" s="12"/>
      <c r="P1984" s="11"/>
      <c r="Q1984" s="13"/>
      <c r="R1984" s="14"/>
    </row>
    <row r="1985" spans="1:18" ht="15" customHeight="1">
      <c r="A1985" s="17" t="s">
        <v>48</v>
      </c>
      <c r="B1985" s="17" t="s">
        <v>386</v>
      </c>
      <c r="C1985" s="18">
        <v>0.82986111111111116</v>
      </c>
      <c r="D1985" s="17" t="s">
        <v>53</v>
      </c>
      <c r="E1985" s="17" t="s">
        <v>57</v>
      </c>
      <c r="F1985" s="17" t="s">
        <v>490</v>
      </c>
      <c r="G1985" s="298"/>
      <c r="H1985" s="10"/>
      <c r="I1985" s="11"/>
      <c r="J1985" s="11"/>
      <c r="K1985" s="11"/>
      <c r="L1985" s="11"/>
      <c r="M1985" s="11"/>
      <c r="N1985" s="11"/>
      <c r="O1985" s="12"/>
      <c r="P1985" s="11"/>
      <c r="Q1985" s="13"/>
      <c r="R1985" s="14"/>
    </row>
    <row r="1986" spans="1:18" ht="15" customHeight="1">
      <c r="A1986" s="17" t="s">
        <v>48</v>
      </c>
      <c r="B1986" s="17" t="s">
        <v>388</v>
      </c>
      <c r="C1986" s="18">
        <v>0.72222222222222221</v>
      </c>
      <c r="D1986" s="17" t="s">
        <v>53</v>
      </c>
      <c r="E1986" s="17" t="s">
        <v>57</v>
      </c>
      <c r="F1986" s="17" t="s">
        <v>490</v>
      </c>
      <c r="G1986" s="298"/>
      <c r="H1986" s="10"/>
      <c r="I1986" s="11"/>
      <c r="J1986" s="11"/>
      <c r="K1986" s="11"/>
      <c r="L1986" s="11"/>
      <c r="M1986" s="11"/>
      <c r="N1986" s="11"/>
      <c r="O1986" s="12"/>
      <c r="P1986" s="11"/>
      <c r="Q1986" s="13"/>
      <c r="R1986" s="14"/>
    </row>
    <row r="1987" spans="1:18" ht="15" customHeight="1">
      <c r="A1987" s="17" t="s">
        <v>48</v>
      </c>
      <c r="B1987" s="17" t="s">
        <v>382</v>
      </c>
      <c r="C1987" s="18">
        <v>0.11805555555555559</v>
      </c>
      <c r="D1987" s="17" t="s">
        <v>53</v>
      </c>
      <c r="E1987" s="17" t="s">
        <v>57</v>
      </c>
      <c r="F1987" s="17" t="s">
        <v>490</v>
      </c>
      <c r="G1987" s="298"/>
      <c r="H1987" s="10"/>
      <c r="I1987" s="11"/>
      <c r="J1987" s="11"/>
      <c r="K1987" s="11"/>
      <c r="L1987" s="11"/>
      <c r="M1987" s="11"/>
      <c r="N1987" s="11"/>
      <c r="O1987" s="12"/>
      <c r="P1987" s="11"/>
      <c r="Q1987" s="13"/>
      <c r="R1987" s="14"/>
    </row>
    <row r="1988" spans="1:18" ht="15" customHeight="1">
      <c r="A1988" s="17" t="s">
        <v>48</v>
      </c>
      <c r="B1988" s="17" t="s">
        <v>389</v>
      </c>
      <c r="C1988" s="18">
        <v>0.70138888888888884</v>
      </c>
      <c r="D1988" s="17" t="s">
        <v>53</v>
      </c>
      <c r="E1988" s="17" t="s">
        <v>57</v>
      </c>
      <c r="F1988" s="17" t="s">
        <v>490</v>
      </c>
      <c r="G1988" s="298"/>
      <c r="H1988" s="10"/>
      <c r="I1988" s="11"/>
      <c r="J1988" s="11"/>
      <c r="K1988" s="11"/>
      <c r="L1988" s="11"/>
      <c r="M1988" s="11"/>
      <c r="N1988" s="11"/>
      <c r="O1988" s="12"/>
      <c r="P1988" s="11"/>
      <c r="Q1988" s="13"/>
      <c r="R1988" s="14"/>
    </row>
    <row r="1989" spans="1:18" ht="15" customHeight="1">
      <c r="A1989" s="17" t="s">
        <v>48</v>
      </c>
      <c r="B1989" s="17" t="s">
        <v>400</v>
      </c>
      <c r="C1989" s="18">
        <v>0.25347222222222221</v>
      </c>
      <c r="D1989" s="17" t="s">
        <v>53</v>
      </c>
      <c r="E1989" s="17" t="s">
        <v>57</v>
      </c>
      <c r="F1989" s="17" t="s">
        <v>490</v>
      </c>
      <c r="G1989" s="298"/>
      <c r="H1989" s="10"/>
      <c r="I1989" s="11"/>
      <c r="J1989" s="11"/>
      <c r="K1989" s="11"/>
      <c r="L1989" s="11"/>
      <c r="M1989" s="11"/>
      <c r="N1989" s="11"/>
      <c r="O1989" s="12"/>
      <c r="P1989" s="11"/>
      <c r="Q1989" s="13"/>
      <c r="R1989" s="14"/>
    </row>
    <row r="1990" spans="1:18" ht="15" customHeight="1">
      <c r="A1990" s="17" t="s">
        <v>48</v>
      </c>
      <c r="B1990" s="17" t="s">
        <v>390</v>
      </c>
      <c r="C1990" s="18">
        <v>4.1666666666666657E-2</v>
      </c>
      <c r="D1990" s="17" t="s">
        <v>53</v>
      </c>
      <c r="E1990" s="17" t="s">
        <v>57</v>
      </c>
      <c r="F1990" s="17" t="s">
        <v>490</v>
      </c>
      <c r="G1990" s="298"/>
      <c r="H1990" s="10"/>
      <c r="I1990" s="11"/>
      <c r="J1990" s="11"/>
      <c r="K1990" s="11"/>
      <c r="L1990" s="11"/>
      <c r="M1990" s="11"/>
      <c r="N1990" s="11"/>
      <c r="O1990" s="12"/>
      <c r="P1990" s="11"/>
      <c r="Q1990" s="13"/>
      <c r="R1990" s="14"/>
    </row>
    <row r="1991" spans="1:18" ht="15" customHeight="1">
      <c r="A1991" s="17" t="s">
        <v>48</v>
      </c>
      <c r="B1991" s="17" t="s">
        <v>385</v>
      </c>
      <c r="C1991" s="18">
        <v>0.94097222222222221</v>
      </c>
      <c r="D1991" s="17" t="s">
        <v>53</v>
      </c>
      <c r="E1991" s="17" t="s">
        <v>57</v>
      </c>
      <c r="F1991" s="17" t="s">
        <v>490</v>
      </c>
      <c r="G1991" s="298"/>
      <c r="H1991" s="10"/>
      <c r="I1991" s="11"/>
      <c r="J1991" s="11"/>
      <c r="K1991" s="11"/>
      <c r="L1991" s="11"/>
      <c r="M1991" s="11"/>
      <c r="N1991" s="11"/>
      <c r="O1991" s="12"/>
      <c r="P1991" s="11"/>
      <c r="Q1991" s="13"/>
      <c r="R1991" s="14"/>
    </row>
    <row r="1992" spans="1:18" ht="15" customHeight="1">
      <c r="A1992" s="19" t="s">
        <v>415</v>
      </c>
      <c r="B1992" s="19" t="s">
        <v>416</v>
      </c>
      <c r="C1992" s="20">
        <v>0.10069444444444441</v>
      </c>
      <c r="D1992" s="19" t="s">
        <v>63</v>
      </c>
      <c r="E1992" s="19" t="s">
        <v>51</v>
      </c>
      <c r="F1992" s="19" t="s">
        <v>417</v>
      </c>
      <c r="G1992" s="298"/>
      <c r="H1992" s="10"/>
      <c r="I1992" s="11"/>
      <c r="J1992" s="11"/>
      <c r="K1992" s="11"/>
      <c r="L1992" s="11"/>
      <c r="M1992" s="11"/>
      <c r="N1992" s="11"/>
      <c r="O1992" s="12"/>
      <c r="P1992" s="11"/>
      <c r="Q1992" s="13"/>
      <c r="R1992" s="14"/>
    </row>
    <row r="1993" spans="1:18" ht="15" customHeight="1">
      <c r="A1993" s="17" t="s">
        <v>415</v>
      </c>
      <c r="B1993" s="17" t="s">
        <v>418</v>
      </c>
      <c r="C1993" s="18">
        <v>0.27083333333333331</v>
      </c>
      <c r="D1993" s="17" t="s">
        <v>63</v>
      </c>
      <c r="E1993" s="17" t="s">
        <v>57</v>
      </c>
      <c r="F1993" s="17" t="s">
        <v>417</v>
      </c>
      <c r="G1993" s="298"/>
      <c r="H1993" s="10"/>
      <c r="I1993" s="11"/>
      <c r="J1993" s="11"/>
      <c r="K1993" s="11"/>
      <c r="L1993" s="11"/>
      <c r="M1993" s="11"/>
      <c r="N1993" s="11"/>
      <c r="O1993" s="12"/>
      <c r="P1993" s="11"/>
      <c r="Q1993" s="13"/>
      <c r="R1993" s="14"/>
    </row>
    <row r="1994" spans="1:18" ht="15" customHeight="1">
      <c r="A1994" s="19" t="s">
        <v>68</v>
      </c>
      <c r="B1994" s="19" t="s">
        <v>405</v>
      </c>
      <c r="C1994" s="20">
        <v>0.83680555555555547</v>
      </c>
      <c r="D1994" s="19" t="s">
        <v>70</v>
      </c>
      <c r="E1994" s="19" t="s">
        <v>51</v>
      </c>
      <c r="F1994" s="19" t="s">
        <v>524</v>
      </c>
      <c r="G1994" s="298"/>
      <c r="H1994" s="10"/>
      <c r="I1994" s="11"/>
      <c r="J1994" s="11"/>
      <c r="K1994" s="11"/>
      <c r="L1994" s="11"/>
      <c r="M1994" s="11"/>
      <c r="N1994" s="11"/>
      <c r="O1994" s="12"/>
      <c r="P1994" s="11"/>
      <c r="Q1994" s="13"/>
      <c r="R1994" s="14"/>
    </row>
    <row r="1995" spans="1:18" ht="15" customHeight="1">
      <c r="A1995" s="17" t="s">
        <v>68</v>
      </c>
      <c r="B1995" s="17" t="s">
        <v>408</v>
      </c>
      <c r="C1995" s="18">
        <v>0.97222222222222221</v>
      </c>
      <c r="D1995" s="17" t="s">
        <v>70</v>
      </c>
      <c r="E1995" s="17" t="s">
        <v>57</v>
      </c>
      <c r="F1995" s="17" t="s">
        <v>524</v>
      </c>
      <c r="G1995" s="298"/>
      <c r="H1995" s="10"/>
      <c r="I1995" s="11"/>
      <c r="J1995" s="11"/>
      <c r="K1995" s="11"/>
      <c r="L1995" s="11"/>
      <c r="M1995" s="11"/>
      <c r="N1995" s="11"/>
      <c r="O1995" s="12"/>
      <c r="P1995" s="11"/>
      <c r="Q1995" s="13"/>
      <c r="R1995" s="14"/>
    </row>
    <row r="1996" spans="1:18" ht="15" customHeight="1">
      <c r="A1996" s="17" t="s">
        <v>68</v>
      </c>
      <c r="B1996" s="17" t="s">
        <v>437</v>
      </c>
      <c r="C1996" s="18">
        <v>0.1041666666666667</v>
      </c>
      <c r="D1996" s="17" t="s">
        <v>70</v>
      </c>
      <c r="E1996" s="17" t="s">
        <v>57</v>
      </c>
      <c r="F1996" s="17" t="s">
        <v>524</v>
      </c>
      <c r="G1996" s="298"/>
      <c r="H1996" s="10"/>
      <c r="I1996" s="11"/>
      <c r="J1996" s="11"/>
      <c r="K1996" s="11"/>
      <c r="L1996" s="11"/>
      <c r="M1996" s="11"/>
      <c r="N1996" s="11"/>
      <c r="O1996" s="12"/>
      <c r="P1996" s="11"/>
      <c r="Q1996" s="13"/>
      <c r="R1996" s="14"/>
    </row>
    <row r="1997" spans="1:18" ht="15" customHeight="1">
      <c r="A1997" s="17" t="s">
        <v>68</v>
      </c>
      <c r="B1997" s="17" t="s">
        <v>409</v>
      </c>
      <c r="C1997" s="18">
        <v>0.34027777777777768</v>
      </c>
      <c r="D1997" s="17" t="s">
        <v>70</v>
      </c>
      <c r="E1997" s="17" t="s">
        <v>57</v>
      </c>
      <c r="F1997" s="17" t="s">
        <v>524</v>
      </c>
      <c r="G1997" s="298"/>
      <c r="H1997" s="10"/>
      <c r="I1997" s="11"/>
      <c r="J1997" s="11"/>
      <c r="K1997" s="11"/>
      <c r="L1997" s="11"/>
      <c r="M1997" s="11"/>
      <c r="N1997" s="11"/>
      <c r="O1997" s="12"/>
      <c r="P1997" s="11"/>
      <c r="Q1997" s="13"/>
      <c r="R1997" s="14"/>
    </row>
    <row r="1998" spans="1:18" ht="15" customHeight="1">
      <c r="A1998" s="17" t="s">
        <v>68</v>
      </c>
      <c r="B1998" s="17" t="s">
        <v>411</v>
      </c>
      <c r="C1998" s="18">
        <v>0.78472222222222221</v>
      </c>
      <c r="D1998" s="17" t="s">
        <v>70</v>
      </c>
      <c r="E1998" s="17" t="s">
        <v>57</v>
      </c>
      <c r="F1998" s="17" t="s">
        <v>524</v>
      </c>
      <c r="G1998" s="298"/>
      <c r="H1998" s="10"/>
      <c r="I1998" s="11"/>
      <c r="J1998" s="11"/>
      <c r="K1998" s="11"/>
      <c r="L1998" s="11"/>
      <c r="M1998" s="11"/>
      <c r="N1998" s="11"/>
      <c r="O1998" s="12"/>
      <c r="P1998" s="11"/>
      <c r="Q1998" s="13"/>
      <c r="R1998" s="14"/>
    </row>
    <row r="1999" spans="1:18" ht="15" customHeight="1" thickBot="1">
      <c r="A1999" s="30" t="s">
        <v>68</v>
      </c>
      <c r="B1999" s="30" t="s">
        <v>413</v>
      </c>
      <c r="C1999" s="31">
        <v>4.8611111111111112E-2</v>
      </c>
      <c r="D1999" s="30" t="s">
        <v>70</v>
      </c>
      <c r="E1999" s="30" t="s">
        <v>57</v>
      </c>
      <c r="F1999" s="30" t="s">
        <v>524</v>
      </c>
      <c r="G1999" s="299"/>
      <c r="H1999" s="300"/>
      <c r="I1999" s="140"/>
      <c r="J1999" s="140"/>
      <c r="K1999" s="140"/>
      <c r="L1999" s="140"/>
      <c r="M1999" s="140"/>
      <c r="N1999" s="140"/>
      <c r="O1999" s="141"/>
      <c r="P1999" s="140"/>
      <c r="Q1999" s="142"/>
      <c r="R1999" s="301"/>
    </row>
    <row r="2000" spans="1:18" ht="17.45" customHeight="1" thickBot="1">
      <c r="A2000" s="283"/>
      <c r="B2000" s="284"/>
      <c r="C2000" s="284"/>
      <c r="D2000" s="284"/>
      <c r="E2000" s="284"/>
      <c r="F2000" s="284"/>
      <c r="G2000" s="284"/>
      <c r="H2000" s="284"/>
      <c r="I2000" s="284"/>
      <c r="J2000" s="284"/>
      <c r="K2000" s="284"/>
      <c r="L2000" s="284"/>
      <c r="M2000" s="284"/>
      <c r="N2000" s="284"/>
      <c r="O2000" s="284"/>
      <c r="P2000" s="284"/>
      <c r="Q2000" s="284"/>
      <c r="R2000" s="285"/>
    </row>
    <row r="2001" spans="1:18" ht="22.15" customHeight="1" thickTop="1" thickBot="1">
      <c r="A2001" s="279" t="s">
        <v>6</v>
      </c>
      <c r="B2001" s="295"/>
      <c r="C2001" s="295"/>
      <c r="D2001" s="295"/>
      <c r="E2001" s="295"/>
      <c r="F2001" s="296"/>
      <c r="G2001" s="32">
        <v>46050</v>
      </c>
      <c r="H2001" s="278" t="s">
        <v>7</v>
      </c>
      <c r="I2001" s="295"/>
      <c r="J2001" s="295"/>
      <c r="K2001" s="295"/>
      <c r="L2001" s="295"/>
      <c r="M2001" s="295"/>
      <c r="N2001" s="295"/>
      <c r="O2001" s="295"/>
      <c r="P2001" s="295"/>
      <c r="Q2001" s="295"/>
      <c r="R2001" s="296"/>
    </row>
    <row r="2002" spans="1:18" ht="24" customHeight="1">
      <c r="A2002" s="33" t="s">
        <v>8</v>
      </c>
      <c r="B2002" s="33" t="s">
        <v>9</v>
      </c>
      <c r="C2002" s="34" t="s">
        <v>10</v>
      </c>
      <c r="D2002" s="33" t="s">
        <v>11</v>
      </c>
      <c r="E2002" s="33" t="s">
        <v>12</v>
      </c>
      <c r="F2002" s="35" t="s">
        <v>13</v>
      </c>
      <c r="G2002" s="36" t="s">
        <v>14</v>
      </c>
      <c r="H2002" s="33" t="s">
        <v>15</v>
      </c>
      <c r="I2002" s="37" t="s">
        <v>16</v>
      </c>
      <c r="J2002" s="38" t="s">
        <v>17</v>
      </c>
      <c r="K2002" s="39" t="s">
        <v>18</v>
      </c>
      <c r="L2002" s="38" t="s">
        <v>19</v>
      </c>
      <c r="M2002" s="38" t="s">
        <v>20</v>
      </c>
      <c r="N2002" s="38" t="s">
        <v>21</v>
      </c>
      <c r="O2002" s="33" t="s">
        <v>22</v>
      </c>
      <c r="P2002" s="34" t="s">
        <v>23</v>
      </c>
      <c r="Q2002" s="38" t="s">
        <v>24</v>
      </c>
      <c r="R2002" s="33" t="s">
        <v>25</v>
      </c>
    </row>
    <row r="2003" spans="1:18" ht="15" customHeight="1">
      <c r="A2003" s="8" t="s">
        <v>38</v>
      </c>
      <c r="B2003" s="8" t="s">
        <v>342</v>
      </c>
      <c r="C2003" s="9">
        <v>0.48958333333333331</v>
      </c>
      <c r="D2003" s="8" t="s">
        <v>40</v>
      </c>
      <c r="E2003" s="8" t="s">
        <v>80</v>
      </c>
      <c r="F2003" s="8" t="s">
        <v>343</v>
      </c>
      <c r="G2003" s="297"/>
      <c r="H2003" s="10"/>
      <c r="I2003" s="11"/>
      <c r="J2003" s="11"/>
      <c r="K2003" s="11"/>
      <c r="L2003" s="11"/>
      <c r="M2003" s="11"/>
      <c r="N2003" s="11"/>
      <c r="O2003" s="12"/>
      <c r="P2003" s="11"/>
      <c r="Q2003" s="13"/>
      <c r="R2003" s="14"/>
    </row>
    <row r="2004" spans="1:18" ht="15" customHeight="1">
      <c r="A2004" s="15" t="s">
        <v>38</v>
      </c>
      <c r="B2004" s="15" t="s">
        <v>342</v>
      </c>
      <c r="C2004" s="16">
        <v>0.48958333333333331</v>
      </c>
      <c r="D2004" s="15" t="s">
        <v>43</v>
      </c>
      <c r="E2004" s="15" t="s">
        <v>82</v>
      </c>
      <c r="F2004" s="15" t="s">
        <v>33</v>
      </c>
      <c r="G2004" s="298"/>
      <c r="H2004" s="10"/>
      <c r="I2004" s="11"/>
      <c r="J2004" s="11"/>
      <c r="K2004" s="11"/>
      <c r="L2004" s="11"/>
      <c r="M2004" s="11"/>
      <c r="N2004" s="11"/>
      <c r="O2004" s="12"/>
      <c r="P2004" s="11"/>
      <c r="Q2004" s="13"/>
      <c r="R2004" s="14"/>
    </row>
    <row r="2005" spans="1:18" ht="15" customHeight="1">
      <c r="A2005" s="15" t="s">
        <v>38</v>
      </c>
      <c r="B2005" s="15" t="s">
        <v>342</v>
      </c>
      <c r="C2005" s="16">
        <v>0.48958333333333331</v>
      </c>
      <c r="D2005" s="15" t="s">
        <v>46</v>
      </c>
      <c r="E2005" s="15" t="s">
        <v>82</v>
      </c>
      <c r="F2005" s="15" t="s">
        <v>47</v>
      </c>
      <c r="G2005" s="298"/>
      <c r="H2005" s="10"/>
      <c r="I2005" s="11"/>
      <c r="J2005" s="11"/>
      <c r="K2005" s="11"/>
      <c r="L2005" s="11"/>
      <c r="M2005" s="11"/>
      <c r="N2005" s="11"/>
      <c r="O2005" s="12"/>
      <c r="P2005" s="11"/>
      <c r="Q2005" s="13"/>
      <c r="R2005" s="14"/>
    </row>
    <row r="2006" spans="1:18" ht="15" customHeight="1">
      <c r="A2006" s="17" t="s">
        <v>38</v>
      </c>
      <c r="B2006" s="17" t="s">
        <v>346</v>
      </c>
      <c r="C2006" s="18">
        <v>0.39930555555555558</v>
      </c>
      <c r="D2006" s="17" t="s">
        <v>40</v>
      </c>
      <c r="E2006" s="17" t="s">
        <v>125</v>
      </c>
      <c r="F2006" s="17" t="s">
        <v>347</v>
      </c>
      <c r="G2006" s="298"/>
      <c r="H2006" s="10"/>
      <c r="I2006" s="11"/>
      <c r="J2006" s="11"/>
      <c r="K2006" s="11"/>
      <c r="L2006" s="11"/>
      <c r="M2006" s="11"/>
      <c r="N2006" s="11"/>
      <c r="O2006" s="12"/>
      <c r="P2006" s="11"/>
      <c r="Q2006" s="13"/>
      <c r="R2006" s="14"/>
    </row>
    <row r="2007" spans="1:18" ht="15" customHeight="1">
      <c r="A2007" s="15" t="s">
        <v>38</v>
      </c>
      <c r="B2007" s="15" t="s">
        <v>346</v>
      </c>
      <c r="C2007" s="16">
        <v>0.39930555555555558</v>
      </c>
      <c r="D2007" s="15" t="s">
        <v>43</v>
      </c>
      <c r="E2007" s="15" t="s">
        <v>44</v>
      </c>
      <c r="F2007" s="15" t="s">
        <v>138</v>
      </c>
      <c r="G2007" s="298"/>
      <c r="H2007" s="10"/>
      <c r="I2007" s="11"/>
      <c r="J2007" s="11"/>
      <c r="K2007" s="11"/>
      <c r="L2007" s="11"/>
      <c r="M2007" s="11"/>
      <c r="N2007" s="11"/>
      <c r="O2007" s="12"/>
      <c r="P2007" s="11"/>
      <c r="Q2007" s="13"/>
      <c r="R2007" s="14"/>
    </row>
    <row r="2008" spans="1:18" ht="15" customHeight="1">
      <c r="A2008" s="15" t="s">
        <v>38</v>
      </c>
      <c r="B2008" s="15" t="s">
        <v>346</v>
      </c>
      <c r="C2008" s="16">
        <v>0.39930555555555558</v>
      </c>
      <c r="D2008" s="15" t="s">
        <v>46</v>
      </c>
      <c r="E2008" s="15" t="s">
        <v>44</v>
      </c>
      <c r="F2008" s="15" t="s">
        <v>47</v>
      </c>
      <c r="G2008" s="298"/>
      <c r="H2008" s="10"/>
      <c r="I2008" s="11"/>
      <c r="J2008" s="11"/>
      <c r="K2008" s="11"/>
      <c r="L2008" s="11"/>
      <c r="M2008" s="11"/>
      <c r="N2008" s="11"/>
      <c r="O2008" s="12"/>
      <c r="P2008" s="11"/>
      <c r="Q2008" s="13"/>
      <c r="R2008" s="14"/>
    </row>
    <row r="2009" spans="1:18" ht="15" customHeight="1">
      <c r="A2009" s="17" t="s">
        <v>38</v>
      </c>
      <c r="B2009" s="17" t="s">
        <v>344</v>
      </c>
      <c r="C2009" s="18">
        <v>0.88888888888888884</v>
      </c>
      <c r="D2009" s="17" t="s">
        <v>40</v>
      </c>
      <c r="E2009" s="17" t="s">
        <v>125</v>
      </c>
      <c r="F2009" s="17" t="s">
        <v>347</v>
      </c>
      <c r="G2009" s="298"/>
      <c r="H2009" s="10"/>
      <c r="I2009" s="11"/>
      <c r="J2009" s="11"/>
      <c r="K2009" s="11"/>
      <c r="L2009" s="11"/>
      <c r="M2009" s="11"/>
      <c r="N2009" s="11"/>
      <c r="O2009" s="12"/>
      <c r="P2009" s="11"/>
      <c r="Q2009" s="13"/>
      <c r="R2009" s="14"/>
    </row>
    <row r="2010" spans="1:18" ht="15" customHeight="1">
      <c r="A2010" s="15" t="s">
        <v>38</v>
      </c>
      <c r="B2010" s="15" t="s">
        <v>344</v>
      </c>
      <c r="C2010" s="16">
        <v>0.88888888888888884</v>
      </c>
      <c r="D2010" s="15" t="s">
        <v>43</v>
      </c>
      <c r="E2010" s="15" t="s">
        <v>44</v>
      </c>
      <c r="F2010" s="15" t="s">
        <v>138</v>
      </c>
      <c r="G2010" s="298"/>
      <c r="H2010" s="10"/>
      <c r="I2010" s="11"/>
      <c r="J2010" s="11"/>
      <c r="K2010" s="11"/>
      <c r="L2010" s="11"/>
      <c r="M2010" s="11"/>
      <c r="N2010" s="11"/>
      <c r="O2010" s="12"/>
      <c r="P2010" s="11"/>
      <c r="Q2010" s="13"/>
      <c r="R2010" s="14"/>
    </row>
    <row r="2011" spans="1:18" ht="15" customHeight="1">
      <c r="A2011" s="15" t="s">
        <v>38</v>
      </c>
      <c r="B2011" s="15" t="s">
        <v>344</v>
      </c>
      <c r="C2011" s="16">
        <v>0.88888888888888884</v>
      </c>
      <c r="D2011" s="15" t="s">
        <v>46</v>
      </c>
      <c r="E2011" s="15" t="s">
        <v>44</v>
      </c>
      <c r="F2011" s="15" t="s">
        <v>47</v>
      </c>
      <c r="G2011" s="298"/>
      <c r="H2011" s="10"/>
      <c r="I2011" s="11"/>
      <c r="J2011" s="11"/>
      <c r="K2011" s="11"/>
      <c r="L2011" s="11"/>
      <c r="M2011" s="11"/>
      <c r="N2011" s="11"/>
      <c r="O2011" s="12"/>
      <c r="P2011" s="11"/>
      <c r="Q2011" s="13"/>
      <c r="R2011" s="14"/>
    </row>
    <row r="2012" spans="1:18" ht="15" customHeight="1">
      <c r="A2012" s="17" t="s">
        <v>38</v>
      </c>
      <c r="B2012" s="17" t="s">
        <v>345</v>
      </c>
      <c r="C2012" s="18">
        <v>0.98958333333333337</v>
      </c>
      <c r="D2012" s="17" t="s">
        <v>40</v>
      </c>
      <c r="E2012" s="17" t="s">
        <v>125</v>
      </c>
      <c r="F2012" s="17" t="s">
        <v>347</v>
      </c>
      <c r="G2012" s="298"/>
      <c r="H2012" s="10"/>
      <c r="I2012" s="11"/>
      <c r="J2012" s="11"/>
      <c r="K2012" s="11"/>
      <c r="L2012" s="11"/>
      <c r="M2012" s="11"/>
      <c r="N2012" s="11"/>
      <c r="O2012" s="12"/>
      <c r="P2012" s="11"/>
      <c r="Q2012" s="13"/>
      <c r="R2012" s="14"/>
    </row>
    <row r="2013" spans="1:18" ht="15" customHeight="1">
      <c r="A2013" s="15" t="s">
        <v>38</v>
      </c>
      <c r="B2013" s="15" t="s">
        <v>345</v>
      </c>
      <c r="C2013" s="16">
        <v>0.98958333333333337</v>
      </c>
      <c r="D2013" s="15" t="s">
        <v>43</v>
      </c>
      <c r="E2013" s="15" t="s">
        <v>44</v>
      </c>
      <c r="F2013" s="15" t="s">
        <v>138</v>
      </c>
      <c r="G2013" s="298"/>
      <c r="H2013" s="10"/>
      <c r="I2013" s="11"/>
      <c r="J2013" s="11"/>
      <c r="K2013" s="11"/>
      <c r="L2013" s="11"/>
      <c r="M2013" s="11"/>
      <c r="N2013" s="11"/>
      <c r="O2013" s="12"/>
      <c r="P2013" s="11"/>
      <c r="Q2013" s="13"/>
      <c r="R2013" s="14"/>
    </row>
    <row r="2014" spans="1:18" ht="15" customHeight="1">
      <c r="A2014" s="15" t="s">
        <v>38</v>
      </c>
      <c r="B2014" s="15" t="s">
        <v>345</v>
      </c>
      <c r="C2014" s="16">
        <v>0.98958333333333337</v>
      </c>
      <c r="D2014" s="15" t="s">
        <v>46</v>
      </c>
      <c r="E2014" s="15" t="s">
        <v>44</v>
      </c>
      <c r="F2014" s="15" t="s">
        <v>47</v>
      </c>
      <c r="G2014" s="298"/>
      <c r="H2014" s="10"/>
      <c r="I2014" s="11"/>
      <c r="J2014" s="11"/>
      <c r="K2014" s="11"/>
      <c r="L2014" s="11"/>
      <c r="M2014" s="11"/>
      <c r="N2014" s="11"/>
      <c r="O2014" s="12"/>
      <c r="P2014" s="11"/>
      <c r="Q2014" s="13"/>
      <c r="R2014" s="14"/>
    </row>
    <row r="2015" spans="1:18" ht="15" customHeight="1">
      <c r="A2015" s="19" t="s">
        <v>359</v>
      </c>
      <c r="B2015" s="19" t="s">
        <v>360</v>
      </c>
      <c r="C2015" s="20">
        <v>0.22569444444444439</v>
      </c>
      <c r="D2015" s="19" t="s">
        <v>361</v>
      </c>
      <c r="E2015" s="19" t="s">
        <v>80</v>
      </c>
      <c r="F2015" s="19" t="s">
        <v>525</v>
      </c>
      <c r="G2015" s="298"/>
      <c r="H2015" s="10"/>
      <c r="I2015" s="11"/>
      <c r="J2015" s="11"/>
      <c r="K2015" s="11"/>
      <c r="L2015" s="11"/>
      <c r="M2015" s="11"/>
      <c r="N2015" s="11"/>
      <c r="O2015" s="12"/>
      <c r="P2015" s="11"/>
      <c r="Q2015" s="13"/>
      <c r="R2015" s="14"/>
    </row>
    <row r="2016" spans="1:18" ht="15" customHeight="1">
      <c r="A2016" s="15" t="s">
        <v>359</v>
      </c>
      <c r="B2016" s="15" t="s">
        <v>360</v>
      </c>
      <c r="C2016" s="16">
        <v>0.22569444444444439</v>
      </c>
      <c r="D2016" s="15" t="s">
        <v>46</v>
      </c>
      <c r="E2016" s="15" t="s">
        <v>82</v>
      </c>
      <c r="F2016" s="15" t="s">
        <v>526</v>
      </c>
      <c r="G2016" s="298"/>
      <c r="H2016" s="10"/>
      <c r="I2016" s="11"/>
      <c r="J2016" s="11"/>
      <c r="K2016" s="11"/>
      <c r="L2016" s="11"/>
      <c r="M2016" s="11"/>
      <c r="N2016" s="11"/>
      <c r="O2016" s="12"/>
      <c r="P2016" s="11"/>
      <c r="Q2016" s="13"/>
      <c r="R2016" s="14"/>
    </row>
    <row r="2017" spans="1:18" ht="15" customHeight="1">
      <c r="A2017" s="49" t="s">
        <v>61</v>
      </c>
      <c r="B2017" s="49" t="s">
        <v>364</v>
      </c>
      <c r="C2017" s="50">
        <v>0.2326388888888889</v>
      </c>
      <c r="D2017" s="49" t="s">
        <v>63</v>
      </c>
      <c r="E2017" s="49" t="s">
        <v>156</v>
      </c>
      <c r="F2017" s="49" t="s">
        <v>365</v>
      </c>
      <c r="G2017" s="298"/>
      <c r="H2017" s="51" t="s">
        <v>366</v>
      </c>
      <c r="I2017" s="52">
        <v>2.7799999999999998E-2</v>
      </c>
      <c r="J2017" s="53">
        <v>5</v>
      </c>
      <c r="K2017" s="54">
        <v>46325</v>
      </c>
      <c r="L2017" s="53">
        <v>7</v>
      </c>
      <c r="M2017" s="53">
        <v>0</v>
      </c>
      <c r="N2017" s="53">
        <v>0</v>
      </c>
      <c r="O2017" s="55" t="s">
        <v>430</v>
      </c>
      <c r="P2017" s="56">
        <v>0.2326388888888889</v>
      </c>
      <c r="Q2017" s="53">
        <v>180</v>
      </c>
      <c r="R2017" s="57" t="s">
        <v>431</v>
      </c>
    </row>
    <row r="2018" spans="1:18" ht="15" customHeight="1">
      <c r="A2018" s="160" t="s">
        <v>61</v>
      </c>
      <c r="B2018" s="160" t="s">
        <v>432</v>
      </c>
      <c r="C2018" s="161">
        <v>0.34375</v>
      </c>
      <c r="D2018" s="160" t="s">
        <v>63</v>
      </c>
      <c r="E2018" s="160" t="s">
        <v>372</v>
      </c>
      <c r="F2018" s="160" t="s">
        <v>365</v>
      </c>
      <c r="G2018" s="298"/>
      <c r="H2018" s="23" t="s">
        <v>433</v>
      </c>
      <c r="I2018" s="24">
        <v>0</v>
      </c>
      <c r="J2018" s="25">
        <v>0</v>
      </c>
      <c r="K2018" s="26" t="s">
        <v>66</v>
      </c>
      <c r="L2018" s="25">
        <v>0</v>
      </c>
      <c r="M2018" s="25">
        <v>0</v>
      </c>
      <c r="N2018" s="25">
        <v>0</v>
      </c>
      <c r="O2018" s="27" t="s">
        <v>436</v>
      </c>
      <c r="P2018" s="28">
        <v>0.34375</v>
      </c>
      <c r="Q2018" s="25">
        <v>180</v>
      </c>
      <c r="R2018" s="29" t="s">
        <v>66</v>
      </c>
    </row>
    <row r="2019" spans="1:18" ht="15" customHeight="1">
      <c r="A2019" s="156" t="s">
        <v>61</v>
      </c>
      <c r="B2019" s="156" t="s">
        <v>375</v>
      </c>
      <c r="C2019" s="157">
        <v>0.34027777777777768</v>
      </c>
      <c r="D2019" s="156" t="s">
        <v>63</v>
      </c>
      <c r="E2019" s="156" t="s">
        <v>372</v>
      </c>
      <c r="F2019" s="156" t="s">
        <v>365</v>
      </c>
      <c r="G2019" s="298"/>
      <c r="H2019" s="42" t="s">
        <v>376</v>
      </c>
      <c r="I2019" s="43">
        <v>0</v>
      </c>
      <c r="J2019" s="44">
        <v>0</v>
      </c>
      <c r="K2019" s="45" t="s">
        <v>66</v>
      </c>
      <c r="L2019" s="44">
        <v>0</v>
      </c>
      <c r="M2019" s="44">
        <v>0</v>
      </c>
      <c r="N2019" s="44">
        <v>0</v>
      </c>
      <c r="O2019" s="46" t="s">
        <v>436</v>
      </c>
      <c r="P2019" s="47">
        <v>0.34027777777777768</v>
      </c>
      <c r="Q2019" s="44">
        <v>180</v>
      </c>
      <c r="R2019" s="48" t="s">
        <v>66</v>
      </c>
    </row>
    <row r="2020" spans="1:18" ht="15" customHeight="1">
      <c r="A2020" s="158" t="s">
        <v>61</v>
      </c>
      <c r="B2020" s="158" t="s">
        <v>377</v>
      </c>
      <c r="C2020" s="159">
        <v>0.4375</v>
      </c>
      <c r="D2020" s="158" t="s">
        <v>63</v>
      </c>
      <c r="E2020" s="158" t="s">
        <v>91</v>
      </c>
      <c r="F2020" s="158" t="s">
        <v>365</v>
      </c>
      <c r="G2020" s="298"/>
      <c r="H2020" s="89" t="s">
        <v>378</v>
      </c>
      <c r="I2020" s="90">
        <v>2.2200000000000001E-2</v>
      </c>
      <c r="J2020" s="91">
        <v>4</v>
      </c>
      <c r="K2020" s="92">
        <v>46323</v>
      </c>
      <c r="L2020" s="91">
        <v>4</v>
      </c>
      <c r="M2020" s="91">
        <v>0</v>
      </c>
      <c r="N2020" s="91">
        <v>0</v>
      </c>
      <c r="O2020" s="93" t="s">
        <v>367</v>
      </c>
      <c r="P2020" s="94">
        <v>0.4375</v>
      </c>
      <c r="Q2020" s="91">
        <v>180</v>
      </c>
      <c r="R2020" s="95" t="s">
        <v>368</v>
      </c>
    </row>
    <row r="2021" spans="1:18" ht="15" customHeight="1">
      <c r="A2021" s="154" t="s">
        <v>61</v>
      </c>
      <c r="B2021" s="154" t="s">
        <v>428</v>
      </c>
      <c r="C2021" s="155">
        <v>0.9375</v>
      </c>
      <c r="D2021" s="154" t="s">
        <v>63</v>
      </c>
      <c r="E2021" s="154" t="s">
        <v>435</v>
      </c>
      <c r="F2021" s="154" t="s">
        <v>79</v>
      </c>
      <c r="G2021" s="298"/>
      <c r="H2021" s="69" t="s">
        <v>429</v>
      </c>
      <c r="I2021" s="70">
        <v>3.3300000000000003E-2</v>
      </c>
      <c r="J2021" s="71">
        <v>6</v>
      </c>
      <c r="K2021" s="72">
        <v>46323</v>
      </c>
      <c r="L2021" s="71">
        <v>6</v>
      </c>
      <c r="M2021" s="71">
        <v>0</v>
      </c>
      <c r="N2021" s="71">
        <v>0</v>
      </c>
      <c r="O2021" s="73" t="s">
        <v>299</v>
      </c>
      <c r="P2021" s="74">
        <v>0.9375</v>
      </c>
      <c r="Q2021" s="71">
        <v>180</v>
      </c>
      <c r="R2021" s="75" t="s">
        <v>436</v>
      </c>
    </row>
    <row r="2022" spans="1:18" ht="15" customHeight="1">
      <c r="A2022" s="19" t="s">
        <v>26</v>
      </c>
      <c r="B2022" s="19" t="s">
        <v>348</v>
      </c>
      <c r="C2022" s="20">
        <v>0.99305555555555547</v>
      </c>
      <c r="D2022" s="19" t="s">
        <v>28</v>
      </c>
      <c r="E2022" s="19" t="s">
        <v>29</v>
      </c>
      <c r="F2022" s="19" t="s">
        <v>83</v>
      </c>
      <c r="G2022" s="298"/>
      <c r="H2022" s="10"/>
      <c r="I2022" s="11"/>
      <c r="J2022" s="11"/>
      <c r="K2022" s="11"/>
      <c r="L2022" s="11"/>
      <c r="M2022" s="11"/>
      <c r="N2022" s="11"/>
      <c r="O2022" s="12"/>
      <c r="P2022" s="11"/>
      <c r="Q2022" s="13"/>
      <c r="R2022" s="14"/>
    </row>
    <row r="2023" spans="1:18" ht="15" customHeight="1">
      <c r="A2023" s="15" t="s">
        <v>26</v>
      </c>
      <c r="B2023" s="15" t="s">
        <v>348</v>
      </c>
      <c r="C2023" s="16">
        <v>0.99305555555555547</v>
      </c>
      <c r="D2023" s="15" t="s">
        <v>31</v>
      </c>
      <c r="E2023" s="15" t="s">
        <v>32</v>
      </c>
      <c r="F2023" s="15" t="s">
        <v>159</v>
      </c>
      <c r="G2023" s="298"/>
      <c r="H2023" s="10"/>
      <c r="I2023" s="11"/>
      <c r="J2023" s="11"/>
      <c r="K2023" s="11"/>
      <c r="L2023" s="11"/>
      <c r="M2023" s="11"/>
      <c r="N2023" s="11"/>
      <c r="O2023" s="12"/>
      <c r="P2023" s="11"/>
      <c r="Q2023" s="13"/>
      <c r="R2023" s="14"/>
    </row>
    <row r="2024" spans="1:18" ht="15" customHeight="1">
      <c r="A2024" s="15" t="s">
        <v>26</v>
      </c>
      <c r="B2024" s="15" t="s">
        <v>348</v>
      </c>
      <c r="C2024" s="16">
        <v>0.99305555555555547</v>
      </c>
      <c r="D2024" s="15" t="s">
        <v>34</v>
      </c>
      <c r="E2024" s="15" t="s">
        <v>32</v>
      </c>
      <c r="F2024" s="15" t="s">
        <v>355</v>
      </c>
      <c r="G2024" s="298"/>
      <c r="H2024" s="10"/>
      <c r="I2024" s="11"/>
      <c r="J2024" s="11"/>
      <c r="K2024" s="11"/>
      <c r="L2024" s="11"/>
      <c r="M2024" s="11"/>
      <c r="N2024" s="11"/>
      <c r="O2024" s="12"/>
      <c r="P2024" s="11"/>
      <c r="Q2024" s="13"/>
      <c r="R2024" s="14"/>
    </row>
    <row r="2025" spans="1:18" ht="15" customHeight="1">
      <c r="A2025" s="17" t="s">
        <v>26</v>
      </c>
      <c r="B2025" s="17" t="s">
        <v>351</v>
      </c>
      <c r="C2025" s="18">
        <v>0.83680555555555547</v>
      </c>
      <c r="D2025" s="17" t="s">
        <v>28</v>
      </c>
      <c r="E2025" s="17" t="s">
        <v>134</v>
      </c>
      <c r="F2025" s="17" t="s">
        <v>83</v>
      </c>
      <c r="G2025" s="298"/>
      <c r="H2025" s="10"/>
      <c r="I2025" s="11"/>
      <c r="J2025" s="11"/>
      <c r="K2025" s="11"/>
      <c r="L2025" s="11"/>
      <c r="M2025" s="11"/>
      <c r="N2025" s="11"/>
      <c r="O2025" s="12"/>
      <c r="P2025" s="11"/>
      <c r="Q2025" s="13"/>
      <c r="R2025" s="14"/>
    </row>
    <row r="2026" spans="1:18" ht="15" customHeight="1">
      <c r="A2026" s="15" t="s">
        <v>26</v>
      </c>
      <c r="B2026" s="15" t="s">
        <v>351</v>
      </c>
      <c r="C2026" s="16">
        <v>0.83680555555555547</v>
      </c>
      <c r="D2026" s="15" t="s">
        <v>31</v>
      </c>
      <c r="E2026" s="15" t="s">
        <v>135</v>
      </c>
      <c r="F2026" s="15" t="s">
        <v>159</v>
      </c>
      <c r="G2026" s="298"/>
      <c r="H2026" s="10"/>
      <c r="I2026" s="11"/>
      <c r="J2026" s="11"/>
      <c r="K2026" s="11"/>
      <c r="L2026" s="11"/>
      <c r="M2026" s="11"/>
      <c r="N2026" s="11"/>
      <c r="O2026" s="12"/>
      <c r="P2026" s="11"/>
      <c r="Q2026" s="13"/>
      <c r="R2026" s="14"/>
    </row>
    <row r="2027" spans="1:18" ht="15" customHeight="1">
      <c r="A2027" s="15" t="s">
        <v>26</v>
      </c>
      <c r="B2027" s="15" t="s">
        <v>351</v>
      </c>
      <c r="C2027" s="16">
        <v>0.83680555555555547</v>
      </c>
      <c r="D2027" s="15" t="s">
        <v>34</v>
      </c>
      <c r="E2027" s="15" t="s">
        <v>135</v>
      </c>
      <c r="F2027" s="15" t="s">
        <v>355</v>
      </c>
      <c r="G2027" s="298"/>
      <c r="H2027" s="10"/>
      <c r="I2027" s="11"/>
      <c r="J2027" s="11"/>
      <c r="K2027" s="11"/>
      <c r="L2027" s="11"/>
      <c r="M2027" s="11"/>
      <c r="N2027" s="11"/>
      <c r="O2027" s="12"/>
      <c r="P2027" s="11"/>
      <c r="Q2027" s="13"/>
      <c r="R2027" s="14"/>
    </row>
    <row r="2028" spans="1:18" ht="15" customHeight="1">
      <c r="A2028" s="17" t="s">
        <v>26</v>
      </c>
      <c r="B2028" s="17" t="s">
        <v>353</v>
      </c>
      <c r="C2028" s="18">
        <v>0.88888888888888884</v>
      </c>
      <c r="D2028" s="17" t="s">
        <v>28</v>
      </c>
      <c r="E2028" s="17" t="s">
        <v>98</v>
      </c>
      <c r="F2028" s="17" t="s">
        <v>83</v>
      </c>
      <c r="G2028" s="298"/>
      <c r="H2028" s="10"/>
      <c r="I2028" s="11"/>
      <c r="J2028" s="11"/>
      <c r="K2028" s="11"/>
      <c r="L2028" s="11"/>
      <c r="M2028" s="11"/>
      <c r="N2028" s="11"/>
      <c r="O2028" s="12"/>
      <c r="P2028" s="11"/>
      <c r="Q2028" s="13"/>
      <c r="R2028" s="14"/>
    </row>
    <row r="2029" spans="1:18" ht="15" customHeight="1">
      <c r="A2029" s="15" t="s">
        <v>26</v>
      </c>
      <c r="B2029" s="15" t="s">
        <v>353</v>
      </c>
      <c r="C2029" s="16">
        <v>0.88888888888888884</v>
      </c>
      <c r="D2029" s="15" t="s">
        <v>31</v>
      </c>
      <c r="E2029" s="15" t="s">
        <v>99</v>
      </c>
      <c r="F2029" s="15" t="s">
        <v>159</v>
      </c>
      <c r="G2029" s="298"/>
      <c r="H2029" s="10"/>
      <c r="I2029" s="11"/>
      <c r="J2029" s="11"/>
      <c r="K2029" s="11"/>
      <c r="L2029" s="11"/>
      <c r="M2029" s="11"/>
      <c r="N2029" s="11"/>
      <c r="O2029" s="12"/>
      <c r="P2029" s="11"/>
      <c r="Q2029" s="13"/>
      <c r="R2029" s="14"/>
    </row>
    <row r="2030" spans="1:18" ht="15" customHeight="1">
      <c r="A2030" s="15" t="s">
        <v>26</v>
      </c>
      <c r="B2030" s="15" t="s">
        <v>353</v>
      </c>
      <c r="C2030" s="16">
        <v>0.88888888888888884</v>
      </c>
      <c r="D2030" s="15" t="s">
        <v>34</v>
      </c>
      <c r="E2030" s="15" t="s">
        <v>99</v>
      </c>
      <c r="F2030" s="15" t="s">
        <v>355</v>
      </c>
      <c r="G2030" s="298"/>
      <c r="H2030" s="10"/>
      <c r="I2030" s="11"/>
      <c r="J2030" s="11"/>
      <c r="K2030" s="11"/>
      <c r="L2030" s="11"/>
      <c r="M2030" s="11"/>
      <c r="N2030" s="11"/>
      <c r="O2030" s="12"/>
      <c r="P2030" s="11"/>
      <c r="Q2030" s="13"/>
      <c r="R2030" s="14"/>
    </row>
    <row r="2031" spans="1:18" ht="15" customHeight="1">
      <c r="A2031" s="17" t="s">
        <v>26</v>
      </c>
      <c r="B2031" s="17" t="s">
        <v>354</v>
      </c>
      <c r="C2031" s="18">
        <v>0.34722222222222232</v>
      </c>
      <c r="D2031" s="17" t="s">
        <v>28</v>
      </c>
      <c r="E2031" s="17" t="s">
        <v>435</v>
      </c>
      <c r="F2031" s="17" t="s">
        <v>45</v>
      </c>
      <c r="G2031" s="298"/>
      <c r="H2031" s="10"/>
      <c r="I2031" s="11"/>
      <c r="J2031" s="11"/>
      <c r="K2031" s="11"/>
      <c r="L2031" s="11"/>
      <c r="M2031" s="11"/>
      <c r="N2031" s="11"/>
      <c r="O2031" s="12"/>
      <c r="P2031" s="11"/>
      <c r="Q2031" s="13"/>
      <c r="R2031" s="14"/>
    </row>
    <row r="2032" spans="1:18" ht="15" customHeight="1">
      <c r="A2032" s="15" t="s">
        <v>26</v>
      </c>
      <c r="B2032" s="15" t="s">
        <v>354</v>
      </c>
      <c r="C2032" s="16">
        <v>0.34722222222222232</v>
      </c>
      <c r="D2032" s="15" t="s">
        <v>31</v>
      </c>
      <c r="E2032" s="15" t="s">
        <v>108</v>
      </c>
      <c r="F2032" s="15" t="s">
        <v>355</v>
      </c>
      <c r="G2032" s="298"/>
      <c r="H2032" s="10"/>
      <c r="I2032" s="11"/>
      <c r="J2032" s="11"/>
      <c r="K2032" s="11"/>
      <c r="L2032" s="11"/>
      <c r="M2032" s="11"/>
      <c r="N2032" s="11"/>
      <c r="O2032" s="12"/>
      <c r="P2032" s="11"/>
      <c r="Q2032" s="13"/>
      <c r="R2032" s="14"/>
    </row>
    <row r="2033" spans="1:18" ht="15" customHeight="1">
      <c r="A2033" s="15" t="s">
        <v>26</v>
      </c>
      <c r="B2033" s="15" t="s">
        <v>354</v>
      </c>
      <c r="C2033" s="16">
        <v>0.34722222222222232</v>
      </c>
      <c r="D2033" s="15" t="s">
        <v>34</v>
      </c>
      <c r="E2033" s="15" t="s">
        <v>108</v>
      </c>
      <c r="F2033" s="15" t="s">
        <v>358</v>
      </c>
      <c r="G2033" s="298"/>
      <c r="H2033" s="10"/>
      <c r="I2033" s="11"/>
      <c r="J2033" s="11"/>
      <c r="K2033" s="11"/>
      <c r="L2033" s="11"/>
      <c r="M2033" s="11"/>
      <c r="N2033" s="11"/>
      <c r="O2033" s="12"/>
      <c r="P2033" s="11"/>
      <c r="Q2033" s="13"/>
      <c r="R2033" s="14"/>
    </row>
    <row r="2034" spans="1:18" ht="15" customHeight="1">
      <c r="A2034" s="17" t="s">
        <v>26</v>
      </c>
      <c r="B2034" s="17" t="s">
        <v>352</v>
      </c>
      <c r="C2034" s="18">
        <v>0.94444444444444453</v>
      </c>
      <c r="D2034" s="17" t="s">
        <v>28</v>
      </c>
      <c r="E2034" s="17" t="s">
        <v>98</v>
      </c>
      <c r="F2034" s="17" t="s">
        <v>45</v>
      </c>
      <c r="G2034" s="298"/>
      <c r="H2034" s="10"/>
      <c r="I2034" s="11"/>
      <c r="J2034" s="11"/>
      <c r="K2034" s="11"/>
      <c r="L2034" s="11"/>
      <c r="M2034" s="11"/>
      <c r="N2034" s="11"/>
      <c r="O2034" s="12"/>
      <c r="P2034" s="11"/>
      <c r="Q2034" s="13"/>
      <c r="R2034" s="14"/>
    </row>
    <row r="2035" spans="1:18" ht="15" customHeight="1">
      <c r="A2035" s="15" t="s">
        <v>26</v>
      </c>
      <c r="B2035" s="15" t="s">
        <v>352</v>
      </c>
      <c r="C2035" s="16">
        <v>0.94444444444444453</v>
      </c>
      <c r="D2035" s="15" t="s">
        <v>31</v>
      </c>
      <c r="E2035" s="15" t="s">
        <v>99</v>
      </c>
      <c r="F2035" s="15" t="s">
        <v>355</v>
      </c>
      <c r="G2035" s="298"/>
      <c r="H2035" s="10"/>
      <c r="I2035" s="11"/>
      <c r="J2035" s="11"/>
      <c r="K2035" s="11"/>
      <c r="L2035" s="11"/>
      <c r="M2035" s="11"/>
      <c r="N2035" s="11"/>
      <c r="O2035" s="12"/>
      <c r="P2035" s="11"/>
      <c r="Q2035" s="13"/>
      <c r="R2035" s="14"/>
    </row>
    <row r="2036" spans="1:18" ht="15" customHeight="1">
      <c r="A2036" s="15" t="s">
        <v>26</v>
      </c>
      <c r="B2036" s="15" t="s">
        <v>352</v>
      </c>
      <c r="C2036" s="16">
        <v>0.94444444444444453</v>
      </c>
      <c r="D2036" s="15" t="s">
        <v>34</v>
      </c>
      <c r="E2036" s="15" t="s">
        <v>99</v>
      </c>
      <c r="F2036" s="15" t="s">
        <v>358</v>
      </c>
      <c r="G2036" s="298"/>
      <c r="H2036" s="10"/>
      <c r="I2036" s="11"/>
      <c r="J2036" s="11"/>
      <c r="K2036" s="11"/>
      <c r="L2036" s="11"/>
      <c r="M2036" s="11"/>
      <c r="N2036" s="11"/>
      <c r="O2036" s="12"/>
      <c r="P2036" s="11"/>
      <c r="Q2036" s="13"/>
      <c r="R2036" s="14"/>
    </row>
    <row r="2037" spans="1:18" ht="15" customHeight="1">
      <c r="A2037" s="17" t="s">
        <v>26</v>
      </c>
      <c r="B2037" s="17" t="s">
        <v>356</v>
      </c>
      <c r="C2037" s="18">
        <v>0.4861111111111111</v>
      </c>
      <c r="D2037" s="17" t="s">
        <v>28</v>
      </c>
      <c r="E2037" s="17" t="s">
        <v>90</v>
      </c>
      <c r="F2037" s="17" t="s">
        <v>45</v>
      </c>
      <c r="G2037" s="298"/>
      <c r="H2037" s="10"/>
      <c r="I2037" s="11"/>
      <c r="J2037" s="11"/>
      <c r="K2037" s="11"/>
      <c r="L2037" s="11"/>
      <c r="M2037" s="11"/>
      <c r="N2037" s="11"/>
      <c r="O2037" s="12"/>
      <c r="P2037" s="11"/>
      <c r="Q2037" s="13"/>
      <c r="R2037" s="14"/>
    </row>
    <row r="2038" spans="1:18" ht="15" customHeight="1">
      <c r="A2038" s="15" t="s">
        <v>26</v>
      </c>
      <c r="B2038" s="15" t="s">
        <v>356</v>
      </c>
      <c r="C2038" s="16">
        <v>0.4861111111111111</v>
      </c>
      <c r="D2038" s="15" t="s">
        <v>31</v>
      </c>
      <c r="E2038" s="15" t="s">
        <v>82</v>
      </c>
      <c r="F2038" s="15" t="s">
        <v>355</v>
      </c>
      <c r="G2038" s="298"/>
      <c r="H2038" s="10"/>
      <c r="I2038" s="11"/>
      <c r="J2038" s="11"/>
      <c r="K2038" s="11"/>
      <c r="L2038" s="11"/>
      <c r="M2038" s="11"/>
      <c r="N2038" s="11"/>
      <c r="O2038" s="12"/>
      <c r="P2038" s="11"/>
      <c r="Q2038" s="13"/>
      <c r="R2038" s="14"/>
    </row>
    <row r="2039" spans="1:18" ht="15" customHeight="1">
      <c r="A2039" s="15" t="s">
        <v>26</v>
      </c>
      <c r="B2039" s="15" t="s">
        <v>356</v>
      </c>
      <c r="C2039" s="16">
        <v>0.4861111111111111</v>
      </c>
      <c r="D2039" s="15" t="s">
        <v>34</v>
      </c>
      <c r="E2039" s="15" t="s">
        <v>82</v>
      </c>
      <c r="F2039" s="15" t="s">
        <v>358</v>
      </c>
      <c r="G2039" s="298"/>
      <c r="H2039" s="10"/>
      <c r="I2039" s="11"/>
      <c r="J2039" s="11"/>
      <c r="K2039" s="11"/>
      <c r="L2039" s="11"/>
      <c r="M2039" s="11"/>
      <c r="N2039" s="11"/>
      <c r="O2039" s="12"/>
      <c r="P2039" s="11"/>
      <c r="Q2039" s="13"/>
      <c r="R2039" s="14"/>
    </row>
    <row r="2040" spans="1:18" ht="15" customHeight="1">
      <c r="A2040" s="17" t="s">
        <v>26</v>
      </c>
      <c r="B2040" s="17" t="s">
        <v>357</v>
      </c>
      <c r="C2040" s="18">
        <v>0.3923611111111111</v>
      </c>
      <c r="D2040" s="17" t="s">
        <v>28</v>
      </c>
      <c r="E2040" s="17" t="s">
        <v>98</v>
      </c>
      <c r="F2040" s="17" t="s">
        <v>45</v>
      </c>
      <c r="G2040" s="298"/>
      <c r="H2040" s="10"/>
      <c r="I2040" s="11"/>
      <c r="J2040" s="11"/>
      <c r="K2040" s="11"/>
      <c r="L2040" s="11"/>
      <c r="M2040" s="11"/>
      <c r="N2040" s="11"/>
      <c r="O2040" s="12"/>
      <c r="P2040" s="11"/>
      <c r="Q2040" s="13"/>
      <c r="R2040" s="14"/>
    </row>
    <row r="2041" spans="1:18" ht="15" customHeight="1">
      <c r="A2041" s="15" t="s">
        <v>26</v>
      </c>
      <c r="B2041" s="15" t="s">
        <v>357</v>
      </c>
      <c r="C2041" s="16">
        <v>0.3923611111111111</v>
      </c>
      <c r="D2041" s="15" t="s">
        <v>31</v>
      </c>
      <c r="E2041" s="15" t="s">
        <v>99</v>
      </c>
      <c r="F2041" s="15" t="s">
        <v>355</v>
      </c>
      <c r="G2041" s="298"/>
      <c r="H2041" s="10"/>
      <c r="I2041" s="11"/>
      <c r="J2041" s="11"/>
      <c r="K2041" s="11"/>
      <c r="L2041" s="11"/>
      <c r="M2041" s="11"/>
      <c r="N2041" s="11"/>
      <c r="O2041" s="12"/>
      <c r="P2041" s="11"/>
      <c r="Q2041" s="13"/>
      <c r="R2041" s="14"/>
    </row>
    <row r="2042" spans="1:18" ht="15" customHeight="1">
      <c r="A2042" s="15" t="s">
        <v>26</v>
      </c>
      <c r="B2042" s="15" t="s">
        <v>357</v>
      </c>
      <c r="C2042" s="16">
        <v>0.3923611111111111</v>
      </c>
      <c r="D2042" s="15" t="s">
        <v>34</v>
      </c>
      <c r="E2042" s="15" t="s">
        <v>99</v>
      </c>
      <c r="F2042" s="15" t="s">
        <v>358</v>
      </c>
      <c r="G2042" s="298"/>
      <c r="H2042" s="10"/>
      <c r="I2042" s="11"/>
      <c r="J2042" s="11"/>
      <c r="K2042" s="11"/>
      <c r="L2042" s="11"/>
      <c r="M2042" s="11"/>
      <c r="N2042" s="11"/>
      <c r="O2042" s="12"/>
      <c r="P2042" s="11"/>
      <c r="Q2042" s="13"/>
      <c r="R2042" s="14"/>
    </row>
    <row r="2043" spans="1:18" ht="15" customHeight="1">
      <c r="A2043" s="17" t="s">
        <v>26</v>
      </c>
      <c r="B2043" s="17" t="s">
        <v>350</v>
      </c>
      <c r="C2043" s="18">
        <v>0.73611111111111116</v>
      </c>
      <c r="D2043" s="17" t="s">
        <v>28</v>
      </c>
      <c r="E2043" s="17" t="s">
        <v>91</v>
      </c>
      <c r="F2043" s="17" t="s">
        <v>455</v>
      </c>
      <c r="G2043" s="298"/>
      <c r="H2043" s="10"/>
      <c r="I2043" s="11"/>
      <c r="J2043" s="11"/>
      <c r="K2043" s="11"/>
      <c r="L2043" s="11"/>
      <c r="M2043" s="11"/>
      <c r="N2043" s="11"/>
      <c r="O2043" s="12"/>
      <c r="P2043" s="11"/>
      <c r="Q2043" s="13"/>
      <c r="R2043" s="14"/>
    </row>
    <row r="2044" spans="1:18" ht="15" customHeight="1">
      <c r="A2044" s="15" t="s">
        <v>26</v>
      </c>
      <c r="B2044" s="15" t="s">
        <v>350</v>
      </c>
      <c r="C2044" s="16">
        <v>0.73611111111111116</v>
      </c>
      <c r="D2044" s="15" t="s">
        <v>31</v>
      </c>
      <c r="E2044" s="15" t="s">
        <v>92</v>
      </c>
      <c r="F2044" s="15" t="s">
        <v>456</v>
      </c>
      <c r="G2044" s="298"/>
      <c r="H2044" s="10"/>
      <c r="I2044" s="11"/>
      <c r="J2044" s="11"/>
      <c r="K2044" s="11"/>
      <c r="L2044" s="11"/>
      <c r="M2044" s="11"/>
      <c r="N2044" s="11"/>
      <c r="O2044" s="12"/>
      <c r="P2044" s="11"/>
      <c r="Q2044" s="13"/>
      <c r="R2044" s="14"/>
    </row>
    <row r="2045" spans="1:18" ht="15" customHeight="1">
      <c r="A2045" s="15" t="s">
        <v>26</v>
      </c>
      <c r="B2045" s="15" t="s">
        <v>350</v>
      </c>
      <c r="C2045" s="16">
        <v>0.73611111111111116</v>
      </c>
      <c r="D2045" s="15" t="s">
        <v>34</v>
      </c>
      <c r="E2045" s="15" t="s">
        <v>92</v>
      </c>
      <c r="F2045" s="15" t="s">
        <v>457</v>
      </c>
      <c r="G2045" s="298"/>
      <c r="H2045" s="10"/>
      <c r="I2045" s="11"/>
      <c r="J2045" s="11"/>
      <c r="K2045" s="11"/>
      <c r="L2045" s="11"/>
      <c r="M2045" s="11"/>
      <c r="N2045" s="11"/>
      <c r="O2045" s="12"/>
      <c r="P2045" s="11"/>
      <c r="Q2045" s="13"/>
      <c r="R2045" s="14"/>
    </row>
    <row r="2046" spans="1:18" ht="15" customHeight="1">
      <c r="A2046" s="19" t="s">
        <v>402</v>
      </c>
      <c r="B2046" s="19" t="s">
        <v>403</v>
      </c>
      <c r="C2046" s="20">
        <v>0.49305555555555558</v>
      </c>
      <c r="D2046" s="19" t="s">
        <v>63</v>
      </c>
      <c r="E2046" s="19" t="s">
        <v>103</v>
      </c>
      <c r="F2046" s="19" t="s">
        <v>404</v>
      </c>
      <c r="G2046" s="298"/>
      <c r="H2046" s="10"/>
      <c r="I2046" s="11"/>
      <c r="J2046" s="11"/>
      <c r="K2046" s="11"/>
      <c r="L2046" s="11"/>
      <c r="M2046" s="11"/>
      <c r="N2046" s="11"/>
      <c r="O2046" s="12"/>
      <c r="P2046" s="11"/>
      <c r="Q2046" s="13"/>
      <c r="R2046" s="14"/>
    </row>
    <row r="2047" spans="1:18" ht="15" customHeight="1">
      <c r="A2047" s="17" t="s">
        <v>402</v>
      </c>
      <c r="B2047" s="17" t="s">
        <v>465</v>
      </c>
      <c r="C2047" s="18">
        <v>0.19444444444444439</v>
      </c>
      <c r="D2047" s="17" t="s">
        <v>63</v>
      </c>
      <c r="E2047" s="17" t="s">
        <v>98</v>
      </c>
      <c r="F2047" s="17" t="s">
        <v>404</v>
      </c>
      <c r="G2047" s="298"/>
      <c r="H2047" s="10"/>
      <c r="I2047" s="11"/>
      <c r="J2047" s="11"/>
      <c r="K2047" s="11"/>
      <c r="L2047" s="11"/>
      <c r="M2047" s="11"/>
      <c r="N2047" s="11"/>
      <c r="O2047" s="12"/>
      <c r="P2047" s="11"/>
      <c r="Q2047" s="13"/>
      <c r="R2047" s="14"/>
    </row>
    <row r="2048" spans="1:18" ht="15" customHeight="1">
      <c r="A2048" s="19" t="s">
        <v>48</v>
      </c>
      <c r="B2048" s="19" t="s">
        <v>396</v>
      </c>
      <c r="C2048" s="20">
        <v>0.48958333333333331</v>
      </c>
      <c r="D2048" s="19" t="s">
        <v>53</v>
      </c>
      <c r="E2048" s="19" t="s">
        <v>29</v>
      </c>
      <c r="F2048" s="19" t="s">
        <v>395</v>
      </c>
      <c r="G2048" s="298"/>
      <c r="H2048" s="10"/>
      <c r="I2048" s="11"/>
      <c r="J2048" s="11"/>
      <c r="K2048" s="11"/>
      <c r="L2048" s="11"/>
      <c r="M2048" s="11"/>
      <c r="N2048" s="11"/>
      <c r="O2048" s="12"/>
      <c r="P2048" s="11"/>
      <c r="Q2048" s="13"/>
      <c r="R2048" s="14"/>
    </row>
    <row r="2049" spans="1:18" ht="15" customHeight="1">
      <c r="A2049" s="17" t="s">
        <v>48</v>
      </c>
      <c r="B2049" s="17" t="s">
        <v>394</v>
      </c>
      <c r="C2049" s="18">
        <v>0.98958333333333337</v>
      </c>
      <c r="D2049" s="17" t="s">
        <v>53</v>
      </c>
      <c r="E2049" s="17" t="s">
        <v>37</v>
      </c>
      <c r="F2049" s="17" t="s">
        <v>399</v>
      </c>
      <c r="G2049" s="298"/>
      <c r="H2049" s="10"/>
      <c r="I2049" s="11"/>
      <c r="J2049" s="11"/>
      <c r="K2049" s="11"/>
      <c r="L2049" s="11"/>
      <c r="M2049" s="11"/>
      <c r="N2049" s="11"/>
      <c r="O2049" s="12"/>
      <c r="P2049" s="11"/>
      <c r="Q2049" s="13"/>
      <c r="R2049" s="14"/>
    </row>
    <row r="2050" spans="1:18" ht="15" customHeight="1">
      <c r="A2050" s="17" t="s">
        <v>48</v>
      </c>
      <c r="B2050" s="17" t="s">
        <v>398</v>
      </c>
      <c r="C2050" s="18">
        <v>0.39930555555555558</v>
      </c>
      <c r="D2050" s="17" t="s">
        <v>53</v>
      </c>
      <c r="E2050" s="17" t="s">
        <v>37</v>
      </c>
      <c r="F2050" s="17" t="s">
        <v>399</v>
      </c>
      <c r="G2050" s="298"/>
      <c r="H2050" s="10"/>
      <c r="I2050" s="11"/>
      <c r="J2050" s="11"/>
      <c r="K2050" s="11"/>
      <c r="L2050" s="11"/>
      <c r="M2050" s="11"/>
      <c r="N2050" s="11"/>
      <c r="O2050" s="12"/>
      <c r="P2050" s="11"/>
      <c r="Q2050" s="13"/>
      <c r="R2050" s="14"/>
    </row>
    <row r="2051" spans="1:18" ht="15" customHeight="1">
      <c r="A2051" s="17" t="s">
        <v>48</v>
      </c>
      <c r="B2051" s="17" t="s">
        <v>397</v>
      </c>
      <c r="C2051" s="18">
        <v>0.88888888888888884</v>
      </c>
      <c r="D2051" s="17" t="s">
        <v>53</v>
      </c>
      <c r="E2051" s="17" t="s">
        <v>37</v>
      </c>
      <c r="F2051" s="17" t="s">
        <v>399</v>
      </c>
      <c r="G2051" s="298"/>
      <c r="H2051" s="10"/>
      <c r="I2051" s="11"/>
      <c r="J2051" s="11"/>
      <c r="K2051" s="11"/>
      <c r="L2051" s="11"/>
      <c r="M2051" s="11"/>
      <c r="N2051" s="11"/>
      <c r="O2051" s="12"/>
      <c r="P2051" s="11"/>
      <c r="Q2051" s="13"/>
      <c r="R2051" s="14"/>
    </row>
    <row r="2052" spans="1:18" ht="15" customHeight="1">
      <c r="A2052" s="17" t="s">
        <v>48</v>
      </c>
      <c r="B2052" s="17" t="s">
        <v>391</v>
      </c>
      <c r="C2052" s="18">
        <v>0.48958333333333331</v>
      </c>
      <c r="D2052" s="17" t="s">
        <v>53</v>
      </c>
      <c r="E2052" s="17" t="s">
        <v>57</v>
      </c>
      <c r="F2052" s="17" t="s">
        <v>490</v>
      </c>
      <c r="G2052" s="298"/>
      <c r="H2052" s="10"/>
      <c r="I2052" s="11"/>
      <c r="J2052" s="11"/>
      <c r="K2052" s="11"/>
      <c r="L2052" s="11"/>
      <c r="M2052" s="11"/>
      <c r="N2052" s="11"/>
      <c r="O2052" s="12"/>
      <c r="P2052" s="11"/>
      <c r="Q2052" s="13"/>
      <c r="R2052" s="14"/>
    </row>
    <row r="2053" spans="1:18" ht="15" customHeight="1">
      <c r="A2053" s="17" t="s">
        <v>48</v>
      </c>
      <c r="B2053" s="17" t="s">
        <v>386</v>
      </c>
      <c r="C2053" s="18">
        <v>0.82986111111111116</v>
      </c>
      <c r="D2053" s="17" t="s">
        <v>53</v>
      </c>
      <c r="E2053" s="17" t="s">
        <v>57</v>
      </c>
      <c r="F2053" s="17" t="s">
        <v>490</v>
      </c>
      <c r="G2053" s="298"/>
      <c r="H2053" s="10"/>
      <c r="I2053" s="11"/>
      <c r="J2053" s="11"/>
      <c r="K2053" s="11"/>
      <c r="L2053" s="11"/>
      <c r="M2053" s="11"/>
      <c r="N2053" s="11"/>
      <c r="O2053" s="12"/>
      <c r="P2053" s="11"/>
      <c r="Q2053" s="13"/>
      <c r="R2053" s="14"/>
    </row>
    <row r="2054" spans="1:18" ht="15" customHeight="1">
      <c r="A2054" s="17" t="s">
        <v>48</v>
      </c>
      <c r="B2054" s="17" t="s">
        <v>388</v>
      </c>
      <c r="C2054" s="18">
        <v>0.72222222222222221</v>
      </c>
      <c r="D2054" s="17" t="s">
        <v>53</v>
      </c>
      <c r="E2054" s="17" t="s">
        <v>57</v>
      </c>
      <c r="F2054" s="17" t="s">
        <v>490</v>
      </c>
      <c r="G2054" s="298"/>
      <c r="H2054" s="10"/>
      <c r="I2054" s="11"/>
      <c r="J2054" s="11"/>
      <c r="K2054" s="11"/>
      <c r="L2054" s="11"/>
      <c r="M2054" s="11"/>
      <c r="N2054" s="11"/>
      <c r="O2054" s="12"/>
      <c r="P2054" s="11"/>
      <c r="Q2054" s="13"/>
      <c r="R2054" s="14"/>
    </row>
    <row r="2055" spans="1:18" ht="15" customHeight="1">
      <c r="A2055" s="17" t="s">
        <v>48</v>
      </c>
      <c r="B2055" s="17" t="s">
        <v>382</v>
      </c>
      <c r="C2055" s="18">
        <v>0.11805555555555559</v>
      </c>
      <c r="D2055" s="17" t="s">
        <v>53</v>
      </c>
      <c r="E2055" s="17" t="s">
        <v>57</v>
      </c>
      <c r="F2055" s="17" t="s">
        <v>490</v>
      </c>
      <c r="G2055" s="298"/>
      <c r="H2055" s="10"/>
      <c r="I2055" s="11"/>
      <c r="J2055" s="11"/>
      <c r="K2055" s="11"/>
      <c r="L2055" s="11"/>
      <c r="M2055" s="11"/>
      <c r="N2055" s="11"/>
      <c r="O2055" s="12"/>
      <c r="P2055" s="11"/>
      <c r="Q2055" s="13"/>
      <c r="R2055" s="14"/>
    </row>
    <row r="2056" spans="1:18" ht="15" customHeight="1">
      <c r="A2056" s="17" t="s">
        <v>48</v>
      </c>
      <c r="B2056" s="17" t="s">
        <v>389</v>
      </c>
      <c r="C2056" s="18">
        <v>0.70138888888888884</v>
      </c>
      <c r="D2056" s="17" t="s">
        <v>53</v>
      </c>
      <c r="E2056" s="17" t="s">
        <v>57</v>
      </c>
      <c r="F2056" s="17" t="s">
        <v>490</v>
      </c>
      <c r="G2056" s="298"/>
      <c r="H2056" s="10"/>
      <c r="I2056" s="11"/>
      <c r="J2056" s="11"/>
      <c r="K2056" s="11"/>
      <c r="L2056" s="11"/>
      <c r="M2056" s="11"/>
      <c r="N2056" s="11"/>
      <c r="O2056" s="12"/>
      <c r="P2056" s="11"/>
      <c r="Q2056" s="13"/>
      <c r="R2056" s="14"/>
    </row>
    <row r="2057" spans="1:18" ht="15" customHeight="1">
      <c r="A2057" s="17" t="s">
        <v>48</v>
      </c>
      <c r="B2057" s="17" t="s">
        <v>400</v>
      </c>
      <c r="C2057" s="18">
        <v>0.25347222222222221</v>
      </c>
      <c r="D2057" s="17" t="s">
        <v>53</v>
      </c>
      <c r="E2057" s="17" t="s">
        <v>57</v>
      </c>
      <c r="F2057" s="17" t="s">
        <v>490</v>
      </c>
      <c r="G2057" s="298"/>
      <c r="H2057" s="10"/>
      <c r="I2057" s="11"/>
      <c r="J2057" s="11"/>
      <c r="K2057" s="11"/>
      <c r="L2057" s="11"/>
      <c r="M2057" s="11"/>
      <c r="N2057" s="11"/>
      <c r="O2057" s="12"/>
      <c r="P2057" s="11"/>
      <c r="Q2057" s="13"/>
      <c r="R2057" s="14"/>
    </row>
    <row r="2058" spans="1:18" ht="15" customHeight="1">
      <c r="A2058" s="17" t="s">
        <v>48</v>
      </c>
      <c r="B2058" s="17" t="s">
        <v>390</v>
      </c>
      <c r="C2058" s="18">
        <v>4.1666666666666657E-2</v>
      </c>
      <c r="D2058" s="17" t="s">
        <v>53</v>
      </c>
      <c r="E2058" s="17" t="s">
        <v>57</v>
      </c>
      <c r="F2058" s="17" t="s">
        <v>490</v>
      </c>
      <c r="G2058" s="298"/>
      <c r="H2058" s="10"/>
      <c r="I2058" s="11"/>
      <c r="J2058" s="11"/>
      <c r="K2058" s="11"/>
      <c r="L2058" s="11"/>
      <c r="M2058" s="11"/>
      <c r="N2058" s="11"/>
      <c r="O2058" s="12"/>
      <c r="P2058" s="11"/>
      <c r="Q2058" s="13"/>
      <c r="R2058" s="14"/>
    </row>
    <row r="2059" spans="1:18" ht="15" customHeight="1">
      <c r="A2059" s="17" t="s">
        <v>48</v>
      </c>
      <c r="B2059" s="17" t="s">
        <v>385</v>
      </c>
      <c r="C2059" s="18">
        <v>0.94097222222222221</v>
      </c>
      <c r="D2059" s="17" t="s">
        <v>53</v>
      </c>
      <c r="E2059" s="17" t="s">
        <v>57</v>
      </c>
      <c r="F2059" s="17" t="s">
        <v>490</v>
      </c>
      <c r="G2059" s="298"/>
      <c r="H2059" s="10"/>
      <c r="I2059" s="11"/>
      <c r="J2059" s="11"/>
      <c r="K2059" s="11"/>
      <c r="L2059" s="11"/>
      <c r="M2059" s="11"/>
      <c r="N2059" s="11"/>
      <c r="O2059" s="12"/>
      <c r="P2059" s="11"/>
      <c r="Q2059" s="13"/>
      <c r="R2059" s="14"/>
    </row>
    <row r="2060" spans="1:18" ht="15" customHeight="1">
      <c r="A2060" s="15" t="s">
        <v>48</v>
      </c>
      <c r="B2060" s="15" t="s">
        <v>385</v>
      </c>
      <c r="C2060" s="16">
        <v>0.94097222222222221</v>
      </c>
      <c r="D2060" s="15" t="s">
        <v>70</v>
      </c>
      <c r="E2060" s="15" t="s">
        <v>54</v>
      </c>
      <c r="F2060" s="15" t="s">
        <v>490</v>
      </c>
      <c r="G2060" s="298"/>
      <c r="H2060" s="10"/>
      <c r="I2060" s="11"/>
      <c r="J2060" s="11"/>
      <c r="K2060" s="11"/>
      <c r="L2060" s="11"/>
      <c r="M2060" s="11"/>
      <c r="N2060" s="11"/>
      <c r="O2060" s="12"/>
      <c r="P2060" s="11"/>
      <c r="Q2060" s="13"/>
      <c r="R2060" s="14"/>
    </row>
    <row r="2061" spans="1:18" ht="15" customHeight="1">
      <c r="A2061" s="19" t="s">
        <v>415</v>
      </c>
      <c r="B2061" s="19" t="s">
        <v>418</v>
      </c>
      <c r="C2061" s="20">
        <v>0.6875</v>
      </c>
      <c r="D2061" s="19" t="s">
        <v>63</v>
      </c>
      <c r="E2061" s="19" t="s">
        <v>51</v>
      </c>
      <c r="F2061" s="19" t="s">
        <v>417</v>
      </c>
      <c r="G2061" s="298"/>
      <c r="H2061" s="10"/>
      <c r="I2061" s="11"/>
      <c r="J2061" s="11"/>
      <c r="K2061" s="11"/>
      <c r="L2061" s="11"/>
      <c r="M2061" s="11"/>
      <c r="N2061" s="11"/>
      <c r="O2061" s="12"/>
      <c r="P2061" s="11"/>
      <c r="Q2061" s="13"/>
      <c r="R2061" s="14"/>
    </row>
    <row r="2062" spans="1:18" ht="15" customHeight="1">
      <c r="A2062" s="17" t="s">
        <v>415</v>
      </c>
      <c r="B2062" s="17" t="s">
        <v>480</v>
      </c>
      <c r="C2062" s="18">
        <v>0.80555555555555547</v>
      </c>
      <c r="D2062" s="17" t="s">
        <v>63</v>
      </c>
      <c r="E2062" s="17" t="s">
        <v>57</v>
      </c>
      <c r="F2062" s="17" t="s">
        <v>417</v>
      </c>
      <c r="G2062" s="298"/>
      <c r="H2062" s="10"/>
      <c r="I2062" s="11"/>
      <c r="J2062" s="11"/>
      <c r="K2062" s="11"/>
      <c r="L2062" s="11"/>
      <c r="M2062" s="11"/>
      <c r="N2062" s="11"/>
      <c r="O2062" s="12"/>
      <c r="P2062" s="11"/>
      <c r="Q2062" s="13"/>
      <c r="R2062" s="14"/>
    </row>
    <row r="2063" spans="1:18" ht="15" customHeight="1">
      <c r="A2063" s="19" t="s">
        <v>68</v>
      </c>
      <c r="B2063" s="19" t="s">
        <v>405</v>
      </c>
      <c r="C2063" s="20">
        <v>0.83680555555555547</v>
      </c>
      <c r="D2063" s="19" t="s">
        <v>70</v>
      </c>
      <c r="E2063" s="19" t="s">
        <v>51</v>
      </c>
      <c r="F2063" s="19" t="s">
        <v>524</v>
      </c>
      <c r="G2063" s="298"/>
      <c r="H2063" s="10"/>
      <c r="I2063" s="11"/>
      <c r="J2063" s="11"/>
      <c r="K2063" s="11"/>
      <c r="L2063" s="11"/>
      <c r="M2063" s="11"/>
      <c r="N2063" s="11"/>
      <c r="O2063" s="12"/>
      <c r="P2063" s="11"/>
      <c r="Q2063" s="13"/>
      <c r="R2063" s="14"/>
    </row>
    <row r="2064" spans="1:18" ht="15" customHeight="1">
      <c r="A2064" s="17" t="s">
        <v>68</v>
      </c>
      <c r="B2064" s="17" t="s">
        <v>408</v>
      </c>
      <c r="C2064" s="18">
        <v>0.97222222222222221</v>
      </c>
      <c r="D2064" s="17" t="s">
        <v>70</v>
      </c>
      <c r="E2064" s="17" t="s">
        <v>57</v>
      </c>
      <c r="F2064" s="17" t="s">
        <v>524</v>
      </c>
      <c r="G2064" s="298"/>
      <c r="H2064" s="10"/>
      <c r="I2064" s="11"/>
      <c r="J2064" s="11"/>
      <c r="K2064" s="11"/>
      <c r="L2064" s="11"/>
      <c r="M2064" s="11"/>
      <c r="N2064" s="11"/>
      <c r="O2064" s="12"/>
      <c r="P2064" s="11"/>
      <c r="Q2064" s="13"/>
      <c r="R2064" s="14"/>
    </row>
    <row r="2065" spans="1:18" ht="15" customHeight="1">
      <c r="A2065" s="17" t="s">
        <v>68</v>
      </c>
      <c r="B2065" s="17" t="s">
        <v>437</v>
      </c>
      <c r="C2065" s="18">
        <v>0.1041666666666667</v>
      </c>
      <c r="D2065" s="17" t="s">
        <v>70</v>
      </c>
      <c r="E2065" s="17" t="s">
        <v>57</v>
      </c>
      <c r="F2065" s="17" t="s">
        <v>524</v>
      </c>
      <c r="G2065" s="298"/>
      <c r="H2065" s="10"/>
      <c r="I2065" s="11"/>
      <c r="J2065" s="11"/>
      <c r="K2065" s="11"/>
      <c r="L2065" s="11"/>
      <c r="M2065" s="11"/>
      <c r="N2065" s="11"/>
      <c r="O2065" s="12"/>
      <c r="P2065" s="11"/>
      <c r="Q2065" s="13"/>
      <c r="R2065" s="14"/>
    </row>
    <row r="2066" spans="1:18" ht="15" customHeight="1">
      <c r="A2066" s="17" t="s">
        <v>68</v>
      </c>
      <c r="B2066" s="17" t="s">
        <v>409</v>
      </c>
      <c r="C2066" s="18">
        <v>0.34027777777777768</v>
      </c>
      <c r="D2066" s="17" t="s">
        <v>70</v>
      </c>
      <c r="E2066" s="17" t="s">
        <v>57</v>
      </c>
      <c r="F2066" s="17" t="s">
        <v>524</v>
      </c>
      <c r="G2066" s="298"/>
      <c r="H2066" s="10"/>
      <c r="I2066" s="11"/>
      <c r="J2066" s="11"/>
      <c r="K2066" s="11"/>
      <c r="L2066" s="11"/>
      <c r="M2066" s="11"/>
      <c r="N2066" s="11"/>
      <c r="O2066" s="12"/>
      <c r="P2066" s="11"/>
      <c r="Q2066" s="13"/>
      <c r="R2066" s="14"/>
    </row>
    <row r="2067" spans="1:18" ht="15" customHeight="1">
      <c r="A2067" s="17" t="s">
        <v>68</v>
      </c>
      <c r="B2067" s="17" t="s">
        <v>411</v>
      </c>
      <c r="C2067" s="18">
        <v>0.78472222222222221</v>
      </c>
      <c r="D2067" s="17" t="s">
        <v>70</v>
      </c>
      <c r="E2067" s="17" t="s">
        <v>57</v>
      </c>
      <c r="F2067" s="17" t="s">
        <v>524</v>
      </c>
      <c r="G2067" s="298"/>
      <c r="H2067" s="10"/>
      <c r="I2067" s="11"/>
      <c r="J2067" s="11"/>
      <c r="K2067" s="11"/>
      <c r="L2067" s="11"/>
      <c r="M2067" s="11"/>
      <c r="N2067" s="11"/>
      <c r="O2067" s="12"/>
      <c r="P2067" s="11"/>
      <c r="Q2067" s="13"/>
      <c r="R2067" s="14"/>
    </row>
    <row r="2068" spans="1:18" ht="15" customHeight="1" thickBot="1">
      <c r="A2068" s="30" t="s">
        <v>68</v>
      </c>
      <c r="B2068" s="30" t="s">
        <v>410</v>
      </c>
      <c r="C2068" s="31">
        <v>0.59722222222222221</v>
      </c>
      <c r="D2068" s="30" t="s">
        <v>70</v>
      </c>
      <c r="E2068" s="30" t="s">
        <v>57</v>
      </c>
      <c r="F2068" s="30" t="s">
        <v>524</v>
      </c>
      <c r="G2068" s="299"/>
      <c r="H2068" s="300"/>
      <c r="I2068" s="140"/>
      <c r="J2068" s="140"/>
      <c r="K2068" s="140"/>
      <c r="L2068" s="140"/>
      <c r="M2068" s="140"/>
      <c r="N2068" s="140"/>
      <c r="O2068" s="141"/>
      <c r="P2068" s="140"/>
      <c r="Q2068" s="142"/>
      <c r="R2068" s="301"/>
    </row>
    <row r="2069" spans="1:18" ht="17.45" customHeight="1" thickBot="1">
      <c r="A2069" s="283"/>
      <c r="B2069" s="284"/>
      <c r="C2069" s="284"/>
      <c r="D2069" s="284"/>
      <c r="E2069" s="284"/>
      <c r="F2069" s="284"/>
      <c r="G2069" s="284"/>
      <c r="H2069" s="284"/>
      <c r="I2069" s="284"/>
      <c r="J2069" s="284"/>
      <c r="K2069" s="284"/>
      <c r="L2069" s="284"/>
      <c r="M2069" s="284"/>
      <c r="N2069" s="284"/>
      <c r="O2069" s="284"/>
      <c r="P2069" s="284"/>
      <c r="Q2069" s="284"/>
      <c r="R2069" s="285"/>
    </row>
    <row r="2070" spans="1:18" ht="22.15" customHeight="1" thickTop="1" thickBot="1">
      <c r="A2070" s="279" t="s">
        <v>6</v>
      </c>
      <c r="B2070" s="295"/>
      <c r="C2070" s="295"/>
      <c r="D2070" s="295"/>
      <c r="E2070" s="295"/>
      <c r="F2070" s="296"/>
      <c r="G2070" s="32">
        <v>46051</v>
      </c>
      <c r="H2070" s="278" t="s">
        <v>7</v>
      </c>
      <c r="I2070" s="295"/>
      <c r="J2070" s="295"/>
      <c r="K2070" s="295"/>
      <c r="L2070" s="295"/>
      <c r="M2070" s="295"/>
      <c r="N2070" s="295"/>
      <c r="O2070" s="295"/>
      <c r="P2070" s="295"/>
      <c r="Q2070" s="295"/>
      <c r="R2070" s="296"/>
    </row>
    <row r="2071" spans="1:18" ht="24" customHeight="1">
      <c r="A2071" s="33" t="s">
        <v>8</v>
      </c>
      <c r="B2071" s="33" t="s">
        <v>9</v>
      </c>
      <c r="C2071" s="34" t="s">
        <v>10</v>
      </c>
      <c r="D2071" s="33" t="s">
        <v>11</v>
      </c>
      <c r="E2071" s="33" t="s">
        <v>12</v>
      </c>
      <c r="F2071" s="35" t="s">
        <v>13</v>
      </c>
      <c r="G2071" s="36" t="s">
        <v>14</v>
      </c>
      <c r="H2071" s="33" t="s">
        <v>15</v>
      </c>
      <c r="I2071" s="37" t="s">
        <v>16</v>
      </c>
      <c r="J2071" s="38" t="s">
        <v>17</v>
      </c>
      <c r="K2071" s="39" t="s">
        <v>18</v>
      </c>
      <c r="L2071" s="38" t="s">
        <v>19</v>
      </c>
      <c r="M2071" s="38" t="s">
        <v>20</v>
      </c>
      <c r="N2071" s="38" t="s">
        <v>21</v>
      </c>
      <c r="O2071" s="33" t="s">
        <v>22</v>
      </c>
      <c r="P2071" s="34" t="s">
        <v>23</v>
      </c>
      <c r="Q2071" s="38" t="s">
        <v>24</v>
      </c>
      <c r="R2071" s="33" t="s">
        <v>25</v>
      </c>
    </row>
    <row r="2072" spans="1:18" ht="15" customHeight="1">
      <c r="A2072" s="8" t="s">
        <v>38</v>
      </c>
      <c r="B2072" s="8" t="s">
        <v>342</v>
      </c>
      <c r="C2072" s="9">
        <v>0.48958333333333331</v>
      </c>
      <c r="D2072" s="8" t="s">
        <v>40</v>
      </c>
      <c r="E2072" s="8" t="s">
        <v>168</v>
      </c>
      <c r="F2072" s="8" t="s">
        <v>30</v>
      </c>
      <c r="G2072" s="302"/>
      <c r="H2072" s="10"/>
      <c r="I2072" s="11"/>
      <c r="J2072" s="11"/>
      <c r="K2072" s="11"/>
      <c r="L2072" s="11"/>
      <c r="M2072" s="11"/>
      <c r="N2072" s="11"/>
      <c r="O2072" s="12"/>
      <c r="P2072" s="11"/>
      <c r="Q2072" s="13"/>
      <c r="R2072" s="14"/>
    </row>
    <row r="2073" spans="1:18" ht="15" customHeight="1">
      <c r="A2073" s="15" t="s">
        <v>38</v>
      </c>
      <c r="B2073" s="15" t="s">
        <v>342</v>
      </c>
      <c r="C2073" s="16">
        <v>0.48958333333333331</v>
      </c>
      <c r="D2073" s="15" t="s">
        <v>43</v>
      </c>
      <c r="E2073" s="15" t="s">
        <v>114</v>
      </c>
      <c r="F2073" s="15" t="s">
        <v>420</v>
      </c>
      <c r="G2073" s="298"/>
      <c r="H2073" s="10"/>
      <c r="I2073" s="11"/>
      <c r="J2073" s="11"/>
      <c r="K2073" s="11"/>
      <c r="L2073" s="11"/>
      <c r="M2073" s="11"/>
      <c r="N2073" s="11"/>
      <c r="O2073" s="12"/>
      <c r="P2073" s="11"/>
      <c r="Q2073" s="13"/>
      <c r="R2073" s="14"/>
    </row>
    <row r="2074" spans="1:18" ht="15" customHeight="1">
      <c r="A2074" s="15" t="s">
        <v>38</v>
      </c>
      <c r="B2074" s="15" t="s">
        <v>342</v>
      </c>
      <c r="C2074" s="16">
        <v>0.48958333333333331</v>
      </c>
      <c r="D2074" s="15" t="s">
        <v>46</v>
      </c>
      <c r="E2074" s="15" t="s">
        <v>114</v>
      </c>
      <c r="F2074" s="15" t="s">
        <v>47</v>
      </c>
      <c r="G2074" s="298"/>
      <c r="H2074" s="10"/>
      <c r="I2074" s="11"/>
      <c r="J2074" s="11"/>
      <c r="K2074" s="11"/>
      <c r="L2074" s="11"/>
      <c r="M2074" s="11"/>
      <c r="N2074" s="11"/>
      <c r="O2074" s="12"/>
      <c r="P2074" s="11"/>
      <c r="Q2074" s="13"/>
      <c r="R2074" s="14"/>
    </row>
    <row r="2075" spans="1:18" ht="15" customHeight="1">
      <c r="A2075" s="17" t="s">
        <v>38</v>
      </c>
      <c r="B2075" s="17" t="s">
        <v>346</v>
      </c>
      <c r="C2075" s="18">
        <v>0.39930555555555558</v>
      </c>
      <c r="D2075" s="17" t="s">
        <v>40</v>
      </c>
      <c r="E2075" s="17" t="s">
        <v>125</v>
      </c>
      <c r="F2075" s="17" t="s">
        <v>347</v>
      </c>
      <c r="G2075" s="298"/>
      <c r="H2075" s="10"/>
      <c r="I2075" s="11"/>
      <c r="J2075" s="11"/>
      <c r="K2075" s="11"/>
      <c r="L2075" s="11"/>
      <c r="M2075" s="11"/>
      <c r="N2075" s="11"/>
      <c r="O2075" s="12"/>
      <c r="P2075" s="11"/>
      <c r="Q2075" s="13"/>
      <c r="R2075" s="14"/>
    </row>
    <row r="2076" spans="1:18" ht="15" customHeight="1">
      <c r="A2076" s="15" t="s">
        <v>38</v>
      </c>
      <c r="B2076" s="15" t="s">
        <v>346</v>
      </c>
      <c r="C2076" s="16">
        <v>0.39930555555555558</v>
      </c>
      <c r="D2076" s="15" t="s">
        <v>43</v>
      </c>
      <c r="E2076" s="15" t="s">
        <v>44</v>
      </c>
      <c r="F2076" s="15" t="s">
        <v>138</v>
      </c>
      <c r="G2076" s="298"/>
      <c r="H2076" s="10"/>
      <c r="I2076" s="11"/>
      <c r="J2076" s="11"/>
      <c r="K2076" s="11"/>
      <c r="L2076" s="11"/>
      <c r="M2076" s="11"/>
      <c r="N2076" s="11"/>
      <c r="O2076" s="12"/>
      <c r="P2076" s="11"/>
      <c r="Q2076" s="13"/>
      <c r="R2076" s="14"/>
    </row>
    <row r="2077" spans="1:18" ht="15" customHeight="1">
      <c r="A2077" s="15" t="s">
        <v>38</v>
      </c>
      <c r="B2077" s="15" t="s">
        <v>346</v>
      </c>
      <c r="C2077" s="16">
        <v>0.39930555555555558</v>
      </c>
      <c r="D2077" s="15" t="s">
        <v>46</v>
      </c>
      <c r="E2077" s="15" t="s">
        <v>44</v>
      </c>
      <c r="F2077" s="15" t="s">
        <v>47</v>
      </c>
      <c r="G2077" s="298"/>
      <c r="H2077" s="10"/>
      <c r="I2077" s="11"/>
      <c r="J2077" s="11"/>
      <c r="K2077" s="11"/>
      <c r="L2077" s="11"/>
      <c r="M2077" s="11"/>
      <c r="N2077" s="11"/>
      <c r="O2077" s="12"/>
      <c r="P2077" s="11"/>
      <c r="Q2077" s="13"/>
      <c r="R2077" s="14"/>
    </row>
    <row r="2078" spans="1:18" ht="15" customHeight="1">
      <c r="A2078" s="17" t="s">
        <v>38</v>
      </c>
      <c r="B2078" s="17" t="s">
        <v>344</v>
      </c>
      <c r="C2078" s="18">
        <v>0.88888888888888884</v>
      </c>
      <c r="D2078" s="17" t="s">
        <v>40</v>
      </c>
      <c r="E2078" s="17" t="s">
        <v>194</v>
      </c>
      <c r="F2078" s="17" t="s">
        <v>347</v>
      </c>
      <c r="G2078" s="298"/>
      <c r="H2078" s="10"/>
      <c r="I2078" s="11"/>
      <c r="J2078" s="11"/>
      <c r="K2078" s="11"/>
      <c r="L2078" s="11"/>
      <c r="M2078" s="11"/>
      <c r="N2078" s="11"/>
      <c r="O2078" s="12"/>
      <c r="P2078" s="11"/>
      <c r="Q2078" s="13"/>
      <c r="R2078" s="14"/>
    </row>
    <row r="2079" spans="1:18" ht="15" customHeight="1">
      <c r="A2079" s="15" t="s">
        <v>38</v>
      </c>
      <c r="B2079" s="15" t="s">
        <v>344</v>
      </c>
      <c r="C2079" s="16">
        <v>0.88888888888888884</v>
      </c>
      <c r="D2079" s="15" t="s">
        <v>43</v>
      </c>
      <c r="E2079" s="15" t="s">
        <v>195</v>
      </c>
      <c r="F2079" s="15" t="s">
        <v>138</v>
      </c>
      <c r="G2079" s="298"/>
      <c r="H2079" s="10"/>
      <c r="I2079" s="11"/>
      <c r="J2079" s="11"/>
      <c r="K2079" s="11"/>
      <c r="L2079" s="11"/>
      <c r="M2079" s="11"/>
      <c r="N2079" s="11"/>
      <c r="O2079" s="12"/>
      <c r="P2079" s="11"/>
      <c r="Q2079" s="13"/>
      <c r="R2079" s="14"/>
    </row>
    <row r="2080" spans="1:18" ht="15" customHeight="1">
      <c r="A2080" s="15" t="s">
        <v>38</v>
      </c>
      <c r="B2080" s="15" t="s">
        <v>344</v>
      </c>
      <c r="C2080" s="16">
        <v>0.88888888888888884</v>
      </c>
      <c r="D2080" s="15" t="s">
        <v>46</v>
      </c>
      <c r="E2080" s="15" t="s">
        <v>195</v>
      </c>
      <c r="F2080" s="15" t="s">
        <v>47</v>
      </c>
      <c r="G2080" s="298"/>
      <c r="H2080" s="10"/>
      <c r="I2080" s="11"/>
      <c r="J2080" s="11"/>
      <c r="K2080" s="11"/>
      <c r="L2080" s="11"/>
      <c r="M2080" s="11"/>
      <c r="N2080" s="11"/>
      <c r="O2080" s="12"/>
      <c r="P2080" s="11"/>
      <c r="Q2080" s="13"/>
      <c r="R2080" s="14"/>
    </row>
    <row r="2081" spans="1:18" ht="15" customHeight="1">
      <c r="A2081" s="17" t="s">
        <v>38</v>
      </c>
      <c r="B2081" s="17" t="s">
        <v>345</v>
      </c>
      <c r="C2081" s="18">
        <v>0.98958333333333337</v>
      </c>
      <c r="D2081" s="17" t="s">
        <v>40</v>
      </c>
      <c r="E2081" s="17" t="s">
        <v>125</v>
      </c>
      <c r="F2081" s="17" t="s">
        <v>347</v>
      </c>
      <c r="G2081" s="298"/>
      <c r="H2081" s="10"/>
      <c r="I2081" s="11"/>
      <c r="J2081" s="11"/>
      <c r="K2081" s="11"/>
      <c r="L2081" s="11"/>
      <c r="M2081" s="11"/>
      <c r="N2081" s="11"/>
      <c r="O2081" s="12"/>
      <c r="P2081" s="11"/>
      <c r="Q2081" s="13"/>
      <c r="R2081" s="14"/>
    </row>
    <row r="2082" spans="1:18" ht="15" customHeight="1">
      <c r="A2082" s="15" t="s">
        <v>38</v>
      </c>
      <c r="B2082" s="15" t="s">
        <v>345</v>
      </c>
      <c r="C2082" s="16">
        <v>0.98958333333333337</v>
      </c>
      <c r="D2082" s="15" t="s">
        <v>43</v>
      </c>
      <c r="E2082" s="15" t="s">
        <v>44</v>
      </c>
      <c r="F2082" s="15" t="s">
        <v>138</v>
      </c>
      <c r="G2082" s="298"/>
      <c r="H2082" s="10"/>
      <c r="I2082" s="11"/>
      <c r="J2082" s="11"/>
      <c r="K2082" s="11"/>
      <c r="L2082" s="11"/>
      <c r="M2082" s="11"/>
      <c r="N2082" s="11"/>
      <c r="O2082" s="12"/>
      <c r="P2082" s="11"/>
      <c r="Q2082" s="13"/>
      <c r="R2082" s="14"/>
    </row>
    <row r="2083" spans="1:18" ht="15" customHeight="1">
      <c r="A2083" s="15" t="s">
        <v>38</v>
      </c>
      <c r="B2083" s="15" t="s">
        <v>345</v>
      </c>
      <c r="C2083" s="16">
        <v>0.98958333333333337</v>
      </c>
      <c r="D2083" s="15" t="s">
        <v>46</v>
      </c>
      <c r="E2083" s="15" t="s">
        <v>44</v>
      </c>
      <c r="F2083" s="15" t="s">
        <v>47</v>
      </c>
      <c r="G2083" s="298"/>
      <c r="H2083" s="10"/>
      <c r="I2083" s="11"/>
      <c r="J2083" s="11"/>
      <c r="K2083" s="11"/>
      <c r="L2083" s="11"/>
      <c r="M2083" s="11"/>
      <c r="N2083" s="11"/>
      <c r="O2083" s="12"/>
      <c r="P2083" s="11"/>
      <c r="Q2083" s="13"/>
      <c r="R2083" s="14"/>
    </row>
    <row r="2084" spans="1:18" ht="15" customHeight="1">
      <c r="A2084" s="19" t="s">
        <v>359</v>
      </c>
      <c r="B2084" s="19" t="s">
        <v>360</v>
      </c>
      <c r="C2084" s="20">
        <v>0.1701388888888889</v>
      </c>
      <c r="D2084" s="19" t="s">
        <v>361</v>
      </c>
      <c r="E2084" s="19" t="s">
        <v>80</v>
      </c>
      <c r="F2084" s="19" t="s">
        <v>525</v>
      </c>
      <c r="G2084" s="298"/>
      <c r="H2084" s="10"/>
      <c r="I2084" s="11"/>
      <c r="J2084" s="11"/>
      <c r="K2084" s="11"/>
      <c r="L2084" s="11"/>
      <c r="M2084" s="11"/>
      <c r="N2084" s="11"/>
      <c r="O2084" s="12"/>
      <c r="P2084" s="11"/>
      <c r="Q2084" s="13"/>
      <c r="R2084" s="14"/>
    </row>
    <row r="2085" spans="1:18" ht="15" customHeight="1">
      <c r="A2085" s="15" t="s">
        <v>359</v>
      </c>
      <c r="B2085" s="15" t="s">
        <v>360</v>
      </c>
      <c r="C2085" s="16">
        <v>0.1701388888888889</v>
      </c>
      <c r="D2085" s="15" t="s">
        <v>46</v>
      </c>
      <c r="E2085" s="15" t="s">
        <v>82</v>
      </c>
      <c r="F2085" s="15" t="s">
        <v>526</v>
      </c>
      <c r="G2085" s="298"/>
      <c r="H2085" s="10"/>
      <c r="I2085" s="11"/>
      <c r="J2085" s="11"/>
      <c r="K2085" s="11"/>
      <c r="L2085" s="11"/>
      <c r="M2085" s="11"/>
      <c r="N2085" s="11"/>
      <c r="O2085" s="12"/>
      <c r="P2085" s="11"/>
      <c r="Q2085" s="13"/>
      <c r="R2085" s="14"/>
    </row>
    <row r="2086" spans="1:18" ht="15" customHeight="1">
      <c r="A2086" s="21" t="s">
        <v>61</v>
      </c>
      <c r="B2086" s="21" t="s">
        <v>371</v>
      </c>
      <c r="C2086" s="22">
        <v>6.5972222222222224E-2</v>
      </c>
      <c r="D2086" s="21" t="s">
        <v>63</v>
      </c>
      <c r="E2086" s="21" t="s">
        <v>29</v>
      </c>
      <c r="F2086" s="21" t="s">
        <v>365</v>
      </c>
      <c r="G2086" s="298"/>
      <c r="H2086" s="23" t="s">
        <v>373</v>
      </c>
      <c r="I2086" s="24">
        <v>1.11E-2</v>
      </c>
      <c r="J2086" s="25">
        <v>2</v>
      </c>
      <c r="K2086" s="26">
        <v>46340</v>
      </c>
      <c r="L2086" s="25">
        <v>2</v>
      </c>
      <c r="M2086" s="25">
        <v>0</v>
      </c>
      <c r="N2086" s="25">
        <v>0</v>
      </c>
      <c r="O2086" s="27" t="s">
        <v>368</v>
      </c>
      <c r="P2086" s="28">
        <v>6.5972222222222224E-2</v>
      </c>
      <c r="Q2086" s="25">
        <v>180</v>
      </c>
      <c r="R2086" s="29" t="s">
        <v>367</v>
      </c>
    </row>
    <row r="2087" spans="1:18" ht="15" customHeight="1">
      <c r="A2087" s="152" t="s">
        <v>61</v>
      </c>
      <c r="B2087" s="152" t="s">
        <v>375</v>
      </c>
      <c r="C2087" s="153">
        <v>0.15625</v>
      </c>
      <c r="D2087" s="152" t="s">
        <v>63</v>
      </c>
      <c r="E2087" s="152" t="s">
        <v>372</v>
      </c>
      <c r="F2087" s="152" t="s">
        <v>365</v>
      </c>
      <c r="G2087" s="298"/>
      <c r="H2087" s="100" t="s">
        <v>376</v>
      </c>
      <c r="I2087" s="101">
        <v>0</v>
      </c>
      <c r="J2087" s="102">
        <v>0</v>
      </c>
      <c r="K2087" s="103" t="s">
        <v>66</v>
      </c>
      <c r="L2087" s="102">
        <v>0</v>
      </c>
      <c r="M2087" s="102">
        <v>0</v>
      </c>
      <c r="N2087" s="102">
        <v>0</v>
      </c>
      <c r="O2087" s="104" t="s">
        <v>436</v>
      </c>
      <c r="P2087" s="105">
        <v>0.15625</v>
      </c>
      <c r="Q2087" s="102">
        <v>180</v>
      </c>
      <c r="R2087" s="106" t="s">
        <v>66</v>
      </c>
    </row>
    <row r="2088" spans="1:18" ht="15" customHeight="1">
      <c r="A2088" s="148" t="s">
        <v>61</v>
      </c>
      <c r="B2088" s="148" t="s">
        <v>379</v>
      </c>
      <c r="C2088" s="149">
        <v>0.5625</v>
      </c>
      <c r="D2088" s="148" t="s">
        <v>63</v>
      </c>
      <c r="E2088" s="148" t="s">
        <v>37</v>
      </c>
      <c r="F2088" s="148" t="s">
        <v>365</v>
      </c>
      <c r="G2088" s="298"/>
      <c r="H2088" s="51" t="s">
        <v>380</v>
      </c>
      <c r="I2088" s="52">
        <v>1.11E-2</v>
      </c>
      <c r="J2088" s="53">
        <v>2</v>
      </c>
      <c r="K2088" s="54">
        <v>46344</v>
      </c>
      <c r="L2088" s="53">
        <v>2</v>
      </c>
      <c r="M2088" s="53">
        <v>0</v>
      </c>
      <c r="N2088" s="53">
        <v>0</v>
      </c>
      <c r="O2088" s="55" t="s">
        <v>368</v>
      </c>
      <c r="P2088" s="56">
        <v>0.5625</v>
      </c>
      <c r="Q2088" s="53">
        <v>180</v>
      </c>
      <c r="R2088" s="57" t="s">
        <v>367</v>
      </c>
    </row>
    <row r="2089" spans="1:18" ht="15" customHeight="1">
      <c r="A2089" s="162" t="s">
        <v>61</v>
      </c>
      <c r="B2089" s="162" t="s">
        <v>364</v>
      </c>
      <c r="C2089" s="163">
        <v>0.9375</v>
      </c>
      <c r="D2089" s="162" t="s">
        <v>63</v>
      </c>
      <c r="E2089" s="162" t="s">
        <v>91</v>
      </c>
      <c r="F2089" s="162" t="s">
        <v>79</v>
      </c>
      <c r="G2089" s="298"/>
      <c r="H2089" s="60" t="s">
        <v>366</v>
      </c>
      <c r="I2089" s="61">
        <v>6.1100000000000002E-2</v>
      </c>
      <c r="J2089" s="62">
        <v>11</v>
      </c>
      <c r="K2089" s="63">
        <v>46324</v>
      </c>
      <c r="L2089" s="62">
        <v>11</v>
      </c>
      <c r="M2089" s="62">
        <v>0</v>
      </c>
      <c r="N2089" s="62">
        <v>0</v>
      </c>
      <c r="O2089" s="64" t="s">
        <v>298</v>
      </c>
      <c r="P2089" s="65">
        <v>0.9375</v>
      </c>
      <c r="Q2089" s="62">
        <v>180</v>
      </c>
      <c r="R2089" s="66" t="s">
        <v>509</v>
      </c>
    </row>
    <row r="2090" spans="1:18" ht="15" customHeight="1">
      <c r="A2090" s="156" t="s">
        <v>61</v>
      </c>
      <c r="B2090" s="156" t="s">
        <v>369</v>
      </c>
      <c r="C2090" s="157">
        <v>0.1875</v>
      </c>
      <c r="D2090" s="156" t="s">
        <v>63</v>
      </c>
      <c r="E2090" s="156" t="s">
        <v>57</v>
      </c>
      <c r="F2090" s="156" t="s">
        <v>79</v>
      </c>
      <c r="G2090" s="298"/>
      <c r="H2090" s="42" t="s">
        <v>370</v>
      </c>
      <c r="I2090" s="43">
        <v>2.2200000000000001E-2</v>
      </c>
      <c r="J2090" s="44">
        <v>4</v>
      </c>
      <c r="K2090" s="45">
        <v>46332</v>
      </c>
      <c r="L2090" s="44">
        <v>4</v>
      </c>
      <c r="M2090" s="44">
        <v>0</v>
      </c>
      <c r="N2090" s="44">
        <v>0</v>
      </c>
      <c r="O2090" s="46" t="s">
        <v>292</v>
      </c>
      <c r="P2090" s="47">
        <v>0.1875</v>
      </c>
      <c r="Q2090" s="44">
        <v>180</v>
      </c>
      <c r="R2090" s="48" t="s">
        <v>307</v>
      </c>
    </row>
    <row r="2091" spans="1:18" ht="15" customHeight="1">
      <c r="A2091" s="150" t="s">
        <v>61</v>
      </c>
      <c r="B2091" s="150" t="s">
        <v>377</v>
      </c>
      <c r="C2091" s="151">
        <v>0.40625</v>
      </c>
      <c r="D2091" s="150" t="s">
        <v>63</v>
      </c>
      <c r="E2091" s="150" t="s">
        <v>435</v>
      </c>
      <c r="F2091" s="150" t="s">
        <v>79</v>
      </c>
      <c r="G2091" s="298"/>
      <c r="H2091" s="80" t="s">
        <v>378</v>
      </c>
      <c r="I2091" s="81">
        <v>3.3300000000000003E-2</v>
      </c>
      <c r="J2091" s="82">
        <v>6</v>
      </c>
      <c r="K2091" s="83">
        <v>46342</v>
      </c>
      <c r="L2091" s="82">
        <v>6</v>
      </c>
      <c r="M2091" s="82">
        <v>0</v>
      </c>
      <c r="N2091" s="82">
        <v>0</v>
      </c>
      <c r="O2091" s="84" t="s">
        <v>299</v>
      </c>
      <c r="P2091" s="85">
        <v>0.40625</v>
      </c>
      <c r="Q2091" s="82">
        <v>180</v>
      </c>
      <c r="R2091" s="86" t="s">
        <v>436</v>
      </c>
    </row>
    <row r="2092" spans="1:18" ht="15" customHeight="1">
      <c r="A2092" s="19" t="s">
        <v>26</v>
      </c>
      <c r="B2092" s="19" t="s">
        <v>348</v>
      </c>
      <c r="C2092" s="20">
        <v>0.99305555555555547</v>
      </c>
      <c r="D2092" s="19" t="s">
        <v>28</v>
      </c>
      <c r="E2092" s="19" t="s">
        <v>103</v>
      </c>
      <c r="F2092" s="19" t="s">
        <v>83</v>
      </c>
      <c r="G2092" s="298"/>
      <c r="H2092" s="10"/>
      <c r="I2092" s="11"/>
      <c r="J2092" s="11"/>
      <c r="K2092" s="11"/>
      <c r="L2092" s="11"/>
      <c r="M2092" s="11"/>
      <c r="N2092" s="11"/>
      <c r="O2092" s="12"/>
      <c r="P2092" s="11"/>
      <c r="Q2092" s="13"/>
      <c r="R2092" s="14"/>
    </row>
    <row r="2093" spans="1:18" ht="15" customHeight="1">
      <c r="A2093" s="15" t="s">
        <v>26</v>
      </c>
      <c r="B2093" s="15" t="s">
        <v>348</v>
      </c>
      <c r="C2093" s="16">
        <v>0.99305555555555547</v>
      </c>
      <c r="D2093" s="15" t="s">
        <v>31</v>
      </c>
      <c r="E2093" s="15" t="s">
        <v>99</v>
      </c>
      <c r="F2093" s="15" t="s">
        <v>159</v>
      </c>
      <c r="G2093" s="298"/>
      <c r="H2093" s="10"/>
      <c r="I2093" s="11"/>
      <c r="J2093" s="11"/>
      <c r="K2093" s="11"/>
      <c r="L2093" s="11"/>
      <c r="M2093" s="11"/>
      <c r="N2093" s="11"/>
      <c r="O2093" s="12"/>
      <c r="P2093" s="11"/>
      <c r="Q2093" s="13"/>
      <c r="R2093" s="14"/>
    </row>
    <row r="2094" spans="1:18" ht="15" customHeight="1">
      <c r="A2094" s="15" t="s">
        <v>26</v>
      </c>
      <c r="B2094" s="15" t="s">
        <v>348</v>
      </c>
      <c r="C2094" s="16">
        <v>0.99305555555555547</v>
      </c>
      <c r="D2094" s="15" t="s">
        <v>34</v>
      </c>
      <c r="E2094" s="15" t="s">
        <v>99</v>
      </c>
      <c r="F2094" s="15" t="s">
        <v>355</v>
      </c>
      <c r="G2094" s="298"/>
      <c r="H2094" s="10"/>
      <c r="I2094" s="11"/>
      <c r="J2094" s="11"/>
      <c r="K2094" s="11"/>
      <c r="L2094" s="11"/>
      <c r="M2094" s="11"/>
      <c r="N2094" s="11"/>
      <c r="O2094" s="12"/>
      <c r="P2094" s="11"/>
      <c r="Q2094" s="13"/>
      <c r="R2094" s="14"/>
    </row>
    <row r="2095" spans="1:18" ht="15" customHeight="1">
      <c r="A2095" s="17" t="s">
        <v>26</v>
      </c>
      <c r="B2095" s="17" t="s">
        <v>350</v>
      </c>
      <c r="C2095" s="18">
        <v>0.73611111111111116</v>
      </c>
      <c r="D2095" s="17" t="s">
        <v>28</v>
      </c>
      <c r="E2095" s="17" t="s">
        <v>200</v>
      </c>
      <c r="F2095" s="17" t="s">
        <v>83</v>
      </c>
      <c r="G2095" s="298"/>
      <c r="H2095" s="10"/>
      <c r="I2095" s="11"/>
      <c r="J2095" s="11"/>
      <c r="K2095" s="11"/>
      <c r="L2095" s="11"/>
      <c r="M2095" s="11"/>
      <c r="N2095" s="11"/>
      <c r="O2095" s="12"/>
      <c r="P2095" s="11"/>
      <c r="Q2095" s="13"/>
      <c r="R2095" s="14"/>
    </row>
    <row r="2096" spans="1:18" ht="15" customHeight="1">
      <c r="A2096" s="15" t="s">
        <v>26</v>
      </c>
      <c r="B2096" s="15" t="s">
        <v>350</v>
      </c>
      <c r="C2096" s="16">
        <v>0.73611111111111116</v>
      </c>
      <c r="D2096" s="15" t="s">
        <v>31</v>
      </c>
      <c r="E2096" s="15" t="s">
        <v>127</v>
      </c>
      <c r="F2096" s="15" t="s">
        <v>159</v>
      </c>
      <c r="G2096" s="298"/>
      <c r="H2096" s="10"/>
      <c r="I2096" s="11"/>
      <c r="J2096" s="11"/>
      <c r="K2096" s="11"/>
      <c r="L2096" s="11"/>
      <c r="M2096" s="11"/>
      <c r="N2096" s="11"/>
      <c r="O2096" s="12"/>
      <c r="P2096" s="11"/>
      <c r="Q2096" s="13"/>
      <c r="R2096" s="14"/>
    </row>
    <row r="2097" spans="1:18" ht="15" customHeight="1">
      <c r="A2097" s="15" t="s">
        <v>26</v>
      </c>
      <c r="B2097" s="15" t="s">
        <v>350</v>
      </c>
      <c r="C2097" s="16">
        <v>0.73611111111111116</v>
      </c>
      <c r="D2097" s="15" t="s">
        <v>34</v>
      </c>
      <c r="E2097" s="15" t="s">
        <v>127</v>
      </c>
      <c r="F2097" s="15" t="s">
        <v>355</v>
      </c>
      <c r="G2097" s="298"/>
      <c r="H2097" s="10"/>
      <c r="I2097" s="11"/>
      <c r="J2097" s="11"/>
      <c r="K2097" s="11"/>
      <c r="L2097" s="11"/>
      <c r="M2097" s="11"/>
      <c r="N2097" s="11"/>
      <c r="O2097" s="12"/>
      <c r="P2097" s="11"/>
      <c r="Q2097" s="13"/>
      <c r="R2097" s="14"/>
    </row>
    <row r="2098" spans="1:18" ht="15" customHeight="1">
      <c r="A2098" s="17" t="s">
        <v>26</v>
      </c>
      <c r="B2098" s="17" t="s">
        <v>353</v>
      </c>
      <c r="C2098" s="18">
        <v>0.88888888888888884</v>
      </c>
      <c r="D2098" s="17" t="s">
        <v>28</v>
      </c>
      <c r="E2098" s="17" t="s">
        <v>37</v>
      </c>
      <c r="F2098" s="17" t="s">
        <v>83</v>
      </c>
      <c r="G2098" s="298"/>
      <c r="H2098" s="10"/>
      <c r="I2098" s="11"/>
      <c r="J2098" s="11"/>
      <c r="K2098" s="11"/>
      <c r="L2098" s="11"/>
      <c r="M2098" s="11"/>
      <c r="N2098" s="11"/>
      <c r="O2098" s="12"/>
      <c r="P2098" s="11"/>
      <c r="Q2098" s="13"/>
      <c r="R2098" s="14"/>
    </row>
    <row r="2099" spans="1:18" ht="15" customHeight="1">
      <c r="A2099" s="15" t="s">
        <v>26</v>
      </c>
      <c r="B2099" s="15" t="s">
        <v>353</v>
      </c>
      <c r="C2099" s="16">
        <v>0.88888888888888884</v>
      </c>
      <c r="D2099" s="15" t="s">
        <v>31</v>
      </c>
      <c r="E2099" s="15" t="s">
        <v>32</v>
      </c>
      <c r="F2099" s="15" t="s">
        <v>159</v>
      </c>
      <c r="G2099" s="298"/>
      <c r="H2099" s="10"/>
      <c r="I2099" s="11"/>
      <c r="J2099" s="11"/>
      <c r="K2099" s="11"/>
      <c r="L2099" s="11"/>
      <c r="M2099" s="11"/>
      <c r="N2099" s="11"/>
      <c r="O2099" s="12"/>
      <c r="P2099" s="11"/>
      <c r="Q2099" s="13"/>
      <c r="R2099" s="14"/>
    </row>
    <row r="2100" spans="1:18" ht="15" customHeight="1">
      <c r="A2100" s="15" t="s">
        <v>26</v>
      </c>
      <c r="B2100" s="15" t="s">
        <v>353</v>
      </c>
      <c r="C2100" s="16">
        <v>0.88888888888888884</v>
      </c>
      <c r="D2100" s="15" t="s">
        <v>34</v>
      </c>
      <c r="E2100" s="15" t="s">
        <v>32</v>
      </c>
      <c r="F2100" s="15" t="s">
        <v>355</v>
      </c>
      <c r="G2100" s="298"/>
      <c r="H2100" s="10"/>
      <c r="I2100" s="11"/>
      <c r="J2100" s="11"/>
      <c r="K2100" s="11"/>
      <c r="L2100" s="11"/>
      <c r="M2100" s="11"/>
      <c r="N2100" s="11"/>
      <c r="O2100" s="12"/>
      <c r="P2100" s="11"/>
      <c r="Q2100" s="13"/>
      <c r="R2100" s="14"/>
    </row>
    <row r="2101" spans="1:18" ht="15" customHeight="1">
      <c r="A2101" s="17" t="s">
        <v>26</v>
      </c>
      <c r="B2101" s="17" t="s">
        <v>351</v>
      </c>
      <c r="C2101" s="18">
        <v>0.83680555555555547</v>
      </c>
      <c r="D2101" s="17" t="s">
        <v>28</v>
      </c>
      <c r="E2101" s="17" t="s">
        <v>134</v>
      </c>
      <c r="F2101" s="17" t="s">
        <v>79</v>
      </c>
      <c r="G2101" s="298"/>
      <c r="H2101" s="10"/>
      <c r="I2101" s="11"/>
      <c r="J2101" s="11"/>
      <c r="K2101" s="11"/>
      <c r="L2101" s="11"/>
      <c r="M2101" s="11"/>
      <c r="N2101" s="11"/>
      <c r="O2101" s="12"/>
      <c r="P2101" s="11"/>
      <c r="Q2101" s="13"/>
      <c r="R2101" s="14"/>
    </row>
    <row r="2102" spans="1:18" ht="15" customHeight="1">
      <c r="A2102" s="15" t="s">
        <v>26</v>
      </c>
      <c r="B2102" s="15" t="s">
        <v>351</v>
      </c>
      <c r="C2102" s="16">
        <v>0.83680555555555547</v>
      </c>
      <c r="D2102" s="15" t="s">
        <v>31</v>
      </c>
      <c r="E2102" s="15" t="s">
        <v>135</v>
      </c>
      <c r="F2102" s="15" t="s">
        <v>123</v>
      </c>
      <c r="G2102" s="298"/>
      <c r="H2102" s="10"/>
      <c r="I2102" s="11"/>
      <c r="J2102" s="11"/>
      <c r="K2102" s="11"/>
      <c r="L2102" s="11"/>
      <c r="M2102" s="11"/>
      <c r="N2102" s="11"/>
      <c r="O2102" s="12"/>
      <c r="P2102" s="11"/>
      <c r="Q2102" s="13"/>
      <c r="R2102" s="14"/>
    </row>
    <row r="2103" spans="1:18" ht="15" customHeight="1">
      <c r="A2103" s="15" t="s">
        <v>26</v>
      </c>
      <c r="B2103" s="15" t="s">
        <v>351</v>
      </c>
      <c r="C2103" s="16">
        <v>0.83680555555555547</v>
      </c>
      <c r="D2103" s="15" t="s">
        <v>34</v>
      </c>
      <c r="E2103" s="15" t="s">
        <v>135</v>
      </c>
      <c r="F2103" s="15" t="s">
        <v>118</v>
      </c>
      <c r="G2103" s="298"/>
      <c r="H2103" s="10"/>
      <c r="I2103" s="11"/>
      <c r="J2103" s="11"/>
      <c r="K2103" s="11"/>
      <c r="L2103" s="11"/>
      <c r="M2103" s="11"/>
      <c r="N2103" s="11"/>
      <c r="O2103" s="12"/>
      <c r="P2103" s="11"/>
      <c r="Q2103" s="13"/>
      <c r="R2103" s="14"/>
    </row>
    <row r="2104" spans="1:18" ht="15" customHeight="1">
      <c r="A2104" s="17" t="s">
        <v>26</v>
      </c>
      <c r="B2104" s="17" t="s">
        <v>352</v>
      </c>
      <c r="C2104" s="18">
        <v>0.94444444444444453</v>
      </c>
      <c r="D2104" s="17" t="s">
        <v>28</v>
      </c>
      <c r="E2104" s="17" t="s">
        <v>98</v>
      </c>
      <c r="F2104" s="17" t="s">
        <v>45</v>
      </c>
      <c r="G2104" s="298"/>
      <c r="H2104" s="10"/>
      <c r="I2104" s="11"/>
      <c r="J2104" s="11"/>
      <c r="K2104" s="11"/>
      <c r="L2104" s="11"/>
      <c r="M2104" s="11"/>
      <c r="N2104" s="11"/>
      <c r="O2104" s="12"/>
      <c r="P2104" s="11"/>
      <c r="Q2104" s="13"/>
      <c r="R2104" s="14"/>
    </row>
    <row r="2105" spans="1:18" ht="15" customHeight="1">
      <c r="A2105" s="15" t="s">
        <v>26</v>
      </c>
      <c r="B2105" s="15" t="s">
        <v>352</v>
      </c>
      <c r="C2105" s="16">
        <v>0.94444444444444453</v>
      </c>
      <c r="D2105" s="15" t="s">
        <v>31</v>
      </c>
      <c r="E2105" s="15" t="s">
        <v>99</v>
      </c>
      <c r="F2105" s="15" t="s">
        <v>355</v>
      </c>
      <c r="G2105" s="298"/>
      <c r="H2105" s="10"/>
      <c r="I2105" s="11"/>
      <c r="J2105" s="11"/>
      <c r="K2105" s="11"/>
      <c r="L2105" s="11"/>
      <c r="M2105" s="11"/>
      <c r="N2105" s="11"/>
      <c r="O2105" s="12"/>
      <c r="P2105" s="11"/>
      <c r="Q2105" s="13"/>
      <c r="R2105" s="14"/>
    </row>
    <row r="2106" spans="1:18" ht="15" customHeight="1">
      <c r="A2106" s="15" t="s">
        <v>26</v>
      </c>
      <c r="B2106" s="15" t="s">
        <v>352</v>
      </c>
      <c r="C2106" s="16">
        <v>0.94444444444444453</v>
      </c>
      <c r="D2106" s="15" t="s">
        <v>34</v>
      </c>
      <c r="E2106" s="15" t="s">
        <v>99</v>
      </c>
      <c r="F2106" s="15" t="s">
        <v>358</v>
      </c>
      <c r="G2106" s="298"/>
      <c r="H2106" s="10"/>
      <c r="I2106" s="11"/>
      <c r="J2106" s="11"/>
      <c r="K2106" s="11"/>
      <c r="L2106" s="11"/>
      <c r="M2106" s="11"/>
      <c r="N2106" s="11"/>
      <c r="O2106" s="12"/>
      <c r="P2106" s="11"/>
      <c r="Q2106" s="13"/>
      <c r="R2106" s="14"/>
    </row>
    <row r="2107" spans="1:18" ht="15" customHeight="1">
      <c r="A2107" s="17" t="s">
        <v>26</v>
      </c>
      <c r="B2107" s="17" t="s">
        <v>357</v>
      </c>
      <c r="C2107" s="18">
        <v>0.3923611111111111</v>
      </c>
      <c r="D2107" s="17" t="s">
        <v>28</v>
      </c>
      <c r="E2107" s="17" t="s">
        <v>98</v>
      </c>
      <c r="F2107" s="17" t="s">
        <v>45</v>
      </c>
      <c r="G2107" s="298"/>
      <c r="H2107" s="10"/>
      <c r="I2107" s="11"/>
      <c r="J2107" s="11"/>
      <c r="K2107" s="11"/>
      <c r="L2107" s="11"/>
      <c r="M2107" s="11"/>
      <c r="N2107" s="11"/>
      <c r="O2107" s="12"/>
      <c r="P2107" s="11"/>
      <c r="Q2107" s="13"/>
      <c r="R2107" s="14"/>
    </row>
    <row r="2108" spans="1:18" ht="15" customHeight="1">
      <c r="A2108" s="15" t="s">
        <v>26</v>
      </c>
      <c r="B2108" s="15" t="s">
        <v>357</v>
      </c>
      <c r="C2108" s="16">
        <v>0.3923611111111111</v>
      </c>
      <c r="D2108" s="15" t="s">
        <v>31</v>
      </c>
      <c r="E2108" s="15" t="s">
        <v>99</v>
      </c>
      <c r="F2108" s="15" t="s">
        <v>355</v>
      </c>
      <c r="G2108" s="298"/>
      <c r="H2108" s="10"/>
      <c r="I2108" s="11"/>
      <c r="J2108" s="11"/>
      <c r="K2108" s="11"/>
      <c r="L2108" s="11"/>
      <c r="M2108" s="11"/>
      <c r="N2108" s="11"/>
      <c r="O2108" s="12"/>
      <c r="P2108" s="11"/>
      <c r="Q2108" s="13"/>
      <c r="R2108" s="14"/>
    </row>
    <row r="2109" spans="1:18" ht="15" customHeight="1">
      <c r="A2109" s="15" t="s">
        <v>26</v>
      </c>
      <c r="B2109" s="15" t="s">
        <v>357</v>
      </c>
      <c r="C2109" s="16">
        <v>0.3923611111111111</v>
      </c>
      <c r="D2109" s="15" t="s">
        <v>34</v>
      </c>
      <c r="E2109" s="15" t="s">
        <v>99</v>
      </c>
      <c r="F2109" s="15" t="s">
        <v>358</v>
      </c>
      <c r="G2109" s="298"/>
      <c r="H2109" s="10"/>
      <c r="I2109" s="11"/>
      <c r="J2109" s="11"/>
      <c r="K2109" s="11"/>
      <c r="L2109" s="11"/>
      <c r="M2109" s="11"/>
      <c r="N2109" s="11"/>
      <c r="O2109" s="12"/>
      <c r="P2109" s="11"/>
      <c r="Q2109" s="13"/>
      <c r="R2109" s="14"/>
    </row>
    <row r="2110" spans="1:18" ht="15" customHeight="1">
      <c r="A2110" s="17" t="s">
        <v>26</v>
      </c>
      <c r="B2110" s="17" t="s">
        <v>356</v>
      </c>
      <c r="C2110" s="18">
        <v>0.4861111111111111</v>
      </c>
      <c r="D2110" s="17" t="s">
        <v>28</v>
      </c>
      <c r="E2110" s="17" t="s">
        <v>200</v>
      </c>
      <c r="F2110" s="17" t="s">
        <v>455</v>
      </c>
      <c r="G2110" s="298"/>
      <c r="H2110" s="10"/>
      <c r="I2110" s="11"/>
      <c r="J2110" s="11"/>
      <c r="K2110" s="11"/>
      <c r="L2110" s="11"/>
      <c r="M2110" s="11"/>
      <c r="N2110" s="11"/>
      <c r="O2110" s="12"/>
      <c r="P2110" s="11"/>
      <c r="Q2110" s="13"/>
      <c r="R2110" s="14"/>
    </row>
    <row r="2111" spans="1:18" ht="15" customHeight="1">
      <c r="A2111" s="15" t="s">
        <v>26</v>
      </c>
      <c r="B2111" s="15" t="s">
        <v>356</v>
      </c>
      <c r="C2111" s="16">
        <v>0.4861111111111111</v>
      </c>
      <c r="D2111" s="15" t="s">
        <v>31</v>
      </c>
      <c r="E2111" s="15" t="s">
        <v>127</v>
      </c>
      <c r="F2111" s="15" t="s">
        <v>456</v>
      </c>
      <c r="G2111" s="298"/>
      <c r="H2111" s="10"/>
      <c r="I2111" s="11"/>
      <c r="J2111" s="11"/>
      <c r="K2111" s="11"/>
      <c r="L2111" s="11"/>
      <c r="M2111" s="11"/>
      <c r="N2111" s="11"/>
      <c r="O2111" s="12"/>
      <c r="P2111" s="11"/>
      <c r="Q2111" s="13"/>
      <c r="R2111" s="14"/>
    </row>
    <row r="2112" spans="1:18" ht="15" customHeight="1">
      <c r="A2112" s="15" t="s">
        <v>26</v>
      </c>
      <c r="B2112" s="15" t="s">
        <v>356</v>
      </c>
      <c r="C2112" s="16">
        <v>0.4861111111111111</v>
      </c>
      <c r="D2112" s="15" t="s">
        <v>34</v>
      </c>
      <c r="E2112" s="15" t="s">
        <v>127</v>
      </c>
      <c r="F2112" s="15" t="s">
        <v>457</v>
      </c>
      <c r="G2112" s="298"/>
      <c r="H2112" s="10"/>
      <c r="I2112" s="11"/>
      <c r="J2112" s="11"/>
      <c r="K2112" s="11"/>
      <c r="L2112" s="11"/>
      <c r="M2112" s="11"/>
      <c r="N2112" s="11"/>
      <c r="O2112" s="12"/>
      <c r="P2112" s="11"/>
      <c r="Q2112" s="13"/>
      <c r="R2112" s="14"/>
    </row>
    <row r="2113" spans="1:18" ht="15" customHeight="1">
      <c r="A2113" s="17" t="s">
        <v>26</v>
      </c>
      <c r="B2113" s="17" t="s">
        <v>354</v>
      </c>
      <c r="C2113" s="18">
        <v>0.34722222222222232</v>
      </c>
      <c r="D2113" s="17" t="s">
        <v>28</v>
      </c>
      <c r="E2113" s="17" t="s">
        <v>90</v>
      </c>
      <c r="F2113" s="17" t="s">
        <v>456</v>
      </c>
      <c r="G2113" s="298"/>
      <c r="H2113" s="10"/>
      <c r="I2113" s="11"/>
      <c r="J2113" s="11"/>
      <c r="K2113" s="11"/>
      <c r="L2113" s="11"/>
      <c r="M2113" s="11"/>
      <c r="N2113" s="11"/>
      <c r="O2113" s="12"/>
      <c r="P2113" s="11"/>
      <c r="Q2113" s="13"/>
      <c r="R2113" s="14"/>
    </row>
    <row r="2114" spans="1:18" ht="15" customHeight="1">
      <c r="A2114" s="15" t="s">
        <v>26</v>
      </c>
      <c r="B2114" s="15" t="s">
        <v>354</v>
      </c>
      <c r="C2114" s="16">
        <v>0.34722222222222232</v>
      </c>
      <c r="D2114" s="15" t="s">
        <v>31</v>
      </c>
      <c r="E2114" s="15" t="s">
        <v>82</v>
      </c>
      <c r="F2114" s="15" t="s">
        <v>106</v>
      </c>
      <c r="G2114" s="298"/>
      <c r="H2114" s="10"/>
      <c r="I2114" s="11"/>
      <c r="J2114" s="11"/>
      <c r="K2114" s="11"/>
      <c r="L2114" s="11"/>
      <c r="M2114" s="11"/>
      <c r="N2114" s="11"/>
      <c r="O2114" s="12"/>
      <c r="P2114" s="11"/>
      <c r="Q2114" s="13"/>
      <c r="R2114" s="14"/>
    </row>
    <row r="2115" spans="1:18" ht="15" customHeight="1">
      <c r="A2115" s="15" t="s">
        <v>26</v>
      </c>
      <c r="B2115" s="15" t="s">
        <v>354</v>
      </c>
      <c r="C2115" s="16">
        <v>0.34722222222222232</v>
      </c>
      <c r="D2115" s="15" t="s">
        <v>34</v>
      </c>
      <c r="E2115" s="15" t="s">
        <v>82</v>
      </c>
      <c r="F2115" s="15" t="s">
        <v>478</v>
      </c>
      <c r="G2115" s="298"/>
      <c r="H2115" s="10"/>
      <c r="I2115" s="11"/>
      <c r="J2115" s="11"/>
      <c r="K2115" s="11"/>
      <c r="L2115" s="11"/>
      <c r="M2115" s="11"/>
      <c r="N2115" s="11"/>
      <c r="O2115" s="12"/>
      <c r="P2115" s="11"/>
      <c r="Q2115" s="13"/>
      <c r="R2115" s="14"/>
    </row>
    <row r="2116" spans="1:18" ht="15" customHeight="1">
      <c r="A2116" s="19" t="s">
        <v>402</v>
      </c>
      <c r="B2116" s="19" t="s">
        <v>403</v>
      </c>
      <c r="C2116" s="20">
        <v>0.49305555555555558</v>
      </c>
      <c r="D2116" s="19" t="s">
        <v>63</v>
      </c>
      <c r="E2116" s="19" t="s">
        <v>103</v>
      </c>
      <c r="F2116" s="19" t="s">
        <v>404</v>
      </c>
      <c r="G2116" s="298"/>
      <c r="H2116" s="10"/>
      <c r="I2116" s="11"/>
      <c r="J2116" s="11"/>
      <c r="K2116" s="11"/>
      <c r="L2116" s="11"/>
      <c r="M2116" s="11"/>
      <c r="N2116" s="11"/>
      <c r="O2116" s="12"/>
      <c r="P2116" s="11"/>
      <c r="Q2116" s="13"/>
      <c r="R2116" s="14"/>
    </row>
    <row r="2117" spans="1:18" ht="15" customHeight="1">
      <c r="A2117" s="19" t="s">
        <v>48</v>
      </c>
      <c r="B2117" s="19" t="s">
        <v>396</v>
      </c>
      <c r="C2117" s="20">
        <v>0.48958333333333331</v>
      </c>
      <c r="D2117" s="19" t="s">
        <v>53</v>
      </c>
      <c r="E2117" s="19" t="s">
        <v>29</v>
      </c>
      <c r="F2117" s="19" t="s">
        <v>438</v>
      </c>
      <c r="G2117" s="298"/>
      <c r="H2117" s="10"/>
      <c r="I2117" s="11"/>
      <c r="J2117" s="11"/>
      <c r="K2117" s="11"/>
      <c r="L2117" s="11"/>
      <c r="M2117" s="11"/>
      <c r="N2117" s="11"/>
      <c r="O2117" s="12"/>
      <c r="P2117" s="11"/>
      <c r="Q2117" s="13"/>
      <c r="R2117" s="14"/>
    </row>
    <row r="2118" spans="1:18" ht="15" customHeight="1">
      <c r="A2118" s="17" t="s">
        <v>48</v>
      </c>
      <c r="B2118" s="17" t="s">
        <v>394</v>
      </c>
      <c r="C2118" s="18">
        <v>0.98958333333333337</v>
      </c>
      <c r="D2118" s="17" t="s">
        <v>53</v>
      </c>
      <c r="E2118" s="17" t="s">
        <v>37</v>
      </c>
      <c r="F2118" s="17" t="s">
        <v>399</v>
      </c>
      <c r="G2118" s="298"/>
      <c r="H2118" s="10"/>
      <c r="I2118" s="11"/>
      <c r="J2118" s="11"/>
      <c r="K2118" s="11"/>
      <c r="L2118" s="11"/>
      <c r="M2118" s="11"/>
      <c r="N2118" s="11"/>
      <c r="O2118" s="12"/>
      <c r="P2118" s="11"/>
      <c r="Q2118" s="13"/>
      <c r="R2118" s="14"/>
    </row>
    <row r="2119" spans="1:18" ht="15" customHeight="1">
      <c r="A2119" s="17" t="s">
        <v>48</v>
      </c>
      <c r="B2119" s="17" t="s">
        <v>398</v>
      </c>
      <c r="C2119" s="18">
        <v>0.39930555555555558</v>
      </c>
      <c r="D2119" s="17" t="s">
        <v>53</v>
      </c>
      <c r="E2119" s="17" t="s">
        <v>37</v>
      </c>
      <c r="F2119" s="17" t="s">
        <v>399</v>
      </c>
      <c r="G2119" s="298"/>
      <c r="H2119" s="10"/>
      <c r="I2119" s="11"/>
      <c r="J2119" s="11"/>
      <c r="K2119" s="11"/>
      <c r="L2119" s="11"/>
      <c r="M2119" s="11"/>
      <c r="N2119" s="11"/>
      <c r="O2119" s="12"/>
      <c r="P2119" s="11"/>
      <c r="Q2119" s="13"/>
      <c r="R2119" s="14"/>
    </row>
    <row r="2120" spans="1:18" ht="15" customHeight="1">
      <c r="A2120" s="17" t="s">
        <v>48</v>
      </c>
      <c r="B2120" s="17" t="s">
        <v>397</v>
      </c>
      <c r="C2120" s="18">
        <v>0.88888888888888884</v>
      </c>
      <c r="D2120" s="17" t="s">
        <v>53</v>
      </c>
      <c r="E2120" s="17" t="s">
        <v>37</v>
      </c>
      <c r="F2120" s="17" t="s">
        <v>399</v>
      </c>
      <c r="G2120" s="298"/>
      <c r="H2120" s="10"/>
      <c r="I2120" s="11"/>
      <c r="J2120" s="11"/>
      <c r="K2120" s="11"/>
      <c r="L2120" s="11"/>
      <c r="M2120" s="11"/>
      <c r="N2120" s="11"/>
      <c r="O2120" s="12"/>
      <c r="P2120" s="11"/>
      <c r="Q2120" s="13"/>
      <c r="R2120" s="14"/>
    </row>
    <row r="2121" spans="1:18" ht="15" customHeight="1">
      <c r="A2121" s="17" t="s">
        <v>48</v>
      </c>
      <c r="B2121" s="17" t="s">
        <v>391</v>
      </c>
      <c r="C2121" s="18">
        <v>0.48958333333333331</v>
      </c>
      <c r="D2121" s="17" t="s">
        <v>53</v>
      </c>
      <c r="E2121" s="17" t="s">
        <v>57</v>
      </c>
      <c r="F2121" s="17" t="s">
        <v>490</v>
      </c>
      <c r="G2121" s="298"/>
      <c r="H2121" s="10"/>
      <c r="I2121" s="11"/>
      <c r="J2121" s="11"/>
      <c r="K2121" s="11"/>
      <c r="L2121" s="11"/>
      <c r="M2121" s="11"/>
      <c r="N2121" s="11"/>
      <c r="O2121" s="12"/>
      <c r="P2121" s="11"/>
      <c r="Q2121" s="13"/>
      <c r="R2121" s="14"/>
    </row>
    <row r="2122" spans="1:18" ht="15" customHeight="1">
      <c r="A2122" s="17" t="s">
        <v>48</v>
      </c>
      <c r="B2122" s="17" t="s">
        <v>386</v>
      </c>
      <c r="C2122" s="18">
        <v>0.82986111111111116</v>
      </c>
      <c r="D2122" s="17" t="s">
        <v>53</v>
      </c>
      <c r="E2122" s="17" t="s">
        <v>57</v>
      </c>
      <c r="F2122" s="17" t="s">
        <v>490</v>
      </c>
      <c r="G2122" s="298"/>
      <c r="H2122" s="10"/>
      <c r="I2122" s="11"/>
      <c r="J2122" s="11"/>
      <c r="K2122" s="11"/>
      <c r="L2122" s="11"/>
      <c r="M2122" s="11"/>
      <c r="N2122" s="11"/>
      <c r="O2122" s="12"/>
      <c r="P2122" s="11"/>
      <c r="Q2122" s="13"/>
      <c r="R2122" s="14"/>
    </row>
    <row r="2123" spans="1:18" ht="15" customHeight="1">
      <c r="A2123" s="17" t="s">
        <v>48</v>
      </c>
      <c r="B2123" s="17" t="s">
        <v>388</v>
      </c>
      <c r="C2123" s="18">
        <v>0.72222222222222221</v>
      </c>
      <c r="D2123" s="17" t="s">
        <v>53</v>
      </c>
      <c r="E2123" s="17" t="s">
        <v>57</v>
      </c>
      <c r="F2123" s="17" t="s">
        <v>490</v>
      </c>
      <c r="G2123" s="298"/>
      <c r="H2123" s="10"/>
      <c r="I2123" s="11"/>
      <c r="J2123" s="11"/>
      <c r="K2123" s="11"/>
      <c r="L2123" s="11"/>
      <c r="M2123" s="11"/>
      <c r="N2123" s="11"/>
      <c r="O2123" s="12"/>
      <c r="P2123" s="11"/>
      <c r="Q2123" s="13"/>
      <c r="R2123" s="14"/>
    </row>
    <row r="2124" spans="1:18" ht="15" customHeight="1">
      <c r="A2124" s="17" t="s">
        <v>48</v>
      </c>
      <c r="B2124" s="17" t="s">
        <v>382</v>
      </c>
      <c r="C2124" s="18">
        <v>0.11805555555555559</v>
      </c>
      <c r="D2124" s="17" t="s">
        <v>53</v>
      </c>
      <c r="E2124" s="17" t="s">
        <v>57</v>
      </c>
      <c r="F2124" s="17" t="s">
        <v>490</v>
      </c>
      <c r="G2124" s="298"/>
      <c r="H2124" s="10"/>
      <c r="I2124" s="11"/>
      <c r="J2124" s="11"/>
      <c r="K2124" s="11"/>
      <c r="L2124" s="11"/>
      <c r="M2124" s="11"/>
      <c r="N2124" s="11"/>
      <c r="O2124" s="12"/>
      <c r="P2124" s="11"/>
      <c r="Q2124" s="13"/>
      <c r="R2124" s="14"/>
    </row>
    <row r="2125" spans="1:18" ht="15" customHeight="1">
      <c r="A2125" s="17" t="s">
        <v>48</v>
      </c>
      <c r="B2125" s="17" t="s">
        <v>389</v>
      </c>
      <c r="C2125" s="18">
        <v>0.70486111111111116</v>
      </c>
      <c r="D2125" s="17" t="s">
        <v>53</v>
      </c>
      <c r="E2125" s="17" t="s">
        <v>57</v>
      </c>
      <c r="F2125" s="17" t="s">
        <v>490</v>
      </c>
      <c r="G2125" s="298"/>
      <c r="H2125" s="10"/>
      <c r="I2125" s="11"/>
      <c r="J2125" s="11"/>
      <c r="K2125" s="11"/>
      <c r="L2125" s="11"/>
      <c r="M2125" s="11"/>
      <c r="N2125" s="11"/>
      <c r="O2125" s="12"/>
      <c r="P2125" s="11"/>
      <c r="Q2125" s="13"/>
      <c r="R2125" s="14"/>
    </row>
    <row r="2126" spans="1:18" ht="15" customHeight="1">
      <c r="A2126" s="17" t="s">
        <v>48</v>
      </c>
      <c r="B2126" s="17" t="s">
        <v>400</v>
      </c>
      <c r="C2126" s="18">
        <v>0.25347222222222221</v>
      </c>
      <c r="D2126" s="17" t="s">
        <v>53</v>
      </c>
      <c r="E2126" s="17" t="s">
        <v>57</v>
      </c>
      <c r="F2126" s="17" t="s">
        <v>490</v>
      </c>
      <c r="G2126" s="298"/>
      <c r="H2126" s="10"/>
      <c r="I2126" s="11"/>
      <c r="J2126" s="11"/>
      <c r="K2126" s="11"/>
      <c r="L2126" s="11"/>
      <c r="M2126" s="11"/>
      <c r="N2126" s="11"/>
      <c r="O2126" s="12"/>
      <c r="P2126" s="11"/>
      <c r="Q2126" s="13"/>
      <c r="R2126" s="14"/>
    </row>
    <row r="2127" spans="1:18" ht="15" customHeight="1">
      <c r="A2127" s="17" t="s">
        <v>48</v>
      </c>
      <c r="B2127" s="17" t="s">
        <v>390</v>
      </c>
      <c r="C2127" s="18">
        <v>4.1666666666666657E-2</v>
      </c>
      <c r="D2127" s="17" t="s">
        <v>53</v>
      </c>
      <c r="E2127" s="17" t="s">
        <v>57</v>
      </c>
      <c r="F2127" s="17" t="s">
        <v>490</v>
      </c>
      <c r="G2127" s="298"/>
      <c r="H2127" s="10"/>
      <c r="I2127" s="11"/>
      <c r="J2127" s="11"/>
      <c r="K2127" s="11"/>
      <c r="L2127" s="11"/>
      <c r="M2127" s="11"/>
      <c r="N2127" s="11"/>
      <c r="O2127" s="12"/>
      <c r="P2127" s="11"/>
      <c r="Q2127" s="13"/>
      <c r="R2127" s="14"/>
    </row>
    <row r="2128" spans="1:18" ht="15" customHeight="1">
      <c r="A2128" s="17" t="s">
        <v>48</v>
      </c>
      <c r="B2128" s="17" t="s">
        <v>385</v>
      </c>
      <c r="C2128" s="18">
        <v>0.94097222222222221</v>
      </c>
      <c r="D2128" s="17" t="s">
        <v>53</v>
      </c>
      <c r="E2128" s="17" t="s">
        <v>57</v>
      </c>
      <c r="F2128" s="17" t="s">
        <v>490</v>
      </c>
      <c r="G2128" s="298"/>
      <c r="H2128" s="10"/>
      <c r="I2128" s="11"/>
      <c r="J2128" s="11"/>
      <c r="K2128" s="11"/>
      <c r="L2128" s="11"/>
      <c r="M2128" s="11"/>
      <c r="N2128" s="11"/>
      <c r="O2128" s="12"/>
      <c r="P2128" s="11"/>
      <c r="Q2128" s="13"/>
      <c r="R2128" s="14"/>
    </row>
    <row r="2129" spans="1:18" ht="15" customHeight="1">
      <c r="A2129" s="19" t="s">
        <v>415</v>
      </c>
      <c r="B2129" s="19" t="s">
        <v>416</v>
      </c>
      <c r="C2129" s="20">
        <v>0.11805555555555559</v>
      </c>
      <c r="D2129" s="19" t="s">
        <v>63</v>
      </c>
      <c r="E2129" s="19" t="s">
        <v>51</v>
      </c>
      <c r="F2129" s="19" t="s">
        <v>417</v>
      </c>
      <c r="G2129" s="298"/>
      <c r="H2129" s="10"/>
      <c r="I2129" s="11"/>
      <c r="J2129" s="11"/>
      <c r="K2129" s="11"/>
      <c r="L2129" s="11"/>
      <c r="M2129" s="11"/>
      <c r="N2129" s="11"/>
      <c r="O2129" s="12"/>
      <c r="P2129" s="11"/>
      <c r="Q2129" s="13"/>
      <c r="R2129" s="14"/>
    </row>
    <row r="2130" spans="1:18" ht="15" customHeight="1">
      <c r="A2130" s="17" t="s">
        <v>415</v>
      </c>
      <c r="B2130" s="17" t="s">
        <v>418</v>
      </c>
      <c r="C2130" s="18">
        <v>0.4201388888888889</v>
      </c>
      <c r="D2130" s="17" t="s">
        <v>63</v>
      </c>
      <c r="E2130" s="17" t="s">
        <v>57</v>
      </c>
      <c r="F2130" s="17" t="s">
        <v>417</v>
      </c>
      <c r="G2130" s="298"/>
      <c r="H2130" s="10"/>
      <c r="I2130" s="11"/>
      <c r="J2130" s="11"/>
      <c r="K2130" s="11"/>
      <c r="L2130" s="11"/>
      <c r="M2130" s="11"/>
      <c r="N2130" s="11"/>
      <c r="O2130" s="12"/>
      <c r="P2130" s="11"/>
      <c r="Q2130" s="13"/>
      <c r="R2130" s="14"/>
    </row>
    <row r="2131" spans="1:18" ht="15" customHeight="1">
      <c r="A2131" s="19" t="s">
        <v>68</v>
      </c>
      <c r="B2131" s="19" t="s">
        <v>405</v>
      </c>
      <c r="C2131" s="20">
        <v>0.83680555555555547</v>
      </c>
      <c r="D2131" s="19" t="s">
        <v>70</v>
      </c>
      <c r="E2131" s="19" t="s">
        <v>51</v>
      </c>
      <c r="F2131" s="19" t="s">
        <v>524</v>
      </c>
      <c r="G2131" s="298"/>
      <c r="H2131" s="10"/>
      <c r="I2131" s="11"/>
      <c r="J2131" s="11"/>
      <c r="K2131" s="11"/>
      <c r="L2131" s="11"/>
      <c r="M2131" s="11"/>
      <c r="N2131" s="11"/>
      <c r="O2131" s="12"/>
      <c r="P2131" s="11"/>
      <c r="Q2131" s="13"/>
      <c r="R2131" s="14"/>
    </row>
    <row r="2132" spans="1:18" ht="15" customHeight="1">
      <c r="A2132" s="17" t="s">
        <v>68</v>
      </c>
      <c r="B2132" s="17" t="s">
        <v>407</v>
      </c>
      <c r="C2132" s="18">
        <v>0.3125</v>
      </c>
      <c r="D2132" s="17" t="s">
        <v>70</v>
      </c>
      <c r="E2132" s="17" t="s">
        <v>57</v>
      </c>
      <c r="F2132" s="17" t="s">
        <v>524</v>
      </c>
      <c r="G2132" s="298"/>
      <c r="H2132" s="10"/>
      <c r="I2132" s="11"/>
      <c r="J2132" s="11"/>
      <c r="K2132" s="11"/>
      <c r="L2132" s="11"/>
      <c r="M2132" s="11"/>
      <c r="N2132" s="11"/>
      <c r="O2132" s="12"/>
      <c r="P2132" s="11"/>
      <c r="Q2132" s="13"/>
      <c r="R2132" s="14"/>
    </row>
    <row r="2133" spans="1:18" ht="15" customHeight="1">
      <c r="A2133" s="17" t="s">
        <v>68</v>
      </c>
      <c r="B2133" s="17" t="s">
        <v>408</v>
      </c>
      <c r="C2133" s="18">
        <v>0.97222222222222221</v>
      </c>
      <c r="D2133" s="17" t="s">
        <v>70</v>
      </c>
      <c r="E2133" s="17" t="s">
        <v>57</v>
      </c>
      <c r="F2133" s="17" t="s">
        <v>524</v>
      </c>
      <c r="G2133" s="298"/>
      <c r="H2133" s="10"/>
      <c r="I2133" s="11"/>
      <c r="J2133" s="11"/>
      <c r="K2133" s="11"/>
      <c r="L2133" s="11"/>
      <c r="M2133" s="11"/>
      <c r="N2133" s="11"/>
      <c r="O2133" s="12"/>
      <c r="P2133" s="11"/>
      <c r="Q2133" s="13"/>
      <c r="R2133" s="14"/>
    </row>
    <row r="2134" spans="1:18" ht="15" customHeight="1">
      <c r="A2134" s="17" t="s">
        <v>68</v>
      </c>
      <c r="B2134" s="17" t="s">
        <v>409</v>
      </c>
      <c r="C2134" s="18">
        <v>0.34027777777777768</v>
      </c>
      <c r="D2134" s="17" t="s">
        <v>70</v>
      </c>
      <c r="E2134" s="17" t="s">
        <v>57</v>
      </c>
      <c r="F2134" s="17" t="s">
        <v>524</v>
      </c>
      <c r="G2134" s="298"/>
      <c r="H2134" s="10"/>
      <c r="I2134" s="11"/>
      <c r="J2134" s="11"/>
      <c r="K2134" s="11"/>
      <c r="L2134" s="11"/>
      <c r="M2134" s="11"/>
      <c r="N2134" s="11"/>
      <c r="O2134" s="12"/>
      <c r="P2134" s="11"/>
      <c r="Q2134" s="13"/>
      <c r="R2134" s="14"/>
    </row>
    <row r="2135" spans="1:18" ht="15" customHeight="1">
      <c r="A2135" s="17" t="s">
        <v>68</v>
      </c>
      <c r="B2135" s="17" t="s">
        <v>411</v>
      </c>
      <c r="C2135" s="18">
        <v>0.78472222222222221</v>
      </c>
      <c r="D2135" s="17" t="s">
        <v>70</v>
      </c>
      <c r="E2135" s="17" t="s">
        <v>57</v>
      </c>
      <c r="F2135" s="17" t="s">
        <v>524</v>
      </c>
      <c r="G2135" s="298"/>
      <c r="H2135" s="10"/>
      <c r="I2135" s="11"/>
      <c r="J2135" s="11"/>
      <c r="K2135" s="11"/>
      <c r="L2135" s="11"/>
      <c r="M2135" s="11"/>
      <c r="N2135" s="11"/>
      <c r="O2135" s="12"/>
      <c r="P2135" s="11"/>
      <c r="Q2135" s="13"/>
      <c r="R2135" s="14"/>
    </row>
    <row r="2136" spans="1:18" ht="15" customHeight="1" thickBot="1">
      <c r="A2136" s="30" t="s">
        <v>68</v>
      </c>
      <c r="B2136" s="30" t="s">
        <v>413</v>
      </c>
      <c r="C2136" s="31">
        <v>4.8611111111111112E-2</v>
      </c>
      <c r="D2136" s="30" t="s">
        <v>70</v>
      </c>
      <c r="E2136" s="30" t="s">
        <v>57</v>
      </c>
      <c r="F2136" s="30" t="s">
        <v>524</v>
      </c>
      <c r="G2136" s="299"/>
      <c r="H2136" s="300"/>
      <c r="I2136" s="140"/>
      <c r="J2136" s="140"/>
      <c r="K2136" s="140"/>
      <c r="L2136" s="140"/>
      <c r="M2136" s="140"/>
      <c r="N2136" s="140"/>
      <c r="O2136" s="141"/>
      <c r="P2136" s="140"/>
      <c r="Q2136" s="142"/>
      <c r="R2136" s="301"/>
    </row>
    <row r="2137" spans="1:18" ht="17.45" customHeight="1" thickBot="1">
      <c r="A2137" s="283"/>
      <c r="B2137" s="284"/>
      <c r="C2137" s="284"/>
      <c r="D2137" s="284"/>
      <c r="E2137" s="284"/>
      <c r="F2137" s="284"/>
      <c r="G2137" s="284"/>
      <c r="H2137" s="284"/>
      <c r="I2137" s="284"/>
      <c r="J2137" s="284"/>
      <c r="K2137" s="284"/>
      <c r="L2137" s="284"/>
      <c r="M2137" s="284"/>
      <c r="N2137" s="284"/>
      <c r="O2137" s="284"/>
      <c r="P2137" s="284"/>
      <c r="Q2137" s="284"/>
      <c r="R2137" s="285"/>
    </row>
    <row r="2138" spans="1:18" ht="22.15" customHeight="1" thickTop="1" thickBot="1">
      <c r="A2138" s="279" t="s">
        <v>6</v>
      </c>
      <c r="B2138" s="295"/>
      <c r="C2138" s="295"/>
      <c r="D2138" s="295"/>
      <c r="E2138" s="295"/>
      <c r="F2138" s="296"/>
      <c r="G2138" s="32">
        <v>46052</v>
      </c>
      <c r="H2138" s="278" t="s">
        <v>7</v>
      </c>
      <c r="I2138" s="295"/>
      <c r="J2138" s="295"/>
      <c r="K2138" s="295"/>
      <c r="L2138" s="295"/>
      <c r="M2138" s="295"/>
      <c r="N2138" s="295"/>
      <c r="O2138" s="295"/>
      <c r="P2138" s="295"/>
      <c r="Q2138" s="295"/>
      <c r="R2138" s="296"/>
    </row>
    <row r="2139" spans="1:18" ht="24" customHeight="1">
      <c r="A2139" s="33" t="s">
        <v>8</v>
      </c>
      <c r="B2139" s="33" t="s">
        <v>9</v>
      </c>
      <c r="C2139" s="34" t="s">
        <v>10</v>
      </c>
      <c r="D2139" s="33" t="s">
        <v>11</v>
      </c>
      <c r="E2139" s="33" t="s">
        <v>12</v>
      </c>
      <c r="F2139" s="35" t="s">
        <v>13</v>
      </c>
      <c r="G2139" s="36" t="s">
        <v>14</v>
      </c>
      <c r="H2139" s="33" t="s">
        <v>15</v>
      </c>
      <c r="I2139" s="37" t="s">
        <v>16</v>
      </c>
      <c r="J2139" s="38" t="s">
        <v>17</v>
      </c>
      <c r="K2139" s="39" t="s">
        <v>18</v>
      </c>
      <c r="L2139" s="38" t="s">
        <v>19</v>
      </c>
      <c r="M2139" s="38" t="s">
        <v>20</v>
      </c>
      <c r="N2139" s="38" t="s">
        <v>21</v>
      </c>
      <c r="O2139" s="33" t="s">
        <v>22</v>
      </c>
      <c r="P2139" s="34" t="s">
        <v>23</v>
      </c>
      <c r="Q2139" s="38" t="s">
        <v>24</v>
      </c>
      <c r="R2139" s="33" t="s">
        <v>25</v>
      </c>
    </row>
    <row r="2140" spans="1:18" ht="15" customHeight="1">
      <c r="A2140" s="8" t="s">
        <v>38</v>
      </c>
      <c r="B2140" s="8" t="s">
        <v>342</v>
      </c>
      <c r="C2140" s="9">
        <v>0.48958333333333331</v>
      </c>
      <c r="D2140" s="8" t="s">
        <v>40</v>
      </c>
      <c r="E2140" s="8" t="s">
        <v>192</v>
      </c>
      <c r="F2140" s="8" t="s">
        <v>81</v>
      </c>
      <c r="G2140" s="302"/>
      <c r="H2140" s="10"/>
      <c r="I2140" s="11"/>
      <c r="J2140" s="11"/>
      <c r="K2140" s="11"/>
      <c r="L2140" s="11"/>
      <c r="M2140" s="11"/>
      <c r="N2140" s="11"/>
      <c r="O2140" s="12"/>
      <c r="P2140" s="11"/>
      <c r="Q2140" s="13"/>
      <c r="R2140" s="14"/>
    </row>
    <row r="2141" spans="1:18" ht="15" customHeight="1">
      <c r="A2141" s="15" t="s">
        <v>38</v>
      </c>
      <c r="B2141" s="15" t="s">
        <v>342</v>
      </c>
      <c r="C2141" s="16">
        <v>0.48958333333333331</v>
      </c>
      <c r="D2141" s="15" t="s">
        <v>43</v>
      </c>
      <c r="E2141" s="15" t="s">
        <v>193</v>
      </c>
      <c r="F2141" s="15" t="s">
        <v>161</v>
      </c>
      <c r="G2141" s="298"/>
      <c r="H2141" s="10"/>
      <c r="I2141" s="11"/>
      <c r="J2141" s="11"/>
      <c r="K2141" s="11"/>
      <c r="L2141" s="11"/>
      <c r="M2141" s="11"/>
      <c r="N2141" s="11"/>
      <c r="O2141" s="12"/>
      <c r="P2141" s="11"/>
      <c r="Q2141" s="13"/>
      <c r="R2141" s="14"/>
    </row>
    <row r="2142" spans="1:18" ht="15" customHeight="1">
      <c r="A2142" s="15" t="s">
        <v>38</v>
      </c>
      <c r="B2142" s="15" t="s">
        <v>342</v>
      </c>
      <c r="C2142" s="16">
        <v>0.48958333333333331</v>
      </c>
      <c r="D2142" s="15" t="s">
        <v>46</v>
      </c>
      <c r="E2142" s="15" t="s">
        <v>193</v>
      </c>
      <c r="F2142" s="15" t="s">
        <v>47</v>
      </c>
      <c r="G2142" s="298"/>
      <c r="H2142" s="10"/>
      <c r="I2142" s="11"/>
      <c r="J2142" s="11"/>
      <c r="K2142" s="11"/>
      <c r="L2142" s="11"/>
      <c r="M2142" s="11"/>
      <c r="N2142" s="11"/>
      <c r="O2142" s="12"/>
      <c r="P2142" s="11"/>
      <c r="Q2142" s="13"/>
      <c r="R2142" s="14"/>
    </row>
    <row r="2143" spans="1:18" ht="15" customHeight="1">
      <c r="A2143" s="17" t="s">
        <v>38</v>
      </c>
      <c r="B2143" s="17" t="s">
        <v>346</v>
      </c>
      <c r="C2143" s="18">
        <v>0.39930555555555558</v>
      </c>
      <c r="D2143" s="17" t="s">
        <v>40</v>
      </c>
      <c r="E2143" s="17" t="s">
        <v>125</v>
      </c>
      <c r="F2143" s="17" t="s">
        <v>347</v>
      </c>
      <c r="G2143" s="298"/>
      <c r="H2143" s="10"/>
      <c r="I2143" s="11"/>
      <c r="J2143" s="11"/>
      <c r="K2143" s="11"/>
      <c r="L2143" s="11"/>
      <c r="M2143" s="11"/>
      <c r="N2143" s="11"/>
      <c r="O2143" s="12"/>
      <c r="P2143" s="11"/>
      <c r="Q2143" s="13"/>
      <c r="R2143" s="14"/>
    </row>
    <row r="2144" spans="1:18" ht="15" customHeight="1">
      <c r="A2144" s="15" t="s">
        <v>38</v>
      </c>
      <c r="B2144" s="15" t="s">
        <v>346</v>
      </c>
      <c r="C2144" s="16">
        <v>0.39930555555555558</v>
      </c>
      <c r="D2144" s="15" t="s">
        <v>43</v>
      </c>
      <c r="E2144" s="15" t="s">
        <v>44</v>
      </c>
      <c r="F2144" s="15" t="s">
        <v>138</v>
      </c>
      <c r="G2144" s="298"/>
      <c r="H2144" s="10"/>
      <c r="I2144" s="11"/>
      <c r="J2144" s="11"/>
      <c r="K2144" s="11"/>
      <c r="L2144" s="11"/>
      <c r="M2144" s="11"/>
      <c r="N2144" s="11"/>
      <c r="O2144" s="12"/>
      <c r="P2144" s="11"/>
      <c r="Q2144" s="13"/>
      <c r="R2144" s="14"/>
    </row>
    <row r="2145" spans="1:18" ht="15" customHeight="1">
      <c r="A2145" s="15" t="s">
        <v>38</v>
      </c>
      <c r="B2145" s="15" t="s">
        <v>346</v>
      </c>
      <c r="C2145" s="16">
        <v>0.39930555555555558</v>
      </c>
      <c r="D2145" s="15" t="s">
        <v>46</v>
      </c>
      <c r="E2145" s="15" t="s">
        <v>44</v>
      </c>
      <c r="F2145" s="15" t="s">
        <v>47</v>
      </c>
      <c r="G2145" s="298"/>
      <c r="H2145" s="10"/>
      <c r="I2145" s="11"/>
      <c r="J2145" s="11"/>
      <c r="K2145" s="11"/>
      <c r="L2145" s="11"/>
      <c r="M2145" s="11"/>
      <c r="N2145" s="11"/>
      <c r="O2145" s="12"/>
      <c r="P2145" s="11"/>
      <c r="Q2145" s="13"/>
      <c r="R2145" s="14"/>
    </row>
    <row r="2146" spans="1:18" ht="15" customHeight="1">
      <c r="A2146" s="17" t="s">
        <v>38</v>
      </c>
      <c r="B2146" s="17" t="s">
        <v>344</v>
      </c>
      <c r="C2146" s="18">
        <v>0.88888888888888884</v>
      </c>
      <c r="D2146" s="17" t="s">
        <v>40</v>
      </c>
      <c r="E2146" s="17" t="s">
        <v>125</v>
      </c>
      <c r="F2146" s="17" t="s">
        <v>347</v>
      </c>
      <c r="G2146" s="298"/>
      <c r="H2146" s="10"/>
      <c r="I2146" s="11"/>
      <c r="J2146" s="11"/>
      <c r="K2146" s="11"/>
      <c r="L2146" s="11"/>
      <c r="M2146" s="11"/>
      <c r="N2146" s="11"/>
      <c r="O2146" s="12"/>
      <c r="P2146" s="11"/>
      <c r="Q2146" s="13"/>
      <c r="R2146" s="14"/>
    </row>
    <row r="2147" spans="1:18" ht="15" customHeight="1">
      <c r="A2147" s="15" t="s">
        <v>38</v>
      </c>
      <c r="B2147" s="15" t="s">
        <v>344</v>
      </c>
      <c r="C2147" s="16">
        <v>0.88888888888888884</v>
      </c>
      <c r="D2147" s="15" t="s">
        <v>43</v>
      </c>
      <c r="E2147" s="15" t="s">
        <v>44</v>
      </c>
      <c r="F2147" s="15" t="s">
        <v>138</v>
      </c>
      <c r="G2147" s="298"/>
      <c r="H2147" s="10"/>
      <c r="I2147" s="11"/>
      <c r="J2147" s="11"/>
      <c r="K2147" s="11"/>
      <c r="L2147" s="11"/>
      <c r="M2147" s="11"/>
      <c r="N2147" s="11"/>
      <c r="O2147" s="12"/>
      <c r="P2147" s="11"/>
      <c r="Q2147" s="13"/>
      <c r="R2147" s="14"/>
    </row>
    <row r="2148" spans="1:18" ht="15" customHeight="1">
      <c r="A2148" s="15" t="s">
        <v>38</v>
      </c>
      <c r="B2148" s="15" t="s">
        <v>344</v>
      </c>
      <c r="C2148" s="16">
        <v>0.88888888888888884</v>
      </c>
      <c r="D2148" s="15" t="s">
        <v>46</v>
      </c>
      <c r="E2148" s="15" t="s">
        <v>44</v>
      </c>
      <c r="F2148" s="15" t="s">
        <v>47</v>
      </c>
      <c r="G2148" s="298"/>
      <c r="H2148" s="10"/>
      <c r="I2148" s="11"/>
      <c r="J2148" s="11"/>
      <c r="K2148" s="11"/>
      <c r="L2148" s="11"/>
      <c r="M2148" s="11"/>
      <c r="N2148" s="11"/>
      <c r="O2148" s="12"/>
      <c r="P2148" s="11"/>
      <c r="Q2148" s="13"/>
      <c r="R2148" s="14"/>
    </row>
    <row r="2149" spans="1:18" ht="15" customHeight="1">
      <c r="A2149" s="17" t="s">
        <v>38</v>
      </c>
      <c r="B2149" s="17" t="s">
        <v>345</v>
      </c>
      <c r="C2149" s="18">
        <v>0.98958333333333337</v>
      </c>
      <c r="D2149" s="17" t="s">
        <v>40</v>
      </c>
      <c r="E2149" s="17" t="s">
        <v>125</v>
      </c>
      <c r="F2149" s="17" t="s">
        <v>347</v>
      </c>
      <c r="G2149" s="298"/>
      <c r="H2149" s="10"/>
      <c r="I2149" s="11"/>
      <c r="J2149" s="11"/>
      <c r="K2149" s="11"/>
      <c r="L2149" s="11"/>
      <c r="M2149" s="11"/>
      <c r="N2149" s="11"/>
      <c r="O2149" s="12"/>
      <c r="P2149" s="11"/>
      <c r="Q2149" s="13"/>
      <c r="R2149" s="14"/>
    </row>
    <row r="2150" spans="1:18" ht="15" customHeight="1">
      <c r="A2150" s="15" t="s">
        <v>38</v>
      </c>
      <c r="B2150" s="15" t="s">
        <v>345</v>
      </c>
      <c r="C2150" s="16">
        <v>0.98958333333333337</v>
      </c>
      <c r="D2150" s="15" t="s">
        <v>43</v>
      </c>
      <c r="E2150" s="15" t="s">
        <v>44</v>
      </c>
      <c r="F2150" s="15" t="s">
        <v>138</v>
      </c>
      <c r="G2150" s="298"/>
      <c r="H2150" s="10"/>
      <c r="I2150" s="11"/>
      <c r="J2150" s="11"/>
      <c r="K2150" s="11"/>
      <c r="L2150" s="11"/>
      <c r="M2150" s="11"/>
      <c r="N2150" s="11"/>
      <c r="O2150" s="12"/>
      <c r="P2150" s="11"/>
      <c r="Q2150" s="13"/>
      <c r="R2150" s="14"/>
    </row>
    <row r="2151" spans="1:18" ht="15" customHeight="1">
      <c r="A2151" s="15" t="s">
        <v>38</v>
      </c>
      <c r="B2151" s="15" t="s">
        <v>345</v>
      </c>
      <c r="C2151" s="16">
        <v>0.98958333333333337</v>
      </c>
      <c r="D2151" s="15" t="s">
        <v>46</v>
      </c>
      <c r="E2151" s="15" t="s">
        <v>44</v>
      </c>
      <c r="F2151" s="15" t="s">
        <v>47</v>
      </c>
      <c r="G2151" s="298"/>
      <c r="H2151" s="10"/>
      <c r="I2151" s="11"/>
      <c r="J2151" s="11"/>
      <c r="K2151" s="11"/>
      <c r="L2151" s="11"/>
      <c r="M2151" s="11"/>
      <c r="N2151" s="11"/>
      <c r="O2151" s="12"/>
      <c r="P2151" s="11"/>
      <c r="Q2151" s="13"/>
      <c r="R2151" s="14"/>
    </row>
    <row r="2152" spans="1:18" ht="15" customHeight="1">
      <c r="A2152" s="19" t="s">
        <v>359</v>
      </c>
      <c r="B2152" s="19" t="s">
        <v>422</v>
      </c>
      <c r="C2152" s="20">
        <v>0.80902777777777779</v>
      </c>
      <c r="D2152" s="19" t="s">
        <v>361</v>
      </c>
      <c r="E2152" s="19" t="s">
        <v>80</v>
      </c>
      <c r="F2152" s="19" t="s">
        <v>534</v>
      </c>
      <c r="G2152" s="298"/>
      <c r="H2152" s="10"/>
      <c r="I2152" s="11"/>
      <c r="J2152" s="11"/>
      <c r="K2152" s="11"/>
      <c r="L2152" s="11"/>
      <c r="M2152" s="11"/>
      <c r="N2152" s="11"/>
      <c r="O2152" s="12"/>
      <c r="P2152" s="11"/>
      <c r="Q2152" s="13"/>
      <c r="R2152" s="14"/>
    </row>
    <row r="2153" spans="1:18" ht="15" customHeight="1">
      <c r="A2153" s="15" t="s">
        <v>359</v>
      </c>
      <c r="B2153" s="15" t="s">
        <v>422</v>
      </c>
      <c r="C2153" s="16">
        <v>0.80902777777777779</v>
      </c>
      <c r="D2153" s="15" t="s">
        <v>46</v>
      </c>
      <c r="E2153" s="15" t="s">
        <v>82</v>
      </c>
      <c r="F2153" s="15" t="s">
        <v>535</v>
      </c>
      <c r="G2153" s="298"/>
      <c r="H2153" s="10"/>
      <c r="I2153" s="11"/>
      <c r="J2153" s="11"/>
      <c r="K2153" s="11"/>
      <c r="L2153" s="11"/>
      <c r="M2153" s="11"/>
      <c r="N2153" s="11"/>
      <c r="O2153" s="12"/>
      <c r="P2153" s="11"/>
      <c r="Q2153" s="13"/>
      <c r="R2153" s="14"/>
    </row>
    <row r="2154" spans="1:18" ht="15" customHeight="1">
      <c r="A2154" s="17" t="s">
        <v>359</v>
      </c>
      <c r="B2154" s="17" t="s">
        <v>360</v>
      </c>
      <c r="C2154" s="18">
        <v>0.22569444444444439</v>
      </c>
      <c r="D2154" s="17" t="s">
        <v>361</v>
      </c>
      <c r="E2154" s="17" t="s">
        <v>90</v>
      </c>
      <c r="F2154" s="17" t="s">
        <v>534</v>
      </c>
      <c r="G2154" s="298"/>
      <c r="H2154" s="10"/>
      <c r="I2154" s="11"/>
      <c r="J2154" s="11"/>
      <c r="K2154" s="11"/>
      <c r="L2154" s="11"/>
      <c r="M2154" s="11"/>
      <c r="N2154" s="11"/>
      <c r="O2154" s="12"/>
      <c r="P2154" s="11"/>
      <c r="Q2154" s="13"/>
      <c r="R2154" s="14"/>
    </row>
    <row r="2155" spans="1:18" ht="15" customHeight="1">
      <c r="A2155" s="15" t="s">
        <v>359</v>
      </c>
      <c r="B2155" s="15" t="s">
        <v>360</v>
      </c>
      <c r="C2155" s="16">
        <v>0.22569444444444439</v>
      </c>
      <c r="D2155" s="15" t="s">
        <v>46</v>
      </c>
      <c r="E2155" s="15" t="s">
        <v>82</v>
      </c>
      <c r="F2155" s="15" t="s">
        <v>535</v>
      </c>
      <c r="G2155" s="298"/>
      <c r="H2155" s="10"/>
      <c r="I2155" s="11"/>
      <c r="J2155" s="11"/>
      <c r="K2155" s="11"/>
      <c r="L2155" s="11"/>
      <c r="M2155" s="11"/>
      <c r="N2155" s="11"/>
      <c r="O2155" s="12"/>
      <c r="P2155" s="11"/>
      <c r="Q2155" s="13"/>
      <c r="R2155" s="14"/>
    </row>
    <row r="2156" spans="1:18" ht="15" customHeight="1">
      <c r="A2156" s="17" t="s">
        <v>359</v>
      </c>
      <c r="B2156" s="17" t="s">
        <v>425</v>
      </c>
      <c r="C2156" s="18">
        <v>0.51041666666666663</v>
      </c>
      <c r="D2156" s="17" t="s">
        <v>361</v>
      </c>
      <c r="E2156" s="17" t="s">
        <v>90</v>
      </c>
      <c r="F2156" s="17" t="s">
        <v>534</v>
      </c>
      <c r="G2156" s="298"/>
      <c r="H2156" s="10"/>
      <c r="I2156" s="11"/>
      <c r="J2156" s="11"/>
      <c r="K2156" s="11"/>
      <c r="L2156" s="11"/>
      <c r="M2156" s="11"/>
      <c r="N2156" s="11"/>
      <c r="O2156" s="12"/>
      <c r="P2156" s="11"/>
      <c r="Q2156" s="13"/>
      <c r="R2156" s="14"/>
    </row>
    <row r="2157" spans="1:18" ht="15" customHeight="1">
      <c r="A2157" s="15" t="s">
        <v>359</v>
      </c>
      <c r="B2157" s="15" t="s">
        <v>425</v>
      </c>
      <c r="C2157" s="16">
        <v>0.51041666666666663</v>
      </c>
      <c r="D2157" s="15" t="s">
        <v>46</v>
      </c>
      <c r="E2157" s="15" t="s">
        <v>82</v>
      </c>
      <c r="F2157" s="15" t="s">
        <v>535</v>
      </c>
      <c r="G2157" s="298"/>
      <c r="H2157" s="10"/>
      <c r="I2157" s="11"/>
      <c r="J2157" s="11"/>
      <c r="K2157" s="11"/>
      <c r="L2157" s="11"/>
      <c r="M2157" s="11"/>
      <c r="N2157" s="11"/>
      <c r="O2157" s="12"/>
      <c r="P2157" s="11"/>
      <c r="Q2157" s="13"/>
      <c r="R2157" s="14"/>
    </row>
    <row r="2158" spans="1:18" ht="15" customHeight="1">
      <c r="A2158" s="58" t="s">
        <v>61</v>
      </c>
      <c r="B2158" s="58" t="s">
        <v>428</v>
      </c>
      <c r="C2158" s="59">
        <v>0.55902777777777779</v>
      </c>
      <c r="D2158" s="58" t="s">
        <v>63</v>
      </c>
      <c r="E2158" s="58" t="s">
        <v>143</v>
      </c>
      <c r="F2158" s="58" t="s">
        <v>365</v>
      </c>
      <c r="G2158" s="298"/>
      <c r="H2158" s="60" t="s">
        <v>429</v>
      </c>
      <c r="I2158" s="61">
        <v>2.2200000000000001E-2</v>
      </c>
      <c r="J2158" s="62">
        <v>4</v>
      </c>
      <c r="K2158" s="63">
        <v>46344</v>
      </c>
      <c r="L2158" s="62">
        <v>4</v>
      </c>
      <c r="M2158" s="62">
        <v>0</v>
      </c>
      <c r="N2158" s="62">
        <v>0</v>
      </c>
      <c r="O2158" s="64" t="s">
        <v>367</v>
      </c>
      <c r="P2158" s="65">
        <v>0.55902777777777779</v>
      </c>
      <c r="Q2158" s="62">
        <v>180</v>
      </c>
      <c r="R2158" s="66" t="s">
        <v>368</v>
      </c>
    </row>
    <row r="2159" spans="1:18" ht="15" customHeight="1">
      <c r="A2159" s="148" t="s">
        <v>61</v>
      </c>
      <c r="B2159" s="148" t="s">
        <v>377</v>
      </c>
      <c r="C2159" s="149">
        <v>0.28125</v>
      </c>
      <c r="D2159" s="148" t="s">
        <v>63</v>
      </c>
      <c r="E2159" s="148" t="s">
        <v>134</v>
      </c>
      <c r="F2159" s="148" t="s">
        <v>365</v>
      </c>
      <c r="G2159" s="298"/>
      <c r="H2159" s="51" t="s">
        <v>378</v>
      </c>
      <c r="I2159" s="52">
        <v>2.7799999999999998E-2</v>
      </c>
      <c r="J2159" s="53">
        <v>5</v>
      </c>
      <c r="K2159" s="54">
        <v>46334</v>
      </c>
      <c r="L2159" s="53">
        <v>5</v>
      </c>
      <c r="M2159" s="53">
        <v>0</v>
      </c>
      <c r="N2159" s="53">
        <v>0</v>
      </c>
      <c r="O2159" s="55" t="s">
        <v>430</v>
      </c>
      <c r="P2159" s="56">
        <v>0.28125</v>
      </c>
      <c r="Q2159" s="53">
        <v>180</v>
      </c>
      <c r="R2159" s="57" t="s">
        <v>431</v>
      </c>
    </row>
    <row r="2160" spans="1:18" ht="15" customHeight="1">
      <c r="A2160" s="162" t="s">
        <v>61</v>
      </c>
      <c r="B2160" s="162" t="s">
        <v>379</v>
      </c>
      <c r="C2160" s="163">
        <v>0.4375</v>
      </c>
      <c r="D2160" s="162" t="s">
        <v>63</v>
      </c>
      <c r="E2160" s="162" t="s">
        <v>134</v>
      </c>
      <c r="F2160" s="162" t="s">
        <v>365</v>
      </c>
      <c r="G2160" s="298"/>
      <c r="H2160" s="60" t="s">
        <v>380</v>
      </c>
      <c r="I2160" s="61">
        <v>0.05</v>
      </c>
      <c r="J2160" s="62">
        <v>9</v>
      </c>
      <c r="K2160" s="63">
        <v>46341</v>
      </c>
      <c r="L2160" s="62">
        <v>9</v>
      </c>
      <c r="M2160" s="62">
        <v>0</v>
      </c>
      <c r="N2160" s="62">
        <v>0</v>
      </c>
      <c r="O2160" s="64" t="s">
        <v>430</v>
      </c>
      <c r="P2160" s="65">
        <v>0.4375</v>
      </c>
      <c r="Q2160" s="62">
        <v>180</v>
      </c>
      <c r="R2160" s="66" t="s">
        <v>551</v>
      </c>
    </row>
    <row r="2161" spans="1:18" ht="15" customHeight="1">
      <c r="A2161" s="156" t="s">
        <v>61</v>
      </c>
      <c r="B2161" s="156" t="s">
        <v>432</v>
      </c>
      <c r="C2161" s="157">
        <v>0.76041666666666663</v>
      </c>
      <c r="D2161" s="156" t="s">
        <v>63</v>
      </c>
      <c r="E2161" s="156" t="s">
        <v>98</v>
      </c>
      <c r="F2161" s="156" t="s">
        <v>79</v>
      </c>
      <c r="G2161" s="298"/>
      <c r="H2161" s="42" t="s">
        <v>433</v>
      </c>
      <c r="I2161" s="43">
        <v>4.4400000000000002E-2</v>
      </c>
      <c r="J2161" s="44">
        <v>8</v>
      </c>
      <c r="K2161" s="45">
        <v>46337</v>
      </c>
      <c r="L2161" s="44">
        <v>8</v>
      </c>
      <c r="M2161" s="44">
        <v>0</v>
      </c>
      <c r="N2161" s="44">
        <v>0</v>
      </c>
      <c r="O2161" s="46" t="s">
        <v>306</v>
      </c>
      <c r="P2161" s="47">
        <v>0.76041666666666663</v>
      </c>
      <c r="Q2161" s="44">
        <v>180</v>
      </c>
      <c r="R2161" s="48" t="s">
        <v>495</v>
      </c>
    </row>
    <row r="2162" spans="1:18" ht="15" customHeight="1">
      <c r="A2162" s="154" t="s">
        <v>61</v>
      </c>
      <c r="B2162" s="154" t="s">
        <v>375</v>
      </c>
      <c r="C2162" s="155">
        <v>0.1423611111111111</v>
      </c>
      <c r="D2162" s="154" t="s">
        <v>63</v>
      </c>
      <c r="E2162" s="154" t="s">
        <v>372</v>
      </c>
      <c r="F2162" s="154" t="s">
        <v>79</v>
      </c>
      <c r="G2162" s="298"/>
      <c r="H2162" s="69" t="s">
        <v>376</v>
      </c>
      <c r="I2162" s="70">
        <v>3.8899999999999997E-2</v>
      </c>
      <c r="J2162" s="71">
        <v>7</v>
      </c>
      <c r="K2162" s="72">
        <v>46307</v>
      </c>
      <c r="L2162" s="71">
        <v>7</v>
      </c>
      <c r="M2162" s="71">
        <v>0</v>
      </c>
      <c r="N2162" s="71">
        <v>0</v>
      </c>
      <c r="O2162" s="73" t="s">
        <v>305</v>
      </c>
      <c r="P2162" s="74">
        <v>0.1423611111111111</v>
      </c>
      <c r="Q2162" s="71">
        <v>180</v>
      </c>
      <c r="R2162" s="75" t="s">
        <v>552</v>
      </c>
    </row>
    <row r="2163" spans="1:18" ht="15" customHeight="1">
      <c r="A2163" s="19" t="s">
        <v>26</v>
      </c>
      <c r="B2163" s="19" t="s">
        <v>348</v>
      </c>
      <c r="C2163" s="20">
        <v>0.99305555555555547</v>
      </c>
      <c r="D2163" s="19" t="s">
        <v>28</v>
      </c>
      <c r="E2163" s="19" t="s">
        <v>126</v>
      </c>
      <c r="F2163" s="19" t="s">
        <v>83</v>
      </c>
      <c r="G2163" s="298"/>
      <c r="H2163" s="10"/>
      <c r="I2163" s="11"/>
      <c r="J2163" s="11"/>
      <c r="K2163" s="11"/>
      <c r="L2163" s="11"/>
      <c r="M2163" s="11"/>
      <c r="N2163" s="11"/>
      <c r="O2163" s="12"/>
      <c r="P2163" s="11"/>
      <c r="Q2163" s="13"/>
      <c r="R2163" s="14"/>
    </row>
    <row r="2164" spans="1:18" ht="15" customHeight="1">
      <c r="A2164" s="15" t="s">
        <v>26</v>
      </c>
      <c r="B2164" s="15" t="s">
        <v>348</v>
      </c>
      <c r="C2164" s="16">
        <v>0.99305555555555547</v>
      </c>
      <c r="D2164" s="15" t="s">
        <v>31</v>
      </c>
      <c r="E2164" s="15" t="s">
        <v>127</v>
      </c>
      <c r="F2164" s="15" t="s">
        <v>159</v>
      </c>
      <c r="G2164" s="298"/>
      <c r="H2164" s="10"/>
      <c r="I2164" s="11"/>
      <c r="J2164" s="11"/>
      <c r="K2164" s="11"/>
      <c r="L2164" s="11"/>
      <c r="M2164" s="11"/>
      <c r="N2164" s="11"/>
      <c r="O2164" s="12"/>
      <c r="P2164" s="11"/>
      <c r="Q2164" s="13"/>
      <c r="R2164" s="14"/>
    </row>
    <row r="2165" spans="1:18" ht="15" customHeight="1">
      <c r="A2165" s="15" t="s">
        <v>26</v>
      </c>
      <c r="B2165" s="15" t="s">
        <v>348</v>
      </c>
      <c r="C2165" s="16">
        <v>0.99305555555555547</v>
      </c>
      <c r="D2165" s="15" t="s">
        <v>34</v>
      </c>
      <c r="E2165" s="15" t="s">
        <v>127</v>
      </c>
      <c r="F2165" s="15" t="s">
        <v>355</v>
      </c>
      <c r="G2165" s="298"/>
      <c r="H2165" s="10"/>
      <c r="I2165" s="11"/>
      <c r="J2165" s="11"/>
      <c r="K2165" s="11"/>
      <c r="L2165" s="11"/>
      <c r="M2165" s="11"/>
      <c r="N2165" s="11"/>
      <c r="O2165" s="12"/>
      <c r="P2165" s="11"/>
      <c r="Q2165" s="13"/>
      <c r="R2165" s="14"/>
    </row>
    <row r="2166" spans="1:18" ht="15" customHeight="1">
      <c r="A2166" s="17" t="s">
        <v>26</v>
      </c>
      <c r="B2166" s="17" t="s">
        <v>351</v>
      </c>
      <c r="C2166" s="18">
        <v>0.83680555555555547</v>
      </c>
      <c r="D2166" s="17" t="s">
        <v>28</v>
      </c>
      <c r="E2166" s="17" t="s">
        <v>91</v>
      </c>
      <c r="F2166" s="17" t="s">
        <v>83</v>
      </c>
      <c r="G2166" s="298"/>
      <c r="H2166" s="10"/>
      <c r="I2166" s="11"/>
      <c r="J2166" s="11"/>
      <c r="K2166" s="11"/>
      <c r="L2166" s="11"/>
      <c r="M2166" s="11"/>
      <c r="N2166" s="11"/>
      <c r="O2166" s="12"/>
      <c r="P2166" s="11"/>
      <c r="Q2166" s="13"/>
      <c r="R2166" s="14"/>
    </row>
    <row r="2167" spans="1:18" ht="15" customHeight="1">
      <c r="A2167" s="15" t="s">
        <v>26</v>
      </c>
      <c r="B2167" s="15" t="s">
        <v>351</v>
      </c>
      <c r="C2167" s="16">
        <v>0.83680555555555547</v>
      </c>
      <c r="D2167" s="15" t="s">
        <v>31</v>
      </c>
      <c r="E2167" s="15" t="s">
        <v>92</v>
      </c>
      <c r="F2167" s="15" t="s">
        <v>159</v>
      </c>
      <c r="G2167" s="298"/>
      <c r="H2167" s="10"/>
      <c r="I2167" s="11"/>
      <c r="J2167" s="11"/>
      <c r="K2167" s="11"/>
      <c r="L2167" s="11"/>
      <c r="M2167" s="11"/>
      <c r="N2167" s="11"/>
      <c r="O2167" s="12"/>
      <c r="P2167" s="11"/>
      <c r="Q2167" s="13"/>
      <c r="R2167" s="14"/>
    </row>
    <row r="2168" spans="1:18" ht="15" customHeight="1">
      <c r="A2168" s="15" t="s">
        <v>26</v>
      </c>
      <c r="B2168" s="15" t="s">
        <v>351</v>
      </c>
      <c r="C2168" s="16">
        <v>0.83680555555555547</v>
      </c>
      <c r="D2168" s="15" t="s">
        <v>34</v>
      </c>
      <c r="E2168" s="15" t="s">
        <v>92</v>
      </c>
      <c r="F2168" s="15" t="s">
        <v>355</v>
      </c>
      <c r="G2168" s="298"/>
      <c r="H2168" s="10"/>
      <c r="I2168" s="11"/>
      <c r="J2168" s="11"/>
      <c r="K2168" s="11"/>
      <c r="L2168" s="11"/>
      <c r="M2168" s="11"/>
      <c r="N2168" s="11"/>
      <c r="O2168" s="12"/>
      <c r="P2168" s="11"/>
      <c r="Q2168" s="13"/>
      <c r="R2168" s="14"/>
    </row>
    <row r="2169" spans="1:18" ht="15" customHeight="1">
      <c r="A2169" s="17" t="s">
        <v>26</v>
      </c>
      <c r="B2169" s="17" t="s">
        <v>353</v>
      </c>
      <c r="C2169" s="18">
        <v>0.88888888888888884</v>
      </c>
      <c r="D2169" s="17" t="s">
        <v>28</v>
      </c>
      <c r="E2169" s="17" t="s">
        <v>98</v>
      </c>
      <c r="F2169" s="17" t="s">
        <v>83</v>
      </c>
      <c r="G2169" s="298"/>
      <c r="H2169" s="10"/>
      <c r="I2169" s="11"/>
      <c r="J2169" s="11"/>
      <c r="K2169" s="11"/>
      <c r="L2169" s="11"/>
      <c r="M2169" s="11"/>
      <c r="N2169" s="11"/>
      <c r="O2169" s="12"/>
      <c r="P2169" s="11"/>
      <c r="Q2169" s="13"/>
      <c r="R2169" s="14"/>
    </row>
    <row r="2170" spans="1:18" ht="15" customHeight="1">
      <c r="A2170" s="15" t="s">
        <v>26</v>
      </c>
      <c r="B2170" s="15" t="s">
        <v>353</v>
      </c>
      <c r="C2170" s="16">
        <v>0.88888888888888884</v>
      </c>
      <c r="D2170" s="15" t="s">
        <v>31</v>
      </c>
      <c r="E2170" s="15" t="s">
        <v>99</v>
      </c>
      <c r="F2170" s="15" t="s">
        <v>159</v>
      </c>
      <c r="G2170" s="298"/>
      <c r="H2170" s="10"/>
      <c r="I2170" s="11"/>
      <c r="J2170" s="11"/>
      <c r="K2170" s="11"/>
      <c r="L2170" s="11"/>
      <c r="M2170" s="11"/>
      <c r="N2170" s="11"/>
      <c r="O2170" s="12"/>
      <c r="P2170" s="11"/>
      <c r="Q2170" s="13"/>
      <c r="R2170" s="14"/>
    </row>
    <row r="2171" spans="1:18" ht="15" customHeight="1">
      <c r="A2171" s="15" t="s">
        <v>26</v>
      </c>
      <c r="B2171" s="15" t="s">
        <v>353</v>
      </c>
      <c r="C2171" s="16">
        <v>0.88888888888888884</v>
      </c>
      <c r="D2171" s="15" t="s">
        <v>34</v>
      </c>
      <c r="E2171" s="15" t="s">
        <v>99</v>
      </c>
      <c r="F2171" s="15" t="s">
        <v>355</v>
      </c>
      <c r="G2171" s="298"/>
      <c r="H2171" s="10"/>
      <c r="I2171" s="11"/>
      <c r="J2171" s="11"/>
      <c r="K2171" s="11"/>
      <c r="L2171" s="11"/>
      <c r="M2171" s="11"/>
      <c r="N2171" s="11"/>
      <c r="O2171" s="12"/>
      <c r="P2171" s="11"/>
      <c r="Q2171" s="13"/>
      <c r="R2171" s="14"/>
    </row>
    <row r="2172" spans="1:18" ht="15" customHeight="1">
      <c r="A2172" s="17" t="s">
        <v>26</v>
      </c>
      <c r="B2172" s="17" t="s">
        <v>350</v>
      </c>
      <c r="C2172" s="18">
        <v>0.73611111111111116</v>
      </c>
      <c r="D2172" s="17" t="s">
        <v>28</v>
      </c>
      <c r="E2172" s="17" t="s">
        <v>98</v>
      </c>
      <c r="F2172" s="17" t="s">
        <v>79</v>
      </c>
      <c r="G2172" s="298"/>
      <c r="H2172" s="10"/>
      <c r="I2172" s="11"/>
      <c r="J2172" s="11"/>
      <c r="K2172" s="11"/>
      <c r="L2172" s="11"/>
      <c r="M2172" s="11"/>
      <c r="N2172" s="11"/>
      <c r="O2172" s="12"/>
      <c r="P2172" s="11"/>
      <c r="Q2172" s="13"/>
      <c r="R2172" s="14"/>
    </row>
    <row r="2173" spans="1:18" ht="15" customHeight="1">
      <c r="A2173" s="15" t="s">
        <v>26</v>
      </c>
      <c r="B2173" s="15" t="s">
        <v>350</v>
      </c>
      <c r="C2173" s="16">
        <v>0.73611111111111116</v>
      </c>
      <c r="D2173" s="15" t="s">
        <v>31</v>
      </c>
      <c r="E2173" s="15" t="s">
        <v>99</v>
      </c>
      <c r="F2173" s="15" t="s">
        <v>123</v>
      </c>
      <c r="G2173" s="298"/>
      <c r="H2173" s="10"/>
      <c r="I2173" s="11"/>
      <c r="J2173" s="11"/>
      <c r="K2173" s="11"/>
      <c r="L2173" s="11"/>
      <c r="M2173" s="11"/>
      <c r="N2173" s="11"/>
      <c r="O2173" s="12"/>
      <c r="P2173" s="11"/>
      <c r="Q2173" s="13"/>
      <c r="R2173" s="14"/>
    </row>
    <row r="2174" spans="1:18" ht="15" customHeight="1">
      <c r="A2174" s="15" t="s">
        <v>26</v>
      </c>
      <c r="B2174" s="15" t="s">
        <v>350</v>
      </c>
      <c r="C2174" s="16">
        <v>0.73611111111111116</v>
      </c>
      <c r="D2174" s="15" t="s">
        <v>34</v>
      </c>
      <c r="E2174" s="15" t="s">
        <v>99</v>
      </c>
      <c r="F2174" s="15" t="s">
        <v>118</v>
      </c>
      <c r="G2174" s="298"/>
      <c r="H2174" s="10"/>
      <c r="I2174" s="11"/>
      <c r="J2174" s="11"/>
      <c r="K2174" s="11"/>
      <c r="L2174" s="11"/>
      <c r="M2174" s="11"/>
      <c r="N2174" s="11"/>
      <c r="O2174" s="12"/>
      <c r="P2174" s="11"/>
      <c r="Q2174" s="13"/>
      <c r="R2174" s="14"/>
    </row>
    <row r="2175" spans="1:18" ht="15" customHeight="1">
      <c r="A2175" s="17" t="s">
        <v>26</v>
      </c>
      <c r="B2175" s="17" t="s">
        <v>354</v>
      </c>
      <c r="C2175" s="18">
        <v>0.34722222222222232</v>
      </c>
      <c r="D2175" s="17" t="s">
        <v>28</v>
      </c>
      <c r="E2175" s="17" t="s">
        <v>90</v>
      </c>
      <c r="F2175" s="17" t="s">
        <v>45</v>
      </c>
      <c r="G2175" s="298"/>
      <c r="H2175" s="10"/>
      <c r="I2175" s="11"/>
      <c r="J2175" s="11"/>
      <c r="K2175" s="11"/>
      <c r="L2175" s="11"/>
      <c r="M2175" s="11"/>
      <c r="N2175" s="11"/>
      <c r="O2175" s="12"/>
      <c r="P2175" s="11"/>
      <c r="Q2175" s="13"/>
      <c r="R2175" s="14"/>
    </row>
    <row r="2176" spans="1:18" ht="15" customHeight="1">
      <c r="A2176" s="15" t="s">
        <v>26</v>
      </c>
      <c r="B2176" s="15" t="s">
        <v>354</v>
      </c>
      <c r="C2176" s="16">
        <v>0.34722222222222232</v>
      </c>
      <c r="D2176" s="15" t="s">
        <v>31</v>
      </c>
      <c r="E2176" s="15" t="s">
        <v>82</v>
      </c>
      <c r="F2176" s="15" t="s">
        <v>355</v>
      </c>
      <c r="G2176" s="298"/>
      <c r="H2176" s="10"/>
      <c r="I2176" s="11"/>
      <c r="J2176" s="11"/>
      <c r="K2176" s="11"/>
      <c r="L2176" s="11"/>
      <c r="M2176" s="11"/>
      <c r="N2176" s="11"/>
      <c r="O2176" s="12"/>
      <c r="P2176" s="11"/>
      <c r="Q2176" s="13"/>
      <c r="R2176" s="14"/>
    </row>
    <row r="2177" spans="1:18" ht="15" customHeight="1">
      <c r="A2177" s="15" t="s">
        <v>26</v>
      </c>
      <c r="B2177" s="15" t="s">
        <v>354</v>
      </c>
      <c r="C2177" s="16">
        <v>0.34722222222222232</v>
      </c>
      <c r="D2177" s="15" t="s">
        <v>34</v>
      </c>
      <c r="E2177" s="15" t="s">
        <v>82</v>
      </c>
      <c r="F2177" s="15" t="s">
        <v>358</v>
      </c>
      <c r="G2177" s="298"/>
      <c r="H2177" s="10"/>
      <c r="I2177" s="11"/>
      <c r="J2177" s="11"/>
      <c r="K2177" s="11"/>
      <c r="L2177" s="11"/>
      <c r="M2177" s="11"/>
      <c r="N2177" s="11"/>
      <c r="O2177" s="12"/>
      <c r="P2177" s="11"/>
      <c r="Q2177" s="13"/>
      <c r="R2177" s="14"/>
    </row>
    <row r="2178" spans="1:18" ht="15" customHeight="1">
      <c r="A2178" s="17" t="s">
        <v>26</v>
      </c>
      <c r="B2178" s="17" t="s">
        <v>352</v>
      </c>
      <c r="C2178" s="18">
        <v>0.94444444444444453</v>
      </c>
      <c r="D2178" s="17" t="s">
        <v>28</v>
      </c>
      <c r="E2178" s="17" t="s">
        <v>37</v>
      </c>
      <c r="F2178" s="17" t="s">
        <v>45</v>
      </c>
      <c r="G2178" s="298"/>
      <c r="H2178" s="10"/>
      <c r="I2178" s="11"/>
      <c r="J2178" s="11"/>
      <c r="K2178" s="11"/>
      <c r="L2178" s="11"/>
      <c r="M2178" s="11"/>
      <c r="N2178" s="11"/>
      <c r="O2178" s="12"/>
      <c r="P2178" s="11"/>
      <c r="Q2178" s="13"/>
      <c r="R2178" s="14"/>
    </row>
    <row r="2179" spans="1:18" ht="15" customHeight="1">
      <c r="A2179" s="15" t="s">
        <v>26</v>
      </c>
      <c r="B2179" s="15" t="s">
        <v>352</v>
      </c>
      <c r="C2179" s="16">
        <v>0.94444444444444453</v>
      </c>
      <c r="D2179" s="15" t="s">
        <v>31</v>
      </c>
      <c r="E2179" s="15" t="s">
        <v>32</v>
      </c>
      <c r="F2179" s="15" t="s">
        <v>355</v>
      </c>
      <c r="G2179" s="298"/>
      <c r="H2179" s="10"/>
      <c r="I2179" s="11"/>
      <c r="J2179" s="11"/>
      <c r="K2179" s="11"/>
      <c r="L2179" s="11"/>
      <c r="M2179" s="11"/>
      <c r="N2179" s="11"/>
      <c r="O2179" s="12"/>
      <c r="P2179" s="11"/>
      <c r="Q2179" s="13"/>
      <c r="R2179" s="14"/>
    </row>
    <row r="2180" spans="1:18" ht="15" customHeight="1">
      <c r="A2180" s="15" t="s">
        <v>26</v>
      </c>
      <c r="B2180" s="15" t="s">
        <v>352</v>
      </c>
      <c r="C2180" s="16">
        <v>0.94444444444444453</v>
      </c>
      <c r="D2180" s="15" t="s">
        <v>34</v>
      </c>
      <c r="E2180" s="15" t="s">
        <v>32</v>
      </c>
      <c r="F2180" s="15" t="s">
        <v>358</v>
      </c>
      <c r="G2180" s="298"/>
      <c r="H2180" s="10"/>
      <c r="I2180" s="11"/>
      <c r="J2180" s="11"/>
      <c r="K2180" s="11"/>
      <c r="L2180" s="11"/>
      <c r="M2180" s="11"/>
      <c r="N2180" s="11"/>
      <c r="O2180" s="12"/>
      <c r="P2180" s="11"/>
      <c r="Q2180" s="13"/>
      <c r="R2180" s="14"/>
    </row>
    <row r="2181" spans="1:18" ht="15" customHeight="1">
      <c r="A2181" s="17" t="s">
        <v>26</v>
      </c>
      <c r="B2181" s="17" t="s">
        <v>356</v>
      </c>
      <c r="C2181" s="18">
        <v>0.4861111111111111</v>
      </c>
      <c r="D2181" s="17" t="s">
        <v>28</v>
      </c>
      <c r="E2181" s="17" t="s">
        <v>90</v>
      </c>
      <c r="F2181" s="17" t="s">
        <v>45</v>
      </c>
      <c r="G2181" s="298"/>
      <c r="H2181" s="10"/>
      <c r="I2181" s="11"/>
      <c r="J2181" s="11"/>
      <c r="K2181" s="11"/>
      <c r="L2181" s="11"/>
      <c r="M2181" s="11"/>
      <c r="N2181" s="11"/>
      <c r="O2181" s="12"/>
      <c r="P2181" s="11"/>
      <c r="Q2181" s="13"/>
      <c r="R2181" s="14"/>
    </row>
    <row r="2182" spans="1:18" ht="15" customHeight="1">
      <c r="A2182" s="15" t="s">
        <v>26</v>
      </c>
      <c r="B2182" s="15" t="s">
        <v>356</v>
      </c>
      <c r="C2182" s="16">
        <v>0.4861111111111111</v>
      </c>
      <c r="D2182" s="15" t="s">
        <v>31</v>
      </c>
      <c r="E2182" s="15" t="s">
        <v>82</v>
      </c>
      <c r="F2182" s="15" t="s">
        <v>355</v>
      </c>
      <c r="G2182" s="298"/>
      <c r="H2182" s="10"/>
      <c r="I2182" s="11"/>
      <c r="J2182" s="11"/>
      <c r="K2182" s="11"/>
      <c r="L2182" s="11"/>
      <c r="M2182" s="11"/>
      <c r="N2182" s="11"/>
      <c r="O2182" s="12"/>
      <c r="P2182" s="11"/>
      <c r="Q2182" s="13"/>
      <c r="R2182" s="14"/>
    </row>
    <row r="2183" spans="1:18" ht="15" customHeight="1">
      <c r="A2183" s="15" t="s">
        <v>26</v>
      </c>
      <c r="B2183" s="15" t="s">
        <v>356</v>
      </c>
      <c r="C2183" s="16">
        <v>0.4861111111111111</v>
      </c>
      <c r="D2183" s="15" t="s">
        <v>34</v>
      </c>
      <c r="E2183" s="15" t="s">
        <v>82</v>
      </c>
      <c r="F2183" s="15" t="s">
        <v>358</v>
      </c>
      <c r="G2183" s="298"/>
      <c r="H2183" s="10"/>
      <c r="I2183" s="11"/>
      <c r="J2183" s="11"/>
      <c r="K2183" s="11"/>
      <c r="L2183" s="11"/>
      <c r="M2183" s="11"/>
      <c r="N2183" s="11"/>
      <c r="O2183" s="12"/>
      <c r="P2183" s="11"/>
      <c r="Q2183" s="13"/>
      <c r="R2183" s="14"/>
    </row>
    <row r="2184" spans="1:18" ht="15" customHeight="1">
      <c r="A2184" s="17" t="s">
        <v>26</v>
      </c>
      <c r="B2184" s="17" t="s">
        <v>357</v>
      </c>
      <c r="C2184" s="18">
        <v>0.55902777777777779</v>
      </c>
      <c r="D2184" s="17" t="s">
        <v>28</v>
      </c>
      <c r="E2184" s="17" t="s">
        <v>98</v>
      </c>
      <c r="F2184" s="17" t="s">
        <v>45</v>
      </c>
      <c r="G2184" s="298"/>
      <c r="H2184" s="10"/>
      <c r="I2184" s="11"/>
      <c r="J2184" s="11"/>
      <c r="K2184" s="11"/>
      <c r="L2184" s="11"/>
      <c r="M2184" s="11"/>
      <c r="N2184" s="11"/>
      <c r="O2184" s="12"/>
      <c r="P2184" s="11"/>
      <c r="Q2184" s="13"/>
      <c r="R2184" s="14"/>
    </row>
    <row r="2185" spans="1:18" ht="15" customHeight="1">
      <c r="A2185" s="15" t="s">
        <v>26</v>
      </c>
      <c r="B2185" s="15" t="s">
        <v>357</v>
      </c>
      <c r="C2185" s="16">
        <v>0.55902777777777779</v>
      </c>
      <c r="D2185" s="15" t="s">
        <v>31</v>
      </c>
      <c r="E2185" s="15" t="s">
        <v>99</v>
      </c>
      <c r="F2185" s="15" t="s">
        <v>355</v>
      </c>
      <c r="G2185" s="298"/>
      <c r="H2185" s="10"/>
      <c r="I2185" s="11"/>
      <c r="J2185" s="11"/>
      <c r="K2185" s="11"/>
      <c r="L2185" s="11"/>
      <c r="M2185" s="11"/>
      <c r="N2185" s="11"/>
      <c r="O2185" s="12"/>
      <c r="P2185" s="11"/>
      <c r="Q2185" s="13"/>
      <c r="R2185" s="14"/>
    </row>
    <row r="2186" spans="1:18" ht="15" customHeight="1">
      <c r="A2186" s="15" t="s">
        <v>26</v>
      </c>
      <c r="B2186" s="15" t="s">
        <v>357</v>
      </c>
      <c r="C2186" s="16">
        <v>0.55902777777777779</v>
      </c>
      <c r="D2186" s="15" t="s">
        <v>34</v>
      </c>
      <c r="E2186" s="15" t="s">
        <v>99</v>
      </c>
      <c r="F2186" s="15" t="s">
        <v>358</v>
      </c>
      <c r="G2186" s="298"/>
      <c r="H2186" s="10"/>
      <c r="I2186" s="11"/>
      <c r="J2186" s="11"/>
      <c r="K2186" s="11"/>
      <c r="L2186" s="11"/>
      <c r="M2186" s="11"/>
      <c r="N2186" s="11"/>
      <c r="O2186" s="12"/>
      <c r="P2186" s="11"/>
      <c r="Q2186" s="13"/>
      <c r="R2186" s="14"/>
    </row>
    <row r="2187" spans="1:18" ht="15" customHeight="1">
      <c r="A2187" s="19" t="s">
        <v>402</v>
      </c>
      <c r="B2187" s="19" t="s">
        <v>403</v>
      </c>
      <c r="C2187" s="20">
        <v>0.49305555555555558</v>
      </c>
      <c r="D2187" s="19" t="s">
        <v>63</v>
      </c>
      <c r="E2187" s="19" t="s">
        <v>103</v>
      </c>
      <c r="F2187" s="19" t="s">
        <v>404</v>
      </c>
      <c r="G2187" s="298"/>
      <c r="H2187" s="10"/>
      <c r="I2187" s="11"/>
      <c r="J2187" s="11"/>
      <c r="K2187" s="11"/>
      <c r="L2187" s="11"/>
      <c r="M2187" s="11"/>
      <c r="N2187" s="11"/>
      <c r="O2187" s="12"/>
      <c r="P2187" s="11"/>
      <c r="Q2187" s="13"/>
      <c r="R2187" s="14"/>
    </row>
    <row r="2188" spans="1:18" ht="15" customHeight="1">
      <c r="A2188" s="19" t="s">
        <v>68</v>
      </c>
      <c r="B2188" s="19" t="s">
        <v>405</v>
      </c>
      <c r="C2188" s="20">
        <v>0.83680555555555547</v>
      </c>
      <c r="D2188" s="19" t="s">
        <v>70</v>
      </c>
      <c r="E2188" s="19" t="s">
        <v>51</v>
      </c>
      <c r="F2188" s="19" t="s">
        <v>406</v>
      </c>
      <c r="G2188" s="298"/>
      <c r="H2188" s="10"/>
      <c r="I2188" s="11"/>
      <c r="J2188" s="11"/>
      <c r="K2188" s="11"/>
      <c r="L2188" s="11"/>
      <c r="M2188" s="11"/>
      <c r="N2188" s="11"/>
      <c r="O2188" s="12"/>
      <c r="P2188" s="11"/>
      <c r="Q2188" s="13"/>
      <c r="R2188" s="14"/>
    </row>
    <row r="2189" spans="1:18" ht="15" customHeight="1">
      <c r="A2189" s="17" t="s">
        <v>68</v>
      </c>
      <c r="B2189" s="17" t="s">
        <v>408</v>
      </c>
      <c r="C2189" s="18">
        <v>0.97222222222222221</v>
      </c>
      <c r="D2189" s="17" t="s">
        <v>70</v>
      </c>
      <c r="E2189" s="17" t="s">
        <v>57</v>
      </c>
      <c r="F2189" s="17" t="s">
        <v>406</v>
      </c>
      <c r="G2189" s="298"/>
      <c r="H2189" s="10"/>
      <c r="I2189" s="11"/>
      <c r="J2189" s="11"/>
      <c r="K2189" s="11"/>
      <c r="L2189" s="11"/>
      <c r="M2189" s="11"/>
      <c r="N2189" s="11"/>
      <c r="O2189" s="12"/>
      <c r="P2189" s="11"/>
      <c r="Q2189" s="13"/>
      <c r="R2189" s="14"/>
    </row>
    <row r="2190" spans="1:18" ht="15" customHeight="1">
      <c r="A2190" s="17" t="s">
        <v>68</v>
      </c>
      <c r="B2190" s="17" t="s">
        <v>411</v>
      </c>
      <c r="C2190" s="18">
        <v>0.78472222222222221</v>
      </c>
      <c r="D2190" s="17" t="s">
        <v>70</v>
      </c>
      <c r="E2190" s="17" t="s">
        <v>57</v>
      </c>
      <c r="F2190" s="17" t="s">
        <v>406</v>
      </c>
      <c r="G2190" s="298"/>
      <c r="H2190" s="10"/>
      <c r="I2190" s="11"/>
      <c r="J2190" s="11"/>
      <c r="K2190" s="11"/>
      <c r="L2190" s="11"/>
      <c r="M2190" s="11"/>
      <c r="N2190" s="11"/>
      <c r="O2190" s="12"/>
      <c r="P2190" s="11"/>
      <c r="Q2190" s="13"/>
      <c r="R2190" s="14"/>
    </row>
    <row r="2191" spans="1:18" ht="15" customHeight="1">
      <c r="A2191" s="17" t="s">
        <v>68</v>
      </c>
      <c r="B2191" s="17" t="s">
        <v>410</v>
      </c>
      <c r="C2191" s="18">
        <v>0.59722222222222221</v>
      </c>
      <c r="D2191" s="17" t="s">
        <v>70</v>
      </c>
      <c r="E2191" s="17" t="s">
        <v>57</v>
      </c>
      <c r="F2191" s="17" t="s">
        <v>412</v>
      </c>
      <c r="G2191" s="298"/>
      <c r="H2191" s="10"/>
      <c r="I2191" s="11"/>
      <c r="J2191" s="11"/>
      <c r="K2191" s="11"/>
      <c r="L2191" s="11"/>
      <c r="M2191" s="11"/>
      <c r="N2191" s="11"/>
      <c r="O2191" s="12"/>
      <c r="P2191" s="11"/>
      <c r="Q2191" s="13"/>
      <c r="R2191" s="14"/>
    </row>
    <row r="2192" spans="1:18" ht="15" customHeight="1">
      <c r="A2192" s="17" t="s">
        <v>68</v>
      </c>
      <c r="B2192" s="17" t="s">
        <v>437</v>
      </c>
      <c r="C2192" s="18">
        <v>0.1041666666666667</v>
      </c>
      <c r="D2192" s="17" t="s">
        <v>70</v>
      </c>
      <c r="E2192" s="17" t="s">
        <v>57</v>
      </c>
      <c r="F2192" s="17" t="s">
        <v>523</v>
      </c>
      <c r="G2192" s="298"/>
      <c r="H2192" s="10"/>
      <c r="I2192" s="11"/>
      <c r="J2192" s="11"/>
      <c r="K2192" s="11"/>
      <c r="L2192" s="11"/>
      <c r="M2192" s="11"/>
      <c r="N2192" s="11"/>
      <c r="O2192" s="12"/>
      <c r="P2192" s="11"/>
      <c r="Q2192" s="13"/>
      <c r="R2192" s="14"/>
    </row>
    <row r="2193" spans="1:18" ht="15" customHeight="1">
      <c r="A2193" s="17" t="s">
        <v>68</v>
      </c>
      <c r="B2193" s="17" t="s">
        <v>413</v>
      </c>
      <c r="C2193" s="18">
        <v>4.8611111111111112E-2</v>
      </c>
      <c r="D2193" s="17" t="s">
        <v>70</v>
      </c>
      <c r="E2193" s="17" t="s">
        <v>57</v>
      </c>
      <c r="F2193" s="17" t="s">
        <v>523</v>
      </c>
      <c r="G2193" s="298"/>
      <c r="H2193" s="10"/>
      <c r="I2193" s="11"/>
      <c r="J2193" s="11"/>
      <c r="K2193" s="11"/>
      <c r="L2193" s="11"/>
      <c r="M2193" s="11"/>
      <c r="N2193" s="11"/>
      <c r="O2193" s="12"/>
      <c r="P2193" s="11"/>
      <c r="Q2193" s="13"/>
      <c r="R2193" s="14"/>
    </row>
    <row r="2194" spans="1:18" ht="15" customHeight="1">
      <c r="A2194" s="17" t="s">
        <v>68</v>
      </c>
      <c r="B2194" s="17" t="s">
        <v>407</v>
      </c>
      <c r="C2194" s="18">
        <v>0.3125</v>
      </c>
      <c r="D2194" s="17" t="s">
        <v>70</v>
      </c>
      <c r="E2194" s="17" t="s">
        <v>57</v>
      </c>
      <c r="F2194" s="17" t="s">
        <v>492</v>
      </c>
      <c r="G2194" s="298"/>
      <c r="H2194" s="10"/>
      <c r="I2194" s="11"/>
      <c r="J2194" s="11"/>
      <c r="K2194" s="11"/>
      <c r="L2194" s="11"/>
      <c r="M2194" s="11"/>
      <c r="N2194" s="11"/>
      <c r="O2194" s="12"/>
      <c r="P2194" s="11"/>
      <c r="Q2194" s="13"/>
      <c r="R2194" s="14"/>
    </row>
    <row r="2195" spans="1:18" ht="15" customHeight="1">
      <c r="A2195" s="19" t="s">
        <v>48</v>
      </c>
      <c r="B2195" s="19" t="s">
        <v>396</v>
      </c>
      <c r="C2195" s="20">
        <v>0.48958333333333331</v>
      </c>
      <c r="D2195" s="19" t="s">
        <v>53</v>
      </c>
      <c r="E2195" s="19" t="s">
        <v>29</v>
      </c>
      <c r="F2195" s="19" t="s">
        <v>481</v>
      </c>
      <c r="G2195" s="298"/>
      <c r="H2195" s="10"/>
      <c r="I2195" s="11"/>
      <c r="J2195" s="11"/>
      <c r="K2195" s="11"/>
      <c r="L2195" s="11"/>
      <c r="M2195" s="11"/>
      <c r="N2195" s="11"/>
      <c r="O2195" s="12"/>
      <c r="P2195" s="11"/>
      <c r="Q2195" s="13"/>
      <c r="R2195" s="14"/>
    </row>
    <row r="2196" spans="1:18" ht="15" customHeight="1">
      <c r="A2196" s="17" t="s">
        <v>48</v>
      </c>
      <c r="B2196" s="17" t="s">
        <v>394</v>
      </c>
      <c r="C2196" s="18">
        <v>0.98958333333333337</v>
      </c>
      <c r="D2196" s="17" t="s">
        <v>53</v>
      </c>
      <c r="E2196" s="17" t="s">
        <v>37</v>
      </c>
      <c r="F2196" s="17" t="s">
        <v>399</v>
      </c>
      <c r="G2196" s="298"/>
      <c r="H2196" s="10"/>
      <c r="I2196" s="11"/>
      <c r="J2196" s="11"/>
      <c r="K2196" s="11"/>
      <c r="L2196" s="11"/>
      <c r="M2196" s="11"/>
      <c r="N2196" s="11"/>
      <c r="O2196" s="12"/>
      <c r="P2196" s="11"/>
      <c r="Q2196" s="13"/>
      <c r="R2196" s="14"/>
    </row>
    <row r="2197" spans="1:18" ht="15" customHeight="1">
      <c r="A2197" s="17" t="s">
        <v>48</v>
      </c>
      <c r="B2197" s="17" t="s">
        <v>398</v>
      </c>
      <c r="C2197" s="18">
        <v>0.39930555555555558</v>
      </c>
      <c r="D2197" s="17" t="s">
        <v>53</v>
      </c>
      <c r="E2197" s="17" t="s">
        <v>37</v>
      </c>
      <c r="F2197" s="17" t="s">
        <v>399</v>
      </c>
      <c r="G2197" s="298"/>
      <c r="H2197" s="10"/>
      <c r="I2197" s="11"/>
      <c r="J2197" s="11"/>
      <c r="K2197" s="11"/>
      <c r="L2197" s="11"/>
      <c r="M2197" s="11"/>
      <c r="N2197" s="11"/>
      <c r="O2197" s="12"/>
      <c r="P2197" s="11"/>
      <c r="Q2197" s="13"/>
      <c r="R2197" s="14"/>
    </row>
    <row r="2198" spans="1:18" ht="15" customHeight="1">
      <c r="A2198" s="17" t="s">
        <v>48</v>
      </c>
      <c r="B2198" s="17" t="s">
        <v>397</v>
      </c>
      <c r="C2198" s="18">
        <v>0.88888888888888884</v>
      </c>
      <c r="D2198" s="17" t="s">
        <v>53</v>
      </c>
      <c r="E2198" s="17" t="s">
        <v>37</v>
      </c>
      <c r="F2198" s="17" t="s">
        <v>399</v>
      </c>
      <c r="G2198" s="298"/>
      <c r="H2198" s="10"/>
      <c r="I2198" s="11"/>
      <c r="J2198" s="11"/>
      <c r="K2198" s="11"/>
      <c r="L2198" s="11"/>
      <c r="M2198" s="11"/>
      <c r="N2198" s="11"/>
      <c r="O2198" s="12"/>
      <c r="P2198" s="11"/>
      <c r="Q2198" s="13"/>
      <c r="R2198" s="14"/>
    </row>
    <row r="2199" spans="1:18" ht="15" customHeight="1">
      <c r="A2199" s="17" t="s">
        <v>48</v>
      </c>
      <c r="B2199" s="17" t="s">
        <v>391</v>
      </c>
      <c r="C2199" s="18">
        <v>0.48958333333333331</v>
      </c>
      <c r="D2199" s="17" t="s">
        <v>53</v>
      </c>
      <c r="E2199" s="17" t="s">
        <v>57</v>
      </c>
      <c r="F2199" s="17" t="s">
        <v>490</v>
      </c>
      <c r="G2199" s="298"/>
      <c r="H2199" s="10"/>
      <c r="I2199" s="11"/>
      <c r="J2199" s="11"/>
      <c r="K2199" s="11"/>
      <c r="L2199" s="11"/>
      <c r="M2199" s="11"/>
      <c r="N2199" s="11"/>
      <c r="O2199" s="12"/>
      <c r="P2199" s="11"/>
      <c r="Q2199" s="13"/>
      <c r="R2199" s="14"/>
    </row>
    <row r="2200" spans="1:18" ht="15" customHeight="1">
      <c r="A2200" s="17" t="s">
        <v>48</v>
      </c>
      <c r="B2200" s="17" t="s">
        <v>386</v>
      </c>
      <c r="C2200" s="18">
        <v>0.82986111111111116</v>
      </c>
      <c r="D2200" s="17" t="s">
        <v>53</v>
      </c>
      <c r="E2200" s="17" t="s">
        <v>57</v>
      </c>
      <c r="F2200" s="17" t="s">
        <v>490</v>
      </c>
      <c r="G2200" s="298"/>
      <c r="H2200" s="10"/>
      <c r="I2200" s="11"/>
      <c r="J2200" s="11"/>
      <c r="K2200" s="11"/>
      <c r="L2200" s="11"/>
      <c r="M2200" s="11"/>
      <c r="N2200" s="11"/>
      <c r="O2200" s="12"/>
      <c r="P2200" s="11"/>
      <c r="Q2200" s="13"/>
      <c r="R2200" s="14"/>
    </row>
    <row r="2201" spans="1:18" ht="15" customHeight="1">
      <c r="A2201" s="17" t="s">
        <v>48</v>
      </c>
      <c r="B2201" s="17" t="s">
        <v>388</v>
      </c>
      <c r="C2201" s="18">
        <v>0.72222222222222221</v>
      </c>
      <c r="D2201" s="17" t="s">
        <v>53</v>
      </c>
      <c r="E2201" s="17" t="s">
        <v>57</v>
      </c>
      <c r="F2201" s="17" t="s">
        <v>490</v>
      </c>
      <c r="G2201" s="298"/>
      <c r="H2201" s="10"/>
      <c r="I2201" s="11"/>
      <c r="J2201" s="11"/>
      <c r="K2201" s="11"/>
      <c r="L2201" s="11"/>
      <c r="M2201" s="11"/>
      <c r="N2201" s="11"/>
      <c r="O2201" s="12"/>
      <c r="P2201" s="11"/>
      <c r="Q2201" s="13"/>
      <c r="R2201" s="14"/>
    </row>
    <row r="2202" spans="1:18" ht="15" customHeight="1">
      <c r="A2202" s="17" t="s">
        <v>48</v>
      </c>
      <c r="B2202" s="17" t="s">
        <v>382</v>
      </c>
      <c r="C2202" s="18">
        <v>0.11805555555555559</v>
      </c>
      <c r="D2202" s="17" t="s">
        <v>53</v>
      </c>
      <c r="E2202" s="17" t="s">
        <v>57</v>
      </c>
      <c r="F2202" s="17" t="s">
        <v>490</v>
      </c>
      <c r="G2202" s="298"/>
      <c r="H2202" s="10"/>
      <c r="I2202" s="11"/>
      <c r="J2202" s="11"/>
      <c r="K2202" s="11"/>
      <c r="L2202" s="11"/>
      <c r="M2202" s="11"/>
      <c r="N2202" s="11"/>
      <c r="O2202" s="12"/>
      <c r="P2202" s="11"/>
      <c r="Q2202" s="13"/>
      <c r="R2202" s="14"/>
    </row>
    <row r="2203" spans="1:18" ht="15" customHeight="1">
      <c r="A2203" s="17" t="s">
        <v>48</v>
      </c>
      <c r="B2203" s="17" t="s">
        <v>389</v>
      </c>
      <c r="C2203" s="18">
        <v>0.70138888888888884</v>
      </c>
      <c r="D2203" s="17" t="s">
        <v>53</v>
      </c>
      <c r="E2203" s="17" t="s">
        <v>57</v>
      </c>
      <c r="F2203" s="17" t="s">
        <v>490</v>
      </c>
      <c r="G2203" s="298"/>
      <c r="H2203" s="10"/>
      <c r="I2203" s="11"/>
      <c r="J2203" s="11"/>
      <c r="K2203" s="11"/>
      <c r="L2203" s="11"/>
      <c r="M2203" s="11"/>
      <c r="N2203" s="11"/>
      <c r="O2203" s="12"/>
      <c r="P2203" s="11"/>
      <c r="Q2203" s="13"/>
      <c r="R2203" s="14"/>
    </row>
    <row r="2204" spans="1:18" ht="15" customHeight="1">
      <c r="A2204" s="17" t="s">
        <v>48</v>
      </c>
      <c r="B2204" s="17" t="s">
        <v>400</v>
      </c>
      <c r="C2204" s="18">
        <v>0.25347222222222221</v>
      </c>
      <c r="D2204" s="17" t="s">
        <v>53</v>
      </c>
      <c r="E2204" s="17" t="s">
        <v>57</v>
      </c>
      <c r="F2204" s="17" t="s">
        <v>490</v>
      </c>
      <c r="G2204" s="298"/>
      <c r="H2204" s="10"/>
      <c r="I2204" s="11"/>
      <c r="J2204" s="11"/>
      <c r="K2204" s="11"/>
      <c r="L2204" s="11"/>
      <c r="M2204" s="11"/>
      <c r="N2204" s="11"/>
      <c r="O2204" s="12"/>
      <c r="P2204" s="11"/>
      <c r="Q2204" s="13"/>
      <c r="R2204" s="14"/>
    </row>
    <row r="2205" spans="1:18" ht="15" customHeight="1">
      <c r="A2205" s="17" t="s">
        <v>48</v>
      </c>
      <c r="B2205" s="17" t="s">
        <v>390</v>
      </c>
      <c r="C2205" s="18">
        <v>4.1666666666666657E-2</v>
      </c>
      <c r="D2205" s="17" t="s">
        <v>53</v>
      </c>
      <c r="E2205" s="17" t="s">
        <v>57</v>
      </c>
      <c r="F2205" s="17" t="s">
        <v>490</v>
      </c>
      <c r="G2205" s="298"/>
      <c r="H2205" s="10"/>
      <c r="I2205" s="11"/>
      <c r="J2205" s="11"/>
      <c r="K2205" s="11"/>
      <c r="L2205" s="11"/>
      <c r="M2205" s="11"/>
      <c r="N2205" s="11"/>
      <c r="O2205" s="12"/>
      <c r="P2205" s="11"/>
      <c r="Q2205" s="13"/>
      <c r="R2205" s="14"/>
    </row>
    <row r="2206" spans="1:18" ht="15" customHeight="1">
      <c r="A2206" s="17" t="s">
        <v>48</v>
      </c>
      <c r="B2206" s="17" t="s">
        <v>385</v>
      </c>
      <c r="C2206" s="18">
        <v>0.94097222222222221</v>
      </c>
      <c r="D2206" s="17" t="s">
        <v>53</v>
      </c>
      <c r="E2206" s="17" t="s">
        <v>57</v>
      </c>
      <c r="F2206" s="17" t="s">
        <v>490</v>
      </c>
      <c r="G2206" s="298"/>
      <c r="H2206" s="10"/>
      <c r="I2206" s="11"/>
      <c r="J2206" s="11"/>
      <c r="K2206" s="11"/>
      <c r="L2206" s="11"/>
      <c r="M2206" s="11"/>
      <c r="N2206" s="11"/>
      <c r="O2206" s="12"/>
      <c r="P2206" s="11"/>
      <c r="Q2206" s="13"/>
      <c r="R2206" s="14"/>
    </row>
    <row r="2207" spans="1:18" ht="15" customHeight="1" thickBot="1">
      <c r="A2207" s="96" t="s">
        <v>415</v>
      </c>
      <c r="B2207" s="96" t="s">
        <v>416</v>
      </c>
      <c r="C2207" s="97">
        <v>9.7222222222222224E-2</v>
      </c>
      <c r="D2207" s="96" t="s">
        <v>63</v>
      </c>
      <c r="E2207" s="96" t="s">
        <v>51</v>
      </c>
      <c r="F2207" s="96" t="s">
        <v>417</v>
      </c>
      <c r="G2207" s="299"/>
      <c r="H2207" s="300"/>
      <c r="I2207" s="140"/>
      <c r="J2207" s="140"/>
      <c r="K2207" s="140"/>
      <c r="L2207" s="140"/>
      <c r="M2207" s="140"/>
      <c r="N2207" s="140"/>
      <c r="O2207" s="141"/>
      <c r="P2207" s="140"/>
      <c r="Q2207" s="142"/>
      <c r="R2207" s="301"/>
    </row>
    <row r="2208" spans="1:18" ht="17.45" customHeight="1" thickBot="1">
      <c r="A2208" s="283"/>
      <c r="B2208" s="284"/>
      <c r="C2208" s="284"/>
      <c r="D2208" s="284"/>
      <c r="E2208" s="284"/>
      <c r="F2208" s="284"/>
      <c r="G2208" s="284"/>
      <c r="H2208" s="284"/>
      <c r="I2208" s="284"/>
      <c r="J2208" s="284"/>
      <c r="K2208" s="284"/>
      <c r="L2208" s="284"/>
      <c r="M2208" s="284"/>
      <c r="N2208" s="284"/>
      <c r="O2208" s="284"/>
      <c r="P2208" s="284"/>
      <c r="Q2208" s="284"/>
      <c r="R2208" s="285"/>
    </row>
    <row r="2209" spans="1:18" ht="22.15" customHeight="1" thickTop="1" thickBot="1">
      <c r="A2209" s="279" t="s">
        <v>6</v>
      </c>
      <c r="B2209" s="295"/>
      <c r="C2209" s="295"/>
      <c r="D2209" s="295"/>
      <c r="E2209" s="295"/>
      <c r="F2209" s="296"/>
      <c r="G2209" s="32">
        <v>46053</v>
      </c>
      <c r="H2209" s="278" t="s">
        <v>7</v>
      </c>
      <c r="I2209" s="295"/>
      <c r="J2209" s="295"/>
      <c r="K2209" s="295"/>
      <c r="L2209" s="295"/>
      <c r="M2209" s="295"/>
      <c r="N2209" s="295"/>
      <c r="O2209" s="295"/>
      <c r="P2209" s="295"/>
      <c r="Q2209" s="295"/>
      <c r="R2209" s="296"/>
    </row>
    <row r="2210" spans="1:18" ht="24" customHeight="1">
      <c r="A2210" s="33" t="s">
        <v>8</v>
      </c>
      <c r="B2210" s="33" t="s">
        <v>9</v>
      </c>
      <c r="C2210" s="34" t="s">
        <v>10</v>
      </c>
      <c r="D2210" s="33" t="s">
        <v>11</v>
      </c>
      <c r="E2210" s="33" t="s">
        <v>12</v>
      </c>
      <c r="F2210" s="35" t="s">
        <v>13</v>
      </c>
      <c r="G2210" s="36" t="s">
        <v>14</v>
      </c>
      <c r="H2210" s="33" t="s">
        <v>15</v>
      </c>
      <c r="I2210" s="37" t="s">
        <v>16</v>
      </c>
      <c r="J2210" s="38" t="s">
        <v>17</v>
      </c>
      <c r="K2210" s="39" t="s">
        <v>18</v>
      </c>
      <c r="L2210" s="38" t="s">
        <v>19</v>
      </c>
      <c r="M2210" s="38" t="s">
        <v>20</v>
      </c>
      <c r="N2210" s="38" t="s">
        <v>21</v>
      </c>
      <c r="O2210" s="33" t="s">
        <v>22</v>
      </c>
      <c r="P2210" s="34" t="s">
        <v>23</v>
      </c>
      <c r="Q2210" s="38" t="s">
        <v>24</v>
      </c>
      <c r="R2210" s="33" t="s">
        <v>25</v>
      </c>
    </row>
    <row r="2211" spans="1:18" ht="15" customHeight="1">
      <c r="A2211" s="8" t="s">
        <v>38</v>
      </c>
      <c r="B2211" s="8" t="s">
        <v>342</v>
      </c>
      <c r="C2211" s="9">
        <v>0.48958333333333331</v>
      </c>
      <c r="D2211" s="8" t="s">
        <v>40</v>
      </c>
      <c r="E2211" s="8" t="s">
        <v>496</v>
      </c>
      <c r="F2211" s="8" t="s">
        <v>30</v>
      </c>
      <c r="G2211" s="302"/>
      <c r="H2211" s="10"/>
      <c r="I2211" s="11"/>
      <c r="J2211" s="11"/>
      <c r="K2211" s="11"/>
      <c r="L2211" s="11"/>
      <c r="M2211" s="11"/>
      <c r="N2211" s="11"/>
      <c r="O2211" s="12"/>
      <c r="P2211" s="11"/>
      <c r="Q2211" s="13"/>
      <c r="R2211" s="14"/>
    </row>
    <row r="2212" spans="1:18" ht="15" customHeight="1">
      <c r="A2212" s="15" t="s">
        <v>38</v>
      </c>
      <c r="B2212" s="15" t="s">
        <v>342</v>
      </c>
      <c r="C2212" s="16">
        <v>0.48958333333333331</v>
      </c>
      <c r="D2212" s="15" t="s">
        <v>43</v>
      </c>
      <c r="E2212" s="15" t="s">
        <v>195</v>
      </c>
      <c r="F2212" s="15" t="s">
        <v>420</v>
      </c>
      <c r="G2212" s="298"/>
      <c r="H2212" s="10"/>
      <c r="I2212" s="11"/>
      <c r="J2212" s="11"/>
      <c r="K2212" s="11"/>
      <c r="L2212" s="11"/>
      <c r="M2212" s="11"/>
      <c r="N2212" s="11"/>
      <c r="O2212" s="12"/>
      <c r="P2212" s="11"/>
      <c r="Q2212" s="13"/>
      <c r="R2212" s="14"/>
    </row>
    <row r="2213" spans="1:18" ht="15" customHeight="1">
      <c r="A2213" s="15" t="s">
        <v>38</v>
      </c>
      <c r="B2213" s="15" t="s">
        <v>342</v>
      </c>
      <c r="C2213" s="16">
        <v>0.48958333333333331</v>
      </c>
      <c r="D2213" s="15" t="s">
        <v>46</v>
      </c>
      <c r="E2213" s="15" t="s">
        <v>195</v>
      </c>
      <c r="F2213" s="15" t="s">
        <v>47</v>
      </c>
      <c r="G2213" s="298"/>
      <c r="H2213" s="10"/>
      <c r="I2213" s="11"/>
      <c r="J2213" s="11"/>
      <c r="K2213" s="11"/>
      <c r="L2213" s="11"/>
      <c r="M2213" s="11"/>
      <c r="N2213" s="11"/>
      <c r="O2213" s="12"/>
      <c r="P2213" s="11"/>
      <c r="Q2213" s="13"/>
      <c r="R2213" s="14"/>
    </row>
    <row r="2214" spans="1:18" ht="15" customHeight="1">
      <c r="A2214" s="17" t="s">
        <v>38</v>
      </c>
      <c r="B2214" s="17" t="s">
        <v>346</v>
      </c>
      <c r="C2214" s="18">
        <v>0.39930555555555558</v>
      </c>
      <c r="D2214" s="17" t="s">
        <v>40</v>
      </c>
      <c r="E2214" s="17" t="s">
        <v>442</v>
      </c>
      <c r="F2214" s="17" t="s">
        <v>347</v>
      </c>
      <c r="G2214" s="298"/>
      <c r="H2214" s="10"/>
      <c r="I2214" s="11"/>
      <c r="J2214" s="11"/>
      <c r="K2214" s="11"/>
      <c r="L2214" s="11"/>
      <c r="M2214" s="11"/>
      <c r="N2214" s="11"/>
      <c r="O2214" s="12"/>
      <c r="P2214" s="11"/>
      <c r="Q2214" s="13"/>
      <c r="R2214" s="14"/>
    </row>
    <row r="2215" spans="1:18" ht="15" customHeight="1">
      <c r="A2215" s="15" t="s">
        <v>38</v>
      </c>
      <c r="B2215" s="15" t="s">
        <v>346</v>
      </c>
      <c r="C2215" s="16">
        <v>0.39930555555555558</v>
      </c>
      <c r="D2215" s="15" t="s">
        <v>43</v>
      </c>
      <c r="E2215" s="15" t="s">
        <v>122</v>
      </c>
      <c r="F2215" s="15" t="s">
        <v>138</v>
      </c>
      <c r="G2215" s="298"/>
      <c r="H2215" s="10"/>
      <c r="I2215" s="11"/>
      <c r="J2215" s="11"/>
      <c r="K2215" s="11"/>
      <c r="L2215" s="11"/>
      <c r="M2215" s="11"/>
      <c r="N2215" s="11"/>
      <c r="O2215" s="12"/>
      <c r="P2215" s="11"/>
      <c r="Q2215" s="13"/>
      <c r="R2215" s="14"/>
    </row>
    <row r="2216" spans="1:18" ht="15" customHeight="1">
      <c r="A2216" s="15" t="s">
        <v>38</v>
      </c>
      <c r="B2216" s="15" t="s">
        <v>346</v>
      </c>
      <c r="C2216" s="16">
        <v>0.39930555555555558</v>
      </c>
      <c r="D2216" s="15" t="s">
        <v>46</v>
      </c>
      <c r="E2216" s="15" t="s">
        <v>122</v>
      </c>
      <c r="F2216" s="15" t="s">
        <v>47</v>
      </c>
      <c r="G2216" s="298"/>
      <c r="H2216" s="10"/>
      <c r="I2216" s="11"/>
      <c r="J2216" s="11"/>
      <c r="K2216" s="11"/>
      <c r="L2216" s="11"/>
      <c r="M2216" s="11"/>
      <c r="N2216" s="11"/>
      <c r="O2216" s="12"/>
      <c r="P2216" s="11"/>
      <c r="Q2216" s="13"/>
      <c r="R2216" s="14"/>
    </row>
    <row r="2217" spans="1:18" ht="15" customHeight="1">
      <c r="A2217" s="17" t="s">
        <v>38</v>
      </c>
      <c r="B2217" s="17" t="s">
        <v>344</v>
      </c>
      <c r="C2217" s="18">
        <v>0.88888888888888884</v>
      </c>
      <c r="D2217" s="17" t="s">
        <v>40</v>
      </c>
      <c r="E2217" s="17" t="s">
        <v>125</v>
      </c>
      <c r="F2217" s="17" t="s">
        <v>347</v>
      </c>
      <c r="G2217" s="298"/>
      <c r="H2217" s="10"/>
      <c r="I2217" s="11"/>
      <c r="J2217" s="11"/>
      <c r="K2217" s="11"/>
      <c r="L2217" s="11"/>
      <c r="M2217" s="11"/>
      <c r="N2217" s="11"/>
      <c r="O2217" s="12"/>
      <c r="P2217" s="11"/>
      <c r="Q2217" s="13"/>
      <c r="R2217" s="14"/>
    </row>
    <row r="2218" spans="1:18" ht="15" customHeight="1">
      <c r="A2218" s="15" t="s">
        <v>38</v>
      </c>
      <c r="B2218" s="15" t="s">
        <v>344</v>
      </c>
      <c r="C2218" s="16">
        <v>0.88888888888888884</v>
      </c>
      <c r="D2218" s="15" t="s">
        <v>43</v>
      </c>
      <c r="E2218" s="15" t="s">
        <v>44</v>
      </c>
      <c r="F2218" s="15" t="s">
        <v>138</v>
      </c>
      <c r="G2218" s="298"/>
      <c r="H2218" s="10"/>
      <c r="I2218" s="11"/>
      <c r="J2218" s="11"/>
      <c r="K2218" s="11"/>
      <c r="L2218" s="11"/>
      <c r="M2218" s="11"/>
      <c r="N2218" s="11"/>
      <c r="O2218" s="12"/>
      <c r="P2218" s="11"/>
      <c r="Q2218" s="13"/>
      <c r="R2218" s="14"/>
    </row>
    <row r="2219" spans="1:18" ht="15" customHeight="1">
      <c r="A2219" s="15" t="s">
        <v>38</v>
      </c>
      <c r="B2219" s="15" t="s">
        <v>344</v>
      </c>
      <c r="C2219" s="16">
        <v>0.88888888888888884</v>
      </c>
      <c r="D2219" s="15" t="s">
        <v>46</v>
      </c>
      <c r="E2219" s="15" t="s">
        <v>44</v>
      </c>
      <c r="F2219" s="15" t="s">
        <v>47</v>
      </c>
      <c r="G2219" s="298"/>
      <c r="H2219" s="10"/>
      <c r="I2219" s="11"/>
      <c r="J2219" s="11"/>
      <c r="K2219" s="11"/>
      <c r="L2219" s="11"/>
      <c r="M2219" s="11"/>
      <c r="N2219" s="11"/>
      <c r="O2219" s="12"/>
      <c r="P2219" s="11"/>
      <c r="Q2219" s="13"/>
      <c r="R2219" s="14"/>
    </row>
    <row r="2220" spans="1:18" ht="15" customHeight="1">
      <c r="A2220" s="17" t="s">
        <v>38</v>
      </c>
      <c r="B2220" s="17" t="s">
        <v>345</v>
      </c>
      <c r="C2220" s="18">
        <v>0.98958333333333337</v>
      </c>
      <c r="D2220" s="17" t="s">
        <v>40</v>
      </c>
      <c r="E2220" s="17" t="s">
        <v>170</v>
      </c>
      <c r="F2220" s="17" t="s">
        <v>347</v>
      </c>
      <c r="G2220" s="298"/>
      <c r="H2220" s="10"/>
      <c r="I2220" s="11"/>
      <c r="J2220" s="11"/>
      <c r="K2220" s="11"/>
      <c r="L2220" s="11"/>
      <c r="M2220" s="11"/>
      <c r="N2220" s="11"/>
      <c r="O2220" s="12"/>
      <c r="P2220" s="11"/>
      <c r="Q2220" s="13"/>
      <c r="R2220" s="14"/>
    </row>
    <row r="2221" spans="1:18" ht="15" customHeight="1">
      <c r="A2221" s="15" t="s">
        <v>38</v>
      </c>
      <c r="B2221" s="15" t="s">
        <v>345</v>
      </c>
      <c r="C2221" s="16">
        <v>0.98958333333333337</v>
      </c>
      <c r="D2221" s="15" t="s">
        <v>43</v>
      </c>
      <c r="E2221" s="15" t="s">
        <v>152</v>
      </c>
      <c r="F2221" s="15" t="s">
        <v>138</v>
      </c>
      <c r="G2221" s="298"/>
      <c r="H2221" s="10"/>
      <c r="I2221" s="11"/>
      <c r="J2221" s="11"/>
      <c r="K2221" s="11"/>
      <c r="L2221" s="11"/>
      <c r="M2221" s="11"/>
      <c r="N2221" s="11"/>
      <c r="O2221" s="12"/>
      <c r="P2221" s="11"/>
      <c r="Q2221" s="13"/>
      <c r="R2221" s="14"/>
    </row>
    <row r="2222" spans="1:18" ht="15" customHeight="1">
      <c r="A2222" s="15" t="s">
        <v>38</v>
      </c>
      <c r="B2222" s="15" t="s">
        <v>345</v>
      </c>
      <c r="C2222" s="16">
        <v>0.98958333333333337</v>
      </c>
      <c r="D2222" s="15" t="s">
        <v>46</v>
      </c>
      <c r="E2222" s="15" t="s">
        <v>152</v>
      </c>
      <c r="F2222" s="15" t="s">
        <v>47</v>
      </c>
      <c r="G2222" s="298"/>
      <c r="H2222" s="10"/>
      <c r="I2222" s="11"/>
      <c r="J2222" s="11"/>
      <c r="K2222" s="11"/>
      <c r="L2222" s="11"/>
      <c r="M2222" s="11"/>
      <c r="N2222" s="11"/>
      <c r="O2222" s="12"/>
      <c r="P2222" s="11"/>
      <c r="Q2222" s="13"/>
      <c r="R2222" s="14"/>
    </row>
    <row r="2223" spans="1:18" ht="15" customHeight="1">
      <c r="A2223" s="19" t="s">
        <v>359</v>
      </c>
      <c r="B2223" s="19" t="s">
        <v>360</v>
      </c>
      <c r="C2223" s="20">
        <v>0.1701388888888889</v>
      </c>
      <c r="D2223" s="19" t="s">
        <v>361</v>
      </c>
      <c r="E2223" s="19" t="s">
        <v>80</v>
      </c>
      <c r="F2223" s="19" t="s">
        <v>534</v>
      </c>
      <c r="G2223" s="298"/>
      <c r="H2223" s="10"/>
      <c r="I2223" s="11"/>
      <c r="J2223" s="11"/>
      <c r="K2223" s="11"/>
      <c r="L2223" s="11"/>
      <c r="M2223" s="11"/>
      <c r="N2223" s="11"/>
      <c r="O2223" s="12"/>
      <c r="P2223" s="11"/>
      <c r="Q2223" s="13"/>
      <c r="R2223" s="14"/>
    </row>
    <row r="2224" spans="1:18" ht="15" customHeight="1">
      <c r="A2224" s="15" t="s">
        <v>359</v>
      </c>
      <c r="B2224" s="15" t="s">
        <v>360</v>
      </c>
      <c r="C2224" s="16">
        <v>0.1701388888888889</v>
      </c>
      <c r="D2224" s="15" t="s">
        <v>46</v>
      </c>
      <c r="E2224" s="15" t="s">
        <v>82</v>
      </c>
      <c r="F2224" s="15" t="s">
        <v>535</v>
      </c>
      <c r="G2224" s="298"/>
      <c r="H2224" s="10"/>
      <c r="I2224" s="11"/>
      <c r="J2224" s="11"/>
      <c r="K2224" s="11"/>
      <c r="L2224" s="11"/>
      <c r="M2224" s="11"/>
      <c r="N2224" s="11"/>
      <c r="O2224" s="12"/>
      <c r="P2224" s="11"/>
      <c r="Q2224" s="13"/>
      <c r="R2224" s="14"/>
    </row>
    <row r="2225" spans="1:18" ht="15" customHeight="1">
      <c r="A2225" s="17" t="s">
        <v>359</v>
      </c>
      <c r="B2225" s="17" t="s">
        <v>445</v>
      </c>
      <c r="C2225" s="18">
        <v>5.5555555555555552E-2</v>
      </c>
      <c r="D2225" s="17" t="s">
        <v>361</v>
      </c>
      <c r="E2225" s="17" t="s">
        <v>90</v>
      </c>
      <c r="F2225" s="17" t="s">
        <v>534</v>
      </c>
      <c r="G2225" s="298"/>
      <c r="H2225" s="10"/>
      <c r="I2225" s="11"/>
      <c r="J2225" s="11"/>
      <c r="K2225" s="11"/>
      <c r="L2225" s="11"/>
      <c r="M2225" s="11"/>
      <c r="N2225" s="11"/>
      <c r="O2225" s="12"/>
      <c r="P2225" s="11"/>
      <c r="Q2225" s="13"/>
      <c r="R2225" s="14"/>
    </row>
    <row r="2226" spans="1:18" ht="15" customHeight="1">
      <c r="A2226" s="15" t="s">
        <v>359</v>
      </c>
      <c r="B2226" s="15" t="s">
        <v>445</v>
      </c>
      <c r="C2226" s="16">
        <v>5.5555555555555552E-2</v>
      </c>
      <c r="D2226" s="15" t="s">
        <v>46</v>
      </c>
      <c r="E2226" s="15" t="s">
        <v>82</v>
      </c>
      <c r="F2226" s="15" t="s">
        <v>535</v>
      </c>
      <c r="G2226" s="298"/>
      <c r="H2226" s="10"/>
      <c r="I2226" s="11"/>
      <c r="J2226" s="11"/>
      <c r="K2226" s="11"/>
      <c r="L2226" s="11"/>
      <c r="M2226" s="11"/>
      <c r="N2226" s="11"/>
      <c r="O2226" s="12"/>
      <c r="P2226" s="11"/>
      <c r="Q2226" s="13"/>
      <c r="R2226" s="14"/>
    </row>
    <row r="2227" spans="1:18" ht="15" customHeight="1">
      <c r="A2227" s="78" t="s">
        <v>61</v>
      </c>
      <c r="B2227" s="78" t="s">
        <v>371</v>
      </c>
      <c r="C2227" s="79">
        <v>4.8611111111111112E-2</v>
      </c>
      <c r="D2227" s="78" t="s">
        <v>63</v>
      </c>
      <c r="E2227" s="78" t="s">
        <v>103</v>
      </c>
      <c r="F2227" s="78" t="s">
        <v>365</v>
      </c>
      <c r="G2227" s="298"/>
      <c r="H2227" s="80" t="s">
        <v>373</v>
      </c>
      <c r="I2227" s="81">
        <v>5.4000000000000003E-3</v>
      </c>
      <c r="J2227" s="82">
        <v>1</v>
      </c>
      <c r="K2227" s="83">
        <v>46294</v>
      </c>
      <c r="L2227" s="82">
        <v>1</v>
      </c>
      <c r="M2227" s="82">
        <v>0</v>
      </c>
      <c r="N2227" s="82">
        <v>0</v>
      </c>
      <c r="O2227" s="84" t="s">
        <v>431</v>
      </c>
      <c r="P2227" s="85">
        <v>4.8611111111111112E-2</v>
      </c>
      <c r="Q2227" s="82">
        <v>186</v>
      </c>
      <c r="R2227" s="86" t="s">
        <v>430</v>
      </c>
    </row>
    <row r="2228" spans="1:18" ht="15" customHeight="1">
      <c r="A2228" s="152" t="s">
        <v>61</v>
      </c>
      <c r="B2228" s="152" t="s">
        <v>377</v>
      </c>
      <c r="C2228" s="153">
        <v>0.50347222222222221</v>
      </c>
      <c r="D2228" s="152" t="s">
        <v>63</v>
      </c>
      <c r="E2228" s="152" t="s">
        <v>200</v>
      </c>
      <c r="F2228" s="152" t="s">
        <v>365</v>
      </c>
      <c r="G2228" s="298"/>
      <c r="H2228" s="100" t="s">
        <v>378</v>
      </c>
      <c r="I2228" s="101">
        <v>1.67E-2</v>
      </c>
      <c r="J2228" s="102">
        <v>3</v>
      </c>
      <c r="K2228" s="103">
        <v>46345</v>
      </c>
      <c r="L2228" s="102">
        <v>3</v>
      </c>
      <c r="M2228" s="102">
        <v>0</v>
      </c>
      <c r="N2228" s="102">
        <v>0</v>
      </c>
      <c r="O2228" s="104" t="s">
        <v>446</v>
      </c>
      <c r="P2228" s="105">
        <v>0.50347222222222221</v>
      </c>
      <c r="Q2228" s="102">
        <v>180</v>
      </c>
      <c r="R2228" s="106" t="s">
        <v>446</v>
      </c>
    </row>
    <row r="2229" spans="1:18" ht="15" customHeight="1">
      <c r="A2229" s="158" t="s">
        <v>61</v>
      </c>
      <c r="B2229" s="158" t="s">
        <v>364</v>
      </c>
      <c r="C2229" s="159">
        <v>0.90625</v>
      </c>
      <c r="D2229" s="158" t="s">
        <v>63</v>
      </c>
      <c r="E2229" s="158" t="s">
        <v>435</v>
      </c>
      <c r="F2229" s="158" t="s">
        <v>79</v>
      </c>
      <c r="G2229" s="298"/>
      <c r="H2229" s="89" t="s">
        <v>366</v>
      </c>
      <c r="I2229" s="90">
        <v>3.3300000000000003E-2</v>
      </c>
      <c r="J2229" s="91">
        <v>6</v>
      </c>
      <c r="K2229" s="92">
        <v>46343</v>
      </c>
      <c r="L2229" s="91">
        <v>6</v>
      </c>
      <c r="M2229" s="91">
        <v>0</v>
      </c>
      <c r="N2229" s="91">
        <v>0</v>
      </c>
      <c r="O2229" s="93" t="s">
        <v>299</v>
      </c>
      <c r="P2229" s="94">
        <v>0.90625</v>
      </c>
      <c r="Q2229" s="91">
        <v>180</v>
      </c>
      <c r="R2229" s="95" t="s">
        <v>436</v>
      </c>
    </row>
    <row r="2230" spans="1:18" ht="15" customHeight="1">
      <c r="A2230" s="162" t="s">
        <v>61</v>
      </c>
      <c r="B2230" s="162" t="s">
        <v>375</v>
      </c>
      <c r="C2230" s="163">
        <v>0.15625</v>
      </c>
      <c r="D2230" s="162" t="s">
        <v>63</v>
      </c>
      <c r="E2230" s="162" t="s">
        <v>435</v>
      </c>
      <c r="F2230" s="162" t="s">
        <v>79</v>
      </c>
      <c r="G2230" s="298"/>
      <c r="H2230" s="60" t="s">
        <v>376</v>
      </c>
      <c r="I2230" s="61">
        <v>3.3300000000000003E-2</v>
      </c>
      <c r="J2230" s="62">
        <v>6</v>
      </c>
      <c r="K2230" s="63">
        <v>46339</v>
      </c>
      <c r="L2230" s="62">
        <v>6</v>
      </c>
      <c r="M2230" s="62">
        <v>0</v>
      </c>
      <c r="N2230" s="62">
        <v>0</v>
      </c>
      <c r="O2230" s="64" t="s">
        <v>299</v>
      </c>
      <c r="P2230" s="65">
        <v>0.15625</v>
      </c>
      <c r="Q2230" s="62">
        <v>180</v>
      </c>
      <c r="R2230" s="66" t="s">
        <v>436</v>
      </c>
    </row>
    <row r="2231" spans="1:18" ht="15" customHeight="1">
      <c r="A2231" s="19" t="s">
        <v>26</v>
      </c>
      <c r="B2231" s="19" t="s">
        <v>354</v>
      </c>
      <c r="C2231" s="20">
        <v>0.34722222222222232</v>
      </c>
      <c r="D2231" s="19" t="s">
        <v>28</v>
      </c>
      <c r="E2231" s="19" t="s">
        <v>143</v>
      </c>
      <c r="F2231" s="19" t="s">
        <v>83</v>
      </c>
      <c r="G2231" s="298"/>
      <c r="H2231" s="10"/>
      <c r="I2231" s="11"/>
      <c r="J2231" s="11"/>
      <c r="K2231" s="11"/>
      <c r="L2231" s="11"/>
      <c r="M2231" s="11"/>
      <c r="N2231" s="11"/>
      <c r="O2231" s="12"/>
      <c r="P2231" s="11"/>
      <c r="Q2231" s="13"/>
      <c r="R2231" s="14"/>
    </row>
    <row r="2232" spans="1:18" ht="15" customHeight="1">
      <c r="A2232" s="15" t="s">
        <v>26</v>
      </c>
      <c r="B2232" s="15" t="s">
        <v>354</v>
      </c>
      <c r="C2232" s="16">
        <v>0.34722222222222232</v>
      </c>
      <c r="D2232" s="15" t="s">
        <v>31</v>
      </c>
      <c r="E2232" s="15" t="s">
        <v>92</v>
      </c>
      <c r="F2232" s="15" t="s">
        <v>159</v>
      </c>
      <c r="G2232" s="298"/>
      <c r="H2232" s="10"/>
      <c r="I2232" s="11"/>
      <c r="J2232" s="11"/>
      <c r="K2232" s="11"/>
      <c r="L2232" s="11"/>
      <c r="M2232" s="11"/>
      <c r="N2232" s="11"/>
      <c r="O2232" s="12"/>
      <c r="P2232" s="11"/>
      <c r="Q2232" s="13"/>
      <c r="R2232" s="14"/>
    </row>
    <row r="2233" spans="1:18" ht="15" customHeight="1">
      <c r="A2233" s="15" t="s">
        <v>26</v>
      </c>
      <c r="B2233" s="15" t="s">
        <v>354</v>
      </c>
      <c r="C2233" s="16">
        <v>0.34722222222222232</v>
      </c>
      <c r="D2233" s="15" t="s">
        <v>34</v>
      </c>
      <c r="E2233" s="15" t="s">
        <v>92</v>
      </c>
      <c r="F2233" s="15" t="s">
        <v>355</v>
      </c>
      <c r="G2233" s="298"/>
      <c r="H2233" s="10"/>
      <c r="I2233" s="11"/>
      <c r="J2233" s="11"/>
      <c r="K2233" s="11"/>
      <c r="L2233" s="11"/>
      <c r="M2233" s="11"/>
      <c r="N2233" s="11"/>
      <c r="O2233" s="12"/>
      <c r="P2233" s="11"/>
      <c r="Q2233" s="13"/>
      <c r="R2233" s="14"/>
    </row>
    <row r="2234" spans="1:18" ht="15" customHeight="1">
      <c r="A2234" s="17" t="s">
        <v>26</v>
      </c>
      <c r="B2234" s="17" t="s">
        <v>351</v>
      </c>
      <c r="C2234" s="18">
        <v>0.83680555555555547</v>
      </c>
      <c r="D2234" s="17" t="s">
        <v>28</v>
      </c>
      <c r="E2234" s="17" t="s">
        <v>37</v>
      </c>
      <c r="F2234" s="17" t="s">
        <v>83</v>
      </c>
      <c r="G2234" s="298"/>
      <c r="H2234" s="10"/>
      <c r="I2234" s="11"/>
      <c r="J2234" s="11"/>
      <c r="K2234" s="11"/>
      <c r="L2234" s="11"/>
      <c r="M2234" s="11"/>
      <c r="N2234" s="11"/>
      <c r="O2234" s="12"/>
      <c r="P2234" s="11"/>
      <c r="Q2234" s="13"/>
      <c r="R2234" s="14"/>
    </row>
    <row r="2235" spans="1:18" ht="15" customHeight="1">
      <c r="A2235" s="15" t="s">
        <v>26</v>
      </c>
      <c r="B2235" s="15" t="s">
        <v>351</v>
      </c>
      <c r="C2235" s="16">
        <v>0.83680555555555547</v>
      </c>
      <c r="D2235" s="15" t="s">
        <v>31</v>
      </c>
      <c r="E2235" s="15" t="s">
        <v>32</v>
      </c>
      <c r="F2235" s="15" t="s">
        <v>159</v>
      </c>
      <c r="G2235" s="298"/>
      <c r="H2235" s="10"/>
      <c r="I2235" s="11"/>
      <c r="J2235" s="11"/>
      <c r="K2235" s="11"/>
      <c r="L2235" s="11"/>
      <c r="M2235" s="11"/>
      <c r="N2235" s="11"/>
      <c r="O2235" s="12"/>
      <c r="P2235" s="11"/>
      <c r="Q2235" s="13"/>
      <c r="R2235" s="14"/>
    </row>
    <row r="2236" spans="1:18" ht="15" customHeight="1">
      <c r="A2236" s="15" t="s">
        <v>26</v>
      </c>
      <c r="B2236" s="15" t="s">
        <v>351</v>
      </c>
      <c r="C2236" s="16">
        <v>0.83680555555555547</v>
      </c>
      <c r="D2236" s="15" t="s">
        <v>34</v>
      </c>
      <c r="E2236" s="15" t="s">
        <v>32</v>
      </c>
      <c r="F2236" s="15" t="s">
        <v>355</v>
      </c>
      <c r="G2236" s="298"/>
      <c r="H2236" s="10"/>
      <c r="I2236" s="11"/>
      <c r="J2236" s="11"/>
      <c r="K2236" s="11"/>
      <c r="L2236" s="11"/>
      <c r="M2236" s="11"/>
      <c r="N2236" s="11"/>
      <c r="O2236" s="12"/>
      <c r="P2236" s="11"/>
      <c r="Q2236" s="13"/>
      <c r="R2236" s="14"/>
    </row>
    <row r="2237" spans="1:18" ht="15" customHeight="1">
      <c r="A2237" s="17" t="s">
        <v>26</v>
      </c>
      <c r="B2237" s="17" t="s">
        <v>353</v>
      </c>
      <c r="C2237" s="18">
        <v>0.88888888888888884</v>
      </c>
      <c r="D2237" s="17" t="s">
        <v>28</v>
      </c>
      <c r="E2237" s="17" t="s">
        <v>200</v>
      </c>
      <c r="F2237" s="17" t="s">
        <v>83</v>
      </c>
      <c r="G2237" s="298"/>
      <c r="H2237" s="10"/>
      <c r="I2237" s="11"/>
      <c r="J2237" s="11"/>
      <c r="K2237" s="11"/>
      <c r="L2237" s="11"/>
      <c r="M2237" s="11"/>
      <c r="N2237" s="11"/>
      <c r="O2237" s="12"/>
      <c r="P2237" s="11"/>
      <c r="Q2237" s="13"/>
      <c r="R2237" s="14"/>
    </row>
    <row r="2238" spans="1:18" ht="15" customHeight="1">
      <c r="A2238" s="15" t="s">
        <v>26</v>
      </c>
      <c r="B2238" s="15" t="s">
        <v>353</v>
      </c>
      <c r="C2238" s="16">
        <v>0.88888888888888884</v>
      </c>
      <c r="D2238" s="15" t="s">
        <v>31</v>
      </c>
      <c r="E2238" s="15" t="s">
        <v>127</v>
      </c>
      <c r="F2238" s="15" t="s">
        <v>159</v>
      </c>
      <c r="G2238" s="298"/>
      <c r="H2238" s="10"/>
      <c r="I2238" s="11"/>
      <c r="J2238" s="11"/>
      <c r="K2238" s="11"/>
      <c r="L2238" s="11"/>
      <c r="M2238" s="11"/>
      <c r="N2238" s="11"/>
      <c r="O2238" s="12"/>
      <c r="P2238" s="11"/>
      <c r="Q2238" s="13"/>
      <c r="R2238" s="14"/>
    </row>
    <row r="2239" spans="1:18" ht="15" customHeight="1">
      <c r="A2239" s="15" t="s">
        <v>26</v>
      </c>
      <c r="B2239" s="15" t="s">
        <v>353</v>
      </c>
      <c r="C2239" s="16">
        <v>0.88888888888888884</v>
      </c>
      <c r="D2239" s="15" t="s">
        <v>34</v>
      </c>
      <c r="E2239" s="15" t="s">
        <v>127</v>
      </c>
      <c r="F2239" s="15" t="s">
        <v>355</v>
      </c>
      <c r="G2239" s="298"/>
      <c r="H2239" s="10"/>
      <c r="I2239" s="11"/>
      <c r="J2239" s="11"/>
      <c r="K2239" s="11"/>
      <c r="L2239" s="11"/>
      <c r="M2239" s="11"/>
      <c r="N2239" s="11"/>
      <c r="O2239" s="12"/>
      <c r="P2239" s="11"/>
      <c r="Q2239" s="13"/>
      <c r="R2239" s="14"/>
    </row>
    <row r="2240" spans="1:18" ht="15" customHeight="1">
      <c r="A2240" s="17" t="s">
        <v>26</v>
      </c>
      <c r="B2240" s="17" t="s">
        <v>348</v>
      </c>
      <c r="C2240" s="18">
        <v>0.99305555555555547</v>
      </c>
      <c r="D2240" s="17" t="s">
        <v>28</v>
      </c>
      <c r="E2240" s="17" t="s">
        <v>98</v>
      </c>
      <c r="F2240" s="17" t="s">
        <v>79</v>
      </c>
      <c r="G2240" s="298"/>
      <c r="H2240" s="10"/>
      <c r="I2240" s="11"/>
      <c r="J2240" s="11"/>
      <c r="K2240" s="11"/>
      <c r="L2240" s="11"/>
      <c r="M2240" s="11"/>
      <c r="N2240" s="11"/>
      <c r="O2240" s="12"/>
      <c r="P2240" s="11"/>
      <c r="Q2240" s="13"/>
      <c r="R2240" s="14"/>
    </row>
    <row r="2241" spans="1:18" ht="15" customHeight="1">
      <c r="A2241" s="15" t="s">
        <v>26</v>
      </c>
      <c r="B2241" s="15" t="s">
        <v>348</v>
      </c>
      <c r="C2241" s="16">
        <v>0.99305555555555547</v>
      </c>
      <c r="D2241" s="15" t="s">
        <v>31</v>
      </c>
      <c r="E2241" s="15" t="s">
        <v>99</v>
      </c>
      <c r="F2241" s="15" t="s">
        <v>123</v>
      </c>
      <c r="G2241" s="298"/>
      <c r="H2241" s="10"/>
      <c r="I2241" s="11"/>
      <c r="J2241" s="11"/>
      <c r="K2241" s="11"/>
      <c r="L2241" s="11"/>
      <c r="M2241" s="11"/>
      <c r="N2241" s="11"/>
      <c r="O2241" s="12"/>
      <c r="P2241" s="11"/>
      <c r="Q2241" s="13"/>
      <c r="R2241" s="14"/>
    </row>
    <row r="2242" spans="1:18" ht="15" customHeight="1">
      <c r="A2242" s="15" t="s">
        <v>26</v>
      </c>
      <c r="B2242" s="15" t="s">
        <v>348</v>
      </c>
      <c r="C2242" s="16">
        <v>0.99305555555555547</v>
      </c>
      <c r="D2242" s="15" t="s">
        <v>34</v>
      </c>
      <c r="E2242" s="15" t="s">
        <v>99</v>
      </c>
      <c r="F2242" s="15" t="s">
        <v>118</v>
      </c>
      <c r="G2242" s="298"/>
      <c r="H2242" s="10"/>
      <c r="I2242" s="11"/>
      <c r="J2242" s="11"/>
      <c r="K2242" s="11"/>
      <c r="L2242" s="11"/>
      <c r="M2242" s="11"/>
      <c r="N2242" s="11"/>
      <c r="O2242" s="12"/>
      <c r="P2242" s="11"/>
      <c r="Q2242" s="13"/>
      <c r="R2242" s="14"/>
    </row>
    <row r="2243" spans="1:18" ht="15" customHeight="1">
      <c r="A2243" s="17" t="s">
        <v>26</v>
      </c>
      <c r="B2243" s="17" t="s">
        <v>350</v>
      </c>
      <c r="C2243" s="18">
        <v>0.73611111111111116</v>
      </c>
      <c r="D2243" s="17" t="s">
        <v>28</v>
      </c>
      <c r="E2243" s="17" t="s">
        <v>37</v>
      </c>
      <c r="F2243" s="17" t="s">
        <v>79</v>
      </c>
      <c r="G2243" s="298"/>
      <c r="H2243" s="10"/>
      <c r="I2243" s="11"/>
      <c r="J2243" s="11"/>
      <c r="K2243" s="11"/>
      <c r="L2243" s="11"/>
      <c r="M2243" s="11"/>
      <c r="N2243" s="11"/>
      <c r="O2243" s="12"/>
      <c r="P2243" s="11"/>
      <c r="Q2243" s="13"/>
      <c r="R2243" s="14"/>
    </row>
    <row r="2244" spans="1:18" ht="15" customHeight="1">
      <c r="A2244" s="15" t="s">
        <v>26</v>
      </c>
      <c r="B2244" s="15" t="s">
        <v>350</v>
      </c>
      <c r="C2244" s="16">
        <v>0.73611111111111116</v>
      </c>
      <c r="D2244" s="15" t="s">
        <v>31</v>
      </c>
      <c r="E2244" s="15" t="s">
        <v>32</v>
      </c>
      <c r="F2244" s="15" t="s">
        <v>123</v>
      </c>
      <c r="G2244" s="298"/>
      <c r="H2244" s="10"/>
      <c r="I2244" s="11"/>
      <c r="J2244" s="11"/>
      <c r="K2244" s="11"/>
      <c r="L2244" s="11"/>
      <c r="M2244" s="11"/>
      <c r="N2244" s="11"/>
      <c r="O2244" s="12"/>
      <c r="P2244" s="11"/>
      <c r="Q2244" s="13"/>
      <c r="R2244" s="14"/>
    </row>
    <row r="2245" spans="1:18" ht="15" customHeight="1">
      <c r="A2245" s="15" t="s">
        <v>26</v>
      </c>
      <c r="B2245" s="15" t="s">
        <v>350</v>
      </c>
      <c r="C2245" s="16">
        <v>0.73611111111111116</v>
      </c>
      <c r="D2245" s="15" t="s">
        <v>34</v>
      </c>
      <c r="E2245" s="15" t="s">
        <v>32</v>
      </c>
      <c r="F2245" s="15" t="s">
        <v>118</v>
      </c>
      <c r="G2245" s="298"/>
      <c r="H2245" s="10"/>
      <c r="I2245" s="11"/>
      <c r="J2245" s="11"/>
      <c r="K2245" s="11"/>
      <c r="L2245" s="11"/>
      <c r="M2245" s="11"/>
      <c r="N2245" s="11"/>
      <c r="O2245" s="12"/>
      <c r="P2245" s="11"/>
      <c r="Q2245" s="13"/>
      <c r="R2245" s="14"/>
    </row>
    <row r="2246" spans="1:18" ht="15" customHeight="1">
      <c r="A2246" s="17" t="s">
        <v>26</v>
      </c>
      <c r="B2246" s="17" t="s">
        <v>352</v>
      </c>
      <c r="C2246" s="18">
        <v>0.94444444444444453</v>
      </c>
      <c r="D2246" s="17" t="s">
        <v>28</v>
      </c>
      <c r="E2246" s="17" t="s">
        <v>98</v>
      </c>
      <c r="F2246" s="17" t="s">
        <v>45</v>
      </c>
      <c r="G2246" s="298"/>
      <c r="H2246" s="10"/>
      <c r="I2246" s="11"/>
      <c r="J2246" s="11"/>
      <c r="K2246" s="11"/>
      <c r="L2246" s="11"/>
      <c r="M2246" s="11"/>
      <c r="N2246" s="11"/>
      <c r="O2246" s="12"/>
      <c r="P2246" s="11"/>
      <c r="Q2246" s="13"/>
      <c r="R2246" s="14"/>
    </row>
    <row r="2247" spans="1:18" ht="15" customHeight="1">
      <c r="A2247" s="15" t="s">
        <v>26</v>
      </c>
      <c r="B2247" s="15" t="s">
        <v>352</v>
      </c>
      <c r="C2247" s="16">
        <v>0.94444444444444453</v>
      </c>
      <c r="D2247" s="15" t="s">
        <v>31</v>
      </c>
      <c r="E2247" s="15" t="s">
        <v>99</v>
      </c>
      <c r="F2247" s="15" t="s">
        <v>355</v>
      </c>
      <c r="G2247" s="298"/>
      <c r="H2247" s="10"/>
      <c r="I2247" s="11"/>
      <c r="J2247" s="11"/>
      <c r="K2247" s="11"/>
      <c r="L2247" s="11"/>
      <c r="M2247" s="11"/>
      <c r="N2247" s="11"/>
      <c r="O2247" s="12"/>
      <c r="P2247" s="11"/>
      <c r="Q2247" s="13"/>
      <c r="R2247" s="14"/>
    </row>
    <row r="2248" spans="1:18" ht="15" customHeight="1">
      <c r="A2248" s="15" t="s">
        <v>26</v>
      </c>
      <c r="B2248" s="15" t="s">
        <v>352</v>
      </c>
      <c r="C2248" s="16">
        <v>0.94444444444444453</v>
      </c>
      <c r="D2248" s="15" t="s">
        <v>34</v>
      </c>
      <c r="E2248" s="15" t="s">
        <v>99</v>
      </c>
      <c r="F2248" s="15" t="s">
        <v>358</v>
      </c>
      <c r="G2248" s="298"/>
      <c r="H2248" s="10"/>
      <c r="I2248" s="11"/>
      <c r="J2248" s="11"/>
      <c r="K2248" s="11"/>
      <c r="L2248" s="11"/>
      <c r="M2248" s="11"/>
      <c r="N2248" s="11"/>
      <c r="O2248" s="12"/>
      <c r="P2248" s="11"/>
      <c r="Q2248" s="13"/>
      <c r="R2248" s="14"/>
    </row>
    <row r="2249" spans="1:18" ht="15" customHeight="1">
      <c r="A2249" s="17" t="s">
        <v>26</v>
      </c>
      <c r="B2249" s="17" t="s">
        <v>357</v>
      </c>
      <c r="C2249" s="18">
        <v>0.3923611111111111</v>
      </c>
      <c r="D2249" s="17" t="s">
        <v>28</v>
      </c>
      <c r="E2249" s="17" t="s">
        <v>98</v>
      </c>
      <c r="F2249" s="17" t="s">
        <v>45</v>
      </c>
      <c r="G2249" s="298"/>
      <c r="H2249" s="10"/>
      <c r="I2249" s="11"/>
      <c r="J2249" s="11"/>
      <c r="K2249" s="11"/>
      <c r="L2249" s="11"/>
      <c r="M2249" s="11"/>
      <c r="N2249" s="11"/>
      <c r="O2249" s="12"/>
      <c r="P2249" s="11"/>
      <c r="Q2249" s="13"/>
      <c r="R2249" s="14"/>
    </row>
    <row r="2250" spans="1:18" ht="15" customHeight="1">
      <c r="A2250" s="15" t="s">
        <v>26</v>
      </c>
      <c r="B2250" s="15" t="s">
        <v>357</v>
      </c>
      <c r="C2250" s="16">
        <v>0.3923611111111111</v>
      </c>
      <c r="D2250" s="15" t="s">
        <v>31</v>
      </c>
      <c r="E2250" s="15" t="s">
        <v>99</v>
      </c>
      <c r="F2250" s="15" t="s">
        <v>355</v>
      </c>
      <c r="G2250" s="298"/>
      <c r="H2250" s="10"/>
      <c r="I2250" s="11"/>
      <c r="J2250" s="11"/>
      <c r="K2250" s="11"/>
      <c r="L2250" s="11"/>
      <c r="M2250" s="11"/>
      <c r="N2250" s="11"/>
      <c r="O2250" s="12"/>
      <c r="P2250" s="11"/>
      <c r="Q2250" s="13"/>
      <c r="R2250" s="14"/>
    </row>
    <row r="2251" spans="1:18" ht="15" customHeight="1">
      <c r="A2251" s="15" t="s">
        <v>26</v>
      </c>
      <c r="B2251" s="15" t="s">
        <v>357</v>
      </c>
      <c r="C2251" s="16">
        <v>0.3923611111111111</v>
      </c>
      <c r="D2251" s="15" t="s">
        <v>34</v>
      </c>
      <c r="E2251" s="15" t="s">
        <v>99</v>
      </c>
      <c r="F2251" s="15" t="s">
        <v>358</v>
      </c>
      <c r="G2251" s="298"/>
      <c r="H2251" s="10"/>
      <c r="I2251" s="11"/>
      <c r="J2251" s="11"/>
      <c r="K2251" s="11"/>
      <c r="L2251" s="11"/>
      <c r="M2251" s="11"/>
      <c r="N2251" s="11"/>
      <c r="O2251" s="12"/>
      <c r="P2251" s="11"/>
      <c r="Q2251" s="13"/>
      <c r="R2251" s="14"/>
    </row>
    <row r="2252" spans="1:18" ht="15" customHeight="1">
      <c r="A2252" s="17" t="s">
        <v>26</v>
      </c>
      <c r="B2252" s="17" t="s">
        <v>356</v>
      </c>
      <c r="C2252" s="18">
        <v>0.4861111111111111</v>
      </c>
      <c r="D2252" s="17" t="s">
        <v>28</v>
      </c>
      <c r="E2252" s="17" t="s">
        <v>134</v>
      </c>
      <c r="F2252" s="17" t="s">
        <v>455</v>
      </c>
      <c r="G2252" s="298"/>
      <c r="H2252" s="10"/>
      <c r="I2252" s="11"/>
      <c r="J2252" s="11"/>
      <c r="K2252" s="11"/>
      <c r="L2252" s="11"/>
      <c r="M2252" s="11"/>
      <c r="N2252" s="11"/>
      <c r="O2252" s="12"/>
      <c r="P2252" s="11"/>
      <c r="Q2252" s="13"/>
      <c r="R2252" s="14"/>
    </row>
    <row r="2253" spans="1:18" ht="15" customHeight="1">
      <c r="A2253" s="15" t="s">
        <v>26</v>
      </c>
      <c r="B2253" s="15" t="s">
        <v>356</v>
      </c>
      <c r="C2253" s="16">
        <v>0.4861111111111111</v>
      </c>
      <c r="D2253" s="15" t="s">
        <v>31</v>
      </c>
      <c r="E2253" s="15" t="s">
        <v>135</v>
      </c>
      <c r="F2253" s="15" t="s">
        <v>456</v>
      </c>
      <c r="G2253" s="298"/>
      <c r="H2253" s="10"/>
      <c r="I2253" s="11"/>
      <c r="J2253" s="11"/>
      <c r="K2253" s="11"/>
      <c r="L2253" s="11"/>
      <c r="M2253" s="11"/>
      <c r="N2253" s="11"/>
      <c r="O2253" s="12"/>
      <c r="P2253" s="11"/>
      <c r="Q2253" s="13"/>
      <c r="R2253" s="14"/>
    </row>
    <row r="2254" spans="1:18" ht="15" customHeight="1">
      <c r="A2254" s="15" t="s">
        <v>26</v>
      </c>
      <c r="B2254" s="15" t="s">
        <v>356</v>
      </c>
      <c r="C2254" s="16">
        <v>0.4861111111111111</v>
      </c>
      <c r="D2254" s="15" t="s">
        <v>34</v>
      </c>
      <c r="E2254" s="15" t="s">
        <v>135</v>
      </c>
      <c r="F2254" s="15" t="s">
        <v>457</v>
      </c>
      <c r="G2254" s="298"/>
      <c r="H2254" s="10"/>
      <c r="I2254" s="11"/>
      <c r="J2254" s="11"/>
      <c r="K2254" s="11"/>
      <c r="L2254" s="11"/>
      <c r="M2254" s="11"/>
      <c r="N2254" s="11"/>
      <c r="O2254" s="12"/>
      <c r="P2254" s="11"/>
      <c r="Q2254" s="13"/>
      <c r="R2254" s="14"/>
    </row>
    <row r="2255" spans="1:18" ht="15" customHeight="1">
      <c r="A2255" s="19" t="s">
        <v>402</v>
      </c>
      <c r="B2255" s="19" t="s">
        <v>403</v>
      </c>
      <c r="C2255" s="20">
        <v>0.49305555555555558</v>
      </c>
      <c r="D2255" s="19" t="s">
        <v>63</v>
      </c>
      <c r="E2255" s="19" t="s">
        <v>29</v>
      </c>
      <c r="F2255" s="19" t="s">
        <v>404</v>
      </c>
      <c r="G2255" s="298"/>
      <c r="H2255" s="10"/>
      <c r="I2255" s="11"/>
      <c r="J2255" s="11"/>
      <c r="K2255" s="11"/>
      <c r="L2255" s="11"/>
      <c r="M2255" s="11"/>
      <c r="N2255" s="11"/>
      <c r="O2255" s="12"/>
      <c r="P2255" s="11"/>
      <c r="Q2255" s="13"/>
      <c r="R2255" s="14"/>
    </row>
    <row r="2256" spans="1:18" ht="15" customHeight="1">
      <c r="A2256" s="19" t="s">
        <v>68</v>
      </c>
      <c r="B2256" s="19" t="s">
        <v>405</v>
      </c>
      <c r="C2256" s="20">
        <v>0.83680555555555547</v>
      </c>
      <c r="D2256" s="19" t="s">
        <v>70</v>
      </c>
      <c r="E2256" s="19" t="s">
        <v>51</v>
      </c>
      <c r="F2256" s="19" t="s">
        <v>406</v>
      </c>
      <c r="G2256" s="298"/>
      <c r="H2256" s="10"/>
      <c r="I2256" s="11"/>
      <c r="J2256" s="11"/>
      <c r="K2256" s="11"/>
      <c r="L2256" s="11"/>
      <c r="M2256" s="11"/>
      <c r="N2256" s="11"/>
      <c r="O2256" s="12"/>
      <c r="P2256" s="11"/>
      <c r="Q2256" s="13"/>
      <c r="R2256" s="14"/>
    </row>
    <row r="2257" spans="1:18" ht="15" customHeight="1">
      <c r="A2257" s="17" t="s">
        <v>68</v>
      </c>
      <c r="B2257" s="17" t="s">
        <v>408</v>
      </c>
      <c r="C2257" s="18">
        <v>0.97222222222222221</v>
      </c>
      <c r="D2257" s="17" t="s">
        <v>70</v>
      </c>
      <c r="E2257" s="17" t="s">
        <v>57</v>
      </c>
      <c r="F2257" s="17" t="s">
        <v>406</v>
      </c>
      <c r="G2257" s="298"/>
      <c r="H2257" s="10"/>
      <c r="I2257" s="11"/>
      <c r="J2257" s="11"/>
      <c r="K2257" s="11"/>
      <c r="L2257" s="11"/>
      <c r="M2257" s="11"/>
      <c r="N2257" s="11"/>
      <c r="O2257" s="12"/>
      <c r="P2257" s="11"/>
      <c r="Q2257" s="13"/>
      <c r="R2257" s="14"/>
    </row>
    <row r="2258" spans="1:18" ht="15" customHeight="1">
      <c r="A2258" s="17" t="s">
        <v>68</v>
      </c>
      <c r="B2258" s="17" t="s">
        <v>437</v>
      </c>
      <c r="C2258" s="18">
        <v>0.1041666666666667</v>
      </c>
      <c r="D2258" s="17" t="s">
        <v>70</v>
      </c>
      <c r="E2258" s="17" t="s">
        <v>57</v>
      </c>
      <c r="F2258" s="17" t="s">
        <v>406</v>
      </c>
      <c r="G2258" s="298"/>
      <c r="H2258" s="10"/>
      <c r="I2258" s="11"/>
      <c r="J2258" s="11"/>
      <c r="K2258" s="11"/>
      <c r="L2258" s="11"/>
      <c r="M2258" s="11"/>
      <c r="N2258" s="11"/>
      <c r="O2258" s="12"/>
      <c r="P2258" s="11"/>
      <c r="Q2258" s="13"/>
      <c r="R2258" s="14"/>
    </row>
    <row r="2259" spans="1:18" ht="15" customHeight="1">
      <c r="A2259" s="17" t="s">
        <v>68</v>
      </c>
      <c r="B2259" s="17" t="s">
        <v>409</v>
      </c>
      <c r="C2259" s="18">
        <v>0.34027777777777768</v>
      </c>
      <c r="D2259" s="17" t="s">
        <v>70</v>
      </c>
      <c r="E2259" s="17" t="s">
        <v>57</v>
      </c>
      <c r="F2259" s="17" t="s">
        <v>406</v>
      </c>
      <c r="G2259" s="298"/>
      <c r="H2259" s="10"/>
      <c r="I2259" s="11"/>
      <c r="J2259" s="11"/>
      <c r="K2259" s="11"/>
      <c r="L2259" s="11"/>
      <c r="M2259" s="11"/>
      <c r="N2259" s="11"/>
      <c r="O2259" s="12"/>
      <c r="P2259" s="11"/>
      <c r="Q2259" s="13"/>
      <c r="R2259" s="14"/>
    </row>
    <row r="2260" spans="1:18" ht="15" customHeight="1">
      <c r="A2260" s="17" t="s">
        <v>68</v>
      </c>
      <c r="B2260" s="17" t="s">
        <v>411</v>
      </c>
      <c r="C2260" s="18">
        <v>0.78472222222222221</v>
      </c>
      <c r="D2260" s="17" t="s">
        <v>70</v>
      </c>
      <c r="E2260" s="17" t="s">
        <v>57</v>
      </c>
      <c r="F2260" s="17" t="s">
        <v>406</v>
      </c>
      <c r="G2260" s="298"/>
      <c r="H2260" s="10"/>
      <c r="I2260" s="11"/>
      <c r="J2260" s="11"/>
      <c r="K2260" s="11"/>
      <c r="L2260" s="11"/>
      <c r="M2260" s="11"/>
      <c r="N2260" s="11"/>
      <c r="O2260" s="12"/>
      <c r="P2260" s="11"/>
      <c r="Q2260" s="13"/>
      <c r="R2260" s="14"/>
    </row>
    <row r="2261" spans="1:18" ht="15" customHeight="1">
      <c r="A2261" s="17" t="s">
        <v>68</v>
      </c>
      <c r="B2261" s="17" t="s">
        <v>410</v>
      </c>
      <c r="C2261" s="18">
        <v>0.59722222222222221</v>
      </c>
      <c r="D2261" s="17" t="s">
        <v>70</v>
      </c>
      <c r="E2261" s="17" t="s">
        <v>57</v>
      </c>
      <c r="F2261" s="17" t="s">
        <v>406</v>
      </c>
      <c r="G2261" s="298"/>
      <c r="H2261" s="10"/>
      <c r="I2261" s="11"/>
      <c r="J2261" s="11"/>
      <c r="K2261" s="11"/>
      <c r="L2261" s="11"/>
      <c r="M2261" s="11"/>
      <c r="N2261" s="11"/>
      <c r="O2261" s="12"/>
      <c r="P2261" s="11"/>
      <c r="Q2261" s="13"/>
      <c r="R2261" s="14"/>
    </row>
    <row r="2262" spans="1:18" ht="15" customHeight="1">
      <c r="A2262" s="17" t="s">
        <v>68</v>
      </c>
      <c r="B2262" s="17" t="s">
        <v>413</v>
      </c>
      <c r="C2262" s="18">
        <v>4.8611111111111112E-2</v>
      </c>
      <c r="D2262" s="17" t="s">
        <v>70</v>
      </c>
      <c r="E2262" s="17" t="s">
        <v>57</v>
      </c>
      <c r="F2262" s="17" t="s">
        <v>406</v>
      </c>
      <c r="G2262" s="298"/>
      <c r="H2262" s="10"/>
      <c r="I2262" s="11"/>
      <c r="J2262" s="11"/>
      <c r="K2262" s="11"/>
      <c r="L2262" s="11"/>
      <c r="M2262" s="11"/>
      <c r="N2262" s="11"/>
      <c r="O2262" s="12"/>
      <c r="P2262" s="11"/>
      <c r="Q2262" s="13"/>
      <c r="R2262" s="14"/>
    </row>
    <row r="2263" spans="1:18" ht="15" customHeight="1">
      <c r="A2263" s="17" t="s">
        <v>68</v>
      </c>
      <c r="B2263" s="17" t="s">
        <v>407</v>
      </c>
      <c r="C2263" s="18">
        <v>0.3125</v>
      </c>
      <c r="D2263" s="17" t="s">
        <v>70</v>
      </c>
      <c r="E2263" s="17" t="s">
        <v>57</v>
      </c>
      <c r="F2263" s="17" t="s">
        <v>412</v>
      </c>
      <c r="G2263" s="298"/>
      <c r="H2263" s="10"/>
      <c r="I2263" s="11"/>
      <c r="J2263" s="11"/>
      <c r="K2263" s="11"/>
      <c r="L2263" s="11"/>
      <c r="M2263" s="11"/>
      <c r="N2263" s="11"/>
      <c r="O2263" s="12"/>
      <c r="P2263" s="11"/>
      <c r="Q2263" s="13"/>
      <c r="R2263" s="14"/>
    </row>
    <row r="2264" spans="1:18" ht="15" customHeight="1">
      <c r="A2264" s="19" t="s">
        <v>48</v>
      </c>
      <c r="B2264" s="19" t="s">
        <v>396</v>
      </c>
      <c r="C2264" s="20">
        <v>0.48958333333333331</v>
      </c>
      <c r="D2264" s="19" t="s">
        <v>53</v>
      </c>
      <c r="E2264" s="19" t="s">
        <v>29</v>
      </c>
      <c r="F2264" s="19" t="s">
        <v>438</v>
      </c>
      <c r="G2264" s="298"/>
      <c r="H2264" s="10"/>
      <c r="I2264" s="11"/>
      <c r="J2264" s="11"/>
      <c r="K2264" s="11"/>
      <c r="L2264" s="11"/>
      <c r="M2264" s="11"/>
      <c r="N2264" s="11"/>
      <c r="O2264" s="12"/>
      <c r="P2264" s="11"/>
      <c r="Q2264" s="13"/>
      <c r="R2264" s="14"/>
    </row>
    <row r="2265" spans="1:18" ht="15" customHeight="1">
      <c r="A2265" s="17" t="s">
        <v>48</v>
      </c>
      <c r="B2265" s="17" t="s">
        <v>394</v>
      </c>
      <c r="C2265" s="18">
        <v>0.98958333333333337</v>
      </c>
      <c r="D2265" s="17" t="s">
        <v>53</v>
      </c>
      <c r="E2265" s="17" t="s">
        <v>37</v>
      </c>
      <c r="F2265" s="17" t="s">
        <v>399</v>
      </c>
      <c r="G2265" s="298"/>
      <c r="H2265" s="10"/>
      <c r="I2265" s="11"/>
      <c r="J2265" s="11"/>
      <c r="K2265" s="11"/>
      <c r="L2265" s="11"/>
      <c r="M2265" s="11"/>
      <c r="N2265" s="11"/>
      <c r="O2265" s="12"/>
      <c r="P2265" s="11"/>
      <c r="Q2265" s="13"/>
      <c r="R2265" s="14"/>
    </row>
    <row r="2266" spans="1:18" ht="15" customHeight="1">
      <c r="A2266" s="17" t="s">
        <v>48</v>
      </c>
      <c r="B2266" s="17" t="s">
        <v>398</v>
      </c>
      <c r="C2266" s="18">
        <v>0.39930555555555558</v>
      </c>
      <c r="D2266" s="17" t="s">
        <v>53</v>
      </c>
      <c r="E2266" s="17" t="s">
        <v>37</v>
      </c>
      <c r="F2266" s="17" t="s">
        <v>399</v>
      </c>
      <c r="G2266" s="298"/>
      <c r="H2266" s="10"/>
      <c r="I2266" s="11"/>
      <c r="J2266" s="11"/>
      <c r="K2266" s="11"/>
      <c r="L2266" s="11"/>
      <c r="M2266" s="11"/>
      <c r="N2266" s="11"/>
      <c r="O2266" s="12"/>
      <c r="P2266" s="11"/>
      <c r="Q2266" s="13"/>
      <c r="R2266" s="14"/>
    </row>
    <row r="2267" spans="1:18" ht="15" customHeight="1">
      <c r="A2267" s="17" t="s">
        <v>48</v>
      </c>
      <c r="B2267" s="17" t="s">
        <v>397</v>
      </c>
      <c r="C2267" s="18">
        <v>0.88888888888888884</v>
      </c>
      <c r="D2267" s="17" t="s">
        <v>53</v>
      </c>
      <c r="E2267" s="17" t="s">
        <v>37</v>
      </c>
      <c r="F2267" s="17" t="s">
        <v>399</v>
      </c>
      <c r="G2267" s="298"/>
      <c r="H2267" s="10"/>
      <c r="I2267" s="11"/>
      <c r="J2267" s="11"/>
      <c r="K2267" s="11"/>
      <c r="L2267" s="11"/>
      <c r="M2267" s="11"/>
      <c r="N2267" s="11"/>
      <c r="O2267" s="12"/>
      <c r="P2267" s="11"/>
      <c r="Q2267" s="13"/>
      <c r="R2267" s="14"/>
    </row>
    <row r="2268" spans="1:18" ht="15" customHeight="1">
      <c r="A2268" s="17" t="s">
        <v>48</v>
      </c>
      <c r="B2268" s="17" t="s">
        <v>391</v>
      </c>
      <c r="C2268" s="18">
        <v>0.48958333333333331</v>
      </c>
      <c r="D2268" s="17" t="s">
        <v>53</v>
      </c>
      <c r="E2268" s="17" t="s">
        <v>57</v>
      </c>
      <c r="F2268" s="17" t="s">
        <v>490</v>
      </c>
      <c r="G2268" s="298"/>
      <c r="H2268" s="10"/>
      <c r="I2268" s="11"/>
      <c r="J2268" s="11"/>
      <c r="K2268" s="11"/>
      <c r="L2268" s="11"/>
      <c r="M2268" s="11"/>
      <c r="N2268" s="11"/>
      <c r="O2268" s="12"/>
      <c r="P2268" s="11"/>
      <c r="Q2268" s="13"/>
      <c r="R2268" s="14"/>
    </row>
    <row r="2269" spans="1:18" ht="15" customHeight="1">
      <c r="A2269" s="17" t="s">
        <v>48</v>
      </c>
      <c r="B2269" s="17" t="s">
        <v>382</v>
      </c>
      <c r="C2269" s="18">
        <v>0.11805555555555559</v>
      </c>
      <c r="D2269" s="17" t="s">
        <v>53</v>
      </c>
      <c r="E2269" s="17" t="s">
        <v>57</v>
      </c>
      <c r="F2269" s="17" t="s">
        <v>490</v>
      </c>
      <c r="G2269" s="298"/>
      <c r="H2269" s="10"/>
      <c r="I2269" s="11"/>
      <c r="J2269" s="11"/>
      <c r="K2269" s="11"/>
      <c r="L2269" s="11"/>
      <c r="M2269" s="11"/>
      <c r="N2269" s="11"/>
      <c r="O2269" s="12"/>
      <c r="P2269" s="11"/>
      <c r="Q2269" s="13"/>
      <c r="R2269" s="14"/>
    </row>
    <row r="2270" spans="1:18" ht="15" customHeight="1">
      <c r="A2270" s="17" t="s">
        <v>48</v>
      </c>
      <c r="B2270" s="17" t="s">
        <v>389</v>
      </c>
      <c r="C2270" s="18">
        <v>0.70486111111111116</v>
      </c>
      <c r="D2270" s="17" t="s">
        <v>53</v>
      </c>
      <c r="E2270" s="17" t="s">
        <v>57</v>
      </c>
      <c r="F2270" s="17" t="s">
        <v>490</v>
      </c>
      <c r="G2270" s="298"/>
      <c r="H2270" s="10"/>
      <c r="I2270" s="11"/>
      <c r="J2270" s="11"/>
      <c r="K2270" s="11"/>
      <c r="L2270" s="11"/>
      <c r="M2270" s="11"/>
      <c r="N2270" s="11"/>
      <c r="O2270" s="12"/>
      <c r="P2270" s="11"/>
      <c r="Q2270" s="13"/>
      <c r="R2270" s="14"/>
    </row>
    <row r="2271" spans="1:18" ht="15" customHeight="1">
      <c r="A2271" s="17" t="s">
        <v>48</v>
      </c>
      <c r="B2271" s="17" t="s">
        <v>400</v>
      </c>
      <c r="C2271" s="18">
        <v>0.25347222222222221</v>
      </c>
      <c r="D2271" s="17" t="s">
        <v>53</v>
      </c>
      <c r="E2271" s="17" t="s">
        <v>57</v>
      </c>
      <c r="F2271" s="17" t="s">
        <v>490</v>
      </c>
      <c r="G2271" s="298"/>
      <c r="H2271" s="10"/>
      <c r="I2271" s="11"/>
      <c r="J2271" s="11"/>
      <c r="K2271" s="11"/>
      <c r="L2271" s="11"/>
      <c r="M2271" s="11"/>
      <c r="N2271" s="11"/>
      <c r="O2271" s="12"/>
      <c r="P2271" s="11"/>
      <c r="Q2271" s="13"/>
      <c r="R2271" s="14"/>
    </row>
    <row r="2272" spans="1:18" ht="15" customHeight="1">
      <c r="A2272" s="17" t="s">
        <v>48</v>
      </c>
      <c r="B2272" s="17" t="s">
        <v>390</v>
      </c>
      <c r="C2272" s="18">
        <v>4.1666666666666657E-2</v>
      </c>
      <c r="D2272" s="17" t="s">
        <v>53</v>
      </c>
      <c r="E2272" s="17" t="s">
        <v>57</v>
      </c>
      <c r="F2272" s="17" t="s">
        <v>490</v>
      </c>
      <c r="G2272" s="298"/>
      <c r="H2272" s="10"/>
      <c r="I2272" s="11"/>
      <c r="J2272" s="11"/>
      <c r="K2272" s="11"/>
      <c r="L2272" s="11"/>
      <c r="M2272" s="11"/>
      <c r="N2272" s="11"/>
      <c r="O2272" s="12"/>
      <c r="P2272" s="11"/>
      <c r="Q2272" s="13"/>
      <c r="R2272" s="14"/>
    </row>
    <row r="2273" spans="1:18" ht="15" customHeight="1">
      <c r="A2273" s="17" t="s">
        <v>48</v>
      </c>
      <c r="B2273" s="17" t="s">
        <v>385</v>
      </c>
      <c r="C2273" s="18">
        <v>0.94097222222222221</v>
      </c>
      <c r="D2273" s="17" t="s">
        <v>53</v>
      </c>
      <c r="E2273" s="17" t="s">
        <v>57</v>
      </c>
      <c r="F2273" s="17" t="s">
        <v>490</v>
      </c>
      <c r="G2273" s="298"/>
      <c r="H2273" s="10"/>
      <c r="I2273" s="11"/>
      <c r="J2273" s="11"/>
      <c r="K2273" s="11"/>
      <c r="L2273" s="11"/>
      <c r="M2273" s="11"/>
      <c r="N2273" s="11"/>
      <c r="O2273" s="12"/>
      <c r="P2273" s="11"/>
      <c r="Q2273" s="13"/>
      <c r="R2273" s="14"/>
    </row>
    <row r="2274" spans="1:18" ht="15" customHeight="1">
      <c r="A2274" s="17" t="s">
        <v>48</v>
      </c>
      <c r="B2274" s="17" t="s">
        <v>386</v>
      </c>
      <c r="C2274" s="18">
        <v>0.82986111111111116</v>
      </c>
      <c r="D2274" s="17" t="s">
        <v>53</v>
      </c>
      <c r="E2274" s="17" t="s">
        <v>57</v>
      </c>
      <c r="F2274" s="17" t="s">
        <v>544</v>
      </c>
      <c r="G2274" s="298"/>
      <c r="H2274" s="10"/>
      <c r="I2274" s="11"/>
      <c r="J2274" s="11"/>
      <c r="K2274" s="11"/>
      <c r="L2274" s="11"/>
      <c r="M2274" s="11"/>
      <c r="N2274" s="11"/>
      <c r="O2274" s="12"/>
      <c r="P2274" s="11"/>
      <c r="Q2274" s="13"/>
      <c r="R2274" s="14"/>
    </row>
    <row r="2275" spans="1:18" ht="15" customHeight="1">
      <c r="A2275" s="17" t="s">
        <v>48</v>
      </c>
      <c r="B2275" s="17" t="s">
        <v>388</v>
      </c>
      <c r="C2275" s="18">
        <v>0.72222222222222221</v>
      </c>
      <c r="D2275" s="17" t="s">
        <v>53</v>
      </c>
      <c r="E2275" s="17" t="s">
        <v>57</v>
      </c>
      <c r="F2275" s="17" t="s">
        <v>544</v>
      </c>
      <c r="G2275" s="298"/>
      <c r="H2275" s="10"/>
      <c r="I2275" s="11"/>
      <c r="J2275" s="11"/>
      <c r="K2275" s="11"/>
      <c r="L2275" s="11"/>
      <c r="M2275" s="11"/>
      <c r="N2275" s="11"/>
      <c r="O2275" s="12"/>
      <c r="P2275" s="11"/>
      <c r="Q2275" s="13"/>
      <c r="R2275" s="14"/>
    </row>
    <row r="2276" spans="1:18" ht="15" customHeight="1">
      <c r="A2276" s="96" t="s">
        <v>415</v>
      </c>
      <c r="B2276" s="96" t="s">
        <v>416</v>
      </c>
      <c r="C2276" s="97">
        <v>9.7222222222222224E-2</v>
      </c>
      <c r="D2276" s="96" t="s">
        <v>63</v>
      </c>
      <c r="E2276" s="96" t="s">
        <v>51</v>
      </c>
      <c r="F2276" s="96" t="s">
        <v>417</v>
      </c>
      <c r="G2276" s="299"/>
      <c r="H2276" s="300"/>
      <c r="I2276" s="140"/>
      <c r="J2276" s="140"/>
      <c r="K2276" s="140"/>
      <c r="L2276" s="140"/>
      <c r="M2276" s="140"/>
      <c r="N2276" s="140"/>
      <c r="O2276" s="141"/>
      <c r="P2276" s="140"/>
      <c r="Q2276" s="142"/>
      <c r="R2276" s="301"/>
    </row>
  </sheetData>
  <mergeCells count="130">
    <mergeCell ref="H2138:R2138"/>
    <mergeCell ref="A1656:F1656"/>
    <mergeCell ref="H1:L1"/>
    <mergeCell ref="A1:E1"/>
    <mergeCell ref="G6:G78"/>
    <mergeCell ref="G82:G149"/>
    <mergeCell ref="H845:R845"/>
    <mergeCell ref="A236:R236"/>
    <mergeCell ref="H466:R466"/>
    <mergeCell ref="G847:G919"/>
    <mergeCell ref="A1509:R1509"/>
    <mergeCell ref="A465:R465"/>
    <mergeCell ref="A2000:R2000"/>
    <mergeCell ref="A1794:R1794"/>
    <mergeCell ref="A1862:R1862"/>
    <mergeCell ref="H694:R694"/>
    <mergeCell ref="H1147:R1147"/>
    <mergeCell ref="A1795:F1795"/>
    <mergeCell ref="G1512:G1585"/>
    <mergeCell ref="A387:R387"/>
    <mergeCell ref="H770:R770"/>
    <mergeCell ref="G696:G768"/>
    <mergeCell ref="A2:F2"/>
    <mergeCell ref="G239:G308"/>
    <mergeCell ref="A2209:F2209"/>
    <mergeCell ref="A237:F237"/>
    <mergeCell ref="A79:R79"/>
    <mergeCell ref="H1795:R1795"/>
    <mergeCell ref="A1218:F1218"/>
    <mergeCell ref="A1286:R1286"/>
    <mergeCell ref="A1587:F1587"/>
    <mergeCell ref="A997:F997"/>
    <mergeCell ref="G1797:G1861"/>
    <mergeCell ref="A2001:F2001"/>
    <mergeCell ref="G999:G1069"/>
    <mergeCell ref="A1586:R1586"/>
    <mergeCell ref="A2137:R2137"/>
    <mergeCell ref="G1073:G1145"/>
    <mergeCell ref="H1432:R1432"/>
    <mergeCell ref="A151:F151"/>
    <mergeCell ref="G1356:G1430"/>
    <mergeCell ref="G617:G692"/>
    <mergeCell ref="H1863:R1863"/>
    <mergeCell ref="A1353:R1353"/>
    <mergeCell ref="A309:R309"/>
    <mergeCell ref="G2140:G2207"/>
    <mergeCell ref="A538:F538"/>
    <mergeCell ref="H1287:R1287"/>
    <mergeCell ref="A1147:F1147"/>
    <mergeCell ref="G1589:G1654"/>
    <mergeCell ref="A388:F388"/>
    <mergeCell ref="A2069:R2069"/>
    <mergeCell ref="A1146:R1146"/>
    <mergeCell ref="H1933:R1933"/>
    <mergeCell ref="G1935:G1999"/>
    <mergeCell ref="G1434:G1508"/>
    <mergeCell ref="G1658:G1725"/>
    <mergeCell ref="G1220:G1285"/>
    <mergeCell ref="G2:J2"/>
    <mergeCell ref="A1431:R1431"/>
    <mergeCell ref="A2138:F2138"/>
    <mergeCell ref="G923:G995"/>
    <mergeCell ref="H1071:R1071"/>
    <mergeCell ref="G1729:G1793"/>
    <mergeCell ref="N1:R1"/>
    <mergeCell ref="H310:R310"/>
    <mergeCell ref="A845:F845"/>
    <mergeCell ref="A1432:F1432"/>
    <mergeCell ref="A1510:F1510"/>
    <mergeCell ref="H1218:R1218"/>
    <mergeCell ref="K2:R2"/>
    <mergeCell ref="H1587:R1587"/>
    <mergeCell ref="A1354:F1354"/>
    <mergeCell ref="H997:R997"/>
    <mergeCell ref="A310:F310"/>
    <mergeCell ref="A1217:R1217"/>
    <mergeCell ref="A1863:F1863"/>
    <mergeCell ref="H1510:R1510"/>
    <mergeCell ref="G772:G843"/>
    <mergeCell ref="G1289:G1352"/>
    <mergeCell ref="G1149:G1216"/>
    <mergeCell ref="A466:F466"/>
    <mergeCell ref="G2211:G2276"/>
    <mergeCell ref="H1354:R1354"/>
    <mergeCell ref="A844:R844"/>
    <mergeCell ref="H151:R151"/>
    <mergeCell ref="A614:R614"/>
    <mergeCell ref="G312:G386"/>
    <mergeCell ref="G153:G235"/>
    <mergeCell ref="A920:R920"/>
    <mergeCell ref="A80:F80"/>
    <mergeCell ref="H2070:R2070"/>
    <mergeCell ref="A537:R537"/>
    <mergeCell ref="A2208:R2208"/>
    <mergeCell ref="G2072:G2136"/>
    <mergeCell ref="H2209:R2209"/>
    <mergeCell ref="H615:R615"/>
    <mergeCell ref="G540:G613"/>
    <mergeCell ref="G468:G536"/>
    <mergeCell ref="H538:R538"/>
    <mergeCell ref="H237:R237"/>
    <mergeCell ref="A769:R769"/>
    <mergeCell ref="H80:R80"/>
    <mergeCell ref="A1655:R1655"/>
    <mergeCell ref="A2070:F2070"/>
    <mergeCell ref="A1287:F1287"/>
    <mergeCell ref="H4:R4"/>
    <mergeCell ref="A1727:F1727"/>
    <mergeCell ref="A3:R3"/>
    <mergeCell ref="G2003:G2068"/>
    <mergeCell ref="A1726:R1726"/>
    <mergeCell ref="A4:F4"/>
    <mergeCell ref="A150:R150"/>
    <mergeCell ref="A693:R693"/>
    <mergeCell ref="A1933:F1933"/>
    <mergeCell ref="A770:F770"/>
    <mergeCell ref="H388:R388"/>
    <mergeCell ref="A1932:R1932"/>
    <mergeCell ref="H921:R921"/>
    <mergeCell ref="G1865:G1931"/>
    <mergeCell ref="A615:F615"/>
    <mergeCell ref="H2001:R2001"/>
    <mergeCell ref="G390:G464"/>
    <mergeCell ref="A1071:F1071"/>
    <mergeCell ref="A996:R996"/>
    <mergeCell ref="A1070:R1070"/>
    <mergeCell ref="A694:F694"/>
    <mergeCell ref="A921:F921"/>
    <mergeCell ref="H1656:R1656"/>
    <mergeCell ref="H1727:R1727"/>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53"/>
  <sheetViews>
    <sheetView workbookViewId="0"/>
  </sheetViews>
  <sheetFormatPr defaultColWidth="8.85546875" defaultRowHeight="15.6" outlineLevelCol="1"/>
  <cols>
    <col min="1" max="1" width="11.5703125" style="266" bestFit="1" customWidth="1"/>
    <col min="2" max="2" width="9.7109375" style="266" bestFit="1" customWidth="1"/>
    <col min="3" max="3" width="7" style="266" bestFit="1" customWidth="1"/>
    <col min="4" max="4" width="5.5703125" style="266" bestFit="1" customWidth="1"/>
    <col min="5" max="5" width="7.5703125" style="266" bestFit="1" customWidth="1"/>
    <col min="6" max="6" width="4.28515625" style="266" bestFit="1" customWidth="1"/>
    <col min="7" max="7" width="8.42578125" style="266" bestFit="1" customWidth="1"/>
    <col min="8" max="8" width="10.140625" style="266" bestFit="1" customWidth="1"/>
    <col min="9" max="9" width="8.5703125" style="266" bestFit="1" customWidth="1"/>
    <col min="10"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6" width="3.85546875" style="266" bestFit="1" customWidth="1"/>
    <col min="27" max="27" width="4" style="266" bestFit="1" customWidth="1"/>
    <col min="28" max="28" width="4.28515625" style="266" bestFit="1" customWidth="1"/>
    <col min="29" max="29" width="3.85546875" style="266" bestFit="1" customWidth="1"/>
    <col min="30" max="30" width="4.5703125" style="266" bestFit="1" customWidth="1"/>
    <col min="31" max="32" width="3.85546875" style="266" bestFit="1" customWidth="1"/>
    <col min="33" max="33" width="4.28515625" style="266" bestFit="1" customWidth="1"/>
    <col min="34" max="34" width="3.85546875" style="266" bestFit="1" customWidth="1"/>
    <col min="35" max="35" width="4.28515625" style="266" bestFit="1" customWidth="1"/>
    <col min="36"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230</v>
      </c>
      <c r="B2" s="268">
        <v>46023</v>
      </c>
      <c r="C2" s="269" t="s">
        <v>373</v>
      </c>
      <c r="D2" s="270" t="s">
        <v>273</v>
      </c>
      <c r="E2" s="269" t="s">
        <v>341</v>
      </c>
      <c r="F2" s="269" t="s">
        <v>232</v>
      </c>
      <c r="G2" s="271">
        <v>3.8899999999999997E-2</v>
      </c>
      <c r="H2" s="272">
        <v>180</v>
      </c>
      <c r="I2" s="272">
        <v>7</v>
      </c>
      <c r="J2" s="272">
        <v>0</v>
      </c>
      <c r="K2" s="269" t="s">
        <v>233</v>
      </c>
      <c r="L2" s="273">
        <v>46317</v>
      </c>
      <c r="M2" s="272">
        <v>0</v>
      </c>
      <c r="N2" s="272">
        <v>0</v>
      </c>
      <c r="O2" s="272">
        <v>7</v>
      </c>
      <c r="P2" s="269" t="s">
        <v>305</v>
      </c>
      <c r="Q2" s="265"/>
      <c r="R2" s="265"/>
      <c r="S2" s="265"/>
      <c r="T2" s="265"/>
      <c r="U2" s="265"/>
      <c r="V2" s="265"/>
      <c r="W2" s="265"/>
      <c r="X2" s="265"/>
      <c r="Y2" s="265"/>
      <c r="Z2" s="265"/>
      <c r="AA2" s="265"/>
      <c r="AB2" s="265"/>
      <c r="AC2" s="265"/>
      <c r="AD2" s="265"/>
      <c r="AE2" s="265"/>
      <c r="AF2" s="272" t="s">
        <v>374</v>
      </c>
      <c r="AG2" s="265"/>
      <c r="AH2" s="265"/>
      <c r="AI2" s="265"/>
      <c r="AJ2" s="265"/>
    </row>
    <row r="3" spans="1:36">
      <c r="A3" s="267" t="s">
        <v>230</v>
      </c>
      <c r="B3" s="268">
        <v>46023</v>
      </c>
      <c r="C3" s="269" t="s">
        <v>376</v>
      </c>
      <c r="D3" s="270" t="s">
        <v>553</v>
      </c>
      <c r="E3" s="269" t="s">
        <v>341</v>
      </c>
      <c r="F3" s="269" t="s">
        <v>232</v>
      </c>
      <c r="G3" s="271">
        <v>0.05</v>
      </c>
      <c r="H3" s="272">
        <v>180</v>
      </c>
      <c r="I3" s="272">
        <v>9</v>
      </c>
      <c r="J3" s="272">
        <v>0</v>
      </c>
      <c r="K3" s="269" t="s">
        <v>233</v>
      </c>
      <c r="L3" s="273">
        <v>46325</v>
      </c>
      <c r="M3" s="272">
        <v>0</v>
      </c>
      <c r="N3" s="272">
        <v>0</v>
      </c>
      <c r="O3" s="272">
        <v>12</v>
      </c>
      <c r="P3" s="269" t="s">
        <v>307</v>
      </c>
      <c r="Q3" s="265"/>
      <c r="R3" s="265"/>
      <c r="S3" s="265"/>
      <c r="T3" s="265"/>
      <c r="U3" s="265"/>
      <c r="V3" s="265"/>
      <c r="W3" s="265"/>
      <c r="X3" s="265"/>
      <c r="Y3" s="265"/>
      <c r="Z3" s="265"/>
      <c r="AA3" s="265"/>
      <c r="AB3" s="265"/>
      <c r="AC3" s="265"/>
      <c r="AD3" s="265"/>
      <c r="AE3" s="265"/>
      <c r="AF3" s="272" t="s">
        <v>326</v>
      </c>
      <c r="AG3" s="265"/>
      <c r="AH3" s="265"/>
      <c r="AI3" s="265"/>
      <c r="AJ3" s="265"/>
    </row>
    <row r="4" spans="1:36">
      <c r="A4" s="267" t="s">
        <v>230</v>
      </c>
      <c r="B4" s="268">
        <v>46023</v>
      </c>
      <c r="C4" s="269" t="s">
        <v>370</v>
      </c>
      <c r="D4" s="270" t="s">
        <v>554</v>
      </c>
      <c r="E4" s="269" t="s">
        <v>341</v>
      </c>
      <c r="F4" s="269" t="s">
        <v>232</v>
      </c>
      <c r="G4" s="271">
        <v>0</v>
      </c>
      <c r="H4" s="272">
        <v>180</v>
      </c>
      <c r="I4" s="272">
        <v>0</v>
      </c>
      <c r="J4" s="272">
        <v>0</v>
      </c>
      <c r="K4" s="269" t="s">
        <v>233</v>
      </c>
      <c r="L4" s="273" t="s">
        <v>66</v>
      </c>
      <c r="M4" s="272">
        <v>0</v>
      </c>
      <c r="N4" s="272">
        <v>0</v>
      </c>
      <c r="O4" s="272">
        <v>0</v>
      </c>
      <c r="P4" s="269" t="s">
        <v>292</v>
      </c>
      <c r="Q4" s="265"/>
      <c r="R4" s="265"/>
      <c r="S4" s="265"/>
      <c r="T4" s="265"/>
      <c r="U4" s="265"/>
      <c r="V4" s="265"/>
      <c r="W4" s="265"/>
      <c r="X4" s="265"/>
      <c r="Y4" s="265"/>
      <c r="Z4" s="265"/>
      <c r="AA4" s="265"/>
      <c r="AB4" s="265"/>
      <c r="AC4" s="265"/>
      <c r="AD4" s="265"/>
      <c r="AE4" s="265"/>
      <c r="AF4" s="265"/>
      <c r="AG4" s="265"/>
      <c r="AH4" s="265"/>
      <c r="AI4" s="265"/>
      <c r="AJ4" s="265"/>
    </row>
    <row r="5" spans="1:36">
      <c r="A5" s="267" t="s">
        <v>230</v>
      </c>
      <c r="B5" s="268">
        <v>46023</v>
      </c>
      <c r="C5" s="269" t="s">
        <v>378</v>
      </c>
      <c r="D5" s="270" t="s">
        <v>555</v>
      </c>
      <c r="E5" s="269" t="s">
        <v>341</v>
      </c>
      <c r="F5" s="269" t="s">
        <v>232</v>
      </c>
      <c r="G5" s="271">
        <v>0.05</v>
      </c>
      <c r="H5" s="272">
        <v>180</v>
      </c>
      <c r="I5" s="272">
        <v>9</v>
      </c>
      <c r="J5" s="272">
        <v>0</v>
      </c>
      <c r="K5" s="269" t="s">
        <v>233</v>
      </c>
      <c r="L5" s="273">
        <v>46318</v>
      </c>
      <c r="M5" s="272">
        <v>0</v>
      </c>
      <c r="N5" s="272">
        <v>0</v>
      </c>
      <c r="O5" s="272">
        <v>9</v>
      </c>
      <c r="P5" s="269" t="s">
        <v>307</v>
      </c>
      <c r="Q5" s="265"/>
      <c r="R5" s="265"/>
      <c r="S5" s="265"/>
      <c r="T5" s="265"/>
      <c r="U5" s="265"/>
      <c r="V5" s="265"/>
      <c r="W5" s="265"/>
      <c r="X5" s="265"/>
      <c r="Y5" s="265"/>
      <c r="Z5" s="265"/>
      <c r="AA5" s="265"/>
      <c r="AB5" s="265"/>
      <c r="AC5" s="265"/>
      <c r="AD5" s="265"/>
      <c r="AE5" s="265"/>
      <c r="AF5" s="272" t="s">
        <v>326</v>
      </c>
      <c r="AG5" s="265"/>
      <c r="AH5" s="265"/>
      <c r="AI5" s="265"/>
      <c r="AJ5" s="265"/>
    </row>
    <row r="6" spans="1:36">
      <c r="A6" s="267" t="s">
        <v>230</v>
      </c>
      <c r="B6" s="268">
        <v>46023</v>
      </c>
      <c r="C6" s="269" t="s">
        <v>380</v>
      </c>
      <c r="D6" s="270" t="s">
        <v>556</v>
      </c>
      <c r="E6" s="269" t="s">
        <v>341</v>
      </c>
      <c r="F6" s="269" t="s">
        <v>232</v>
      </c>
      <c r="G6" s="271">
        <v>7.7799999999999994E-2</v>
      </c>
      <c r="H6" s="272">
        <v>180</v>
      </c>
      <c r="I6" s="272">
        <v>14</v>
      </c>
      <c r="J6" s="272">
        <v>0</v>
      </c>
      <c r="K6" s="269" t="s">
        <v>233</v>
      </c>
      <c r="L6" s="273">
        <v>46293</v>
      </c>
      <c r="M6" s="272">
        <v>0</v>
      </c>
      <c r="N6" s="272">
        <v>0</v>
      </c>
      <c r="O6" s="272">
        <v>14</v>
      </c>
      <c r="P6" s="269" t="s">
        <v>304</v>
      </c>
      <c r="Q6" s="265"/>
      <c r="R6" s="265"/>
      <c r="S6" s="265"/>
      <c r="T6" s="265"/>
      <c r="U6" s="265"/>
      <c r="V6" s="265"/>
      <c r="W6" s="272" t="s">
        <v>557</v>
      </c>
      <c r="X6" s="265"/>
      <c r="Y6" s="265"/>
      <c r="Z6" s="265"/>
      <c r="AA6" s="265"/>
      <c r="AB6" s="265"/>
      <c r="AC6" s="265"/>
      <c r="AD6" s="265"/>
      <c r="AE6" s="265"/>
      <c r="AF6" s="272" t="s">
        <v>558</v>
      </c>
      <c r="AG6" s="265"/>
      <c r="AH6" s="265"/>
      <c r="AI6" s="265"/>
      <c r="AJ6" s="265"/>
    </row>
    <row r="7" spans="1:36">
      <c r="A7" s="267" t="s">
        <v>230</v>
      </c>
      <c r="B7" s="268">
        <v>46023</v>
      </c>
      <c r="C7" s="269" t="s">
        <v>366</v>
      </c>
      <c r="D7" s="270" t="s">
        <v>559</v>
      </c>
      <c r="E7" s="269" t="s">
        <v>341</v>
      </c>
      <c r="F7" s="269" t="s">
        <v>232</v>
      </c>
      <c r="G7" s="271">
        <v>2.1499999999999998E-2</v>
      </c>
      <c r="H7" s="272">
        <v>186</v>
      </c>
      <c r="I7" s="272">
        <v>4</v>
      </c>
      <c r="J7" s="272">
        <v>0</v>
      </c>
      <c r="K7" s="269" t="s">
        <v>233</v>
      </c>
      <c r="L7" s="273">
        <v>46342</v>
      </c>
      <c r="M7" s="272">
        <v>0</v>
      </c>
      <c r="N7" s="272">
        <v>0</v>
      </c>
      <c r="O7" s="272">
        <v>4</v>
      </c>
      <c r="P7" s="269" t="s">
        <v>367</v>
      </c>
      <c r="Q7" s="265"/>
      <c r="R7" s="265"/>
      <c r="S7" s="265"/>
      <c r="T7" s="265"/>
      <c r="U7" s="265"/>
      <c r="V7" s="265"/>
      <c r="W7" s="265"/>
      <c r="X7" s="265"/>
      <c r="Y7" s="265"/>
      <c r="Z7" s="265"/>
      <c r="AA7" s="265"/>
      <c r="AB7" s="265"/>
      <c r="AC7" s="265"/>
      <c r="AD7" s="272" t="s">
        <v>368</v>
      </c>
      <c r="AE7" s="265"/>
      <c r="AF7" s="265"/>
      <c r="AG7" s="265"/>
      <c r="AH7" s="265"/>
      <c r="AI7" s="265"/>
      <c r="AJ7" s="265"/>
    </row>
    <row r="8" spans="1:36">
      <c r="A8" s="267" t="s">
        <v>560</v>
      </c>
      <c r="B8" s="268">
        <v>46024</v>
      </c>
      <c r="C8" s="269" t="s">
        <v>376</v>
      </c>
      <c r="D8" s="270" t="s">
        <v>561</v>
      </c>
      <c r="E8" s="269" t="s">
        <v>341</v>
      </c>
      <c r="F8" s="269" t="s">
        <v>232</v>
      </c>
      <c r="G8" s="271">
        <v>3.3300000000000003E-2</v>
      </c>
      <c r="H8" s="272">
        <v>180</v>
      </c>
      <c r="I8" s="272">
        <v>6</v>
      </c>
      <c r="J8" s="272">
        <v>0</v>
      </c>
      <c r="K8" s="269" t="s">
        <v>233</v>
      </c>
      <c r="L8" s="273">
        <v>46342</v>
      </c>
      <c r="M8" s="272">
        <v>0</v>
      </c>
      <c r="N8" s="272">
        <v>0</v>
      </c>
      <c r="O8" s="272">
        <v>6</v>
      </c>
      <c r="P8" s="269" t="s">
        <v>299</v>
      </c>
      <c r="Q8" s="265"/>
      <c r="R8" s="265"/>
      <c r="S8" s="265"/>
      <c r="T8" s="265"/>
      <c r="U8" s="265"/>
      <c r="V8" s="265"/>
      <c r="W8" s="265"/>
      <c r="X8" s="265"/>
      <c r="Y8" s="265"/>
      <c r="Z8" s="265"/>
      <c r="AA8" s="265"/>
      <c r="AB8" s="265"/>
      <c r="AC8" s="265"/>
      <c r="AD8" s="272" t="s">
        <v>436</v>
      </c>
      <c r="AE8" s="265"/>
      <c r="AF8" s="265"/>
      <c r="AG8" s="265"/>
      <c r="AH8" s="265"/>
      <c r="AI8" s="265"/>
      <c r="AJ8" s="265"/>
    </row>
    <row r="9" spans="1:36">
      <c r="A9" s="267" t="s">
        <v>560</v>
      </c>
      <c r="B9" s="268">
        <v>46024</v>
      </c>
      <c r="C9" s="269" t="s">
        <v>378</v>
      </c>
      <c r="D9" s="270" t="s">
        <v>562</v>
      </c>
      <c r="E9" s="269" t="s">
        <v>341</v>
      </c>
      <c r="F9" s="269" t="s">
        <v>232</v>
      </c>
      <c r="G9" s="271">
        <v>5.5999999999999999E-3</v>
      </c>
      <c r="H9" s="272">
        <v>180</v>
      </c>
      <c r="I9" s="272">
        <v>1</v>
      </c>
      <c r="J9" s="272">
        <v>0</v>
      </c>
      <c r="K9" s="269" t="s">
        <v>233</v>
      </c>
      <c r="L9" s="273">
        <v>46332</v>
      </c>
      <c r="M9" s="272">
        <v>0</v>
      </c>
      <c r="N9" s="272">
        <v>0</v>
      </c>
      <c r="O9" s="272">
        <v>1</v>
      </c>
      <c r="P9" s="269" t="s">
        <v>431</v>
      </c>
      <c r="Q9" s="265"/>
      <c r="R9" s="265"/>
      <c r="S9" s="265"/>
      <c r="T9" s="265"/>
      <c r="U9" s="265"/>
      <c r="V9" s="265"/>
      <c r="W9" s="265"/>
      <c r="X9" s="265"/>
      <c r="Y9" s="265"/>
      <c r="Z9" s="265"/>
      <c r="AA9" s="265"/>
      <c r="AB9" s="265"/>
      <c r="AC9" s="265"/>
      <c r="AD9" s="272" t="s">
        <v>430</v>
      </c>
      <c r="AE9" s="265"/>
      <c r="AF9" s="265"/>
      <c r="AG9" s="265"/>
      <c r="AH9" s="265"/>
      <c r="AI9" s="265"/>
      <c r="AJ9" s="265"/>
    </row>
    <row r="10" spans="1:36">
      <c r="A10" s="267" t="s">
        <v>560</v>
      </c>
      <c r="B10" s="268">
        <v>46024</v>
      </c>
      <c r="C10" s="269" t="s">
        <v>380</v>
      </c>
      <c r="D10" s="270" t="s">
        <v>563</v>
      </c>
      <c r="E10" s="269" t="s">
        <v>341</v>
      </c>
      <c r="F10" s="269" t="s">
        <v>232</v>
      </c>
      <c r="G10" s="271">
        <v>2.7799999999999998E-2</v>
      </c>
      <c r="H10" s="272">
        <v>180</v>
      </c>
      <c r="I10" s="272">
        <v>5</v>
      </c>
      <c r="J10" s="272">
        <v>0</v>
      </c>
      <c r="K10" s="269" t="s">
        <v>233</v>
      </c>
      <c r="L10" s="273">
        <v>46329</v>
      </c>
      <c r="M10" s="272">
        <v>0</v>
      </c>
      <c r="N10" s="272">
        <v>0</v>
      </c>
      <c r="O10" s="272">
        <v>2</v>
      </c>
      <c r="P10" s="269" t="s">
        <v>430</v>
      </c>
      <c r="Q10" s="265"/>
      <c r="R10" s="265"/>
      <c r="S10" s="265"/>
      <c r="T10" s="265"/>
      <c r="U10" s="265"/>
      <c r="V10" s="265"/>
      <c r="W10" s="265"/>
      <c r="X10" s="265"/>
      <c r="Y10" s="265"/>
      <c r="Z10" s="265"/>
      <c r="AA10" s="265"/>
      <c r="AB10" s="265"/>
      <c r="AC10" s="265"/>
      <c r="AD10" s="272" t="s">
        <v>431</v>
      </c>
      <c r="AE10" s="265"/>
      <c r="AF10" s="265"/>
      <c r="AG10" s="265"/>
      <c r="AH10" s="265"/>
      <c r="AI10" s="265"/>
      <c r="AJ10" s="265"/>
    </row>
    <row r="11" spans="1:36">
      <c r="A11" s="267" t="s">
        <v>560</v>
      </c>
      <c r="B11" s="268">
        <v>46024</v>
      </c>
      <c r="C11" s="269" t="s">
        <v>429</v>
      </c>
      <c r="D11" s="270" t="s">
        <v>564</v>
      </c>
      <c r="E11" s="269" t="s">
        <v>341</v>
      </c>
      <c r="F11" s="269" t="s">
        <v>232</v>
      </c>
      <c r="G11" s="271">
        <v>2.7799999999999998E-2</v>
      </c>
      <c r="H11" s="272">
        <v>180</v>
      </c>
      <c r="I11" s="272">
        <v>5</v>
      </c>
      <c r="J11" s="272">
        <v>0</v>
      </c>
      <c r="K11" s="269" t="s">
        <v>233</v>
      </c>
      <c r="L11" s="273">
        <v>46334</v>
      </c>
      <c r="M11" s="272">
        <v>0</v>
      </c>
      <c r="N11" s="272">
        <v>0</v>
      </c>
      <c r="O11" s="272">
        <v>5</v>
      </c>
      <c r="P11" s="269" t="s">
        <v>430</v>
      </c>
      <c r="Q11" s="265"/>
      <c r="R11" s="265"/>
      <c r="S11" s="265"/>
      <c r="T11" s="265"/>
      <c r="U11" s="265"/>
      <c r="V11" s="265"/>
      <c r="W11" s="265"/>
      <c r="X11" s="265"/>
      <c r="Y11" s="265"/>
      <c r="Z11" s="265"/>
      <c r="AA11" s="265"/>
      <c r="AB11" s="265"/>
      <c r="AC11" s="265"/>
      <c r="AD11" s="272" t="s">
        <v>431</v>
      </c>
      <c r="AE11" s="265"/>
      <c r="AF11" s="265"/>
      <c r="AG11" s="265"/>
      <c r="AH11" s="265"/>
      <c r="AI11" s="265"/>
      <c r="AJ11" s="265"/>
    </row>
    <row r="12" spans="1:36">
      <c r="A12" s="267" t="s">
        <v>560</v>
      </c>
      <c r="B12" s="268">
        <v>46024</v>
      </c>
      <c r="C12" s="269" t="s">
        <v>433</v>
      </c>
      <c r="D12" s="270" t="s">
        <v>565</v>
      </c>
      <c r="E12" s="269" t="s">
        <v>341</v>
      </c>
      <c r="F12" s="269" t="s">
        <v>232</v>
      </c>
      <c r="G12" s="271">
        <v>5.5599999999999997E-2</v>
      </c>
      <c r="H12" s="272">
        <v>180</v>
      </c>
      <c r="I12" s="272">
        <v>10</v>
      </c>
      <c r="J12" s="272">
        <v>0</v>
      </c>
      <c r="K12" s="269" t="s">
        <v>233</v>
      </c>
      <c r="L12" s="273">
        <v>46340</v>
      </c>
      <c r="M12" s="272">
        <v>0</v>
      </c>
      <c r="N12" s="272">
        <v>0</v>
      </c>
      <c r="O12" s="272">
        <v>10</v>
      </c>
      <c r="P12" s="269" t="s">
        <v>304</v>
      </c>
      <c r="Q12" s="265"/>
      <c r="R12" s="265"/>
      <c r="S12" s="265"/>
      <c r="T12" s="265"/>
      <c r="U12" s="265"/>
      <c r="V12" s="265"/>
      <c r="W12" s="265"/>
      <c r="X12" s="265"/>
      <c r="Y12" s="265"/>
      <c r="Z12" s="265"/>
      <c r="AA12" s="265"/>
      <c r="AB12" s="265"/>
      <c r="AC12" s="272" t="s">
        <v>307</v>
      </c>
      <c r="AD12" s="272" t="s">
        <v>436</v>
      </c>
      <c r="AE12" s="265"/>
      <c r="AF12" s="265"/>
      <c r="AG12" s="265"/>
      <c r="AH12" s="265"/>
      <c r="AI12" s="265"/>
      <c r="AJ12" s="265"/>
    </row>
    <row r="13" spans="1:36">
      <c r="A13" s="267" t="s">
        <v>234</v>
      </c>
      <c r="B13" s="268">
        <v>46025</v>
      </c>
      <c r="C13" s="269" t="s">
        <v>373</v>
      </c>
      <c r="D13" s="270" t="s">
        <v>566</v>
      </c>
      <c r="E13" s="269" t="s">
        <v>341</v>
      </c>
      <c r="F13" s="269" t="s">
        <v>232</v>
      </c>
      <c r="G13" s="271">
        <v>2.69E-2</v>
      </c>
      <c r="H13" s="272">
        <v>186</v>
      </c>
      <c r="I13" s="272">
        <v>5</v>
      </c>
      <c r="J13" s="272">
        <v>0</v>
      </c>
      <c r="K13" s="269" t="s">
        <v>233</v>
      </c>
      <c r="L13" s="273">
        <v>46342</v>
      </c>
      <c r="M13" s="272">
        <v>0</v>
      </c>
      <c r="N13" s="272">
        <v>0</v>
      </c>
      <c r="O13" s="272">
        <v>5</v>
      </c>
      <c r="P13" s="269" t="s">
        <v>446</v>
      </c>
      <c r="Q13" s="265"/>
      <c r="R13" s="265"/>
      <c r="S13" s="265"/>
      <c r="T13" s="265"/>
      <c r="U13" s="265"/>
      <c r="V13" s="265"/>
      <c r="W13" s="265"/>
      <c r="X13" s="265"/>
      <c r="Y13" s="265"/>
      <c r="Z13" s="265"/>
      <c r="AA13" s="265"/>
      <c r="AB13" s="265"/>
      <c r="AC13" s="272" t="s">
        <v>298</v>
      </c>
      <c r="AD13" s="272" t="s">
        <v>446</v>
      </c>
      <c r="AE13" s="265"/>
      <c r="AF13" s="265"/>
      <c r="AG13" s="265"/>
      <c r="AH13" s="265"/>
      <c r="AI13" s="265"/>
      <c r="AJ13" s="265"/>
    </row>
    <row r="14" spans="1:36">
      <c r="A14" s="267" t="s">
        <v>234</v>
      </c>
      <c r="B14" s="268">
        <v>46025</v>
      </c>
      <c r="C14" s="269" t="s">
        <v>376</v>
      </c>
      <c r="D14" s="270" t="s">
        <v>553</v>
      </c>
      <c r="E14" s="269" t="s">
        <v>341</v>
      </c>
      <c r="F14" s="269" t="s">
        <v>232</v>
      </c>
      <c r="G14" s="271">
        <v>3.3300000000000003E-2</v>
      </c>
      <c r="H14" s="272">
        <v>180</v>
      </c>
      <c r="I14" s="272">
        <v>6</v>
      </c>
      <c r="J14" s="272">
        <v>0</v>
      </c>
      <c r="K14" s="269" t="s">
        <v>233</v>
      </c>
      <c r="L14" s="273">
        <v>46332</v>
      </c>
      <c r="M14" s="272">
        <v>0</v>
      </c>
      <c r="N14" s="272">
        <v>0</v>
      </c>
      <c r="O14" s="272">
        <v>10</v>
      </c>
      <c r="P14" s="269" t="s">
        <v>299</v>
      </c>
      <c r="Q14" s="265"/>
      <c r="R14" s="265"/>
      <c r="S14" s="265"/>
      <c r="T14" s="265"/>
      <c r="U14" s="265"/>
      <c r="V14" s="265"/>
      <c r="W14" s="265"/>
      <c r="X14" s="265"/>
      <c r="Y14" s="265"/>
      <c r="Z14" s="265"/>
      <c r="AA14" s="265"/>
      <c r="AB14" s="265"/>
      <c r="AC14" s="265"/>
      <c r="AD14" s="272" t="s">
        <v>436</v>
      </c>
      <c r="AE14" s="265"/>
      <c r="AF14" s="265"/>
      <c r="AG14" s="265"/>
      <c r="AH14" s="265"/>
      <c r="AI14" s="265"/>
      <c r="AJ14" s="265"/>
    </row>
    <row r="15" spans="1:36">
      <c r="A15" s="267" t="s">
        <v>234</v>
      </c>
      <c r="B15" s="268">
        <v>46025</v>
      </c>
      <c r="C15" s="269" t="s">
        <v>378</v>
      </c>
      <c r="D15" s="270" t="s">
        <v>567</v>
      </c>
      <c r="E15" s="269" t="s">
        <v>341</v>
      </c>
      <c r="F15" s="269" t="s">
        <v>232</v>
      </c>
      <c r="G15" s="271">
        <v>7.7799999999999994E-2</v>
      </c>
      <c r="H15" s="272">
        <v>180</v>
      </c>
      <c r="I15" s="272">
        <v>14</v>
      </c>
      <c r="J15" s="272">
        <v>0</v>
      </c>
      <c r="K15" s="269" t="s">
        <v>233</v>
      </c>
      <c r="L15" s="273">
        <v>46338</v>
      </c>
      <c r="M15" s="272">
        <v>0</v>
      </c>
      <c r="N15" s="272">
        <v>0</v>
      </c>
      <c r="O15" s="272">
        <v>14</v>
      </c>
      <c r="P15" s="269" t="s">
        <v>67</v>
      </c>
      <c r="Q15" s="265"/>
      <c r="R15" s="265"/>
      <c r="S15" s="265"/>
      <c r="T15" s="265"/>
      <c r="U15" s="265"/>
      <c r="V15" s="265"/>
      <c r="W15" s="265"/>
      <c r="X15" s="265"/>
      <c r="Y15" s="265"/>
      <c r="Z15" s="272" t="s">
        <v>174</v>
      </c>
      <c r="AA15" s="265"/>
      <c r="AB15" s="265"/>
      <c r="AC15" s="272" t="s">
        <v>299</v>
      </c>
      <c r="AD15" s="272" t="s">
        <v>436</v>
      </c>
      <c r="AE15" s="265"/>
      <c r="AF15" s="265"/>
      <c r="AG15" s="265"/>
      <c r="AH15" s="265"/>
      <c r="AI15" s="265"/>
      <c r="AJ15" s="265"/>
    </row>
    <row r="16" spans="1:36">
      <c r="A16" s="267" t="s">
        <v>234</v>
      </c>
      <c r="B16" s="268">
        <v>46025</v>
      </c>
      <c r="C16" s="269" t="s">
        <v>366</v>
      </c>
      <c r="D16" s="270" t="s">
        <v>568</v>
      </c>
      <c r="E16" s="269" t="s">
        <v>341</v>
      </c>
      <c r="F16" s="269" t="s">
        <v>232</v>
      </c>
      <c r="G16" s="271">
        <v>5.5599999999999997E-2</v>
      </c>
      <c r="H16" s="272">
        <v>180</v>
      </c>
      <c r="I16" s="272">
        <v>10</v>
      </c>
      <c r="J16" s="272">
        <v>0</v>
      </c>
      <c r="K16" s="269" t="s">
        <v>233</v>
      </c>
      <c r="L16" s="273">
        <v>46338</v>
      </c>
      <c r="M16" s="272">
        <v>0</v>
      </c>
      <c r="N16" s="272">
        <v>0</v>
      </c>
      <c r="O16" s="272">
        <v>10</v>
      </c>
      <c r="P16" s="269" t="s">
        <v>304</v>
      </c>
      <c r="Q16" s="265"/>
      <c r="R16" s="265"/>
      <c r="S16" s="265"/>
      <c r="T16" s="265"/>
      <c r="U16" s="265"/>
      <c r="V16" s="265"/>
      <c r="W16" s="265"/>
      <c r="X16" s="265"/>
      <c r="Y16" s="265"/>
      <c r="Z16" s="265"/>
      <c r="AA16" s="265"/>
      <c r="AB16" s="265"/>
      <c r="AC16" s="272" t="s">
        <v>298</v>
      </c>
      <c r="AD16" s="272" t="s">
        <v>508</v>
      </c>
      <c r="AE16" s="265"/>
      <c r="AF16" s="265"/>
      <c r="AG16" s="265"/>
      <c r="AH16" s="265"/>
      <c r="AI16" s="265"/>
      <c r="AJ16" s="265"/>
    </row>
    <row r="17" spans="1:36">
      <c r="A17" s="267" t="s">
        <v>236</v>
      </c>
      <c r="B17" s="268">
        <v>46026</v>
      </c>
      <c r="C17" s="269" t="s">
        <v>376</v>
      </c>
      <c r="D17" s="270" t="s">
        <v>561</v>
      </c>
      <c r="E17" s="269" t="s">
        <v>341</v>
      </c>
      <c r="F17" s="269" t="s">
        <v>232</v>
      </c>
      <c r="G17" s="271">
        <v>1.67E-2</v>
      </c>
      <c r="H17" s="272">
        <v>180</v>
      </c>
      <c r="I17" s="272">
        <v>3</v>
      </c>
      <c r="J17" s="272">
        <v>0</v>
      </c>
      <c r="K17" s="269" t="s">
        <v>233</v>
      </c>
      <c r="L17" s="273">
        <v>46344</v>
      </c>
      <c r="M17" s="272">
        <v>0</v>
      </c>
      <c r="N17" s="272">
        <v>0</v>
      </c>
      <c r="O17" s="272">
        <v>3</v>
      </c>
      <c r="P17" s="269" t="s">
        <v>368</v>
      </c>
      <c r="Q17" s="265"/>
      <c r="R17" s="265"/>
      <c r="S17" s="265"/>
      <c r="T17" s="265"/>
      <c r="U17" s="265"/>
      <c r="V17" s="265"/>
      <c r="W17" s="265"/>
      <c r="X17" s="265"/>
      <c r="Y17" s="265"/>
      <c r="Z17" s="265"/>
      <c r="AA17" s="265"/>
      <c r="AB17" s="265"/>
      <c r="AC17" s="272" t="s">
        <v>302</v>
      </c>
      <c r="AD17" s="272" t="s">
        <v>367</v>
      </c>
      <c r="AE17" s="265"/>
      <c r="AF17" s="265"/>
      <c r="AG17" s="265"/>
      <c r="AH17" s="265"/>
      <c r="AI17" s="265"/>
      <c r="AJ17" s="265"/>
    </row>
    <row r="18" spans="1:36">
      <c r="A18" s="267" t="s">
        <v>236</v>
      </c>
      <c r="B18" s="268">
        <v>46026</v>
      </c>
      <c r="C18" s="269" t="s">
        <v>370</v>
      </c>
      <c r="D18" s="270" t="s">
        <v>553</v>
      </c>
      <c r="E18" s="269" t="s">
        <v>341</v>
      </c>
      <c r="F18" s="269" t="s">
        <v>232</v>
      </c>
      <c r="G18" s="271">
        <v>3.3300000000000003E-2</v>
      </c>
      <c r="H18" s="272">
        <v>180</v>
      </c>
      <c r="I18" s="272">
        <v>6</v>
      </c>
      <c r="J18" s="272">
        <v>0</v>
      </c>
      <c r="K18" s="269" t="s">
        <v>233</v>
      </c>
      <c r="L18" s="273">
        <v>46332</v>
      </c>
      <c r="M18" s="272">
        <v>0</v>
      </c>
      <c r="N18" s="272">
        <v>0</v>
      </c>
      <c r="O18" s="272">
        <v>9</v>
      </c>
      <c r="P18" s="269" t="s">
        <v>292</v>
      </c>
      <c r="Q18" s="265"/>
      <c r="R18" s="265"/>
      <c r="S18" s="265"/>
      <c r="T18" s="265"/>
      <c r="U18" s="265"/>
      <c r="V18" s="265"/>
      <c r="W18" s="265"/>
      <c r="X18" s="265"/>
      <c r="Y18" s="265"/>
      <c r="Z18" s="272" t="s">
        <v>569</v>
      </c>
      <c r="AA18" s="265"/>
      <c r="AB18" s="265"/>
      <c r="AC18" s="272" t="s">
        <v>302</v>
      </c>
      <c r="AD18" s="265"/>
      <c r="AE18" s="272" t="s">
        <v>570</v>
      </c>
      <c r="AF18" s="272" t="s">
        <v>571</v>
      </c>
      <c r="AG18" s="265"/>
      <c r="AH18" s="265"/>
      <c r="AI18" s="265"/>
      <c r="AJ18" s="265"/>
    </row>
    <row r="19" spans="1:36">
      <c r="A19" s="267" t="s">
        <v>236</v>
      </c>
      <c r="B19" s="268">
        <v>46026</v>
      </c>
      <c r="C19" s="269" t="s">
        <v>433</v>
      </c>
      <c r="D19" s="270" t="s">
        <v>572</v>
      </c>
      <c r="E19" s="269" t="s">
        <v>341</v>
      </c>
      <c r="F19" s="269" t="s">
        <v>232</v>
      </c>
      <c r="G19" s="271">
        <v>0</v>
      </c>
      <c r="H19" s="272">
        <v>180</v>
      </c>
      <c r="I19" s="272">
        <v>0</v>
      </c>
      <c r="J19" s="272">
        <v>0</v>
      </c>
      <c r="K19" s="269" t="s">
        <v>233</v>
      </c>
      <c r="L19" s="273" t="s">
        <v>66</v>
      </c>
      <c r="M19" s="272">
        <v>0</v>
      </c>
      <c r="N19" s="272">
        <v>0</v>
      </c>
      <c r="O19" s="272">
        <v>0</v>
      </c>
      <c r="P19" s="269" t="s">
        <v>436</v>
      </c>
      <c r="Q19" s="265"/>
      <c r="R19" s="265"/>
      <c r="S19" s="265"/>
      <c r="T19" s="265"/>
      <c r="U19" s="265"/>
      <c r="V19" s="265"/>
      <c r="W19" s="265"/>
      <c r="X19" s="265"/>
      <c r="Y19" s="265"/>
      <c r="Z19" s="265"/>
      <c r="AA19" s="265"/>
      <c r="AB19" s="265"/>
      <c r="AC19" s="265"/>
      <c r="AD19" s="265"/>
      <c r="AE19" s="265"/>
      <c r="AF19" s="265"/>
      <c r="AG19" s="265"/>
      <c r="AH19" s="265"/>
      <c r="AI19" s="265"/>
      <c r="AJ19" s="265"/>
    </row>
    <row r="20" spans="1:36">
      <c r="A20" s="267" t="s">
        <v>236</v>
      </c>
      <c r="B20" s="268">
        <v>46026</v>
      </c>
      <c r="C20" s="269" t="s">
        <v>378</v>
      </c>
      <c r="D20" s="270" t="s">
        <v>573</v>
      </c>
      <c r="E20" s="269" t="s">
        <v>341</v>
      </c>
      <c r="F20" s="269" t="s">
        <v>232</v>
      </c>
      <c r="G20" s="271">
        <v>5.5999999999999999E-3</v>
      </c>
      <c r="H20" s="272">
        <v>180</v>
      </c>
      <c r="I20" s="272">
        <v>1</v>
      </c>
      <c r="J20" s="272">
        <v>0</v>
      </c>
      <c r="K20" s="269" t="s">
        <v>233</v>
      </c>
      <c r="L20" s="273">
        <v>46344</v>
      </c>
      <c r="M20" s="272">
        <v>0</v>
      </c>
      <c r="N20" s="272">
        <v>0</v>
      </c>
      <c r="O20" s="272">
        <v>1</v>
      </c>
      <c r="P20" s="269" t="s">
        <v>431</v>
      </c>
      <c r="Q20" s="265"/>
      <c r="R20" s="265"/>
      <c r="S20" s="265"/>
      <c r="T20" s="265"/>
      <c r="U20" s="265"/>
      <c r="V20" s="265"/>
      <c r="W20" s="265"/>
      <c r="X20" s="265"/>
      <c r="Y20" s="265"/>
      <c r="Z20" s="265"/>
      <c r="AA20" s="265"/>
      <c r="AB20" s="265"/>
      <c r="AC20" s="265"/>
      <c r="AD20" s="272" t="s">
        <v>430</v>
      </c>
      <c r="AE20" s="265"/>
      <c r="AF20" s="265"/>
      <c r="AG20" s="265"/>
      <c r="AH20" s="265"/>
      <c r="AI20" s="265"/>
      <c r="AJ20" s="265"/>
    </row>
    <row r="21" spans="1:36">
      <c r="A21" s="267" t="s">
        <v>236</v>
      </c>
      <c r="B21" s="268">
        <v>46026</v>
      </c>
      <c r="C21" s="269" t="s">
        <v>380</v>
      </c>
      <c r="D21" s="270" t="s">
        <v>574</v>
      </c>
      <c r="E21" s="269" t="s">
        <v>341</v>
      </c>
      <c r="F21" s="269" t="s">
        <v>232</v>
      </c>
      <c r="G21" s="271">
        <v>2.2200000000000001E-2</v>
      </c>
      <c r="H21" s="272">
        <v>180</v>
      </c>
      <c r="I21" s="272">
        <v>4</v>
      </c>
      <c r="J21" s="272">
        <v>0</v>
      </c>
      <c r="K21" s="269" t="s">
        <v>233</v>
      </c>
      <c r="L21" s="273">
        <v>46336</v>
      </c>
      <c r="M21" s="272">
        <v>0</v>
      </c>
      <c r="N21" s="272">
        <v>0</v>
      </c>
      <c r="O21" s="272">
        <v>4</v>
      </c>
      <c r="P21" s="269" t="s">
        <v>367</v>
      </c>
      <c r="Q21" s="265"/>
      <c r="R21" s="265"/>
      <c r="S21" s="265"/>
      <c r="T21" s="265"/>
      <c r="U21" s="265"/>
      <c r="V21" s="265"/>
      <c r="W21" s="265"/>
      <c r="X21" s="265"/>
      <c r="Y21" s="265"/>
      <c r="Z21" s="265"/>
      <c r="AA21" s="265"/>
      <c r="AB21" s="265"/>
      <c r="AC21" s="265"/>
      <c r="AD21" s="272" t="s">
        <v>368</v>
      </c>
      <c r="AE21" s="265"/>
      <c r="AF21" s="265"/>
      <c r="AG21" s="265"/>
      <c r="AH21" s="265"/>
      <c r="AI21" s="265"/>
      <c r="AJ21" s="265"/>
    </row>
    <row r="22" spans="1:36">
      <c r="A22" s="267" t="s">
        <v>240</v>
      </c>
      <c r="B22" s="268">
        <v>46027</v>
      </c>
      <c r="C22" s="269" t="s">
        <v>376</v>
      </c>
      <c r="D22" s="270" t="s">
        <v>575</v>
      </c>
      <c r="E22" s="269" t="s">
        <v>341</v>
      </c>
      <c r="F22" s="269" t="s">
        <v>232</v>
      </c>
      <c r="G22" s="271">
        <v>0.1222</v>
      </c>
      <c r="H22" s="272">
        <v>180</v>
      </c>
      <c r="I22" s="272">
        <v>22</v>
      </c>
      <c r="J22" s="272">
        <v>0</v>
      </c>
      <c r="K22" s="269" t="s">
        <v>233</v>
      </c>
      <c r="L22" s="273">
        <v>46343</v>
      </c>
      <c r="M22" s="272">
        <v>0</v>
      </c>
      <c r="N22" s="272">
        <v>0</v>
      </c>
      <c r="O22" s="272">
        <v>24</v>
      </c>
      <c r="P22" s="269" t="s">
        <v>471</v>
      </c>
      <c r="Q22" s="265"/>
      <c r="R22" s="265"/>
      <c r="S22" s="265"/>
      <c r="T22" s="265"/>
      <c r="U22" s="265"/>
      <c r="V22" s="265"/>
      <c r="W22" s="265"/>
      <c r="X22" s="265"/>
      <c r="Y22" s="265"/>
      <c r="Z22" s="265"/>
      <c r="AA22" s="265"/>
      <c r="AB22" s="272" t="s">
        <v>67</v>
      </c>
      <c r="AC22" s="272" t="s">
        <v>292</v>
      </c>
      <c r="AD22" s="272" t="s">
        <v>368</v>
      </c>
      <c r="AE22" s="265"/>
      <c r="AF22" s="265"/>
      <c r="AG22" s="265"/>
      <c r="AH22" s="265"/>
      <c r="AI22" s="265"/>
      <c r="AJ22" s="265"/>
    </row>
    <row r="23" spans="1:36">
      <c r="A23" s="267" t="s">
        <v>240</v>
      </c>
      <c r="B23" s="268">
        <v>46027</v>
      </c>
      <c r="C23" s="269" t="s">
        <v>378</v>
      </c>
      <c r="D23" s="270" t="s">
        <v>563</v>
      </c>
      <c r="E23" s="269" t="s">
        <v>341</v>
      </c>
      <c r="F23" s="269" t="s">
        <v>232</v>
      </c>
      <c r="G23" s="271">
        <v>2.7799999999999998E-2</v>
      </c>
      <c r="H23" s="272">
        <v>180</v>
      </c>
      <c r="I23" s="272">
        <v>5</v>
      </c>
      <c r="J23" s="272">
        <v>0</v>
      </c>
      <c r="K23" s="269" t="s">
        <v>233</v>
      </c>
      <c r="L23" s="273">
        <v>46343</v>
      </c>
      <c r="M23" s="272">
        <v>0</v>
      </c>
      <c r="N23" s="272">
        <v>0</v>
      </c>
      <c r="O23" s="272">
        <v>5</v>
      </c>
      <c r="P23" s="269" t="s">
        <v>430</v>
      </c>
      <c r="Q23" s="265"/>
      <c r="R23" s="265"/>
      <c r="S23" s="265"/>
      <c r="T23" s="265"/>
      <c r="U23" s="265"/>
      <c r="V23" s="265"/>
      <c r="W23" s="265"/>
      <c r="X23" s="265"/>
      <c r="Y23" s="265"/>
      <c r="Z23" s="265"/>
      <c r="AA23" s="265"/>
      <c r="AB23" s="265"/>
      <c r="AC23" s="265"/>
      <c r="AD23" s="272" t="s">
        <v>431</v>
      </c>
      <c r="AE23" s="265"/>
      <c r="AF23" s="265"/>
      <c r="AG23" s="265"/>
      <c r="AH23" s="265"/>
      <c r="AI23" s="265"/>
      <c r="AJ23" s="265"/>
    </row>
    <row r="24" spans="1:36">
      <c r="A24" s="267" t="s">
        <v>240</v>
      </c>
      <c r="B24" s="268">
        <v>46027</v>
      </c>
      <c r="C24" s="269" t="s">
        <v>433</v>
      </c>
      <c r="D24" s="270" t="s">
        <v>334</v>
      </c>
      <c r="E24" s="269" t="s">
        <v>341</v>
      </c>
      <c r="F24" s="269" t="s">
        <v>232</v>
      </c>
      <c r="G24" s="271">
        <v>2.7799999999999998E-2</v>
      </c>
      <c r="H24" s="272">
        <v>180</v>
      </c>
      <c r="I24" s="272">
        <v>5</v>
      </c>
      <c r="J24" s="272">
        <v>0</v>
      </c>
      <c r="K24" s="269" t="s">
        <v>233</v>
      </c>
      <c r="L24" s="273">
        <v>46332</v>
      </c>
      <c r="M24" s="272">
        <v>0</v>
      </c>
      <c r="N24" s="272">
        <v>0</v>
      </c>
      <c r="O24" s="272">
        <v>5</v>
      </c>
      <c r="P24" s="269" t="s">
        <v>430</v>
      </c>
      <c r="Q24" s="265"/>
      <c r="R24" s="265"/>
      <c r="S24" s="265"/>
      <c r="T24" s="265"/>
      <c r="U24" s="265"/>
      <c r="V24" s="265"/>
      <c r="W24" s="265"/>
      <c r="X24" s="265"/>
      <c r="Y24" s="265"/>
      <c r="Z24" s="265"/>
      <c r="AA24" s="265"/>
      <c r="AB24" s="265"/>
      <c r="AC24" s="265"/>
      <c r="AD24" s="272" t="s">
        <v>431</v>
      </c>
      <c r="AE24" s="265"/>
      <c r="AF24" s="265"/>
      <c r="AG24" s="265"/>
      <c r="AH24" s="265"/>
      <c r="AI24" s="265"/>
      <c r="AJ24" s="265"/>
    </row>
    <row r="25" spans="1:36">
      <c r="A25" s="267" t="s">
        <v>242</v>
      </c>
      <c r="B25" s="268">
        <v>46028</v>
      </c>
      <c r="C25" s="269" t="s">
        <v>429</v>
      </c>
      <c r="D25" s="270" t="s">
        <v>576</v>
      </c>
      <c r="E25" s="269" t="s">
        <v>341</v>
      </c>
      <c r="F25" s="269" t="s">
        <v>232</v>
      </c>
      <c r="G25" s="271">
        <v>5.5999999999999999E-3</v>
      </c>
      <c r="H25" s="272">
        <v>180</v>
      </c>
      <c r="I25" s="272">
        <v>1</v>
      </c>
      <c r="J25" s="272">
        <v>0</v>
      </c>
      <c r="K25" s="269" t="s">
        <v>233</v>
      </c>
      <c r="L25" s="273">
        <v>46325</v>
      </c>
      <c r="M25" s="272">
        <v>0</v>
      </c>
      <c r="N25" s="272">
        <v>0</v>
      </c>
      <c r="O25" s="272">
        <v>4</v>
      </c>
      <c r="P25" s="269" t="s">
        <v>431</v>
      </c>
      <c r="Q25" s="265"/>
      <c r="R25" s="265"/>
      <c r="S25" s="265"/>
      <c r="T25" s="265"/>
      <c r="U25" s="265"/>
      <c r="V25" s="265"/>
      <c r="W25" s="265"/>
      <c r="X25" s="265"/>
      <c r="Y25" s="265"/>
      <c r="Z25" s="265"/>
      <c r="AA25" s="265"/>
      <c r="AB25" s="265"/>
      <c r="AC25" s="265"/>
      <c r="AD25" s="272" t="s">
        <v>430</v>
      </c>
      <c r="AE25" s="265"/>
      <c r="AF25" s="265"/>
      <c r="AG25" s="265"/>
      <c r="AH25" s="265"/>
      <c r="AI25" s="265"/>
      <c r="AJ25" s="265"/>
    </row>
    <row r="26" spans="1:36">
      <c r="A26" s="267" t="s">
        <v>242</v>
      </c>
      <c r="B26" s="268">
        <v>46028</v>
      </c>
      <c r="C26" s="269" t="s">
        <v>380</v>
      </c>
      <c r="D26" s="270" t="s">
        <v>231</v>
      </c>
      <c r="E26" s="269" t="s">
        <v>341</v>
      </c>
      <c r="F26" s="269" t="s">
        <v>232</v>
      </c>
      <c r="G26" s="271">
        <v>3.3300000000000003E-2</v>
      </c>
      <c r="H26" s="272">
        <v>180</v>
      </c>
      <c r="I26" s="272">
        <v>6</v>
      </c>
      <c r="J26" s="272">
        <v>0</v>
      </c>
      <c r="K26" s="269" t="s">
        <v>233</v>
      </c>
      <c r="L26" s="273">
        <v>46339</v>
      </c>
      <c r="M26" s="272">
        <v>0</v>
      </c>
      <c r="N26" s="272">
        <v>0</v>
      </c>
      <c r="O26" s="272">
        <v>6</v>
      </c>
      <c r="P26" s="269" t="s">
        <v>299</v>
      </c>
      <c r="Q26" s="265"/>
      <c r="R26" s="265"/>
      <c r="S26" s="265"/>
      <c r="T26" s="265"/>
      <c r="U26" s="265"/>
      <c r="V26" s="265"/>
      <c r="W26" s="265"/>
      <c r="X26" s="265"/>
      <c r="Y26" s="265"/>
      <c r="Z26" s="265"/>
      <c r="AA26" s="265"/>
      <c r="AB26" s="265"/>
      <c r="AC26" s="265"/>
      <c r="AD26" s="272" t="s">
        <v>436</v>
      </c>
      <c r="AE26" s="265"/>
      <c r="AF26" s="265"/>
      <c r="AG26" s="265"/>
      <c r="AH26" s="265"/>
      <c r="AI26" s="265"/>
      <c r="AJ26" s="265"/>
    </row>
    <row r="27" spans="1:36">
      <c r="A27" s="267" t="s">
        <v>242</v>
      </c>
      <c r="B27" s="268">
        <v>46028</v>
      </c>
      <c r="C27" s="269" t="s">
        <v>378</v>
      </c>
      <c r="D27" s="270" t="s">
        <v>563</v>
      </c>
      <c r="E27" s="269" t="s">
        <v>341</v>
      </c>
      <c r="F27" s="269" t="s">
        <v>232</v>
      </c>
      <c r="G27" s="271">
        <v>5.5999999999999999E-3</v>
      </c>
      <c r="H27" s="272">
        <v>180</v>
      </c>
      <c r="I27" s="272">
        <v>1</v>
      </c>
      <c r="J27" s="272">
        <v>0</v>
      </c>
      <c r="K27" s="269" t="s">
        <v>233</v>
      </c>
      <c r="L27" s="273">
        <v>46305</v>
      </c>
      <c r="M27" s="272">
        <v>0</v>
      </c>
      <c r="N27" s="272">
        <v>0</v>
      </c>
      <c r="O27" s="272">
        <v>1</v>
      </c>
      <c r="P27" s="269" t="s">
        <v>431</v>
      </c>
      <c r="Q27" s="265"/>
      <c r="R27" s="265"/>
      <c r="S27" s="265"/>
      <c r="T27" s="265"/>
      <c r="U27" s="265"/>
      <c r="V27" s="265"/>
      <c r="W27" s="265"/>
      <c r="X27" s="265"/>
      <c r="Y27" s="265"/>
      <c r="Z27" s="265"/>
      <c r="AA27" s="265"/>
      <c r="AB27" s="265"/>
      <c r="AC27" s="265"/>
      <c r="AD27" s="272" t="s">
        <v>430</v>
      </c>
      <c r="AE27" s="265"/>
      <c r="AF27" s="265"/>
      <c r="AG27" s="265"/>
      <c r="AH27" s="265"/>
      <c r="AI27" s="265"/>
      <c r="AJ27" s="265"/>
    </row>
    <row r="28" spans="1:36">
      <c r="A28" s="267" t="s">
        <v>242</v>
      </c>
      <c r="B28" s="268">
        <v>46028</v>
      </c>
      <c r="C28" s="269" t="s">
        <v>433</v>
      </c>
      <c r="D28" s="270" t="s">
        <v>577</v>
      </c>
      <c r="E28" s="269" t="s">
        <v>341</v>
      </c>
      <c r="F28" s="269" t="s">
        <v>232</v>
      </c>
      <c r="G28" s="271">
        <v>0</v>
      </c>
      <c r="H28" s="272">
        <v>180</v>
      </c>
      <c r="I28" s="272">
        <v>0</v>
      </c>
      <c r="J28" s="272">
        <v>0</v>
      </c>
      <c r="K28" s="269" t="s">
        <v>233</v>
      </c>
      <c r="L28" s="273" t="s">
        <v>66</v>
      </c>
      <c r="M28" s="272">
        <v>0</v>
      </c>
      <c r="N28" s="272">
        <v>0</v>
      </c>
      <c r="O28" s="272">
        <v>0</v>
      </c>
      <c r="P28" s="269" t="s">
        <v>436</v>
      </c>
      <c r="Q28" s="265"/>
      <c r="R28" s="265"/>
      <c r="S28" s="265"/>
      <c r="T28" s="265"/>
      <c r="U28" s="265"/>
      <c r="V28" s="265"/>
      <c r="W28" s="265"/>
      <c r="X28" s="265"/>
      <c r="Y28" s="265"/>
      <c r="Z28" s="265"/>
      <c r="AA28" s="265"/>
      <c r="AB28" s="265"/>
      <c r="AC28" s="265"/>
      <c r="AD28" s="265"/>
      <c r="AE28" s="265"/>
      <c r="AF28" s="265"/>
      <c r="AG28" s="265"/>
      <c r="AH28" s="265"/>
      <c r="AI28" s="265"/>
      <c r="AJ28" s="265"/>
    </row>
    <row r="29" spans="1:36">
      <c r="A29" s="267" t="s">
        <v>242</v>
      </c>
      <c r="B29" s="268">
        <v>46028</v>
      </c>
      <c r="C29" s="269" t="s">
        <v>366</v>
      </c>
      <c r="D29" s="270" t="s">
        <v>578</v>
      </c>
      <c r="E29" s="269" t="s">
        <v>341</v>
      </c>
      <c r="F29" s="269" t="s">
        <v>232</v>
      </c>
      <c r="G29" s="271">
        <v>1.11E-2</v>
      </c>
      <c r="H29" s="272">
        <v>180</v>
      </c>
      <c r="I29" s="272">
        <v>2</v>
      </c>
      <c r="J29" s="272">
        <v>0</v>
      </c>
      <c r="K29" s="269" t="s">
        <v>233</v>
      </c>
      <c r="L29" s="273">
        <v>46314</v>
      </c>
      <c r="M29" s="272">
        <v>0</v>
      </c>
      <c r="N29" s="272">
        <v>0</v>
      </c>
      <c r="O29" s="272">
        <v>2</v>
      </c>
      <c r="P29" s="269" t="s">
        <v>368</v>
      </c>
      <c r="Q29" s="265"/>
      <c r="R29" s="265"/>
      <c r="S29" s="265"/>
      <c r="T29" s="265"/>
      <c r="U29" s="265"/>
      <c r="V29" s="265"/>
      <c r="W29" s="265"/>
      <c r="X29" s="265"/>
      <c r="Y29" s="265"/>
      <c r="Z29" s="265"/>
      <c r="AA29" s="265"/>
      <c r="AB29" s="265"/>
      <c r="AC29" s="265"/>
      <c r="AD29" s="272" t="s">
        <v>367</v>
      </c>
      <c r="AE29" s="265"/>
      <c r="AF29" s="265"/>
      <c r="AG29" s="265"/>
      <c r="AH29" s="265"/>
      <c r="AI29" s="265"/>
      <c r="AJ29" s="265"/>
    </row>
    <row r="30" spans="1:36">
      <c r="A30" s="267" t="s">
        <v>242</v>
      </c>
      <c r="B30" s="268">
        <v>46028</v>
      </c>
      <c r="C30" s="269" t="s">
        <v>376</v>
      </c>
      <c r="D30" s="270" t="s">
        <v>579</v>
      </c>
      <c r="E30" s="269" t="s">
        <v>341</v>
      </c>
      <c r="F30" s="269" t="s">
        <v>232</v>
      </c>
      <c r="G30" s="271">
        <v>0</v>
      </c>
      <c r="H30" s="272">
        <v>180</v>
      </c>
      <c r="I30" s="272">
        <v>0</v>
      </c>
      <c r="J30" s="272">
        <v>0</v>
      </c>
      <c r="K30" s="269" t="s">
        <v>233</v>
      </c>
      <c r="L30" s="273" t="s">
        <v>66</v>
      </c>
      <c r="M30" s="272">
        <v>0</v>
      </c>
      <c r="N30" s="272">
        <v>0</v>
      </c>
      <c r="O30" s="272">
        <v>0</v>
      </c>
      <c r="P30" s="269" t="s">
        <v>436</v>
      </c>
      <c r="Q30" s="265"/>
      <c r="R30" s="265"/>
      <c r="S30" s="265"/>
      <c r="T30" s="265"/>
      <c r="U30" s="265"/>
      <c r="V30" s="265"/>
      <c r="W30" s="265"/>
      <c r="X30" s="265"/>
      <c r="Y30" s="265"/>
      <c r="Z30" s="265"/>
      <c r="AA30" s="265"/>
      <c r="AB30" s="265"/>
      <c r="AC30" s="265"/>
      <c r="AD30" s="265"/>
      <c r="AE30" s="265"/>
      <c r="AF30" s="265"/>
      <c r="AG30" s="265"/>
      <c r="AH30" s="265"/>
      <c r="AI30" s="265"/>
      <c r="AJ30" s="265"/>
    </row>
    <row r="31" spans="1:36">
      <c r="A31" s="267" t="s">
        <v>315</v>
      </c>
      <c r="B31" s="268">
        <v>46029</v>
      </c>
      <c r="C31" s="269" t="s">
        <v>366</v>
      </c>
      <c r="D31" s="270" t="s">
        <v>580</v>
      </c>
      <c r="E31" s="269" t="s">
        <v>341</v>
      </c>
      <c r="F31" s="269" t="s">
        <v>232</v>
      </c>
      <c r="G31" s="271">
        <v>0.05</v>
      </c>
      <c r="H31" s="272">
        <v>180</v>
      </c>
      <c r="I31" s="272">
        <v>9</v>
      </c>
      <c r="J31" s="272">
        <v>0</v>
      </c>
      <c r="K31" s="269" t="s">
        <v>233</v>
      </c>
      <c r="L31" s="273">
        <v>46343</v>
      </c>
      <c r="M31" s="272">
        <v>0</v>
      </c>
      <c r="N31" s="272">
        <v>0</v>
      </c>
      <c r="O31" s="272">
        <v>11</v>
      </c>
      <c r="P31" s="269" t="s">
        <v>430</v>
      </c>
      <c r="Q31" s="265"/>
      <c r="R31" s="265"/>
      <c r="S31" s="265"/>
      <c r="T31" s="265"/>
      <c r="U31" s="265"/>
      <c r="V31" s="265"/>
      <c r="W31" s="265"/>
      <c r="X31" s="265"/>
      <c r="Y31" s="265"/>
      <c r="Z31" s="265"/>
      <c r="AA31" s="265"/>
      <c r="AB31" s="272" t="s">
        <v>300</v>
      </c>
      <c r="AC31" s="265"/>
      <c r="AD31" s="272" t="s">
        <v>431</v>
      </c>
      <c r="AE31" s="265"/>
      <c r="AF31" s="265"/>
      <c r="AG31" s="265"/>
      <c r="AH31" s="265"/>
      <c r="AI31" s="265"/>
      <c r="AJ31" s="265"/>
    </row>
    <row r="32" spans="1:36">
      <c r="A32" s="267" t="s">
        <v>315</v>
      </c>
      <c r="B32" s="268">
        <v>46029</v>
      </c>
      <c r="C32" s="269" t="s">
        <v>376</v>
      </c>
      <c r="D32" s="270" t="s">
        <v>581</v>
      </c>
      <c r="E32" s="269" t="s">
        <v>341</v>
      </c>
      <c r="F32" s="269" t="s">
        <v>232</v>
      </c>
      <c r="G32" s="271">
        <v>1.11E-2</v>
      </c>
      <c r="H32" s="272">
        <v>180</v>
      </c>
      <c r="I32" s="272">
        <v>2</v>
      </c>
      <c r="J32" s="272">
        <v>0</v>
      </c>
      <c r="K32" s="269" t="s">
        <v>233</v>
      </c>
      <c r="L32" s="273">
        <v>46329</v>
      </c>
      <c r="M32" s="272">
        <v>0</v>
      </c>
      <c r="N32" s="272">
        <v>0</v>
      </c>
      <c r="O32" s="272">
        <v>2</v>
      </c>
      <c r="P32" s="269" t="s">
        <v>368</v>
      </c>
      <c r="Q32" s="265"/>
      <c r="R32" s="265"/>
      <c r="S32" s="265"/>
      <c r="T32" s="265"/>
      <c r="U32" s="265"/>
      <c r="V32" s="265"/>
      <c r="W32" s="265"/>
      <c r="X32" s="265"/>
      <c r="Y32" s="265"/>
      <c r="Z32" s="265"/>
      <c r="AA32" s="265"/>
      <c r="AB32" s="265"/>
      <c r="AC32" s="265"/>
      <c r="AD32" s="272" t="s">
        <v>367</v>
      </c>
      <c r="AE32" s="265"/>
      <c r="AF32" s="265"/>
      <c r="AG32" s="265"/>
      <c r="AH32" s="265"/>
      <c r="AI32" s="265"/>
      <c r="AJ32" s="265"/>
    </row>
    <row r="33" spans="1:36">
      <c r="A33" s="267" t="s">
        <v>315</v>
      </c>
      <c r="B33" s="268">
        <v>46029</v>
      </c>
      <c r="C33" s="269" t="s">
        <v>433</v>
      </c>
      <c r="D33" s="270" t="s">
        <v>582</v>
      </c>
      <c r="E33" s="269" t="s">
        <v>341</v>
      </c>
      <c r="F33" s="269" t="s">
        <v>232</v>
      </c>
      <c r="G33" s="271">
        <v>5.5999999999999999E-3</v>
      </c>
      <c r="H33" s="272">
        <v>180</v>
      </c>
      <c r="I33" s="272">
        <v>1</v>
      </c>
      <c r="J33" s="272">
        <v>0</v>
      </c>
      <c r="K33" s="269" t="s">
        <v>233</v>
      </c>
      <c r="L33" s="273">
        <v>46300</v>
      </c>
      <c r="M33" s="272">
        <v>0</v>
      </c>
      <c r="N33" s="272">
        <v>0</v>
      </c>
      <c r="O33" s="272">
        <v>1</v>
      </c>
      <c r="P33" s="269" t="s">
        <v>431</v>
      </c>
      <c r="Q33" s="265"/>
      <c r="R33" s="265"/>
      <c r="S33" s="265"/>
      <c r="T33" s="265"/>
      <c r="U33" s="265"/>
      <c r="V33" s="265"/>
      <c r="W33" s="265"/>
      <c r="X33" s="265"/>
      <c r="Y33" s="265"/>
      <c r="Z33" s="265"/>
      <c r="AA33" s="265"/>
      <c r="AB33" s="265"/>
      <c r="AC33" s="265"/>
      <c r="AD33" s="272" t="s">
        <v>430</v>
      </c>
      <c r="AE33" s="265"/>
      <c r="AF33" s="265"/>
      <c r="AG33" s="265"/>
      <c r="AH33" s="265"/>
      <c r="AI33" s="265"/>
      <c r="AJ33" s="265"/>
    </row>
    <row r="34" spans="1:36">
      <c r="A34" s="267" t="s">
        <v>315</v>
      </c>
      <c r="B34" s="268">
        <v>46029</v>
      </c>
      <c r="C34" s="269" t="s">
        <v>378</v>
      </c>
      <c r="D34" s="270" t="s">
        <v>563</v>
      </c>
      <c r="E34" s="269" t="s">
        <v>341</v>
      </c>
      <c r="F34" s="269" t="s">
        <v>232</v>
      </c>
      <c r="G34" s="271">
        <v>1.67E-2</v>
      </c>
      <c r="H34" s="272">
        <v>180</v>
      </c>
      <c r="I34" s="272">
        <v>3</v>
      </c>
      <c r="J34" s="272">
        <v>0</v>
      </c>
      <c r="K34" s="269" t="s">
        <v>233</v>
      </c>
      <c r="L34" s="273">
        <v>46321</v>
      </c>
      <c r="M34" s="272">
        <v>0</v>
      </c>
      <c r="N34" s="272">
        <v>0</v>
      </c>
      <c r="O34" s="272">
        <v>3</v>
      </c>
      <c r="P34" s="269" t="s">
        <v>446</v>
      </c>
      <c r="Q34" s="265"/>
      <c r="R34" s="265"/>
      <c r="S34" s="265"/>
      <c r="T34" s="265"/>
      <c r="U34" s="265"/>
      <c r="V34" s="265"/>
      <c r="W34" s="265"/>
      <c r="X34" s="265"/>
      <c r="Y34" s="265"/>
      <c r="Z34" s="265"/>
      <c r="AA34" s="265"/>
      <c r="AB34" s="265"/>
      <c r="AC34" s="265"/>
      <c r="AD34" s="272" t="s">
        <v>446</v>
      </c>
      <c r="AE34" s="265"/>
      <c r="AF34" s="265"/>
      <c r="AG34" s="265"/>
      <c r="AH34" s="265"/>
      <c r="AI34" s="265"/>
      <c r="AJ34" s="265"/>
    </row>
    <row r="35" spans="1:36">
      <c r="A35" s="267" t="s">
        <v>315</v>
      </c>
      <c r="B35" s="268">
        <v>46029</v>
      </c>
      <c r="C35" s="269" t="s">
        <v>429</v>
      </c>
      <c r="D35" s="270" t="s">
        <v>559</v>
      </c>
      <c r="E35" s="269" t="s">
        <v>341</v>
      </c>
      <c r="F35" s="269" t="s">
        <v>232</v>
      </c>
      <c r="G35" s="271">
        <v>1.11E-2</v>
      </c>
      <c r="H35" s="272">
        <v>180</v>
      </c>
      <c r="I35" s="272">
        <v>2</v>
      </c>
      <c r="J35" s="272">
        <v>0</v>
      </c>
      <c r="K35" s="269" t="s">
        <v>233</v>
      </c>
      <c r="L35" s="273">
        <v>46330</v>
      </c>
      <c r="M35" s="272">
        <v>0</v>
      </c>
      <c r="N35" s="272">
        <v>0</v>
      </c>
      <c r="O35" s="272">
        <v>2</v>
      </c>
      <c r="P35" s="269" t="s">
        <v>368</v>
      </c>
      <c r="Q35" s="265"/>
      <c r="R35" s="265"/>
      <c r="S35" s="265"/>
      <c r="T35" s="265"/>
      <c r="U35" s="265"/>
      <c r="V35" s="265"/>
      <c r="W35" s="265"/>
      <c r="X35" s="265"/>
      <c r="Y35" s="265"/>
      <c r="Z35" s="265"/>
      <c r="AA35" s="265"/>
      <c r="AB35" s="265"/>
      <c r="AC35" s="265"/>
      <c r="AD35" s="272" t="s">
        <v>367</v>
      </c>
      <c r="AE35" s="265"/>
      <c r="AF35" s="265"/>
      <c r="AG35" s="265"/>
      <c r="AH35" s="265"/>
      <c r="AI35" s="265"/>
      <c r="AJ35" s="265"/>
    </row>
    <row r="36" spans="1:36">
      <c r="A36" s="267" t="s">
        <v>230</v>
      </c>
      <c r="B36" s="268">
        <v>46030</v>
      </c>
      <c r="C36" s="269" t="s">
        <v>373</v>
      </c>
      <c r="D36" s="270" t="s">
        <v>273</v>
      </c>
      <c r="E36" s="269" t="s">
        <v>341</v>
      </c>
      <c r="F36" s="269" t="s">
        <v>232</v>
      </c>
      <c r="G36" s="271">
        <v>0</v>
      </c>
      <c r="H36" s="272">
        <v>180</v>
      </c>
      <c r="I36" s="272">
        <v>0</v>
      </c>
      <c r="J36" s="272">
        <v>0</v>
      </c>
      <c r="K36" s="269" t="s">
        <v>233</v>
      </c>
      <c r="L36" s="273" t="s">
        <v>66</v>
      </c>
      <c r="M36" s="272">
        <v>0</v>
      </c>
      <c r="N36" s="272">
        <v>0</v>
      </c>
      <c r="O36" s="272">
        <v>0</v>
      </c>
      <c r="P36" s="269" t="s">
        <v>436</v>
      </c>
      <c r="Q36" s="265"/>
      <c r="R36" s="265"/>
      <c r="S36" s="265"/>
      <c r="T36" s="265"/>
      <c r="U36" s="265"/>
      <c r="V36" s="265"/>
      <c r="W36" s="265"/>
      <c r="X36" s="265"/>
      <c r="Y36" s="265"/>
      <c r="Z36" s="265"/>
      <c r="AA36" s="265"/>
      <c r="AB36" s="265"/>
      <c r="AC36" s="265"/>
      <c r="AD36" s="265"/>
      <c r="AE36" s="265"/>
      <c r="AF36" s="265"/>
      <c r="AG36" s="265"/>
      <c r="AH36" s="265"/>
      <c r="AI36" s="265"/>
      <c r="AJ36" s="265"/>
    </row>
    <row r="37" spans="1:36">
      <c r="A37" s="267" t="s">
        <v>230</v>
      </c>
      <c r="B37" s="268">
        <v>46030</v>
      </c>
      <c r="C37" s="269" t="s">
        <v>376</v>
      </c>
      <c r="D37" s="270" t="s">
        <v>553</v>
      </c>
      <c r="E37" s="269" t="s">
        <v>341</v>
      </c>
      <c r="F37" s="269" t="s">
        <v>232</v>
      </c>
      <c r="G37" s="271">
        <v>0</v>
      </c>
      <c r="H37" s="272">
        <v>180</v>
      </c>
      <c r="I37" s="272">
        <v>0</v>
      </c>
      <c r="J37" s="272">
        <v>0</v>
      </c>
      <c r="K37" s="269" t="s">
        <v>233</v>
      </c>
      <c r="L37" s="273" t="s">
        <v>66</v>
      </c>
      <c r="M37" s="272">
        <v>0</v>
      </c>
      <c r="N37" s="272">
        <v>0</v>
      </c>
      <c r="O37" s="272">
        <v>0</v>
      </c>
      <c r="P37" s="269" t="s">
        <v>436</v>
      </c>
      <c r="Q37" s="265"/>
      <c r="R37" s="265"/>
      <c r="S37" s="265"/>
      <c r="T37" s="265"/>
      <c r="U37" s="265"/>
      <c r="V37" s="265"/>
      <c r="W37" s="265"/>
      <c r="X37" s="265"/>
      <c r="Y37" s="265"/>
      <c r="Z37" s="265"/>
      <c r="AA37" s="265"/>
      <c r="AB37" s="265"/>
      <c r="AC37" s="265"/>
      <c r="AD37" s="265"/>
      <c r="AE37" s="265"/>
      <c r="AF37" s="265"/>
      <c r="AG37" s="265"/>
      <c r="AH37" s="265"/>
      <c r="AI37" s="265"/>
      <c r="AJ37" s="265"/>
    </row>
    <row r="38" spans="1:36">
      <c r="A38" s="267" t="s">
        <v>230</v>
      </c>
      <c r="B38" s="268">
        <v>46030</v>
      </c>
      <c r="C38" s="269" t="s">
        <v>370</v>
      </c>
      <c r="D38" s="270" t="s">
        <v>554</v>
      </c>
      <c r="E38" s="269" t="s">
        <v>341</v>
      </c>
      <c r="F38" s="269" t="s">
        <v>232</v>
      </c>
      <c r="G38" s="271">
        <v>1.67E-2</v>
      </c>
      <c r="H38" s="272">
        <v>180</v>
      </c>
      <c r="I38" s="272">
        <v>3</v>
      </c>
      <c r="J38" s="272">
        <v>0</v>
      </c>
      <c r="K38" s="269" t="s">
        <v>233</v>
      </c>
      <c r="L38" s="273">
        <v>46342</v>
      </c>
      <c r="M38" s="272">
        <v>0</v>
      </c>
      <c r="N38" s="272">
        <v>0</v>
      </c>
      <c r="O38" s="272">
        <v>3</v>
      </c>
      <c r="P38" s="269" t="s">
        <v>292</v>
      </c>
      <c r="Q38" s="265"/>
      <c r="R38" s="265"/>
      <c r="S38" s="265"/>
      <c r="T38" s="265"/>
      <c r="U38" s="265"/>
      <c r="V38" s="265"/>
      <c r="W38" s="265"/>
      <c r="X38" s="265"/>
      <c r="Y38" s="265"/>
      <c r="Z38" s="265"/>
      <c r="AA38" s="265"/>
      <c r="AB38" s="265"/>
      <c r="AC38" s="272" t="s">
        <v>304</v>
      </c>
      <c r="AD38" s="265"/>
      <c r="AE38" s="265"/>
      <c r="AF38" s="265"/>
      <c r="AG38" s="265"/>
      <c r="AH38" s="265"/>
      <c r="AI38" s="265"/>
      <c r="AJ38" s="265"/>
    </row>
    <row r="39" spans="1:36">
      <c r="A39" s="267" t="s">
        <v>230</v>
      </c>
      <c r="B39" s="268">
        <v>46030</v>
      </c>
      <c r="C39" s="269" t="s">
        <v>378</v>
      </c>
      <c r="D39" s="270" t="s">
        <v>555</v>
      </c>
      <c r="E39" s="269" t="s">
        <v>341</v>
      </c>
      <c r="F39" s="269" t="s">
        <v>232</v>
      </c>
      <c r="G39" s="271">
        <v>1.67E-2</v>
      </c>
      <c r="H39" s="272">
        <v>180</v>
      </c>
      <c r="I39" s="272">
        <v>3</v>
      </c>
      <c r="J39" s="272">
        <v>0</v>
      </c>
      <c r="K39" s="269" t="s">
        <v>233</v>
      </c>
      <c r="L39" s="273">
        <v>46343</v>
      </c>
      <c r="M39" s="272">
        <v>0</v>
      </c>
      <c r="N39" s="272">
        <v>0</v>
      </c>
      <c r="O39" s="272">
        <v>3</v>
      </c>
      <c r="P39" s="269" t="s">
        <v>446</v>
      </c>
      <c r="Q39" s="265"/>
      <c r="R39" s="265"/>
      <c r="S39" s="265"/>
      <c r="T39" s="265"/>
      <c r="U39" s="265"/>
      <c r="V39" s="265"/>
      <c r="W39" s="265"/>
      <c r="X39" s="265"/>
      <c r="Y39" s="265"/>
      <c r="Z39" s="265"/>
      <c r="AA39" s="265"/>
      <c r="AB39" s="265"/>
      <c r="AC39" s="265"/>
      <c r="AD39" s="272" t="s">
        <v>446</v>
      </c>
      <c r="AE39" s="265"/>
      <c r="AF39" s="265"/>
      <c r="AG39" s="265"/>
      <c r="AH39" s="265"/>
      <c r="AI39" s="265"/>
      <c r="AJ39" s="265"/>
    </row>
    <row r="40" spans="1:36">
      <c r="A40" s="267" t="s">
        <v>230</v>
      </c>
      <c r="B40" s="268">
        <v>46030</v>
      </c>
      <c r="C40" s="269" t="s">
        <v>380</v>
      </c>
      <c r="D40" s="270" t="s">
        <v>556</v>
      </c>
      <c r="E40" s="269" t="s">
        <v>341</v>
      </c>
      <c r="F40" s="269" t="s">
        <v>232</v>
      </c>
      <c r="G40" s="271">
        <v>2.7799999999999998E-2</v>
      </c>
      <c r="H40" s="272">
        <v>180</v>
      </c>
      <c r="I40" s="272">
        <v>5</v>
      </c>
      <c r="J40" s="272">
        <v>0</v>
      </c>
      <c r="K40" s="269" t="s">
        <v>233</v>
      </c>
      <c r="L40" s="273">
        <v>46342</v>
      </c>
      <c r="M40" s="272">
        <v>0</v>
      </c>
      <c r="N40" s="272">
        <v>0</v>
      </c>
      <c r="O40" s="272">
        <v>5</v>
      </c>
      <c r="P40" s="269" t="s">
        <v>430</v>
      </c>
      <c r="Q40" s="265"/>
      <c r="R40" s="265"/>
      <c r="S40" s="265"/>
      <c r="T40" s="265"/>
      <c r="U40" s="265"/>
      <c r="V40" s="265"/>
      <c r="W40" s="265"/>
      <c r="X40" s="265"/>
      <c r="Y40" s="265"/>
      <c r="Z40" s="265"/>
      <c r="AA40" s="265"/>
      <c r="AB40" s="265"/>
      <c r="AC40" s="265"/>
      <c r="AD40" s="272" t="s">
        <v>431</v>
      </c>
      <c r="AE40" s="265"/>
      <c r="AF40" s="265"/>
      <c r="AG40" s="265"/>
      <c r="AH40" s="265"/>
      <c r="AI40" s="265"/>
      <c r="AJ40" s="265"/>
    </row>
    <row r="41" spans="1:36">
      <c r="A41" s="267" t="s">
        <v>230</v>
      </c>
      <c r="B41" s="268">
        <v>46030</v>
      </c>
      <c r="C41" s="269" t="s">
        <v>366</v>
      </c>
      <c r="D41" s="270" t="s">
        <v>559</v>
      </c>
      <c r="E41" s="269" t="s">
        <v>341</v>
      </c>
      <c r="F41" s="269" t="s">
        <v>232</v>
      </c>
      <c r="G41" s="271">
        <v>0</v>
      </c>
      <c r="H41" s="272">
        <v>180</v>
      </c>
      <c r="I41" s="272">
        <v>0</v>
      </c>
      <c r="J41" s="272">
        <v>0</v>
      </c>
      <c r="K41" s="269" t="s">
        <v>233</v>
      </c>
      <c r="L41" s="273" t="s">
        <v>66</v>
      </c>
      <c r="M41" s="272">
        <v>0</v>
      </c>
      <c r="N41" s="272">
        <v>0</v>
      </c>
      <c r="O41" s="272">
        <v>0</v>
      </c>
      <c r="P41" s="269" t="s">
        <v>436</v>
      </c>
      <c r="Q41" s="265"/>
      <c r="R41" s="265"/>
      <c r="S41" s="265"/>
      <c r="T41" s="265"/>
      <c r="U41" s="265"/>
      <c r="V41" s="265"/>
      <c r="W41" s="265"/>
      <c r="X41" s="265"/>
      <c r="Y41" s="265"/>
      <c r="Z41" s="265"/>
      <c r="AA41" s="265"/>
      <c r="AB41" s="265"/>
      <c r="AC41" s="265"/>
      <c r="AD41" s="265"/>
      <c r="AE41" s="265"/>
      <c r="AF41" s="265"/>
      <c r="AG41" s="265"/>
      <c r="AH41" s="265"/>
      <c r="AI41" s="265"/>
      <c r="AJ41" s="265"/>
    </row>
    <row r="42" spans="1:36">
      <c r="A42" s="267" t="s">
        <v>560</v>
      </c>
      <c r="B42" s="268">
        <v>46031</v>
      </c>
      <c r="C42" s="269" t="s">
        <v>376</v>
      </c>
      <c r="D42" s="270" t="s">
        <v>561</v>
      </c>
      <c r="E42" s="269" t="s">
        <v>341</v>
      </c>
      <c r="F42" s="269" t="s">
        <v>232</v>
      </c>
      <c r="G42" s="271">
        <v>1.67E-2</v>
      </c>
      <c r="H42" s="272">
        <v>180</v>
      </c>
      <c r="I42" s="272">
        <v>3</v>
      </c>
      <c r="J42" s="272">
        <v>0</v>
      </c>
      <c r="K42" s="269" t="s">
        <v>233</v>
      </c>
      <c r="L42" s="273">
        <v>46302</v>
      </c>
      <c r="M42" s="272">
        <v>0</v>
      </c>
      <c r="N42" s="272">
        <v>0</v>
      </c>
      <c r="O42" s="272">
        <v>3</v>
      </c>
      <c r="P42" s="269" t="s">
        <v>446</v>
      </c>
      <c r="Q42" s="265"/>
      <c r="R42" s="265"/>
      <c r="S42" s="265"/>
      <c r="T42" s="265"/>
      <c r="U42" s="265"/>
      <c r="V42" s="265"/>
      <c r="W42" s="265"/>
      <c r="X42" s="265"/>
      <c r="Y42" s="265"/>
      <c r="Z42" s="265"/>
      <c r="AA42" s="265"/>
      <c r="AB42" s="265"/>
      <c r="AC42" s="265"/>
      <c r="AD42" s="272" t="s">
        <v>446</v>
      </c>
      <c r="AE42" s="265"/>
      <c r="AF42" s="265"/>
      <c r="AG42" s="265"/>
      <c r="AH42" s="265"/>
      <c r="AI42" s="265"/>
      <c r="AJ42" s="265"/>
    </row>
    <row r="43" spans="1:36">
      <c r="A43" s="267" t="s">
        <v>560</v>
      </c>
      <c r="B43" s="268">
        <v>46031</v>
      </c>
      <c r="C43" s="269" t="s">
        <v>378</v>
      </c>
      <c r="D43" s="270" t="s">
        <v>562</v>
      </c>
      <c r="E43" s="269" t="s">
        <v>341</v>
      </c>
      <c r="F43" s="269" t="s">
        <v>232</v>
      </c>
      <c r="G43" s="271">
        <v>0</v>
      </c>
      <c r="H43" s="272">
        <v>180</v>
      </c>
      <c r="I43" s="272">
        <v>0</v>
      </c>
      <c r="J43" s="272">
        <v>0</v>
      </c>
      <c r="K43" s="269" t="s">
        <v>233</v>
      </c>
      <c r="L43" s="273" t="s">
        <v>66</v>
      </c>
      <c r="M43" s="272">
        <v>0</v>
      </c>
      <c r="N43" s="272">
        <v>0</v>
      </c>
      <c r="O43" s="272">
        <v>0</v>
      </c>
      <c r="P43" s="269" t="s">
        <v>436</v>
      </c>
      <c r="Q43" s="265"/>
      <c r="R43" s="265"/>
      <c r="S43" s="265"/>
      <c r="T43" s="265"/>
      <c r="U43" s="265"/>
      <c r="V43" s="265"/>
      <c r="W43" s="265"/>
      <c r="X43" s="265"/>
      <c r="Y43" s="265"/>
      <c r="Z43" s="265"/>
      <c r="AA43" s="265"/>
      <c r="AB43" s="265"/>
      <c r="AC43" s="265"/>
      <c r="AD43" s="265"/>
      <c r="AE43" s="265"/>
      <c r="AF43" s="265"/>
      <c r="AG43" s="265"/>
      <c r="AH43" s="265"/>
      <c r="AI43" s="265"/>
      <c r="AJ43" s="265"/>
    </row>
    <row r="44" spans="1:36">
      <c r="A44" s="267" t="s">
        <v>560</v>
      </c>
      <c r="B44" s="268">
        <v>46031</v>
      </c>
      <c r="C44" s="269" t="s">
        <v>380</v>
      </c>
      <c r="D44" s="270" t="s">
        <v>563</v>
      </c>
      <c r="E44" s="269" t="s">
        <v>341</v>
      </c>
      <c r="F44" s="269" t="s">
        <v>232</v>
      </c>
      <c r="G44" s="271">
        <v>1.67E-2</v>
      </c>
      <c r="H44" s="272">
        <v>180</v>
      </c>
      <c r="I44" s="272">
        <v>3</v>
      </c>
      <c r="J44" s="272">
        <v>0</v>
      </c>
      <c r="K44" s="269" t="s">
        <v>233</v>
      </c>
      <c r="L44" s="273">
        <v>46340</v>
      </c>
      <c r="M44" s="272">
        <v>0</v>
      </c>
      <c r="N44" s="272">
        <v>0</v>
      </c>
      <c r="O44" s="272">
        <v>3</v>
      </c>
      <c r="P44" s="269" t="s">
        <v>446</v>
      </c>
      <c r="Q44" s="265"/>
      <c r="R44" s="265"/>
      <c r="S44" s="265"/>
      <c r="T44" s="265"/>
      <c r="U44" s="265"/>
      <c r="V44" s="265"/>
      <c r="W44" s="265"/>
      <c r="X44" s="265"/>
      <c r="Y44" s="265"/>
      <c r="Z44" s="265"/>
      <c r="AA44" s="265"/>
      <c r="AB44" s="265"/>
      <c r="AC44" s="265"/>
      <c r="AD44" s="272" t="s">
        <v>446</v>
      </c>
      <c r="AE44" s="265"/>
      <c r="AF44" s="265"/>
      <c r="AG44" s="265"/>
      <c r="AH44" s="265"/>
      <c r="AI44" s="265"/>
      <c r="AJ44" s="265"/>
    </row>
    <row r="45" spans="1:36">
      <c r="A45" s="267" t="s">
        <v>560</v>
      </c>
      <c r="B45" s="268">
        <v>46031</v>
      </c>
      <c r="C45" s="269" t="s">
        <v>429</v>
      </c>
      <c r="D45" s="270" t="s">
        <v>564</v>
      </c>
      <c r="E45" s="269" t="s">
        <v>341</v>
      </c>
      <c r="F45" s="269" t="s">
        <v>232</v>
      </c>
      <c r="G45" s="271">
        <v>2.7799999999999998E-2</v>
      </c>
      <c r="H45" s="272">
        <v>180</v>
      </c>
      <c r="I45" s="272">
        <v>5</v>
      </c>
      <c r="J45" s="272">
        <v>0</v>
      </c>
      <c r="K45" s="269" t="s">
        <v>233</v>
      </c>
      <c r="L45" s="273">
        <v>46340</v>
      </c>
      <c r="M45" s="272">
        <v>0</v>
      </c>
      <c r="N45" s="272">
        <v>0</v>
      </c>
      <c r="O45" s="272">
        <v>5</v>
      </c>
      <c r="P45" s="269" t="s">
        <v>430</v>
      </c>
      <c r="Q45" s="265"/>
      <c r="R45" s="265"/>
      <c r="S45" s="265"/>
      <c r="T45" s="265"/>
      <c r="U45" s="265"/>
      <c r="V45" s="265"/>
      <c r="W45" s="265"/>
      <c r="X45" s="265"/>
      <c r="Y45" s="265"/>
      <c r="Z45" s="265"/>
      <c r="AA45" s="265"/>
      <c r="AB45" s="265"/>
      <c r="AC45" s="265"/>
      <c r="AD45" s="272" t="s">
        <v>431</v>
      </c>
      <c r="AE45" s="265"/>
      <c r="AF45" s="265"/>
      <c r="AG45" s="265"/>
      <c r="AH45" s="265"/>
      <c r="AI45" s="265"/>
      <c r="AJ45" s="265"/>
    </row>
    <row r="46" spans="1:36">
      <c r="A46" s="267" t="s">
        <v>560</v>
      </c>
      <c r="B46" s="268">
        <v>46031</v>
      </c>
      <c r="C46" s="269" t="s">
        <v>433</v>
      </c>
      <c r="D46" s="270" t="s">
        <v>565</v>
      </c>
      <c r="E46" s="269" t="s">
        <v>341</v>
      </c>
      <c r="F46" s="269" t="s">
        <v>232</v>
      </c>
      <c r="G46" s="271">
        <v>3.3300000000000003E-2</v>
      </c>
      <c r="H46" s="272">
        <v>180</v>
      </c>
      <c r="I46" s="272">
        <v>6</v>
      </c>
      <c r="J46" s="272">
        <v>0</v>
      </c>
      <c r="K46" s="269" t="s">
        <v>233</v>
      </c>
      <c r="L46" s="273">
        <v>46344</v>
      </c>
      <c r="M46" s="272">
        <v>0</v>
      </c>
      <c r="N46" s="272">
        <v>0</v>
      </c>
      <c r="O46" s="272">
        <v>6</v>
      </c>
      <c r="P46" s="269" t="s">
        <v>299</v>
      </c>
      <c r="Q46" s="265"/>
      <c r="R46" s="265"/>
      <c r="S46" s="265"/>
      <c r="T46" s="265"/>
      <c r="U46" s="265"/>
      <c r="V46" s="265"/>
      <c r="W46" s="265"/>
      <c r="X46" s="265"/>
      <c r="Y46" s="265"/>
      <c r="Z46" s="265"/>
      <c r="AA46" s="265"/>
      <c r="AB46" s="265"/>
      <c r="AC46" s="265"/>
      <c r="AD46" s="272" t="s">
        <v>436</v>
      </c>
      <c r="AE46" s="265"/>
      <c r="AF46" s="265"/>
      <c r="AG46" s="265"/>
      <c r="AH46" s="265"/>
      <c r="AI46" s="265"/>
      <c r="AJ46" s="265"/>
    </row>
    <row r="47" spans="1:36">
      <c r="A47" s="267" t="s">
        <v>234</v>
      </c>
      <c r="B47" s="268">
        <v>46032</v>
      </c>
      <c r="C47" s="269" t="s">
        <v>373</v>
      </c>
      <c r="D47" s="270" t="s">
        <v>566</v>
      </c>
      <c r="E47" s="269" t="s">
        <v>341</v>
      </c>
      <c r="F47" s="269" t="s">
        <v>232</v>
      </c>
      <c r="G47" s="271">
        <v>2.69E-2</v>
      </c>
      <c r="H47" s="272">
        <v>186</v>
      </c>
      <c r="I47" s="272">
        <v>5</v>
      </c>
      <c r="J47" s="272">
        <v>0</v>
      </c>
      <c r="K47" s="269" t="s">
        <v>233</v>
      </c>
      <c r="L47" s="273">
        <v>46331</v>
      </c>
      <c r="M47" s="272">
        <v>0</v>
      </c>
      <c r="N47" s="272">
        <v>0</v>
      </c>
      <c r="O47" s="272">
        <v>5</v>
      </c>
      <c r="P47" s="269" t="s">
        <v>446</v>
      </c>
      <c r="Q47" s="265"/>
      <c r="R47" s="265"/>
      <c r="S47" s="265"/>
      <c r="T47" s="265"/>
      <c r="U47" s="265"/>
      <c r="V47" s="265"/>
      <c r="W47" s="265"/>
      <c r="X47" s="265"/>
      <c r="Y47" s="265"/>
      <c r="Z47" s="265"/>
      <c r="AA47" s="265"/>
      <c r="AB47" s="265"/>
      <c r="AC47" s="272" t="s">
        <v>298</v>
      </c>
      <c r="AD47" s="272" t="s">
        <v>446</v>
      </c>
      <c r="AE47" s="265"/>
      <c r="AF47" s="265"/>
      <c r="AG47" s="265"/>
      <c r="AH47" s="265"/>
      <c r="AI47" s="265"/>
      <c r="AJ47" s="265"/>
    </row>
    <row r="48" spans="1:36">
      <c r="A48" s="267" t="s">
        <v>234</v>
      </c>
      <c r="B48" s="268">
        <v>46032</v>
      </c>
      <c r="C48" s="269" t="s">
        <v>376</v>
      </c>
      <c r="D48" s="270" t="s">
        <v>553</v>
      </c>
      <c r="E48" s="269" t="s">
        <v>341</v>
      </c>
      <c r="F48" s="269" t="s">
        <v>232</v>
      </c>
      <c r="G48" s="271">
        <v>1.11E-2</v>
      </c>
      <c r="H48" s="272">
        <v>180</v>
      </c>
      <c r="I48" s="272">
        <v>2</v>
      </c>
      <c r="J48" s="272">
        <v>0</v>
      </c>
      <c r="K48" s="269" t="s">
        <v>233</v>
      </c>
      <c r="L48" s="273">
        <v>46325</v>
      </c>
      <c r="M48" s="272">
        <v>0</v>
      </c>
      <c r="N48" s="272">
        <v>0</v>
      </c>
      <c r="O48" s="272">
        <v>5</v>
      </c>
      <c r="P48" s="269" t="s">
        <v>368</v>
      </c>
      <c r="Q48" s="265"/>
      <c r="R48" s="265"/>
      <c r="S48" s="265"/>
      <c r="T48" s="265"/>
      <c r="U48" s="265"/>
      <c r="V48" s="265"/>
      <c r="W48" s="265"/>
      <c r="X48" s="265"/>
      <c r="Y48" s="265"/>
      <c r="Z48" s="265"/>
      <c r="AA48" s="265"/>
      <c r="AB48" s="265"/>
      <c r="AC48" s="265"/>
      <c r="AD48" s="272" t="s">
        <v>367</v>
      </c>
      <c r="AE48" s="265"/>
      <c r="AF48" s="265"/>
      <c r="AG48" s="265"/>
      <c r="AH48" s="265"/>
      <c r="AI48" s="265"/>
      <c r="AJ48" s="265"/>
    </row>
    <row r="49" spans="1:36">
      <c r="A49" s="267" t="s">
        <v>234</v>
      </c>
      <c r="B49" s="268">
        <v>46032</v>
      </c>
      <c r="C49" s="269" t="s">
        <v>378</v>
      </c>
      <c r="D49" s="270" t="s">
        <v>567</v>
      </c>
      <c r="E49" s="269" t="s">
        <v>341</v>
      </c>
      <c r="F49" s="269" t="s">
        <v>232</v>
      </c>
      <c r="G49" s="271">
        <v>2.7799999999999998E-2</v>
      </c>
      <c r="H49" s="272">
        <v>180</v>
      </c>
      <c r="I49" s="272">
        <v>5</v>
      </c>
      <c r="J49" s="272">
        <v>0</v>
      </c>
      <c r="K49" s="269" t="s">
        <v>233</v>
      </c>
      <c r="L49" s="273">
        <v>46336</v>
      </c>
      <c r="M49" s="272">
        <v>0</v>
      </c>
      <c r="N49" s="272">
        <v>0</v>
      </c>
      <c r="O49" s="272">
        <v>5</v>
      </c>
      <c r="P49" s="269" t="s">
        <v>430</v>
      </c>
      <c r="Q49" s="265"/>
      <c r="R49" s="265"/>
      <c r="S49" s="265"/>
      <c r="T49" s="265"/>
      <c r="U49" s="265"/>
      <c r="V49" s="265"/>
      <c r="W49" s="265"/>
      <c r="X49" s="265"/>
      <c r="Y49" s="265"/>
      <c r="Z49" s="265"/>
      <c r="AA49" s="265"/>
      <c r="AB49" s="265"/>
      <c r="AC49" s="265"/>
      <c r="AD49" s="272" t="s">
        <v>431</v>
      </c>
      <c r="AE49" s="265"/>
      <c r="AF49" s="265"/>
      <c r="AG49" s="265"/>
      <c r="AH49" s="265"/>
      <c r="AI49" s="265"/>
      <c r="AJ49" s="265"/>
    </row>
    <row r="50" spans="1:36">
      <c r="A50" s="267" t="s">
        <v>234</v>
      </c>
      <c r="B50" s="268">
        <v>46032</v>
      </c>
      <c r="C50" s="269" t="s">
        <v>366</v>
      </c>
      <c r="D50" s="270" t="s">
        <v>568</v>
      </c>
      <c r="E50" s="269" t="s">
        <v>341</v>
      </c>
      <c r="F50" s="269" t="s">
        <v>232</v>
      </c>
      <c r="G50" s="271">
        <v>3.3300000000000003E-2</v>
      </c>
      <c r="H50" s="272">
        <v>180</v>
      </c>
      <c r="I50" s="272">
        <v>6</v>
      </c>
      <c r="J50" s="272">
        <v>0</v>
      </c>
      <c r="K50" s="269" t="s">
        <v>233</v>
      </c>
      <c r="L50" s="273">
        <v>46326</v>
      </c>
      <c r="M50" s="272">
        <v>0</v>
      </c>
      <c r="N50" s="272">
        <v>0</v>
      </c>
      <c r="O50" s="272">
        <v>6</v>
      </c>
      <c r="P50" s="269" t="s">
        <v>299</v>
      </c>
      <c r="Q50" s="265"/>
      <c r="R50" s="265"/>
      <c r="S50" s="265"/>
      <c r="T50" s="265"/>
      <c r="U50" s="265"/>
      <c r="V50" s="265"/>
      <c r="W50" s="265"/>
      <c r="X50" s="265"/>
      <c r="Y50" s="265"/>
      <c r="Z50" s="265"/>
      <c r="AA50" s="265"/>
      <c r="AB50" s="265"/>
      <c r="AC50" s="265"/>
      <c r="AD50" s="272" t="s">
        <v>436</v>
      </c>
      <c r="AE50" s="265"/>
      <c r="AF50" s="265"/>
      <c r="AG50" s="265"/>
      <c r="AH50" s="265"/>
      <c r="AI50" s="265"/>
      <c r="AJ50" s="265"/>
    </row>
    <row r="51" spans="1:36">
      <c r="A51" s="267" t="s">
        <v>236</v>
      </c>
      <c r="B51" s="268">
        <v>46033</v>
      </c>
      <c r="C51" s="269" t="s">
        <v>376</v>
      </c>
      <c r="D51" s="270" t="s">
        <v>561</v>
      </c>
      <c r="E51" s="269" t="s">
        <v>341</v>
      </c>
      <c r="F51" s="269" t="s">
        <v>232</v>
      </c>
      <c r="G51" s="271">
        <v>0.26669999999999999</v>
      </c>
      <c r="H51" s="272">
        <v>180</v>
      </c>
      <c r="I51" s="272">
        <v>48</v>
      </c>
      <c r="J51" s="272">
        <v>45</v>
      </c>
      <c r="K51" s="269" t="s">
        <v>233</v>
      </c>
      <c r="L51" s="273">
        <v>46344</v>
      </c>
      <c r="M51" s="272">
        <v>0</v>
      </c>
      <c r="N51" s="272">
        <v>0</v>
      </c>
      <c r="O51" s="272">
        <v>4</v>
      </c>
      <c r="P51" s="269" t="s">
        <v>446</v>
      </c>
      <c r="Q51" s="265"/>
      <c r="R51" s="265"/>
      <c r="S51" s="265"/>
      <c r="T51" s="265"/>
      <c r="U51" s="265"/>
      <c r="V51" s="265"/>
      <c r="W51" s="265"/>
      <c r="X51" s="265"/>
      <c r="Y51" s="265"/>
      <c r="Z51" s="265"/>
      <c r="AA51" s="265"/>
      <c r="AB51" s="265"/>
      <c r="AC51" s="265"/>
      <c r="AD51" s="272" t="s">
        <v>446</v>
      </c>
      <c r="AE51" s="265"/>
      <c r="AF51" s="265"/>
      <c r="AG51" s="265"/>
      <c r="AH51" s="265"/>
      <c r="AI51" s="272" t="s">
        <v>239</v>
      </c>
      <c r="AJ51" s="265"/>
    </row>
    <row r="52" spans="1:36">
      <c r="A52" s="267" t="s">
        <v>236</v>
      </c>
      <c r="B52" s="268">
        <v>46033</v>
      </c>
      <c r="C52" s="269" t="s">
        <v>370</v>
      </c>
      <c r="D52" s="270" t="s">
        <v>553</v>
      </c>
      <c r="E52" s="269" t="s">
        <v>341</v>
      </c>
      <c r="F52" s="269" t="s">
        <v>232</v>
      </c>
      <c r="G52" s="271">
        <v>0</v>
      </c>
      <c r="H52" s="272">
        <v>180</v>
      </c>
      <c r="I52" s="272">
        <v>0</v>
      </c>
      <c r="J52" s="272">
        <v>0</v>
      </c>
      <c r="K52" s="269" t="s">
        <v>233</v>
      </c>
      <c r="L52" s="273" t="s">
        <v>66</v>
      </c>
      <c r="M52" s="272">
        <v>0</v>
      </c>
      <c r="N52" s="272">
        <v>0</v>
      </c>
      <c r="O52" s="272">
        <v>0</v>
      </c>
      <c r="P52" s="269" t="s">
        <v>292</v>
      </c>
      <c r="Q52" s="265"/>
      <c r="R52" s="265"/>
      <c r="S52" s="265"/>
      <c r="T52" s="265"/>
      <c r="U52" s="265"/>
      <c r="V52" s="265"/>
      <c r="W52" s="265"/>
      <c r="X52" s="265"/>
      <c r="Y52" s="265"/>
      <c r="Z52" s="265"/>
      <c r="AA52" s="265"/>
      <c r="AB52" s="265"/>
      <c r="AC52" s="265"/>
      <c r="AD52" s="265"/>
      <c r="AE52" s="265"/>
      <c r="AF52" s="265"/>
      <c r="AG52" s="265"/>
      <c r="AH52" s="265"/>
      <c r="AI52" s="265"/>
      <c r="AJ52" s="265"/>
    </row>
    <row r="53" spans="1:36">
      <c r="A53" s="267" t="s">
        <v>236</v>
      </c>
      <c r="B53" s="268">
        <v>46033</v>
      </c>
      <c r="C53" s="269" t="s">
        <v>433</v>
      </c>
      <c r="D53" s="270" t="s">
        <v>572</v>
      </c>
      <c r="E53" s="269" t="s">
        <v>341</v>
      </c>
      <c r="F53" s="269" t="s">
        <v>232</v>
      </c>
      <c r="G53" s="271">
        <v>5.5999999999999999E-3</v>
      </c>
      <c r="H53" s="272">
        <v>180</v>
      </c>
      <c r="I53" s="272">
        <v>1</v>
      </c>
      <c r="J53" s="272">
        <v>0</v>
      </c>
      <c r="K53" s="269" t="s">
        <v>233</v>
      </c>
      <c r="L53" s="273">
        <v>46301</v>
      </c>
      <c r="M53" s="272">
        <v>0</v>
      </c>
      <c r="N53" s="272">
        <v>0</v>
      </c>
      <c r="O53" s="272">
        <v>1</v>
      </c>
      <c r="P53" s="269" t="s">
        <v>431</v>
      </c>
      <c r="Q53" s="265"/>
      <c r="R53" s="265"/>
      <c r="S53" s="265"/>
      <c r="T53" s="265"/>
      <c r="U53" s="265"/>
      <c r="V53" s="265"/>
      <c r="W53" s="265"/>
      <c r="X53" s="265"/>
      <c r="Y53" s="265"/>
      <c r="Z53" s="265"/>
      <c r="AA53" s="265"/>
      <c r="AB53" s="265"/>
      <c r="AC53" s="265"/>
      <c r="AD53" s="272" t="s">
        <v>430</v>
      </c>
      <c r="AE53" s="265"/>
      <c r="AF53" s="265"/>
      <c r="AG53" s="265"/>
      <c r="AH53" s="265"/>
      <c r="AI53" s="265"/>
      <c r="AJ53" s="265"/>
    </row>
    <row r="54" spans="1:36">
      <c r="A54" s="267" t="s">
        <v>236</v>
      </c>
      <c r="B54" s="268">
        <v>46033</v>
      </c>
      <c r="C54" s="269" t="s">
        <v>378</v>
      </c>
      <c r="D54" s="270" t="s">
        <v>573</v>
      </c>
      <c r="E54" s="269" t="s">
        <v>341</v>
      </c>
      <c r="F54" s="269" t="s">
        <v>232</v>
      </c>
      <c r="G54" s="271">
        <v>5.5999999999999999E-3</v>
      </c>
      <c r="H54" s="272">
        <v>180</v>
      </c>
      <c r="I54" s="272">
        <v>1</v>
      </c>
      <c r="J54" s="272">
        <v>0</v>
      </c>
      <c r="K54" s="269" t="s">
        <v>233</v>
      </c>
      <c r="L54" s="273">
        <v>46326</v>
      </c>
      <c r="M54" s="272">
        <v>0</v>
      </c>
      <c r="N54" s="272">
        <v>0</v>
      </c>
      <c r="O54" s="272">
        <v>1</v>
      </c>
      <c r="P54" s="269" t="s">
        <v>431</v>
      </c>
      <c r="Q54" s="265"/>
      <c r="R54" s="265"/>
      <c r="S54" s="265"/>
      <c r="T54" s="265"/>
      <c r="U54" s="265"/>
      <c r="V54" s="265"/>
      <c r="W54" s="265"/>
      <c r="X54" s="265"/>
      <c r="Y54" s="265"/>
      <c r="Z54" s="265"/>
      <c r="AA54" s="265"/>
      <c r="AB54" s="265"/>
      <c r="AC54" s="265"/>
      <c r="AD54" s="272" t="s">
        <v>430</v>
      </c>
      <c r="AE54" s="265"/>
      <c r="AF54" s="265"/>
      <c r="AG54" s="265"/>
      <c r="AH54" s="265"/>
      <c r="AI54" s="265"/>
      <c r="AJ54" s="265"/>
    </row>
    <row r="55" spans="1:36">
      <c r="A55" s="267" t="s">
        <v>236</v>
      </c>
      <c r="B55" s="268">
        <v>46033</v>
      </c>
      <c r="C55" s="269" t="s">
        <v>380</v>
      </c>
      <c r="D55" s="270" t="s">
        <v>574</v>
      </c>
      <c r="E55" s="269" t="s">
        <v>341</v>
      </c>
      <c r="F55" s="269" t="s">
        <v>232</v>
      </c>
      <c r="G55" s="271">
        <v>1.67E-2</v>
      </c>
      <c r="H55" s="272">
        <v>180</v>
      </c>
      <c r="I55" s="272">
        <v>3</v>
      </c>
      <c r="J55" s="272">
        <v>0</v>
      </c>
      <c r="K55" s="269" t="s">
        <v>233</v>
      </c>
      <c r="L55" s="273">
        <v>46342</v>
      </c>
      <c r="M55" s="272">
        <v>0</v>
      </c>
      <c r="N55" s="272">
        <v>0</v>
      </c>
      <c r="O55" s="272">
        <v>3</v>
      </c>
      <c r="P55" s="269" t="s">
        <v>446</v>
      </c>
      <c r="Q55" s="265"/>
      <c r="R55" s="265"/>
      <c r="S55" s="265"/>
      <c r="T55" s="265"/>
      <c r="U55" s="265"/>
      <c r="V55" s="265"/>
      <c r="W55" s="265"/>
      <c r="X55" s="265"/>
      <c r="Y55" s="265"/>
      <c r="Z55" s="265"/>
      <c r="AA55" s="265"/>
      <c r="AB55" s="265"/>
      <c r="AC55" s="265"/>
      <c r="AD55" s="272" t="s">
        <v>446</v>
      </c>
      <c r="AE55" s="265"/>
      <c r="AF55" s="265"/>
      <c r="AG55" s="265"/>
      <c r="AH55" s="265"/>
      <c r="AI55" s="265"/>
      <c r="AJ55" s="265"/>
    </row>
    <row r="56" spans="1:36">
      <c r="A56" s="267" t="s">
        <v>240</v>
      </c>
      <c r="B56" s="268">
        <v>46034</v>
      </c>
      <c r="C56" s="269" t="s">
        <v>376</v>
      </c>
      <c r="D56" s="270" t="s">
        <v>575</v>
      </c>
      <c r="E56" s="269" t="s">
        <v>341</v>
      </c>
      <c r="F56" s="269" t="s">
        <v>232</v>
      </c>
      <c r="G56" s="271">
        <v>1.11E-2</v>
      </c>
      <c r="H56" s="272">
        <v>180</v>
      </c>
      <c r="I56" s="272">
        <v>2</v>
      </c>
      <c r="J56" s="272">
        <v>0</v>
      </c>
      <c r="K56" s="269" t="s">
        <v>233</v>
      </c>
      <c r="L56" s="273">
        <v>46325</v>
      </c>
      <c r="M56" s="272">
        <v>0</v>
      </c>
      <c r="N56" s="272">
        <v>0</v>
      </c>
      <c r="O56" s="272">
        <v>4</v>
      </c>
      <c r="P56" s="269" t="s">
        <v>368</v>
      </c>
      <c r="Q56" s="265"/>
      <c r="R56" s="265"/>
      <c r="S56" s="265"/>
      <c r="T56" s="265"/>
      <c r="U56" s="265"/>
      <c r="V56" s="265"/>
      <c r="W56" s="265"/>
      <c r="X56" s="265"/>
      <c r="Y56" s="265"/>
      <c r="Z56" s="265"/>
      <c r="AA56" s="265"/>
      <c r="AB56" s="265"/>
      <c r="AC56" s="265"/>
      <c r="AD56" s="272" t="s">
        <v>367</v>
      </c>
      <c r="AE56" s="265"/>
      <c r="AF56" s="265"/>
      <c r="AG56" s="265"/>
      <c r="AH56" s="265"/>
      <c r="AI56" s="265"/>
      <c r="AJ56" s="265"/>
    </row>
    <row r="57" spans="1:36">
      <c r="A57" s="267" t="s">
        <v>240</v>
      </c>
      <c r="B57" s="268">
        <v>46034</v>
      </c>
      <c r="C57" s="269" t="s">
        <v>378</v>
      </c>
      <c r="D57" s="270" t="s">
        <v>563</v>
      </c>
      <c r="E57" s="269" t="s">
        <v>341</v>
      </c>
      <c r="F57" s="269" t="s">
        <v>232</v>
      </c>
      <c r="G57" s="271">
        <v>1.11E-2</v>
      </c>
      <c r="H57" s="272">
        <v>180</v>
      </c>
      <c r="I57" s="272">
        <v>2</v>
      </c>
      <c r="J57" s="272">
        <v>0</v>
      </c>
      <c r="K57" s="269" t="s">
        <v>233</v>
      </c>
      <c r="L57" s="273">
        <v>46342</v>
      </c>
      <c r="M57" s="272">
        <v>0</v>
      </c>
      <c r="N57" s="272">
        <v>0</v>
      </c>
      <c r="O57" s="272">
        <v>2</v>
      </c>
      <c r="P57" s="269" t="s">
        <v>368</v>
      </c>
      <c r="Q57" s="265"/>
      <c r="R57" s="265"/>
      <c r="S57" s="265"/>
      <c r="T57" s="265"/>
      <c r="U57" s="265"/>
      <c r="V57" s="265"/>
      <c r="W57" s="265"/>
      <c r="X57" s="265"/>
      <c r="Y57" s="265"/>
      <c r="Z57" s="265"/>
      <c r="AA57" s="265"/>
      <c r="AB57" s="265"/>
      <c r="AC57" s="265"/>
      <c r="AD57" s="272" t="s">
        <v>367</v>
      </c>
      <c r="AE57" s="265"/>
      <c r="AF57" s="265"/>
      <c r="AG57" s="265"/>
      <c r="AH57" s="265"/>
      <c r="AI57" s="265"/>
      <c r="AJ57" s="265"/>
    </row>
    <row r="58" spans="1:36">
      <c r="A58" s="267" t="s">
        <v>240</v>
      </c>
      <c r="B58" s="268">
        <v>46034</v>
      </c>
      <c r="C58" s="269" t="s">
        <v>433</v>
      </c>
      <c r="D58" s="270" t="s">
        <v>334</v>
      </c>
      <c r="E58" s="269" t="s">
        <v>341</v>
      </c>
      <c r="F58" s="269" t="s">
        <v>232</v>
      </c>
      <c r="G58" s="271">
        <v>5.5999999999999999E-3</v>
      </c>
      <c r="H58" s="272">
        <v>180</v>
      </c>
      <c r="I58" s="272">
        <v>1</v>
      </c>
      <c r="J58" s="272">
        <v>0</v>
      </c>
      <c r="K58" s="269" t="s">
        <v>233</v>
      </c>
      <c r="L58" s="273">
        <v>46342</v>
      </c>
      <c r="M58" s="272">
        <v>0</v>
      </c>
      <c r="N58" s="272">
        <v>0</v>
      </c>
      <c r="O58" s="272">
        <v>1</v>
      </c>
      <c r="P58" s="269" t="s">
        <v>431</v>
      </c>
      <c r="Q58" s="265"/>
      <c r="R58" s="265"/>
      <c r="S58" s="265"/>
      <c r="T58" s="265"/>
      <c r="U58" s="265"/>
      <c r="V58" s="265"/>
      <c r="W58" s="265"/>
      <c r="X58" s="265"/>
      <c r="Y58" s="265"/>
      <c r="Z58" s="265"/>
      <c r="AA58" s="265"/>
      <c r="AB58" s="265"/>
      <c r="AC58" s="265"/>
      <c r="AD58" s="272" t="s">
        <v>430</v>
      </c>
      <c r="AE58" s="265"/>
      <c r="AF58" s="265"/>
      <c r="AG58" s="265"/>
      <c r="AH58" s="265"/>
      <c r="AI58" s="265"/>
      <c r="AJ58" s="265"/>
    </row>
    <row r="59" spans="1:36">
      <c r="A59" s="267" t="s">
        <v>242</v>
      </c>
      <c r="B59" s="268">
        <v>46035</v>
      </c>
      <c r="C59" s="269" t="s">
        <v>429</v>
      </c>
      <c r="D59" s="270" t="s">
        <v>576</v>
      </c>
      <c r="E59" s="269" t="s">
        <v>341</v>
      </c>
      <c r="F59" s="269" t="s">
        <v>232</v>
      </c>
      <c r="G59" s="271">
        <v>5.5999999999999999E-3</v>
      </c>
      <c r="H59" s="272">
        <v>180</v>
      </c>
      <c r="I59" s="272">
        <v>1</v>
      </c>
      <c r="J59" s="272">
        <v>0</v>
      </c>
      <c r="K59" s="269" t="s">
        <v>233</v>
      </c>
      <c r="L59" s="273">
        <v>46332</v>
      </c>
      <c r="M59" s="272">
        <v>0</v>
      </c>
      <c r="N59" s="272">
        <v>0</v>
      </c>
      <c r="O59" s="272">
        <v>4</v>
      </c>
      <c r="P59" s="269" t="s">
        <v>436</v>
      </c>
      <c r="Q59" s="265"/>
      <c r="R59" s="265"/>
      <c r="S59" s="265"/>
      <c r="T59" s="265"/>
      <c r="U59" s="265"/>
      <c r="V59" s="265"/>
      <c r="W59" s="265"/>
      <c r="X59" s="265"/>
      <c r="Y59" s="265"/>
      <c r="Z59" s="272" t="s">
        <v>174</v>
      </c>
      <c r="AA59" s="265"/>
      <c r="AB59" s="265"/>
      <c r="AC59" s="265"/>
      <c r="AD59" s="265"/>
      <c r="AE59" s="265"/>
      <c r="AF59" s="265"/>
      <c r="AG59" s="265"/>
      <c r="AH59" s="265"/>
      <c r="AI59" s="265"/>
      <c r="AJ59" s="265"/>
    </row>
    <row r="60" spans="1:36">
      <c r="A60" s="267" t="s">
        <v>242</v>
      </c>
      <c r="B60" s="268">
        <v>46035</v>
      </c>
      <c r="C60" s="269" t="s">
        <v>380</v>
      </c>
      <c r="D60" s="270" t="s">
        <v>231</v>
      </c>
      <c r="E60" s="269" t="s">
        <v>341</v>
      </c>
      <c r="F60" s="269" t="s">
        <v>232</v>
      </c>
      <c r="G60" s="271">
        <v>0</v>
      </c>
      <c r="H60" s="272">
        <v>180</v>
      </c>
      <c r="I60" s="272">
        <v>0</v>
      </c>
      <c r="J60" s="272">
        <v>0</v>
      </c>
      <c r="K60" s="269" t="s">
        <v>233</v>
      </c>
      <c r="L60" s="273" t="s">
        <v>66</v>
      </c>
      <c r="M60" s="272">
        <v>0</v>
      </c>
      <c r="N60" s="272">
        <v>0</v>
      </c>
      <c r="O60" s="272">
        <v>0</v>
      </c>
      <c r="P60" s="269" t="s">
        <v>436</v>
      </c>
      <c r="Q60" s="265"/>
      <c r="R60" s="265"/>
      <c r="S60" s="265"/>
      <c r="T60" s="265"/>
      <c r="U60" s="265"/>
      <c r="V60" s="265"/>
      <c r="W60" s="265"/>
      <c r="X60" s="265"/>
      <c r="Y60" s="265"/>
      <c r="Z60" s="265"/>
      <c r="AA60" s="265"/>
      <c r="AB60" s="265"/>
      <c r="AC60" s="265"/>
      <c r="AD60" s="265"/>
      <c r="AE60" s="265"/>
      <c r="AF60" s="265"/>
      <c r="AG60" s="265"/>
      <c r="AH60" s="265"/>
      <c r="AI60" s="265"/>
      <c r="AJ60" s="265"/>
    </row>
    <row r="61" spans="1:36">
      <c r="A61" s="267" t="s">
        <v>242</v>
      </c>
      <c r="B61" s="268">
        <v>46035</v>
      </c>
      <c r="C61" s="269" t="s">
        <v>378</v>
      </c>
      <c r="D61" s="270" t="s">
        <v>563</v>
      </c>
      <c r="E61" s="269" t="s">
        <v>341</v>
      </c>
      <c r="F61" s="269" t="s">
        <v>232</v>
      </c>
      <c r="G61" s="271">
        <v>2.2200000000000001E-2</v>
      </c>
      <c r="H61" s="272">
        <v>180</v>
      </c>
      <c r="I61" s="272">
        <v>4</v>
      </c>
      <c r="J61" s="272">
        <v>0</v>
      </c>
      <c r="K61" s="269" t="s">
        <v>233</v>
      </c>
      <c r="L61" s="273">
        <v>46344</v>
      </c>
      <c r="M61" s="272">
        <v>0</v>
      </c>
      <c r="N61" s="272">
        <v>0</v>
      </c>
      <c r="O61" s="272">
        <v>4</v>
      </c>
      <c r="P61" s="269" t="s">
        <v>367</v>
      </c>
      <c r="Q61" s="265"/>
      <c r="R61" s="265"/>
      <c r="S61" s="265"/>
      <c r="T61" s="265"/>
      <c r="U61" s="265"/>
      <c r="V61" s="265"/>
      <c r="W61" s="265"/>
      <c r="X61" s="265"/>
      <c r="Y61" s="265"/>
      <c r="Z61" s="265"/>
      <c r="AA61" s="265"/>
      <c r="AB61" s="265"/>
      <c r="AC61" s="265"/>
      <c r="AD61" s="272" t="s">
        <v>368</v>
      </c>
      <c r="AE61" s="265"/>
      <c r="AF61" s="265"/>
      <c r="AG61" s="265"/>
      <c r="AH61" s="265"/>
      <c r="AI61" s="265"/>
      <c r="AJ61" s="265"/>
    </row>
    <row r="62" spans="1:36">
      <c r="A62" s="267" t="s">
        <v>242</v>
      </c>
      <c r="B62" s="268">
        <v>46035</v>
      </c>
      <c r="C62" s="269" t="s">
        <v>433</v>
      </c>
      <c r="D62" s="270" t="s">
        <v>577</v>
      </c>
      <c r="E62" s="269" t="s">
        <v>341</v>
      </c>
      <c r="F62" s="269" t="s">
        <v>232</v>
      </c>
      <c r="G62" s="271">
        <v>5.5999999999999999E-3</v>
      </c>
      <c r="H62" s="272">
        <v>180</v>
      </c>
      <c r="I62" s="272">
        <v>1</v>
      </c>
      <c r="J62" s="272">
        <v>0</v>
      </c>
      <c r="K62" s="269" t="s">
        <v>233</v>
      </c>
      <c r="L62" s="273">
        <v>46338</v>
      </c>
      <c r="M62" s="272">
        <v>0</v>
      </c>
      <c r="N62" s="272">
        <v>0</v>
      </c>
      <c r="O62" s="272">
        <v>1</v>
      </c>
      <c r="P62" s="269" t="s">
        <v>436</v>
      </c>
      <c r="Q62" s="265"/>
      <c r="R62" s="265"/>
      <c r="S62" s="265"/>
      <c r="T62" s="265"/>
      <c r="U62" s="265"/>
      <c r="V62" s="265"/>
      <c r="W62" s="265"/>
      <c r="X62" s="265"/>
      <c r="Y62" s="265"/>
      <c r="Z62" s="272" t="s">
        <v>174</v>
      </c>
      <c r="AA62" s="265"/>
      <c r="AB62" s="265"/>
      <c r="AC62" s="265"/>
      <c r="AD62" s="265"/>
      <c r="AE62" s="265"/>
      <c r="AF62" s="265"/>
      <c r="AG62" s="265"/>
      <c r="AH62" s="265"/>
      <c r="AI62" s="265"/>
      <c r="AJ62" s="265"/>
    </row>
    <row r="63" spans="1:36">
      <c r="A63" s="267" t="s">
        <v>242</v>
      </c>
      <c r="B63" s="268">
        <v>46035</v>
      </c>
      <c r="C63" s="269" t="s">
        <v>366</v>
      </c>
      <c r="D63" s="270" t="s">
        <v>578</v>
      </c>
      <c r="E63" s="269" t="s">
        <v>341</v>
      </c>
      <c r="F63" s="269" t="s">
        <v>232</v>
      </c>
      <c r="G63" s="271">
        <v>3.3300000000000003E-2</v>
      </c>
      <c r="H63" s="272">
        <v>180</v>
      </c>
      <c r="I63" s="272">
        <v>6</v>
      </c>
      <c r="J63" s="272">
        <v>0</v>
      </c>
      <c r="K63" s="269" t="s">
        <v>233</v>
      </c>
      <c r="L63" s="273">
        <v>46338</v>
      </c>
      <c r="M63" s="272">
        <v>0</v>
      </c>
      <c r="N63" s="272">
        <v>0</v>
      </c>
      <c r="O63" s="272">
        <v>6</v>
      </c>
      <c r="P63" s="269" t="s">
        <v>299</v>
      </c>
      <c r="Q63" s="265"/>
      <c r="R63" s="265"/>
      <c r="S63" s="265"/>
      <c r="T63" s="265"/>
      <c r="U63" s="265"/>
      <c r="V63" s="265"/>
      <c r="W63" s="265"/>
      <c r="X63" s="265"/>
      <c r="Y63" s="265"/>
      <c r="Z63" s="265"/>
      <c r="AA63" s="265"/>
      <c r="AB63" s="265"/>
      <c r="AC63" s="265"/>
      <c r="AD63" s="272" t="s">
        <v>436</v>
      </c>
      <c r="AE63" s="265"/>
      <c r="AF63" s="265"/>
      <c r="AG63" s="265"/>
      <c r="AH63" s="265"/>
      <c r="AI63" s="265"/>
      <c r="AJ63" s="265"/>
    </row>
    <row r="64" spans="1:36">
      <c r="A64" s="267" t="s">
        <v>242</v>
      </c>
      <c r="B64" s="268">
        <v>46035</v>
      </c>
      <c r="C64" s="269" t="s">
        <v>376</v>
      </c>
      <c r="D64" s="270" t="s">
        <v>579</v>
      </c>
      <c r="E64" s="269" t="s">
        <v>341</v>
      </c>
      <c r="F64" s="269" t="s">
        <v>232</v>
      </c>
      <c r="G64" s="271">
        <v>1.67E-2</v>
      </c>
      <c r="H64" s="272">
        <v>180</v>
      </c>
      <c r="I64" s="272">
        <v>3</v>
      </c>
      <c r="J64" s="272">
        <v>0</v>
      </c>
      <c r="K64" s="269" t="s">
        <v>233</v>
      </c>
      <c r="L64" s="273">
        <v>46329</v>
      </c>
      <c r="M64" s="272">
        <v>0</v>
      </c>
      <c r="N64" s="272">
        <v>0</v>
      </c>
      <c r="O64" s="272">
        <v>3</v>
      </c>
      <c r="P64" s="269" t="s">
        <v>446</v>
      </c>
      <c r="Q64" s="265"/>
      <c r="R64" s="265"/>
      <c r="S64" s="265"/>
      <c r="T64" s="265"/>
      <c r="U64" s="265"/>
      <c r="V64" s="265"/>
      <c r="W64" s="265"/>
      <c r="X64" s="265"/>
      <c r="Y64" s="265"/>
      <c r="Z64" s="265"/>
      <c r="AA64" s="265"/>
      <c r="AB64" s="265"/>
      <c r="AC64" s="265"/>
      <c r="AD64" s="272" t="s">
        <v>446</v>
      </c>
      <c r="AE64" s="265"/>
      <c r="AF64" s="265"/>
      <c r="AG64" s="265"/>
      <c r="AH64" s="265"/>
      <c r="AI64" s="265"/>
      <c r="AJ64" s="265"/>
    </row>
    <row r="65" spans="1:36">
      <c r="A65" s="267" t="s">
        <v>315</v>
      </c>
      <c r="B65" s="268">
        <v>46036</v>
      </c>
      <c r="C65" s="269" t="s">
        <v>366</v>
      </c>
      <c r="D65" s="270" t="s">
        <v>580</v>
      </c>
      <c r="E65" s="269" t="s">
        <v>341</v>
      </c>
      <c r="F65" s="269" t="s">
        <v>232</v>
      </c>
      <c r="G65" s="271">
        <v>0</v>
      </c>
      <c r="H65" s="272">
        <v>180</v>
      </c>
      <c r="I65" s="272">
        <v>0</v>
      </c>
      <c r="J65" s="272">
        <v>0</v>
      </c>
      <c r="K65" s="269" t="s">
        <v>233</v>
      </c>
      <c r="L65" s="273" t="s">
        <v>66</v>
      </c>
      <c r="M65" s="272">
        <v>0</v>
      </c>
      <c r="N65" s="272">
        <v>0</v>
      </c>
      <c r="O65" s="272">
        <v>0</v>
      </c>
      <c r="P65" s="269" t="s">
        <v>436</v>
      </c>
      <c r="Q65" s="265"/>
      <c r="R65" s="265"/>
      <c r="S65" s="265"/>
      <c r="T65" s="265"/>
      <c r="U65" s="265"/>
      <c r="V65" s="265"/>
      <c r="W65" s="265"/>
      <c r="X65" s="265"/>
      <c r="Y65" s="265"/>
      <c r="Z65" s="265"/>
      <c r="AA65" s="265"/>
      <c r="AB65" s="265"/>
      <c r="AC65" s="265"/>
      <c r="AD65" s="265"/>
      <c r="AE65" s="265"/>
      <c r="AF65" s="265"/>
      <c r="AG65" s="265"/>
      <c r="AH65" s="265"/>
      <c r="AI65" s="265"/>
      <c r="AJ65" s="265"/>
    </row>
    <row r="66" spans="1:36">
      <c r="A66" s="267" t="s">
        <v>315</v>
      </c>
      <c r="B66" s="268">
        <v>46036</v>
      </c>
      <c r="C66" s="269" t="s">
        <v>376</v>
      </c>
      <c r="D66" s="270" t="s">
        <v>581</v>
      </c>
      <c r="E66" s="269" t="s">
        <v>341</v>
      </c>
      <c r="F66" s="269" t="s">
        <v>232</v>
      </c>
      <c r="G66" s="271">
        <v>0</v>
      </c>
      <c r="H66" s="272">
        <v>180</v>
      </c>
      <c r="I66" s="272">
        <v>0</v>
      </c>
      <c r="J66" s="272">
        <v>0</v>
      </c>
      <c r="K66" s="269" t="s">
        <v>233</v>
      </c>
      <c r="L66" s="273" t="s">
        <v>66</v>
      </c>
      <c r="M66" s="272">
        <v>0</v>
      </c>
      <c r="N66" s="272">
        <v>0</v>
      </c>
      <c r="O66" s="272">
        <v>0</v>
      </c>
      <c r="P66" s="269" t="s">
        <v>436</v>
      </c>
      <c r="Q66" s="265"/>
      <c r="R66" s="265"/>
      <c r="S66" s="265"/>
      <c r="T66" s="265"/>
      <c r="U66" s="265"/>
      <c r="V66" s="265"/>
      <c r="W66" s="265"/>
      <c r="X66" s="265"/>
      <c r="Y66" s="265"/>
      <c r="Z66" s="265"/>
      <c r="AA66" s="265"/>
      <c r="AB66" s="265"/>
      <c r="AC66" s="265"/>
      <c r="AD66" s="265"/>
      <c r="AE66" s="265"/>
      <c r="AF66" s="265"/>
      <c r="AG66" s="265"/>
      <c r="AH66" s="265"/>
      <c r="AI66" s="265"/>
      <c r="AJ66" s="265"/>
    </row>
    <row r="67" spans="1:36">
      <c r="A67" s="267" t="s">
        <v>315</v>
      </c>
      <c r="B67" s="268">
        <v>46036</v>
      </c>
      <c r="C67" s="269" t="s">
        <v>433</v>
      </c>
      <c r="D67" s="270" t="s">
        <v>582</v>
      </c>
      <c r="E67" s="269" t="s">
        <v>341</v>
      </c>
      <c r="F67" s="269" t="s">
        <v>232</v>
      </c>
      <c r="G67" s="271">
        <v>0</v>
      </c>
      <c r="H67" s="272">
        <v>180</v>
      </c>
      <c r="I67" s="272">
        <v>0</v>
      </c>
      <c r="J67" s="272">
        <v>0</v>
      </c>
      <c r="K67" s="269" t="s">
        <v>233</v>
      </c>
      <c r="L67" s="273" t="s">
        <v>66</v>
      </c>
      <c r="M67" s="272">
        <v>0</v>
      </c>
      <c r="N67" s="272">
        <v>0</v>
      </c>
      <c r="O67" s="272">
        <v>0</v>
      </c>
      <c r="P67" s="269" t="s">
        <v>436</v>
      </c>
      <c r="Q67" s="265"/>
      <c r="R67" s="265"/>
      <c r="S67" s="265"/>
      <c r="T67" s="265"/>
      <c r="U67" s="265"/>
      <c r="V67" s="265"/>
      <c r="W67" s="265"/>
      <c r="X67" s="265"/>
      <c r="Y67" s="265"/>
      <c r="Z67" s="265"/>
      <c r="AA67" s="265"/>
      <c r="AB67" s="265"/>
      <c r="AC67" s="265"/>
      <c r="AD67" s="265"/>
      <c r="AE67" s="265"/>
      <c r="AF67" s="265"/>
      <c r="AG67" s="265"/>
      <c r="AH67" s="265"/>
      <c r="AI67" s="265"/>
      <c r="AJ67" s="265"/>
    </row>
    <row r="68" spans="1:36">
      <c r="A68" s="267" t="s">
        <v>315</v>
      </c>
      <c r="B68" s="268">
        <v>46036</v>
      </c>
      <c r="C68" s="269" t="s">
        <v>378</v>
      </c>
      <c r="D68" s="270" t="s">
        <v>563</v>
      </c>
      <c r="E68" s="269" t="s">
        <v>341</v>
      </c>
      <c r="F68" s="269" t="s">
        <v>232</v>
      </c>
      <c r="G68" s="271">
        <v>4.4400000000000002E-2</v>
      </c>
      <c r="H68" s="272">
        <v>180</v>
      </c>
      <c r="I68" s="272">
        <v>8</v>
      </c>
      <c r="J68" s="272">
        <v>0</v>
      </c>
      <c r="K68" s="269" t="s">
        <v>233</v>
      </c>
      <c r="L68" s="273">
        <v>46327</v>
      </c>
      <c r="M68" s="272">
        <v>0</v>
      </c>
      <c r="N68" s="272">
        <v>0</v>
      </c>
      <c r="O68" s="272">
        <v>8</v>
      </c>
      <c r="P68" s="269" t="s">
        <v>306</v>
      </c>
      <c r="Q68" s="265"/>
      <c r="R68" s="265"/>
      <c r="S68" s="265"/>
      <c r="T68" s="265"/>
      <c r="U68" s="265"/>
      <c r="V68" s="265"/>
      <c r="W68" s="265"/>
      <c r="X68" s="265"/>
      <c r="Y68" s="265"/>
      <c r="Z68" s="265"/>
      <c r="AA68" s="265"/>
      <c r="AB68" s="265"/>
      <c r="AC68" s="272" t="s">
        <v>302</v>
      </c>
      <c r="AD68" s="272" t="s">
        <v>552</v>
      </c>
      <c r="AE68" s="265"/>
      <c r="AF68" s="265"/>
      <c r="AG68" s="265"/>
      <c r="AH68" s="265"/>
      <c r="AI68" s="265"/>
      <c r="AJ68" s="265"/>
    </row>
    <row r="69" spans="1:36">
      <c r="A69" s="267" t="s">
        <v>315</v>
      </c>
      <c r="B69" s="268">
        <v>46036</v>
      </c>
      <c r="C69" s="269" t="s">
        <v>429</v>
      </c>
      <c r="D69" s="270" t="s">
        <v>559</v>
      </c>
      <c r="E69" s="269" t="s">
        <v>341</v>
      </c>
      <c r="F69" s="269" t="s">
        <v>232</v>
      </c>
      <c r="G69" s="271">
        <v>1.67E-2</v>
      </c>
      <c r="H69" s="272">
        <v>180</v>
      </c>
      <c r="I69" s="272">
        <v>3</v>
      </c>
      <c r="J69" s="272">
        <v>0</v>
      </c>
      <c r="K69" s="269" t="s">
        <v>233</v>
      </c>
      <c r="L69" s="273">
        <v>46334</v>
      </c>
      <c r="M69" s="272">
        <v>0</v>
      </c>
      <c r="N69" s="272">
        <v>0</v>
      </c>
      <c r="O69" s="272">
        <v>3</v>
      </c>
      <c r="P69" s="269" t="s">
        <v>446</v>
      </c>
      <c r="Q69" s="265"/>
      <c r="R69" s="265"/>
      <c r="S69" s="265"/>
      <c r="T69" s="265"/>
      <c r="U69" s="265"/>
      <c r="V69" s="265"/>
      <c r="W69" s="265"/>
      <c r="X69" s="265"/>
      <c r="Y69" s="265"/>
      <c r="Z69" s="265"/>
      <c r="AA69" s="265"/>
      <c r="AB69" s="265"/>
      <c r="AC69" s="265"/>
      <c r="AD69" s="272" t="s">
        <v>446</v>
      </c>
      <c r="AE69" s="265"/>
      <c r="AF69" s="265"/>
      <c r="AG69" s="265"/>
      <c r="AH69" s="265"/>
      <c r="AI69" s="265"/>
      <c r="AJ69" s="265"/>
    </row>
    <row r="70" spans="1:36">
      <c r="A70" s="267" t="s">
        <v>230</v>
      </c>
      <c r="B70" s="268">
        <v>46037</v>
      </c>
      <c r="C70" s="269" t="s">
        <v>373</v>
      </c>
      <c r="D70" s="270" t="s">
        <v>273</v>
      </c>
      <c r="E70" s="269" t="s">
        <v>341</v>
      </c>
      <c r="F70" s="269" t="s">
        <v>232</v>
      </c>
      <c r="G70" s="271">
        <v>3.3300000000000003E-2</v>
      </c>
      <c r="H70" s="272">
        <v>180</v>
      </c>
      <c r="I70" s="272">
        <v>6</v>
      </c>
      <c r="J70" s="272">
        <v>0</v>
      </c>
      <c r="K70" s="269" t="s">
        <v>233</v>
      </c>
      <c r="L70" s="273">
        <v>46341</v>
      </c>
      <c r="M70" s="272">
        <v>0</v>
      </c>
      <c r="N70" s="272">
        <v>0</v>
      </c>
      <c r="O70" s="272">
        <v>6</v>
      </c>
      <c r="P70" s="269" t="s">
        <v>430</v>
      </c>
      <c r="Q70" s="265"/>
      <c r="R70" s="265"/>
      <c r="S70" s="265"/>
      <c r="T70" s="265"/>
      <c r="U70" s="265"/>
      <c r="V70" s="265"/>
      <c r="W70" s="265"/>
      <c r="X70" s="265"/>
      <c r="Y70" s="265"/>
      <c r="Z70" s="272" t="s">
        <v>174</v>
      </c>
      <c r="AA70" s="265"/>
      <c r="AB70" s="265"/>
      <c r="AC70" s="265"/>
      <c r="AD70" s="272" t="s">
        <v>431</v>
      </c>
      <c r="AE70" s="265"/>
      <c r="AF70" s="265"/>
      <c r="AG70" s="265"/>
      <c r="AH70" s="265"/>
      <c r="AI70" s="265"/>
      <c r="AJ70" s="265"/>
    </row>
    <row r="71" spans="1:36">
      <c r="A71" s="267" t="s">
        <v>230</v>
      </c>
      <c r="B71" s="268">
        <v>46037</v>
      </c>
      <c r="C71" s="269" t="s">
        <v>376</v>
      </c>
      <c r="D71" s="270" t="s">
        <v>553</v>
      </c>
      <c r="E71" s="269" t="s">
        <v>341</v>
      </c>
      <c r="F71" s="269" t="s">
        <v>232</v>
      </c>
      <c r="G71" s="271">
        <v>3.3300000000000003E-2</v>
      </c>
      <c r="H71" s="272">
        <v>180</v>
      </c>
      <c r="I71" s="272">
        <v>6</v>
      </c>
      <c r="J71" s="272">
        <v>0</v>
      </c>
      <c r="K71" s="269" t="s">
        <v>233</v>
      </c>
      <c r="L71" s="273">
        <v>46326</v>
      </c>
      <c r="M71" s="272">
        <v>0</v>
      </c>
      <c r="N71" s="272">
        <v>0</v>
      </c>
      <c r="O71" s="272">
        <v>6</v>
      </c>
      <c r="P71" s="269" t="s">
        <v>299</v>
      </c>
      <c r="Q71" s="265"/>
      <c r="R71" s="265"/>
      <c r="S71" s="265"/>
      <c r="T71" s="265"/>
      <c r="U71" s="265"/>
      <c r="V71" s="265"/>
      <c r="W71" s="265"/>
      <c r="X71" s="265"/>
      <c r="Y71" s="265"/>
      <c r="Z71" s="265"/>
      <c r="AA71" s="265"/>
      <c r="AB71" s="265"/>
      <c r="AC71" s="265"/>
      <c r="AD71" s="272" t="s">
        <v>436</v>
      </c>
      <c r="AE71" s="265"/>
      <c r="AF71" s="265"/>
      <c r="AG71" s="265"/>
      <c r="AH71" s="265"/>
      <c r="AI71" s="265"/>
      <c r="AJ71" s="265"/>
    </row>
    <row r="72" spans="1:36">
      <c r="A72" s="267" t="s">
        <v>230</v>
      </c>
      <c r="B72" s="268">
        <v>46037</v>
      </c>
      <c r="C72" s="269" t="s">
        <v>370</v>
      </c>
      <c r="D72" s="270" t="s">
        <v>554</v>
      </c>
      <c r="E72" s="269" t="s">
        <v>341</v>
      </c>
      <c r="F72" s="269" t="s">
        <v>232</v>
      </c>
      <c r="G72" s="271">
        <v>0</v>
      </c>
      <c r="H72" s="272">
        <v>180</v>
      </c>
      <c r="I72" s="272">
        <v>0</v>
      </c>
      <c r="J72" s="272">
        <v>0</v>
      </c>
      <c r="K72" s="269" t="s">
        <v>233</v>
      </c>
      <c r="L72" s="273" t="s">
        <v>66</v>
      </c>
      <c r="M72" s="272">
        <v>0</v>
      </c>
      <c r="N72" s="272">
        <v>0</v>
      </c>
      <c r="O72" s="272">
        <v>0</v>
      </c>
      <c r="P72" s="269" t="s">
        <v>292</v>
      </c>
      <c r="Q72" s="265"/>
      <c r="R72" s="265"/>
      <c r="S72" s="265"/>
      <c r="T72" s="265"/>
      <c r="U72" s="265"/>
      <c r="V72" s="265"/>
      <c r="W72" s="265"/>
      <c r="X72" s="265"/>
      <c r="Y72" s="265"/>
      <c r="Z72" s="265"/>
      <c r="AA72" s="265"/>
      <c r="AB72" s="265"/>
      <c r="AC72" s="265"/>
      <c r="AD72" s="265"/>
      <c r="AE72" s="265"/>
      <c r="AF72" s="265"/>
      <c r="AG72" s="265"/>
      <c r="AH72" s="265"/>
      <c r="AI72" s="265"/>
      <c r="AJ72" s="265"/>
    </row>
    <row r="73" spans="1:36">
      <c r="A73" s="267" t="s">
        <v>230</v>
      </c>
      <c r="B73" s="268">
        <v>46037</v>
      </c>
      <c r="C73" s="269" t="s">
        <v>378</v>
      </c>
      <c r="D73" s="270" t="s">
        <v>555</v>
      </c>
      <c r="E73" s="269" t="s">
        <v>341</v>
      </c>
      <c r="F73" s="269" t="s">
        <v>232</v>
      </c>
      <c r="G73" s="271">
        <v>3.3300000000000003E-2</v>
      </c>
      <c r="H73" s="272">
        <v>180</v>
      </c>
      <c r="I73" s="272">
        <v>6</v>
      </c>
      <c r="J73" s="272">
        <v>0</v>
      </c>
      <c r="K73" s="269" t="s">
        <v>233</v>
      </c>
      <c r="L73" s="273">
        <v>46344</v>
      </c>
      <c r="M73" s="272">
        <v>0</v>
      </c>
      <c r="N73" s="272">
        <v>0</v>
      </c>
      <c r="O73" s="272">
        <v>6</v>
      </c>
      <c r="P73" s="269" t="s">
        <v>299</v>
      </c>
      <c r="Q73" s="265"/>
      <c r="R73" s="265"/>
      <c r="S73" s="265"/>
      <c r="T73" s="265"/>
      <c r="U73" s="265"/>
      <c r="V73" s="265"/>
      <c r="W73" s="265"/>
      <c r="X73" s="265"/>
      <c r="Y73" s="265"/>
      <c r="Z73" s="265"/>
      <c r="AA73" s="265"/>
      <c r="AB73" s="265"/>
      <c r="AC73" s="265"/>
      <c r="AD73" s="272" t="s">
        <v>436</v>
      </c>
      <c r="AE73" s="265"/>
      <c r="AF73" s="265"/>
      <c r="AG73" s="265"/>
      <c r="AH73" s="265"/>
      <c r="AI73" s="265"/>
      <c r="AJ73" s="265"/>
    </row>
    <row r="74" spans="1:36">
      <c r="A74" s="267" t="s">
        <v>230</v>
      </c>
      <c r="B74" s="268">
        <v>46037</v>
      </c>
      <c r="C74" s="269" t="s">
        <v>380</v>
      </c>
      <c r="D74" s="270" t="s">
        <v>556</v>
      </c>
      <c r="E74" s="269" t="s">
        <v>341</v>
      </c>
      <c r="F74" s="269" t="s">
        <v>232</v>
      </c>
      <c r="G74" s="271">
        <v>0.05</v>
      </c>
      <c r="H74" s="272">
        <v>180</v>
      </c>
      <c r="I74" s="272">
        <v>9</v>
      </c>
      <c r="J74" s="272">
        <v>0</v>
      </c>
      <c r="K74" s="269" t="s">
        <v>233</v>
      </c>
      <c r="L74" s="273">
        <v>46344</v>
      </c>
      <c r="M74" s="272">
        <v>0</v>
      </c>
      <c r="N74" s="272">
        <v>0</v>
      </c>
      <c r="O74" s="272">
        <v>9</v>
      </c>
      <c r="P74" s="269" t="s">
        <v>307</v>
      </c>
      <c r="Q74" s="265"/>
      <c r="R74" s="265"/>
      <c r="S74" s="265"/>
      <c r="T74" s="265"/>
      <c r="U74" s="265"/>
      <c r="V74" s="265"/>
      <c r="W74" s="265"/>
      <c r="X74" s="265"/>
      <c r="Y74" s="265"/>
      <c r="Z74" s="265"/>
      <c r="AA74" s="265"/>
      <c r="AB74" s="265"/>
      <c r="AC74" s="272" t="s">
        <v>302</v>
      </c>
      <c r="AD74" s="272" t="s">
        <v>508</v>
      </c>
      <c r="AE74" s="265"/>
      <c r="AF74" s="265"/>
      <c r="AG74" s="265"/>
      <c r="AH74" s="265"/>
      <c r="AI74" s="265"/>
      <c r="AJ74" s="265"/>
    </row>
    <row r="75" spans="1:36">
      <c r="A75" s="267" t="s">
        <v>230</v>
      </c>
      <c r="B75" s="268">
        <v>46037</v>
      </c>
      <c r="C75" s="269" t="s">
        <v>366</v>
      </c>
      <c r="D75" s="270" t="s">
        <v>559</v>
      </c>
      <c r="E75" s="269" t="s">
        <v>341</v>
      </c>
      <c r="F75" s="269" t="s">
        <v>232</v>
      </c>
      <c r="G75" s="271">
        <v>9.4399999999999998E-2</v>
      </c>
      <c r="H75" s="272">
        <v>180</v>
      </c>
      <c r="I75" s="272">
        <v>17</v>
      </c>
      <c r="J75" s="272">
        <v>0</v>
      </c>
      <c r="K75" s="269" t="s">
        <v>233</v>
      </c>
      <c r="L75" s="273">
        <v>46340</v>
      </c>
      <c r="M75" s="272">
        <v>0</v>
      </c>
      <c r="N75" s="272">
        <v>0</v>
      </c>
      <c r="O75" s="272">
        <v>17</v>
      </c>
      <c r="P75" s="269" t="s">
        <v>67</v>
      </c>
      <c r="Q75" s="265"/>
      <c r="R75" s="265"/>
      <c r="S75" s="265"/>
      <c r="T75" s="265"/>
      <c r="U75" s="265"/>
      <c r="V75" s="265"/>
      <c r="W75" s="265"/>
      <c r="X75" s="265"/>
      <c r="Y75" s="265"/>
      <c r="Z75" s="265"/>
      <c r="AA75" s="265"/>
      <c r="AB75" s="272" t="s">
        <v>300</v>
      </c>
      <c r="AC75" s="272" t="s">
        <v>299</v>
      </c>
      <c r="AD75" s="272" t="s">
        <v>436</v>
      </c>
      <c r="AE75" s="265"/>
      <c r="AF75" s="265"/>
      <c r="AG75" s="265"/>
      <c r="AH75" s="265"/>
      <c r="AI75" s="265"/>
      <c r="AJ75" s="265"/>
    </row>
    <row r="76" spans="1:36">
      <c r="A76" s="267" t="s">
        <v>560</v>
      </c>
      <c r="B76" s="268">
        <v>46038</v>
      </c>
      <c r="C76" s="269" t="s">
        <v>376</v>
      </c>
      <c r="D76" s="270" t="s">
        <v>561</v>
      </c>
      <c r="E76" s="269" t="s">
        <v>341</v>
      </c>
      <c r="F76" s="269" t="s">
        <v>232</v>
      </c>
      <c r="G76" s="271">
        <v>6.6699999999999995E-2</v>
      </c>
      <c r="H76" s="272">
        <v>180</v>
      </c>
      <c r="I76" s="272">
        <v>12</v>
      </c>
      <c r="J76" s="272">
        <v>0</v>
      </c>
      <c r="K76" s="269" t="s">
        <v>233</v>
      </c>
      <c r="L76" s="273">
        <v>46330</v>
      </c>
      <c r="M76" s="272">
        <v>0</v>
      </c>
      <c r="N76" s="272">
        <v>0</v>
      </c>
      <c r="O76" s="272">
        <v>12</v>
      </c>
      <c r="P76" s="269" t="s">
        <v>302</v>
      </c>
      <c r="Q76" s="265"/>
      <c r="R76" s="265"/>
      <c r="S76" s="265"/>
      <c r="T76" s="265"/>
      <c r="U76" s="265"/>
      <c r="V76" s="265"/>
      <c r="W76" s="265"/>
      <c r="X76" s="265"/>
      <c r="Y76" s="265"/>
      <c r="Z76" s="265"/>
      <c r="AA76" s="265"/>
      <c r="AB76" s="265"/>
      <c r="AC76" s="272" t="s">
        <v>305</v>
      </c>
      <c r="AD76" s="272" t="s">
        <v>436</v>
      </c>
      <c r="AE76" s="265"/>
      <c r="AF76" s="265"/>
      <c r="AG76" s="265"/>
      <c r="AH76" s="265"/>
      <c r="AI76" s="265"/>
      <c r="AJ76" s="265"/>
    </row>
    <row r="77" spans="1:36">
      <c r="A77" s="267" t="s">
        <v>560</v>
      </c>
      <c r="B77" s="268">
        <v>46038</v>
      </c>
      <c r="C77" s="269" t="s">
        <v>378</v>
      </c>
      <c r="D77" s="270" t="s">
        <v>562</v>
      </c>
      <c r="E77" s="269" t="s">
        <v>341</v>
      </c>
      <c r="F77" s="269" t="s">
        <v>232</v>
      </c>
      <c r="G77" s="271">
        <v>4.4400000000000002E-2</v>
      </c>
      <c r="H77" s="272">
        <v>180</v>
      </c>
      <c r="I77" s="272">
        <v>8</v>
      </c>
      <c r="J77" s="272">
        <v>0</v>
      </c>
      <c r="K77" s="269" t="s">
        <v>233</v>
      </c>
      <c r="L77" s="273">
        <v>46321</v>
      </c>
      <c r="M77" s="272">
        <v>0</v>
      </c>
      <c r="N77" s="272">
        <v>0</v>
      </c>
      <c r="O77" s="272">
        <v>8</v>
      </c>
      <c r="P77" s="269" t="s">
        <v>306</v>
      </c>
      <c r="Q77" s="265"/>
      <c r="R77" s="265"/>
      <c r="S77" s="265"/>
      <c r="T77" s="265"/>
      <c r="U77" s="265"/>
      <c r="V77" s="265"/>
      <c r="W77" s="265"/>
      <c r="X77" s="265"/>
      <c r="Y77" s="265"/>
      <c r="Z77" s="265"/>
      <c r="AA77" s="265"/>
      <c r="AB77" s="265"/>
      <c r="AC77" s="265"/>
      <c r="AD77" s="272" t="s">
        <v>508</v>
      </c>
      <c r="AE77" s="265"/>
      <c r="AF77" s="265"/>
      <c r="AG77" s="265"/>
      <c r="AH77" s="265"/>
      <c r="AI77" s="265"/>
      <c r="AJ77" s="265"/>
    </row>
    <row r="78" spans="1:36">
      <c r="A78" s="267" t="s">
        <v>560</v>
      </c>
      <c r="B78" s="268">
        <v>46038</v>
      </c>
      <c r="C78" s="269" t="s">
        <v>380</v>
      </c>
      <c r="D78" s="270" t="s">
        <v>563</v>
      </c>
      <c r="E78" s="269" t="s">
        <v>341</v>
      </c>
      <c r="F78" s="269" t="s">
        <v>232</v>
      </c>
      <c r="G78" s="271">
        <v>6.1100000000000002E-2</v>
      </c>
      <c r="H78" s="272">
        <v>180</v>
      </c>
      <c r="I78" s="272">
        <v>11</v>
      </c>
      <c r="J78" s="272">
        <v>0</v>
      </c>
      <c r="K78" s="269" t="s">
        <v>233</v>
      </c>
      <c r="L78" s="273">
        <v>46330</v>
      </c>
      <c r="M78" s="272">
        <v>0</v>
      </c>
      <c r="N78" s="272">
        <v>0</v>
      </c>
      <c r="O78" s="272">
        <v>11</v>
      </c>
      <c r="P78" s="269" t="s">
        <v>298</v>
      </c>
      <c r="Q78" s="265"/>
      <c r="R78" s="265"/>
      <c r="S78" s="265"/>
      <c r="T78" s="265"/>
      <c r="U78" s="265"/>
      <c r="V78" s="265"/>
      <c r="W78" s="265"/>
      <c r="X78" s="265"/>
      <c r="Y78" s="265"/>
      <c r="Z78" s="265"/>
      <c r="AA78" s="265"/>
      <c r="AB78" s="265"/>
      <c r="AC78" s="272" t="s">
        <v>298</v>
      </c>
      <c r="AD78" s="272" t="s">
        <v>549</v>
      </c>
      <c r="AE78" s="265"/>
      <c r="AF78" s="265"/>
      <c r="AG78" s="265"/>
      <c r="AH78" s="265"/>
      <c r="AI78" s="265"/>
      <c r="AJ78" s="265"/>
    </row>
    <row r="79" spans="1:36">
      <c r="A79" s="267" t="s">
        <v>560</v>
      </c>
      <c r="B79" s="268">
        <v>46038</v>
      </c>
      <c r="C79" s="269" t="s">
        <v>429</v>
      </c>
      <c r="D79" s="270" t="s">
        <v>564</v>
      </c>
      <c r="E79" s="269" t="s">
        <v>341</v>
      </c>
      <c r="F79" s="269" t="s">
        <v>232</v>
      </c>
      <c r="G79" s="271">
        <v>7.7799999999999994E-2</v>
      </c>
      <c r="H79" s="272">
        <v>180</v>
      </c>
      <c r="I79" s="272">
        <v>14</v>
      </c>
      <c r="J79" s="272">
        <v>0</v>
      </c>
      <c r="K79" s="269" t="s">
        <v>233</v>
      </c>
      <c r="L79" s="273">
        <v>46344</v>
      </c>
      <c r="M79" s="272">
        <v>0</v>
      </c>
      <c r="N79" s="272">
        <v>0</v>
      </c>
      <c r="O79" s="272">
        <v>14</v>
      </c>
      <c r="P79" s="269" t="s">
        <v>298</v>
      </c>
      <c r="Q79" s="265"/>
      <c r="R79" s="265"/>
      <c r="S79" s="265"/>
      <c r="T79" s="265"/>
      <c r="U79" s="265"/>
      <c r="V79" s="265"/>
      <c r="W79" s="265"/>
      <c r="X79" s="265"/>
      <c r="Y79" s="265"/>
      <c r="Z79" s="272" t="s">
        <v>583</v>
      </c>
      <c r="AA79" s="265"/>
      <c r="AB79" s="265"/>
      <c r="AC79" s="272" t="s">
        <v>302</v>
      </c>
      <c r="AD79" s="272" t="s">
        <v>584</v>
      </c>
      <c r="AE79" s="265"/>
      <c r="AF79" s="265"/>
      <c r="AG79" s="265"/>
      <c r="AH79" s="265"/>
      <c r="AI79" s="265"/>
      <c r="AJ79" s="265"/>
    </row>
    <row r="80" spans="1:36">
      <c r="A80" s="267" t="s">
        <v>560</v>
      </c>
      <c r="B80" s="268">
        <v>46038</v>
      </c>
      <c r="C80" s="269" t="s">
        <v>433</v>
      </c>
      <c r="D80" s="270" t="s">
        <v>565</v>
      </c>
      <c r="E80" s="269" t="s">
        <v>341</v>
      </c>
      <c r="F80" s="269" t="s">
        <v>232</v>
      </c>
      <c r="G80" s="271">
        <v>0.1</v>
      </c>
      <c r="H80" s="272">
        <v>180</v>
      </c>
      <c r="I80" s="272">
        <v>18</v>
      </c>
      <c r="J80" s="272">
        <v>0</v>
      </c>
      <c r="K80" s="269" t="s">
        <v>233</v>
      </c>
      <c r="L80" s="273">
        <v>46344</v>
      </c>
      <c r="M80" s="272">
        <v>0</v>
      </c>
      <c r="N80" s="272">
        <v>0</v>
      </c>
      <c r="O80" s="272">
        <v>18</v>
      </c>
      <c r="P80" s="269" t="s">
        <v>67</v>
      </c>
      <c r="Q80" s="265"/>
      <c r="R80" s="265"/>
      <c r="S80" s="265"/>
      <c r="T80" s="265"/>
      <c r="U80" s="265"/>
      <c r="V80" s="265"/>
      <c r="W80" s="265"/>
      <c r="X80" s="265"/>
      <c r="Y80" s="265"/>
      <c r="Z80" s="265"/>
      <c r="AA80" s="265"/>
      <c r="AB80" s="272" t="s">
        <v>471</v>
      </c>
      <c r="AC80" s="272" t="s">
        <v>304</v>
      </c>
      <c r="AD80" s="272" t="s">
        <v>584</v>
      </c>
      <c r="AE80" s="265"/>
      <c r="AF80" s="265"/>
      <c r="AG80" s="265"/>
      <c r="AH80" s="265"/>
      <c r="AI80" s="265"/>
      <c r="AJ80" s="265"/>
    </row>
    <row r="81" spans="1:36">
      <c r="A81" s="267" t="s">
        <v>234</v>
      </c>
      <c r="B81" s="268">
        <v>46039</v>
      </c>
      <c r="C81" s="269" t="s">
        <v>373</v>
      </c>
      <c r="D81" s="270" t="s">
        <v>566</v>
      </c>
      <c r="E81" s="269" t="s">
        <v>341</v>
      </c>
      <c r="F81" s="269" t="s">
        <v>232</v>
      </c>
      <c r="G81" s="271">
        <v>0.3387</v>
      </c>
      <c r="H81" s="272">
        <v>186</v>
      </c>
      <c r="I81" s="272">
        <v>63</v>
      </c>
      <c r="J81" s="272">
        <v>40</v>
      </c>
      <c r="K81" s="269" t="s">
        <v>233</v>
      </c>
      <c r="L81" s="273">
        <v>46344</v>
      </c>
      <c r="M81" s="272">
        <v>0</v>
      </c>
      <c r="N81" s="272">
        <v>0</v>
      </c>
      <c r="O81" s="272">
        <v>25</v>
      </c>
      <c r="P81" s="269" t="s">
        <v>471</v>
      </c>
      <c r="Q81" s="265"/>
      <c r="R81" s="265"/>
      <c r="S81" s="265"/>
      <c r="T81" s="265"/>
      <c r="U81" s="265"/>
      <c r="V81" s="265"/>
      <c r="W81" s="265"/>
      <c r="X81" s="265"/>
      <c r="Y81" s="265"/>
      <c r="Z81" s="265"/>
      <c r="AA81" s="265"/>
      <c r="AB81" s="272" t="s">
        <v>67</v>
      </c>
      <c r="AC81" s="272" t="s">
        <v>307</v>
      </c>
      <c r="AD81" s="272" t="s">
        <v>584</v>
      </c>
      <c r="AE81" s="265"/>
      <c r="AF81" s="265"/>
      <c r="AG81" s="272" t="s">
        <v>585</v>
      </c>
      <c r="AH81" s="265"/>
      <c r="AI81" s="265"/>
      <c r="AJ81" s="265"/>
    </row>
    <row r="82" spans="1:36">
      <c r="A82" s="267" t="s">
        <v>234</v>
      </c>
      <c r="B82" s="268">
        <v>46039</v>
      </c>
      <c r="C82" s="269" t="s">
        <v>376</v>
      </c>
      <c r="D82" s="270" t="s">
        <v>553</v>
      </c>
      <c r="E82" s="269" t="s">
        <v>341</v>
      </c>
      <c r="F82" s="269" t="s">
        <v>232</v>
      </c>
      <c r="G82" s="271">
        <v>0.1</v>
      </c>
      <c r="H82" s="272">
        <v>180</v>
      </c>
      <c r="I82" s="272">
        <v>18</v>
      </c>
      <c r="J82" s="272">
        <v>0</v>
      </c>
      <c r="K82" s="269" t="s">
        <v>233</v>
      </c>
      <c r="L82" s="273">
        <v>46345</v>
      </c>
      <c r="M82" s="272">
        <v>0</v>
      </c>
      <c r="N82" s="272">
        <v>0</v>
      </c>
      <c r="O82" s="272">
        <v>21</v>
      </c>
      <c r="P82" s="269" t="s">
        <v>67</v>
      </c>
      <c r="Q82" s="265"/>
      <c r="R82" s="265"/>
      <c r="S82" s="265"/>
      <c r="T82" s="265"/>
      <c r="U82" s="265"/>
      <c r="V82" s="265"/>
      <c r="W82" s="265"/>
      <c r="X82" s="265"/>
      <c r="Y82" s="265"/>
      <c r="Z82" s="265"/>
      <c r="AA82" s="265"/>
      <c r="AB82" s="272" t="s">
        <v>471</v>
      </c>
      <c r="AC82" s="272" t="s">
        <v>304</v>
      </c>
      <c r="AD82" s="272" t="s">
        <v>584</v>
      </c>
      <c r="AE82" s="265"/>
      <c r="AF82" s="265"/>
      <c r="AG82" s="265"/>
      <c r="AH82" s="265"/>
      <c r="AI82" s="265"/>
      <c r="AJ82" s="265"/>
    </row>
    <row r="83" spans="1:36">
      <c r="A83" s="267" t="s">
        <v>234</v>
      </c>
      <c r="B83" s="268">
        <v>46039</v>
      </c>
      <c r="C83" s="269" t="s">
        <v>378</v>
      </c>
      <c r="D83" s="270" t="s">
        <v>567</v>
      </c>
      <c r="E83" s="269" t="s">
        <v>341</v>
      </c>
      <c r="F83" s="269" t="s">
        <v>232</v>
      </c>
      <c r="G83" s="271">
        <v>0.2</v>
      </c>
      <c r="H83" s="272">
        <v>180</v>
      </c>
      <c r="I83" s="272">
        <v>36</v>
      </c>
      <c r="J83" s="272">
        <v>0</v>
      </c>
      <c r="K83" s="269" t="s">
        <v>233</v>
      </c>
      <c r="L83" s="273">
        <v>46344</v>
      </c>
      <c r="M83" s="272">
        <v>0</v>
      </c>
      <c r="N83" s="272">
        <v>0</v>
      </c>
      <c r="O83" s="272">
        <v>36</v>
      </c>
      <c r="P83" s="269" t="s">
        <v>516</v>
      </c>
      <c r="Q83" s="265"/>
      <c r="R83" s="265"/>
      <c r="S83" s="265"/>
      <c r="T83" s="265"/>
      <c r="U83" s="265"/>
      <c r="V83" s="265"/>
      <c r="W83" s="265"/>
      <c r="X83" s="265"/>
      <c r="Y83" s="265"/>
      <c r="Z83" s="265"/>
      <c r="AA83" s="272" t="s">
        <v>514</v>
      </c>
      <c r="AB83" s="272" t="s">
        <v>586</v>
      </c>
      <c r="AC83" s="272" t="s">
        <v>304</v>
      </c>
      <c r="AD83" s="272" t="s">
        <v>584</v>
      </c>
      <c r="AE83" s="265"/>
      <c r="AF83" s="265"/>
      <c r="AG83" s="265"/>
      <c r="AH83" s="265"/>
      <c r="AI83" s="265"/>
      <c r="AJ83" s="265"/>
    </row>
    <row r="84" spans="1:36">
      <c r="A84" s="267" t="s">
        <v>234</v>
      </c>
      <c r="B84" s="268">
        <v>46039</v>
      </c>
      <c r="C84" s="269" t="s">
        <v>366</v>
      </c>
      <c r="D84" s="270" t="s">
        <v>568</v>
      </c>
      <c r="E84" s="269" t="s">
        <v>341</v>
      </c>
      <c r="F84" s="269" t="s">
        <v>232</v>
      </c>
      <c r="G84" s="271">
        <v>0.17780000000000001</v>
      </c>
      <c r="H84" s="272">
        <v>180</v>
      </c>
      <c r="I84" s="272">
        <v>32</v>
      </c>
      <c r="J84" s="272">
        <v>0</v>
      </c>
      <c r="K84" s="269" t="s">
        <v>233</v>
      </c>
      <c r="L84" s="273">
        <v>46345</v>
      </c>
      <c r="M84" s="272">
        <v>0</v>
      </c>
      <c r="N84" s="272">
        <v>0</v>
      </c>
      <c r="O84" s="272">
        <v>32</v>
      </c>
      <c r="P84" s="269" t="s">
        <v>514</v>
      </c>
      <c r="Q84" s="265"/>
      <c r="R84" s="265"/>
      <c r="S84" s="265"/>
      <c r="T84" s="265"/>
      <c r="U84" s="265"/>
      <c r="V84" s="265"/>
      <c r="W84" s="265"/>
      <c r="X84" s="265"/>
      <c r="Y84" s="265"/>
      <c r="Z84" s="272" t="s">
        <v>174</v>
      </c>
      <c r="AA84" s="272" t="s">
        <v>587</v>
      </c>
      <c r="AB84" s="272" t="s">
        <v>586</v>
      </c>
      <c r="AC84" s="272" t="s">
        <v>298</v>
      </c>
      <c r="AD84" s="272" t="s">
        <v>588</v>
      </c>
      <c r="AE84" s="265"/>
      <c r="AF84" s="265"/>
      <c r="AG84" s="265"/>
      <c r="AH84" s="265"/>
      <c r="AI84" s="265"/>
      <c r="AJ84" s="265"/>
    </row>
    <row r="85" spans="1:36">
      <c r="A85" s="267" t="s">
        <v>236</v>
      </c>
      <c r="B85" s="268">
        <v>46040</v>
      </c>
      <c r="C85" s="269" t="s">
        <v>376</v>
      </c>
      <c r="D85" s="270" t="s">
        <v>561</v>
      </c>
      <c r="E85" s="269" t="s">
        <v>341</v>
      </c>
      <c r="F85" s="269" t="s">
        <v>232</v>
      </c>
      <c r="G85" s="271">
        <v>7.22E-2</v>
      </c>
      <c r="H85" s="272">
        <v>180</v>
      </c>
      <c r="I85" s="272">
        <v>13</v>
      </c>
      <c r="J85" s="272">
        <v>0</v>
      </c>
      <c r="K85" s="269" t="s">
        <v>233</v>
      </c>
      <c r="L85" s="273">
        <v>46338</v>
      </c>
      <c r="M85" s="272">
        <v>0</v>
      </c>
      <c r="N85" s="272">
        <v>0</v>
      </c>
      <c r="O85" s="272">
        <v>14</v>
      </c>
      <c r="P85" s="269" t="s">
        <v>67</v>
      </c>
      <c r="Q85" s="265"/>
      <c r="R85" s="265"/>
      <c r="S85" s="265"/>
      <c r="T85" s="265"/>
      <c r="U85" s="265"/>
      <c r="V85" s="265"/>
      <c r="W85" s="265"/>
      <c r="X85" s="265"/>
      <c r="Y85" s="265"/>
      <c r="Z85" s="265"/>
      <c r="AA85" s="265"/>
      <c r="AB85" s="265"/>
      <c r="AC85" s="272" t="s">
        <v>304</v>
      </c>
      <c r="AD85" s="272" t="s">
        <v>584</v>
      </c>
      <c r="AE85" s="265"/>
      <c r="AF85" s="265"/>
      <c r="AG85" s="265"/>
      <c r="AH85" s="265"/>
      <c r="AI85" s="265"/>
      <c r="AJ85" s="265"/>
    </row>
    <row r="86" spans="1:36">
      <c r="A86" s="267" t="s">
        <v>236</v>
      </c>
      <c r="B86" s="268">
        <v>46040</v>
      </c>
      <c r="C86" s="269" t="s">
        <v>370</v>
      </c>
      <c r="D86" s="270" t="s">
        <v>553</v>
      </c>
      <c r="E86" s="269" t="s">
        <v>341</v>
      </c>
      <c r="F86" s="269" t="s">
        <v>232</v>
      </c>
      <c r="G86" s="271">
        <v>1.11E-2</v>
      </c>
      <c r="H86" s="272">
        <v>180</v>
      </c>
      <c r="I86" s="272">
        <v>2</v>
      </c>
      <c r="J86" s="272">
        <v>0</v>
      </c>
      <c r="K86" s="269" t="s">
        <v>233</v>
      </c>
      <c r="L86" s="273">
        <v>46342</v>
      </c>
      <c r="M86" s="272">
        <v>0</v>
      </c>
      <c r="N86" s="272">
        <v>0</v>
      </c>
      <c r="O86" s="272">
        <v>5</v>
      </c>
      <c r="P86" s="269" t="s">
        <v>292</v>
      </c>
      <c r="Q86" s="265"/>
      <c r="R86" s="265"/>
      <c r="S86" s="265"/>
      <c r="T86" s="265"/>
      <c r="U86" s="265"/>
      <c r="V86" s="265"/>
      <c r="W86" s="265"/>
      <c r="X86" s="265"/>
      <c r="Y86" s="265"/>
      <c r="Z86" s="265"/>
      <c r="AA86" s="265"/>
      <c r="AB86" s="265"/>
      <c r="AC86" s="272" t="s">
        <v>298</v>
      </c>
      <c r="AD86" s="265"/>
      <c r="AE86" s="265"/>
      <c r="AF86" s="265"/>
      <c r="AG86" s="265"/>
      <c r="AH86" s="265"/>
      <c r="AI86" s="265"/>
      <c r="AJ86" s="265"/>
    </row>
    <row r="87" spans="1:36">
      <c r="A87" s="267" t="s">
        <v>236</v>
      </c>
      <c r="B87" s="268">
        <v>46040</v>
      </c>
      <c r="C87" s="269" t="s">
        <v>433</v>
      </c>
      <c r="D87" s="270" t="s">
        <v>572</v>
      </c>
      <c r="E87" s="269" t="s">
        <v>341</v>
      </c>
      <c r="F87" s="269" t="s">
        <v>232</v>
      </c>
      <c r="G87" s="271">
        <v>3.3300000000000003E-2</v>
      </c>
      <c r="H87" s="272">
        <v>180</v>
      </c>
      <c r="I87" s="272">
        <v>6</v>
      </c>
      <c r="J87" s="272">
        <v>0</v>
      </c>
      <c r="K87" s="269" t="s">
        <v>233</v>
      </c>
      <c r="L87" s="273">
        <v>46313</v>
      </c>
      <c r="M87" s="272">
        <v>0</v>
      </c>
      <c r="N87" s="272">
        <v>0</v>
      </c>
      <c r="O87" s="272">
        <v>6</v>
      </c>
      <c r="P87" s="269" t="s">
        <v>299</v>
      </c>
      <c r="Q87" s="265"/>
      <c r="R87" s="265"/>
      <c r="S87" s="265"/>
      <c r="T87" s="265"/>
      <c r="U87" s="265"/>
      <c r="V87" s="265"/>
      <c r="W87" s="265"/>
      <c r="X87" s="265"/>
      <c r="Y87" s="265"/>
      <c r="Z87" s="265"/>
      <c r="AA87" s="265"/>
      <c r="AB87" s="265"/>
      <c r="AC87" s="265"/>
      <c r="AD87" s="272" t="s">
        <v>436</v>
      </c>
      <c r="AE87" s="265"/>
      <c r="AF87" s="265"/>
      <c r="AG87" s="265"/>
      <c r="AH87" s="265"/>
      <c r="AI87" s="265"/>
      <c r="AJ87" s="265"/>
    </row>
    <row r="88" spans="1:36">
      <c r="A88" s="267" t="s">
        <v>236</v>
      </c>
      <c r="B88" s="268">
        <v>46040</v>
      </c>
      <c r="C88" s="269" t="s">
        <v>378</v>
      </c>
      <c r="D88" s="270" t="s">
        <v>573</v>
      </c>
      <c r="E88" s="269" t="s">
        <v>341</v>
      </c>
      <c r="F88" s="269" t="s">
        <v>232</v>
      </c>
      <c r="G88" s="271">
        <v>6.6699999999999995E-2</v>
      </c>
      <c r="H88" s="272">
        <v>180</v>
      </c>
      <c r="I88" s="272">
        <v>12</v>
      </c>
      <c r="J88" s="272">
        <v>0</v>
      </c>
      <c r="K88" s="269" t="s">
        <v>233</v>
      </c>
      <c r="L88" s="273">
        <v>46338</v>
      </c>
      <c r="M88" s="272">
        <v>0</v>
      </c>
      <c r="N88" s="272">
        <v>0</v>
      </c>
      <c r="O88" s="272">
        <v>12</v>
      </c>
      <c r="P88" s="269" t="s">
        <v>302</v>
      </c>
      <c r="Q88" s="265"/>
      <c r="R88" s="265"/>
      <c r="S88" s="265"/>
      <c r="T88" s="265"/>
      <c r="U88" s="265"/>
      <c r="V88" s="265"/>
      <c r="W88" s="265"/>
      <c r="X88" s="265"/>
      <c r="Y88" s="265"/>
      <c r="Z88" s="265"/>
      <c r="AA88" s="265"/>
      <c r="AB88" s="265"/>
      <c r="AC88" s="272" t="s">
        <v>307</v>
      </c>
      <c r="AD88" s="272" t="s">
        <v>508</v>
      </c>
      <c r="AE88" s="265"/>
      <c r="AF88" s="265"/>
      <c r="AG88" s="265"/>
      <c r="AH88" s="265"/>
      <c r="AI88" s="265"/>
      <c r="AJ88" s="265"/>
    </row>
    <row r="89" spans="1:36">
      <c r="A89" s="267" t="s">
        <v>236</v>
      </c>
      <c r="B89" s="268">
        <v>46040</v>
      </c>
      <c r="C89" s="269" t="s">
        <v>380</v>
      </c>
      <c r="D89" s="270" t="s">
        <v>574</v>
      </c>
      <c r="E89" s="269" t="s">
        <v>341</v>
      </c>
      <c r="F89" s="269" t="s">
        <v>232</v>
      </c>
      <c r="G89" s="271">
        <v>8.8900000000000007E-2</v>
      </c>
      <c r="H89" s="272">
        <v>180</v>
      </c>
      <c r="I89" s="272">
        <v>16</v>
      </c>
      <c r="J89" s="272">
        <v>0</v>
      </c>
      <c r="K89" s="269" t="s">
        <v>233</v>
      </c>
      <c r="L89" s="273">
        <v>46345</v>
      </c>
      <c r="M89" s="272">
        <v>0</v>
      </c>
      <c r="N89" s="272">
        <v>0</v>
      </c>
      <c r="O89" s="272">
        <v>16</v>
      </c>
      <c r="P89" s="269" t="s">
        <v>304</v>
      </c>
      <c r="Q89" s="265"/>
      <c r="R89" s="265"/>
      <c r="S89" s="265"/>
      <c r="T89" s="265"/>
      <c r="U89" s="265"/>
      <c r="V89" s="265"/>
      <c r="W89" s="265"/>
      <c r="X89" s="265"/>
      <c r="Y89" s="265"/>
      <c r="Z89" s="265"/>
      <c r="AA89" s="265"/>
      <c r="AB89" s="272" t="s">
        <v>589</v>
      </c>
      <c r="AC89" s="272" t="s">
        <v>307</v>
      </c>
      <c r="AD89" s="272" t="s">
        <v>436</v>
      </c>
      <c r="AE89" s="265"/>
      <c r="AF89" s="265"/>
      <c r="AG89" s="265"/>
      <c r="AH89" s="265"/>
      <c r="AI89" s="265"/>
      <c r="AJ89" s="265"/>
    </row>
    <row r="90" spans="1:36">
      <c r="A90" s="267" t="s">
        <v>240</v>
      </c>
      <c r="B90" s="268">
        <v>46041</v>
      </c>
      <c r="C90" s="269" t="s">
        <v>376</v>
      </c>
      <c r="D90" s="270" t="s">
        <v>575</v>
      </c>
      <c r="E90" s="269" t="s">
        <v>341</v>
      </c>
      <c r="F90" s="269" t="s">
        <v>232</v>
      </c>
      <c r="G90" s="271">
        <v>1.67E-2</v>
      </c>
      <c r="H90" s="272">
        <v>180</v>
      </c>
      <c r="I90" s="272">
        <v>3</v>
      </c>
      <c r="J90" s="272">
        <v>0</v>
      </c>
      <c r="K90" s="269" t="s">
        <v>233</v>
      </c>
      <c r="L90" s="273">
        <v>46328</v>
      </c>
      <c r="M90" s="272">
        <v>0</v>
      </c>
      <c r="N90" s="272">
        <v>0</v>
      </c>
      <c r="O90" s="272">
        <v>5</v>
      </c>
      <c r="P90" s="269" t="s">
        <v>446</v>
      </c>
      <c r="Q90" s="265"/>
      <c r="R90" s="265"/>
      <c r="S90" s="265"/>
      <c r="T90" s="265"/>
      <c r="U90" s="265"/>
      <c r="V90" s="265"/>
      <c r="W90" s="265"/>
      <c r="X90" s="265"/>
      <c r="Y90" s="265"/>
      <c r="Z90" s="265"/>
      <c r="AA90" s="265"/>
      <c r="AB90" s="265"/>
      <c r="AC90" s="265"/>
      <c r="AD90" s="272" t="s">
        <v>446</v>
      </c>
      <c r="AE90" s="265"/>
      <c r="AF90" s="265"/>
      <c r="AG90" s="265"/>
      <c r="AH90" s="265"/>
      <c r="AI90" s="265"/>
      <c r="AJ90" s="265"/>
    </row>
    <row r="91" spans="1:36">
      <c r="A91" s="267" t="s">
        <v>240</v>
      </c>
      <c r="B91" s="268">
        <v>46041</v>
      </c>
      <c r="C91" s="269" t="s">
        <v>378</v>
      </c>
      <c r="D91" s="270" t="s">
        <v>563</v>
      </c>
      <c r="E91" s="269" t="s">
        <v>341</v>
      </c>
      <c r="F91" s="269" t="s">
        <v>232</v>
      </c>
      <c r="G91" s="271">
        <v>2.2200000000000001E-2</v>
      </c>
      <c r="H91" s="272">
        <v>180</v>
      </c>
      <c r="I91" s="272">
        <v>4</v>
      </c>
      <c r="J91" s="272">
        <v>0</v>
      </c>
      <c r="K91" s="269" t="s">
        <v>233</v>
      </c>
      <c r="L91" s="273">
        <v>46344</v>
      </c>
      <c r="M91" s="272">
        <v>0</v>
      </c>
      <c r="N91" s="272">
        <v>0</v>
      </c>
      <c r="O91" s="272">
        <v>5</v>
      </c>
      <c r="P91" s="269" t="s">
        <v>367</v>
      </c>
      <c r="Q91" s="265"/>
      <c r="R91" s="265"/>
      <c r="S91" s="265"/>
      <c r="T91" s="265"/>
      <c r="U91" s="265"/>
      <c r="V91" s="265"/>
      <c r="W91" s="265"/>
      <c r="X91" s="265"/>
      <c r="Y91" s="265"/>
      <c r="Z91" s="265"/>
      <c r="AA91" s="265"/>
      <c r="AB91" s="265"/>
      <c r="AC91" s="265"/>
      <c r="AD91" s="272" t="s">
        <v>368</v>
      </c>
      <c r="AE91" s="265"/>
      <c r="AF91" s="265"/>
      <c r="AG91" s="265"/>
      <c r="AH91" s="265"/>
      <c r="AI91" s="265"/>
      <c r="AJ91" s="265"/>
    </row>
    <row r="92" spans="1:36">
      <c r="A92" s="267" t="s">
        <v>240</v>
      </c>
      <c r="B92" s="268">
        <v>46041</v>
      </c>
      <c r="C92" s="269" t="s">
        <v>433</v>
      </c>
      <c r="D92" s="270" t="s">
        <v>334</v>
      </c>
      <c r="E92" s="269" t="s">
        <v>341</v>
      </c>
      <c r="F92" s="269" t="s">
        <v>232</v>
      </c>
      <c r="G92" s="271">
        <v>5.5599999999999997E-2</v>
      </c>
      <c r="H92" s="272">
        <v>180</v>
      </c>
      <c r="I92" s="272">
        <v>10</v>
      </c>
      <c r="J92" s="272">
        <v>0</v>
      </c>
      <c r="K92" s="269" t="s">
        <v>233</v>
      </c>
      <c r="L92" s="273">
        <v>46342</v>
      </c>
      <c r="M92" s="272">
        <v>0</v>
      </c>
      <c r="N92" s="272">
        <v>0</v>
      </c>
      <c r="O92" s="272">
        <v>10</v>
      </c>
      <c r="P92" s="269" t="s">
        <v>304</v>
      </c>
      <c r="Q92" s="265"/>
      <c r="R92" s="265"/>
      <c r="S92" s="265"/>
      <c r="T92" s="265"/>
      <c r="U92" s="265"/>
      <c r="V92" s="265"/>
      <c r="W92" s="265"/>
      <c r="X92" s="265"/>
      <c r="Y92" s="265"/>
      <c r="Z92" s="265"/>
      <c r="AA92" s="265"/>
      <c r="AB92" s="265"/>
      <c r="AC92" s="272" t="s">
        <v>298</v>
      </c>
      <c r="AD92" s="272" t="s">
        <v>508</v>
      </c>
      <c r="AE92" s="265"/>
      <c r="AF92" s="265"/>
      <c r="AG92" s="265"/>
      <c r="AH92" s="265"/>
      <c r="AI92" s="265"/>
      <c r="AJ92" s="265"/>
    </row>
    <row r="93" spans="1:36">
      <c r="A93" s="267" t="s">
        <v>242</v>
      </c>
      <c r="B93" s="268">
        <v>46042</v>
      </c>
      <c r="C93" s="269" t="s">
        <v>429</v>
      </c>
      <c r="D93" s="270" t="s">
        <v>576</v>
      </c>
      <c r="E93" s="269" t="s">
        <v>341</v>
      </c>
      <c r="F93" s="269" t="s">
        <v>232</v>
      </c>
      <c r="G93" s="271">
        <v>1.11E-2</v>
      </c>
      <c r="H93" s="272">
        <v>180</v>
      </c>
      <c r="I93" s="272">
        <v>2</v>
      </c>
      <c r="J93" s="272">
        <v>0</v>
      </c>
      <c r="K93" s="269" t="s">
        <v>233</v>
      </c>
      <c r="L93" s="273">
        <v>46331</v>
      </c>
      <c r="M93" s="272">
        <v>0</v>
      </c>
      <c r="N93" s="272">
        <v>0</v>
      </c>
      <c r="O93" s="272">
        <v>5</v>
      </c>
      <c r="P93" s="269" t="s">
        <v>431</v>
      </c>
      <c r="Q93" s="265"/>
      <c r="R93" s="265"/>
      <c r="S93" s="265"/>
      <c r="T93" s="265"/>
      <c r="U93" s="265"/>
      <c r="V93" s="265"/>
      <c r="W93" s="265"/>
      <c r="X93" s="265"/>
      <c r="Y93" s="265"/>
      <c r="Z93" s="272" t="s">
        <v>174</v>
      </c>
      <c r="AA93" s="265"/>
      <c r="AB93" s="265"/>
      <c r="AC93" s="265"/>
      <c r="AD93" s="272" t="s">
        <v>430</v>
      </c>
      <c r="AE93" s="265"/>
      <c r="AF93" s="265"/>
      <c r="AG93" s="265"/>
      <c r="AH93" s="265"/>
      <c r="AI93" s="265"/>
      <c r="AJ93" s="265"/>
    </row>
    <row r="94" spans="1:36">
      <c r="A94" s="267" t="s">
        <v>242</v>
      </c>
      <c r="B94" s="268">
        <v>46042</v>
      </c>
      <c r="C94" s="269" t="s">
        <v>380</v>
      </c>
      <c r="D94" s="270" t="s">
        <v>231</v>
      </c>
      <c r="E94" s="269" t="s">
        <v>341</v>
      </c>
      <c r="F94" s="269" t="s">
        <v>232</v>
      </c>
      <c r="G94" s="271">
        <v>1.11E-2</v>
      </c>
      <c r="H94" s="272">
        <v>180</v>
      </c>
      <c r="I94" s="272">
        <v>2</v>
      </c>
      <c r="J94" s="272">
        <v>0</v>
      </c>
      <c r="K94" s="269" t="s">
        <v>233</v>
      </c>
      <c r="L94" s="273">
        <v>46343</v>
      </c>
      <c r="M94" s="272">
        <v>0</v>
      </c>
      <c r="N94" s="272">
        <v>0</v>
      </c>
      <c r="O94" s="272">
        <v>2</v>
      </c>
      <c r="P94" s="269" t="s">
        <v>368</v>
      </c>
      <c r="Q94" s="265"/>
      <c r="R94" s="265"/>
      <c r="S94" s="265"/>
      <c r="T94" s="265"/>
      <c r="U94" s="265"/>
      <c r="V94" s="265"/>
      <c r="W94" s="265"/>
      <c r="X94" s="265"/>
      <c r="Y94" s="265"/>
      <c r="Z94" s="265"/>
      <c r="AA94" s="265"/>
      <c r="AB94" s="265"/>
      <c r="AC94" s="265"/>
      <c r="AD94" s="272" t="s">
        <v>367</v>
      </c>
      <c r="AE94" s="265"/>
      <c r="AF94" s="265"/>
      <c r="AG94" s="265"/>
      <c r="AH94" s="265"/>
      <c r="AI94" s="265"/>
      <c r="AJ94" s="265"/>
    </row>
    <row r="95" spans="1:36">
      <c r="A95" s="267" t="s">
        <v>242</v>
      </c>
      <c r="B95" s="268">
        <v>46042</v>
      </c>
      <c r="C95" s="269" t="s">
        <v>378</v>
      </c>
      <c r="D95" s="270" t="s">
        <v>563</v>
      </c>
      <c r="E95" s="269" t="s">
        <v>341</v>
      </c>
      <c r="F95" s="269" t="s">
        <v>232</v>
      </c>
      <c r="G95" s="271">
        <v>5.5999999999999999E-3</v>
      </c>
      <c r="H95" s="272">
        <v>180</v>
      </c>
      <c r="I95" s="272">
        <v>1</v>
      </c>
      <c r="J95" s="272">
        <v>0</v>
      </c>
      <c r="K95" s="269" t="s">
        <v>233</v>
      </c>
      <c r="L95" s="273">
        <v>46331</v>
      </c>
      <c r="M95" s="272">
        <v>0</v>
      </c>
      <c r="N95" s="272">
        <v>0</v>
      </c>
      <c r="O95" s="272">
        <v>1</v>
      </c>
      <c r="P95" s="269" t="s">
        <v>431</v>
      </c>
      <c r="Q95" s="265"/>
      <c r="R95" s="265"/>
      <c r="S95" s="265"/>
      <c r="T95" s="265"/>
      <c r="U95" s="265"/>
      <c r="V95" s="265"/>
      <c r="W95" s="265"/>
      <c r="X95" s="265"/>
      <c r="Y95" s="265"/>
      <c r="Z95" s="265"/>
      <c r="AA95" s="265"/>
      <c r="AB95" s="265"/>
      <c r="AC95" s="265"/>
      <c r="AD95" s="272" t="s">
        <v>430</v>
      </c>
      <c r="AE95" s="265"/>
      <c r="AF95" s="265"/>
      <c r="AG95" s="265"/>
      <c r="AH95" s="265"/>
      <c r="AI95" s="265"/>
      <c r="AJ95" s="265"/>
    </row>
    <row r="96" spans="1:36">
      <c r="A96" s="267" t="s">
        <v>242</v>
      </c>
      <c r="B96" s="268">
        <v>46042</v>
      </c>
      <c r="C96" s="269" t="s">
        <v>433</v>
      </c>
      <c r="D96" s="270" t="s">
        <v>577</v>
      </c>
      <c r="E96" s="269" t="s">
        <v>341</v>
      </c>
      <c r="F96" s="269" t="s">
        <v>232</v>
      </c>
      <c r="G96" s="271">
        <v>2.7799999999999998E-2</v>
      </c>
      <c r="H96" s="272">
        <v>180</v>
      </c>
      <c r="I96" s="272">
        <v>5</v>
      </c>
      <c r="J96" s="272">
        <v>0</v>
      </c>
      <c r="K96" s="269" t="s">
        <v>233</v>
      </c>
      <c r="L96" s="273">
        <v>46339</v>
      </c>
      <c r="M96" s="272">
        <v>0</v>
      </c>
      <c r="N96" s="272">
        <v>0</v>
      </c>
      <c r="O96" s="272">
        <v>5</v>
      </c>
      <c r="P96" s="269" t="s">
        <v>367</v>
      </c>
      <c r="Q96" s="265"/>
      <c r="R96" s="265"/>
      <c r="S96" s="265"/>
      <c r="T96" s="265"/>
      <c r="U96" s="265"/>
      <c r="V96" s="265"/>
      <c r="W96" s="265"/>
      <c r="X96" s="265"/>
      <c r="Y96" s="265"/>
      <c r="Z96" s="272" t="s">
        <v>174</v>
      </c>
      <c r="AA96" s="265"/>
      <c r="AB96" s="265"/>
      <c r="AC96" s="265"/>
      <c r="AD96" s="272" t="s">
        <v>368</v>
      </c>
      <c r="AE96" s="265"/>
      <c r="AF96" s="265"/>
      <c r="AG96" s="265"/>
      <c r="AH96" s="265"/>
      <c r="AI96" s="265"/>
      <c r="AJ96" s="265"/>
    </row>
    <row r="97" spans="1:36">
      <c r="A97" s="267" t="s">
        <v>242</v>
      </c>
      <c r="B97" s="268">
        <v>46042</v>
      </c>
      <c r="C97" s="269" t="s">
        <v>366</v>
      </c>
      <c r="D97" s="270" t="s">
        <v>578</v>
      </c>
      <c r="E97" s="269" t="s">
        <v>341</v>
      </c>
      <c r="F97" s="269" t="s">
        <v>232</v>
      </c>
      <c r="G97" s="271">
        <v>5.5999999999999999E-3</v>
      </c>
      <c r="H97" s="272">
        <v>180</v>
      </c>
      <c r="I97" s="272">
        <v>1</v>
      </c>
      <c r="J97" s="272">
        <v>0</v>
      </c>
      <c r="K97" s="269" t="s">
        <v>233</v>
      </c>
      <c r="L97" s="273">
        <v>46341</v>
      </c>
      <c r="M97" s="272">
        <v>0</v>
      </c>
      <c r="N97" s="272">
        <v>0</v>
      </c>
      <c r="O97" s="272">
        <v>1</v>
      </c>
      <c r="P97" s="269" t="s">
        <v>431</v>
      </c>
      <c r="Q97" s="265"/>
      <c r="R97" s="265"/>
      <c r="S97" s="265"/>
      <c r="T97" s="265"/>
      <c r="U97" s="265"/>
      <c r="V97" s="265"/>
      <c r="W97" s="265"/>
      <c r="X97" s="265"/>
      <c r="Y97" s="265"/>
      <c r="Z97" s="265"/>
      <c r="AA97" s="265"/>
      <c r="AB97" s="265"/>
      <c r="AC97" s="265"/>
      <c r="AD97" s="272" t="s">
        <v>430</v>
      </c>
      <c r="AE97" s="265"/>
      <c r="AF97" s="265"/>
      <c r="AG97" s="265"/>
      <c r="AH97" s="265"/>
      <c r="AI97" s="265"/>
      <c r="AJ97" s="265"/>
    </row>
    <row r="98" spans="1:36">
      <c r="A98" s="267" t="s">
        <v>242</v>
      </c>
      <c r="B98" s="268">
        <v>46042</v>
      </c>
      <c r="C98" s="269" t="s">
        <v>376</v>
      </c>
      <c r="D98" s="270" t="s">
        <v>579</v>
      </c>
      <c r="E98" s="269" t="s">
        <v>341</v>
      </c>
      <c r="F98" s="269" t="s">
        <v>232</v>
      </c>
      <c r="G98" s="271">
        <v>5.5999999999999999E-3</v>
      </c>
      <c r="H98" s="272">
        <v>180</v>
      </c>
      <c r="I98" s="272">
        <v>1</v>
      </c>
      <c r="J98" s="272">
        <v>0</v>
      </c>
      <c r="K98" s="269" t="s">
        <v>233</v>
      </c>
      <c r="L98" s="273">
        <v>46273</v>
      </c>
      <c r="M98" s="272">
        <v>0</v>
      </c>
      <c r="N98" s="272">
        <v>0</v>
      </c>
      <c r="O98" s="272">
        <v>1</v>
      </c>
      <c r="P98" s="269" t="s">
        <v>431</v>
      </c>
      <c r="Q98" s="265"/>
      <c r="R98" s="265"/>
      <c r="S98" s="265"/>
      <c r="T98" s="265"/>
      <c r="U98" s="265"/>
      <c r="V98" s="265"/>
      <c r="W98" s="265"/>
      <c r="X98" s="265"/>
      <c r="Y98" s="265"/>
      <c r="Z98" s="265"/>
      <c r="AA98" s="265"/>
      <c r="AB98" s="265"/>
      <c r="AC98" s="265"/>
      <c r="AD98" s="272" t="s">
        <v>430</v>
      </c>
      <c r="AE98" s="265"/>
      <c r="AF98" s="265"/>
      <c r="AG98" s="265"/>
      <c r="AH98" s="265"/>
      <c r="AI98" s="265"/>
      <c r="AJ98" s="265"/>
    </row>
    <row r="99" spans="1:36">
      <c r="A99" s="267" t="s">
        <v>315</v>
      </c>
      <c r="B99" s="268">
        <v>46043</v>
      </c>
      <c r="C99" s="269" t="s">
        <v>366</v>
      </c>
      <c r="D99" s="270" t="s">
        <v>580</v>
      </c>
      <c r="E99" s="269" t="s">
        <v>341</v>
      </c>
      <c r="F99" s="269" t="s">
        <v>232</v>
      </c>
      <c r="G99" s="271">
        <v>0</v>
      </c>
      <c r="H99" s="272">
        <v>180</v>
      </c>
      <c r="I99" s="272">
        <v>0</v>
      </c>
      <c r="J99" s="272">
        <v>0</v>
      </c>
      <c r="K99" s="269" t="s">
        <v>233</v>
      </c>
      <c r="L99" s="273" t="s">
        <v>66</v>
      </c>
      <c r="M99" s="272">
        <v>0</v>
      </c>
      <c r="N99" s="272">
        <v>0</v>
      </c>
      <c r="O99" s="272">
        <v>0</v>
      </c>
      <c r="P99" s="269" t="s">
        <v>436</v>
      </c>
      <c r="Q99" s="265"/>
      <c r="R99" s="265"/>
      <c r="S99" s="265"/>
      <c r="T99" s="265"/>
      <c r="U99" s="265"/>
      <c r="V99" s="265"/>
      <c r="W99" s="265"/>
      <c r="X99" s="265"/>
      <c r="Y99" s="265"/>
      <c r="Z99" s="265"/>
      <c r="AA99" s="265"/>
      <c r="AB99" s="265"/>
      <c r="AC99" s="265"/>
      <c r="AD99" s="265"/>
      <c r="AE99" s="265"/>
      <c r="AF99" s="265"/>
      <c r="AG99" s="265"/>
      <c r="AH99" s="265"/>
      <c r="AI99" s="265"/>
      <c r="AJ99" s="265"/>
    </row>
    <row r="100" spans="1:36">
      <c r="A100" s="267" t="s">
        <v>315</v>
      </c>
      <c r="B100" s="268">
        <v>46043</v>
      </c>
      <c r="C100" s="269" t="s">
        <v>376</v>
      </c>
      <c r="D100" s="270" t="s">
        <v>581</v>
      </c>
      <c r="E100" s="269" t="s">
        <v>341</v>
      </c>
      <c r="F100" s="269" t="s">
        <v>232</v>
      </c>
      <c r="G100" s="271">
        <v>0</v>
      </c>
      <c r="H100" s="272">
        <v>180</v>
      </c>
      <c r="I100" s="272">
        <v>0</v>
      </c>
      <c r="J100" s="272">
        <v>0</v>
      </c>
      <c r="K100" s="269" t="s">
        <v>233</v>
      </c>
      <c r="L100" s="273" t="s">
        <v>66</v>
      </c>
      <c r="M100" s="272">
        <v>0</v>
      </c>
      <c r="N100" s="272">
        <v>0</v>
      </c>
      <c r="O100" s="272">
        <v>0</v>
      </c>
      <c r="P100" s="269" t="s">
        <v>436</v>
      </c>
      <c r="Q100" s="265"/>
      <c r="R100" s="265"/>
      <c r="S100" s="265"/>
      <c r="T100" s="265"/>
      <c r="U100" s="265"/>
      <c r="V100" s="265"/>
      <c r="W100" s="265"/>
      <c r="X100" s="265"/>
      <c r="Y100" s="265"/>
      <c r="Z100" s="265"/>
      <c r="AA100" s="265"/>
      <c r="AB100" s="265"/>
      <c r="AC100" s="265"/>
      <c r="AD100" s="265"/>
      <c r="AE100" s="265"/>
      <c r="AF100" s="265"/>
      <c r="AG100" s="265"/>
      <c r="AH100" s="265"/>
      <c r="AI100" s="265"/>
      <c r="AJ100" s="265"/>
    </row>
    <row r="101" spans="1:36">
      <c r="A101" s="267" t="s">
        <v>315</v>
      </c>
      <c r="B101" s="268">
        <v>46043</v>
      </c>
      <c r="C101" s="269" t="s">
        <v>433</v>
      </c>
      <c r="D101" s="270" t="s">
        <v>582</v>
      </c>
      <c r="E101" s="269" t="s">
        <v>341</v>
      </c>
      <c r="F101" s="269" t="s">
        <v>232</v>
      </c>
      <c r="G101" s="271">
        <v>0</v>
      </c>
      <c r="H101" s="272">
        <v>180</v>
      </c>
      <c r="I101" s="272">
        <v>0</v>
      </c>
      <c r="J101" s="272">
        <v>0</v>
      </c>
      <c r="K101" s="269" t="s">
        <v>233</v>
      </c>
      <c r="L101" s="273" t="s">
        <v>66</v>
      </c>
      <c r="M101" s="272">
        <v>0</v>
      </c>
      <c r="N101" s="272">
        <v>0</v>
      </c>
      <c r="O101" s="272">
        <v>0</v>
      </c>
      <c r="P101" s="269" t="s">
        <v>436</v>
      </c>
      <c r="Q101" s="265"/>
      <c r="R101" s="265"/>
      <c r="S101" s="265"/>
      <c r="T101" s="265"/>
      <c r="U101" s="265"/>
      <c r="V101" s="265"/>
      <c r="W101" s="265"/>
      <c r="X101" s="265"/>
      <c r="Y101" s="265"/>
      <c r="Z101" s="265"/>
      <c r="AA101" s="265"/>
      <c r="AB101" s="265"/>
      <c r="AC101" s="265"/>
      <c r="AD101" s="265"/>
      <c r="AE101" s="265"/>
      <c r="AF101" s="265"/>
      <c r="AG101" s="265"/>
      <c r="AH101" s="265"/>
      <c r="AI101" s="265"/>
      <c r="AJ101" s="265"/>
    </row>
    <row r="102" spans="1:36">
      <c r="A102" s="267" t="s">
        <v>315</v>
      </c>
      <c r="B102" s="268">
        <v>46043</v>
      </c>
      <c r="C102" s="269" t="s">
        <v>378</v>
      </c>
      <c r="D102" s="270" t="s">
        <v>563</v>
      </c>
      <c r="E102" s="269" t="s">
        <v>341</v>
      </c>
      <c r="F102" s="269" t="s">
        <v>232</v>
      </c>
      <c r="G102" s="271">
        <v>5.5599999999999997E-2</v>
      </c>
      <c r="H102" s="272">
        <v>180</v>
      </c>
      <c r="I102" s="272">
        <v>10</v>
      </c>
      <c r="J102" s="272">
        <v>0</v>
      </c>
      <c r="K102" s="269" t="s">
        <v>233</v>
      </c>
      <c r="L102" s="273">
        <v>46338</v>
      </c>
      <c r="M102" s="272">
        <v>0</v>
      </c>
      <c r="N102" s="272">
        <v>0</v>
      </c>
      <c r="O102" s="272">
        <v>10</v>
      </c>
      <c r="P102" s="269" t="s">
        <v>304</v>
      </c>
      <c r="Q102" s="265"/>
      <c r="R102" s="265"/>
      <c r="S102" s="265"/>
      <c r="T102" s="265"/>
      <c r="U102" s="265"/>
      <c r="V102" s="265"/>
      <c r="W102" s="265"/>
      <c r="X102" s="265"/>
      <c r="Y102" s="265"/>
      <c r="Z102" s="265"/>
      <c r="AA102" s="265"/>
      <c r="AB102" s="265"/>
      <c r="AC102" s="272" t="s">
        <v>307</v>
      </c>
      <c r="AD102" s="272" t="s">
        <v>436</v>
      </c>
      <c r="AE102" s="265"/>
      <c r="AF102" s="265"/>
      <c r="AG102" s="265"/>
      <c r="AH102" s="265"/>
      <c r="AI102" s="265"/>
      <c r="AJ102" s="265"/>
    </row>
    <row r="103" spans="1:36">
      <c r="A103" s="267" t="s">
        <v>315</v>
      </c>
      <c r="B103" s="268">
        <v>46043</v>
      </c>
      <c r="C103" s="269" t="s">
        <v>429</v>
      </c>
      <c r="D103" s="270" t="s">
        <v>559</v>
      </c>
      <c r="E103" s="269" t="s">
        <v>341</v>
      </c>
      <c r="F103" s="269" t="s">
        <v>232</v>
      </c>
      <c r="G103" s="271">
        <v>2.7799999999999998E-2</v>
      </c>
      <c r="H103" s="272">
        <v>180</v>
      </c>
      <c r="I103" s="272">
        <v>5</v>
      </c>
      <c r="J103" s="272">
        <v>0</v>
      </c>
      <c r="K103" s="269" t="s">
        <v>233</v>
      </c>
      <c r="L103" s="273">
        <v>46343</v>
      </c>
      <c r="M103" s="272">
        <v>0</v>
      </c>
      <c r="N103" s="272">
        <v>0</v>
      </c>
      <c r="O103" s="272">
        <v>5</v>
      </c>
      <c r="P103" s="269" t="s">
        <v>430</v>
      </c>
      <c r="Q103" s="265"/>
      <c r="R103" s="265"/>
      <c r="S103" s="265"/>
      <c r="T103" s="265"/>
      <c r="U103" s="265"/>
      <c r="V103" s="265"/>
      <c r="W103" s="265"/>
      <c r="X103" s="265"/>
      <c r="Y103" s="265"/>
      <c r="Z103" s="265"/>
      <c r="AA103" s="265"/>
      <c r="AB103" s="265"/>
      <c r="AC103" s="265"/>
      <c r="AD103" s="272" t="s">
        <v>431</v>
      </c>
      <c r="AE103" s="265"/>
      <c r="AF103" s="265"/>
      <c r="AG103" s="265"/>
      <c r="AH103" s="265"/>
      <c r="AI103" s="265"/>
      <c r="AJ103" s="265"/>
    </row>
    <row r="104" spans="1:36">
      <c r="A104" s="267" t="s">
        <v>230</v>
      </c>
      <c r="B104" s="268">
        <v>46044</v>
      </c>
      <c r="C104" s="269" t="s">
        <v>373</v>
      </c>
      <c r="D104" s="270" t="s">
        <v>273</v>
      </c>
      <c r="E104" s="269" t="s">
        <v>341</v>
      </c>
      <c r="F104" s="269" t="s">
        <v>232</v>
      </c>
      <c r="G104" s="271">
        <v>5.5599999999999997E-2</v>
      </c>
      <c r="H104" s="272">
        <v>180</v>
      </c>
      <c r="I104" s="272">
        <v>10</v>
      </c>
      <c r="J104" s="272">
        <v>0</v>
      </c>
      <c r="K104" s="269" t="s">
        <v>233</v>
      </c>
      <c r="L104" s="273">
        <v>46343</v>
      </c>
      <c r="M104" s="272">
        <v>0</v>
      </c>
      <c r="N104" s="272">
        <v>0</v>
      </c>
      <c r="O104" s="272">
        <v>10</v>
      </c>
      <c r="P104" s="269" t="s">
        <v>304</v>
      </c>
      <c r="Q104" s="265"/>
      <c r="R104" s="265"/>
      <c r="S104" s="265"/>
      <c r="T104" s="265"/>
      <c r="U104" s="265"/>
      <c r="V104" s="265"/>
      <c r="W104" s="265"/>
      <c r="X104" s="265"/>
      <c r="Y104" s="265"/>
      <c r="Z104" s="265"/>
      <c r="AA104" s="265"/>
      <c r="AB104" s="265"/>
      <c r="AC104" s="272" t="s">
        <v>307</v>
      </c>
      <c r="AD104" s="272" t="s">
        <v>436</v>
      </c>
      <c r="AE104" s="265"/>
      <c r="AF104" s="265"/>
      <c r="AG104" s="265"/>
      <c r="AH104" s="265"/>
      <c r="AI104" s="265"/>
      <c r="AJ104" s="265"/>
    </row>
    <row r="105" spans="1:36">
      <c r="A105" s="267" t="s">
        <v>230</v>
      </c>
      <c r="B105" s="268">
        <v>46044</v>
      </c>
      <c r="C105" s="269" t="s">
        <v>376</v>
      </c>
      <c r="D105" s="270" t="s">
        <v>553</v>
      </c>
      <c r="E105" s="269" t="s">
        <v>341</v>
      </c>
      <c r="F105" s="269" t="s">
        <v>232</v>
      </c>
      <c r="G105" s="271">
        <v>5.5599999999999997E-2</v>
      </c>
      <c r="H105" s="272">
        <v>180</v>
      </c>
      <c r="I105" s="272">
        <v>10</v>
      </c>
      <c r="J105" s="272">
        <v>0</v>
      </c>
      <c r="K105" s="269" t="s">
        <v>233</v>
      </c>
      <c r="L105" s="273">
        <v>46326</v>
      </c>
      <c r="M105" s="272">
        <v>0</v>
      </c>
      <c r="N105" s="272">
        <v>0</v>
      </c>
      <c r="O105" s="272">
        <v>10</v>
      </c>
      <c r="P105" s="269" t="s">
        <v>304</v>
      </c>
      <c r="Q105" s="265"/>
      <c r="R105" s="265"/>
      <c r="S105" s="265"/>
      <c r="T105" s="265"/>
      <c r="U105" s="265"/>
      <c r="V105" s="265"/>
      <c r="W105" s="265"/>
      <c r="X105" s="265"/>
      <c r="Y105" s="265"/>
      <c r="Z105" s="265"/>
      <c r="AA105" s="265"/>
      <c r="AB105" s="265"/>
      <c r="AC105" s="272" t="s">
        <v>298</v>
      </c>
      <c r="AD105" s="272" t="s">
        <v>508</v>
      </c>
      <c r="AE105" s="265"/>
      <c r="AF105" s="265"/>
      <c r="AG105" s="265"/>
      <c r="AH105" s="265"/>
      <c r="AI105" s="265"/>
      <c r="AJ105" s="265"/>
    </row>
    <row r="106" spans="1:36">
      <c r="A106" s="267" t="s">
        <v>230</v>
      </c>
      <c r="B106" s="268">
        <v>46044</v>
      </c>
      <c r="C106" s="269" t="s">
        <v>370</v>
      </c>
      <c r="D106" s="270" t="s">
        <v>554</v>
      </c>
      <c r="E106" s="269" t="s">
        <v>341</v>
      </c>
      <c r="F106" s="269" t="s">
        <v>232</v>
      </c>
      <c r="G106" s="271">
        <v>3.8899999999999997E-2</v>
      </c>
      <c r="H106" s="272">
        <v>180</v>
      </c>
      <c r="I106" s="272">
        <v>7</v>
      </c>
      <c r="J106" s="272">
        <v>0</v>
      </c>
      <c r="K106" s="269" t="s">
        <v>233</v>
      </c>
      <c r="L106" s="273">
        <v>46339</v>
      </c>
      <c r="M106" s="272">
        <v>0</v>
      </c>
      <c r="N106" s="272">
        <v>0</v>
      </c>
      <c r="O106" s="272">
        <v>7</v>
      </c>
      <c r="P106" s="269" t="s">
        <v>299</v>
      </c>
      <c r="Q106" s="265"/>
      <c r="R106" s="265"/>
      <c r="S106" s="265"/>
      <c r="T106" s="265"/>
      <c r="U106" s="265"/>
      <c r="V106" s="265"/>
      <c r="W106" s="265"/>
      <c r="X106" s="265"/>
      <c r="Y106" s="265"/>
      <c r="Z106" s="272" t="s">
        <v>174</v>
      </c>
      <c r="AA106" s="265"/>
      <c r="AB106" s="265"/>
      <c r="AC106" s="272" t="s">
        <v>305</v>
      </c>
      <c r="AD106" s="265"/>
      <c r="AE106" s="265"/>
      <c r="AF106" s="265"/>
      <c r="AG106" s="265"/>
      <c r="AH106" s="265"/>
      <c r="AI106" s="265"/>
      <c r="AJ106" s="265"/>
    </row>
    <row r="107" spans="1:36">
      <c r="A107" s="267" t="s">
        <v>230</v>
      </c>
      <c r="B107" s="268">
        <v>46044</v>
      </c>
      <c r="C107" s="269" t="s">
        <v>378</v>
      </c>
      <c r="D107" s="270" t="s">
        <v>555</v>
      </c>
      <c r="E107" s="269" t="s">
        <v>341</v>
      </c>
      <c r="F107" s="269" t="s">
        <v>232</v>
      </c>
      <c r="G107" s="271">
        <v>6.1100000000000002E-2</v>
      </c>
      <c r="H107" s="272">
        <v>180</v>
      </c>
      <c r="I107" s="272">
        <v>11</v>
      </c>
      <c r="J107" s="272">
        <v>0</v>
      </c>
      <c r="K107" s="269" t="s">
        <v>233</v>
      </c>
      <c r="L107" s="273">
        <v>46326</v>
      </c>
      <c r="M107" s="272">
        <v>0</v>
      </c>
      <c r="N107" s="272">
        <v>0</v>
      </c>
      <c r="O107" s="272">
        <v>11</v>
      </c>
      <c r="P107" s="269" t="s">
        <v>298</v>
      </c>
      <c r="Q107" s="265"/>
      <c r="R107" s="265"/>
      <c r="S107" s="265"/>
      <c r="T107" s="265"/>
      <c r="U107" s="265"/>
      <c r="V107" s="265"/>
      <c r="W107" s="265"/>
      <c r="X107" s="265"/>
      <c r="Y107" s="265"/>
      <c r="Z107" s="265"/>
      <c r="AA107" s="265"/>
      <c r="AB107" s="265"/>
      <c r="AC107" s="272" t="s">
        <v>307</v>
      </c>
      <c r="AD107" s="272" t="s">
        <v>552</v>
      </c>
      <c r="AE107" s="265"/>
      <c r="AF107" s="265"/>
      <c r="AG107" s="265"/>
      <c r="AH107" s="265"/>
      <c r="AI107" s="265"/>
      <c r="AJ107" s="265"/>
    </row>
    <row r="108" spans="1:36">
      <c r="A108" s="267" t="s">
        <v>230</v>
      </c>
      <c r="B108" s="268">
        <v>46044</v>
      </c>
      <c r="C108" s="269" t="s">
        <v>380</v>
      </c>
      <c r="D108" s="270" t="s">
        <v>556</v>
      </c>
      <c r="E108" s="269" t="s">
        <v>341</v>
      </c>
      <c r="F108" s="269" t="s">
        <v>232</v>
      </c>
      <c r="G108" s="271">
        <v>7.22E-2</v>
      </c>
      <c r="H108" s="272">
        <v>180</v>
      </c>
      <c r="I108" s="272">
        <v>13</v>
      </c>
      <c r="J108" s="272">
        <v>0</v>
      </c>
      <c r="K108" s="269" t="s">
        <v>233</v>
      </c>
      <c r="L108" s="273">
        <v>46339</v>
      </c>
      <c r="M108" s="272">
        <v>0</v>
      </c>
      <c r="N108" s="272">
        <v>0</v>
      </c>
      <c r="O108" s="272">
        <v>13</v>
      </c>
      <c r="P108" s="269" t="s">
        <v>67</v>
      </c>
      <c r="Q108" s="265"/>
      <c r="R108" s="265"/>
      <c r="S108" s="265"/>
      <c r="T108" s="265"/>
      <c r="U108" s="265"/>
      <c r="V108" s="265"/>
      <c r="W108" s="265"/>
      <c r="X108" s="265"/>
      <c r="Y108" s="265"/>
      <c r="Z108" s="265"/>
      <c r="AA108" s="265"/>
      <c r="AB108" s="265"/>
      <c r="AC108" s="272" t="s">
        <v>304</v>
      </c>
      <c r="AD108" s="265"/>
      <c r="AE108" s="265"/>
      <c r="AF108" s="272" t="s">
        <v>558</v>
      </c>
      <c r="AG108" s="265"/>
      <c r="AH108" s="265"/>
      <c r="AI108" s="265"/>
      <c r="AJ108" s="265"/>
    </row>
    <row r="109" spans="1:36">
      <c r="A109" s="267" t="s">
        <v>230</v>
      </c>
      <c r="B109" s="268">
        <v>46044</v>
      </c>
      <c r="C109" s="269" t="s">
        <v>366</v>
      </c>
      <c r="D109" s="270" t="s">
        <v>559</v>
      </c>
      <c r="E109" s="269" t="s">
        <v>341</v>
      </c>
      <c r="F109" s="269" t="s">
        <v>232</v>
      </c>
      <c r="G109" s="271">
        <v>0.2167</v>
      </c>
      <c r="H109" s="272">
        <v>180</v>
      </c>
      <c r="I109" s="272">
        <v>39</v>
      </c>
      <c r="J109" s="272">
        <v>25</v>
      </c>
      <c r="K109" s="269" t="s">
        <v>233</v>
      </c>
      <c r="L109" s="273">
        <v>46343</v>
      </c>
      <c r="M109" s="272">
        <v>0</v>
      </c>
      <c r="N109" s="272">
        <v>0</v>
      </c>
      <c r="O109" s="272">
        <v>15</v>
      </c>
      <c r="P109" s="269" t="s">
        <v>67</v>
      </c>
      <c r="Q109" s="265"/>
      <c r="R109" s="265"/>
      <c r="S109" s="265"/>
      <c r="T109" s="265"/>
      <c r="U109" s="265"/>
      <c r="V109" s="265"/>
      <c r="W109" s="265"/>
      <c r="X109" s="265"/>
      <c r="Y109" s="265"/>
      <c r="Z109" s="265"/>
      <c r="AA109" s="265"/>
      <c r="AB109" s="272" t="s">
        <v>128</v>
      </c>
      <c r="AC109" s="272" t="s">
        <v>302</v>
      </c>
      <c r="AD109" s="265"/>
      <c r="AE109" s="272" t="s">
        <v>570</v>
      </c>
      <c r="AF109" s="272" t="s">
        <v>590</v>
      </c>
      <c r="AG109" s="272" t="s">
        <v>238</v>
      </c>
      <c r="AH109" s="265"/>
      <c r="AI109" s="265"/>
      <c r="AJ109" s="265"/>
    </row>
    <row r="110" spans="1:36">
      <c r="A110" s="267" t="s">
        <v>560</v>
      </c>
      <c r="B110" s="268">
        <v>46045</v>
      </c>
      <c r="C110" s="269" t="s">
        <v>376</v>
      </c>
      <c r="D110" s="270" t="s">
        <v>561</v>
      </c>
      <c r="E110" s="269" t="s">
        <v>341</v>
      </c>
      <c r="F110" s="269" t="s">
        <v>232</v>
      </c>
      <c r="G110" s="271">
        <v>7.7799999999999994E-2</v>
      </c>
      <c r="H110" s="272">
        <v>180</v>
      </c>
      <c r="I110" s="272">
        <v>14</v>
      </c>
      <c r="J110" s="272">
        <v>0</v>
      </c>
      <c r="K110" s="269" t="s">
        <v>233</v>
      </c>
      <c r="L110" s="273">
        <v>46342</v>
      </c>
      <c r="M110" s="272">
        <v>0</v>
      </c>
      <c r="N110" s="272">
        <v>0</v>
      </c>
      <c r="O110" s="272">
        <v>14</v>
      </c>
      <c r="P110" s="269" t="s">
        <v>67</v>
      </c>
      <c r="Q110" s="265"/>
      <c r="R110" s="265"/>
      <c r="S110" s="265"/>
      <c r="T110" s="265"/>
      <c r="U110" s="265"/>
      <c r="V110" s="265"/>
      <c r="W110" s="265"/>
      <c r="X110" s="265"/>
      <c r="Y110" s="265"/>
      <c r="Z110" s="265"/>
      <c r="AA110" s="265"/>
      <c r="AB110" s="272" t="s">
        <v>128</v>
      </c>
      <c r="AC110" s="272" t="s">
        <v>307</v>
      </c>
      <c r="AD110" s="265"/>
      <c r="AE110" s="265"/>
      <c r="AF110" s="272" t="s">
        <v>326</v>
      </c>
      <c r="AG110" s="265"/>
      <c r="AH110" s="265"/>
      <c r="AI110" s="265"/>
      <c r="AJ110" s="265"/>
    </row>
    <row r="111" spans="1:36">
      <c r="A111" s="267" t="s">
        <v>560</v>
      </c>
      <c r="B111" s="268">
        <v>46045</v>
      </c>
      <c r="C111" s="269" t="s">
        <v>378</v>
      </c>
      <c r="D111" s="270" t="s">
        <v>562</v>
      </c>
      <c r="E111" s="269" t="s">
        <v>341</v>
      </c>
      <c r="F111" s="269" t="s">
        <v>232</v>
      </c>
      <c r="G111" s="271">
        <v>7.7799999999999994E-2</v>
      </c>
      <c r="H111" s="272">
        <v>180</v>
      </c>
      <c r="I111" s="272">
        <v>14</v>
      </c>
      <c r="J111" s="272">
        <v>0</v>
      </c>
      <c r="K111" s="269" t="s">
        <v>233</v>
      </c>
      <c r="L111" s="273">
        <v>46342</v>
      </c>
      <c r="M111" s="272">
        <v>0</v>
      </c>
      <c r="N111" s="272">
        <v>0</v>
      </c>
      <c r="O111" s="272">
        <v>14</v>
      </c>
      <c r="P111" s="269" t="s">
        <v>306</v>
      </c>
      <c r="Q111" s="265"/>
      <c r="R111" s="265"/>
      <c r="S111" s="265"/>
      <c r="T111" s="265"/>
      <c r="U111" s="265"/>
      <c r="V111" s="265"/>
      <c r="W111" s="265"/>
      <c r="X111" s="265"/>
      <c r="Y111" s="265"/>
      <c r="Z111" s="265"/>
      <c r="AA111" s="265"/>
      <c r="AB111" s="272" t="s">
        <v>589</v>
      </c>
      <c r="AC111" s="272" t="s">
        <v>298</v>
      </c>
      <c r="AD111" s="272" t="s">
        <v>430</v>
      </c>
      <c r="AE111" s="265"/>
      <c r="AF111" s="272" t="s">
        <v>591</v>
      </c>
      <c r="AG111" s="265"/>
      <c r="AH111" s="265"/>
      <c r="AI111" s="265"/>
      <c r="AJ111" s="265"/>
    </row>
    <row r="112" spans="1:36">
      <c r="A112" s="267" t="s">
        <v>560</v>
      </c>
      <c r="B112" s="268">
        <v>46045</v>
      </c>
      <c r="C112" s="269" t="s">
        <v>380</v>
      </c>
      <c r="D112" s="270" t="s">
        <v>563</v>
      </c>
      <c r="E112" s="269" t="s">
        <v>341</v>
      </c>
      <c r="F112" s="269" t="s">
        <v>232</v>
      </c>
      <c r="G112" s="271">
        <v>6.6699999999999995E-2</v>
      </c>
      <c r="H112" s="272">
        <v>180</v>
      </c>
      <c r="I112" s="272">
        <v>12</v>
      </c>
      <c r="J112" s="272">
        <v>0</v>
      </c>
      <c r="K112" s="269" t="s">
        <v>233</v>
      </c>
      <c r="L112" s="273">
        <v>46340</v>
      </c>
      <c r="M112" s="272">
        <v>0</v>
      </c>
      <c r="N112" s="272">
        <v>0</v>
      </c>
      <c r="O112" s="272">
        <v>12</v>
      </c>
      <c r="P112" s="269" t="s">
        <v>302</v>
      </c>
      <c r="Q112" s="265"/>
      <c r="R112" s="265"/>
      <c r="S112" s="265"/>
      <c r="T112" s="265"/>
      <c r="U112" s="265"/>
      <c r="V112" s="265"/>
      <c r="W112" s="265"/>
      <c r="X112" s="265"/>
      <c r="Y112" s="265"/>
      <c r="Z112" s="265"/>
      <c r="AA112" s="265"/>
      <c r="AB112" s="265"/>
      <c r="AC112" s="272" t="s">
        <v>298</v>
      </c>
      <c r="AD112" s="265"/>
      <c r="AE112" s="265"/>
      <c r="AF112" s="272" t="s">
        <v>558</v>
      </c>
      <c r="AG112" s="265"/>
      <c r="AH112" s="265"/>
      <c r="AI112" s="265"/>
      <c r="AJ112" s="265"/>
    </row>
    <row r="113" spans="1:36">
      <c r="A113" s="267" t="s">
        <v>560</v>
      </c>
      <c r="B113" s="268">
        <v>46045</v>
      </c>
      <c r="C113" s="269" t="s">
        <v>429</v>
      </c>
      <c r="D113" s="270" t="s">
        <v>564</v>
      </c>
      <c r="E113" s="269" t="s">
        <v>341</v>
      </c>
      <c r="F113" s="269" t="s">
        <v>232</v>
      </c>
      <c r="G113" s="271">
        <v>7.22E-2</v>
      </c>
      <c r="H113" s="272">
        <v>180</v>
      </c>
      <c r="I113" s="272">
        <v>13</v>
      </c>
      <c r="J113" s="272">
        <v>0</v>
      </c>
      <c r="K113" s="269" t="s">
        <v>233</v>
      </c>
      <c r="L113" s="273">
        <v>46340</v>
      </c>
      <c r="M113" s="272">
        <v>0</v>
      </c>
      <c r="N113" s="272">
        <v>0</v>
      </c>
      <c r="O113" s="272">
        <v>13</v>
      </c>
      <c r="P113" s="269" t="s">
        <v>67</v>
      </c>
      <c r="Q113" s="265"/>
      <c r="R113" s="265"/>
      <c r="S113" s="265"/>
      <c r="T113" s="265"/>
      <c r="U113" s="265"/>
      <c r="V113" s="265"/>
      <c r="W113" s="265"/>
      <c r="X113" s="265"/>
      <c r="Y113" s="265"/>
      <c r="Z113" s="265"/>
      <c r="AA113" s="265"/>
      <c r="AB113" s="265"/>
      <c r="AC113" s="272" t="s">
        <v>304</v>
      </c>
      <c r="AD113" s="265"/>
      <c r="AE113" s="265"/>
      <c r="AF113" s="272" t="s">
        <v>558</v>
      </c>
      <c r="AG113" s="265"/>
      <c r="AH113" s="265"/>
      <c r="AI113" s="265"/>
      <c r="AJ113" s="265"/>
    </row>
    <row r="114" spans="1:36">
      <c r="A114" s="267" t="s">
        <v>560</v>
      </c>
      <c r="B114" s="268">
        <v>46045</v>
      </c>
      <c r="C114" s="269" t="s">
        <v>433</v>
      </c>
      <c r="D114" s="270" t="s">
        <v>565</v>
      </c>
      <c r="E114" s="269" t="s">
        <v>341</v>
      </c>
      <c r="F114" s="269" t="s">
        <v>232</v>
      </c>
      <c r="G114" s="271">
        <v>8.3299999999999999E-2</v>
      </c>
      <c r="H114" s="272">
        <v>180</v>
      </c>
      <c r="I114" s="272">
        <v>15</v>
      </c>
      <c r="J114" s="272">
        <v>0</v>
      </c>
      <c r="K114" s="269" t="s">
        <v>233</v>
      </c>
      <c r="L114" s="273">
        <v>46337</v>
      </c>
      <c r="M114" s="272">
        <v>0</v>
      </c>
      <c r="N114" s="272">
        <v>0</v>
      </c>
      <c r="O114" s="272">
        <v>15</v>
      </c>
      <c r="P114" s="269" t="s">
        <v>67</v>
      </c>
      <c r="Q114" s="265"/>
      <c r="R114" s="265"/>
      <c r="S114" s="265"/>
      <c r="T114" s="265"/>
      <c r="U114" s="265"/>
      <c r="V114" s="265"/>
      <c r="W114" s="265"/>
      <c r="X114" s="265"/>
      <c r="Y114" s="265"/>
      <c r="Z114" s="265"/>
      <c r="AA114" s="265"/>
      <c r="AB114" s="272" t="s">
        <v>164</v>
      </c>
      <c r="AC114" s="272" t="s">
        <v>304</v>
      </c>
      <c r="AD114" s="265"/>
      <c r="AE114" s="265"/>
      <c r="AF114" s="272" t="s">
        <v>558</v>
      </c>
      <c r="AG114" s="265"/>
      <c r="AH114" s="265"/>
      <c r="AI114" s="265"/>
      <c r="AJ114" s="265"/>
    </row>
    <row r="115" spans="1:36">
      <c r="A115" s="267" t="s">
        <v>234</v>
      </c>
      <c r="B115" s="268">
        <v>46046</v>
      </c>
      <c r="C115" s="269" t="s">
        <v>373</v>
      </c>
      <c r="D115" s="270" t="s">
        <v>566</v>
      </c>
      <c r="E115" s="269" t="s">
        <v>341</v>
      </c>
      <c r="F115" s="269" t="s">
        <v>232</v>
      </c>
      <c r="G115" s="271">
        <v>4.8399999999999999E-2</v>
      </c>
      <c r="H115" s="272">
        <v>186</v>
      </c>
      <c r="I115" s="272">
        <v>9</v>
      </c>
      <c r="J115" s="272">
        <v>0</v>
      </c>
      <c r="K115" s="269" t="s">
        <v>233</v>
      </c>
      <c r="L115" s="273">
        <v>46307</v>
      </c>
      <c r="M115" s="272">
        <v>0</v>
      </c>
      <c r="N115" s="272">
        <v>0</v>
      </c>
      <c r="O115" s="272">
        <v>9</v>
      </c>
      <c r="P115" s="269" t="s">
        <v>306</v>
      </c>
      <c r="Q115" s="265"/>
      <c r="R115" s="265"/>
      <c r="S115" s="265"/>
      <c r="T115" s="265"/>
      <c r="U115" s="265"/>
      <c r="V115" s="265"/>
      <c r="W115" s="265"/>
      <c r="X115" s="265"/>
      <c r="Y115" s="265"/>
      <c r="Z115" s="265"/>
      <c r="AA115" s="265"/>
      <c r="AB115" s="265"/>
      <c r="AC115" s="265"/>
      <c r="AD115" s="265"/>
      <c r="AE115" s="265"/>
      <c r="AF115" s="272" t="s">
        <v>326</v>
      </c>
      <c r="AG115" s="265"/>
      <c r="AH115" s="265"/>
      <c r="AI115" s="265"/>
      <c r="AJ115" s="265"/>
    </row>
    <row r="116" spans="1:36">
      <c r="A116" s="267" t="s">
        <v>234</v>
      </c>
      <c r="B116" s="268">
        <v>46046</v>
      </c>
      <c r="C116" s="269" t="s">
        <v>376</v>
      </c>
      <c r="D116" s="270" t="s">
        <v>553</v>
      </c>
      <c r="E116" s="269" t="s">
        <v>341</v>
      </c>
      <c r="F116" s="269" t="s">
        <v>232</v>
      </c>
      <c r="G116" s="271">
        <v>8.3299999999999999E-2</v>
      </c>
      <c r="H116" s="272">
        <v>180</v>
      </c>
      <c r="I116" s="272">
        <v>15</v>
      </c>
      <c r="J116" s="272">
        <v>0</v>
      </c>
      <c r="K116" s="269" t="s">
        <v>233</v>
      </c>
      <c r="L116" s="273">
        <v>46343</v>
      </c>
      <c r="M116" s="272">
        <v>0</v>
      </c>
      <c r="N116" s="272">
        <v>0</v>
      </c>
      <c r="O116" s="272">
        <v>19</v>
      </c>
      <c r="P116" s="269" t="s">
        <v>67</v>
      </c>
      <c r="Q116" s="265"/>
      <c r="R116" s="265"/>
      <c r="S116" s="265"/>
      <c r="T116" s="265"/>
      <c r="U116" s="265"/>
      <c r="V116" s="265"/>
      <c r="W116" s="265"/>
      <c r="X116" s="265"/>
      <c r="Y116" s="265"/>
      <c r="Z116" s="265"/>
      <c r="AA116" s="265"/>
      <c r="AB116" s="272" t="s">
        <v>164</v>
      </c>
      <c r="AC116" s="272" t="s">
        <v>304</v>
      </c>
      <c r="AD116" s="265"/>
      <c r="AE116" s="265"/>
      <c r="AF116" s="272" t="s">
        <v>558</v>
      </c>
      <c r="AG116" s="265"/>
      <c r="AH116" s="265"/>
      <c r="AI116" s="265"/>
      <c r="AJ116" s="265"/>
    </row>
    <row r="117" spans="1:36">
      <c r="A117" s="267" t="s">
        <v>234</v>
      </c>
      <c r="B117" s="268">
        <v>46046</v>
      </c>
      <c r="C117" s="269" t="s">
        <v>378</v>
      </c>
      <c r="D117" s="270" t="s">
        <v>567</v>
      </c>
      <c r="E117" s="269" t="s">
        <v>341</v>
      </c>
      <c r="F117" s="269" t="s">
        <v>232</v>
      </c>
      <c r="G117" s="271">
        <v>9.4399999999999998E-2</v>
      </c>
      <c r="H117" s="272">
        <v>180</v>
      </c>
      <c r="I117" s="272">
        <v>17</v>
      </c>
      <c r="J117" s="272">
        <v>0</v>
      </c>
      <c r="K117" s="269" t="s">
        <v>233</v>
      </c>
      <c r="L117" s="273">
        <v>46342</v>
      </c>
      <c r="M117" s="272">
        <v>0</v>
      </c>
      <c r="N117" s="272">
        <v>0</v>
      </c>
      <c r="O117" s="272">
        <v>17</v>
      </c>
      <c r="P117" s="269" t="s">
        <v>67</v>
      </c>
      <c r="Q117" s="265"/>
      <c r="R117" s="265"/>
      <c r="S117" s="265"/>
      <c r="T117" s="265"/>
      <c r="U117" s="265"/>
      <c r="V117" s="265"/>
      <c r="W117" s="265"/>
      <c r="X117" s="265"/>
      <c r="Y117" s="265"/>
      <c r="Z117" s="265"/>
      <c r="AA117" s="265"/>
      <c r="AB117" s="272" t="s">
        <v>300</v>
      </c>
      <c r="AC117" s="272" t="s">
        <v>299</v>
      </c>
      <c r="AD117" s="272" t="s">
        <v>436</v>
      </c>
      <c r="AE117" s="265"/>
      <c r="AF117" s="265"/>
      <c r="AG117" s="265"/>
      <c r="AH117" s="265"/>
      <c r="AI117" s="265"/>
      <c r="AJ117" s="265"/>
    </row>
    <row r="118" spans="1:36">
      <c r="A118" s="267" t="s">
        <v>234</v>
      </c>
      <c r="B118" s="268">
        <v>46046</v>
      </c>
      <c r="C118" s="269" t="s">
        <v>366</v>
      </c>
      <c r="D118" s="270" t="s">
        <v>568</v>
      </c>
      <c r="E118" s="269" t="s">
        <v>341</v>
      </c>
      <c r="F118" s="269" t="s">
        <v>232</v>
      </c>
      <c r="G118" s="271">
        <v>5.5599999999999997E-2</v>
      </c>
      <c r="H118" s="272">
        <v>180</v>
      </c>
      <c r="I118" s="272">
        <v>10</v>
      </c>
      <c r="J118" s="272">
        <v>0</v>
      </c>
      <c r="K118" s="269" t="s">
        <v>233</v>
      </c>
      <c r="L118" s="273">
        <v>46343</v>
      </c>
      <c r="M118" s="272">
        <v>0</v>
      </c>
      <c r="N118" s="272">
        <v>0</v>
      </c>
      <c r="O118" s="272">
        <v>10</v>
      </c>
      <c r="P118" s="269" t="s">
        <v>307</v>
      </c>
      <c r="Q118" s="265"/>
      <c r="R118" s="265"/>
      <c r="S118" s="265"/>
      <c r="T118" s="265"/>
      <c r="U118" s="265"/>
      <c r="V118" s="265"/>
      <c r="W118" s="265"/>
      <c r="X118" s="265"/>
      <c r="Y118" s="265"/>
      <c r="Z118" s="272" t="s">
        <v>174</v>
      </c>
      <c r="AA118" s="265"/>
      <c r="AB118" s="265"/>
      <c r="AC118" s="272" t="s">
        <v>302</v>
      </c>
      <c r="AD118" s="272" t="s">
        <v>508</v>
      </c>
      <c r="AE118" s="265"/>
      <c r="AF118" s="265"/>
      <c r="AG118" s="265"/>
      <c r="AH118" s="265"/>
      <c r="AI118" s="265"/>
      <c r="AJ118" s="265"/>
    </row>
    <row r="119" spans="1:36">
      <c r="A119" s="267" t="s">
        <v>236</v>
      </c>
      <c r="B119" s="268">
        <v>46047</v>
      </c>
      <c r="C119" s="269" t="s">
        <v>376</v>
      </c>
      <c r="D119" s="270" t="s">
        <v>561</v>
      </c>
      <c r="E119" s="269" t="s">
        <v>341</v>
      </c>
      <c r="F119" s="269" t="s">
        <v>232</v>
      </c>
      <c r="G119" s="271">
        <v>6.6699999999999995E-2</v>
      </c>
      <c r="H119" s="272">
        <v>180</v>
      </c>
      <c r="I119" s="272">
        <v>12</v>
      </c>
      <c r="J119" s="272">
        <v>0</v>
      </c>
      <c r="K119" s="269" t="s">
        <v>233</v>
      </c>
      <c r="L119" s="273">
        <v>46335</v>
      </c>
      <c r="M119" s="272">
        <v>0</v>
      </c>
      <c r="N119" s="272">
        <v>0</v>
      </c>
      <c r="O119" s="272">
        <v>13</v>
      </c>
      <c r="P119" s="269" t="s">
        <v>302</v>
      </c>
      <c r="Q119" s="265"/>
      <c r="R119" s="265"/>
      <c r="S119" s="265"/>
      <c r="T119" s="265"/>
      <c r="U119" s="265"/>
      <c r="V119" s="265"/>
      <c r="W119" s="265"/>
      <c r="X119" s="265"/>
      <c r="Y119" s="265"/>
      <c r="Z119" s="265"/>
      <c r="AA119" s="265"/>
      <c r="AB119" s="265"/>
      <c r="AC119" s="272" t="s">
        <v>305</v>
      </c>
      <c r="AD119" s="272" t="s">
        <v>436</v>
      </c>
      <c r="AE119" s="265"/>
      <c r="AF119" s="265"/>
      <c r="AG119" s="265"/>
      <c r="AH119" s="265"/>
      <c r="AI119" s="265"/>
      <c r="AJ119" s="265"/>
    </row>
    <row r="120" spans="1:36">
      <c r="A120" s="267" t="s">
        <v>236</v>
      </c>
      <c r="B120" s="268">
        <v>46047</v>
      </c>
      <c r="C120" s="269" t="s">
        <v>370</v>
      </c>
      <c r="D120" s="270" t="s">
        <v>553</v>
      </c>
      <c r="E120" s="269" t="s">
        <v>341</v>
      </c>
      <c r="F120" s="269" t="s">
        <v>232</v>
      </c>
      <c r="G120" s="271">
        <v>0</v>
      </c>
      <c r="H120" s="272">
        <v>180</v>
      </c>
      <c r="I120" s="272">
        <v>0</v>
      </c>
      <c r="J120" s="272">
        <v>0</v>
      </c>
      <c r="K120" s="269" t="s">
        <v>233</v>
      </c>
      <c r="L120" s="273" t="s">
        <v>66</v>
      </c>
      <c r="M120" s="272">
        <v>0</v>
      </c>
      <c r="N120" s="272">
        <v>0</v>
      </c>
      <c r="O120" s="272">
        <v>0</v>
      </c>
      <c r="P120" s="269" t="s">
        <v>292</v>
      </c>
      <c r="Q120" s="265"/>
      <c r="R120" s="265"/>
      <c r="S120" s="265"/>
      <c r="T120" s="265"/>
      <c r="U120" s="265"/>
      <c r="V120" s="265"/>
      <c r="W120" s="265"/>
      <c r="X120" s="265"/>
      <c r="Y120" s="265"/>
      <c r="Z120" s="265"/>
      <c r="AA120" s="265"/>
      <c r="AB120" s="265"/>
      <c r="AC120" s="265"/>
      <c r="AD120" s="265"/>
      <c r="AE120" s="265"/>
      <c r="AF120" s="265"/>
      <c r="AG120" s="265"/>
      <c r="AH120" s="265"/>
      <c r="AI120" s="265"/>
      <c r="AJ120" s="265"/>
    </row>
    <row r="121" spans="1:36">
      <c r="A121" s="267" t="s">
        <v>236</v>
      </c>
      <c r="B121" s="268">
        <v>46047</v>
      </c>
      <c r="C121" s="269" t="s">
        <v>433</v>
      </c>
      <c r="D121" s="270" t="s">
        <v>572</v>
      </c>
      <c r="E121" s="269" t="s">
        <v>341</v>
      </c>
      <c r="F121" s="269" t="s">
        <v>232</v>
      </c>
      <c r="G121" s="271">
        <v>4.4400000000000002E-2</v>
      </c>
      <c r="H121" s="272">
        <v>180</v>
      </c>
      <c r="I121" s="272">
        <v>8</v>
      </c>
      <c r="J121" s="272">
        <v>0</v>
      </c>
      <c r="K121" s="269" t="s">
        <v>233</v>
      </c>
      <c r="L121" s="273">
        <v>46343</v>
      </c>
      <c r="M121" s="272">
        <v>0</v>
      </c>
      <c r="N121" s="272">
        <v>0</v>
      </c>
      <c r="O121" s="272">
        <v>8</v>
      </c>
      <c r="P121" s="269" t="s">
        <v>430</v>
      </c>
      <c r="Q121" s="265"/>
      <c r="R121" s="265"/>
      <c r="S121" s="265"/>
      <c r="T121" s="265"/>
      <c r="U121" s="265"/>
      <c r="V121" s="265"/>
      <c r="W121" s="265"/>
      <c r="X121" s="265"/>
      <c r="Y121" s="265"/>
      <c r="Z121" s="265"/>
      <c r="AA121" s="265"/>
      <c r="AB121" s="265"/>
      <c r="AC121" s="272" t="s">
        <v>304</v>
      </c>
      <c r="AD121" s="272" t="s">
        <v>431</v>
      </c>
      <c r="AE121" s="265"/>
      <c r="AF121" s="265"/>
      <c r="AG121" s="265"/>
      <c r="AH121" s="265"/>
      <c r="AI121" s="265"/>
      <c r="AJ121" s="265"/>
    </row>
    <row r="122" spans="1:36">
      <c r="A122" s="267" t="s">
        <v>236</v>
      </c>
      <c r="B122" s="268">
        <v>46047</v>
      </c>
      <c r="C122" s="269" t="s">
        <v>378</v>
      </c>
      <c r="D122" s="270" t="s">
        <v>573</v>
      </c>
      <c r="E122" s="269" t="s">
        <v>341</v>
      </c>
      <c r="F122" s="269" t="s">
        <v>232</v>
      </c>
      <c r="G122" s="271">
        <v>4.4400000000000002E-2</v>
      </c>
      <c r="H122" s="272">
        <v>180</v>
      </c>
      <c r="I122" s="272">
        <v>8</v>
      </c>
      <c r="J122" s="272">
        <v>0</v>
      </c>
      <c r="K122" s="269" t="s">
        <v>233</v>
      </c>
      <c r="L122" s="273">
        <v>46344</v>
      </c>
      <c r="M122" s="272">
        <v>0</v>
      </c>
      <c r="N122" s="272">
        <v>0</v>
      </c>
      <c r="O122" s="272">
        <v>8</v>
      </c>
      <c r="P122" s="269" t="s">
        <v>306</v>
      </c>
      <c r="Q122" s="265"/>
      <c r="R122" s="265"/>
      <c r="S122" s="265"/>
      <c r="T122" s="265"/>
      <c r="U122" s="265"/>
      <c r="V122" s="265"/>
      <c r="W122" s="265"/>
      <c r="X122" s="265"/>
      <c r="Y122" s="265"/>
      <c r="Z122" s="265"/>
      <c r="AA122" s="265"/>
      <c r="AB122" s="265"/>
      <c r="AC122" s="272" t="s">
        <v>298</v>
      </c>
      <c r="AD122" s="272" t="s">
        <v>436</v>
      </c>
      <c r="AE122" s="265"/>
      <c r="AF122" s="265"/>
      <c r="AG122" s="265"/>
      <c r="AH122" s="265"/>
      <c r="AI122" s="265"/>
      <c r="AJ122" s="265"/>
    </row>
    <row r="123" spans="1:36">
      <c r="A123" s="267" t="s">
        <v>236</v>
      </c>
      <c r="B123" s="268">
        <v>46047</v>
      </c>
      <c r="C123" s="269" t="s">
        <v>380</v>
      </c>
      <c r="D123" s="270" t="s">
        <v>574</v>
      </c>
      <c r="E123" s="269" t="s">
        <v>341</v>
      </c>
      <c r="F123" s="269" t="s">
        <v>232</v>
      </c>
      <c r="G123" s="271">
        <v>3.3300000000000003E-2</v>
      </c>
      <c r="H123" s="272">
        <v>180</v>
      </c>
      <c r="I123" s="272">
        <v>6</v>
      </c>
      <c r="J123" s="272">
        <v>0</v>
      </c>
      <c r="K123" s="269" t="s">
        <v>233</v>
      </c>
      <c r="L123" s="273">
        <v>46341</v>
      </c>
      <c r="M123" s="272">
        <v>0</v>
      </c>
      <c r="N123" s="272">
        <v>0</v>
      </c>
      <c r="O123" s="272">
        <v>6</v>
      </c>
      <c r="P123" s="269" t="s">
        <v>299</v>
      </c>
      <c r="Q123" s="265"/>
      <c r="R123" s="265"/>
      <c r="S123" s="265"/>
      <c r="T123" s="265"/>
      <c r="U123" s="265"/>
      <c r="V123" s="265"/>
      <c r="W123" s="265"/>
      <c r="X123" s="265"/>
      <c r="Y123" s="265"/>
      <c r="Z123" s="265"/>
      <c r="AA123" s="265"/>
      <c r="AB123" s="265"/>
      <c r="AC123" s="265"/>
      <c r="AD123" s="272" t="s">
        <v>436</v>
      </c>
      <c r="AE123" s="265"/>
      <c r="AF123" s="265"/>
      <c r="AG123" s="265"/>
      <c r="AH123" s="265"/>
      <c r="AI123" s="265"/>
      <c r="AJ123" s="265"/>
    </row>
    <row r="124" spans="1:36">
      <c r="A124" s="267" t="s">
        <v>240</v>
      </c>
      <c r="B124" s="268">
        <v>46048</v>
      </c>
      <c r="C124" s="269" t="s">
        <v>376</v>
      </c>
      <c r="D124" s="270" t="s">
        <v>575</v>
      </c>
      <c r="E124" s="269" t="s">
        <v>341</v>
      </c>
      <c r="F124" s="269" t="s">
        <v>232</v>
      </c>
      <c r="G124" s="271">
        <v>6.1100000000000002E-2</v>
      </c>
      <c r="H124" s="272">
        <v>180</v>
      </c>
      <c r="I124" s="272">
        <v>11</v>
      </c>
      <c r="J124" s="272">
        <v>0</v>
      </c>
      <c r="K124" s="269" t="s">
        <v>233</v>
      </c>
      <c r="L124" s="273">
        <v>46335</v>
      </c>
      <c r="M124" s="272">
        <v>0</v>
      </c>
      <c r="N124" s="272">
        <v>0</v>
      </c>
      <c r="O124" s="272">
        <v>14</v>
      </c>
      <c r="P124" s="269" t="s">
        <v>298</v>
      </c>
      <c r="Q124" s="265"/>
      <c r="R124" s="265"/>
      <c r="S124" s="265"/>
      <c r="T124" s="265"/>
      <c r="U124" s="265"/>
      <c r="V124" s="265"/>
      <c r="W124" s="265"/>
      <c r="X124" s="265"/>
      <c r="Y124" s="265"/>
      <c r="Z124" s="265"/>
      <c r="AA124" s="265"/>
      <c r="AB124" s="265"/>
      <c r="AC124" s="265"/>
      <c r="AD124" s="272" t="s">
        <v>436</v>
      </c>
      <c r="AE124" s="265"/>
      <c r="AF124" s="272" t="s">
        <v>591</v>
      </c>
      <c r="AG124" s="265"/>
      <c r="AH124" s="265"/>
      <c r="AI124" s="265"/>
      <c r="AJ124" s="265"/>
    </row>
    <row r="125" spans="1:36">
      <c r="A125" s="267" t="s">
        <v>240</v>
      </c>
      <c r="B125" s="268">
        <v>46048</v>
      </c>
      <c r="C125" s="269" t="s">
        <v>378</v>
      </c>
      <c r="D125" s="270" t="s">
        <v>563</v>
      </c>
      <c r="E125" s="269" t="s">
        <v>341</v>
      </c>
      <c r="F125" s="269" t="s">
        <v>232</v>
      </c>
      <c r="G125" s="271">
        <v>0.05</v>
      </c>
      <c r="H125" s="272">
        <v>180</v>
      </c>
      <c r="I125" s="272">
        <v>9</v>
      </c>
      <c r="J125" s="272">
        <v>0</v>
      </c>
      <c r="K125" s="269" t="s">
        <v>233</v>
      </c>
      <c r="L125" s="273">
        <v>46302</v>
      </c>
      <c r="M125" s="272">
        <v>0</v>
      </c>
      <c r="N125" s="272">
        <v>0</v>
      </c>
      <c r="O125" s="272">
        <v>9</v>
      </c>
      <c r="P125" s="269" t="s">
        <v>307</v>
      </c>
      <c r="Q125" s="265"/>
      <c r="R125" s="265"/>
      <c r="S125" s="265"/>
      <c r="T125" s="265"/>
      <c r="U125" s="265"/>
      <c r="V125" s="265"/>
      <c r="W125" s="265"/>
      <c r="X125" s="265"/>
      <c r="Y125" s="265"/>
      <c r="Z125" s="265"/>
      <c r="AA125" s="265"/>
      <c r="AB125" s="265"/>
      <c r="AC125" s="265"/>
      <c r="AD125" s="272" t="s">
        <v>549</v>
      </c>
      <c r="AE125" s="265"/>
      <c r="AF125" s="265"/>
      <c r="AG125" s="265"/>
      <c r="AH125" s="265"/>
      <c r="AI125" s="265"/>
      <c r="AJ125" s="265"/>
    </row>
    <row r="126" spans="1:36">
      <c r="A126" s="267" t="s">
        <v>240</v>
      </c>
      <c r="B126" s="268">
        <v>46048</v>
      </c>
      <c r="C126" s="269" t="s">
        <v>433</v>
      </c>
      <c r="D126" s="270" t="s">
        <v>334</v>
      </c>
      <c r="E126" s="269" t="s">
        <v>341</v>
      </c>
      <c r="F126" s="269" t="s">
        <v>232</v>
      </c>
      <c r="G126" s="271">
        <v>4.4400000000000002E-2</v>
      </c>
      <c r="H126" s="272">
        <v>180</v>
      </c>
      <c r="I126" s="272">
        <v>8</v>
      </c>
      <c r="J126" s="272">
        <v>0</v>
      </c>
      <c r="K126" s="269" t="s">
        <v>233</v>
      </c>
      <c r="L126" s="273">
        <v>46344</v>
      </c>
      <c r="M126" s="272">
        <v>0</v>
      </c>
      <c r="N126" s="272">
        <v>0</v>
      </c>
      <c r="O126" s="272">
        <v>8</v>
      </c>
      <c r="P126" s="269" t="s">
        <v>305</v>
      </c>
      <c r="Q126" s="265"/>
      <c r="R126" s="265"/>
      <c r="S126" s="265"/>
      <c r="T126" s="265"/>
      <c r="U126" s="265"/>
      <c r="V126" s="265"/>
      <c r="W126" s="265"/>
      <c r="X126" s="265"/>
      <c r="Y126" s="265"/>
      <c r="Z126" s="272" t="s">
        <v>174</v>
      </c>
      <c r="AA126" s="265"/>
      <c r="AB126" s="265"/>
      <c r="AC126" s="272" t="s">
        <v>302</v>
      </c>
      <c r="AD126" s="272" t="s">
        <v>436</v>
      </c>
      <c r="AE126" s="265"/>
      <c r="AF126" s="265"/>
      <c r="AG126" s="265"/>
      <c r="AH126" s="265"/>
      <c r="AI126" s="265"/>
      <c r="AJ126" s="265"/>
    </row>
    <row r="127" spans="1:36">
      <c r="A127" s="267" t="s">
        <v>242</v>
      </c>
      <c r="B127" s="268">
        <v>46049</v>
      </c>
      <c r="C127" s="269" t="s">
        <v>429</v>
      </c>
      <c r="D127" s="270" t="s">
        <v>576</v>
      </c>
      <c r="E127" s="269" t="s">
        <v>341</v>
      </c>
      <c r="F127" s="269" t="s">
        <v>232</v>
      </c>
      <c r="G127" s="271">
        <v>1.11E-2</v>
      </c>
      <c r="H127" s="272">
        <v>180</v>
      </c>
      <c r="I127" s="272">
        <v>2</v>
      </c>
      <c r="J127" s="272">
        <v>0</v>
      </c>
      <c r="K127" s="269" t="s">
        <v>233</v>
      </c>
      <c r="L127" s="273">
        <v>46334</v>
      </c>
      <c r="M127" s="272">
        <v>0</v>
      </c>
      <c r="N127" s="272">
        <v>0</v>
      </c>
      <c r="O127" s="272">
        <v>5</v>
      </c>
      <c r="P127" s="269" t="s">
        <v>368</v>
      </c>
      <c r="Q127" s="265"/>
      <c r="R127" s="265"/>
      <c r="S127" s="265"/>
      <c r="T127" s="265"/>
      <c r="U127" s="265"/>
      <c r="V127" s="265"/>
      <c r="W127" s="265"/>
      <c r="X127" s="265"/>
      <c r="Y127" s="265"/>
      <c r="Z127" s="265"/>
      <c r="AA127" s="265"/>
      <c r="AB127" s="265"/>
      <c r="AC127" s="265"/>
      <c r="AD127" s="272" t="s">
        <v>367</v>
      </c>
      <c r="AE127" s="265"/>
      <c r="AF127" s="265"/>
      <c r="AG127" s="265"/>
      <c r="AH127" s="265"/>
      <c r="AI127" s="265"/>
      <c r="AJ127" s="265"/>
    </row>
    <row r="128" spans="1:36">
      <c r="A128" s="267" t="s">
        <v>242</v>
      </c>
      <c r="B128" s="268">
        <v>46049</v>
      </c>
      <c r="C128" s="269" t="s">
        <v>380</v>
      </c>
      <c r="D128" s="270" t="s">
        <v>231</v>
      </c>
      <c r="E128" s="269" t="s">
        <v>341</v>
      </c>
      <c r="F128" s="269" t="s">
        <v>232</v>
      </c>
      <c r="G128" s="271">
        <v>1.67E-2</v>
      </c>
      <c r="H128" s="272">
        <v>180</v>
      </c>
      <c r="I128" s="272">
        <v>3</v>
      </c>
      <c r="J128" s="272">
        <v>0</v>
      </c>
      <c r="K128" s="269" t="s">
        <v>233</v>
      </c>
      <c r="L128" s="273">
        <v>46321</v>
      </c>
      <c r="M128" s="272">
        <v>0</v>
      </c>
      <c r="N128" s="272">
        <v>0</v>
      </c>
      <c r="O128" s="272">
        <v>3</v>
      </c>
      <c r="P128" s="269" t="s">
        <v>446</v>
      </c>
      <c r="Q128" s="265"/>
      <c r="R128" s="265"/>
      <c r="S128" s="265"/>
      <c r="T128" s="265"/>
      <c r="U128" s="265"/>
      <c r="V128" s="265"/>
      <c r="W128" s="265"/>
      <c r="X128" s="265"/>
      <c r="Y128" s="265"/>
      <c r="Z128" s="265"/>
      <c r="AA128" s="265"/>
      <c r="AB128" s="265"/>
      <c r="AC128" s="265"/>
      <c r="AD128" s="272" t="s">
        <v>446</v>
      </c>
      <c r="AE128" s="265"/>
      <c r="AF128" s="265"/>
      <c r="AG128" s="265"/>
      <c r="AH128" s="265"/>
      <c r="AI128" s="265"/>
      <c r="AJ128" s="265"/>
    </row>
    <row r="129" spans="1:36">
      <c r="A129" s="267" t="s">
        <v>242</v>
      </c>
      <c r="B129" s="268">
        <v>46049</v>
      </c>
      <c r="C129" s="269" t="s">
        <v>378</v>
      </c>
      <c r="D129" s="270" t="s">
        <v>563</v>
      </c>
      <c r="E129" s="269" t="s">
        <v>341</v>
      </c>
      <c r="F129" s="269" t="s">
        <v>232</v>
      </c>
      <c r="G129" s="271">
        <v>2.7799999999999998E-2</v>
      </c>
      <c r="H129" s="272">
        <v>180</v>
      </c>
      <c r="I129" s="272">
        <v>5</v>
      </c>
      <c r="J129" s="272">
        <v>0</v>
      </c>
      <c r="K129" s="269" t="s">
        <v>233</v>
      </c>
      <c r="L129" s="273">
        <v>46343</v>
      </c>
      <c r="M129" s="272">
        <v>0</v>
      </c>
      <c r="N129" s="272">
        <v>0</v>
      </c>
      <c r="O129" s="272">
        <v>5</v>
      </c>
      <c r="P129" s="269" t="s">
        <v>430</v>
      </c>
      <c r="Q129" s="265"/>
      <c r="R129" s="265"/>
      <c r="S129" s="265"/>
      <c r="T129" s="265"/>
      <c r="U129" s="265"/>
      <c r="V129" s="265"/>
      <c r="W129" s="265"/>
      <c r="X129" s="265"/>
      <c r="Y129" s="265"/>
      <c r="Z129" s="265"/>
      <c r="AA129" s="265"/>
      <c r="AB129" s="265"/>
      <c r="AC129" s="265"/>
      <c r="AD129" s="272" t="s">
        <v>431</v>
      </c>
      <c r="AE129" s="265"/>
      <c r="AF129" s="265"/>
      <c r="AG129" s="265"/>
      <c r="AH129" s="265"/>
      <c r="AI129" s="265"/>
      <c r="AJ129" s="265"/>
    </row>
    <row r="130" spans="1:36">
      <c r="A130" s="267" t="s">
        <v>242</v>
      </c>
      <c r="B130" s="268">
        <v>46049</v>
      </c>
      <c r="C130" s="269" t="s">
        <v>433</v>
      </c>
      <c r="D130" s="270" t="s">
        <v>577</v>
      </c>
      <c r="E130" s="269" t="s">
        <v>341</v>
      </c>
      <c r="F130" s="269" t="s">
        <v>232</v>
      </c>
      <c r="G130" s="271">
        <v>0</v>
      </c>
      <c r="H130" s="272">
        <v>180</v>
      </c>
      <c r="I130" s="272">
        <v>0</v>
      </c>
      <c r="J130" s="272">
        <v>0</v>
      </c>
      <c r="K130" s="269" t="s">
        <v>233</v>
      </c>
      <c r="L130" s="273" t="s">
        <v>66</v>
      </c>
      <c r="M130" s="272">
        <v>0</v>
      </c>
      <c r="N130" s="272">
        <v>0</v>
      </c>
      <c r="O130" s="272">
        <v>0</v>
      </c>
      <c r="P130" s="269" t="s">
        <v>436</v>
      </c>
      <c r="Q130" s="265"/>
      <c r="R130" s="265"/>
      <c r="S130" s="265"/>
      <c r="T130" s="265"/>
      <c r="U130" s="265"/>
      <c r="V130" s="265"/>
      <c r="W130" s="265"/>
      <c r="X130" s="265"/>
      <c r="Y130" s="265"/>
      <c r="Z130" s="265"/>
      <c r="AA130" s="265"/>
      <c r="AB130" s="265"/>
      <c r="AC130" s="265"/>
      <c r="AD130" s="265"/>
      <c r="AE130" s="265"/>
      <c r="AF130" s="265"/>
      <c r="AG130" s="265"/>
      <c r="AH130" s="265"/>
      <c r="AI130" s="265"/>
      <c r="AJ130" s="265"/>
    </row>
    <row r="131" spans="1:36">
      <c r="A131" s="267" t="s">
        <v>242</v>
      </c>
      <c r="B131" s="268">
        <v>46049</v>
      </c>
      <c r="C131" s="269" t="s">
        <v>366</v>
      </c>
      <c r="D131" s="270" t="s">
        <v>578</v>
      </c>
      <c r="E131" s="269" t="s">
        <v>341</v>
      </c>
      <c r="F131" s="269" t="s">
        <v>232</v>
      </c>
      <c r="G131" s="271">
        <v>0.05</v>
      </c>
      <c r="H131" s="272">
        <v>180</v>
      </c>
      <c r="I131" s="272">
        <v>9</v>
      </c>
      <c r="J131" s="272">
        <v>0</v>
      </c>
      <c r="K131" s="269" t="s">
        <v>233</v>
      </c>
      <c r="L131" s="273">
        <v>46335</v>
      </c>
      <c r="M131" s="272">
        <v>0</v>
      </c>
      <c r="N131" s="272">
        <v>0</v>
      </c>
      <c r="O131" s="272">
        <v>9</v>
      </c>
      <c r="P131" s="269" t="s">
        <v>305</v>
      </c>
      <c r="Q131" s="265"/>
      <c r="R131" s="265"/>
      <c r="S131" s="265"/>
      <c r="T131" s="265"/>
      <c r="U131" s="265"/>
      <c r="V131" s="265"/>
      <c r="W131" s="265"/>
      <c r="X131" s="265"/>
      <c r="Y131" s="265"/>
      <c r="Z131" s="272" t="s">
        <v>569</v>
      </c>
      <c r="AA131" s="265"/>
      <c r="AB131" s="265"/>
      <c r="AC131" s="265"/>
      <c r="AD131" s="272" t="s">
        <v>552</v>
      </c>
      <c r="AE131" s="265"/>
      <c r="AF131" s="265"/>
      <c r="AG131" s="265"/>
      <c r="AH131" s="265"/>
      <c r="AI131" s="265"/>
      <c r="AJ131" s="265"/>
    </row>
    <row r="132" spans="1:36">
      <c r="A132" s="267" t="s">
        <v>242</v>
      </c>
      <c r="B132" s="268">
        <v>46049</v>
      </c>
      <c r="C132" s="269" t="s">
        <v>376</v>
      </c>
      <c r="D132" s="270" t="s">
        <v>579</v>
      </c>
      <c r="E132" s="269" t="s">
        <v>341</v>
      </c>
      <c r="F132" s="269" t="s">
        <v>232</v>
      </c>
      <c r="G132" s="271">
        <v>3.3300000000000003E-2</v>
      </c>
      <c r="H132" s="272">
        <v>180</v>
      </c>
      <c r="I132" s="272">
        <v>6</v>
      </c>
      <c r="J132" s="272">
        <v>0</v>
      </c>
      <c r="K132" s="269" t="s">
        <v>233</v>
      </c>
      <c r="L132" s="273">
        <v>46344</v>
      </c>
      <c r="M132" s="272">
        <v>0</v>
      </c>
      <c r="N132" s="272">
        <v>0</v>
      </c>
      <c r="O132" s="272">
        <v>6</v>
      </c>
      <c r="P132" s="269" t="s">
        <v>299</v>
      </c>
      <c r="Q132" s="265"/>
      <c r="R132" s="265"/>
      <c r="S132" s="265"/>
      <c r="T132" s="265"/>
      <c r="U132" s="265"/>
      <c r="V132" s="265"/>
      <c r="W132" s="265"/>
      <c r="X132" s="265"/>
      <c r="Y132" s="265"/>
      <c r="Z132" s="265"/>
      <c r="AA132" s="265"/>
      <c r="AB132" s="265"/>
      <c r="AC132" s="265"/>
      <c r="AD132" s="272" t="s">
        <v>436</v>
      </c>
      <c r="AE132" s="265"/>
      <c r="AF132" s="265"/>
      <c r="AG132" s="265"/>
      <c r="AH132" s="265"/>
      <c r="AI132" s="265"/>
      <c r="AJ132" s="265"/>
    </row>
    <row r="133" spans="1:36">
      <c r="A133" s="267" t="s">
        <v>315</v>
      </c>
      <c r="B133" s="268">
        <v>46050</v>
      </c>
      <c r="C133" s="269" t="s">
        <v>366</v>
      </c>
      <c r="D133" s="270" t="s">
        <v>580</v>
      </c>
      <c r="E133" s="269" t="s">
        <v>341</v>
      </c>
      <c r="F133" s="269" t="s">
        <v>232</v>
      </c>
      <c r="G133" s="271">
        <v>2.7799999999999998E-2</v>
      </c>
      <c r="H133" s="272">
        <v>180</v>
      </c>
      <c r="I133" s="272">
        <v>5</v>
      </c>
      <c r="J133" s="272">
        <v>0</v>
      </c>
      <c r="K133" s="269" t="s">
        <v>233</v>
      </c>
      <c r="L133" s="273">
        <v>46325</v>
      </c>
      <c r="M133" s="272">
        <v>0</v>
      </c>
      <c r="N133" s="272">
        <v>0</v>
      </c>
      <c r="O133" s="272">
        <v>7</v>
      </c>
      <c r="P133" s="269" t="s">
        <v>430</v>
      </c>
      <c r="Q133" s="265"/>
      <c r="R133" s="265"/>
      <c r="S133" s="265"/>
      <c r="T133" s="265"/>
      <c r="U133" s="265"/>
      <c r="V133" s="265"/>
      <c r="W133" s="265"/>
      <c r="X133" s="265"/>
      <c r="Y133" s="265"/>
      <c r="Z133" s="265"/>
      <c r="AA133" s="265"/>
      <c r="AB133" s="265"/>
      <c r="AC133" s="265"/>
      <c r="AD133" s="272" t="s">
        <v>431</v>
      </c>
      <c r="AE133" s="265"/>
      <c r="AF133" s="265"/>
      <c r="AG133" s="265"/>
      <c r="AH133" s="265"/>
      <c r="AI133" s="265"/>
      <c r="AJ133" s="265"/>
    </row>
    <row r="134" spans="1:36">
      <c r="A134" s="267" t="s">
        <v>315</v>
      </c>
      <c r="B134" s="268">
        <v>46050</v>
      </c>
      <c r="C134" s="269" t="s">
        <v>376</v>
      </c>
      <c r="D134" s="270" t="s">
        <v>581</v>
      </c>
      <c r="E134" s="269" t="s">
        <v>341</v>
      </c>
      <c r="F134" s="269" t="s">
        <v>232</v>
      </c>
      <c r="G134" s="271">
        <v>0</v>
      </c>
      <c r="H134" s="272">
        <v>180</v>
      </c>
      <c r="I134" s="272">
        <v>0</v>
      </c>
      <c r="J134" s="272">
        <v>0</v>
      </c>
      <c r="K134" s="269" t="s">
        <v>233</v>
      </c>
      <c r="L134" s="273" t="s">
        <v>66</v>
      </c>
      <c r="M134" s="272">
        <v>0</v>
      </c>
      <c r="N134" s="272">
        <v>0</v>
      </c>
      <c r="O134" s="272">
        <v>0</v>
      </c>
      <c r="P134" s="269" t="s">
        <v>436</v>
      </c>
      <c r="Q134" s="265"/>
      <c r="R134" s="265"/>
      <c r="S134" s="265"/>
      <c r="T134" s="265"/>
      <c r="U134" s="265"/>
      <c r="V134" s="265"/>
      <c r="W134" s="265"/>
      <c r="X134" s="265"/>
      <c r="Y134" s="265"/>
      <c r="Z134" s="265"/>
      <c r="AA134" s="265"/>
      <c r="AB134" s="265"/>
      <c r="AC134" s="265"/>
      <c r="AD134" s="265"/>
      <c r="AE134" s="265"/>
      <c r="AF134" s="265"/>
      <c r="AG134" s="265"/>
      <c r="AH134" s="265"/>
      <c r="AI134" s="265"/>
      <c r="AJ134" s="265"/>
    </row>
    <row r="135" spans="1:36">
      <c r="A135" s="267" t="s">
        <v>315</v>
      </c>
      <c r="B135" s="268">
        <v>46050</v>
      </c>
      <c r="C135" s="269" t="s">
        <v>433</v>
      </c>
      <c r="D135" s="270" t="s">
        <v>582</v>
      </c>
      <c r="E135" s="269" t="s">
        <v>341</v>
      </c>
      <c r="F135" s="269" t="s">
        <v>232</v>
      </c>
      <c r="G135" s="271">
        <v>0</v>
      </c>
      <c r="H135" s="272">
        <v>180</v>
      </c>
      <c r="I135" s="272">
        <v>0</v>
      </c>
      <c r="J135" s="272">
        <v>0</v>
      </c>
      <c r="K135" s="269" t="s">
        <v>233</v>
      </c>
      <c r="L135" s="273" t="s">
        <v>66</v>
      </c>
      <c r="M135" s="272">
        <v>0</v>
      </c>
      <c r="N135" s="272">
        <v>0</v>
      </c>
      <c r="O135" s="272">
        <v>0</v>
      </c>
      <c r="P135" s="269" t="s">
        <v>436</v>
      </c>
      <c r="Q135" s="265"/>
      <c r="R135" s="265"/>
      <c r="S135" s="265"/>
      <c r="T135" s="265"/>
      <c r="U135" s="265"/>
      <c r="V135" s="265"/>
      <c r="W135" s="265"/>
      <c r="X135" s="265"/>
      <c r="Y135" s="265"/>
      <c r="Z135" s="265"/>
      <c r="AA135" s="265"/>
      <c r="AB135" s="265"/>
      <c r="AC135" s="265"/>
      <c r="AD135" s="265"/>
      <c r="AE135" s="265"/>
      <c r="AF135" s="265"/>
      <c r="AG135" s="265"/>
      <c r="AH135" s="265"/>
      <c r="AI135" s="265"/>
      <c r="AJ135" s="265"/>
    </row>
    <row r="136" spans="1:36">
      <c r="A136" s="267" t="s">
        <v>315</v>
      </c>
      <c r="B136" s="268">
        <v>46050</v>
      </c>
      <c r="C136" s="269" t="s">
        <v>378</v>
      </c>
      <c r="D136" s="270" t="s">
        <v>563</v>
      </c>
      <c r="E136" s="269" t="s">
        <v>341</v>
      </c>
      <c r="F136" s="269" t="s">
        <v>232</v>
      </c>
      <c r="G136" s="271">
        <v>2.2200000000000001E-2</v>
      </c>
      <c r="H136" s="272">
        <v>180</v>
      </c>
      <c r="I136" s="272">
        <v>4</v>
      </c>
      <c r="J136" s="272">
        <v>0</v>
      </c>
      <c r="K136" s="269" t="s">
        <v>233</v>
      </c>
      <c r="L136" s="273">
        <v>46323</v>
      </c>
      <c r="M136" s="272">
        <v>0</v>
      </c>
      <c r="N136" s="272">
        <v>0</v>
      </c>
      <c r="O136" s="272">
        <v>4</v>
      </c>
      <c r="P136" s="269" t="s">
        <v>367</v>
      </c>
      <c r="Q136" s="265"/>
      <c r="R136" s="265"/>
      <c r="S136" s="265"/>
      <c r="T136" s="265"/>
      <c r="U136" s="265"/>
      <c r="V136" s="265"/>
      <c r="W136" s="265"/>
      <c r="X136" s="265"/>
      <c r="Y136" s="265"/>
      <c r="Z136" s="265"/>
      <c r="AA136" s="265"/>
      <c r="AB136" s="265"/>
      <c r="AC136" s="265"/>
      <c r="AD136" s="272" t="s">
        <v>368</v>
      </c>
      <c r="AE136" s="265"/>
      <c r="AF136" s="265"/>
      <c r="AG136" s="265"/>
      <c r="AH136" s="265"/>
      <c r="AI136" s="265"/>
      <c r="AJ136" s="265"/>
    </row>
    <row r="137" spans="1:36">
      <c r="A137" s="267" t="s">
        <v>315</v>
      </c>
      <c r="B137" s="268">
        <v>46050</v>
      </c>
      <c r="C137" s="269" t="s">
        <v>429</v>
      </c>
      <c r="D137" s="270" t="s">
        <v>559</v>
      </c>
      <c r="E137" s="269" t="s">
        <v>341</v>
      </c>
      <c r="F137" s="269" t="s">
        <v>232</v>
      </c>
      <c r="G137" s="271">
        <v>3.3300000000000003E-2</v>
      </c>
      <c r="H137" s="272">
        <v>180</v>
      </c>
      <c r="I137" s="272">
        <v>6</v>
      </c>
      <c r="J137" s="272">
        <v>0</v>
      </c>
      <c r="K137" s="269" t="s">
        <v>233</v>
      </c>
      <c r="L137" s="273">
        <v>46323</v>
      </c>
      <c r="M137" s="272">
        <v>0</v>
      </c>
      <c r="N137" s="272">
        <v>0</v>
      </c>
      <c r="O137" s="272">
        <v>6</v>
      </c>
      <c r="P137" s="269" t="s">
        <v>299</v>
      </c>
      <c r="Q137" s="265"/>
      <c r="R137" s="265"/>
      <c r="S137" s="265"/>
      <c r="T137" s="265"/>
      <c r="U137" s="265"/>
      <c r="V137" s="265"/>
      <c r="W137" s="265"/>
      <c r="X137" s="265"/>
      <c r="Y137" s="265"/>
      <c r="Z137" s="265"/>
      <c r="AA137" s="265"/>
      <c r="AB137" s="265"/>
      <c r="AC137" s="265"/>
      <c r="AD137" s="272" t="s">
        <v>436</v>
      </c>
      <c r="AE137" s="265"/>
      <c r="AF137" s="265"/>
      <c r="AG137" s="265"/>
      <c r="AH137" s="265"/>
      <c r="AI137" s="265"/>
      <c r="AJ137" s="265"/>
    </row>
    <row r="138" spans="1:36">
      <c r="A138" s="267" t="s">
        <v>230</v>
      </c>
      <c r="B138" s="268">
        <v>46051</v>
      </c>
      <c r="C138" s="269" t="s">
        <v>373</v>
      </c>
      <c r="D138" s="270" t="s">
        <v>273</v>
      </c>
      <c r="E138" s="269" t="s">
        <v>341</v>
      </c>
      <c r="F138" s="269" t="s">
        <v>232</v>
      </c>
      <c r="G138" s="271">
        <v>1.11E-2</v>
      </c>
      <c r="H138" s="272">
        <v>180</v>
      </c>
      <c r="I138" s="272">
        <v>2</v>
      </c>
      <c r="J138" s="272">
        <v>0</v>
      </c>
      <c r="K138" s="269" t="s">
        <v>233</v>
      </c>
      <c r="L138" s="273">
        <v>46340</v>
      </c>
      <c r="M138" s="272">
        <v>0</v>
      </c>
      <c r="N138" s="272">
        <v>0</v>
      </c>
      <c r="O138" s="272">
        <v>2</v>
      </c>
      <c r="P138" s="269" t="s">
        <v>368</v>
      </c>
      <c r="Q138" s="265"/>
      <c r="R138" s="265"/>
      <c r="S138" s="265"/>
      <c r="T138" s="265"/>
      <c r="U138" s="265"/>
      <c r="V138" s="265"/>
      <c r="W138" s="265"/>
      <c r="X138" s="265"/>
      <c r="Y138" s="265"/>
      <c r="Z138" s="265"/>
      <c r="AA138" s="265"/>
      <c r="AB138" s="265"/>
      <c r="AC138" s="265"/>
      <c r="AD138" s="272" t="s">
        <v>367</v>
      </c>
      <c r="AE138" s="265"/>
      <c r="AF138" s="265"/>
      <c r="AG138" s="265"/>
      <c r="AH138" s="265"/>
      <c r="AI138" s="265"/>
      <c r="AJ138" s="265"/>
    </row>
    <row r="139" spans="1:36">
      <c r="A139" s="267" t="s">
        <v>230</v>
      </c>
      <c r="B139" s="268">
        <v>46051</v>
      </c>
      <c r="C139" s="269" t="s">
        <v>376</v>
      </c>
      <c r="D139" s="270" t="s">
        <v>553</v>
      </c>
      <c r="E139" s="269" t="s">
        <v>341</v>
      </c>
      <c r="F139" s="269" t="s">
        <v>232</v>
      </c>
      <c r="G139" s="271">
        <v>0</v>
      </c>
      <c r="H139" s="272">
        <v>180</v>
      </c>
      <c r="I139" s="272">
        <v>0</v>
      </c>
      <c r="J139" s="272">
        <v>0</v>
      </c>
      <c r="K139" s="269" t="s">
        <v>233</v>
      </c>
      <c r="L139" s="273" t="s">
        <v>66</v>
      </c>
      <c r="M139" s="272">
        <v>0</v>
      </c>
      <c r="N139" s="272">
        <v>0</v>
      </c>
      <c r="O139" s="272">
        <v>0</v>
      </c>
      <c r="P139" s="269" t="s">
        <v>436</v>
      </c>
      <c r="Q139" s="265"/>
      <c r="R139" s="265"/>
      <c r="S139" s="265"/>
      <c r="T139" s="265"/>
      <c r="U139" s="265"/>
      <c r="V139" s="265"/>
      <c r="W139" s="265"/>
      <c r="X139" s="265"/>
      <c r="Y139" s="265"/>
      <c r="Z139" s="265"/>
      <c r="AA139" s="265"/>
      <c r="AB139" s="265"/>
      <c r="AC139" s="265"/>
      <c r="AD139" s="265"/>
      <c r="AE139" s="265"/>
      <c r="AF139" s="265"/>
      <c r="AG139" s="265"/>
      <c r="AH139" s="265"/>
      <c r="AI139" s="265"/>
      <c r="AJ139" s="265"/>
    </row>
    <row r="140" spans="1:36">
      <c r="A140" s="267" t="s">
        <v>230</v>
      </c>
      <c r="B140" s="268">
        <v>46051</v>
      </c>
      <c r="C140" s="269" t="s">
        <v>370</v>
      </c>
      <c r="D140" s="270" t="s">
        <v>554</v>
      </c>
      <c r="E140" s="269" t="s">
        <v>341</v>
      </c>
      <c r="F140" s="269" t="s">
        <v>232</v>
      </c>
      <c r="G140" s="271">
        <v>2.2200000000000001E-2</v>
      </c>
      <c r="H140" s="272">
        <v>180</v>
      </c>
      <c r="I140" s="272">
        <v>4</v>
      </c>
      <c r="J140" s="272">
        <v>0</v>
      </c>
      <c r="K140" s="269" t="s">
        <v>233</v>
      </c>
      <c r="L140" s="273">
        <v>46332</v>
      </c>
      <c r="M140" s="272">
        <v>0</v>
      </c>
      <c r="N140" s="272">
        <v>0</v>
      </c>
      <c r="O140" s="272">
        <v>4</v>
      </c>
      <c r="P140" s="269" t="s">
        <v>292</v>
      </c>
      <c r="Q140" s="265"/>
      <c r="R140" s="265"/>
      <c r="S140" s="265"/>
      <c r="T140" s="265"/>
      <c r="U140" s="265"/>
      <c r="V140" s="265"/>
      <c r="W140" s="265"/>
      <c r="X140" s="265"/>
      <c r="Y140" s="265"/>
      <c r="Z140" s="265"/>
      <c r="AA140" s="265"/>
      <c r="AB140" s="265"/>
      <c r="AC140" s="272" t="s">
        <v>307</v>
      </c>
      <c r="AD140" s="265"/>
      <c r="AE140" s="265"/>
      <c r="AF140" s="265"/>
      <c r="AG140" s="265"/>
      <c r="AH140" s="265"/>
      <c r="AI140" s="265"/>
      <c r="AJ140" s="265"/>
    </row>
    <row r="141" spans="1:36">
      <c r="A141" s="267" t="s">
        <v>230</v>
      </c>
      <c r="B141" s="268">
        <v>46051</v>
      </c>
      <c r="C141" s="269" t="s">
        <v>378</v>
      </c>
      <c r="D141" s="270" t="s">
        <v>555</v>
      </c>
      <c r="E141" s="269" t="s">
        <v>341</v>
      </c>
      <c r="F141" s="269" t="s">
        <v>232</v>
      </c>
      <c r="G141" s="271">
        <v>3.3300000000000003E-2</v>
      </c>
      <c r="H141" s="272">
        <v>180</v>
      </c>
      <c r="I141" s="272">
        <v>6</v>
      </c>
      <c r="J141" s="272">
        <v>0</v>
      </c>
      <c r="K141" s="269" t="s">
        <v>233</v>
      </c>
      <c r="L141" s="273">
        <v>46342</v>
      </c>
      <c r="M141" s="272">
        <v>0</v>
      </c>
      <c r="N141" s="272">
        <v>0</v>
      </c>
      <c r="O141" s="272">
        <v>6</v>
      </c>
      <c r="P141" s="269" t="s">
        <v>299</v>
      </c>
      <c r="Q141" s="265"/>
      <c r="R141" s="265"/>
      <c r="S141" s="265"/>
      <c r="T141" s="265"/>
      <c r="U141" s="265"/>
      <c r="V141" s="265"/>
      <c r="W141" s="265"/>
      <c r="X141" s="265"/>
      <c r="Y141" s="265"/>
      <c r="Z141" s="265"/>
      <c r="AA141" s="265"/>
      <c r="AB141" s="265"/>
      <c r="AC141" s="265"/>
      <c r="AD141" s="272" t="s">
        <v>436</v>
      </c>
      <c r="AE141" s="265"/>
      <c r="AF141" s="265"/>
      <c r="AG141" s="265"/>
      <c r="AH141" s="265"/>
      <c r="AI141" s="265"/>
      <c r="AJ141" s="265"/>
    </row>
    <row r="142" spans="1:36">
      <c r="A142" s="267" t="s">
        <v>230</v>
      </c>
      <c r="B142" s="268">
        <v>46051</v>
      </c>
      <c r="C142" s="269" t="s">
        <v>380</v>
      </c>
      <c r="D142" s="270" t="s">
        <v>556</v>
      </c>
      <c r="E142" s="269" t="s">
        <v>341</v>
      </c>
      <c r="F142" s="269" t="s">
        <v>232</v>
      </c>
      <c r="G142" s="271">
        <v>1.11E-2</v>
      </c>
      <c r="H142" s="272">
        <v>180</v>
      </c>
      <c r="I142" s="272">
        <v>2</v>
      </c>
      <c r="J142" s="272">
        <v>0</v>
      </c>
      <c r="K142" s="269" t="s">
        <v>233</v>
      </c>
      <c r="L142" s="273">
        <v>46344</v>
      </c>
      <c r="M142" s="272">
        <v>0</v>
      </c>
      <c r="N142" s="272">
        <v>0</v>
      </c>
      <c r="O142" s="272">
        <v>2</v>
      </c>
      <c r="P142" s="269" t="s">
        <v>368</v>
      </c>
      <c r="Q142" s="265"/>
      <c r="R142" s="265"/>
      <c r="S142" s="265"/>
      <c r="T142" s="265"/>
      <c r="U142" s="265"/>
      <c r="V142" s="265"/>
      <c r="W142" s="265"/>
      <c r="X142" s="265"/>
      <c r="Y142" s="265"/>
      <c r="Z142" s="265"/>
      <c r="AA142" s="265"/>
      <c r="AB142" s="265"/>
      <c r="AC142" s="265"/>
      <c r="AD142" s="272" t="s">
        <v>367</v>
      </c>
      <c r="AE142" s="265"/>
      <c r="AF142" s="265"/>
      <c r="AG142" s="265"/>
      <c r="AH142" s="265"/>
      <c r="AI142" s="265"/>
      <c r="AJ142" s="265"/>
    </row>
    <row r="143" spans="1:36">
      <c r="A143" s="267" t="s">
        <v>230</v>
      </c>
      <c r="B143" s="268">
        <v>46051</v>
      </c>
      <c r="C143" s="269" t="s">
        <v>366</v>
      </c>
      <c r="D143" s="270" t="s">
        <v>559</v>
      </c>
      <c r="E143" s="269" t="s">
        <v>341</v>
      </c>
      <c r="F143" s="269" t="s">
        <v>232</v>
      </c>
      <c r="G143" s="271">
        <v>6.1100000000000002E-2</v>
      </c>
      <c r="H143" s="272">
        <v>180</v>
      </c>
      <c r="I143" s="272">
        <v>11</v>
      </c>
      <c r="J143" s="272">
        <v>0</v>
      </c>
      <c r="K143" s="269" t="s">
        <v>233</v>
      </c>
      <c r="L143" s="273">
        <v>46324</v>
      </c>
      <c r="M143" s="272">
        <v>0</v>
      </c>
      <c r="N143" s="272">
        <v>0</v>
      </c>
      <c r="O143" s="272">
        <v>11</v>
      </c>
      <c r="P143" s="269" t="s">
        <v>298</v>
      </c>
      <c r="Q143" s="265"/>
      <c r="R143" s="265"/>
      <c r="S143" s="265"/>
      <c r="T143" s="265"/>
      <c r="U143" s="265"/>
      <c r="V143" s="265"/>
      <c r="W143" s="265"/>
      <c r="X143" s="265"/>
      <c r="Y143" s="265"/>
      <c r="Z143" s="265"/>
      <c r="AA143" s="265"/>
      <c r="AB143" s="265"/>
      <c r="AC143" s="272" t="s">
        <v>298</v>
      </c>
      <c r="AD143" s="272" t="s">
        <v>549</v>
      </c>
      <c r="AE143" s="265"/>
      <c r="AF143" s="265"/>
      <c r="AG143" s="265"/>
      <c r="AH143" s="265"/>
      <c r="AI143" s="265"/>
      <c r="AJ143" s="265"/>
    </row>
    <row r="144" spans="1:36">
      <c r="A144" s="267" t="s">
        <v>560</v>
      </c>
      <c r="B144" s="268">
        <v>46052</v>
      </c>
      <c r="C144" s="269" t="s">
        <v>376</v>
      </c>
      <c r="D144" s="270" t="s">
        <v>561</v>
      </c>
      <c r="E144" s="269" t="s">
        <v>341</v>
      </c>
      <c r="F144" s="269" t="s">
        <v>232</v>
      </c>
      <c r="G144" s="271">
        <v>3.8899999999999997E-2</v>
      </c>
      <c r="H144" s="272">
        <v>180</v>
      </c>
      <c r="I144" s="272">
        <v>7</v>
      </c>
      <c r="J144" s="272">
        <v>0</v>
      </c>
      <c r="K144" s="269" t="s">
        <v>233</v>
      </c>
      <c r="L144" s="273">
        <v>46307</v>
      </c>
      <c r="M144" s="272">
        <v>0</v>
      </c>
      <c r="N144" s="272">
        <v>0</v>
      </c>
      <c r="O144" s="272">
        <v>7</v>
      </c>
      <c r="P144" s="269" t="s">
        <v>305</v>
      </c>
      <c r="Q144" s="265"/>
      <c r="R144" s="265"/>
      <c r="S144" s="265"/>
      <c r="T144" s="265"/>
      <c r="U144" s="265"/>
      <c r="V144" s="265"/>
      <c r="W144" s="265"/>
      <c r="X144" s="265"/>
      <c r="Y144" s="265"/>
      <c r="Z144" s="265"/>
      <c r="AA144" s="265"/>
      <c r="AB144" s="265"/>
      <c r="AC144" s="265"/>
      <c r="AD144" s="272" t="s">
        <v>552</v>
      </c>
      <c r="AE144" s="265"/>
      <c r="AF144" s="265"/>
      <c r="AG144" s="265"/>
      <c r="AH144" s="265"/>
      <c r="AI144" s="265"/>
      <c r="AJ144" s="265"/>
    </row>
    <row r="145" spans="1:36">
      <c r="A145" s="267" t="s">
        <v>560</v>
      </c>
      <c r="B145" s="268">
        <v>46052</v>
      </c>
      <c r="C145" s="269" t="s">
        <v>378</v>
      </c>
      <c r="D145" s="270" t="s">
        <v>562</v>
      </c>
      <c r="E145" s="269" t="s">
        <v>341</v>
      </c>
      <c r="F145" s="269" t="s">
        <v>232</v>
      </c>
      <c r="G145" s="271">
        <v>2.7799999999999998E-2</v>
      </c>
      <c r="H145" s="272">
        <v>180</v>
      </c>
      <c r="I145" s="272">
        <v>5</v>
      </c>
      <c r="J145" s="272">
        <v>0</v>
      </c>
      <c r="K145" s="269" t="s">
        <v>233</v>
      </c>
      <c r="L145" s="273">
        <v>46334</v>
      </c>
      <c r="M145" s="272">
        <v>0</v>
      </c>
      <c r="N145" s="272">
        <v>0</v>
      </c>
      <c r="O145" s="272">
        <v>5</v>
      </c>
      <c r="P145" s="269" t="s">
        <v>430</v>
      </c>
      <c r="Q145" s="265"/>
      <c r="R145" s="265"/>
      <c r="S145" s="265"/>
      <c r="T145" s="265"/>
      <c r="U145" s="265"/>
      <c r="V145" s="265"/>
      <c r="W145" s="265"/>
      <c r="X145" s="265"/>
      <c r="Y145" s="265"/>
      <c r="Z145" s="265"/>
      <c r="AA145" s="265"/>
      <c r="AB145" s="265"/>
      <c r="AC145" s="265"/>
      <c r="AD145" s="272" t="s">
        <v>431</v>
      </c>
      <c r="AE145" s="265"/>
      <c r="AF145" s="265"/>
      <c r="AG145" s="265"/>
      <c r="AH145" s="265"/>
      <c r="AI145" s="265"/>
      <c r="AJ145" s="265"/>
    </row>
    <row r="146" spans="1:36">
      <c r="A146" s="267" t="s">
        <v>560</v>
      </c>
      <c r="B146" s="268">
        <v>46052</v>
      </c>
      <c r="C146" s="269" t="s">
        <v>380</v>
      </c>
      <c r="D146" s="270" t="s">
        <v>563</v>
      </c>
      <c r="E146" s="269" t="s">
        <v>341</v>
      </c>
      <c r="F146" s="269" t="s">
        <v>232</v>
      </c>
      <c r="G146" s="271">
        <v>0.05</v>
      </c>
      <c r="H146" s="272">
        <v>180</v>
      </c>
      <c r="I146" s="272">
        <v>9</v>
      </c>
      <c r="J146" s="272">
        <v>0</v>
      </c>
      <c r="K146" s="269" t="s">
        <v>233</v>
      </c>
      <c r="L146" s="273">
        <v>46341</v>
      </c>
      <c r="M146" s="272">
        <v>0</v>
      </c>
      <c r="N146" s="272">
        <v>0</v>
      </c>
      <c r="O146" s="272">
        <v>9</v>
      </c>
      <c r="P146" s="269" t="s">
        <v>430</v>
      </c>
      <c r="Q146" s="265"/>
      <c r="R146" s="265"/>
      <c r="S146" s="265"/>
      <c r="T146" s="265"/>
      <c r="U146" s="265"/>
      <c r="V146" s="265"/>
      <c r="W146" s="265"/>
      <c r="X146" s="265"/>
      <c r="Y146" s="265"/>
      <c r="Z146" s="265"/>
      <c r="AA146" s="265"/>
      <c r="AB146" s="265"/>
      <c r="AC146" s="272" t="s">
        <v>307</v>
      </c>
      <c r="AD146" s="272" t="s">
        <v>431</v>
      </c>
      <c r="AE146" s="265"/>
      <c r="AF146" s="265"/>
      <c r="AG146" s="265"/>
      <c r="AH146" s="265"/>
      <c r="AI146" s="265"/>
      <c r="AJ146" s="265"/>
    </row>
    <row r="147" spans="1:36">
      <c r="A147" s="267" t="s">
        <v>560</v>
      </c>
      <c r="B147" s="268">
        <v>46052</v>
      </c>
      <c r="C147" s="269" t="s">
        <v>429</v>
      </c>
      <c r="D147" s="270" t="s">
        <v>564</v>
      </c>
      <c r="E147" s="269" t="s">
        <v>341</v>
      </c>
      <c r="F147" s="269" t="s">
        <v>232</v>
      </c>
      <c r="G147" s="271">
        <v>2.2200000000000001E-2</v>
      </c>
      <c r="H147" s="272">
        <v>180</v>
      </c>
      <c r="I147" s="272">
        <v>4</v>
      </c>
      <c r="J147" s="272">
        <v>0</v>
      </c>
      <c r="K147" s="269" t="s">
        <v>233</v>
      </c>
      <c r="L147" s="273">
        <v>46344</v>
      </c>
      <c r="M147" s="272">
        <v>0</v>
      </c>
      <c r="N147" s="272">
        <v>0</v>
      </c>
      <c r="O147" s="272">
        <v>4</v>
      </c>
      <c r="P147" s="269" t="s">
        <v>367</v>
      </c>
      <c r="Q147" s="265"/>
      <c r="R147" s="265"/>
      <c r="S147" s="265"/>
      <c r="T147" s="265"/>
      <c r="U147" s="265"/>
      <c r="V147" s="265"/>
      <c r="W147" s="265"/>
      <c r="X147" s="265"/>
      <c r="Y147" s="265"/>
      <c r="Z147" s="265"/>
      <c r="AA147" s="265"/>
      <c r="AB147" s="265"/>
      <c r="AC147" s="265"/>
      <c r="AD147" s="272" t="s">
        <v>368</v>
      </c>
      <c r="AE147" s="265"/>
      <c r="AF147" s="265"/>
      <c r="AG147" s="265"/>
      <c r="AH147" s="265"/>
      <c r="AI147" s="265"/>
      <c r="AJ147" s="265"/>
    </row>
    <row r="148" spans="1:36">
      <c r="A148" s="267" t="s">
        <v>560</v>
      </c>
      <c r="B148" s="268">
        <v>46052</v>
      </c>
      <c r="C148" s="269" t="s">
        <v>433</v>
      </c>
      <c r="D148" s="270" t="s">
        <v>565</v>
      </c>
      <c r="E148" s="269" t="s">
        <v>341</v>
      </c>
      <c r="F148" s="269" t="s">
        <v>232</v>
      </c>
      <c r="G148" s="271">
        <v>4.4400000000000002E-2</v>
      </c>
      <c r="H148" s="272">
        <v>180</v>
      </c>
      <c r="I148" s="272">
        <v>8</v>
      </c>
      <c r="J148" s="272">
        <v>0</v>
      </c>
      <c r="K148" s="269" t="s">
        <v>233</v>
      </c>
      <c r="L148" s="273">
        <v>46337</v>
      </c>
      <c r="M148" s="272">
        <v>0</v>
      </c>
      <c r="N148" s="272">
        <v>0</v>
      </c>
      <c r="O148" s="272">
        <v>8</v>
      </c>
      <c r="P148" s="269" t="s">
        <v>306</v>
      </c>
      <c r="Q148" s="265"/>
      <c r="R148" s="265"/>
      <c r="S148" s="265"/>
      <c r="T148" s="265"/>
      <c r="U148" s="265"/>
      <c r="V148" s="265"/>
      <c r="W148" s="265"/>
      <c r="X148" s="265"/>
      <c r="Y148" s="265"/>
      <c r="Z148" s="265"/>
      <c r="AA148" s="265"/>
      <c r="AB148" s="265"/>
      <c r="AC148" s="272" t="s">
        <v>302</v>
      </c>
      <c r="AD148" s="272" t="s">
        <v>552</v>
      </c>
      <c r="AE148" s="265"/>
      <c r="AF148" s="265"/>
      <c r="AG148" s="265"/>
      <c r="AH148" s="265"/>
      <c r="AI148" s="265"/>
      <c r="AJ148" s="265"/>
    </row>
    <row r="149" spans="1:36">
      <c r="A149" s="267" t="s">
        <v>234</v>
      </c>
      <c r="B149" s="268">
        <v>46053</v>
      </c>
      <c r="C149" s="269" t="s">
        <v>373</v>
      </c>
      <c r="D149" s="270" t="s">
        <v>566</v>
      </c>
      <c r="E149" s="269" t="s">
        <v>341</v>
      </c>
      <c r="F149" s="269" t="s">
        <v>232</v>
      </c>
      <c r="G149" s="271">
        <v>5.4000000000000003E-3</v>
      </c>
      <c r="H149" s="272">
        <v>186</v>
      </c>
      <c r="I149" s="272">
        <v>1</v>
      </c>
      <c r="J149" s="272">
        <v>0</v>
      </c>
      <c r="K149" s="269" t="s">
        <v>233</v>
      </c>
      <c r="L149" s="273">
        <v>46294</v>
      </c>
      <c r="M149" s="272">
        <v>0</v>
      </c>
      <c r="N149" s="272">
        <v>0</v>
      </c>
      <c r="O149" s="272">
        <v>1</v>
      </c>
      <c r="P149" s="269" t="s">
        <v>431</v>
      </c>
      <c r="Q149" s="265"/>
      <c r="R149" s="265"/>
      <c r="S149" s="265"/>
      <c r="T149" s="265"/>
      <c r="U149" s="265"/>
      <c r="V149" s="265"/>
      <c r="W149" s="265"/>
      <c r="X149" s="265"/>
      <c r="Y149" s="265"/>
      <c r="Z149" s="265"/>
      <c r="AA149" s="265"/>
      <c r="AB149" s="265"/>
      <c r="AC149" s="265"/>
      <c r="AD149" s="272" t="s">
        <v>430</v>
      </c>
      <c r="AE149" s="265"/>
      <c r="AF149" s="265"/>
      <c r="AG149" s="265"/>
      <c r="AH149" s="265"/>
      <c r="AI149" s="265"/>
      <c r="AJ149" s="265"/>
    </row>
    <row r="150" spans="1:36">
      <c r="A150" s="267" t="s">
        <v>234</v>
      </c>
      <c r="B150" s="268">
        <v>46053</v>
      </c>
      <c r="C150" s="269" t="s">
        <v>376</v>
      </c>
      <c r="D150" s="270" t="s">
        <v>553</v>
      </c>
      <c r="E150" s="269" t="s">
        <v>341</v>
      </c>
      <c r="F150" s="269" t="s">
        <v>232</v>
      </c>
      <c r="G150" s="271">
        <v>3.3300000000000003E-2</v>
      </c>
      <c r="H150" s="272">
        <v>180</v>
      </c>
      <c r="I150" s="272">
        <v>6</v>
      </c>
      <c r="J150" s="272">
        <v>0</v>
      </c>
      <c r="K150" s="269" t="s">
        <v>233</v>
      </c>
      <c r="L150" s="273">
        <v>46339</v>
      </c>
      <c r="M150" s="272">
        <v>0</v>
      </c>
      <c r="N150" s="272">
        <v>0</v>
      </c>
      <c r="O150" s="272">
        <v>6</v>
      </c>
      <c r="P150" s="269" t="s">
        <v>299</v>
      </c>
      <c r="Q150" s="265"/>
      <c r="R150" s="265"/>
      <c r="S150" s="265"/>
      <c r="T150" s="265"/>
      <c r="U150" s="265"/>
      <c r="V150" s="265"/>
      <c r="W150" s="265"/>
      <c r="X150" s="265"/>
      <c r="Y150" s="265"/>
      <c r="Z150" s="265"/>
      <c r="AA150" s="265"/>
      <c r="AB150" s="265"/>
      <c r="AC150" s="265"/>
      <c r="AD150" s="272" t="s">
        <v>436</v>
      </c>
      <c r="AE150" s="265"/>
      <c r="AF150" s="265"/>
      <c r="AG150" s="265"/>
      <c r="AH150" s="265"/>
      <c r="AI150" s="265"/>
      <c r="AJ150" s="265"/>
    </row>
    <row r="151" spans="1:36">
      <c r="A151" s="267" t="s">
        <v>234</v>
      </c>
      <c r="B151" s="268">
        <v>46053</v>
      </c>
      <c r="C151" s="269" t="s">
        <v>378</v>
      </c>
      <c r="D151" s="270" t="s">
        <v>567</v>
      </c>
      <c r="E151" s="269" t="s">
        <v>341</v>
      </c>
      <c r="F151" s="269" t="s">
        <v>232</v>
      </c>
      <c r="G151" s="271">
        <v>1.67E-2</v>
      </c>
      <c r="H151" s="272">
        <v>180</v>
      </c>
      <c r="I151" s="272">
        <v>3</v>
      </c>
      <c r="J151" s="272">
        <v>0</v>
      </c>
      <c r="K151" s="269" t="s">
        <v>233</v>
      </c>
      <c r="L151" s="273">
        <v>46345</v>
      </c>
      <c r="M151" s="272">
        <v>0</v>
      </c>
      <c r="N151" s="272">
        <v>0</v>
      </c>
      <c r="O151" s="272">
        <v>3</v>
      </c>
      <c r="P151" s="269" t="s">
        <v>446</v>
      </c>
      <c r="Q151" s="265"/>
      <c r="R151" s="265"/>
      <c r="S151" s="265"/>
      <c r="T151" s="265"/>
      <c r="U151" s="265"/>
      <c r="V151" s="265"/>
      <c r="W151" s="265"/>
      <c r="X151" s="265"/>
      <c r="Y151" s="265"/>
      <c r="Z151" s="265"/>
      <c r="AA151" s="265"/>
      <c r="AB151" s="265"/>
      <c r="AC151" s="265"/>
      <c r="AD151" s="272" t="s">
        <v>446</v>
      </c>
      <c r="AE151" s="265"/>
      <c r="AF151" s="265"/>
      <c r="AG151" s="265"/>
      <c r="AH151" s="265"/>
      <c r="AI151" s="265"/>
      <c r="AJ151" s="265"/>
    </row>
    <row r="152" spans="1:36">
      <c r="A152" s="267" t="s">
        <v>234</v>
      </c>
      <c r="B152" s="268">
        <v>46053</v>
      </c>
      <c r="C152" s="269" t="s">
        <v>366</v>
      </c>
      <c r="D152" s="270" t="s">
        <v>568</v>
      </c>
      <c r="E152" s="269" t="s">
        <v>341</v>
      </c>
      <c r="F152" s="269" t="s">
        <v>232</v>
      </c>
      <c r="G152" s="271">
        <v>3.3300000000000003E-2</v>
      </c>
      <c r="H152" s="272">
        <v>180</v>
      </c>
      <c r="I152" s="272">
        <v>6</v>
      </c>
      <c r="J152" s="272">
        <v>0</v>
      </c>
      <c r="K152" s="269" t="s">
        <v>233</v>
      </c>
      <c r="L152" s="273">
        <v>46343</v>
      </c>
      <c r="M152" s="272">
        <v>0</v>
      </c>
      <c r="N152" s="272">
        <v>0</v>
      </c>
      <c r="O152" s="272">
        <v>6</v>
      </c>
      <c r="P152" s="269" t="s">
        <v>299</v>
      </c>
      <c r="Q152" s="265"/>
      <c r="R152" s="265"/>
      <c r="S152" s="265"/>
      <c r="T152" s="265"/>
      <c r="U152" s="265"/>
      <c r="V152" s="265"/>
      <c r="W152" s="265"/>
      <c r="X152" s="265"/>
      <c r="Y152" s="265"/>
      <c r="Z152" s="265"/>
      <c r="AA152" s="265"/>
      <c r="AB152" s="265"/>
      <c r="AC152" s="265"/>
      <c r="AD152" s="272" t="s">
        <v>436</v>
      </c>
      <c r="AE152" s="265"/>
      <c r="AF152" s="265"/>
      <c r="AG152" s="265"/>
      <c r="AH152" s="265"/>
      <c r="AI152" s="265"/>
      <c r="AJ152" s="265"/>
    </row>
    <row r="153" spans="1:36" ht="21">
      <c r="A153" s="274" t="s">
        <v>251</v>
      </c>
      <c r="B153" s="275"/>
      <c r="C153" s="274">
        <f>SUBTOTAL(103,CAI_JED_LF_LEGACY[Flt])</f>
        <v>151</v>
      </c>
      <c r="D153" s="274"/>
      <c r="E153" s="274">
        <f>SUBTOTAL(103,CAI_JED_LF_LEGACY[Brd-Off])</f>
        <v>151</v>
      </c>
      <c r="F153" s="274"/>
      <c r="G153" s="276">
        <f>SUBTOTAL(101,CAI_JED_LF_LEGACY[LF%])</f>
        <v>3.823774834437086E-2</v>
      </c>
      <c r="H153" s="277">
        <f>SUBTOTAL(109,CAI_JED_LF_LEGACY[CAP])</f>
        <v>27216</v>
      </c>
      <c r="I153" s="277">
        <f>SUBTOTAL(109,CAI_JED_LF_LEGACY[BKG(Y)])</f>
        <v>1042</v>
      </c>
      <c r="J153" s="277">
        <f>SUBTOTAL(109,CAI_JED_LF_LEGACY[GRP(Y)])</f>
        <v>110</v>
      </c>
      <c r="K153" s="274"/>
      <c r="L153" s="275"/>
      <c r="M153" s="277">
        <f>SUBTOTAL(109,CAI_JED_LF_LEGACY[TO-DAY])</f>
        <v>0</v>
      </c>
      <c r="N153" s="277">
        <f>SUBTOTAL(109,CAI_JED_LF_LEGACY[Y-DAY])</f>
        <v>0</v>
      </c>
      <c r="O153" s="277">
        <f>SUBTOTAL(109,CAI_JED_LF_LEGACY[WEEKLY])</f>
        <v>984</v>
      </c>
      <c r="P153" s="274"/>
      <c r="Q153" s="277">
        <f>SUBTOTAL(109,CAI_JED_LF_LEGACY[Y])</f>
        <v>0</v>
      </c>
      <c r="R153" s="277">
        <f>SUBTOTAL(109,CAI_JED_LF_LEGACY[B])</f>
        <v>0</v>
      </c>
      <c r="S153" s="277">
        <f>SUBTOTAL(109,CAI_JED_LF_LEGACY[M])</f>
        <v>0</v>
      </c>
      <c r="T153" s="277">
        <f>SUBTOTAL(109,CAI_JED_LF_LEGACY[H])</f>
        <v>0</v>
      </c>
      <c r="U153" s="277">
        <f>SUBTOTAL(109,CAI_JED_LF_LEGACY[Q])</f>
        <v>0</v>
      </c>
      <c r="V153" s="277">
        <f>SUBTOTAL(109,CAI_JED_LF_LEGACY[K])</f>
        <v>0</v>
      </c>
      <c r="W153" s="277">
        <f>SUBTOTAL(109,CAI_JED_LF_LEGACY[V])</f>
        <v>0</v>
      </c>
      <c r="X153" s="277">
        <f>SUBTOTAL(109,CAI_JED_LF_LEGACY[L])</f>
        <v>0</v>
      </c>
      <c r="Y153" s="277">
        <f>SUBTOTAL(109,CAI_JED_LF_LEGACY[G])</f>
        <v>0</v>
      </c>
      <c r="Z153" s="277">
        <f>SUBTOTAL(109,CAI_JED_LF_LEGACY[S])</f>
        <v>0</v>
      </c>
      <c r="AA153" s="277">
        <f>SUBTOTAL(109,CAI_JED_LF_LEGACY[W])</f>
        <v>0</v>
      </c>
      <c r="AB153" s="277">
        <f>SUBTOTAL(109,CAI_JED_LF_LEGACY[T])</f>
        <v>0</v>
      </c>
      <c r="AC153" s="277">
        <f>SUBTOTAL(109,CAI_JED_LF_LEGACY[X])</f>
        <v>0</v>
      </c>
      <c r="AD153" s="277">
        <f>SUBTOTAL(109,CAI_JED_LF_LEGACY[U])</f>
        <v>0</v>
      </c>
      <c r="AE153" s="277">
        <f>SUBTOTAL(109,CAI_JED_LF_LEGACY[O])</f>
        <v>0</v>
      </c>
      <c r="AF153" s="277">
        <f>SUBTOTAL(109,CAI_JED_LF_LEGACY[I])</f>
        <v>0</v>
      </c>
      <c r="AG153" s="277">
        <f>SUBTOTAL(109,CAI_JED_LF_LEGACY[E])</f>
        <v>0</v>
      </c>
      <c r="AH153" s="277">
        <f>SUBTOTAL(109,CAI_JED_LF_LEGACY[A])</f>
        <v>0</v>
      </c>
      <c r="AI153" s="277">
        <f>SUBTOTAL(109,CAI_JED_LF_LEGACY[P])</f>
        <v>0</v>
      </c>
      <c r="AJ153" s="277">
        <f>SUBTOTAL(103,CAI_JED_LF_LEGACY[N])</f>
        <v>0</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182"/>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69.710937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1" t="s">
        <v>254</v>
      </c>
      <c r="B2" s="112" t="s">
        <v>38</v>
      </c>
      <c r="C2" s="113" t="s">
        <v>342</v>
      </c>
      <c r="D2" s="112" t="s">
        <v>341</v>
      </c>
      <c r="E2" s="112" t="s">
        <v>592</v>
      </c>
      <c r="F2" s="112" t="s">
        <v>40</v>
      </c>
      <c r="G2" s="114">
        <v>15</v>
      </c>
      <c r="H2" s="115" t="s">
        <v>343</v>
      </c>
    </row>
    <row r="3" spans="1:8" ht="19.899999999999999" customHeight="1">
      <c r="A3" s="111" t="s">
        <v>254</v>
      </c>
      <c r="B3" s="112" t="s">
        <v>38</v>
      </c>
      <c r="C3" s="113" t="s">
        <v>344</v>
      </c>
      <c r="D3" s="112" t="s">
        <v>341</v>
      </c>
      <c r="E3" s="112" t="s">
        <v>593</v>
      </c>
      <c r="F3" s="112" t="s">
        <v>40</v>
      </c>
      <c r="G3" s="114">
        <v>19</v>
      </c>
      <c r="H3" s="115" t="s">
        <v>343</v>
      </c>
    </row>
    <row r="4" spans="1:8" ht="19.899999999999999" customHeight="1">
      <c r="A4" s="111" t="s">
        <v>254</v>
      </c>
      <c r="B4" s="112" t="s">
        <v>38</v>
      </c>
      <c r="C4" s="113" t="s">
        <v>345</v>
      </c>
      <c r="D4" s="112" t="s">
        <v>341</v>
      </c>
      <c r="E4" s="112" t="s">
        <v>594</v>
      </c>
      <c r="F4" s="112" t="s">
        <v>40</v>
      </c>
      <c r="G4" s="114">
        <v>20</v>
      </c>
      <c r="H4" s="115" t="s">
        <v>343</v>
      </c>
    </row>
    <row r="5" spans="1:8" ht="19.899999999999999" customHeight="1">
      <c r="A5" s="111" t="s">
        <v>254</v>
      </c>
      <c r="B5" s="112" t="s">
        <v>26</v>
      </c>
      <c r="C5" s="113" t="s">
        <v>348</v>
      </c>
      <c r="D5" s="112" t="s">
        <v>341</v>
      </c>
      <c r="E5" s="112" t="s">
        <v>595</v>
      </c>
      <c r="F5" s="112" t="s">
        <v>28</v>
      </c>
      <c r="G5" s="114">
        <v>5</v>
      </c>
      <c r="H5" s="115" t="s">
        <v>131</v>
      </c>
    </row>
    <row r="6" spans="1:8" ht="19.899999999999999" customHeight="1">
      <c r="A6" s="111" t="s">
        <v>254</v>
      </c>
      <c r="B6" s="112" t="s">
        <v>26</v>
      </c>
      <c r="C6" s="113" t="s">
        <v>350</v>
      </c>
      <c r="D6" s="112" t="s">
        <v>341</v>
      </c>
      <c r="E6" s="112" t="s">
        <v>596</v>
      </c>
      <c r="F6" s="112" t="s">
        <v>28</v>
      </c>
      <c r="G6" s="114">
        <v>1</v>
      </c>
      <c r="H6" s="115" t="s">
        <v>131</v>
      </c>
    </row>
    <row r="7" spans="1:8" ht="19.899999999999999" customHeight="1">
      <c r="A7" s="111" t="s">
        <v>254</v>
      </c>
      <c r="B7" s="112" t="s">
        <v>26</v>
      </c>
      <c r="C7" s="113" t="s">
        <v>351</v>
      </c>
      <c r="D7" s="112" t="s">
        <v>341</v>
      </c>
      <c r="E7" s="112" t="s">
        <v>597</v>
      </c>
      <c r="F7" s="112" t="s">
        <v>28</v>
      </c>
      <c r="G7" s="114">
        <v>2</v>
      </c>
      <c r="H7" s="115" t="s">
        <v>131</v>
      </c>
    </row>
    <row r="8" spans="1:8" ht="19.899999999999999" customHeight="1">
      <c r="A8" s="111" t="s">
        <v>254</v>
      </c>
      <c r="B8" s="112" t="s">
        <v>26</v>
      </c>
      <c r="C8" s="113" t="s">
        <v>352</v>
      </c>
      <c r="D8" s="112" t="s">
        <v>341</v>
      </c>
      <c r="E8" s="112" t="s">
        <v>598</v>
      </c>
      <c r="F8" s="112" t="s">
        <v>28</v>
      </c>
      <c r="G8" s="114">
        <v>4</v>
      </c>
      <c r="H8" s="115" t="s">
        <v>131</v>
      </c>
    </row>
    <row r="9" spans="1:8" ht="19.899999999999999" customHeight="1">
      <c r="A9" s="111" t="s">
        <v>254</v>
      </c>
      <c r="B9" s="112" t="s">
        <v>26</v>
      </c>
      <c r="C9" s="113" t="s">
        <v>353</v>
      </c>
      <c r="D9" s="112" t="s">
        <v>341</v>
      </c>
      <c r="E9" s="112" t="s">
        <v>593</v>
      </c>
      <c r="F9" s="112" t="s">
        <v>28</v>
      </c>
      <c r="G9" s="114">
        <v>5</v>
      </c>
      <c r="H9" s="115" t="s">
        <v>131</v>
      </c>
    </row>
    <row r="10" spans="1:8" ht="19.899999999999999" customHeight="1">
      <c r="A10" s="111" t="s">
        <v>254</v>
      </c>
      <c r="B10" s="112" t="s">
        <v>359</v>
      </c>
      <c r="C10" s="113" t="s">
        <v>360</v>
      </c>
      <c r="D10" s="112" t="s">
        <v>341</v>
      </c>
      <c r="E10" s="112" t="s">
        <v>599</v>
      </c>
      <c r="F10" s="112" t="s">
        <v>361</v>
      </c>
      <c r="G10" s="114">
        <v>9</v>
      </c>
      <c r="H10" s="115" t="s">
        <v>362</v>
      </c>
    </row>
    <row r="11" spans="1:8" ht="19.899999999999999" customHeight="1">
      <c r="A11" s="111" t="s">
        <v>254</v>
      </c>
      <c r="B11" s="112" t="s">
        <v>38</v>
      </c>
      <c r="C11" s="113" t="s">
        <v>346</v>
      </c>
      <c r="D11" s="112" t="s">
        <v>341</v>
      </c>
      <c r="E11" s="112" t="s">
        <v>600</v>
      </c>
      <c r="F11" s="112" t="s">
        <v>40</v>
      </c>
      <c r="G11" s="114">
        <v>20</v>
      </c>
      <c r="H11" s="115" t="s">
        <v>347</v>
      </c>
    </row>
    <row r="12" spans="1:8" ht="19.899999999999999" customHeight="1">
      <c r="A12" s="116" t="s">
        <v>254</v>
      </c>
      <c r="B12" s="117" t="s">
        <v>61</v>
      </c>
      <c r="C12" s="118" t="s">
        <v>364</v>
      </c>
      <c r="D12" s="117" t="s">
        <v>341</v>
      </c>
      <c r="E12" s="117" t="s">
        <v>559</v>
      </c>
      <c r="F12" s="117" t="s">
        <v>63</v>
      </c>
      <c r="G12" s="119">
        <v>2</v>
      </c>
      <c r="H12" s="120" t="s">
        <v>365</v>
      </c>
    </row>
    <row r="13" spans="1:8" ht="19.899999999999999" customHeight="1">
      <c r="A13" s="121">
        <v>46023</v>
      </c>
      <c r="B13" s="112" t="s">
        <v>26</v>
      </c>
      <c r="C13" s="113" t="s">
        <v>354</v>
      </c>
      <c r="D13" s="112" t="s">
        <v>341</v>
      </c>
      <c r="E13" s="122">
        <v>1.3472222222222221</v>
      </c>
      <c r="F13" s="112" t="s">
        <v>28</v>
      </c>
      <c r="G13" s="114">
        <v>3</v>
      </c>
      <c r="H13" s="115" t="s">
        <v>83</v>
      </c>
    </row>
    <row r="14" spans="1:8" ht="19.899999999999999" customHeight="1">
      <c r="A14" s="121">
        <v>46023</v>
      </c>
      <c r="B14" s="112" t="s">
        <v>26</v>
      </c>
      <c r="C14" s="113" t="s">
        <v>356</v>
      </c>
      <c r="D14" s="112" t="s">
        <v>341</v>
      </c>
      <c r="E14" s="122">
        <v>1.4861111111111109</v>
      </c>
      <c r="F14" s="112" t="s">
        <v>28</v>
      </c>
      <c r="G14" s="114">
        <v>3</v>
      </c>
      <c r="H14" s="115" t="s">
        <v>83</v>
      </c>
    </row>
    <row r="15" spans="1:8" ht="19.899999999999999" customHeight="1">
      <c r="A15" s="121">
        <v>46023</v>
      </c>
      <c r="B15" s="112" t="s">
        <v>48</v>
      </c>
      <c r="C15" s="113" t="s">
        <v>382</v>
      </c>
      <c r="D15" s="112" t="s">
        <v>341</v>
      </c>
      <c r="E15" s="122">
        <v>1.118055555555556</v>
      </c>
      <c r="F15" s="112" t="s">
        <v>50</v>
      </c>
      <c r="G15" s="114">
        <v>1</v>
      </c>
      <c r="H15" s="115" t="s">
        <v>383</v>
      </c>
    </row>
    <row r="16" spans="1:8" ht="19.899999999999999" customHeight="1">
      <c r="A16" s="121">
        <v>46023</v>
      </c>
      <c r="B16" s="112" t="s">
        <v>48</v>
      </c>
      <c r="C16" s="113" t="s">
        <v>385</v>
      </c>
      <c r="D16" s="112" t="s">
        <v>341</v>
      </c>
      <c r="E16" s="122">
        <v>1.9409722222222221</v>
      </c>
      <c r="F16" s="112" t="s">
        <v>50</v>
      </c>
      <c r="G16" s="114">
        <v>9</v>
      </c>
      <c r="H16" s="115" t="s">
        <v>383</v>
      </c>
    </row>
    <row r="17" spans="1:8" ht="19.899999999999999" customHeight="1">
      <c r="A17" s="121">
        <v>46023</v>
      </c>
      <c r="B17" s="112" t="s">
        <v>26</v>
      </c>
      <c r="C17" s="113" t="s">
        <v>348</v>
      </c>
      <c r="D17" s="112" t="s">
        <v>341</v>
      </c>
      <c r="E17" s="122">
        <v>1.993055555555556</v>
      </c>
      <c r="F17" s="112" t="s">
        <v>31</v>
      </c>
      <c r="G17" s="114">
        <v>5</v>
      </c>
      <c r="H17" s="115" t="s">
        <v>349</v>
      </c>
    </row>
    <row r="18" spans="1:8" ht="19.899999999999999" customHeight="1">
      <c r="A18" s="121">
        <v>46023</v>
      </c>
      <c r="B18" s="112" t="s">
        <v>26</v>
      </c>
      <c r="C18" s="113" t="s">
        <v>350</v>
      </c>
      <c r="D18" s="112" t="s">
        <v>341</v>
      </c>
      <c r="E18" s="122">
        <v>1.7361111111111109</v>
      </c>
      <c r="F18" s="112" t="s">
        <v>31</v>
      </c>
      <c r="G18" s="114">
        <v>1</v>
      </c>
      <c r="H18" s="115" t="s">
        <v>349</v>
      </c>
    </row>
    <row r="19" spans="1:8" ht="19.899999999999999" customHeight="1">
      <c r="A19" s="121">
        <v>46023</v>
      </c>
      <c r="B19" s="112" t="s">
        <v>26</v>
      </c>
      <c r="C19" s="113" t="s">
        <v>351</v>
      </c>
      <c r="D19" s="112" t="s">
        <v>341</v>
      </c>
      <c r="E19" s="122">
        <v>1.836805555555556</v>
      </c>
      <c r="F19" s="112" t="s">
        <v>31</v>
      </c>
      <c r="G19" s="114">
        <v>2</v>
      </c>
      <c r="H19" s="115" t="s">
        <v>349</v>
      </c>
    </row>
    <row r="20" spans="1:8" ht="19.899999999999999" customHeight="1">
      <c r="A20" s="121">
        <v>46023</v>
      </c>
      <c r="B20" s="112" t="s">
        <v>26</v>
      </c>
      <c r="C20" s="113" t="s">
        <v>352</v>
      </c>
      <c r="D20" s="112" t="s">
        <v>341</v>
      </c>
      <c r="E20" s="122">
        <v>1.944444444444444</v>
      </c>
      <c r="F20" s="112" t="s">
        <v>31</v>
      </c>
      <c r="G20" s="114">
        <v>4</v>
      </c>
      <c r="H20" s="115" t="s">
        <v>349</v>
      </c>
    </row>
    <row r="21" spans="1:8" ht="19.899999999999999" customHeight="1">
      <c r="A21" s="121">
        <v>46023</v>
      </c>
      <c r="B21" s="112" t="s">
        <v>26</v>
      </c>
      <c r="C21" s="113" t="s">
        <v>353</v>
      </c>
      <c r="D21" s="112" t="s">
        <v>341</v>
      </c>
      <c r="E21" s="122">
        <v>1.8888888888888891</v>
      </c>
      <c r="F21" s="112" t="s">
        <v>31</v>
      </c>
      <c r="G21" s="114">
        <v>5</v>
      </c>
      <c r="H21" s="115" t="s">
        <v>349</v>
      </c>
    </row>
    <row r="22" spans="1:8" ht="19.899999999999999" customHeight="1">
      <c r="A22" s="121">
        <v>46023</v>
      </c>
      <c r="B22" s="112" t="s">
        <v>38</v>
      </c>
      <c r="C22" s="113" t="s">
        <v>342</v>
      </c>
      <c r="D22" s="112" t="s">
        <v>341</v>
      </c>
      <c r="E22" s="122">
        <v>1.489583333333333</v>
      </c>
      <c r="F22" s="112" t="s">
        <v>43</v>
      </c>
      <c r="G22" s="114">
        <v>15</v>
      </c>
      <c r="H22" s="115" t="s">
        <v>33</v>
      </c>
    </row>
    <row r="23" spans="1:8" ht="19.899999999999999" customHeight="1">
      <c r="A23" s="121">
        <v>46023</v>
      </c>
      <c r="B23" s="112" t="s">
        <v>38</v>
      </c>
      <c r="C23" s="113" t="s">
        <v>344</v>
      </c>
      <c r="D23" s="112" t="s">
        <v>341</v>
      </c>
      <c r="E23" s="122">
        <v>1.8888888888888891</v>
      </c>
      <c r="F23" s="112" t="s">
        <v>43</v>
      </c>
      <c r="G23" s="114">
        <v>19</v>
      </c>
      <c r="H23" s="115" t="s">
        <v>33</v>
      </c>
    </row>
    <row r="24" spans="1:8" ht="19.899999999999999" customHeight="1">
      <c r="A24" s="121">
        <v>46023</v>
      </c>
      <c r="B24" s="112" t="s">
        <v>38</v>
      </c>
      <c r="C24" s="113" t="s">
        <v>345</v>
      </c>
      <c r="D24" s="112" t="s">
        <v>341</v>
      </c>
      <c r="E24" s="122">
        <v>1.989583333333333</v>
      </c>
      <c r="F24" s="112" t="s">
        <v>43</v>
      </c>
      <c r="G24" s="114">
        <v>20</v>
      </c>
      <c r="H24" s="115" t="s">
        <v>33</v>
      </c>
    </row>
    <row r="25" spans="1:8" ht="19.899999999999999" customHeight="1">
      <c r="A25" s="121">
        <v>46023</v>
      </c>
      <c r="B25" s="112" t="s">
        <v>402</v>
      </c>
      <c r="C25" s="113" t="s">
        <v>403</v>
      </c>
      <c r="D25" s="112" t="s">
        <v>341</v>
      </c>
      <c r="E25" s="122">
        <v>1.493055555555556</v>
      </c>
      <c r="F25" s="112" t="s">
        <v>63</v>
      </c>
      <c r="G25" s="114">
        <v>5</v>
      </c>
      <c r="H25" s="115" t="s">
        <v>404</v>
      </c>
    </row>
    <row r="26" spans="1:8" ht="19.899999999999999" customHeight="1">
      <c r="A26" s="129">
        <v>46023</v>
      </c>
      <c r="B26" s="117" t="s">
        <v>61</v>
      </c>
      <c r="C26" s="118" t="s">
        <v>369</v>
      </c>
      <c r="D26" s="117" t="s">
        <v>341</v>
      </c>
      <c r="E26" s="130">
        <v>1.1875</v>
      </c>
      <c r="F26" s="117" t="s">
        <v>63</v>
      </c>
      <c r="G26" s="119">
        <v>9</v>
      </c>
      <c r="H26" s="120" t="s">
        <v>79</v>
      </c>
    </row>
    <row r="27" spans="1:8" ht="19.899999999999999" customHeight="1">
      <c r="A27" s="129">
        <v>46023</v>
      </c>
      <c r="B27" s="117" t="s">
        <v>61</v>
      </c>
      <c r="C27" s="118" t="s">
        <v>371</v>
      </c>
      <c r="D27" s="117" t="s">
        <v>341</v>
      </c>
      <c r="E27" s="130">
        <v>1.0659722222222221</v>
      </c>
      <c r="F27" s="117" t="s">
        <v>63</v>
      </c>
      <c r="G27" s="119">
        <v>6</v>
      </c>
      <c r="H27" s="120" t="s">
        <v>79</v>
      </c>
    </row>
    <row r="28" spans="1:8" ht="19.899999999999999" customHeight="1">
      <c r="A28" s="129">
        <v>46023</v>
      </c>
      <c r="B28" s="117" t="s">
        <v>61</v>
      </c>
      <c r="C28" s="118" t="s">
        <v>375</v>
      </c>
      <c r="D28" s="117" t="s">
        <v>341</v>
      </c>
      <c r="E28" s="130">
        <v>1.15625</v>
      </c>
      <c r="F28" s="117" t="s">
        <v>63</v>
      </c>
      <c r="G28" s="119">
        <v>4</v>
      </c>
      <c r="H28" s="120" t="s">
        <v>79</v>
      </c>
    </row>
    <row r="29" spans="1:8" ht="19.899999999999999" customHeight="1">
      <c r="A29" s="129">
        <v>46023</v>
      </c>
      <c r="B29" s="117" t="s">
        <v>61</v>
      </c>
      <c r="C29" s="118" t="s">
        <v>377</v>
      </c>
      <c r="D29" s="117" t="s">
        <v>341</v>
      </c>
      <c r="E29" s="130">
        <v>1.40625</v>
      </c>
      <c r="F29" s="117" t="s">
        <v>63</v>
      </c>
      <c r="G29" s="119">
        <v>4</v>
      </c>
      <c r="H29" s="120" t="s">
        <v>79</v>
      </c>
    </row>
    <row r="30" spans="1:8" ht="19.899999999999999" customHeight="1">
      <c r="A30" s="129">
        <v>46023</v>
      </c>
      <c r="B30" s="117" t="s">
        <v>61</v>
      </c>
      <c r="C30" s="118" t="s">
        <v>379</v>
      </c>
      <c r="D30" s="117" t="s">
        <v>341</v>
      </c>
      <c r="E30" s="130">
        <v>1.5625</v>
      </c>
      <c r="F30" s="117" t="s">
        <v>63</v>
      </c>
      <c r="G30" s="119">
        <v>3</v>
      </c>
      <c r="H30" s="120" t="s">
        <v>79</v>
      </c>
    </row>
    <row r="31" spans="1:8" ht="19.899999999999999" customHeight="1">
      <c r="A31" s="121">
        <v>46023</v>
      </c>
      <c r="B31" s="112" t="s">
        <v>48</v>
      </c>
      <c r="C31" s="113" t="s">
        <v>386</v>
      </c>
      <c r="D31" s="112" t="s">
        <v>341</v>
      </c>
      <c r="E31" s="122">
        <v>1.8298611111111109</v>
      </c>
      <c r="F31" s="112" t="s">
        <v>50</v>
      </c>
      <c r="G31" s="114">
        <v>9</v>
      </c>
      <c r="H31" s="115" t="s">
        <v>79</v>
      </c>
    </row>
    <row r="32" spans="1:8" ht="19.899999999999999" customHeight="1">
      <c r="A32" s="121">
        <v>46023</v>
      </c>
      <c r="B32" s="112" t="s">
        <v>48</v>
      </c>
      <c r="C32" s="113" t="s">
        <v>388</v>
      </c>
      <c r="D32" s="112" t="s">
        <v>341</v>
      </c>
      <c r="E32" s="122">
        <v>1.7222222222222221</v>
      </c>
      <c r="F32" s="112" t="s">
        <v>50</v>
      </c>
      <c r="G32" s="114">
        <v>9</v>
      </c>
      <c r="H32" s="115" t="s">
        <v>79</v>
      </c>
    </row>
    <row r="33" spans="1:8" ht="19.899999999999999" customHeight="1">
      <c r="A33" s="121">
        <v>46023</v>
      </c>
      <c r="B33" s="112" t="s">
        <v>48</v>
      </c>
      <c r="C33" s="113" t="s">
        <v>389</v>
      </c>
      <c r="D33" s="112" t="s">
        <v>341</v>
      </c>
      <c r="E33" s="122">
        <v>1.7048611111111109</v>
      </c>
      <c r="F33" s="112" t="s">
        <v>50</v>
      </c>
      <c r="G33" s="114">
        <v>9</v>
      </c>
      <c r="H33" s="115" t="s">
        <v>79</v>
      </c>
    </row>
    <row r="34" spans="1:8" ht="19.899999999999999" customHeight="1">
      <c r="A34" s="121">
        <v>46023</v>
      </c>
      <c r="B34" s="112" t="s">
        <v>48</v>
      </c>
      <c r="C34" s="113" t="s">
        <v>390</v>
      </c>
      <c r="D34" s="112" t="s">
        <v>341</v>
      </c>
      <c r="E34" s="122">
        <v>1.041666666666667</v>
      </c>
      <c r="F34" s="112" t="s">
        <v>50</v>
      </c>
      <c r="G34" s="114">
        <v>9</v>
      </c>
      <c r="H34" s="115" t="s">
        <v>79</v>
      </c>
    </row>
    <row r="35" spans="1:8" ht="19.899999999999999" customHeight="1">
      <c r="A35" s="121">
        <v>46023</v>
      </c>
      <c r="B35" s="112" t="s">
        <v>26</v>
      </c>
      <c r="C35" s="113" t="s">
        <v>357</v>
      </c>
      <c r="D35" s="112" t="s">
        <v>341</v>
      </c>
      <c r="E35" s="122">
        <v>1.3923611111111109</v>
      </c>
      <c r="F35" s="112" t="s">
        <v>28</v>
      </c>
      <c r="G35" s="114">
        <v>9</v>
      </c>
      <c r="H35" s="115" t="s">
        <v>45</v>
      </c>
    </row>
    <row r="36" spans="1:8" ht="19.899999999999999" customHeight="1">
      <c r="A36" s="121">
        <v>46023</v>
      </c>
      <c r="B36" s="112" t="s">
        <v>26</v>
      </c>
      <c r="C36" s="113" t="s">
        <v>354</v>
      </c>
      <c r="D36" s="112" t="s">
        <v>341</v>
      </c>
      <c r="E36" s="122">
        <v>1.3472222222222221</v>
      </c>
      <c r="F36" s="112" t="s">
        <v>31</v>
      </c>
      <c r="G36" s="114">
        <v>3</v>
      </c>
      <c r="H36" s="115" t="s">
        <v>159</v>
      </c>
    </row>
    <row r="37" spans="1:8" ht="19.899999999999999" customHeight="1">
      <c r="A37" s="121">
        <v>46023</v>
      </c>
      <c r="B37" s="112" t="s">
        <v>26</v>
      </c>
      <c r="C37" s="113" t="s">
        <v>356</v>
      </c>
      <c r="D37" s="112" t="s">
        <v>341</v>
      </c>
      <c r="E37" s="122">
        <v>1.4861111111111109</v>
      </c>
      <c r="F37" s="112" t="s">
        <v>31</v>
      </c>
      <c r="G37" s="114">
        <v>3</v>
      </c>
      <c r="H37" s="115" t="s">
        <v>159</v>
      </c>
    </row>
    <row r="38" spans="1:8" ht="19.899999999999999" customHeight="1">
      <c r="A38" s="121">
        <v>46023</v>
      </c>
      <c r="B38" s="112" t="s">
        <v>38</v>
      </c>
      <c r="C38" s="113" t="s">
        <v>346</v>
      </c>
      <c r="D38" s="112" t="s">
        <v>341</v>
      </c>
      <c r="E38" s="122">
        <v>1.399305555555556</v>
      </c>
      <c r="F38" s="112" t="s">
        <v>43</v>
      </c>
      <c r="G38" s="114">
        <v>20</v>
      </c>
      <c r="H38" s="115" t="s">
        <v>138</v>
      </c>
    </row>
    <row r="39" spans="1:8" ht="19.899999999999999" customHeight="1">
      <c r="A39" s="121">
        <v>46023</v>
      </c>
      <c r="B39" s="112" t="s">
        <v>26</v>
      </c>
      <c r="C39" s="113" t="s">
        <v>348</v>
      </c>
      <c r="D39" s="112" t="s">
        <v>341</v>
      </c>
      <c r="E39" s="122">
        <v>1.993055555555556</v>
      </c>
      <c r="F39" s="112" t="s">
        <v>34</v>
      </c>
      <c r="G39" s="114">
        <v>5</v>
      </c>
      <c r="H39" s="115" t="s">
        <v>138</v>
      </c>
    </row>
    <row r="40" spans="1:8" ht="19.899999999999999" customHeight="1">
      <c r="A40" s="121">
        <v>46023</v>
      </c>
      <c r="B40" s="112" t="s">
        <v>26</v>
      </c>
      <c r="C40" s="113" t="s">
        <v>350</v>
      </c>
      <c r="D40" s="112" t="s">
        <v>341</v>
      </c>
      <c r="E40" s="122">
        <v>1.7361111111111109</v>
      </c>
      <c r="F40" s="112" t="s">
        <v>34</v>
      </c>
      <c r="G40" s="114">
        <v>1</v>
      </c>
      <c r="H40" s="115" t="s">
        <v>138</v>
      </c>
    </row>
    <row r="41" spans="1:8" ht="19.899999999999999" customHeight="1">
      <c r="A41" s="121">
        <v>46023</v>
      </c>
      <c r="B41" s="112" t="s">
        <v>26</v>
      </c>
      <c r="C41" s="113" t="s">
        <v>351</v>
      </c>
      <c r="D41" s="112" t="s">
        <v>341</v>
      </c>
      <c r="E41" s="122">
        <v>1.836805555555556</v>
      </c>
      <c r="F41" s="112" t="s">
        <v>34</v>
      </c>
      <c r="G41" s="114">
        <v>2</v>
      </c>
      <c r="H41" s="115" t="s">
        <v>138</v>
      </c>
    </row>
    <row r="42" spans="1:8" ht="19.899999999999999" customHeight="1">
      <c r="A42" s="121">
        <v>46023</v>
      </c>
      <c r="B42" s="112" t="s">
        <v>26</v>
      </c>
      <c r="C42" s="113" t="s">
        <v>352</v>
      </c>
      <c r="D42" s="112" t="s">
        <v>341</v>
      </c>
      <c r="E42" s="122">
        <v>1.944444444444444</v>
      </c>
      <c r="F42" s="112" t="s">
        <v>34</v>
      </c>
      <c r="G42" s="114">
        <v>4</v>
      </c>
      <c r="H42" s="115" t="s">
        <v>138</v>
      </c>
    </row>
    <row r="43" spans="1:8" ht="19.899999999999999" customHeight="1">
      <c r="A43" s="121">
        <v>46023</v>
      </c>
      <c r="B43" s="112" t="s">
        <v>26</v>
      </c>
      <c r="C43" s="113" t="s">
        <v>353</v>
      </c>
      <c r="D43" s="112" t="s">
        <v>341</v>
      </c>
      <c r="E43" s="122">
        <v>1.8888888888888891</v>
      </c>
      <c r="F43" s="112" t="s">
        <v>34</v>
      </c>
      <c r="G43" s="114">
        <v>5</v>
      </c>
      <c r="H43" s="115" t="s">
        <v>138</v>
      </c>
    </row>
    <row r="44" spans="1:8" ht="19.899999999999999" customHeight="1">
      <c r="A44" s="121">
        <v>46023</v>
      </c>
      <c r="B44" s="112" t="s">
        <v>68</v>
      </c>
      <c r="C44" s="113" t="s">
        <v>405</v>
      </c>
      <c r="D44" s="112" t="s">
        <v>341</v>
      </c>
      <c r="E44" s="122">
        <v>1.836805555555556</v>
      </c>
      <c r="F44" s="112" t="s">
        <v>70</v>
      </c>
      <c r="G44" s="114">
        <v>9</v>
      </c>
      <c r="H44" s="115" t="s">
        <v>406</v>
      </c>
    </row>
    <row r="45" spans="1:8" ht="19.899999999999999" customHeight="1">
      <c r="A45" s="121">
        <v>46023</v>
      </c>
      <c r="B45" s="112" t="s">
        <v>68</v>
      </c>
      <c r="C45" s="113" t="s">
        <v>407</v>
      </c>
      <c r="D45" s="112" t="s">
        <v>341</v>
      </c>
      <c r="E45" s="122">
        <v>1.3125</v>
      </c>
      <c r="F45" s="112" t="s">
        <v>70</v>
      </c>
      <c r="G45" s="114">
        <v>9</v>
      </c>
      <c r="H45" s="115" t="s">
        <v>406</v>
      </c>
    </row>
    <row r="46" spans="1:8" ht="19.899999999999999" customHeight="1">
      <c r="A46" s="121">
        <v>46023</v>
      </c>
      <c r="B46" s="112" t="s">
        <v>68</v>
      </c>
      <c r="C46" s="113" t="s">
        <v>408</v>
      </c>
      <c r="D46" s="112" t="s">
        <v>341</v>
      </c>
      <c r="E46" s="122">
        <v>1.9722222222222221</v>
      </c>
      <c r="F46" s="112" t="s">
        <v>70</v>
      </c>
      <c r="G46" s="114">
        <v>9</v>
      </c>
      <c r="H46" s="115" t="s">
        <v>406</v>
      </c>
    </row>
    <row r="47" spans="1:8" ht="19.899999999999999" customHeight="1">
      <c r="A47" s="121">
        <v>46023</v>
      </c>
      <c r="B47" s="112" t="s">
        <v>68</v>
      </c>
      <c r="C47" s="113" t="s">
        <v>409</v>
      </c>
      <c r="D47" s="112" t="s">
        <v>341</v>
      </c>
      <c r="E47" s="122">
        <v>1.3402777777777779</v>
      </c>
      <c r="F47" s="112" t="s">
        <v>70</v>
      </c>
      <c r="G47" s="114">
        <v>9</v>
      </c>
      <c r="H47" s="115" t="s">
        <v>406</v>
      </c>
    </row>
    <row r="48" spans="1:8" ht="19.899999999999999" customHeight="1">
      <c r="A48" s="121">
        <v>46023</v>
      </c>
      <c r="B48" s="112" t="s">
        <v>68</v>
      </c>
      <c r="C48" s="113" t="s">
        <v>410</v>
      </c>
      <c r="D48" s="112" t="s">
        <v>341</v>
      </c>
      <c r="E48" s="122">
        <v>1.5972222222222221</v>
      </c>
      <c r="F48" s="112" t="s">
        <v>70</v>
      </c>
      <c r="G48" s="114">
        <v>9</v>
      </c>
      <c r="H48" s="115" t="s">
        <v>406</v>
      </c>
    </row>
    <row r="49" spans="1:8" ht="19.899999999999999" customHeight="1">
      <c r="A49" s="121">
        <v>46023</v>
      </c>
      <c r="B49" s="112" t="s">
        <v>48</v>
      </c>
      <c r="C49" s="113" t="s">
        <v>382</v>
      </c>
      <c r="D49" s="112" t="s">
        <v>341</v>
      </c>
      <c r="E49" s="122">
        <v>1.118055555555556</v>
      </c>
      <c r="F49" s="112" t="s">
        <v>53</v>
      </c>
      <c r="G49" s="114">
        <v>1</v>
      </c>
      <c r="H49" s="115" t="s">
        <v>384</v>
      </c>
    </row>
    <row r="50" spans="1:8" ht="19.899999999999999" customHeight="1">
      <c r="A50" s="121">
        <v>46023</v>
      </c>
      <c r="B50" s="112" t="s">
        <v>48</v>
      </c>
      <c r="C50" s="113" t="s">
        <v>385</v>
      </c>
      <c r="D50" s="112" t="s">
        <v>341</v>
      </c>
      <c r="E50" s="122">
        <v>1.9409722222222221</v>
      </c>
      <c r="F50" s="112" t="s">
        <v>53</v>
      </c>
      <c r="G50" s="114">
        <v>9</v>
      </c>
      <c r="H50" s="115" t="s">
        <v>384</v>
      </c>
    </row>
    <row r="51" spans="1:8" ht="19.899999999999999" customHeight="1">
      <c r="A51" s="121">
        <v>46023</v>
      </c>
      <c r="B51" s="112" t="s">
        <v>359</v>
      </c>
      <c r="C51" s="113" t="s">
        <v>360</v>
      </c>
      <c r="D51" s="112" t="s">
        <v>341</v>
      </c>
      <c r="E51" s="122">
        <v>1.1701388888888891</v>
      </c>
      <c r="F51" s="112" t="s">
        <v>46</v>
      </c>
      <c r="G51" s="114">
        <v>9</v>
      </c>
      <c r="H51" s="115" t="s">
        <v>363</v>
      </c>
    </row>
    <row r="52" spans="1:8" ht="19.899999999999999" customHeight="1">
      <c r="A52" s="121">
        <v>46023</v>
      </c>
      <c r="B52" s="112" t="s">
        <v>48</v>
      </c>
      <c r="C52" s="113" t="s">
        <v>386</v>
      </c>
      <c r="D52" s="112" t="s">
        <v>341</v>
      </c>
      <c r="E52" s="122">
        <v>1.8298611111111109</v>
      </c>
      <c r="F52" s="112" t="s">
        <v>53</v>
      </c>
      <c r="G52" s="114">
        <v>9</v>
      </c>
      <c r="H52" s="115" t="s">
        <v>387</v>
      </c>
    </row>
    <row r="53" spans="1:8" ht="19.899999999999999" customHeight="1">
      <c r="A53" s="121">
        <v>46023</v>
      </c>
      <c r="B53" s="112" t="s">
        <v>48</v>
      </c>
      <c r="C53" s="113" t="s">
        <v>388</v>
      </c>
      <c r="D53" s="112" t="s">
        <v>341</v>
      </c>
      <c r="E53" s="122">
        <v>1.7222222222222221</v>
      </c>
      <c r="F53" s="112" t="s">
        <v>53</v>
      </c>
      <c r="G53" s="114">
        <v>9</v>
      </c>
      <c r="H53" s="115" t="s">
        <v>387</v>
      </c>
    </row>
    <row r="54" spans="1:8" ht="19.899999999999999" customHeight="1">
      <c r="A54" s="121">
        <v>46023</v>
      </c>
      <c r="B54" s="112" t="s">
        <v>48</v>
      </c>
      <c r="C54" s="113" t="s">
        <v>389</v>
      </c>
      <c r="D54" s="112" t="s">
        <v>341</v>
      </c>
      <c r="E54" s="122">
        <v>1.7048611111111109</v>
      </c>
      <c r="F54" s="112" t="s">
        <v>53</v>
      </c>
      <c r="G54" s="114">
        <v>9</v>
      </c>
      <c r="H54" s="115" t="s">
        <v>387</v>
      </c>
    </row>
    <row r="55" spans="1:8" ht="19.899999999999999" customHeight="1">
      <c r="A55" s="121">
        <v>46023</v>
      </c>
      <c r="B55" s="112" t="s">
        <v>48</v>
      </c>
      <c r="C55" s="113" t="s">
        <v>390</v>
      </c>
      <c r="D55" s="112" t="s">
        <v>341</v>
      </c>
      <c r="E55" s="122">
        <v>1.041666666666667</v>
      </c>
      <c r="F55" s="112" t="s">
        <v>53</v>
      </c>
      <c r="G55" s="114">
        <v>9</v>
      </c>
      <c r="H55" s="115" t="s">
        <v>387</v>
      </c>
    </row>
    <row r="56" spans="1:8" ht="19.899999999999999" customHeight="1">
      <c r="A56" s="121">
        <v>46023</v>
      </c>
      <c r="B56" s="112" t="s">
        <v>68</v>
      </c>
      <c r="C56" s="113" t="s">
        <v>411</v>
      </c>
      <c r="D56" s="112" t="s">
        <v>341</v>
      </c>
      <c r="E56" s="122">
        <v>1.7847222222222221</v>
      </c>
      <c r="F56" s="112" t="s">
        <v>70</v>
      </c>
      <c r="G56" s="114">
        <v>9</v>
      </c>
      <c r="H56" s="115" t="s">
        <v>412</v>
      </c>
    </row>
    <row r="57" spans="1:8" ht="19.899999999999999" customHeight="1">
      <c r="A57" s="121">
        <v>46023</v>
      </c>
      <c r="B57" s="112" t="s">
        <v>26</v>
      </c>
      <c r="C57" s="113" t="s">
        <v>354</v>
      </c>
      <c r="D57" s="112" t="s">
        <v>341</v>
      </c>
      <c r="E57" s="122">
        <v>1.3472222222222221</v>
      </c>
      <c r="F57" s="112" t="s">
        <v>34</v>
      </c>
      <c r="G57" s="114">
        <v>3</v>
      </c>
      <c r="H57" s="115" t="s">
        <v>355</v>
      </c>
    </row>
    <row r="58" spans="1:8" ht="19.899999999999999" customHeight="1">
      <c r="A58" s="121">
        <v>46023</v>
      </c>
      <c r="B58" s="112" t="s">
        <v>26</v>
      </c>
      <c r="C58" s="113" t="s">
        <v>356</v>
      </c>
      <c r="D58" s="112" t="s">
        <v>341</v>
      </c>
      <c r="E58" s="122">
        <v>1.4861111111111109</v>
      </c>
      <c r="F58" s="112" t="s">
        <v>34</v>
      </c>
      <c r="G58" s="114">
        <v>3</v>
      </c>
      <c r="H58" s="115" t="s">
        <v>355</v>
      </c>
    </row>
    <row r="59" spans="1:8" ht="19.899999999999999" customHeight="1">
      <c r="A59" s="121">
        <v>46023</v>
      </c>
      <c r="B59" s="112" t="s">
        <v>26</v>
      </c>
      <c r="C59" s="113" t="s">
        <v>357</v>
      </c>
      <c r="D59" s="112" t="s">
        <v>341</v>
      </c>
      <c r="E59" s="122">
        <v>1.3923611111111109</v>
      </c>
      <c r="F59" s="112" t="s">
        <v>31</v>
      </c>
      <c r="G59" s="114">
        <v>9</v>
      </c>
      <c r="H59" s="115" t="s">
        <v>355</v>
      </c>
    </row>
    <row r="60" spans="1:8" ht="19.899999999999999" customHeight="1">
      <c r="A60" s="121">
        <v>46023</v>
      </c>
      <c r="B60" s="112" t="s">
        <v>26</v>
      </c>
      <c r="C60" s="113" t="s">
        <v>357</v>
      </c>
      <c r="D60" s="112" t="s">
        <v>341</v>
      </c>
      <c r="E60" s="122">
        <v>1.3923611111111109</v>
      </c>
      <c r="F60" s="112" t="s">
        <v>34</v>
      </c>
      <c r="G60" s="114">
        <v>9</v>
      </c>
      <c r="H60" s="115" t="s">
        <v>358</v>
      </c>
    </row>
    <row r="61" spans="1:8" ht="19.899999999999999" customHeight="1">
      <c r="A61" s="121">
        <v>46023</v>
      </c>
      <c r="B61" s="112" t="s">
        <v>48</v>
      </c>
      <c r="C61" s="113" t="s">
        <v>391</v>
      </c>
      <c r="D61" s="112" t="s">
        <v>341</v>
      </c>
      <c r="E61" s="122">
        <v>1.489583333333333</v>
      </c>
      <c r="F61" s="112" t="s">
        <v>50</v>
      </c>
      <c r="G61" s="114">
        <v>9</v>
      </c>
      <c r="H61" s="115" t="s">
        <v>392</v>
      </c>
    </row>
    <row r="62" spans="1:8" ht="19.899999999999999" customHeight="1">
      <c r="A62" s="121">
        <v>46023</v>
      </c>
      <c r="B62" s="112" t="s">
        <v>38</v>
      </c>
      <c r="C62" s="113" t="s">
        <v>346</v>
      </c>
      <c r="D62" s="112" t="s">
        <v>341</v>
      </c>
      <c r="E62" s="122">
        <v>1.399305555555556</v>
      </c>
      <c r="F62" s="112" t="s">
        <v>46</v>
      </c>
      <c r="G62" s="114">
        <v>20</v>
      </c>
      <c r="H62" s="115" t="s">
        <v>47</v>
      </c>
    </row>
    <row r="63" spans="1:8" ht="19.899999999999999" customHeight="1">
      <c r="A63" s="121">
        <v>46023</v>
      </c>
      <c r="B63" s="112" t="s">
        <v>38</v>
      </c>
      <c r="C63" s="113" t="s">
        <v>342</v>
      </c>
      <c r="D63" s="112" t="s">
        <v>341</v>
      </c>
      <c r="E63" s="122">
        <v>1.489583333333333</v>
      </c>
      <c r="F63" s="112" t="s">
        <v>46</v>
      </c>
      <c r="G63" s="114">
        <v>15</v>
      </c>
      <c r="H63" s="115" t="s">
        <v>47</v>
      </c>
    </row>
    <row r="64" spans="1:8" ht="19.899999999999999" customHeight="1">
      <c r="A64" s="121">
        <v>46023</v>
      </c>
      <c r="B64" s="112" t="s">
        <v>38</v>
      </c>
      <c r="C64" s="113" t="s">
        <v>344</v>
      </c>
      <c r="D64" s="112" t="s">
        <v>341</v>
      </c>
      <c r="E64" s="122">
        <v>1.8888888888888891</v>
      </c>
      <c r="F64" s="112" t="s">
        <v>46</v>
      </c>
      <c r="G64" s="114">
        <v>19</v>
      </c>
      <c r="H64" s="115" t="s">
        <v>47</v>
      </c>
    </row>
    <row r="65" spans="1:8" ht="19.899999999999999" customHeight="1">
      <c r="A65" s="121">
        <v>46023</v>
      </c>
      <c r="B65" s="112" t="s">
        <v>38</v>
      </c>
      <c r="C65" s="113" t="s">
        <v>345</v>
      </c>
      <c r="D65" s="112" t="s">
        <v>341</v>
      </c>
      <c r="E65" s="122">
        <v>1.989583333333333</v>
      </c>
      <c r="F65" s="112" t="s">
        <v>46</v>
      </c>
      <c r="G65" s="114">
        <v>20</v>
      </c>
      <c r="H65" s="115" t="s">
        <v>47</v>
      </c>
    </row>
    <row r="66" spans="1:8" ht="19.899999999999999" customHeight="1">
      <c r="A66" s="121">
        <v>46023</v>
      </c>
      <c r="B66" s="112" t="s">
        <v>48</v>
      </c>
      <c r="C66" s="113" t="s">
        <v>394</v>
      </c>
      <c r="D66" s="112" t="s">
        <v>341</v>
      </c>
      <c r="E66" s="122">
        <v>1.989583333333333</v>
      </c>
      <c r="F66" s="112" t="s">
        <v>53</v>
      </c>
      <c r="G66" s="114">
        <v>4</v>
      </c>
      <c r="H66" s="115" t="s">
        <v>395</v>
      </c>
    </row>
    <row r="67" spans="1:8" ht="19.899999999999999" customHeight="1">
      <c r="A67" s="121">
        <v>46023</v>
      </c>
      <c r="B67" s="112" t="s">
        <v>48</v>
      </c>
      <c r="C67" s="113" t="s">
        <v>396</v>
      </c>
      <c r="D67" s="112" t="s">
        <v>341</v>
      </c>
      <c r="E67" s="122">
        <v>1.489583333333333</v>
      </c>
      <c r="F67" s="112" t="s">
        <v>53</v>
      </c>
      <c r="G67" s="114">
        <v>4</v>
      </c>
      <c r="H67" s="115" t="s">
        <v>395</v>
      </c>
    </row>
    <row r="68" spans="1:8" ht="19.899999999999999" customHeight="1">
      <c r="A68" s="121">
        <v>46023</v>
      </c>
      <c r="B68" s="112" t="s">
        <v>48</v>
      </c>
      <c r="C68" s="113" t="s">
        <v>397</v>
      </c>
      <c r="D68" s="112" t="s">
        <v>341</v>
      </c>
      <c r="E68" s="122">
        <v>1.8888888888888891</v>
      </c>
      <c r="F68" s="112" t="s">
        <v>53</v>
      </c>
      <c r="G68" s="114">
        <v>4</v>
      </c>
      <c r="H68" s="115" t="s">
        <v>395</v>
      </c>
    </row>
    <row r="69" spans="1:8" ht="19.899999999999999" customHeight="1">
      <c r="A69" s="121">
        <v>46023</v>
      </c>
      <c r="B69" s="112" t="s">
        <v>48</v>
      </c>
      <c r="C69" s="113" t="s">
        <v>391</v>
      </c>
      <c r="D69" s="112" t="s">
        <v>341</v>
      </c>
      <c r="E69" s="122">
        <v>1.489583333333333</v>
      </c>
      <c r="F69" s="112" t="s">
        <v>53</v>
      </c>
      <c r="G69" s="114">
        <v>9</v>
      </c>
      <c r="H69" s="115" t="s">
        <v>393</v>
      </c>
    </row>
    <row r="70" spans="1:8" ht="19.899999999999999" customHeight="1">
      <c r="A70" s="121">
        <v>46023</v>
      </c>
      <c r="B70" s="112" t="s">
        <v>68</v>
      </c>
      <c r="C70" s="113" t="s">
        <v>413</v>
      </c>
      <c r="D70" s="112" t="s">
        <v>341</v>
      </c>
      <c r="E70" s="122">
        <v>1.0486111111111109</v>
      </c>
      <c r="F70" s="112" t="s">
        <v>70</v>
      </c>
      <c r="G70" s="114">
        <v>9</v>
      </c>
      <c r="H70" s="115" t="s">
        <v>414</v>
      </c>
    </row>
    <row r="71" spans="1:8" ht="19.899999999999999" customHeight="1">
      <c r="A71" s="121">
        <v>46023</v>
      </c>
      <c r="B71" s="112" t="s">
        <v>48</v>
      </c>
      <c r="C71" s="113" t="s">
        <v>398</v>
      </c>
      <c r="D71" s="112" t="s">
        <v>341</v>
      </c>
      <c r="E71" s="122">
        <v>1.399305555555556</v>
      </c>
      <c r="F71" s="112" t="s">
        <v>53</v>
      </c>
      <c r="G71" s="114">
        <v>4</v>
      </c>
      <c r="H71" s="115" t="s">
        <v>399</v>
      </c>
    </row>
    <row r="72" spans="1:8" ht="19.899999999999999" customHeight="1">
      <c r="A72" s="121">
        <v>46023</v>
      </c>
      <c r="B72" s="112" t="s">
        <v>48</v>
      </c>
      <c r="C72" s="113" t="s">
        <v>400</v>
      </c>
      <c r="D72" s="112" t="s">
        <v>341</v>
      </c>
      <c r="E72" s="122">
        <v>1.2534722222222221</v>
      </c>
      <c r="F72" s="112" t="s">
        <v>53</v>
      </c>
      <c r="G72" s="114">
        <v>9</v>
      </c>
      <c r="H72" s="115" t="s">
        <v>401</v>
      </c>
    </row>
    <row r="73" spans="1:8" ht="19.899999999999999" customHeight="1">
      <c r="A73" s="121">
        <v>46023</v>
      </c>
      <c r="B73" s="112" t="s">
        <v>415</v>
      </c>
      <c r="C73" s="113" t="s">
        <v>416</v>
      </c>
      <c r="D73" s="112" t="s">
        <v>341</v>
      </c>
      <c r="E73" s="122">
        <v>1.118055555555556</v>
      </c>
      <c r="F73" s="112" t="s">
        <v>63</v>
      </c>
      <c r="G73" s="114">
        <v>9</v>
      </c>
      <c r="H73" s="115" t="s">
        <v>417</v>
      </c>
    </row>
    <row r="74" spans="1:8" ht="19.899999999999999" customHeight="1">
      <c r="A74" s="123">
        <v>46023</v>
      </c>
      <c r="B74" s="124" t="s">
        <v>415</v>
      </c>
      <c r="C74" s="125" t="s">
        <v>418</v>
      </c>
      <c r="D74" s="124" t="s">
        <v>341</v>
      </c>
      <c r="E74" s="126">
        <v>1.4201388888888891</v>
      </c>
      <c r="F74" s="124" t="s">
        <v>63</v>
      </c>
      <c r="G74" s="127">
        <v>9</v>
      </c>
      <c r="H74" s="128" t="s">
        <v>417</v>
      </c>
    </row>
    <row r="75" spans="1:8" ht="19.899999999999999" customHeight="1">
      <c r="A75" s="121">
        <v>46024</v>
      </c>
      <c r="B75" s="112" t="s">
        <v>38</v>
      </c>
      <c r="C75" s="113" t="s">
        <v>346</v>
      </c>
      <c r="D75" s="112" t="s">
        <v>341</v>
      </c>
      <c r="E75" s="122">
        <v>1.399305555555556</v>
      </c>
      <c r="F75" s="112" t="s">
        <v>40</v>
      </c>
      <c r="G75" s="114">
        <v>7</v>
      </c>
      <c r="H75" s="115" t="s">
        <v>343</v>
      </c>
    </row>
    <row r="76" spans="1:8" ht="19.899999999999999" customHeight="1">
      <c r="A76" s="121">
        <v>46024</v>
      </c>
      <c r="B76" s="112" t="s">
        <v>38</v>
      </c>
      <c r="C76" s="113" t="s">
        <v>344</v>
      </c>
      <c r="D76" s="112" t="s">
        <v>341</v>
      </c>
      <c r="E76" s="122">
        <v>1.8888888888888891</v>
      </c>
      <c r="F76" s="112" t="s">
        <v>40</v>
      </c>
      <c r="G76" s="114">
        <v>19</v>
      </c>
      <c r="H76" s="115" t="s">
        <v>30</v>
      </c>
    </row>
    <row r="77" spans="1:8" ht="19.899999999999999" customHeight="1">
      <c r="A77" s="121">
        <v>46024</v>
      </c>
      <c r="B77" s="112" t="s">
        <v>359</v>
      </c>
      <c r="C77" s="113" t="s">
        <v>422</v>
      </c>
      <c r="D77" s="112" t="s">
        <v>341</v>
      </c>
      <c r="E77" s="122">
        <v>1.8090277777777779</v>
      </c>
      <c r="F77" s="112" t="s">
        <v>361</v>
      </c>
      <c r="G77" s="114">
        <v>9</v>
      </c>
      <c r="H77" s="115" t="s">
        <v>423</v>
      </c>
    </row>
    <row r="78" spans="1:8" ht="19.899999999999999" customHeight="1">
      <c r="A78" s="121">
        <v>46024</v>
      </c>
      <c r="B78" s="112" t="s">
        <v>359</v>
      </c>
      <c r="C78" s="113" t="s">
        <v>360</v>
      </c>
      <c r="D78" s="112" t="s">
        <v>341</v>
      </c>
      <c r="E78" s="122">
        <v>1.225694444444444</v>
      </c>
      <c r="F78" s="112" t="s">
        <v>361</v>
      </c>
      <c r="G78" s="114">
        <v>9</v>
      </c>
      <c r="H78" s="115" t="s">
        <v>423</v>
      </c>
    </row>
    <row r="79" spans="1:8" ht="19.899999999999999" customHeight="1">
      <c r="A79" s="121">
        <v>46024</v>
      </c>
      <c r="B79" s="112" t="s">
        <v>359</v>
      </c>
      <c r="C79" s="113" t="s">
        <v>425</v>
      </c>
      <c r="D79" s="112" t="s">
        <v>341</v>
      </c>
      <c r="E79" s="122">
        <v>1.510416666666667</v>
      </c>
      <c r="F79" s="112" t="s">
        <v>361</v>
      </c>
      <c r="G79" s="114">
        <v>9</v>
      </c>
      <c r="H79" s="115" t="s">
        <v>423</v>
      </c>
    </row>
    <row r="80" spans="1:8" ht="19.899999999999999" customHeight="1">
      <c r="A80" s="121">
        <v>46024</v>
      </c>
      <c r="B80" s="112" t="s">
        <v>38</v>
      </c>
      <c r="C80" s="113" t="s">
        <v>342</v>
      </c>
      <c r="D80" s="112" t="s">
        <v>341</v>
      </c>
      <c r="E80" s="122">
        <v>1.489583333333333</v>
      </c>
      <c r="F80" s="112" t="s">
        <v>40</v>
      </c>
      <c r="G80" s="114">
        <v>19</v>
      </c>
      <c r="H80" s="115" t="s">
        <v>347</v>
      </c>
    </row>
    <row r="81" spans="1:8" ht="19.899999999999999" customHeight="1">
      <c r="A81" s="121">
        <v>46024</v>
      </c>
      <c r="B81" s="112" t="s">
        <v>38</v>
      </c>
      <c r="C81" s="113" t="s">
        <v>345</v>
      </c>
      <c r="D81" s="112" t="s">
        <v>341</v>
      </c>
      <c r="E81" s="122">
        <v>1.989583333333333</v>
      </c>
      <c r="F81" s="112" t="s">
        <v>40</v>
      </c>
      <c r="G81" s="114">
        <v>16</v>
      </c>
      <c r="H81" s="115" t="s">
        <v>347</v>
      </c>
    </row>
    <row r="82" spans="1:8" ht="19.899999999999999" customHeight="1">
      <c r="A82" s="121">
        <v>46024</v>
      </c>
      <c r="B82" s="112" t="s">
        <v>26</v>
      </c>
      <c r="C82" s="113" t="s">
        <v>348</v>
      </c>
      <c r="D82" s="112" t="s">
        <v>341</v>
      </c>
      <c r="E82" s="122">
        <v>1.993055555555556</v>
      </c>
      <c r="F82" s="112" t="s">
        <v>28</v>
      </c>
      <c r="G82" s="114">
        <v>1</v>
      </c>
      <c r="H82" s="115" t="s">
        <v>347</v>
      </c>
    </row>
    <row r="83" spans="1:8" ht="19.899999999999999" customHeight="1">
      <c r="A83" s="121">
        <v>46024</v>
      </c>
      <c r="B83" s="112" t="s">
        <v>26</v>
      </c>
      <c r="C83" s="113" t="s">
        <v>350</v>
      </c>
      <c r="D83" s="112" t="s">
        <v>341</v>
      </c>
      <c r="E83" s="122">
        <v>1.7361111111111109</v>
      </c>
      <c r="F83" s="112" t="s">
        <v>28</v>
      </c>
      <c r="G83" s="114">
        <v>1</v>
      </c>
      <c r="H83" s="115" t="s">
        <v>347</v>
      </c>
    </row>
    <row r="84" spans="1:8" ht="19.899999999999999" customHeight="1">
      <c r="A84" s="129">
        <v>46024</v>
      </c>
      <c r="B84" s="117" t="s">
        <v>61</v>
      </c>
      <c r="C84" s="118" t="s">
        <v>428</v>
      </c>
      <c r="D84" s="117" t="s">
        <v>341</v>
      </c>
      <c r="E84" s="130">
        <v>1.5590277777777779</v>
      </c>
      <c r="F84" s="117" t="s">
        <v>63</v>
      </c>
      <c r="G84" s="119">
        <v>1</v>
      </c>
      <c r="H84" s="120" t="s">
        <v>365</v>
      </c>
    </row>
    <row r="85" spans="1:8" ht="19.899999999999999" customHeight="1">
      <c r="A85" s="129">
        <v>46024</v>
      </c>
      <c r="B85" s="117" t="s">
        <v>61</v>
      </c>
      <c r="C85" s="118" t="s">
        <v>377</v>
      </c>
      <c r="D85" s="117" t="s">
        <v>341</v>
      </c>
      <c r="E85" s="130">
        <v>1.28125</v>
      </c>
      <c r="F85" s="117" t="s">
        <v>63</v>
      </c>
      <c r="G85" s="119">
        <v>5</v>
      </c>
      <c r="H85" s="120" t="s">
        <v>365</v>
      </c>
    </row>
    <row r="86" spans="1:8" ht="19.899999999999999" customHeight="1">
      <c r="A86" s="129">
        <v>46024</v>
      </c>
      <c r="B86" s="117" t="s">
        <v>61</v>
      </c>
      <c r="C86" s="118" t="s">
        <v>379</v>
      </c>
      <c r="D86" s="117" t="s">
        <v>341</v>
      </c>
      <c r="E86" s="130">
        <v>1.4375</v>
      </c>
      <c r="F86" s="117" t="s">
        <v>63</v>
      </c>
      <c r="G86" s="119">
        <v>1</v>
      </c>
      <c r="H86" s="120" t="s">
        <v>365</v>
      </c>
    </row>
    <row r="87" spans="1:8" ht="19.899999999999999" customHeight="1">
      <c r="A87" s="121">
        <v>46024</v>
      </c>
      <c r="B87" s="112" t="s">
        <v>26</v>
      </c>
      <c r="C87" s="113" t="s">
        <v>354</v>
      </c>
      <c r="D87" s="112" t="s">
        <v>341</v>
      </c>
      <c r="E87" s="122">
        <v>1.3472222222222221</v>
      </c>
      <c r="F87" s="112" t="s">
        <v>28</v>
      </c>
      <c r="G87" s="114">
        <v>1</v>
      </c>
      <c r="H87" s="115" t="s">
        <v>83</v>
      </c>
    </row>
    <row r="88" spans="1:8" ht="19.899999999999999" customHeight="1">
      <c r="A88" s="121">
        <v>46024</v>
      </c>
      <c r="B88" s="112" t="s">
        <v>26</v>
      </c>
      <c r="C88" s="113" t="s">
        <v>351</v>
      </c>
      <c r="D88" s="112" t="s">
        <v>341</v>
      </c>
      <c r="E88" s="122">
        <v>1.836805555555556</v>
      </c>
      <c r="F88" s="112" t="s">
        <v>28</v>
      </c>
      <c r="G88" s="114">
        <v>5</v>
      </c>
      <c r="H88" s="115" t="s">
        <v>83</v>
      </c>
    </row>
    <row r="89" spans="1:8" ht="19.899999999999999" customHeight="1">
      <c r="A89" s="121">
        <v>46024</v>
      </c>
      <c r="B89" s="112" t="s">
        <v>26</v>
      </c>
      <c r="C89" s="113" t="s">
        <v>352</v>
      </c>
      <c r="D89" s="112" t="s">
        <v>341</v>
      </c>
      <c r="E89" s="122">
        <v>1.944444444444444</v>
      </c>
      <c r="F89" s="112" t="s">
        <v>28</v>
      </c>
      <c r="G89" s="114">
        <v>1</v>
      </c>
      <c r="H89" s="115" t="s">
        <v>83</v>
      </c>
    </row>
    <row r="90" spans="1:8" ht="19.899999999999999" customHeight="1">
      <c r="A90" s="121">
        <v>46024</v>
      </c>
      <c r="B90" s="112" t="s">
        <v>26</v>
      </c>
      <c r="C90" s="113" t="s">
        <v>353</v>
      </c>
      <c r="D90" s="112" t="s">
        <v>341</v>
      </c>
      <c r="E90" s="122">
        <v>1.8888888888888891</v>
      </c>
      <c r="F90" s="112" t="s">
        <v>28</v>
      </c>
      <c r="G90" s="114">
        <v>5</v>
      </c>
      <c r="H90" s="115" t="s">
        <v>83</v>
      </c>
    </row>
    <row r="91" spans="1:8" ht="19.899999999999999" customHeight="1">
      <c r="A91" s="121">
        <v>46024</v>
      </c>
      <c r="B91" s="112" t="s">
        <v>38</v>
      </c>
      <c r="C91" s="113" t="s">
        <v>346</v>
      </c>
      <c r="D91" s="112" t="s">
        <v>341</v>
      </c>
      <c r="E91" s="122">
        <v>1.399305555555556</v>
      </c>
      <c r="F91" s="112" t="s">
        <v>43</v>
      </c>
      <c r="G91" s="114">
        <v>7</v>
      </c>
      <c r="H91" s="115" t="s">
        <v>33</v>
      </c>
    </row>
    <row r="92" spans="1:8" ht="19.899999999999999" customHeight="1">
      <c r="A92" s="121">
        <v>46024</v>
      </c>
      <c r="B92" s="112" t="s">
        <v>402</v>
      </c>
      <c r="C92" s="113" t="s">
        <v>403</v>
      </c>
      <c r="D92" s="112" t="s">
        <v>341</v>
      </c>
      <c r="E92" s="122">
        <v>1.493055555555556</v>
      </c>
      <c r="F92" s="112" t="s">
        <v>63</v>
      </c>
      <c r="G92" s="114">
        <v>5</v>
      </c>
      <c r="H92" s="115" t="s">
        <v>404</v>
      </c>
    </row>
    <row r="93" spans="1:8" ht="19.899999999999999" customHeight="1">
      <c r="A93" s="129">
        <v>46024</v>
      </c>
      <c r="B93" s="117" t="s">
        <v>61</v>
      </c>
      <c r="C93" s="118" t="s">
        <v>432</v>
      </c>
      <c r="D93" s="117" t="s">
        <v>341</v>
      </c>
      <c r="E93" s="130">
        <v>1.760416666666667</v>
      </c>
      <c r="F93" s="117" t="s">
        <v>63</v>
      </c>
      <c r="G93" s="119">
        <v>3</v>
      </c>
      <c r="H93" s="120" t="s">
        <v>79</v>
      </c>
    </row>
    <row r="94" spans="1:8" ht="19.899999999999999" customHeight="1">
      <c r="A94" s="129">
        <v>46024</v>
      </c>
      <c r="B94" s="117" t="s">
        <v>61</v>
      </c>
      <c r="C94" s="118" t="s">
        <v>375</v>
      </c>
      <c r="D94" s="117" t="s">
        <v>341</v>
      </c>
      <c r="E94" s="130">
        <v>1.1423611111111109</v>
      </c>
      <c r="F94" s="117" t="s">
        <v>63</v>
      </c>
      <c r="G94" s="119">
        <v>7</v>
      </c>
      <c r="H94" s="120" t="s">
        <v>79</v>
      </c>
    </row>
    <row r="95" spans="1:8" ht="19.899999999999999" customHeight="1">
      <c r="A95" s="121">
        <v>46024</v>
      </c>
      <c r="B95" s="112" t="s">
        <v>26</v>
      </c>
      <c r="C95" s="113" t="s">
        <v>348</v>
      </c>
      <c r="D95" s="112" t="s">
        <v>341</v>
      </c>
      <c r="E95" s="122">
        <v>1.993055555555556</v>
      </c>
      <c r="F95" s="112" t="s">
        <v>31</v>
      </c>
      <c r="G95" s="114">
        <v>1</v>
      </c>
      <c r="H95" s="115" t="s">
        <v>426</v>
      </c>
    </row>
    <row r="96" spans="1:8" ht="19.899999999999999" customHeight="1">
      <c r="A96" s="121">
        <v>46024</v>
      </c>
      <c r="B96" s="112" t="s">
        <v>26</v>
      </c>
      <c r="C96" s="113" t="s">
        <v>350</v>
      </c>
      <c r="D96" s="112" t="s">
        <v>341</v>
      </c>
      <c r="E96" s="122">
        <v>1.7361111111111109</v>
      </c>
      <c r="F96" s="112" t="s">
        <v>31</v>
      </c>
      <c r="G96" s="114">
        <v>1</v>
      </c>
      <c r="H96" s="115" t="s">
        <v>426</v>
      </c>
    </row>
    <row r="97" spans="1:8" ht="19.899999999999999" customHeight="1">
      <c r="A97" s="121">
        <v>46024</v>
      </c>
      <c r="B97" s="112" t="s">
        <v>38</v>
      </c>
      <c r="C97" s="113" t="s">
        <v>344</v>
      </c>
      <c r="D97" s="112" t="s">
        <v>341</v>
      </c>
      <c r="E97" s="122">
        <v>1.8888888888888891</v>
      </c>
      <c r="F97" s="112" t="s">
        <v>43</v>
      </c>
      <c r="G97" s="114">
        <v>19</v>
      </c>
      <c r="H97" s="115" t="s">
        <v>420</v>
      </c>
    </row>
    <row r="98" spans="1:8" ht="19.899999999999999" customHeight="1">
      <c r="A98" s="121">
        <v>46024</v>
      </c>
      <c r="B98" s="112" t="s">
        <v>26</v>
      </c>
      <c r="C98" s="113" t="s">
        <v>356</v>
      </c>
      <c r="D98" s="112" t="s">
        <v>341</v>
      </c>
      <c r="E98" s="122">
        <v>1.4861111111111109</v>
      </c>
      <c r="F98" s="112" t="s">
        <v>28</v>
      </c>
      <c r="G98" s="114">
        <v>9</v>
      </c>
      <c r="H98" s="115" t="s">
        <v>45</v>
      </c>
    </row>
    <row r="99" spans="1:8" ht="19.899999999999999" customHeight="1">
      <c r="A99" s="121">
        <v>46024</v>
      </c>
      <c r="B99" s="112" t="s">
        <v>26</v>
      </c>
      <c r="C99" s="113" t="s">
        <v>357</v>
      </c>
      <c r="D99" s="112" t="s">
        <v>341</v>
      </c>
      <c r="E99" s="122">
        <v>1.5590277777777779</v>
      </c>
      <c r="F99" s="112" t="s">
        <v>28</v>
      </c>
      <c r="G99" s="114">
        <v>8</v>
      </c>
      <c r="H99" s="115" t="s">
        <v>45</v>
      </c>
    </row>
    <row r="100" spans="1:8" ht="19.899999999999999" customHeight="1">
      <c r="A100" s="121">
        <v>46024</v>
      </c>
      <c r="B100" s="112" t="s">
        <v>26</v>
      </c>
      <c r="C100" s="113" t="s">
        <v>354</v>
      </c>
      <c r="D100" s="112" t="s">
        <v>341</v>
      </c>
      <c r="E100" s="122">
        <v>1.3472222222222221</v>
      </c>
      <c r="F100" s="112" t="s">
        <v>31</v>
      </c>
      <c r="G100" s="114">
        <v>1</v>
      </c>
      <c r="H100" s="115" t="s">
        <v>159</v>
      </c>
    </row>
    <row r="101" spans="1:8" ht="19.899999999999999" customHeight="1">
      <c r="A101" s="121">
        <v>46024</v>
      </c>
      <c r="B101" s="112" t="s">
        <v>26</v>
      </c>
      <c r="C101" s="113" t="s">
        <v>351</v>
      </c>
      <c r="D101" s="112" t="s">
        <v>341</v>
      </c>
      <c r="E101" s="122">
        <v>1.836805555555556</v>
      </c>
      <c r="F101" s="112" t="s">
        <v>31</v>
      </c>
      <c r="G101" s="114">
        <v>5</v>
      </c>
      <c r="H101" s="115" t="s">
        <v>159</v>
      </c>
    </row>
    <row r="102" spans="1:8" ht="19.899999999999999" customHeight="1">
      <c r="A102" s="121">
        <v>46024</v>
      </c>
      <c r="B102" s="112" t="s">
        <v>26</v>
      </c>
      <c r="C102" s="113" t="s">
        <v>352</v>
      </c>
      <c r="D102" s="112" t="s">
        <v>341</v>
      </c>
      <c r="E102" s="122">
        <v>1.944444444444444</v>
      </c>
      <c r="F102" s="112" t="s">
        <v>31</v>
      </c>
      <c r="G102" s="114">
        <v>1</v>
      </c>
      <c r="H102" s="115" t="s">
        <v>159</v>
      </c>
    </row>
    <row r="103" spans="1:8" ht="19.899999999999999" customHeight="1">
      <c r="A103" s="121">
        <v>46024</v>
      </c>
      <c r="B103" s="112" t="s">
        <v>26</v>
      </c>
      <c r="C103" s="113" t="s">
        <v>353</v>
      </c>
      <c r="D103" s="112" t="s">
        <v>341</v>
      </c>
      <c r="E103" s="122">
        <v>1.8888888888888891</v>
      </c>
      <c r="F103" s="112" t="s">
        <v>31</v>
      </c>
      <c r="G103" s="114">
        <v>5</v>
      </c>
      <c r="H103" s="115" t="s">
        <v>159</v>
      </c>
    </row>
    <row r="104" spans="1:8" ht="19.899999999999999" customHeight="1">
      <c r="A104" s="121">
        <v>46024</v>
      </c>
      <c r="B104" s="112" t="s">
        <v>38</v>
      </c>
      <c r="C104" s="113" t="s">
        <v>342</v>
      </c>
      <c r="D104" s="112" t="s">
        <v>341</v>
      </c>
      <c r="E104" s="122">
        <v>1.489583333333333</v>
      </c>
      <c r="F104" s="112" t="s">
        <v>43</v>
      </c>
      <c r="G104" s="114">
        <v>19</v>
      </c>
      <c r="H104" s="115" t="s">
        <v>138</v>
      </c>
    </row>
    <row r="105" spans="1:8" ht="19.899999999999999" customHeight="1">
      <c r="A105" s="121">
        <v>46024</v>
      </c>
      <c r="B105" s="112" t="s">
        <v>38</v>
      </c>
      <c r="C105" s="113" t="s">
        <v>345</v>
      </c>
      <c r="D105" s="112" t="s">
        <v>341</v>
      </c>
      <c r="E105" s="122">
        <v>1.989583333333333</v>
      </c>
      <c r="F105" s="112" t="s">
        <v>43</v>
      </c>
      <c r="G105" s="114">
        <v>16</v>
      </c>
      <c r="H105" s="115" t="s">
        <v>138</v>
      </c>
    </row>
    <row r="106" spans="1:8" ht="19.899999999999999" customHeight="1">
      <c r="A106" s="121">
        <v>46024</v>
      </c>
      <c r="B106" s="112" t="s">
        <v>68</v>
      </c>
      <c r="C106" s="113" t="s">
        <v>405</v>
      </c>
      <c r="D106" s="112" t="s">
        <v>341</v>
      </c>
      <c r="E106" s="122">
        <v>1.836805555555556</v>
      </c>
      <c r="F106" s="112" t="s">
        <v>70</v>
      </c>
      <c r="G106" s="114">
        <v>9</v>
      </c>
      <c r="H106" s="115" t="s">
        <v>406</v>
      </c>
    </row>
    <row r="107" spans="1:8" ht="19.899999999999999" customHeight="1">
      <c r="A107" s="121">
        <v>46024</v>
      </c>
      <c r="B107" s="112" t="s">
        <v>68</v>
      </c>
      <c r="C107" s="113" t="s">
        <v>407</v>
      </c>
      <c r="D107" s="112" t="s">
        <v>341</v>
      </c>
      <c r="E107" s="122">
        <v>1.3125</v>
      </c>
      <c r="F107" s="112" t="s">
        <v>70</v>
      </c>
      <c r="G107" s="114">
        <v>9</v>
      </c>
      <c r="H107" s="115" t="s">
        <v>406</v>
      </c>
    </row>
    <row r="108" spans="1:8" ht="19.899999999999999" customHeight="1">
      <c r="A108" s="121">
        <v>46024</v>
      </c>
      <c r="B108" s="112" t="s">
        <v>68</v>
      </c>
      <c r="C108" s="113" t="s">
        <v>408</v>
      </c>
      <c r="D108" s="112" t="s">
        <v>341</v>
      </c>
      <c r="E108" s="122">
        <v>1.9722222222222221</v>
      </c>
      <c r="F108" s="112" t="s">
        <v>70</v>
      </c>
      <c r="G108" s="114">
        <v>9</v>
      </c>
      <c r="H108" s="115" t="s">
        <v>406</v>
      </c>
    </row>
    <row r="109" spans="1:8" ht="19.899999999999999" customHeight="1">
      <c r="A109" s="121">
        <v>46024</v>
      </c>
      <c r="B109" s="112" t="s">
        <v>68</v>
      </c>
      <c r="C109" s="113" t="s">
        <v>437</v>
      </c>
      <c r="D109" s="112" t="s">
        <v>341</v>
      </c>
      <c r="E109" s="122">
        <v>1.104166666666667</v>
      </c>
      <c r="F109" s="112" t="s">
        <v>70</v>
      </c>
      <c r="G109" s="114">
        <v>9</v>
      </c>
      <c r="H109" s="115" t="s">
        <v>406</v>
      </c>
    </row>
    <row r="110" spans="1:8" ht="19.899999999999999" customHeight="1">
      <c r="A110" s="121">
        <v>46024</v>
      </c>
      <c r="B110" s="112" t="s">
        <v>68</v>
      </c>
      <c r="C110" s="113" t="s">
        <v>411</v>
      </c>
      <c r="D110" s="112" t="s">
        <v>341</v>
      </c>
      <c r="E110" s="122">
        <v>1.7847222222222221</v>
      </c>
      <c r="F110" s="112" t="s">
        <v>70</v>
      </c>
      <c r="G110" s="114">
        <v>9</v>
      </c>
      <c r="H110" s="115" t="s">
        <v>406</v>
      </c>
    </row>
    <row r="111" spans="1:8" ht="19.899999999999999" customHeight="1">
      <c r="A111" s="121">
        <v>46024</v>
      </c>
      <c r="B111" s="112" t="s">
        <v>68</v>
      </c>
      <c r="C111" s="113" t="s">
        <v>410</v>
      </c>
      <c r="D111" s="112" t="s">
        <v>341</v>
      </c>
      <c r="E111" s="122">
        <v>1.5972222222222221</v>
      </c>
      <c r="F111" s="112" t="s">
        <v>70</v>
      </c>
      <c r="G111" s="114">
        <v>9</v>
      </c>
      <c r="H111" s="115" t="s">
        <v>406</v>
      </c>
    </row>
    <row r="112" spans="1:8" ht="19.899999999999999" customHeight="1">
      <c r="A112" s="121">
        <v>46024</v>
      </c>
      <c r="B112" s="112" t="s">
        <v>68</v>
      </c>
      <c r="C112" s="113" t="s">
        <v>413</v>
      </c>
      <c r="D112" s="112" t="s">
        <v>341</v>
      </c>
      <c r="E112" s="122">
        <v>1.0486111111111109</v>
      </c>
      <c r="F112" s="112" t="s">
        <v>70</v>
      </c>
      <c r="G112" s="114">
        <v>9</v>
      </c>
      <c r="H112" s="115" t="s">
        <v>406</v>
      </c>
    </row>
    <row r="113" spans="1:8" ht="19.899999999999999" customHeight="1">
      <c r="A113" s="121">
        <v>46024</v>
      </c>
      <c r="B113" s="112" t="s">
        <v>26</v>
      </c>
      <c r="C113" s="113" t="s">
        <v>348</v>
      </c>
      <c r="D113" s="112" t="s">
        <v>341</v>
      </c>
      <c r="E113" s="122">
        <v>1.993055555555556</v>
      </c>
      <c r="F113" s="112" t="s">
        <v>34</v>
      </c>
      <c r="G113" s="114">
        <v>1</v>
      </c>
      <c r="H113" s="115" t="s">
        <v>162</v>
      </c>
    </row>
    <row r="114" spans="1:8" ht="19.899999999999999" customHeight="1">
      <c r="A114" s="121">
        <v>46024</v>
      </c>
      <c r="B114" s="112" t="s">
        <v>26</v>
      </c>
      <c r="C114" s="113" t="s">
        <v>350</v>
      </c>
      <c r="D114" s="112" t="s">
        <v>341</v>
      </c>
      <c r="E114" s="122">
        <v>1.7361111111111109</v>
      </c>
      <c r="F114" s="112" t="s">
        <v>34</v>
      </c>
      <c r="G114" s="114">
        <v>1</v>
      </c>
      <c r="H114" s="115" t="s">
        <v>162</v>
      </c>
    </row>
    <row r="115" spans="1:8" ht="19.899999999999999" customHeight="1">
      <c r="A115" s="121">
        <v>46024</v>
      </c>
      <c r="B115" s="112" t="s">
        <v>359</v>
      </c>
      <c r="C115" s="113" t="s">
        <v>422</v>
      </c>
      <c r="D115" s="112" t="s">
        <v>341</v>
      </c>
      <c r="E115" s="122">
        <v>1.8090277777777779</v>
      </c>
      <c r="F115" s="112" t="s">
        <v>46</v>
      </c>
      <c r="G115" s="114">
        <v>9</v>
      </c>
      <c r="H115" s="115" t="s">
        <v>424</v>
      </c>
    </row>
    <row r="116" spans="1:8" ht="19.899999999999999" customHeight="1">
      <c r="A116" s="121">
        <v>46024</v>
      </c>
      <c r="B116" s="112" t="s">
        <v>359</v>
      </c>
      <c r="C116" s="113" t="s">
        <v>360</v>
      </c>
      <c r="D116" s="112" t="s">
        <v>341</v>
      </c>
      <c r="E116" s="122">
        <v>1.225694444444444</v>
      </c>
      <c r="F116" s="112" t="s">
        <v>46</v>
      </c>
      <c r="G116" s="114">
        <v>9</v>
      </c>
      <c r="H116" s="115" t="s">
        <v>424</v>
      </c>
    </row>
    <row r="117" spans="1:8" ht="19.899999999999999" customHeight="1">
      <c r="A117" s="121">
        <v>46024</v>
      </c>
      <c r="B117" s="112" t="s">
        <v>359</v>
      </c>
      <c r="C117" s="113" t="s">
        <v>425</v>
      </c>
      <c r="D117" s="112" t="s">
        <v>341</v>
      </c>
      <c r="E117" s="122">
        <v>1.510416666666667</v>
      </c>
      <c r="F117" s="112" t="s">
        <v>46</v>
      </c>
      <c r="G117" s="114">
        <v>9</v>
      </c>
      <c r="H117" s="115" t="s">
        <v>424</v>
      </c>
    </row>
    <row r="118" spans="1:8" ht="19.899999999999999" customHeight="1">
      <c r="A118" s="121">
        <v>46024</v>
      </c>
      <c r="B118" s="112" t="s">
        <v>26</v>
      </c>
      <c r="C118" s="113" t="s">
        <v>354</v>
      </c>
      <c r="D118" s="112" t="s">
        <v>341</v>
      </c>
      <c r="E118" s="122">
        <v>1.3472222222222221</v>
      </c>
      <c r="F118" s="112" t="s">
        <v>34</v>
      </c>
      <c r="G118" s="114">
        <v>1</v>
      </c>
      <c r="H118" s="115" t="s">
        <v>355</v>
      </c>
    </row>
    <row r="119" spans="1:8" ht="19.899999999999999" customHeight="1">
      <c r="A119" s="121">
        <v>46024</v>
      </c>
      <c r="B119" s="112" t="s">
        <v>26</v>
      </c>
      <c r="C119" s="113" t="s">
        <v>351</v>
      </c>
      <c r="D119" s="112" t="s">
        <v>341</v>
      </c>
      <c r="E119" s="122">
        <v>1.836805555555556</v>
      </c>
      <c r="F119" s="112" t="s">
        <v>34</v>
      </c>
      <c r="G119" s="114">
        <v>5</v>
      </c>
      <c r="H119" s="115" t="s">
        <v>355</v>
      </c>
    </row>
    <row r="120" spans="1:8" ht="19.899999999999999" customHeight="1">
      <c r="A120" s="121">
        <v>46024</v>
      </c>
      <c r="B120" s="112" t="s">
        <v>26</v>
      </c>
      <c r="C120" s="113" t="s">
        <v>352</v>
      </c>
      <c r="D120" s="112" t="s">
        <v>341</v>
      </c>
      <c r="E120" s="122">
        <v>1.944444444444444</v>
      </c>
      <c r="F120" s="112" t="s">
        <v>34</v>
      </c>
      <c r="G120" s="114">
        <v>1</v>
      </c>
      <c r="H120" s="115" t="s">
        <v>355</v>
      </c>
    </row>
    <row r="121" spans="1:8" ht="19.899999999999999" customHeight="1">
      <c r="A121" s="121">
        <v>46024</v>
      </c>
      <c r="B121" s="112" t="s">
        <v>26</v>
      </c>
      <c r="C121" s="113" t="s">
        <v>356</v>
      </c>
      <c r="D121" s="112" t="s">
        <v>341</v>
      </c>
      <c r="E121" s="122">
        <v>1.4861111111111109</v>
      </c>
      <c r="F121" s="112" t="s">
        <v>31</v>
      </c>
      <c r="G121" s="114">
        <v>9</v>
      </c>
      <c r="H121" s="115" t="s">
        <v>355</v>
      </c>
    </row>
    <row r="122" spans="1:8" ht="19.899999999999999" customHeight="1">
      <c r="A122" s="121">
        <v>46024</v>
      </c>
      <c r="B122" s="112" t="s">
        <v>26</v>
      </c>
      <c r="C122" s="113" t="s">
        <v>357</v>
      </c>
      <c r="D122" s="112" t="s">
        <v>341</v>
      </c>
      <c r="E122" s="122">
        <v>1.5590277777777779</v>
      </c>
      <c r="F122" s="112" t="s">
        <v>31</v>
      </c>
      <c r="G122" s="114">
        <v>8</v>
      </c>
      <c r="H122" s="115" t="s">
        <v>355</v>
      </c>
    </row>
    <row r="123" spans="1:8" ht="19.899999999999999" customHeight="1">
      <c r="A123" s="121">
        <v>46024</v>
      </c>
      <c r="B123" s="112" t="s">
        <v>26</v>
      </c>
      <c r="C123" s="113" t="s">
        <v>353</v>
      </c>
      <c r="D123" s="112" t="s">
        <v>341</v>
      </c>
      <c r="E123" s="122">
        <v>1.8888888888888891</v>
      </c>
      <c r="F123" s="112" t="s">
        <v>34</v>
      </c>
      <c r="G123" s="114">
        <v>5</v>
      </c>
      <c r="H123" s="115" t="s">
        <v>355</v>
      </c>
    </row>
    <row r="124" spans="1:8" ht="19.899999999999999" customHeight="1">
      <c r="A124" s="121">
        <v>46024</v>
      </c>
      <c r="B124" s="112" t="s">
        <v>26</v>
      </c>
      <c r="C124" s="113" t="s">
        <v>356</v>
      </c>
      <c r="D124" s="112" t="s">
        <v>341</v>
      </c>
      <c r="E124" s="122">
        <v>1.4861111111111109</v>
      </c>
      <c r="F124" s="112" t="s">
        <v>34</v>
      </c>
      <c r="G124" s="114">
        <v>9</v>
      </c>
      <c r="H124" s="115" t="s">
        <v>358</v>
      </c>
    </row>
    <row r="125" spans="1:8" ht="19.899999999999999" customHeight="1">
      <c r="A125" s="121">
        <v>46024</v>
      </c>
      <c r="B125" s="112" t="s">
        <v>26</v>
      </c>
      <c r="C125" s="113" t="s">
        <v>357</v>
      </c>
      <c r="D125" s="112" t="s">
        <v>341</v>
      </c>
      <c r="E125" s="122">
        <v>1.5590277777777779</v>
      </c>
      <c r="F125" s="112" t="s">
        <v>34</v>
      </c>
      <c r="G125" s="114">
        <v>8</v>
      </c>
      <c r="H125" s="115" t="s">
        <v>358</v>
      </c>
    </row>
    <row r="126" spans="1:8" ht="19.899999999999999" customHeight="1">
      <c r="A126" s="121">
        <v>46024</v>
      </c>
      <c r="B126" s="112" t="s">
        <v>38</v>
      </c>
      <c r="C126" s="113" t="s">
        <v>344</v>
      </c>
      <c r="D126" s="112" t="s">
        <v>341</v>
      </c>
      <c r="E126" s="122">
        <v>1.8888888888888891</v>
      </c>
      <c r="F126" s="112" t="s">
        <v>46</v>
      </c>
      <c r="G126" s="114">
        <v>19</v>
      </c>
      <c r="H126" s="115" t="s">
        <v>47</v>
      </c>
    </row>
    <row r="127" spans="1:8" ht="19.899999999999999" customHeight="1">
      <c r="A127" s="121">
        <v>46024</v>
      </c>
      <c r="B127" s="112" t="s">
        <v>38</v>
      </c>
      <c r="C127" s="113" t="s">
        <v>345</v>
      </c>
      <c r="D127" s="112" t="s">
        <v>341</v>
      </c>
      <c r="E127" s="122">
        <v>1.989583333333333</v>
      </c>
      <c r="F127" s="112" t="s">
        <v>46</v>
      </c>
      <c r="G127" s="114">
        <v>16</v>
      </c>
      <c r="H127" s="115" t="s">
        <v>47</v>
      </c>
    </row>
    <row r="128" spans="1:8" ht="19.899999999999999" customHeight="1">
      <c r="A128" s="121">
        <v>46024</v>
      </c>
      <c r="B128" s="112" t="s">
        <v>48</v>
      </c>
      <c r="C128" s="113" t="s">
        <v>398</v>
      </c>
      <c r="D128" s="112" t="s">
        <v>341</v>
      </c>
      <c r="E128" s="122">
        <v>1.399305555555556</v>
      </c>
      <c r="F128" s="112" t="s">
        <v>53</v>
      </c>
      <c r="G128" s="114">
        <v>4</v>
      </c>
      <c r="H128" s="115" t="s">
        <v>395</v>
      </c>
    </row>
    <row r="129" spans="1:8" ht="19.899999999999999" customHeight="1">
      <c r="A129" s="121">
        <v>46024</v>
      </c>
      <c r="B129" s="112" t="s">
        <v>48</v>
      </c>
      <c r="C129" s="113" t="s">
        <v>397</v>
      </c>
      <c r="D129" s="112" t="s">
        <v>341</v>
      </c>
      <c r="E129" s="122">
        <v>1.8888888888888891</v>
      </c>
      <c r="F129" s="112" t="s">
        <v>53</v>
      </c>
      <c r="G129" s="114">
        <v>4</v>
      </c>
      <c r="H129" s="115" t="s">
        <v>438</v>
      </c>
    </row>
    <row r="130" spans="1:8" ht="19.899999999999999" customHeight="1">
      <c r="A130" s="121">
        <v>46024</v>
      </c>
      <c r="B130" s="112" t="s">
        <v>48</v>
      </c>
      <c r="C130" s="113" t="s">
        <v>394</v>
      </c>
      <c r="D130" s="112" t="s">
        <v>341</v>
      </c>
      <c r="E130" s="122">
        <v>1.989583333333333</v>
      </c>
      <c r="F130" s="112" t="s">
        <v>53</v>
      </c>
      <c r="G130" s="114">
        <v>4</v>
      </c>
      <c r="H130" s="115" t="s">
        <v>399</v>
      </c>
    </row>
    <row r="131" spans="1:8" ht="19.899999999999999" customHeight="1">
      <c r="A131" s="121">
        <v>46024</v>
      </c>
      <c r="B131" s="112" t="s">
        <v>48</v>
      </c>
      <c r="C131" s="113" t="s">
        <v>396</v>
      </c>
      <c r="D131" s="112" t="s">
        <v>341</v>
      </c>
      <c r="E131" s="122">
        <v>1.489583333333333</v>
      </c>
      <c r="F131" s="112" t="s">
        <v>53</v>
      </c>
      <c r="G131" s="114">
        <v>4</v>
      </c>
      <c r="H131" s="115" t="s">
        <v>399</v>
      </c>
    </row>
    <row r="132" spans="1:8" ht="19.899999999999999" customHeight="1">
      <c r="A132" s="121">
        <v>46024</v>
      </c>
      <c r="B132" s="112" t="s">
        <v>48</v>
      </c>
      <c r="C132" s="113" t="s">
        <v>391</v>
      </c>
      <c r="D132" s="112" t="s">
        <v>341</v>
      </c>
      <c r="E132" s="122">
        <v>1.489583333333333</v>
      </c>
      <c r="F132" s="112" t="s">
        <v>53</v>
      </c>
      <c r="G132" s="114">
        <v>9</v>
      </c>
      <c r="H132" s="115" t="s">
        <v>439</v>
      </c>
    </row>
    <row r="133" spans="1:8" ht="19.899999999999999" customHeight="1">
      <c r="A133" s="121">
        <v>46024</v>
      </c>
      <c r="B133" s="112" t="s">
        <v>48</v>
      </c>
      <c r="C133" s="113" t="s">
        <v>386</v>
      </c>
      <c r="D133" s="112" t="s">
        <v>341</v>
      </c>
      <c r="E133" s="122">
        <v>1.8298611111111109</v>
      </c>
      <c r="F133" s="112" t="s">
        <v>53</v>
      </c>
      <c r="G133" s="114">
        <v>9</v>
      </c>
      <c r="H133" s="115" t="s">
        <v>439</v>
      </c>
    </row>
    <row r="134" spans="1:8" ht="19.899999999999999" customHeight="1">
      <c r="A134" s="121">
        <v>46024</v>
      </c>
      <c r="B134" s="112" t="s">
        <v>48</v>
      </c>
      <c r="C134" s="113" t="s">
        <v>388</v>
      </c>
      <c r="D134" s="112" t="s">
        <v>341</v>
      </c>
      <c r="E134" s="122">
        <v>1.7222222222222221</v>
      </c>
      <c r="F134" s="112" t="s">
        <v>53</v>
      </c>
      <c r="G134" s="114">
        <v>9</v>
      </c>
      <c r="H134" s="115" t="s">
        <v>439</v>
      </c>
    </row>
    <row r="135" spans="1:8" ht="19.899999999999999" customHeight="1">
      <c r="A135" s="121">
        <v>46024</v>
      </c>
      <c r="B135" s="112" t="s">
        <v>48</v>
      </c>
      <c r="C135" s="113" t="s">
        <v>382</v>
      </c>
      <c r="D135" s="112" t="s">
        <v>341</v>
      </c>
      <c r="E135" s="122">
        <v>1.118055555555556</v>
      </c>
      <c r="F135" s="112" t="s">
        <v>53</v>
      </c>
      <c r="G135" s="114">
        <v>9</v>
      </c>
      <c r="H135" s="115" t="s">
        <v>439</v>
      </c>
    </row>
    <row r="136" spans="1:8" ht="19.899999999999999" customHeight="1">
      <c r="A136" s="121">
        <v>46024</v>
      </c>
      <c r="B136" s="112" t="s">
        <v>48</v>
      </c>
      <c r="C136" s="113" t="s">
        <v>389</v>
      </c>
      <c r="D136" s="112" t="s">
        <v>341</v>
      </c>
      <c r="E136" s="122">
        <v>1.7013888888888891</v>
      </c>
      <c r="F136" s="112" t="s">
        <v>53</v>
      </c>
      <c r="G136" s="114">
        <v>9</v>
      </c>
      <c r="H136" s="115" t="s">
        <v>439</v>
      </c>
    </row>
    <row r="137" spans="1:8" ht="19.899999999999999" customHeight="1">
      <c r="A137" s="121">
        <v>46024</v>
      </c>
      <c r="B137" s="112" t="s">
        <v>48</v>
      </c>
      <c r="C137" s="113" t="s">
        <v>400</v>
      </c>
      <c r="D137" s="112" t="s">
        <v>341</v>
      </c>
      <c r="E137" s="122">
        <v>1.2534722222222221</v>
      </c>
      <c r="F137" s="112" t="s">
        <v>53</v>
      </c>
      <c r="G137" s="114">
        <v>9</v>
      </c>
      <c r="H137" s="115" t="s">
        <v>439</v>
      </c>
    </row>
    <row r="138" spans="1:8" ht="19.899999999999999" customHeight="1">
      <c r="A138" s="121">
        <v>46024</v>
      </c>
      <c r="B138" s="112" t="s">
        <v>48</v>
      </c>
      <c r="C138" s="113" t="s">
        <v>390</v>
      </c>
      <c r="D138" s="112" t="s">
        <v>341</v>
      </c>
      <c r="E138" s="122">
        <v>1.041666666666667</v>
      </c>
      <c r="F138" s="112" t="s">
        <v>53</v>
      </c>
      <c r="G138" s="114">
        <v>9</v>
      </c>
      <c r="H138" s="115" t="s">
        <v>439</v>
      </c>
    </row>
    <row r="139" spans="1:8" ht="19.899999999999999" customHeight="1">
      <c r="A139" s="121">
        <v>46024</v>
      </c>
      <c r="B139" s="112" t="s">
        <v>48</v>
      </c>
      <c r="C139" s="113" t="s">
        <v>385</v>
      </c>
      <c r="D139" s="112" t="s">
        <v>341</v>
      </c>
      <c r="E139" s="122">
        <v>1.9409722222222221</v>
      </c>
      <c r="F139" s="112" t="s">
        <v>53</v>
      </c>
      <c r="G139" s="114">
        <v>9</v>
      </c>
      <c r="H139" s="115" t="s">
        <v>439</v>
      </c>
    </row>
    <row r="140" spans="1:8" ht="19.899999999999999" customHeight="1">
      <c r="A140" s="121">
        <v>46024</v>
      </c>
      <c r="B140" s="112" t="s">
        <v>38</v>
      </c>
      <c r="C140" s="113" t="s">
        <v>346</v>
      </c>
      <c r="D140" s="112" t="s">
        <v>341</v>
      </c>
      <c r="E140" s="122">
        <v>1.399305555555556</v>
      </c>
      <c r="F140" s="112" t="s">
        <v>46</v>
      </c>
      <c r="G140" s="114">
        <v>7</v>
      </c>
      <c r="H140" s="115" t="s">
        <v>419</v>
      </c>
    </row>
    <row r="141" spans="1:8" ht="19.899999999999999" customHeight="1">
      <c r="A141" s="121">
        <v>46024</v>
      </c>
      <c r="B141" s="112" t="s">
        <v>38</v>
      </c>
      <c r="C141" s="113" t="s">
        <v>342</v>
      </c>
      <c r="D141" s="112" t="s">
        <v>341</v>
      </c>
      <c r="E141" s="122">
        <v>1.489583333333333</v>
      </c>
      <c r="F141" s="112" t="s">
        <v>46</v>
      </c>
      <c r="G141" s="114">
        <v>19</v>
      </c>
      <c r="H141" s="115" t="s">
        <v>419</v>
      </c>
    </row>
    <row r="142" spans="1:8" ht="19.899999999999999" customHeight="1">
      <c r="A142" s="123">
        <v>46024</v>
      </c>
      <c r="B142" s="124" t="s">
        <v>415</v>
      </c>
      <c r="C142" s="125" t="s">
        <v>416</v>
      </c>
      <c r="D142" s="124" t="s">
        <v>341</v>
      </c>
      <c r="E142" s="126">
        <v>1.0972222222222221</v>
      </c>
      <c r="F142" s="124" t="s">
        <v>63</v>
      </c>
      <c r="G142" s="127">
        <v>9</v>
      </c>
      <c r="H142" s="128" t="s">
        <v>417</v>
      </c>
    </row>
    <row r="143" spans="1:8" ht="19.899999999999999" customHeight="1">
      <c r="A143" s="121">
        <v>46025</v>
      </c>
      <c r="B143" s="112" t="s">
        <v>38</v>
      </c>
      <c r="C143" s="113" t="s">
        <v>346</v>
      </c>
      <c r="D143" s="112" t="s">
        <v>341</v>
      </c>
      <c r="E143" s="122">
        <v>1.399305555555556</v>
      </c>
      <c r="F143" s="112" t="s">
        <v>440</v>
      </c>
      <c r="G143" s="114">
        <v>15</v>
      </c>
      <c r="H143" s="115" t="s">
        <v>30</v>
      </c>
    </row>
    <row r="144" spans="1:8" ht="19.899999999999999" customHeight="1">
      <c r="A144" s="121">
        <v>46025</v>
      </c>
      <c r="B144" s="112" t="s">
        <v>38</v>
      </c>
      <c r="C144" s="113" t="s">
        <v>346</v>
      </c>
      <c r="D144" s="112" t="s">
        <v>341</v>
      </c>
      <c r="E144" s="122">
        <v>1.399305555555556</v>
      </c>
      <c r="F144" s="112" t="s">
        <v>40</v>
      </c>
      <c r="G144" s="114">
        <v>15</v>
      </c>
      <c r="H144" s="115" t="s">
        <v>30</v>
      </c>
    </row>
    <row r="145" spans="1:8" ht="19.899999999999999" customHeight="1">
      <c r="A145" s="121">
        <v>46025</v>
      </c>
      <c r="B145" s="112" t="s">
        <v>38</v>
      </c>
      <c r="C145" s="113" t="s">
        <v>345</v>
      </c>
      <c r="D145" s="112" t="s">
        <v>341</v>
      </c>
      <c r="E145" s="122">
        <v>1.989583333333333</v>
      </c>
      <c r="F145" s="112" t="s">
        <v>440</v>
      </c>
      <c r="G145" s="114">
        <v>11</v>
      </c>
      <c r="H145" s="115" t="s">
        <v>30</v>
      </c>
    </row>
    <row r="146" spans="1:8" ht="19.899999999999999" customHeight="1">
      <c r="A146" s="121">
        <v>46025</v>
      </c>
      <c r="B146" s="112" t="s">
        <v>38</v>
      </c>
      <c r="C146" s="113" t="s">
        <v>345</v>
      </c>
      <c r="D146" s="112" t="s">
        <v>341</v>
      </c>
      <c r="E146" s="122">
        <v>1.989583333333333</v>
      </c>
      <c r="F146" s="112" t="s">
        <v>40</v>
      </c>
      <c r="G146" s="114">
        <v>11</v>
      </c>
      <c r="H146" s="115" t="s">
        <v>30</v>
      </c>
    </row>
    <row r="147" spans="1:8" ht="19.899999999999999" customHeight="1">
      <c r="A147" s="121">
        <v>46025</v>
      </c>
      <c r="B147" s="112" t="s">
        <v>359</v>
      </c>
      <c r="C147" s="113" t="s">
        <v>360</v>
      </c>
      <c r="D147" s="112" t="s">
        <v>341</v>
      </c>
      <c r="E147" s="122">
        <v>1.1701388888888891</v>
      </c>
      <c r="F147" s="112" t="s">
        <v>361</v>
      </c>
      <c r="G147" s="114">
        <v>9</v>
      </c>
      <c r="H147" s="115" t="s">
        <v>423</v>
      </c>
    </row>
    <row r="148" spans="1:8" ht="19.899999999999999" customHeight="1">
      <c r="A148" s="121">
        <v>46025</v>
      </c>
      <c r="B148" s="112" t="s">
        <v>359</v>
      </c>
      <c r="C148" s="113" t="s">
        <v>445</v>
      </c>
      <c r="D148" s="112" t="s">
        <v>341</v>
      </c>
      <c r="E148" s="122">
        <v>1.055555555555556</v>
      </c>
      <c r="F148" s="112" t="s">
        <v>361</v>
      </c>
      <c r="G148" s="114">
        <v>9</v>
      </c>
      <c r="H148" s="115" t="s">
        <v>423</v>
      </c>
    </row>
    <row r="149" spans="1:8" ht="19.899999999999999" customHeight="1">
      <c r="A149" s="129">
        <v>46025</v>
      </c>
      <c r="B149" s="117" t="s">
        <v>61</v>
      </c>
      <c r="C149" s="118" t="s">
        <v>371</v>
      </c>
      <c r="D149" s="117" t="s">
        <v>341</v>
      </c>
      <c r="E149" s="130">
        <v>1.0486111111111109</v>
      </c>
      <c r="F149" s="117" t="s">
        <v>63</v>
      </c>
      <c r="G149" s="119">
        <v>3</v>
      </c>
      <c r="H149" s="120" t="s">
        <v>365</v>
      </c>
    </row>
    <row r="150" spans="1:8" ht="19.899999999999999" customHeight="1">
      <c r="A150" s="121">
        <v>46025</v>
      </c>
      <c r="B150" s="112" t="s">
        <v>38</v>
      </c>
      <c r="C150" s="113" t="s">
        <v>342</v>
      </c>
      <c r="D150" s="112" t="s">
        <v>341</v>
      </c>
      <c r="E150" s="122">
        <v>1.489583333333333</v>
      </c>
      <c r="F150" s="112" t="s">
        <v>40</v>
      </c>
      <c r="G150" s="114">
        <v>18</v>
      </c>
      <c r="H150" s="115" t="s">
        <v>349</v>
      </c>
    </row>
    <row r="151" spans="1:8" ht="19.899999999999999" customHeight="1">
      <c r="A151" s="121">
        <v>46025</v>
      </c>
      <c r="B151" s="112" t="s">
        <v>38</v>
      </c>
      <c r="C151" s="113" t="s">
        <v>344</v>
      </c>
      <c r="D151" s="112" t="s">
        <v>341</v>
      </c>
      <c r="E151" s="122">
        <v>1.8888888888888891</v>
      </c>
      <c r="F151" s="112" t="s">
        <v>440</v>
      </c>
      <c r="G151" s="114">
        <v>13</v>
      </c>
      <c r="H151" s="115" t="s">
        <v>349</v>
      </c>
    </row>
    <row r="152" spans="1:8" ht="19.899999999999999" customHeight="1">
      <c r="A152" s="121">
        <v>46025</v>
      </c>
      <c r="B152" s="112" t="s">
        <v>38</v>
      </c>
      <c r="C152" s="113" t="s">
        <v>344</v>
      </c>
      <c r="D152" s="112" t="s">
        <v>341</v>
      </c>
      <c r="E152" s="122">
        <v>1.8888888888888891</v>
      </c>
      <c r="F152" s="112" t="s">
        <v>40</v>
      </c>
      <c r="G152" s="114">
        <v>13</v>
      </c>
      <c r="H152" s="115" t="s">
        <v>349</v>
      </c>
    </row>
    <row r="153" spans="1:8" ht="19.899999999999999" customHeight="1">
      <c r="A153" s="121">
        <v>46025</v>
      </c>
      <c r="B153" s="112" t="s">
        <v>402</v>
      </c>
      <c r="C153" s="113" t="s">
        <v>403</v>
      </c>
      <c r="D153" s="112" t="s">
        <v>341</v>
      </c>
      <c r="E153" s="122">
        <v>1.493055555555556</v>
      </c>
      <c r="F153" s="112" t="s">
        <v>63</v>
      </c>
      <c r="G153" s="114">
        <v>2</v>
      </c>
      <c r="H153" s="115" t="s">
        <v>404</v>
      </c>
    </row>
    <row r="154" spans="1:8" ht="19.899999999999999" customHeight="1">
      <c r="A154" s="129">
        <v>46025</v>
      </c>
      <c r="B154" s="117" t="s">
        <v>61</v>
      </c>
      <c r="C154" s="118" t="s">
        <v>364</v>
      </c>
      <c r="D154" s="117" t="s">
        <v>341</v>
      </c>
      <c r="E154" s="130">
        <v>1.90625</v>
      </c>
      <c r="F154" s="117" t="s">
        <v>63</v>
      </c>
      <c r="G154" s="119">
        <v>3</v>
      </c>
      <c r="H154" s="120" t="s">
        <v>79</v>
      </c>
    </row>
    <row r="155" spans="1:8" ht="19.899999999999999" customHeight="1">
      <c r="A155" s="129">
        <v>46025</v>
      </c>
      <c r="B155" s="117" t="s">
        <v>61</v>
      </c>
      <c r="C155" s="118" t="s">
        <v>375</v>
      </c>
      <c r="D155" s="117" t="s">
        <v>341</v>
      </c>
      <c r="E155" s="130">
        <v>1.15625</v>
      </c>
      <c r="F155" s="117" t="s">
        <v>63</v>
      </c>
      <c r="G155" s="119">
        <v>7</v>
      </c>
      <c r="H155" s="120" t="s">
        <v>79</v>
      </c>
    </row>
    <row r="156" spans="1:8" ht="19.899999999999999" customHeight="1">
      <c r="A156" s="121">
        <v>46025</v>
      </c>
      <c r="B156" s="112" t="s">
        <v>26</v>
      </c>
      <c r="C156" s="113" t="s">
        <v>354</v>
      </c>
      <c r="D156" s="112" t="s">
        <v>341</v>
      </c>
      <c r="E156" s="122">
        <v>1.3472222222222221</v>
      </c>
      <c r="F156" s="112" t="s">
        <v>451</v>
      </c>
      <c r="G156" s="114">
        <v>3</v>
      </c>
      <c r="H156" s="115" t="s">
        <v>79</v>
      </c>
    </row>
    <row r="157" spans="1:8" ht="19.899999999999999" customHeight="1">
      <c r="A157" s="121">
        <v>46025</v>
      </c>
      <c r="B157" s="112" t="s">
        <v>26</v>
      </c>
      <c r="C157" s="113" t="s">
        <v>354</v>
      </c>
      <c r="D157" s="112" t="s">
        <v>341</v>
      </c>
      <c r="E157" s="122">
        <v>1.3472222222222221</v>
      </c>
      <c r="F157" s="112" t="s">
        <v>28</v>
      </c>
      <c r="G157" s="114">
        <v>3</v>
      </c>
      <c r="H157" s="115" t="s">
        <v>79</v>
      </c>
    </row>
    <row r="158" spans="1:8" ht="19.899999999999999" customHeight="1">
      <c r="A158" s="121">
        <v>46025</v>
      </c>
      <c r="B158" s="112" t="s">
        <v>26</v>
      </c>
      <c r="C158" s="113" t="s">
        <v>348</v>
      </c>
      <c r="D158" s="112" t="s">
        <v>341</v>
      </c>
      <c r="E158" s="122">
        <v>1.993055555555556</v>
      </c>
      <c r="F158" s="112" t="s">
        <v>451</v>
      </c>
      <c r="G158" s="114">
        <v>2</v>
      </c>
      <c r="H158" s="115" t="s">
        <v>79</v>
      </c>
    </row>
    <row r="159" spans="1:8" ht="19.899999999999999" customHeight="1">
      <c r="A159" s="121">
        <v>46025</v>
      </c>
      <c r="B159" s="112" t="s">
        <v>26</v>
      </c>
      <c r="C159" s="113" t="s">
        <v>348</v>
      </c>
      <c r="D159" s="112" t="s">
        <v>341</v>
      </c>
      <c r="E159" s="122">
        <v>1.993055555555556</v>
      </c>
      <c r="F159" s="112" t="s">
        <v>28</v>
      </c>
      <c r="G159" s="114">
        <v>2</v>
      </c>
      <c r="H159" s="115" t="s">
        <v>79</v>
      </c>
    </row>
    <row r="160" spans="1:8" ht="19.899999999999999" customHeight="1">
      <c r="A160" s="121">
        <v>46025</v>
      </c>
      <c r="B160" s="112" t="s">
        <v>26</v>
      </c>
      <c r="C160" s="113" t="s">
        <v>352</v>
      </c>
      <c r="D160" s="112" t="s">
        <v>341</v>
      </c>
      <c r="E160" s="122">
        <v>1.944444444444444</v>
      </c>
      <c r="F160" s="112" t="s">
        <v>451</v>
      </c>
      <c r="G160" s="114">
        <v>3</v>
      </c>
      <c r="H160" s="115" t="s">
        <v>79</v>
      </c>
    </row>
    <row r="161" spans="1:8" ht="19.899999999999999" customHeight="1">
      <c r="A161" s="121">
        <v>46025</v>
      </c>
      <c r="B161" s="112" t="s">
        <v>26</v>
      </c>
      <c r="C161" s="113" t="s">
        <v>352</v>
      </c>
      <c r="D161" s="112" t="s">
        <v>341</v>
      </c>
      <c r="E161" s="122">
        <v>1.944444444444444</v>
      </c>
      <c r="F161" s="112" t="s">
        <v>28</v>
      </c>
      <c r="G161" s="114">
        <v>3</v>
      </c>
      <c r="H161" s="115" t="s">
        <v>79</v>
      </c>
    </row>
    <row r="162" spans="1:8" ht="19.899999999999999" customHeight="1">
      <c r="A162" s="121">
        <v>46025</v>
      </c>
      <c r="B162" s="112" t="s">
        <v>26</v>
      </c>
      <c r="C162" s="113" t="s">
        <v>353</v>
      </c>
      <c r="D162" s="112" t="s">
        <v>341</v>
      </c>
      <c r="E162" s="122">
        <v>1.8888888888888891</v>
      </c>
      <c r="F162" s="112" t="s">
        <v>451</v>
      </c>
      <c r="G162" s="114">
        <v>5</v>
      </c>
      <c r="H162" s="115" t="s">
        <v>79</v>
      </c>
    </row>
    <row r="163" spans="1:8" ht="19.899999999999999" customHeight="1">
      <c r="A163" s="121">
        <v>46025</v>
      </c>
      <c r="B163" s="112" t="s">
        <v>26</v>
      </c>
      <c r="C163" s="113" t="s">
        <v>353</v>
      </c>
      <c r="D163" s="112" t="s">
        <v>341</v>
      </c>
      <c r="E163" s="122">
        <v>1.8888888888888891</v>
      </c>
      <c r="F163" s="112" t="s">
        <v>28</v>
      </c>
      <c r="G163" s="114">
        <v>5</v>
      </c>
      <c r="H163" s="115" t="s">
        <v>79</v>
      </c>
    </row>
    <row r="164" spans="1:8" ht="19.899999999999999" customHeight="1">
      <c r="A164" s="121">
        <v>46025</v>
      </c>
      <c r="B164" s="112" t="s">
        <v>38</v>
      </c>
      <c r="C164" s="113" t="s">
        <v>346</v>
      </c>
      <c r="D164" s="112" t="s">
        <v>341</v>
      </c>
      <c r="E164" s="122">
        <v>1.399305555555556</v>
      </c>
      <c r="F164" s="112" t="s">
        <v>43</v>
      </c>
      <c r="G164" s="114">
        <v>15</v>
      </c>
      <c r="H164" s="115" t="s">
        <v>420</v>
      </c>
    </row>
    <row r="165" spans="1:8" ht="19.899999999999999" customHeight="1">
      <c r="A165" s="121">
        <v>46025</v>
      </c>
      <c r="B165" s="112" t="s">
        <v>38</v>
      </c>
      <c r="C165" s="113" t="s">
        <v>345</v>
      </c>
      <c r="D165" s="112" t="s">
        <v>341</v>
      </c>
      <c r="E165" s="122">
        <v>1.989583333333333</v>
      </c>
      <c r="F165" s="112" t="s">
        <v>43</v>
      </c>
      <c r="G165" s="114">
        <v>11</v>
      </c>
      <c r="H165" s="115" t="s">
        <v>420</v>
      </c>
    </row>
    <row r="166" spans="1:8" ht="19.899999999999999" customHeight="1">
      <c r="A166" s="121">
        <v>46025</v>
      </c>
      <c r="B166" s="112" t="s">
        <v>26</v>
      </c>
      <c r="C166" s="113" t="s">
        <v>350</v>
      </c>
      <c r="D166" s="112" t="s">
        <v>341</v>
      </c>
      <c r="E166" s="122">
        <v>1.7361111111111109</v>
      </c>
      <c r="F166" s="112" t="s">
        <v>451</v>
      </c>
      <c r="G166" s="114">
        <v>5</v>
      </c>
      <c r="H166" s="115" t="s">
        <v>45</v>
      </c>
    </row>
    <row r="167" spans="1:8" ht="19.899999999999999" customHeight="1">
      <c r="A167" s="121">
        <v>46025</v>
      </c>
      <c r="B167" s="112" t="s">
        <v>26</v>
      </c>
      <c r="C167" s="113" t="s">
        <v>350</v>
      </c>
      <c r="D167" s="112" t="s">
        <v>341</v>
      </c>
      <c r="E167" s="122">
        <v>1.7361111111111109</v>
      </c>
      <c r="F167" s="112" t="s">
        <v>28</v>
      </c>
      <c r="G167" s="114">
        <v>5</v>
      </c>
      <c r="H167" s="115" t="s">
        <v>45</v>
      </c>
    </row>
    <row r="168" spans="1:8" ht="19.899999999999999" customHeight="1">
      <c r="A168" s="121">
        <v>46025</v>
      </c>
      <c r="B168" s="112" t="s">
        <v>26</v>
      </c>
      <c r="C168" s="113" t="s">
        <v>351</v>
      </c>
      <c r="D168" s="112" t="s">
        <v>341</v>
      </c>
      <c r="E168" s="122">
        <v>1.836805555555556</v>
      </c>
      <c r="F168" s="112" t="s">
        <v>451</v>
      </c>
      <c r="G168" s="114">
        <v>7</v>
      </c>
      <c r="H168" s="115" t="s">
        <v>45</v>
      </c>
    </row>
    <row r="169" spans="1:8" ht="19.899999999999999" customHeight="1">
      <c r="A169" s="121">
        <v>46025</v>
      </c>
      <c r="B169" s="112" t="s">
        <v>26</v>
      </c>
      <c r="C169" s="113" t="s">
        <v>351</v>
      </c>
      <c r="D169" s="112" t="s">
        <v>341</v>
      </c>
      <c r="E169" s="122">
        <v>1.836805555555556</v>
      </c>
      <c r="F169" s="112" t="s">
        <v>28</v>
      </c>
      <c r="G169" s="114">
        <v>7</v>
      </c>
      <c r="H169" s="115" t="s">
        <v>45</v>
      </c>
    </row>
    <row r="170" spans="1:8" ht="19.899999999999999" customHeight="1">
      <c r="A170" s="121">
        <v>46025</v>
      </c>
      <c r="B170" s="112" t="s">
        <v>26</v>
      </c>
      <c r="C170" s="113" t="s">
        <v>356</v>
      </c>
      <c r="D170" s="112" t="s">
        <v>341</v>
      </c>
      <c r="E170" s="122">
        <v>1.4861111111111109</v>
      </c>
      <c r="F170" s="112" t="s">
        <v>451</v>
      </c>
      <c r="G170" s="114">
        <v>7</v>
      </c>
      <c r="H170" s="115" t="s">
        <v>45</v>
      </c>
    </row>
    <row r="171" spans="1:8" ht="19.899999999999999" customHeight="1">
      <c r="A171" s="121">
        <v>46025</v>
      </c>
      <c r="B171" s="112" t="s">
        <v>26</v>
      </c>
      <c r="C171" s="113" t="s">
        <v>356</v>
      </c>
      <c r="D171" s="112" t="s">
        <v>341</v>
      </c>
      <c r="E171" s="122">
        <v>1.4861111111111109</v>
      </c>
      <c r="F171" s="112" t="s">
        <v>28</v>
      </c>
      <c r="G171" s="114">
        <v>7</v>
      </c>
      <c r="H171" s="115" t="s">
        <v>45</v>
      </c>
    </row>
    <row r="172" spans="1:8" ht="19.899999999999999" customHeight="1">
      <c r="A172" s="121">
        <v>46025</v>
      </c>
      <c r="B172" s="112" t="s">
        <v>26</v>
      </c>
      <c r="C172" s="113" t="s">
        <v>357</v>
      </c>
      <c r="D172" s="112" t="s">
        <v>341</v>
      </c>
      <c r="E172" s="122">
        <v>1.3923611111111109</v>
      </c>
      <c r="F172" s="112" t="s">
        <v>451</v>
      </c>
      <c r="G172" s="114">
        <v>7</v>
      </c>
      <c r="H172" s="115" t="s">
        <v>45</v>
      </c>
    </row>
    <row r="173" spans="1:8" ht="19.899999999999999" customHeight="1">
      <c r="A173" s="121">
        <v>46025</v>
      </c>
      <c r="B173" s="112" t="s">
        <v>26</v>
      </c>
      <c r="C173" s="113" t="s">
        <v>357</v>
      </c>
      <c r="D173" s="112" t="s">
        <v>341</v>
      </c>
      <c r="E173" s="122">
        <v>1.3923611111111109</v>
      </c>
      <c r="F173" s="112" t="s">
        <v>28</v>
      </c>
      <c r="G173" s="114">
        <v>7</v>
      </c>
      <c r="H173" s="115" t="s">
        <v>45</v>
      </c>
    </row>
    <row r="174" spans="1:8" ht="19.899999999999999" customHeight="1">
      <c r="A174" s="129">
        <v>46025</v>
      </c>
      <c r="B174" s="117" t="s">
        <v>61</v>
      </c>
      <c r="C174" s="118" t="s">
        <v>377</v>
      </c>
      <c r="D174" s="117" t="s">
        <v>341</v>
      </c>
      <c r="E174" s="130">
        <v>1.5034722222222221</v>
      </c>
      <c r="F174" s="117" t="s">
        <v>63</v>
      </c>
      <c r="G174" s="119">
        <v>9</v>
      </c>
      <c r="H174" s="120" t="s">
        <v>449</v>
      </c>
    </row>
    <row r="175" spans="1:8" ht="19.899999999999999" customHeight="1">
      <c r="A175" s="121">
        <v>46025</v>
      </c>
      <c r="B175" s="112" t="s">
        <v>68</v>
      </c>
      <c r="C175" s="113" t="s">
        <v>405</v>
      </c>
      <c r="D175" s="112" t="s">
        <v>341</v>
      </c>
      <c r="E175" s="122">
        <v>1.836805555555556</v>
      </c>
      <c r="F175" s="112" t="s">
        <v>70</v>
      </c>
      <c r="G175" s="114">
        <v>9</v>
      </c>
      <c r="H175" s="115" t="s">
        <v>406</v>
      </c>
    </row>
    <row r="176" spans="1:8" ht="19.899999999999999" customHeight="1">
      <c r="A176" s="121">
        <v>46025</v>
      </c>
      <c r="B176" s="112" t="s">
        <v>68</v>
      </c>
      <c r="C176" s="113" t="s">
        <v>407</v>
      </c>
      <c r="D176" s="112" t="s">
        <v>341</v>
      </c>
      <c r="E176" s="122">
        <v>1.3125</v>
      </c>
      <c r="F176" s="112" t="s">
        <v>70</v>
      </c>
      <c r="G176" s="114">
        <v>9</v>
      </c>
      <c r="H176" s="115" t="s">
        <v>406</v>
      </c>
    </row>
    <row r="177" spans="1:8" ht="19.899999999999999" customHeight="1">
      <c r="A177" s="121">
        <v>46025</v>
      </c>
      <c r="B177" s="112" t="s">
        <v>68</v>
      </c>
      <c r="C177" s="113" t="s">
        <v>408</v>
      </c>
      <c r="D177" s="112" t="s">
        <v>341</v>
      </c>
      <c r="E177" s="122">
        <v>1.9722222222222221</v>
      </c>
      <c r="F177" s="112" t="s">
        <v>70</v>
      </c>
      <c r="G177" s="114">
        <v>9</v>
      </c>
      <c r="H177" s="115" t="s">
        <v>406</v>
      </c>
    </row>
    <row r="178" spans="1:8" ht="19.899999999999999" customHeight="1">
      <c r="A178" s="121">
        <v>46025</v>
      </c>
      <c r="B178" s="112" t="s">
        <v>68</v>
      </c>
      <c r="C178" s="113" t="s">
        <v>437</v>
      </c>
      <c r="D178" s="112" t="s">
        <v>341</v>
      </c>
      <c r="E178" s="122">
        <v>1.104166666666667</v>
      </c>
      <c r="F178" s="112" t="s">
        <v>70</v>
      </c>
      <c r="G178" s="114">
        <v>9</v>
      </c>
      <c r="H178" s="115" t="s">
        <v>406</v>
      </c>
    </row>
    <row r="179" spans="1:8" ht="19.899999999999999" customHeight="1">
      <c r="A179" s="121">
        <v>46025</v>
      </c>
      <c r="B179" s="112" t="s">
        <v>68</v>
      </c>
      <c r="C179" s="113" t="s">
        <v>409</v>
      </c>
      <c r="D179" s="112" t="s">
        <v>341</v>
      </c>
      <c r="E179" s="122">
        <v>1.3402777777777779</v>
      </c>
      <c r="F179" s="112" t="s">
        <v>70</v>
      </c>
      <c r="G179" s="114">
        <v>9</v>
      </c>
      <c r="H179" s="115" t="s">
        <v>406</v>
      </c>
    </row>
    <row r="180" spans="1:8" ht="19.899999999999999" customHeight="1">
      <c r="A180" s="121">
        <v>46025</v>
      </c>
      <c r="B180" s="112" t="s">
        <v>68</v>
      </c>
      <c r="C180" s="113" t="s">
        <v>411</v>
      </c>
      <c r="D180" s="112" t="s">
        <v>341</v>
      </c>
      <c r="E180" s="122">
        <v>1.7847222222222221</v>
      </c>
      <c r="F180" s="112" t="s">
        <v>70</v>
      </c>
      <c r="G180" s="114">
        <v>9</v>
      </c>
      <c r="H180" s="115" t="s">
        <v>406</v>
      </c>
    </row>
    <row r="181" spans="1:8" ht="19.899999999999999" customHeight="1">
      <c r="A181" s="121">
        <v>46025</v>
      </c>
      <c r="B181" s="112" t="s">
        <v>68</v>
      </c>
      <c r="C181" s="113" t="s">
        <v>410</v>
      </c>
      <c r="D181" s="112" t="s">
        <v>341</v>
      </c>
      <c r="E181" s="122">
        <v>1.5972222222222221</v>
      </c>
      <c r="F181" s="112" t="s">
        <v>70</v>
      </c>
      <c r="G181" s="114">
        <v>9</v>
      </c>
      <c r="H181" s="115" t="s">
        <v>406</v>
      </c>
    </row>
    <row r="182" spans="1:8" ht="19.899999999999999" customHeight="1">
      <c r="A182" s="121">
        <v>46025</v>
      </c>
      <c r="B182" s="112" t="s">
        <v>68</v>
      </c>
      <c r="C182" s="113" t="s">
        <v>413</v>
      </c>
      <c r="D182" s="112" t="s">
        <v>341</v>
      </c>
      <c r="E182" s="122">
        <v>1.0486111111111109</v>
      </c>
      <c r="F182" s="112" t="s">
        <v>70</v>
      </c>
      <c r="G182" s="114">
        <v>9</v>
      </c>
      <c r="H182" s="115" t="s">
        <v>406</v>
      </c>
    </row>
    <row r="183" spans="1:8" ht="19.899999999999999" customHeight="1">
      <c r="A183" s="121">
        <v>46025</v>
      </c>
      <c r="B183" s="112" t="s">
        <v>26</v>
      </c>
      <c r="C183" s="113" t="s">
        <v>354</v>
      </c>
      <c r="D183" s="112" t="s">
        <v>341</v>
      </c>
      <c r="E183" s="122">
        <v>1.3472222222222221</v>
      </c>
      <c r="F183" s="112" t="s">
        <v>31</v>
      </c>
      <c r="G183" s="114">
        <v>3</v>
      </c>
      <c r="H183" s="115" t="s">
        <v>123</v>
      </c>
    </row>
    <row r="184" spans="1:8" ht="19.899999999999999" customHeight="1">
      <c r="A184" s="121">
        <v>46025</v>
      </c>
      <c r="B184" s="112" t="s">
        <v>26</v>
      </c>
      <c r="C184" s="113" t="s">
        <v>348</v>
      </c>
      <c r="D184" s="112" t="s">
        <v>341</v>
      </c>
      <c r="E184" s="122">
        <v>1.993055555555556</v>
      </c>
      <c r="F184" s="112" t="s">
        <v>31</v>
      </c>
      <c r="G184" s="114">
        <v>2</v>
      </c>
      <c r="H184" s="115" t="s">
        <v>123</v>
      </c>
    </row>
    <row r="185" spans="1:8" ht="19.899999999999999" customHeight="1">
      <c r="A185" s="121">
        <v>46025</v>
      </c>
      <c r="B185" s="112" t="s">
        <v>26</v>
      </c>
      <c r="C185" s="113" t="s">
        <v>352</v>
      </c>
      <c r="D185" s="112" t="s">
        <v>341</v>
      </c>
      <c r="E185" s="122">
        <v>1.944444444444444</v>
      </c>
      <c r="F185" s="112" t="s">
        <v>31</v>
      </c>
      <c r="G185" s="114">
        <v>3</v>
      </c>
      <c r="H185" s="115" t="s">
        <v>123</v>
      </c>
    </row>
    <row r="186" spans="1:8" ht="19.899999999999999" customHeight="1">
      <c r="A186" s="121">
        <v>46025</v>
      </c>
      <c r="B186" s="112" t="s">
        <v>26</v>
      </c>
      <c r="C186" s="113" t="s">
        <v>353</v>
      </c>
      <c r="D186" s="112" t="s">
        <v>341</v>
      </c>
      <c r="E186" s="122">
        <v>1.8888888888888891</v>
      </c>
      <c r="F186" s="112" t="s">
        <v>31</v>
      </c>
      <c r="G186" s="114">
        <v>5</v>
      </c>
      <c r="H186" s="115" t="s">
        <v>123</v>
      </c>
    </row>
    <row r="187" spans="1:8" ht="19.899999999999999" customHeight="1">
      <c r="A187" s="121">
        <v>46025</v>
      </c>
      <c r="B187" s="112" t="s">
        <v>38</v>
      </c>
      <c r="C187" s="113" t="s">
        <v>342</v>
      </c>
      <c r="D187" s="112" t="s">
        <v>341</v>
      </c>
      <c r="E187" s="122">
        <v>1.489583333333333</v>
      </c>
      <c r="F187" s="112" t="s">
        <v>43</v>
      </c>
      <c r="G187" s="114">
        <v>18</v>
      </c>
      <c r="H187" s="115" t="s">
        <v>443</v>
      </c>
    </row>
    <row r="188" spans="1:8" ht="19.899999999999999" customHeight="1">
      <c r="A188" s="121">
        <v>46025</v>
      </c>
      <c r="B188" s="112" t="s">
        <v>38</v>
      </c>
      <c r="C188" s="113" t="s">
        <v>344</v>
      </c>
      <c r="D188" s="112" t="s">
        <v>341</v>
      </c>
      <c r="E188" s="122">
        <v>1.8888888888888891</v>
      </c>
      <c r="F188" s="112" t="s">
        <v>43</v>
      </c>
      <c r="G188" s="114">
        <v>13</v>
      </c>
      <c r="H188" s="115" t="s">
        <v>443</v>
      </c>
    </row>
    <row r="189" spans="1:8" ht="19.899999999999999" customHeight="1">
      <c r="A189" s="121">
        <v>46025</v>
      </c>
      <c r="B189" s="112" t="s">
        <v>359</v>
      </c>
      <c r="C189" s="113" t="s">
        <v>360</v>
      </c>
      <c r="D189" s="112" t="s">
        <v>341</v>
      </c>
      <c r="E189" s="122">
        <v>1.1701388888888891</v>
      </c>
      <c r="F189" s="112" t="s">
        <v>46</v>
      </c>
      <c r="G189" s="114">
        <v>9</v>
      </c>
      <c r="H189" s="115" t="s">
        <v>424</v>
      </c>
    </row>
    <row r="190" spans="1:8" ht="19.899999999999999" customHeight="1">
      <c r="A190" s="121">
        <v>46025</v>
      </c>
      <c r="B190" s="112" t="s">
        <v>359</v>
      </c>
      <c r="C190" s="113" t="s">
        <v>445</v>
      </c>
      <c r="D190" s="112" t="s">
        <v>341</v>
      </c>
      <c r="E190" s="122">
        <v>1.055555555555556</v>
      </c>
      <c r="F190" s="112" t="s">
        <v>46</v>
      </c>
      <c r="G190" s="114">
        <v>9</v>
      </c>
      <c r="H190" s="115" t="s">
        <v>424</v>
      </c>
    </row>
    <row r="191" spans="1:8" ht="19.899999999999999" customHeight="1">
      <c r="A191" s="121">
        <v>46025</v>
      </c>
      <c r="B191" s="112" t="s">
        <v>26</v>
      </c>
      <c r="C191" s="113" t="s">
        <v>350</v>
      </c>
      <c r="D191" s="112" t="s">
        <v>341</v>
      </c>
      <c r="E191" s="122">
        <v>1.7361111111111109</v>
      </c>
      <c r="F191" s="112" t="s">
        <v>31</v>
      </c>
      <c r="G191" s="114">
        <v>5</v>
      </c>
      <c r="H191" s="115" t="s">
        <v>355</v>
      </c>
    </row>
    <row r="192" spans="1:8" ht="19.899999999999999" customHeight="1">
      <c r="A192" s="121">
        <v>46025</v>
      </c>
      <c r="B192" s="112" t="s">
        <v>26</v>
      </c>
      <c r="C192" s="113" t="s">
        <v>351</v>
      </c>
      <c r="D192" s="112" t="s">
        <v>341</v>
      </c>
      <c r="E192" s="122">
        <v>1.836805555555556</v>
      </c>
      <c r="F192" s="112" t="s">
        <v>31</v>
      </c>
      <c r="G192" s="114">
        <v>7</v>
      </c>
      <c r="H192" s="115" t="s">
        <v>355</v>
      </c>
    </row>
    <row r="193" spans="1:8" ht="19.899999999999999" customHeight="1">
      <c r="A193" s="121">
        <v>46025</v>
      </c>
      <c r="B193" s="112" t="s">
        <v>26</v>
      </c>
      <c r="C193" s="113" t="s">
        <v>356</v>
      </c>
      <c r="D193" s="112" t="s">
        <v>341</v>
      </c>
      <c r="E193" s="122">
        <v>1.4861111111111109</v>
      </c>
      <c r="F193" s="112" t="s">
        <v>31</v>
      </c>
      <c r="G193" s="114">
        <v>7</v>
      </c>
      <c r="H193" s="115" t="s">
        <v>355</v>
      </c>
    </row>
    <row r="194" spans="1:8" ht="19.899999999999999" customHeight="1">
      <c r="A194" s="121">
        <v>46025</v>
      </c>
      <c r="B194" s="112" t="s">
        <v>26</v>
      </c>
      <c r="C194" s="113" t="s">
        <v>357</v>
      </c>
      <c r="D194" s="112" t="s">
        <v>341</v>
      </c>
      <c r="E194" s="122">
        <v>1.3923611111111109</v>
      </c>
      <c r="F194" s="112" t="s">
        <v>31</v>
      </c>
      <c r="G194" s="114">
        <v>7</v>
      </c>
      <c r="H194" s="115" t="s">
        <v>355</v>
      </c>
    </row>
    <row r="195" spans="1:8" ht="19.899999999999999" customHeight="1">
      <c r="A195" s="121">
        <v>46025</v>
      </c>
      <c r="B195" s="112" t="s">
        <v>26</v>
      </c>
      <c r="C195" s="113" t="s">
        <v>354</v>
      </c>
      <c r="D195" s="112" t="s">
        <v>341</v>
      </c>
      <c r="E195" s="122">
        <v>1.3472222222222221</v>
      </c>
      <c r="F195" s="112" t="s">
        <v>34</v>
      </c>
      <c r="G195" s="114">
        <v>3</v>
      </c>
      <c r="H195" s="115" t="s">
        <v>118</v>
      </c>
    </row>
    <row r="196" spans="1:8" ht="19.899999999999999" customHeight="1">
      <c r="A196" s="121">
        <v>46025</v>
      </c>
      <c r="B196" s="112" t="s">
        <v>26</v>
      </c>
      <c r="C196" s="113" t="s">
        <v>348</v>
      </c>
      <c r="D196" s="112" t="s">
        <v>341</v>
      </c>
      <c r="E196" s="122">
        <v>1.993055555555556</v>
      </c>
      <c r="F196" s="112" t="s">
        <v>34</v>
      </c>
      <c r="G196" s="114">
        <v>2</v>
      </c>
      <c r="H196" s="115" t="s">
        <v>118</v>
      </c>
    </row>
    <row r="197" spans="1:8" ht="19.899999999999999" customHeight="1">
      <c r="A197" s="121">
        <v>46025</v>
      </c>
      <c r="B197" s="112" t="s">
        <v>26</v>
      </c>
      <c r="C197" s="113" t="s">
        <v>352</v>
      </c>
      <c r="D197" s="112" t="s">
        <v>341</v>
      </c>
      <c r="E197" s="122">
        <v>1.944444444444444</v>
      </c>
      <c r="F197" s="112" t="s">
        <v>34</v>
      </c>
      <c r="G197" s="114">
        <v>3</v>
      </c>
      <c r="H197" s="115" t="s">
        <v>118</v>
      </c>
    </row>
    <row r="198" spans="1:8" ht="19.899999999999999" customHeight="1">
      <c r="A198" s="121">
        <v>46025</v>
      </c>
      <c r="B198" s="112" t="s">
        <v>26</v>
      </c>
      <c r="C198" s="113" t="s">
        <v>353</v>
      </c>
      <c r="D198" s="112" t="s">
        <v>341</v>
      </c>
      <c r="E198" s="122">
        <v>1.8888888888888891</v>
      </c>
      <c r="F198" s="112" t="s">
        <v>34</v>
      </c>
      <c r="G198" s="114">
        <v>5</v>
      </c>
      <c r="H198" s="115" t="s">
        <v>118</v>
      </c>
    </row>
    <row r="199" spans="1:8" ht="19.899999999999999" customHeight="1">
      <c r="A199" s="121">
        <v>46025</v>
      </c>
      <c r="B199" s="112" t="s">
        <v>26</v>
      </c>
      <c r="C199" s="113" t="s">
        <v>350</v>
      </c>
      <c r="D199" s="112" t="s">
        <v>341</v>
      </c>
      <c r="E199" s="122">
        <v>1.7361111111111109</v>
      </c>
      <c r="F199" s="112" t="s">
        <v>34</v>
      </c>
      <c r="G199" s="114">
        <v>5</v>
      </c>
      <c r="H199" s="115" t="s">
        <v>358</v>
      </c>
    </row>
    <row r="200" spans="1:8" ht="19.899999999999999" customHeight="1">
      <c r="A200" s="121">
        <v>46025</v>
      </c>
      <c r="B200" s="112" t="s">
        <v>26</v>
      </c>
      <c r="C200" s="113" t="s">
        <v>351</v>
      </c>
      <c r="D200" s="112" t="s">
        <v>341</v>
      </c>
      <c r="E200" s="122">
        <v>1.836805555555556</v>
      </c>
      <c r="F200" s="112" t="s">
        <v>34</v>
      </c>
      <c r="G200" s="114">
        <v>7</v>
      </c>
      <c r="H200" s="115" t="s">
        <v>358</v>
      </c>
    </row>
    <row r="201" spans="1:8" ht="19.899999999999999" customHeight="1">
      <c r="A201" s="121">
        <v>46025</v>
      </c>
      <c r="B201" s="112" t="s">
        <v>26</v>
      </c>
      <c r="C201" s="113" t="s">
        <v>356</v>
      </c>
      <c r="D201" s="112" t="s">
        <v>341</v>
      </c>
      <c r="E201" s="122">
        <v>1.4861111111111109</v>
      </c>
      <c r="F201" s="112" t="s">
        <v>34</v>
      </c>
      <c r="G201" s="114">
        <v>7</v>
      </c>
      <c r="H201" s="115" t="s">
        <v>358</v>
      </c>
    </row>
    <row r="202" spans="1:8" ht="19.899999999999999" customHeight="1">
      <c r="A202" s="121">
        <v>46025</v>
      </c>
      <c r="B202" s="112" t="s">
        <v>26</v>
      </c>
      <c r="C202" s="113" t="s">
        <v>357</v>
      </c>
      <c r="D202" s="112" t="s">
        <v>341</v>
      </c>
      <c r="E202" s="122">
        <v>1.3923611111111109</v>
      </c>
      <c r="F202" s="112" t="s">
        <v>34</v>
      </c>
      <c r="G202" s="114">
        <v>7</v>
      </c>
      <c r="H202" s="115" t="s">
        <v>358</v>
      </c>
    </row>
    <row r="203" spans="1:8" ht="19.899999999999999" customHeight="1">
      <c r="A203" s="121">
        <v>46025</v>
      </c>
      <c r="B203" s="112" t="s">
        <v>38</v>
      </c>
      <c r="C203" s="113" t="s">
        <v>346</v>
      </c>
      <c r="D203" s="112" t="s">
        <v>341</v>
      </c>
      <c r="E203" s="122">
        <v>1.399305555555556</v>
      </c>
      <c r="F203" s="112" t="s">
        <v>46</v>
      </c>
      <c r="G203" s="114">
        <v>15</v>
      </c>
      <c r="H203" s="115" t="s">
        <v>47</v>
      </c>
    </row>
    <row r="204" spans="1:8" ht="19.899999999999999" customHeight="1">
      <c r="A204" s="121">
        <v>46025</v>
      </c>
      <c r="B204" s="112" t="s">
        <v>38</v>
      </c>
      <c r="C204" s="113" t="s">
        <v>342</v>
      </c>
      <c r="D204" s="112" t="s">
        <v>341</v>
      </c>
      <c r="E204" s="122">
        <v>1.489583333333333</v>
      </c>
      <c r="F204" s="112" t="s">
        <v>46</v>
      </c>
      <c r="G204" s="114">
        <v>18</v>
      </c>
      <c r="H204" s="115" t="s">
        <v>47</v>
      </c>
    </row>
    <row r="205" spans="1:8" ht="19.899999999999999" customHeight="1">
      <c r="A205" s="121">
        <v>46025</v>
      </c>
      <c r="B205" s="112" t="s">
        <v>38</v>
      </c>
      <c r="C205" s="113" t="s">
        <v>344</v>
      </c>
      <c r="D205" s="112" t="s">
        <v>341</v>
      </c>
      <c r="E205" s="122">
        <v>1.8888888888888891</v>
      </c>
      <c r="F205" s="112" t="s">
        <v>46</v>
      </c>
      <c r="G205" s="114">
        <v>13</v>
      </c>
      <c r="H205" s="115" t="s">
        <v>47</v>
      </c>
    </row>
    <row r="206" spans="1:8" ht="19.899999999999999" customHeight="1">
      <c r="A206" s="121">
        <v>46025</v>
      </c>
      <c r="B206" s="112" t="s">
        <v>38</v>
      </c>
      <c r="C206" s="113" t="s">
        <v>345</v>
      </c>
      <c r="D206" s="112" t="s">
        <v>341</v>
      </c>
      <c r="E206" s="122">
        <v>1.989583333333333</v>
      </c>
      <c r="F206" s="112" t="s">
        <v>46</v>
      </c>
      <c r="G206" s="114">
        <v>11</v>
      </c>
      <c r="H206" s="115" t="s">
        <v>47</v>
      </c>
    </row>
    <row r="207" spans="1:8" ht="19.899999999999999" customHeight="1">
      <c r="A207" s="121">
        <v>46025</v>
      </c>
      <c r="B207" s="112" t="s">
        <v>48</v>
      </c>
      <c r="C207" s="113" t="s">
        <v>394</v>
      </c>
      <c r="D207" s="112" t="s">
        <v>341</v>
      </c>
      <c r="E207" s="122">
        <v>1.989583333333333</v>
      </c>
      <c r="F207" s="112" t="s">
        <v>70</v>
      </c>
      <c r="G207" s="114">
        <v>4</v>
      </c>
      <c r="H207" s="115" t="s">
        <v>438</v>
      </c>
    </row>
    <row r="208" spans="1:8" ht="19.899999999999999" customHeight="1">
      <c r="A208" s="121">
        <v>46025</v>
      </c>
      <c r="B208" s="112" t="s">
        <v>48</v>
      </c>
      <c r="C208" s="113" t="s">
        <v>394</v>
      </c>
      <c r="D208" s="112" t="s">
        <v>341</v>
      </c>
      <c r="E208" s="122">
        <v>1.989583333333333</v>
      </c>
      <c r="F208" s="112" t="s">
        <v>53</v>
      </c>
      <c r="G208" s="114">
        <v>4</v>
      </c>
      <c r="H208" s="115" t="s">
        <v>438</v>
      </c>
    </row>
    <row r="209" spans="1:8" ht="19.899999999999999" customHeight="1">
      <c r="A209" s="121">
        <v>46025</v>
      </c>
      <c r="B209" s="112" t="s">
        <v>48</v>
      </c>
      <c r="C209" s="113" t="s">
        <v>398</v>
      </c>
      <c r="D209" s="112" t="s">
        <v>341</v>
      </c>
      <c r="E209" s="122">
        <v>1.399305555555556</v>
      </c>
      <c r="F209" s="112" t="s">
        <v>53</v>
      </c>
      <c r="G209" s="114">
        <v>4</v>
      </c>
      <c r="H209" s="115" t="s">
        <v>438</v>
      </c>
    </row>
    <row r="210" spans="1:8" ht="19.899999999999999" customHeight="1">
      <c r="A210" s="121">
        <v>46025</v>
      </c>
      <c r="B210" s="112" t="s">
        <v>48</v>
      </c>
      <c r="C210" s="113" t="s">
        <v>396</v>
      </c>
      <c r="D210" s="112" t="s">
        <v>341</v>
      </c>
      <c r="E210" s="122">
        <v>1.489583333333333</v>
      </c>
      <c r="F210" s="112" t="s">
        <v>53</v>
      </c>
      <c r="G210" s="114">
        <v>4</v>
      </c>
      <c r="H210" s="115" t="s">
        <v>452</v>
      </c>
    </row>
    <row r="211" spans="1:8" ht="19.899999999999999" customHeight="1">
      <c r="A211" s="121">
        <v>46025</v>
      </c>
      <c r="B211" s="112" t="s">
        <v>48</v>
      </c>
      <c r="C211" s="113" t="s">
        <v>397</v>
      </c>
      <c r="D211" s="112" t="s">
        <v>341</v>
      </c>
      <c r="E211" s="122">
        <v>1.8888888888888891</v>
      </c>
      <c r="F211" s="112" t="s">
        <v>70</v>
      </c>
      <c r="G211" s="114">
        <v>4</v>
      </c>
      <c r="H211" s="115" t="s">
        <v>452</v>
      </c>
    </row>
    <row r="212" spans="1:8" ht="19.899999999999999" customHeight="1">
      <c r="A212" s="121">
        <v>46025</v>
      </c>
      <c r="B212" s="112" t="s">
        <v>48</v>
      </c>
      <c r="C212" s="113" t="s">
        <v>397</v>
      </c>
      <c r="D212" s="112" t="s">
        <v>341</v>
      </c>
      <c r="E212" s="122">
        <v>1.8888888888888891</v>
      </c>
      <c r="F212" s="112" t="s">
        <v>53</v>
      </c>
      <c r="G212" s="114">
        <v>4</v>
      </c>
      <c r="H212" s="115" t="s">
        <v>452</v>
      </c>
    </row>
    <row r="213" spans="1:8" ht="19.899999999999999" customHeight="1">
      <c r="A213" s="121">
        <v>46025</v>
      </c>
      <c r="B213" s="112" t="s">
        <v>48</v>
      </c>
      <c r="C213" s="113" t="s">
        <v>391</v>
      </c>
      <c r="D213" s="112" t="s">
        <v>341</v>
      </c>
      <c r="E213" s="122">
        <v>1.489583333333333</v>
      </c>
      <c r="F213" s="112" t="s">
        <v>53</v>
      </c>
      <c r="G213" s="114">
        <v>9</v>
      </c>
      <c r="H213" s="115" t="s">
        <v>439</v>
      </c>
    </row>
    <row r="214" spans="1:8" ht="19.899999999999999" customHeight="1">
      <c r="A214" s="121">
        <v>46025</v>
      </c>
      <c r="B214" s="112" t="s">
        <v>48</v>
      </c>
      <c r="C214" s="113" t="s">
        <v>382</v>
      </c>
      <c r="D214" s="112" t="s">
        <v>341</v>
      </c>
      <c r="E214" s="122">
        <v>1.118055555555556</v>
      </c>
      <c r="F214" s="112" t="s">
        <v>70</v>
      </c>
      <c r="G214" s="114">
        <v>9</v>
      </c>
      <c r="H214" s="115" t="s">
        <v>439</v>
      </c>
    </row>
    <row r="215" spans="1:8" ht="19.899999999999999" customHeight="1">
      <c r="A215" s="121">
        <v>46025</v>
      </c>
      <c r="B215" s="112" t="s">
        <v>48</v>
      </c>
      <c r="C215" s="113" t="s">
        <v>382</v>
      </c>
      <c r="D215" s="112" t="s">
        <v>341</v>
      </c>
      <c r="E215" s="122">
        <v>1.118055555555556</v>
      </c>
      <c r="F215" s="112" t="s">
        <v>53</v>
      </c>
      <c r="G215" s="114">
        <v>9</v>
      </c>
      <c r="H215" s="115" t="s">
        <v>439</v>
      </c>
    </row>
    <row r="216" spans="1:8" ht="19.899999999999999" customHeight="1">
      <c r="A216" s="121">
        <v>46025</v>
      </c>
      <c r="B216" s="112" t="s">
        <v>48</v>
      </c>
      <c r="C216" s="113" t="s">
        <v>389</v>
      </c>
      <c r="D216" s="112" t="s">
        <v>341</v>
      </c>
      <c r="E216" s="122">
        <v>1.7048611111111109</v>
      </c>
      <c r="F216" s="112" t="s">
        <v>53</v>
      </c>
      <c r="G216" s="114">
        <v>9</v>
      </c>
      <c r="H216" s="115" t="s">
        <v>439</v>
      </c>
    </row>
    <row r="217" spans="1:8" ht="19.899999999999999" customHeight="1">
      <c r="A217" s="121">
        <v>46025</v>
      </c>
      <c r="B217" s="112" t="s">
        <v>48</v>
      </c>
      <c r="C217" s="113" t="s">
        <v>400</v>
      </c>
      <c r="D217" s="112" t="s">
        <v>341</v>
      </c>
      <c r="E217" s="122">
        <v>1.2534722222222221</v>
      </c>
      <c r="F217" s="112" t="s">
        <v>70</v>
      </c>
      <c r="G217" s="114">
        <v>9</v>
      </c>
      <c r="H217" s="115" t="s">
        <v>439</v>
      </c>
    </row>
    <row r="218" spans="1:8" ht="19.899999999999999" customHeight="1">
      <c r="A218" s="121">
        <v>46025</v>
      </c>
      <c r="B218" s="112" t="s">
        <v>48</v>
      </c>
      <c r="C218" s="113" t="s">
        <v>400</v>
      </c>
      <c r="D218" s="112" t="s">
        <v>341</v>
      </c>
      <c r="E218" s="122">
        <v>1.2534722222222221</v>
      </c>
      <c r="F218" s="112" t="s">
        <v>53</v>
      </c>
      <c r="G218" s="114">
        <v>9</v>
      </c>
      <c r="H218" s="115" t="s">
        <v>439</v>
      </c>
    </row>
    <row r="219" spans="1:8" ht="19.899999999999999" customHeight="1">
      <c r="A219" s="121">
        <v>46025</v>
      </c>
      <c r="B219" s="112" t="s">
        <v>48</v>
      </c>
      <c r="C219" s="113" t="s">
        <v>390</v>
      </c>
      <c r="D219" s="112" t="s">
        <v>341</v>
      </c>
      <c r="E219" s="122">
        <v>1.041666666666667</v>
      </c>
      <c r="F219" s="112" t="s">
        <v>70</v>
      </c>
      <c r="G219" s="114">
        <v>9</v>
      </c>
      <c r="H219" s="115" t="s">
        <v>439</v>
      </c>
    </row>
    <row r="220" spans="1:8" ht="19.899999999999999" customHeight="1">
      <c r="A220" s="121">
        <v>46025</v>
      </c>
      <c r="B220" s="112" t="s">
        <v>48</v>
      </c>
      <c r="C220" s="113" t="s">
        <v>390</v>
      </c>
      <c r="D220" s="112" t="s">
        <v>341</v>
      </c>
      <c r="E220" s="122">
        <v>1.041666666666667</v>
      </c>
      <c r="F220" s="112" t="s">
        <v>53</v>
      </c>
      <c r="G220" s="114">
        <v>9</v>
      </c>
      <c r="H220" s="115" t="s">
        <v>439</v>
      </c>
    </row>
    <row r="221" spans="1:8" ht="19.899999999999999" customHeight="1">
      <c r="A221" s="121">
        <v>46025</v>
      </c>
      <c r="B221" s="112" t="s">
        <v>48</v>
      </c>
      <c r="C221" s="113" t="s">
        <v>385</v>
      </c>
      <c r="D221" s="112" t="s">
        <v>341</v>
      </c>
      <c r="E221" s="122">
        <v>1.9409722222222221</v>
      </c>
      <c r="F221" s="112" t="s">
        <v>53</v>
      </c>
      <c r="G221" s="114">
        <v>9</v>
      </c>
      <c r="H221" s="115" t="s">
        <v>439</v>
      </c>
    </row>
    <row r="222" spans="1:8" ht="19.899999999999999" customHeight="1">
      <c r="A222" s="121">
        <v>46025</v>
      </c>
      <c r="B222" s="112" t="s">
        <v>48</v>
      </c>
      <c r="C222" s="113" t="s">
        <v>386</v>
      </c>
      <c r="D222" s="112" t="s">
        <v>341</v>
      </c>
      <c r="E222" s="122">
        <v>1.8298611111111109</v>
      </c>
      <c r="F222" s="112" t="s">
        <v>70</v>
      </c>
      <c r="G222" s="114">
        <v>9</v>
      </c>
      <c r="H222" s="115" t="s">
        <v>453</v>
      </c>
    </row>
    <row r="223" spans="1:8" ht="19.899999999999999" customHeight="1">
      <c r="A223" s="121">
        <v>46025</v>
      </c>
      <c r="B223" s="112" t="s">
        <v>48</v>
      </c>
      <c r="C223" s="113" t="s">
        <v>386</v>
      </c>
      <c r="D223" s="112" t="s">
        <v>341</v>
      </c>
      <c r="E223" s="122">
        <v>1.8298611111111109</v>
      </c>
      <c r="F223" s="112" t="s">
        <v>53</v>
      </c>
      <c r="G223" s="114">
        <v>9</v>
      </c>
      <c r="H223" s="115" t="s">
        <v>453</v>
      </c>
    </row>
    <row r="224" spans="1:8" ht="19.899999999999999" customHeight="1">
      <c r="A224" s="121">
        <v>46025</v>
      </c>
      <c r="B224" s="112" t="s">
        <v>48</v>
      </c>
      <c r="C224" s="113" t="s">
        <v>388</v>
      </c>
      <c r="D224" s="112" t="s">
        <v>341</v>
      </c>
      <c r="E224" s="122">
        <v>1.7222222222222221</v>
      </c>
      <c r="F224" s="112" t="s">
        <v>53</v>
      </c>
      <c r="G224" s="114">
        <v>9</v>
      </c>
      <c r="H224" s="115" t="s">
        <v>453</v>
      </c>
    </row>
    <row r="225" spans="1:8" ht="19.899999999999999" customHeight="1">
      <c r="A225" s="123">
        <v>46025</v>
      </c>
      <c r="B225" s="124" t="s">
        <v>415</v>
      </c>
      <c r="C225" s="125" t="s">
        <v>416</v>
      </c>
      <c r="D225" s="124" t="s">
        <v>341</v>
      </c>
      <c r="E225" s="126">
        <v>1.0972222222222221</v>
      </c>
      <c r="F225" s="124" t="s">
        <v>63</v>
      </c>
      <c r="G225" s="127">
        <v>9</v>
      </c>
      <c r="H225" s="128" t="s">
        <v>417</v>
      </c>
    </row>
    <row r="226" spans="1:8" ht="19.899999999999999" customHeight="1">
      <c r="A226" s="121">
        <v>46026</v>
      </c>
      <c r="B226" s="112" t="s">
        <v>26</v>
      </c>
      <c r="C226" s="113" t="s">
        <v>348</v>
      </c>
      <c r="D226" s="112" t="s">
        <v>341</v>
      </c>
      <c r="E226" s="122">
        <v>1.993055555555556</v>
      </c>
      <c r="F226" s="112" t="s">
        <v>28</v>
      </c>
      <c r="G226" s="114">
        <v>6</v>
      </c>
      <c r="H226" s="115" t="s">
        <v>131</v>
      </c>
    </row>
    <row r="227" spans="1:8" ht="19.899999999999999" customHeight="1">
      <c r="A227" s="121">
        <v>46026</v>
      </c>
      <c r="B227" s="112" t="s">
        <v>26</v>
      </c>
      <c r="C227" s="113" t="s">
        <v>351</v>
      </c>
      <c r="D227" s="112" t="s">
        <v>341</v>
      </c>
      <c r="E227" s="122">
        <v>1.836805555555556</v>
      </c>
      <c r="F227" s="112" t="s">
        <v>28</v>
      </c>
      <c r="G227" s="114">
        <v>1</v>
      </c>
      <c r="H227" s="115" t="s">
        <v>131</v>
      </c>
    </row>
    <row r="228" spans="1:8" ht="19.899999999999999" customHeight="1">
      <c r="A228" s="121">
        <v>46026</v>
      </c>
      <c r="B228" s="112" t="s">
        <v>38</v>
      </c>
      <c r="C228" s="113" t="s">
        <v>346</v>
      </c>
      <c r="D228" s="112" t="s">
        <v>341</v>
      </c>
      <c r="E228" s="122">
        <v>1.399305555555556</v>
      </c>
      <c r="F228" s="112" t="s">
        <v>40</v>
      </c>
      <c r="G228" s="114">
        <v>19</v>
      </c>
      <c r="H228" s="115" t="s">
        <v>30</v>
      </c>
    </row>
    <row r="229" spans="1:8" ht="19.899999999999999" customHeight="1">
      <c r="A229" s="121">
        <v>46026</v>
      </c>
      <c r="B229" s="112" t="s">
        <v>38</v>
      </c>
      <c r="C229" s="113" t="s">
        <v>342</v>
      </c>
      <c r="D229" s="112" t="s">
        <v>341</v>
      </c>
      <c r="E229" s="122">
        <v>1.489583333333333</v>
      </c>
      <c r="F229" s="112" t="s">
        <v>40</v>
      </c>
      <c r="G229" s="114">
        <v>15</v>
      </c>
      <c r="H229" s="115" t="s">
        <v>30</v>
      </c>
    </row>
    <row r="230" spans="1:8" ht="19.899999999999999" customHeight="1">
      <c r="A230" s="121">
        <v>46026</v>
      </c>
      <c r="B230" s="112" t="s">
        <v>359</v>
      </c>
      <c r="C230" s="113" t="s">
        <v>360</v>
      </c>
      <c r="D230" s="112" t="s">
        <v>341</v>
      </c>
      <c r="E230" s="122">
        <v>1.229166666666667</v>
      </c>
      <c r="F230" s="112" t="s">
        <v>361</v>
      </c>
      <c r="G230" s="114">
        <v>9</v>
      </c>
      <c r="H230" s="115" t="s">
        <v>423</v>
      </c>
    </row>
    <row r="231" spans="1:8" ht="19.899999999999999" customHeight="1">
      <c r="A231" s="121">
        <v>46026</v>
      </c>
      <c r="B231" s="112" t="s">
        <v>26</v>
      </c>
      <c r="C231" s="113" t="s">
        <v>350</v>
      </c>
      <c r="D231" s="112" t="s">
        <v>341</v>
      </c>
      <c r="E231" s="122">
        <v>1.7361111111111109</v>
      </c>
      <c r="F231" s="112" t="s">
        <v>28</v>
      </c>
      <c r="G231" s="114">
        <v>4</v>
      </c>
      <c r="H231" s="115" t="s">
        <v>347</v>
      </c>
    </row>
    <row r="232" spans="1:8" ht="19.899999999999999" customHeight="1">
      <c r="A232" s="121">
        <v>46026</v>
      </c>
      <c r="B232" s="112" t="s">
        <v>26</v>
      </c>
      <c r="C232" s="113" t="s">
        <v>352</v>
      </c>
      <c r="D232" s="112" t="s">
        <v>341</v>
      </c>
      <c r="E232" s="122">
        <v>1.944444444444444</v>
      </c>
      <c r="F232" s="112" t="s">
        <v>28</v>
      </c>
      <c r="G232" s="114">
        <v>5</v>
      </c>
      <c r="H232" s="115" t="s">
        <v>347</v>
      </c>
    </row>
    <row r="233" spans="1:8" ht="19.899999999999999" customHeight="1">
      <c r="A233" s="121">
        <v>46026</v>
      </c>
      <c r="B233" s="112" t="s">
        <v>26</v>
      </c>
      <c r="C233" s="113" t="s">
        <v>353</v>
      </c>
      <c r="D233" s="112" t="s">
        <v>341</v>
      </c>
      <c r="E233" s="122">
        <v>1.8888888888888891</v>
      </c>
      <c r="F233" s="112" t="s">
        <v>28</v>
      </c>
      <c r="G233" s="114">
        <v>5</v>
      </c>
      <c r="H233" s="115" t="s">
        <v>347</v>
      </c>
    </row>
    <row r="234" spans="1:8" ht="19.899999999999999" customHeight="1">
      <c r="A234" s="129">
        <v>46026</v>
      </c>
      <c r="B234" s="117" t="s">
        <v>61</v>
      </c>
      <c r="C234" s="118" t="s">
        <v>432</v>
      </c>
      <c r="D234" s="117" t="s">
        <v>341</v>
      </c>
      <c r="E234" s="130">
        <v>1.333333333333333</v>
      </c>
      <c r="F234" s="117" t="s">
        <v>63</v>
      </c>
      <c r="G234" s="119">
        <v>6</v>
      </c>
      <c r="H234" s="120" t="s">
        <v>365</v>
      </c>
    </row>
    <row r="235" spans="1:8" ht="19.899999999999999" customHeight="1">
      <c r="A235" s="129">
        <v>46026</v>
      </c>
      <c r="B235" s="117" t="s">
        <v>61</v>
      </c>
      <c r="C235" s="118" t="s">
        <v>375</v>
      </c>
      <c r="D235" s="117" t="s">
        <v>341</v>
      </c>
      <c r="E235" s="130">
        <v>1.1423611111111109</v>
      </c>
      <c r="F235" s="117" t="s">
        <v>63</v>
      </c>
      <c r="G235" s="119">
        <v>4</v>
      </c>
      <c r="H235" s="120" t="s">
        <v>365</v>
      </c>
    </row>
    <row r="236" spans="1:8" ht="19.899999999999999" customHeight="1">
      <c r="A236" s="129">
        <v>46026</v>
      </c>
      <c r="B236" s="117" t="s">
        <v>61</v>
      </c>
      <c r="C236" s="118" t="s">
        <v>377</v>
      </c>
      <c r="D236" s="117" t="s">
        <v>341</v>
      </c>
      <c r="E236" s="130">
        <v>1.4548611111111109</v>
      </c>
      <c r="F236" s="117" t="s">
        <v>63</v>
      </c>
      <c r="G236" s="119">
        <v>5</v>
      </c>
      <c r="H236" s="120" t="s">
        <v>365</v>
      </c>
    </row>
    <row r="237" spans="1:8" ht="19.899999999999999" customHeight="1">
      <c r="A237" s="129">
        <v>46026</v>
      </c>
      <c r="B237" s="117" t="s">
        <v>61</v>
      </c>
      <c r="C237" s="118" t="s">
        <v>379</v>
      </c>
      <c r="D237" s="117" t="s">
        <v>341</v>
      </c>
      <c r="E237" s="130">
        <v>1.8298611111111109</v>
      </c>
      <c r="F237" s="117" t="s">
        <v>63</v>
      </c>
      <c r="G237" s="119">
        <v>2</v>
      </c>
      <c r="H237" s="120" t="s">
        <v>365</v>
      </c>
    </row>
    <row r="238" spans="1:8" ht="19.899999999999999" customHeight="1">
      <c r="A238" s="121">
        <v>46026</v>
      </c>
      <c r="B238" s="112" t="s">
        <v>38</v>
      </c>
      <c r="C238" s="113" t="s">
        <v>344</v>
      </c>
      <c r="D238" s="112" t="s">
        <v>341</v>
      </c>
      <c r="E238" s="122">
        <v>1.8888888888888891</v>
      </c>
      <c r="F238" s="112" t="s">
        <v>40</v>
      </c>
      <c r="G238" s="114">
        <v>14</v>
      </c>
      <c r="H238" s="115" t="s">
        <v>121</v>
      </c>
    </row>
    <row r="239" spans="1:8" ht="19.899999999999999" customHeight="1">
      <c r="A239" s="121">
        <v>46026</v>
      </c>
      <c r="B239" s="112" t="s">
        <v>38</v>
      </c>
      <c r="C239" s="113" t="s">
        <v>345</v>
      </c>
      <c r="D239" s="112" t="s">
        <v>341</v>
      </c>
      <c r="E239" s="122">
        <v>1.989583333333333</v>
      </c>
      <c r="F239" s="112" t="s">
        <v>40</v>
      </c>
      <c r="G239" s="114">
        <v>12</v>
      </c>
      <c r="H239" s="115" t="s">
        <v>121</v>
      </c>
    </row>
    <row r="240" spans="1:8" ht="19.899999999999999" customHeight="1">
      <c r="A240" s="121">
        <v>46026</v>
      </c>
      <c r="B240" s="112" t="s">
        <v>26</v>
      </c>
      <c r="C240" s="113" t="s">
        <v>356</v>
      </c>
      <c r="D240" s="112" t="s">
        <v>341</v>
      </c>
      <c r="E240" s="122">
        <v>1.4861111111111109</v>
      </c>
      <c r="F240" s="112" t="s">
        <v>28</v>
      </c>
      <c r="G240" s="114">
        <v>4</v>
      </c>
      <c r="H240" s="115" t="s">
        <v>83</v>
      </c>
    </row>
    <row r="241" spans="1:8" ht="19.899999999999999" customHeight="1">
      <c r="A241" s="121">
        <v>46026</v>
      </c>
      <c r="B241" s="112" t="s">
        <v>26</v>
      </c>
      <c r="C241" s="113" t="s">
        <v>357</v>
      </c>
      <c r="D241" s="112" t="s">
        <v>341</v>
      </c>
      <c r="E241" s="122">
        <v>1.3923611111111109</v>
      </c>
      <c r="F241" s="112" t="s">
        <v>28</v>
      </c>
      <c r="G241" s="114">
        <v>5</v>
      </c>
      <c r="H241" s="115" t="s">
        <v>83</v>
      </c>
    </row>
    <row r="242" spans="1:8" ht="19.899999999999999" customHeight="1">
      <c r="A242" s="121">
        <v>46026</v>
      </c>
      <c r="B242" s="112" t="s">
        <v>48</v>
      </c>
      <c r="C242" s="113" t="s">
        <v>386</v>
      </c>
      <c r="D242" s="112" t="s">
        <v>341</v>
      </c>
      <c r="E242" s="122">
        <v>1.8298611111111109</v>
      </c>
      <c r="F242" s="112" t="s">
        <v>50</v>
      </c>
      <c r="G242" s="114">
        <v>1</v>
      </c>
      <c r="H242" s="115" t="s">
        <v>383</v>
      </c>
    </row>
    <row r="243" spans="1:8" ht="19.899999999999999" customHeight="1">
      <c r="A243" s="121">
        <v>46026</v>
      </c>
      <c r="B243" s="112" t="s">
        <v>26</v>
      </c>
      <c r="C243" s="113" t="s">
        <v>348</v>
      </c>
      <c r="D243" s="112" t="s">
        <v>341</v>
      </c>
      <c r="E243" s="122">
        <v>1.993055555555556</v>
      </c>
      <c r="F243" s="112" t="s">
        <v>31</v>
      </c>
      <c r="G243" s="114">
        <v>6</v>
      </c>
      <c r="H243" s="115" t="s">
        <v>349</v>
      </c>
    </row>
    <row r="244" spans="1:8" ht="19.899999999999999" customHeight="1">
      <c r="A244" s="121">
        <v>46026</v>
      </c>
      <c r="B244" s="112" t="s">
        <v>26</v>
      </c>
      <c r="C244" s="113" t="s">
        <v>351</v>
      </c>
      <c r="D244" s="112" t="s">
        <v>341</v>
      </c>
      <c r="E244" s="122">
        <v>1.836805555555556</v>
      </c>
      <c r="F244" s="112" t="s">
        <v>31</v>
      </c>
      <c r="G244" s="114">
        <v>1</v>
      </c>
      <c r="H244" s="115" t="s">
        <v>349</v>
      </c>
    </row>
    <row r="245" spans="1:8" ht="19.899999999999999" customHeight="1">
      <c r="A245" s="121">
        <v>46026</v>
      </c>
      <c r="B245" s="112" t="s">
        <v>402</v>
      </c>
      <c r="C245" s="113" t="s">
        <v>403</v>
      </c>
      <c r="D245" s="112" t="s">
        <v>341</v>
      </c>
      <c r="E245" s="122">
        <v>1.493055555555556</v>
      </c>
      <c r="F245" s="112" t="s">
        <v>63</v>
      </c>
      <c r="G245" s="114">
        <v>5</v>
      </c>
      <c r="H245" s="115" t="s">
        <v>404</v>
      </c>
    </row>
    <row r="246" spans="1:8" ht="19.899999999999999" customHeight="1">
      <c r="A246" s="121">
        <v>46026</v>
      </c>
      <c r="B246" s="112" t="s">
        <v>402</v>
      </c>
      <c r="C246" s="113" t="s">
        <v>465</v>
      </c>
      <c r="D246" s="112" t="s">
        <v>341</v>
      </c>
      <c r="E246" s="122">
        <v>1.2048611111111109</v>
      </c>
      <c r="F246" s="112" t="s">
        <v>63</v>
      </c>
      <c r="G246" s="114">
        <v>5</v>
      </c>
      <c r="H246" s="115" t="s">
        <v>404</v>
      </c>
    </row>
    <row r="247" spans="1:8" ht="19.899999999999999" customHeight="1">
      <c r="A247" s="129">
        <v>46026</v>
      </c>
      <c r="B247" s="117" t="s">
        <v>61</v>
      </c>
      <c r="C247" s="118" t="s">
        <v>369</v>
      </c>
      <c r="D247" s="117" t="s">
        <v>341</v>
      </c>
      <c r="E247" s="130">
        <v>1.15625</v>
      </c>
      <c r="F247" s="117" t="s">
        <v>63</v>
      </c>
      <c r="G247" s="119">
        <v>9</v>
      </c>
      <c r="H247" s="120" t="s">
        <v>79</v>
      </c>
    </row>
    <row r="248" spans="1:8" ht="19.899999999999999" customHeight="1">
      <c r="A248" s="121">
        <v>46026</v>
      </c>
      <c r="B248" s="112" t="s">
        <v>48</v>
      </c>
      <c r="C248" s="113" t="s">
        <v>388</v>
      </c>
      <c r="D248" s="112" t="s">
        <v>341</v>
      </c>
      <c r="E248" s="122">
        <v>1.7222222222222221</v>
      </c>
      <c r="F248" s="112" t="s">
        <v>50</v>
      </c>
      <c r="G248" s="114">
        <v>9</v>
      </c>
      <c r="H248" s="115" t="s">
        <v>79</v>
      </c>
    </row>
    <row r="249" spans="1:8" ht="19.899999999999999" customHeight="1">
      <c r="A249" s="121">
        <v>46026</v>
      </c>
      <c r="B249" s="112" t="s">
        <v>48</v>
      </c>
      <c r="C249" s="113" t="s">
        <v>385</v>
      </c>
      <c r="D249" s="112" t="s">
        <v>341</v>
      </c>
      <c r="E249" s="122">
        <v>1.9409722222222221</v>
      </c>
      <c r="F249" s="112" t="s">
        <v>50</v>
      </c>
      <c r="G249" s="114">
        <v>9</v>
      </c>
      <c r="H249" s="115" t="s">
        <v>79</v>
      </c>
    </row>
    <row r="250" spans="1:8" ht="19.899999999999999" customHeight="1">
      <c r="A250" s="121">
        <v>46026</v>
      </c>
      <c r="B250" s="112" t="s">
        <v>26</v>
      </c>
      <c r="C250" s="113" t="s">
        <v>350</v>
      </c>
      <c r="D250" s="112" t="s">
        <v>341</v>
      </c>
      <c r="E250" s="122">
        <v>1.7361111111111109</v>
      </c>
      <c r="F250" s="112" t="s">
        <v>31</v>
      </c>
      <c r="G250" s="114">
        <v>4</v>
      </c>
      <c r="H250" s="115" t="s">
        <v>426</v>
      </c>
    </row>
    <row r="251" spans="1:8" ht="19.899999999999999" customHeight="1">
      <c r="A251" s="121">
        <v>46026</v>
      </c>
      <c r="B251" s="112" t="s">
        <v>26</v>
      </c>
      <c r="C251" s="113" t="s">
        <v>352</v>
      </c>
      <c r="D251" s="112" t="s">
        <v>341</v>
      </c>
      <c r="E251" s="122">
        <v>1.944444444444444</v>
      </c>
      <c r="F251" s="112" t="s">
        <v>31</v>
      </c>
      <c r="G251" s="114">
        <v>5</v>
      </c>
      <c r="H251" s="115" t="s">
        <v>426</v>
      </c>
    </row>
    <row r="252" spans="1:8" ht="19.899999999999999" customHeight="1">
      <c r="A252" s="121">
        <v>46026</v>
      </c>
      <c r="B252" s="112" t="s">
        <v>26</v>
      </c>
      <c r="C252" s="113" t="s">
        <v>353</v>
      </c>
      <c r="D252" s="112" t="s">
        <v>341</v>
      </c>
      <c r="E252" s="122">
        <v>1.8888888888888891</v>
      </c>
      <c r="F252" s="112" t="s">
        <v>31</v>
      </c>
      <c r="G252" s="114">
        <v>5</v>
      </c>
      <c r="H252" s="115" t="s">
        <v>426</v>
      </c>
    </row>
    <row r="253" spans="1:8" ht="19.899999999999999" customHeight="1">
      <c r="A253" s="121">
        <v>46026</v>
      </c>
      <c r="B253" s="112" t="s">
        <v>38</v>
      </c>
      <c r="C253" s="113" t="s">
        <v>346</v>
      </c>
      <c r="D253" s="112" t="s">
        <v>341</v>
      </c>
      <c r="E253" s="122">
        <v>1.399305555555556</v>
      </c>
      <c r="F253" s="112" t="s">
        <v>43</v>
      </c>
      <c r="G253" s="114">
        <v>19</v>
      </c>
      <c r="H253" s="115" t="s">
        <v>420</v>
      </c>
    </row>
    <row r="254" spans="1:8" ht="19.899999999999999" customHeight="1">
      <c r="A254" s="121">
        <v>46026</v>
      </c>
      <c r="B254" s="112" t="s">
        <v>38</v>
      </c>
      <c r="C254" s="113" t="s">
        <v>342</v>
      </c>
      <c r="D254" s="112" t="s">
        <v>341</v>
      </c>
      <c r="E254" s="122">
        <v>1.489583333333333</v>
      </c>
      <c r="F254" s="112" t="s">
        <v>43</v>
      </c>
      <c r="G254" s="114">
        <v>15</v>
      </c>
      <c r="H254" s="115" t="s">
        <v>420</v>
      </c>
    </row>
    <row r="255" spans="1:8" ht="19.899999999999999" customHeight="1">
      <c r="A255" s="121">
        <v>46026</v>
      </c>
      <c r="B255" s="112" t="s">
        <v>26</v>
      </c>
      <c r="C255" s="113" t="s">
        <v>356</v>
      </c>
      <c r="D255" s="112" t="s">
        <v>341</v>
      </c>
      <c r="E255" s="122">
        <v>1.4861111111111109</v>
      </c>
      <c r="F255" s="112" t="s">
        <v>31</v>
      </c>
      <c r="G255" s="114">
        <v>4</v>
      </c>
      <c r="H255" s="115" t="s">
        <v>159</v>
      </c>
    </row>
    <row r="256" spans="1:8" ht="19.899999999999999" customHeight="1">
      <c r="A256" s="121">
        <v>46026</v>
      </c>
      <c r="B256" s="112" t="s">
        <v>26</v>
      </c>
      <c r="C256" s="113" t="s">
        <v>357</v>
      </c>
      <c r="D256" s="112" t="s">
        <v>341</v>
      </c>
      <c r="E256" s="122">
        <v>1.3923611111111109</v>
      </c>
      <c r="F256" s="112" t="s">
        <v>31</v>
      </c>
      <c r="G256" s="114">
        <v>5</v>
      </c>
      <c r="H256" s="115" t="s">
        <v>159</v>
      </c>
    </row>
    <row r="257" spans="1:8" ht="19.899999999999999" customHeight="1">
      <c r="A257" s="121">
        <v>46026</v>
      </c>
      <c r="B257" s="112" t="s">
        <v>26</v>
      </c>
      <c r="C257" s="113" t="s">
        <v>348</v>
      </c>
      <c r="D257" s="112" t="s">
        <v>341</v>
      </c>
      <c r="E257" s="122">
        <v>1.993055555555556</v>
      </c>
      <c r="F257" s="112" t="s">
        <v>34</v>
      </c>
      <c r="G257" s="114">
        <v>6</v>
      </c>
      <c r="H257" s="115" t="s">
        <v>138</v>
      </c>
    </row>
    <row r="258" spans="1:8" ht="19.899999999999999" customHeight="1">
      <c r="A258" s="121">
        <v>46026</v>
      </c>
      <c r="B258" s="112" t="s">
        <v>26</v>
      </c>
      <c r="C258" s="113" t="s">
        <v>351</v>
      </c>
      <c r="D258" s="112" t="s">
        <v>341</v>
      </c>
      <c r="E258" s="122">
        <v>1.836805555555556</v>
      </c>
      <c r="F258" s="112" t="s">
        <v>34</v>
      </c>
      <c r="G258" s="114">
        <v>1</v>
      </c>
      <c r="H258" s="115" t="s">
        <v>138</v>
      </c>
    </row>
    <row r="259" spans="1:8" ht="19.899999999999999" customHeight="1">
      <c r="A259" s="121">
        <v>46026</v>
      </c>
      <c r="B259" s="112" t="s">
        <v>68</v>
      </c>
      <c r="C259" s="113" t="s">
        <v>405</v>
      </c>
      <c r="D259" s="112" t="s">
        <v>341</v>
      </c>
      <c r="E259" s="122">
        <v>1.836805555555556</v>
      </c>
      <c r="F259" s="112" t="s">
        <v>70</v>
      </c>
      <c r="G259" s="114">
        <v>9</v>
      </c>
      <c r="H259" s="115" t="s">
        <v>406</v>
      </c>
    </row>
    <row r="260" spans="1:8" ht="19.899999999999999" customHeight="1">
      <c r="A260" s="121">
        <v>46026</v>
      </c>
      <c r="B260" s="112" t="s">
        <v>68</v>
      </c>
      <c r="C260" s="113" t="s">
        <v>407</v>
      </c>
      <c r="D260" s="112" t="s">
        <v>341</v>
      </c>
      <c r="E260" s="122">
        <v>1.3125</v>
      </c>
      <c r="F260" s="112" t="s">
        <v>70</v>
      </c>
      <c r="G260" s="114">
        <v>9</v>
      </c>
      <c r="H260" s="115" t="s">
        <v>406</v>
      </c>
    </row>
    <row r="261" spans="1:8" ht="19.899999999999999" customHeight="1">
      <c r="A261" s="121">
        <v>46026</v>
      </c>
      <c r="B261" s="112" t="s">
        <v>68</v>
      </c>
      <c r="C261" s="113" t="s">
        <v>408</v>
      </c>
      <c r="D261" s="112" t="s">
        <v>341</v>
      </c>
      <c r="E261" s="122">
        <v>1.9722222222222221</v>
      </c>
      <c r="F261" s="112" t="s">
        <v>70</v>
      </c>
      <c r="G261" s="114">
        <v>9</v>
      </c>
      <c r="H261" s="115" t="s">
        <v>406</v>
      </c>
    </row>
    <row r="262" spans="1:8" ht="19.899999999999999" customHeight="1">
      <c r="A262" s="121">
        <v>46026</v>
      </c>
      <c r="B262" s="112" t="s">
        <v>68</v>
      </c>
      <c r="C262" s="113" t="s">
        <v>437</v>
      </c>
      <c r="D262" s="112" t="s">
        <v>341</v>
      </c>
      <c r="E262" s="122">
        <v>1.104166666666667</v>
      </c>
      <c r="F262" s="112" t="s">
        <v>70</v>
      </c>
      <c r="G262" s="114">
        <v>9</v>
      </c>
      <c r="H262" s="115" t="s">
        <v>406</v>
      </c>
    </row>
    <row r="263" spans="1:8" ht="19.899999999999999" customHeight="1">
      <c r="A263" s="121">
        <v>46026</v>
      </c>
      <c r="B263" s="112" t="s">
        <v>68</v>
      </c>
      <c r="C263" s="113" t="s">
        <v>411</v>
      </c>
      <c r="D263" s="112" t="s">
        <v>341</v>
      </c>
      <c r="E263" s="122">
        <v>1.7847222222222221</v>
      </c>
      <c r="F263" s="112" t="s">
        <v>70</v>
      </c>
      <c r="G263" s="114">
        <v>9</v>
      </c>
      <c r="H263" s="115" t="s">
        <v>406</v>
      </c>
    </row>
    <row r="264" spans="1:8" ht="19.899999999999999" customHeight="1">
      <c r="A264" s="121">
        <v>46026</v>
      </c>
      <c r="B264" s="112" t="s">
        <v>68</v>
      </c>
      <c r="C264" s="113" t="s">
        <v>413</v>
      </c>
      <c r="D264" s="112" t="s">
        <v>341</v>
      </c>
      <c r="E264" s="122">
        <v>1.0486111111111109</v>
      </c>
      <c r="F264" s="112" t="s">
        <v>70</v>
      </c>
      <c r="G264" s="114">
        <v>9</v>
      </c>
      <c r="H264" s="115" t="s">
        <v>406</v>
      </c>
    </row>
    <row r="265" spans="1:8" ht="19.899999999999999" customHeight="1">
      <c r="A265" s="121">
        <v>46026</v>
      </c>
      <c r="B265" s="112" t="s">
        <v>48</v>
      </c>
      <c r="C265" s="113" t="s">
        <v>389</v>
      </c>
      <c r="D265" s="112" t="s">
        <v>341</v>
      </c>
      <c r="E265" s="122">
        <v>1.7013888888888891</v>
      </c>
      <c r="F265" s="112" t="s">
        <v>50</v>
      </c>
      <c r="G265" s="114">
        <v>9</v>
      </c>
      <c r="H265" s="115" t="s">
        <v>462</v>
      </c>
    </row>
    <row r="266" spans="1:8" ht="19.899999999999999" customHeight="1">
      <c r="A266" s="121">
        <v>46026</v>
      </c>
      <c r="B266" s="112" t="s">
        <v>48</v>
      </c>
      <c r="C266" s="113" t="s">
        <v>386</v>
      </c>
      <c r="D266" s="112" t="s">
        <v>341</v>
      </c>
      <c r="E266" s="122">
        <v>1.8298611111111109</v>
      </c>
      <c r="F266" s="112" t="s">
        <v>53</v>
      </c>
      <c r="G266" s="114">
        <v>1</v>
      </c>
      <c r="H266" s="115" t="s">
        <v>384</v>
      </c>
    </row>
    <row r="267" spans="1:8" ht="19.899999999999999" customHeight="1">
      <c r="A267" s="121">
        <v>46026</v>
      </c>
      <c r="B267" s="112" t="s">
        <v>38</v>
      </c>
      <c r="C267" s="113" t="s">
        <v>344</v>
      </c>
      <c r="D267" s="112" t="s">
        <v>341</v>
      </c>
      <c r="E267" s="122">
        <v>1.8888888888888891</v>
      </c>
      <c r="F267" s="112" t="s">
        <v>43</v>
      </c>
      <c r="G267" s="114">
        <v>14</v>
      </c>
      <c r="H267" s="115" t="s">
        <v>123</v>
      </c>
    </row>
    <row r="268" spans="1:8" ht="19.899999999999999" customHeight="1">
      <c r="A268" s="121">
        <v>46026</v>
      </c>
      <c r="B268" s="112" t="s">
        <v>38</v>
      </c>
      <c r="C268" s="113" t="s">
        <v>345</v>
      </c>
      <c r="D268" s="112" t="s">
        <v>341</v>
      </c>
      <c r="E268" s="122">
        <v>1.989583333333333</v>
      </c>
      <c r="F268" s="112" t="s">
        <v>43</v>
      </c>
      <c r="G268" s="114">
        <v>12</v>
      </c>
      <c r="H268" s="115" t="s">
        <v>123</v>
      </c>
    </row>
    <row r="269" spans="1:8" ht="19.899999999999999" customHeight="1">
      <c r="A269" s="121">
        <v>46026</v>
      </c>
      <c r="B269" s="112" t="s">
        <v>26</v>
      </c>
      <c r="C269" s="113" t="s">
        <v>350</v>
      </c>
      <c r="D269" s="112" t="s">
        <v>341</v>
      </c>
      <c r="E269" s="122">
        <v>1.7361111111111109</v>
      </c>
      <c r="F269" s="112" t="s">
        <v>34</v>
      </c>
      <c r="G269" s="114">
        <v>4</v>
      </c>
      <c r="H269" s="115" t="s">
        <v>162</v>
      </c>
    </row>
    <row r="270" spans="1:8" ht="19.899999999999999" customHeight="1">
      <c r="A270" s="121">
        <v>46026</v>
      </c>
      <c r="B270" s="112" t="s">
        <v>26</v>
      </c>
      <c r="C270" s="113" t="s">
        <v>352</v>
      </c>
      <c r="D270" s="112" t="s">
        <v>341</v>
      </c>
      <c r="E270" s="122">
        <v>1.944444444444444</v>
      </c>
      <c r="F270" s="112" t="s">
        <v>34</v>
      </c>
      <c r="G270" s="114">
        <v>5</v>
      </c>
      <c r="H270" s="115" t="s">
        <v>162</v>
      </c>
    </row>
    <row r="271" spans="1:8" ht="19.899999999999999" customHeight="1">
      <c r="A271" s="121">
        <v>46026</v>
      </c>
      <c r="B271" s="112" t="s">
        <v>26</v>
      </c>
      <c r="C271" s="113" t="s">
        <v>353</v>
      </c>
      <c r="D271" s="112" t="s">
        <v>341</v>
      </c>
      <c r="E271" s="122">
        <v>1.8888888888888891</v>
      </c>
      <c r="F271" s="112" t="s">
        <v>34</v>
      </c>
      <c r="G271" s="114">
        <v>5</v>
      </c>
      <c r="H271" s="115" t="s">
        <v>162</v>
      </c>
    </row>
    <row r="272" spans="1:8" ht="19.899999999999999" customHeight="1">
      <c r="A272" s="121">
        <v>46026</v>
      </c>
      <c r="B272" s="112" t="s">
        <v>359</v>
      </c>
      <c r="C272" s="113" t="s">
        <v>360</v>
      </c>
      <c r="D272" s="112" t="s">
        <v>341</v>
      </c>
      <c r="E272" s="122">
        <v>1.229166666666667</v>
      </c>
      <c r="F272" s="112" t="s">
        <v>46</v>
      </c>
      <c r="G272" s="114">
        <v>9</v>
      </c>
      <c r="H272" s="115" t="s">
        <v>424</v>
      </c>
    </row>
    <row r="273" spans="1:8" ht="19.899999999999999" customHeight="1">
      <c r="A273" s="121">
        <v>46026</v>
      </c>
      <c r="B273" s="112" t="s">
        <v>48</v>
      </c>
      <c r="C273" s="113" t="s">
        <v>388</v>
      </c>
      <c r="D273" s="112" t="s">
        <v>341</v>
      </c>
      <c r="E273" s="122">
        <v>1.7222222222222221</v>
      </c>
      <c r="F273" s="112" t="s">
        <v>53</v>
      </c>
      <c r="G273" s="114">
        <v>9</v>
      </c>
      <c r="H273" s="115" t="s">
        <v>387</v>
      </c>
    </row>
    <row r="274" spans="1:8" ht="19.899999999999999" customHeight="1">
      <c r="A274" s="121">
        <v>46026</v>
      </c>
      <c r="B274" s="112" t="s">
        <v>48</v>
      </c>
      <c r="C274" s="113" t="s">
        <v>385</v>
      </c>
      <c r="D274" s="112" t="s">
        <v>341</v>
      </c>
      <c r="E274" s="122">
        <v>1.9409722222222221</v>
      </c>
      <c r="F274" s="112" t="s">
        <v>53</v>
      </c>
      <c r="G274" s="114">
        <v>9</v>
      </c>
      <c r="H274" s="115" t="s">
        <v>387</v>
      </c>
    </row>
    <row r="275" spans="1:8" ht="19.899999999999999" customHeight="1">
      <c r="A275" s="121">
        <v>46026</v>
      </c>
      <c r="B275" s="112" t="s">
        <v>26</v>
      </c>
      <c r="C275" s="113" t="s">
        <v>356</v>
      </c>
      <c r="D275" s="112" t="s">
        <v>341</v>
      </c>
      <c r="E275" s="122">
        <v>1.4861111111111109</v>
      </c>
      <c r="F275" s="112" t="s">
        <v>34</v>
      </c>
      <c r="G275" s="114">
        <v>4</v>
      </c>
      <c r="H275" s="115" t="s">
        <v>355</v>
      </c>
    </row>
    <row r="276" spans="1:8" ht="19.899999999999999" customHeight="1">
      <c r="A276" s="121">
        <v>46026</v>
      </c>
      <c r="B276" s="112" t="s">
        <v>26</v>
      </c>
      <c r="C276" s="113" t="s">
        <v>357</v>
      </c>
      <c r="D276" s="112" t="s">
        <v>341</v>
      </c>
      <c r="E276" s="122">
        <v>1.3923611111111109</v>
      </c>
      <c r="F276" s="112" t="s">
        <v>34</v>
      </c>
      <c r="G276" s="114">
        <v>5</v>
      </c>
      <c r="H276" s="115" t="s">
        <v>355</v>
      </c>
    </row>
    <row r="277" spans="1:8" ht="19.899999999999999" customHeight="1">
      <c r="A277" s="121">
        <v>46026</v>
      </c>
      <c r="B277" s="112" t="s">
        <v>48</v>
      </c>
      <c r="C277" s="113" t="s">
        <v>389</v>
      </c>
      <c r="D277" s="112" t="s">
        <v>341</v>
      </c>
      <c r="E277" s="122">
        <v>1.7013888888888891</v>
      </c>
      <c r="F277" s="112" t="s">
        <v>53</v>
      </c>
      <c r="G277" s="114">
        <v>9</v>
      </c>
      <c r="H277" s="115" t="s">
        <v>463</v>
      </c>
    </row>
    <row r="278" spans="1:8" ht="19.899999999999999" customHeight="1">
      <c r="A278" s="121">
        <v>46026</v>
      </c>
      <c r="B278" s="112" t="s">
        <v>68</v>
      </c>
      <c r="C278" s="113" t="s">
        <v>410</v>
      </c>
      <c r="D278" s="112" t="s">
        <v>341</v>
      </c>
      <c r="E278" s="122">
        <v>1.5972222222222221</v>
      </c>
      <c r="F278" s="112" t="s">
        <v>70</v>
      </c>
      <c r="G278" s="114">
        <v>9</v>
      </c>
      <c r="H278" s="115" t="s">
        <v>466</v>
      </c>
    </row>
    <row r="279" spans="1:8" ht="19.899999999999999" customHeight="1">
      <c r="A279" s="121">
        <v>46026</v>
      </c>
      <c r="B279" s="112" t="s">
        <v>48</v>
      </c>
      <c r="C279" s="113" t="s">
        <v>391</v>
      </c>
      <c r="D279" s="112" t="s">
        <v>341</v>
      </c>
      <c r="E279" s="122">
        <v>1.489583333333333</v>
      </c>
      <c r="F279" s="112" t="s">
        <v>50</v>
      </c>
      <c r="G279" s="114">
        <v>9</v>
      </c>
      <c r="H279" s="115" t="s">
        <v>392</v>
      </c>
    </row>
    <row r="280" spans="1:8" ht="19.899999999999999" customHeight="1">
      <c r="A280" s="121">
        <v>46026</v>
      </c>
      <c r="B280" s="112" t="s">
        <v>48</v>
      </c>
      <c r="C280" s="113" t="s">
        <v>390</v>
      </c>
      <c r="D280" s="112" t="s">
        <v>341</v>
      </c>
      <c r="E280" s="122">
        <v>1.041666666666667</v>
      </c>
      <c r="F280" s="112" t="s">
        <v>50</v>
      </c>
      <c r="G280" s="114">
        <v>9</v>
      </c>
      <c r="H280" s="115" t="s">
        <v>392</v>
      </c>
    </row>
    <row r="281" spans="1:8" ht="19.899999999999999" customHeight="1">
      <c r="A281" s="121">
        <v>46026</v>
      </c>
      <c r="B281" s="112" t="s">
        <v>26</v>
      </c>
      <c r="C281" s="113" t="s">
        <v>354</v>
      </c>
      <c r="D281" s="112" t="s">
        <v>341</v>
      </c>
      <c r="E281" s="122">
        <v>1.3472222222222221</v>
      </c>
      <c r="F281" s="112" t="s">
        <v>28</v>
      </c>
      <c r="G281" s="114">
        <v>3</v>
      </c>
      <c r="H281" s="115" t="s">
        <v>455</v>
      </c>
    </row>
    <row r="282" spans="1:8" ht="19.899999999999999" customHeight="1">
      <c r="A282" s="121">
        <v>46026</v>
      </c>
      <c r="B282" s="112" t="s">
        <v>38</v>
      </c>
      <c r="C282" s="113" t="s">
        <v>346</v>
      </c>
      <c r="D282" s="112" t="s">
        <v>341</v>
      </c>
      <c r="E282" s="122">
        <v>1.399305555555556</v>
      </c>
      <c r="F282" s="112" t="s">
        <v>46</v>
      </c>
      <c r="G282" s="114">
        <v>19</v>
      </c>
      <c r="H282" s="115" t="s">
        <v>47</v>
      </c>
    </row>
    <row r="283" spans="1:8" ht="19.899999999999999" customHeight="1">
      <c r="A283" s="121">
        <v>46026</v>
      </c>
      <c r="B283" s="112" t="s">
        <v>38</v>
      </c>
      <c r="C283" s="113" t="s">
        <v>342</v>
      </c>
      <c r="D283" s="112" t="s">
        <v>341</v>
      </c>
      <c r="E283" s="122">
        <v>1.489583333333333</v>
      </c>
      <c r="F283" s="112" t="s">
        <v>46</v>
      </c>
      <c r="G283" s="114">
        <v>15</v>
      </c>
      <c r="H283" s="115" t="s">
        <v>47</v>
      </c>
    </row>
    <row r="284" spans="1:8" ht="19.899999999999999" customHeight="1">
      <c r="A284" s="121">
        <v>46026</v>
      </c>
      <c r="B284" s="112" t="s">
        <v>38</v>
      </c>
      <c r="C284" s="113" t="s">
        <v>344</v>
      </c>
      <c r="D284" s="112" t="s">
        <v>341</v>
      </c>
      <c r="E284" s="122">
        <v>1.8888888888888891</v>
      </c>
      <c r="F284" s="112" t="s">
        <v>46</v>
      </c>
      <c r="G284" s="114">
        <v>14</v>
      </c>
      <c r="H284" s="115" t="s">
        <v>47</v>
      </c>
    </row>
    <row r="285" spans="1:8" ht="19.899999999999999" customHeight="1">
      <c r="A285" s="121">
        <v>46026</v>
      </c>
      <c r="B285" s="112" t="s">
        <v>38</v>
      </c>
      <c r="C285" s="113" t="s">
        <v>345</v>
      </c>
      <c r="D285" s="112" t="s">
        <v>341</v>
      </c>
      <c r="E285" s="122">
        <v>1.989583333333333</v>
      </c>
      <c r="F285" s="112" t="s">
        <v>46</v>
      </c>
      <c r="G285" s="114">
        <v>12</v>
      </c>
      <c r="H285" s="115" t="s">
        <v>47</v>
      </c>
    </row>
    <row r="286" spans="1:8" ht="19.899999999999999" customHeight="1">
      <c r="A286" s="121">
        <v>46026</v>
      </c>
      <c r="B286" s="112" t="s">
        <v>26</v>
      </c>
      <c r="C286" s="113" t="s">
        <v>354</v>
      </c>
      <c r="D286" s="112" t="s">
        <v>341</v>
      </c>
      <c r="E286" s="122">
        <v>1.3472222222222221</v>
      </c>
      <c r="F286" s="112" t="s">
        <v>31</v>
      </c>
      <c r="G286" s="114">
        <v>3</v>
      </c>
      <c r="H286" s="115" t="s">
        <v>456</v>
      </c>
    </row>
    <row r="287" spans="1:8" ht="19.899999999999999" customHeight="1">
      <c r="A287" s="121">
        <v>46026</v>
      </c>
      <c r="B287" s="112" t="s">
        <v>48</v>
      </c>
      <c r="C287" s="113" t="s">
        <v>391</v>
      </c>
      <c r="D287" s="112" t="s">
        <v>341</v>
      </c>
      <c r="E287" s="122">
        <v>1.489583333333333</v>
      </c>
      <c r="F287" s="112" t="s">
        <v>53</v>
      </c>
      <c r="G287" s="114">
        <v>9</v>
      </c>
      <c r="H287" s="115" t="s">
        <v>393</v>
      </c>
    </row>
    <row r="288" spans="1:8" ht="19.899999999999999" customHeight="1">
      <c r="A288" s="121">
        <v>46026</v>
      </c>
      <c r="B288" s="112" t="s">
        <v>48</v>
      </c>
      <c r="C288" s="113" t="s">
        <v>390</v>
      </c>
      <c r="D288" s="112" t="s">
        <v>341</v>
      </c>
      <c r="E288" s="122">
        <v>1.041666666666667</v>
      </c>
      <c r="F288" s="112" t="s">
        <v>53</v>
      </c>
      <c r="G288" s="114">
        <v>9</v>
      </c>
      <c r="H288" s="115" t="s">
        <v>393</v>
      </c>
    </row>
    <row r="289" spans="1:8" ht="19.899999999999999" customHeight="1">
      <c r="A289" s="121">
        <v>46026</v>
      </c>
      <c r="B289" s="112" t="s">
        <v>48</v>
      </c>
      <c r="C289" s="113" t="s">
        <v>398</v>
      </c>
      <c r="D289" s="112" t="s">
        <v>341</v>
      </c>
      <c r="E289" s="122">
        <v>1.399305555555556</v>
      </c>
      <c r="F289" s="112" t="s">
        <v>53</v>
      </c>
      <c r="G289" s="114">
        <v>4</v>
      </c>
      <c r="H289" s="115" t="s">
        <v>438</v>
      </c>
    </row>
    <row r="290" spans="1:8" ht="19.899999999999999" customHeight="1">
      <c r="A290" s="121">
        <v>46026</v>
      </c>
      <c r="B290" s="112" t="s">
        <v>48</v>
      </c>
      <c r="C290" s="113" t="s">
        <v>396</v>
      </c>
      <c r="D290" s="112" t="s">
        <v>341</v>
      </c>
      <c r="E290" s="122">
        <v>1.489583333333333</v>
      </c>
      <c r="F290" s="112" t="s">
        <v>53</v>
      </c>
      <c r="G290" s="114">
        <v>4</v>
      </c>
      <c r="H290" s="115" t="s">
        <v>438</v>
      </c>
    </row>
    <row r="291" spans="1:8" ht="19.899999999999999" customHeight="1">
      <c r="A291" s="121">
        <v>46026</v>
      </c>
      <c r="B291" s="112" t="s">
        <v>26</v>
      </c>
      <c r="C291" s="113" t="s">
        <v>354</v>
      </c>
      <c r="D291" s="112" t="s">
        <v>341</v>
      </c>
      <c r="E291" s="122">
        <v>1.3472222222222221</v>
      </c>
      <c r="F291" s="112" t="s">
        <v>34</v>
      </c>
      <c r="G291" s="114">
        <v>3</v>
      </c>
      <c r="H291" s="115" t="s">
        <v>457</v>
      </c>
    </row>
    <row r="292" spans="1:8" ht="19.899999999999999" customHeight="1">
      <c r="A292" s="121">
        <v>46026</v>
      </c>
      <c r="B292" s="112" t="s">
        <v>48</v>
      </c>
      <c r="C292" s="113" t="s">
        <v>394</v>
      </c>
      <c r="D292" s="112" t="s">
        <v>341</v>
      </c>
      <c r="E292" s="122">
        <v>1.989583333333333</v>
      </c>
      <c r="F292" s="112" t="s">
        <v>53</v>
      </c>
      <c r="G292" s="114">
        <v>4</v>
      </c>
      <c r="H292" s="115" t="s">
        <v>464</v>
      </c>
    </row>
    <row r="293" spans="1:8" ht="19.899999999999999" customHeight="1">
      <c r="A293" s="121">
        <v>46026</v>
      </c>
      <c r="B293" s="112" t="s">
        <v>48</v>
      </c>
      <c r="C293" s="113" t="s">
        <v>397</v>
      </c>
      <c r="D293" s="112" t="s">
        <v>341</v>
      </c>
      <c r="E293" s="122">
        <v>1.8888888888888891</v>
      </c>
      <c r="F293" s="112" t="s">
        <v>53</v>
      </c>
      <c r="G293" s="114">
        <v>4</v>
      </c>
      <c r="H293" s="115" t="s">
        <v>464</v>
      </c>
    </row>
    <row r="294" spans="1:8" ht="19.899999999999999" customHeight="1">
      <c r="A294" s="121">
        <v>46026</v>
      </c>
      <c r="B294" s="112" t="s">
        <v>48</v>
      </c>
      <c r="C294" s="113" t="s">
        <v>382</v>
      </c>
      <c r="D294" s="112" t="s">
        <v>341</v>
      </c>
      <c r="E294" s="122">
        <v>1.118055555555556</v>
      </c>
      <c r="F294" s="112" t="s">
        <v>53</v>
      </c>
      <c r="G294" s="114">
        <v>9</v>
      </c>
      <c r="H294" s="115" t="s">
        <v>401</v>
      </c>
    </row>
    <row r="295" spans="1:8" ht="19.899999999999999" customHeight="1">
      <c r="A295" s="123">
        <v>46026</v>
      </c>
      <c r="B295" s="124" t="s">
        <v>48</v>
      </c>
      <c r="C295" s="125" t="s">
        <v>400</v>
      </c>
      <c r="D295" s="124" t="s">
        <v>341</v>
      </c>
      <c r="E295" s="126">
        <v>1.2534722222222221</v>
      </c>
      <c r="F295" s="124" t="s">
        <v>53</v>
      </c>
      <c r="G295" s="127">
        <v>5</v>
      </c>
      <c r="H295" s="128" t="s">
        <v>401</v>
      </c>
    </row>
    <row r="296" spans="1:8" ht="19.899999999999999" customHeight="1">
      <c r="A296" s="121">
        <v>46027</v>
      </c>
      <c r="B296" s="112" t="s">
        <v>38</v>
      </c>
      <c r="C296" s="113" t="s">
        <v>342</v>
      </c>
      <c r="D296" s="112" t="s">
        <v>341</v>
      </c>
      <c r="E296" s="122">
        <v>1.489583333333333</v>
      </c>
      <c r="F296" s="112" t="s">
        <v>440</v>
      </c>
      <c r="G296" s="114">
        <v>14</v>
      </c>
      <c r="H296" s="115" t="s">
        <v>88</v>
      </c>
    </row>
    <row r="297" spans="1:8" ht="19.899999999999999" customHeight="1">
      <c r="A297" s="121">
        <v>46027</v>
      </c>
      <c r="B297" s="112" t="s">
        <v>38</v>
      </c>
      <c r="C297" s="113" t="s">
        <v>342</v>
      </c>
      <c r="D297" s="112" t="s">
        <v>341</v>
      </c>
      <c r="E297" s="122">
        <v>1.489583333333333</v>
      </c>
      <c r="F297" s="112" t="s">
        <v>40</v>
      </c>
      <c r="G297" s="114">
        <v>14</v>
      </c>
      <c r="H297" s="115" t="s">
        <v>88</v>
      </c>
    </row>
    <row r="298" spans="1:8" ht="19.899999999999999" customHeight="1">
      <c r="A298" s="121">
        <v>46027</v>
      </c>
      <c r="B298" s="112" t="s">
        <v>38</v>
      </c>
      <c r="C298" s="113" t="s">
        <v>346</v>
      </c>
      <c r="D298" s="112" t="s">
        <v>341</v>
      </c>
      <c r="E298" s="122">
        <v>1.399305555555556</v>
      </c>
      <c r="F298" s="112" t="s">
        <v>440</v>
      </c>
      <c r="G298" s="114">
        <v>20</v>
      </c>
      <c r="H298" s="115" t="s">
        <v>343</v>
      </c>
    </row>
    <row r="299" spans="1:8" ht="19.899999999999999" customHeight="1">
      <c r="A299" s="121">
        <v>46027</v>
      </c>
      <c r="B299" s="112" t="s">
        <v>38</v>
      </c>
      <c r="C299" s="113" t="s">
        <v>346</v>
      </c>
      <c r="D299" s="112" t="s">
        <v>341</v>
      </c>
      <c r="E299" s="122">
        <v>1.399305555555556</v>
      </c>
      <c r="F299" s="112" t="s">
        <v>40</v>
      </c>
      <c r="G299" s="114">
        <v>20</v>
      </c>
      <c r="H299" s="115" t="s">
        <v>343</v>
      </c>
    </row>
    <row r="300" spans="1:8" ht="19.899999999999999" customHeight="1">
      <c r="A300" s="121">
        <v>46027</v>
      </c>
      <c r="B300" s="112" t="s">
        <v>38</v>
      </c>
      <c r="C300" s="113" t="s">
        <v>345</v>
      </c>
      <c r="D300" s="112" t="s">
        <v>341</v>
      </c>
      <c r="E300" s="122">
        <v>1.989583333333333</v>
      </c>
      <c r="F300" s="112" t="s">
        <v>440</v>
      </c>
      <c r="G300" s="114">
        <v>19</v>
      </c>
      <c r="H300" s="115" t="s">
        <v>343</v>
      </c>
    </row>
    <row r="301" spans="1:8" ht="19.899999999999999" customHeight="1">
      <c r="A301" s="121">
        <v>46027</v>
      </c>
      <c r="B301" s="112" t="s">
        <v>38</v>
      </c>
      <c r="C301" s="113" t="s">
        <v>345</v>
      </c>
      <c r="D301" s="112" t="s">
        <v>341</v>
      </c>
      <c r="E301" s="122">
        <v>1.989583333333333</v>
      </c>
      <c r="F301" s="112" t="s">
        <v>40</v>
      </c>
      <c r="G301" s="114">
        <v>19</v>
      </c>
      <c r="H301" s="115" t="s">
        <v>343</v>
      </c>
    </row>
    <row r="302" spans="1:8" ht="19.899999999999999" customHeight="1">
      <c r="A302" s="121">
        <v>46027</v>
      </c>
      <c r="B302" s="112" t="s">
        <v>26</v>
      </c>
      <c r="C302" s="113" t="s">
        <v>348</v>
      </c>
      <c r="D302" s="112" t="s">
        <v>341</v>
      </c>
      <c r="E302" s="122">
        <v>1.993055555555556</v>
      </c>
      <c r="F302" s="112" t="s">
        <v>28</v>
      </c>
      <c r="G302" s="114">
        <v>3</v>
      </c>
      <c r="H302" s="115" t="s">
        <v>131</v>
      </c>
    </row>
    <row r="303" spans="1:8" ht="19.899999999999999" customHeight="1">
      <c r="A303" s="121">
        <v>46027</v>
      </c>
      <c r="B303" s="112" t="s">
        <v>26</v>
      </c>
      <c r="C303" s="113" t="s">
        <v>352</v>
      </c>
      <c r="D303" s="112" t="s">
        <v>341</v>
      </c>
      <c r="E303" s="122">
        <v>1.944444444444444</v>
      </c>
      <c r="F303" s="112" t="s">
        <v>28</v>
      </c>
      <c r="G303" s="114">
        <v>2</v>
      </c>
      <c r="H303" s="115" t="s">
        <v>131</v>
      </c>
    </row>
    <row r="304" spans="1:8" ht="19.899999999999999" customHeight="1">
      <c r="A304" s="121">
        <v>46027</v>
      </c>
      <c r="B304" s="112" t="s">
        <v>26</v>
      </c>
      <c r="C304" s="113" t="s">
        <v>353</v>
      </c>
      <c r="D304" s="112" t="s">
        <v>341</v>
      </c>
      <c r="E304" s="122">
        <v>1.8888888888888891</v>
      </c>
      <c r="F304" s="112" t="s">
        <v>28</v>
      </c>
      <c r="G304" s="114">
        <v>5</v>
      </c>
      <c r="H304" s="115" t="s">
        <v>131</v>
      </c>
    </row>
    <row r="305" spans="1:8" ht="19.899999999999999" customHeight="1">
      <c r="A305" s="121">
        <v>46027</v>
      </c>
      <c r="B305" s="112" t="s">
        <v>359</v>
      </c>
      <c r="C305" s="113" t="s">
        <v>445</v>
      </c>
      <c r="D305" s="112" t="s">
        <v>341</v>
      </c>
      <c r="E305" s="122">
        <v>1.0138888888888891</v>
      </c>
      <c r="F305" s="112" t="s">
        <v>361</v>
      </c>
      <c r="G305" s="114">
        <v>9</v>
      </c>
      <c r="H305" s="115" t="s">
        <v>362</v>
      </c>
    </row>
    <row r="306" spans="1:8" ht="19.899999999999999" customHeight="1">
      <c r="A306" s="121">
        <v>46027</v>
      </c>
      <c r="B306" s="112" t="s">
        <v>359</v>
      </c>
      <c r="C306" s="113" t="s">
        <v>360</v>
      </c>
      <c r="D306" s="112" t="s">
        <v>341</v>
      </c>
      <c r="E306" s="122">
        <v>1.225694444444444</v>
      </c>
      <c r="F306" s="112" t="s">
        <v>361</v>
      </c>
      <c r="G306" s="114">
        <v>9</v>
      </c>
      <c r="H306" s="115" t="s">
        <v>468</v>
      </c>
    </row>
    <row r="307" spans="1:8" ht="19.899999999999999" customHeight="1">
      <c r="A307" s="121">
        <v>46027</v>
      </c>
      <c r="B307" s="112" t="s">
        <v>359</v>
      </c>
      <c r="C307" s="113" t="s">
        <v>360</v>
      </c>
      <c r="D307" s="112" t="s">
        <v>341</v>
      </c>
      <c r="E307" s="122">
        <v>1.225694444444444</v>
      </c>
      <c r="F307" s="112" t="s">
        <v>469</v>
      </c>
      <c r="G307" s="114">
        <v>9</v>
      </c>
      <c r="H307" s="115" t="s">
        <v>468</v>
      </c>
    </row>
    <row r="308" spans="1:8" ht="19.899999999999999" customHeight="1">
      <c r="A308" s="121">
        <v>46027</v>
      </c>
      <c r="B308" s="112" t="s">
        <v>38</v>
      </c>
      <c r="C308" s="113" t="s">
        <v>344</v>
      </c>
      <c r="D308" s="112" t="s">
        <v>341</v>
      </c>
      <c r="E308" s="122">
        <v>1.8888888888888891</v>
      </c>
      <c r="F308" s="112" t="s">
        <v>440</v>
      </c>
      <c r="G308" s="114">
        <v>14</v>
      </c>
      <c r="H308" s="115" t="s">
        <v>347</v>
      </c>
    </row>
    <row r="309" spans="1:8" ht="19.899999999999999" customHeight="1">
      <c r="A309" s="121">
        <v>46027</v>
      </c>
      <c r="B309" s="112" t="s">
        <v>38</v>
      </c>
      <c r="C309" s="113" t="s">
        <v>344</v>
      </c>
      <c r="D309" s="112" t="s">
        <v>341</v>
      </c>
      <c r="E309" s="122">
        <v>1.8888888888888891</v>
      </c>
      <c r="F309" s="112" t="s">
        <v>40</v>
      </c>
      <c r="G309" s="114">
        <v>14</v>
      </c>
      <c r="H309" s="115" t="s">
        <v>347</v>
      </c>
    </row>
    <row r="310" spans="1:8" ht="19.899999999999999" customHeight="1">
      <c r="A310" s="121">
        <v>46027</v>
      </c>
      <c r="B310" s="112" t="s">
        <v>26</v>
      </c>
      <c r="C310" s="113" t="s">
        <v>354</v>
      </c>
      <c r="D310" s="112" t="s">
        <v>341</v>
      </c>
      <c r="E310" s="122">
        <v>1.3472222222222221</v>
      </c>
      <c r="F310" s="112" t="s">
        <v>28</v>
      </c>
      <c r="G310" s="114">
        <v>5</v>
      </c>
      <c r="H310" s="115" t="s">
        <v>347</v>
      </c>
    </row>
    <row r="311" spans="1:8" ht="19.899999999999999" customHeight="1">
      <c r="A311" s="121">
        <v>46027</v>
      </c>
      <c r="B311" s="112" t="s">
        <v>26</v>
      </c>
      <c r="C311" s="113" t="s">
        <v>350</v>
      </c>
      <c r="D311" s="112" t="s">
        <v>341</v>
      </c>
      <c r="E311" s="122">
        <v>1.7361111111111109</v>
      </c>
      <c r="F311" s="112" t="s">
        <v>28</v>
      </c>
      <c r="G311" s="114">
        <v>2</v>
      </c>
      <c r="H311" s="115" t="s">
        <v>347</v>
      </c>
    </row>
    <row r="312" spans="1:8" ht="19.899999999999999" customHeight="1">
      <c r="A312" s="121">
        <v>46027</v>
      </c>
      <c r="B312" s="112" t="s">
        <v>26</v>
      </c>
      <c r="C312" s="113" t="s">
        <v>351</v>
      </c>
      <c r="D312" s="112" t="s">
        <v>341</v>
      </c>
      <c r="E312" s="122">
        <v>1.836805555555556</v>
      </c>
      <c r="F312" s="112" t="s">
        <v>28</v>
      </c>
      <c r="G312" s="114">
        <v>5</v>
      </c>
      <c r="H312" s="115" t="s">
        <v>347</v>
      </c>
    </row>
    <row r="313" spans="1:8" ht="19.899999999999999" customHeight="1">
      <c r="A313" s="129">
        <v>46027</v>
      </c>
      <c r="B313" s="117" t="s">
        <v>61</v>
      </c>
      <c r="C313" s="118" t="s">
        <v>432</v>
      </c>
      <c r="D313" s="117" t="s">
        <v>341</v>
      </c>
      <c r="E313" s="130">
        <v>1.802083333333333</v>
      </c>
      <c r="F313" s="117" t="s">
        <v>63</v>
      </c>
      <c r="G313" s="119">
        <v>1</v>
      </c>
      <c r="H313" s="120" t="s">
        <v>365</v>
      </c>
    </row>
    <row r="314" spans="1:8" ht="19.899999999999999" customHeight="1">
      <c r="A314" s="129">
        <v>46027</v>
      </c>
      <c r="B314" s="117" t="s">
        <v>61</v>
      </c>
      <c r="C314" s="118" t="s">
        <v>377</v>
      </c>
      <c r="D314" s="117" t="s">
        <v>341</v>
      </c>
      <c r="E314" s="130">
        <v>1.4375</v>
      </c>
      <c r="F314" s="117" t="s">
        <v>63</v>
      </c>
      <c r="G314" s="119">
        <v>1</v>
      </c>
      <c r="H314" s="120" t="s">
        <v>365</v>
      </c>
    </row>
    <row r="315" spans="1:8" ht="19.899999999999999" customHeight="1">
      <c r="A315" s="121">
        <v>46027</v>
      </c>
      <c r="B315" s="112" t="s">
        <v>26</v>
      </c>
      <c r="C315" s="113" t="s">
        <v>356</v>
      </c>
      <c r="D315" s="112" t="s">
        <v>341</v>
      </c>
      <c r="E315" s="122">
        <v>1.4861111111111109</v>
      </c>
      <c r="F315" s="112" t="s">
        <v>28</v>
      </c>
      <c r="G315" s="114">
        <v>3</v>
      </c>
      <c r="H315" s="115" t="s">
        <v>83</v>
      </c>
    </row>
    <row r="316" spans="1:8" ht="19.899999999999999" customHeight="1">
      <c r="A316" s="121">
        <v>46027</v>
      </c>
      <c r="B316" s="112" t="s">
        <v>48</v>
      </c>
      <c r="C316" s="113" t="s">
        <v>386</v>
      </c>
      <c r="D316" s="112" t="s">
        <v>341</v>
      </c>
      <c r="E316" s="122">
        <v>1.8298611111111109</v>
      </c>
      <c r="F316" s="112" t="s">
        <v>50</v>
      </c>
      <c r="G316" s="114">
        <v>9</v>
      </c>
      <c r="H316" s="115" t="s">
        <v>383</v>
      </c>
    </row>
    <row r="317" spans="1:8" ht="19.899999999999999" customHeight="1">
      <c r="A317" s="121">
        <v>46027</v>
      </c>
      <c r="B317" s="112" t="s">
        <v>48</v>
      </c>
      <c r="C317" s="113" t="s">
        <v>389</v>
      </c>
      <c r="D317" s="112" t="s">
        <v>341</v>
      </c>
      <c r="E317" s="122">
        <v>1.7013888888888891</v>
      </c>
      <c r="F317" s="112" t="s">
        <v>50</v>
      </c>
      <c r="G317" s="114">
        <v>9</v>
      </c>
      <c r="H317" s="115" t="s">
        <v>383</v>
      </c>
    </row>
    <row r="318" spans="1:8" ht="19.899999999999999" customHeight="1">
      <c r="A318" s="121">
        <v>46027</v>
      </c>
      <c r="B318" s="112" t="s">
        <v>38</v>
      </c>
      <c r="C318" s="113" t="s">
        <v>342</v>
      </c>
      <c r="D318" s="112" t="s">
        <v>341</v>
      </c>
      <c r="E318" s="122">
        <v>1.489583333333333</v>
      </c>
      <c r="F318" s="112" t="s">
        <v>43</v>
      </c>
      <c r="G318" s="114">
        <v>14</v>
      </c>
      <c r="H318" s="115" t="s">
        <v>89</v>
      </c>
    </row>
    <row r="319" spans="1:8" ht="19.899999999999999" customHeight="1">
      <c r="A319" s="121">
        <v>46027</v>
      </c>
      <c r="B319" s="112" t="s">
        <v>26</v>
      </c>
      <c r="C319" s="113" t="s">
        <v>348</v>
      </c>
      <c r="D319" s="112" t="s">
        <v>341</v>
      </c>
      <c r="E319" s="122">
        <v>1.993055555555556</v>
      </c>
      <c r="F319" s="112" t="s">
        <v>31</v>
      </c>
      <c r="G319" s="114">
        <v>3</v>
      </c>
      <c r="H319" s="115" t="s">
        <v>349</v>
      </c>
    </row>
    <row r="320" spans="1:8" ht="19.899999999999999" customHeight="1">
      <c r="A320" s="121">
        <v>46027</v>
      </c>
      <c r="B320" s="112" t="s">
        <v>26</v>
      </c>
      <c r="C320" s="113" t="s">
        <v>352</v>
      </c>
      <c r="D320" s="112" t="s">
        <v>341</v>
      </c>
      <c r="E320" s="122">
        <v>1.944444444444444</v>
      </c>
      <c r="F320" s="112" t="s">
        <v>31</v>
      </c>
      <c r="G320" s="114">
        <v>2</v>
      </c>
      <c r="H320" s="115" t="s">
        <v>349</v>
      </c>
    </row>
    <row r="321" spans="1:8" ht="19.899999999999999" customHeight="1">
      <c r="A321" s="121">
        <v>46027</v>
      </c>
      <c r="B321" s="112" t="s">
        <v>26</v>
      </c>
      <c r="C321" s="113" t="s">
        <v>353</v>
      </c>
      <c r="D321" s="112" t="s">
        <v>341</v>
      </c>
      <c r="E321" s="122">
        <v>1.8888888888888891</v>
      </c>
      <c r="F321" s="112" t="s">
        <v>31</v>
      </c>
      <c r="G321" s="114">
        <v>5</v>
      </c>
      <c r="H321" s="115" t="s">
        <v>349</v>
      </c>
    </row>
    <row r="322" spans="1:8" ht="19.899999999999999" customHeight="1">
      <c r="A322" s="121">
        <v>46027</v>
      </c>
      <c r="B322" s="112" t="s">
        <v>38</v>
      </c>
      <c r="C322" s="113" t="s">
        <v>346</v>
      </c>
      <c r="D322" s="112" t="s">
        <v>341</v>
      </c>
      <c r="E322" s="122">
        <v>1.399305555555556</v>
      </c>
      <c r="F322" s="112" t="s">
        <v>43</v>
      </c>
      <c r="G322" s="114">
        <v>20</v>
      </c>
      <c r="H322" s="115" t="s">
        <v>33</v>
      </c>
    </row>
    <row r="323" spans="1:8" ht="19.899999999999999" customHeight="1">
      <c r="A323" s="121">
        <v>46027</v>
      </c>
      <c r="B323" s="112" t="s">
        <v>38</v>
      </c>
      <c r="C323" s="113" t="s">
        <v>345</v>
      </c>
      <c r="D323" s="112" t="s">
        <v>341</v>
      </c>
      <c r="E323" s="122">
        <v>1.989583333333333</v>
      </c>
      <c r="F323" s="112" t="s">
        <v>43</v>
      </c>
      <c r="G323" s="114">
        <v>19</v>
      </c>
      <c r="H323" s="115" t="s">
        <v>33</v>
      </c>
    </row>
    <row r="324" spans="1:8" ht="19.899999999999999" customHeight="1">
      <c r="A324" s="121">
        <v>46027</v>
      </c>
      <c r="B324" s="112" t="s">
        <v>402</v>
      </c>
      <c r="C324" s="113" t="s">
        <v>403</v>
      </c>
      <c r="D324" s="112" t="s">
        <v>341</v>
      </c>
      <c r="E324" s="122">
        <v>1.493055555555556</v>
      </c>
      <c r="F324" s="112" t="s">
        <v>63</v>
      </c>
      <c r="G324" s="114">
        <v>5</v>
      </c>
      <c r="H324" s="115" t="s">
        <v>404</v>
      </c>
    </row>
    <row r="325" spans="1:8" ht="19.899999999999999" customHeight="1">
      <c r="A325" s="121">
        <v>46027</v>
      </c>
      <c r="B325" s="112" t="s">
        <v>402</v>
      </c>
      <c r="C325" s="113" t="s">
        <v>465</v>
      </c>
      <c r="D325" s="112" t="s">
        <v>341</v>
      </c>
      <c r="E325" s="122">
        <v>1.135416666666667</v>
      </c>
      <c r="F325" s="112" t="s">
        <v>63</v>
      </c>
      <c r="G325" s="114">
        <v>5</v>
      </c>
      <c r="H325" s="115" t="s">
        <v>404</v>
      </c>
    </row>
    <row r="326" spans="1:8" ht="19.899999999999999" customHeight="1">
      <c r="A326" s="121">
        <v>46027</v>
      </c>
      <c r="B326" s="112" t="s">
        <v>402</v>
      </c>
      <c r="C326" s="113" t="s">
        <v>473</v>
      </c>
      <c r="D326" s="112" t="s">
        <v>341</v>
      </c>
      <c r="E326" s="122">
        <v>1.868055555555556</v>
      </c>
      <c r="F326" s="112" t="s">
        <v>63</v>
      </c>
      <c r="G326" s="114">
        <v>5</v>
      </c>
      <c r="H326" s="115" t="s">
        <v>404</v>
      </c>
    </row>
    <row r="327" spans="1:8" ht="19.899999999999999" customHeight="1">
      <c r="A327" s="121">
        <v>46027</v>
      </c>
      <c r="B327" s="112" t="s">
        <v>48</v>
      </c>
      <c r="C327" s="113" t="s">
        <v>388</v>
      </c>
      <c r="D327" s="112" t="s">
        <v>341</v>
      </c>
      <c r="E327" s="122">
        <v>1.7222222222222221</v>
      </c>
      <c r="F327" s="112" t="s">
        <v>50</v>
      </c>
      <c r="G327" s="114">
        <v>9</v>
      </c>
      <c r="H327" s="115" t="s">
        <v>79</v>
      </c>
    </row>
    <row r="328" spans="1:8" ht="19.899999999999999" customHeight="1">
      <c r="A328" s="121">
        <v>46027</v>
      </c>
      <c r="B328" s="112" t="s">
        <v>48</v>
      </c>
      <c r="C328" s="113" t="s">
        <v>385</v>
      </c>
      <c r="D328" s="112" t="s">
        <v>341</v>
      </c>
      <c r="E328" s="122">
        <v>1.9409722222222221</v>
      </c>
      <c r="F328" s="112" t="s">
        <v>50</v>
      </c>
      <c r="G328" s="114">
        <v>9</v>
      </c>
      <c r="H328" s="115" t="s">
        <v>79</v>
      </c>
    </row>
    <row r="329" spans="1:8" ht="19.899999999999999" customHeight="1">
      <c r="A329" s="121">
        <v>46027</v>
      </c>
      <c r="B329" s="112" t="s">
        <v>26</v>
      </c>
      <c r="C329" s="113" t="s">
        <v>354</v>
      </c>
      <c r="D329" s="112" t="s">
        <v>341</v>
      </c>
      <c r="E329" s="122">
        <v>1.3472222222222221</v>
      </c>
      <c r="F329" s="112" t="s">
        <v>31</v>
      </c>
      <c r="G329" s="114">
        <v>5</v>
      </c>
      <c r="H329" s="115" t="s">
        <v>426</v>
      </c>
    </row>
    <row r="330" spans="1:8" ht="19.899999999999999" customHeight="1">
      <c r="A330" s="121">
        <v>46027</v>
      </c>
      <c r="B330" s="112" t="s">
        <v>26</v>
      </c>
      <c r="C330" s="113" t="s">
        <v>350</v>
      </c>
      <c r="D330" s="112" t="s">
        <v>341</v>
      </c>
      <c r="E330" s="122">
        <v>1.7361111111111109</v>
      </c>
      <c r="F330" s="112" t="s">
        <v>31</v>
      </c>
      <c r="G330" s="114">
        <v>2</v>
      </c>
      <c r="H330" s="115" t="s">
        <v>426</v>
      </c>
    </row>
    <row r="331" spans="1:8" ht="19.899999999999999" customHeight="1">
      <c r="A331" s="121">
        <v>46027</v>
      </c>
      <c r="B331" s="112" t="s">
        <v>26</v>
      </c>
      <c r="C331" s="113" t="s">
        <v>351</v>
      </c>
      <c r="D331" s="112" t="s">
        <v>341</v>
      </c>
      <c r="E331" s="122">
        <v>1.836805555555556</v>
      </c>
      <c r="F331" s="112" t="s">
        <v>31</v>
      </c>
      <c r="G331" s="114">
        <v>5</v>
      </c>
      <c r="H331" s="115" t="s">
        <v>426</v>
      </c>
    </row>
    <row r="332" spans="1:8" ht="19.899999999999999" customHeight="1">
      <c r="A332" s="129">
        <v>46027</v>
      </c>
      <c r="B332" s="117" t="s">
        <v>61</v>
      </c>
      <c r="C332" s="118" t="s">
        <v>375</v>
      </c>
      <c r="D332" s="117" t="s">
        <v>341</v>
      </c>
      <c r="E332" s="130">
        <v>1.2465277777777779</v>
      </c>
      <c r="F332" s="117" t="s">
        <v>63</v>
      </c>
      <c r="G332" s="119">
        <v>5</v>
      </c>
      <c r="H332" s="120" t="s">
        <v>449</v>
      </c>
    </row>
    <row r="333" spans="1:8" ht="19.899999999999999" customHeight="1">
      <c r="A333" s="121">
        <v>46027</v>
      </c>
      <c r="B333" s="112" t="s">
        <v>26</v>
      </c>
      <c r="C333" s="113" t="s">
        <v>356</v>
      </c>
      <c r="D333" s="112" t="s">
        <v>341</v>
      </c>
      <c r="E333" s="122">
        <v>1.4861111111111109</v>
      </c>
      <c r="F333" s="112" t="s">
        <v>31</v>
      </c>
      <c r="G333" s="114">
        <v>3</v>
      </c>
      <c r="H333" s="115" t="s">
        <v>159</v>
      </c>
    </row>
    <row r="334" spans="1:8" ht="19.899999999999999" customHeight="1">
      <c r="A334" s="121">
        <v>46027</v>
      </c>
      <c r="B334" s="112" t="s">
        <v>38</v>
      </c>
      <c r="C334" s="113" t="s">
        <v>344</v>
      </c>
      <c r="D334" s="112" t="s">
        <v>341</v>
      </c>
      <c r="E334" s="122">
        <v>1.8888888888888891</v>
      </c>
      <c r="F334" s="112" t="s">
        <v>43</v>
      </c>
      <c r="G334" s="114">
        <v>14</v>
      </c>
      <c r="H334" s="115" t="s">
        <v>138</v>
      </c>
    </row>
    <row r="335" spans="1:8" ht="19.899999999999999" customHeight="1">
      <c r="A335" s="121">
        <v>46027</v>
      </c>
      <c r="B335" s="112" t="s">
        <v>26</v>
      </c>
      <c r="C335" s="113" t="s">
        <v>348</v>
      </c>
      <c r="D335" s="112" t="s">
        <v>341</v>
      </c>
      <c r="E335" s="122">
        <v>1.993055555555556</v>
      </c>
      <c r="F335" s="112" t="s">
        <v>34</v>
      </c>
      <c r="G335" s="114">
        <v>3</v>
      </c>
      <c r="H335" s="115" t="s">
        <v>138</v>
      </c>
    </row>
    <row r="336" spans="1:8" ht="19.899999999999999" customHeight="1">
      <c r="A336" s="121">
        <v>46027</v>
      </c>
      <c r="B336" s="112" t="s">
        <v>26</v>
      </c>
      <c r="C336" s="113" t="s">
        <v>352</v>
      </c>
      <c r="D336" s="112" t="s">
        <v>341</v>
      </c>
      <c r="E336" s="122">
        <v>1.944444444444444</v>
      </c>
      <c r="F336" s="112" t="s">
        <v>34</v>
      </c>
      <c r="G336" s="114">
        <v>2</v>
      </c>
      <c r="H336" s="115" t="s">
        <v>138</v>
      </c>
    </row>
    <row r="337" spans="1:8" ht="19.899999999999999" customHeight="1">
      <c r="A337" s="121">
        <v>46027</v>
      </c>
      <c r="B337" s="112" t="s">
        <v>26</v>
      </c>
      <c r="C337" s="113" t="s">
        <v>353</v>
      </c>
      <c r="D337" s="112" t="s">
        <v>341</v>
      </c>
      <c r="E337" s="122">
        <v>1.8888888888888891</v>
      </c>
      <c r="F337" s="112" t="s">
        <v>34</v>
      </c>
      <c r="G337" s="114">
        <v>5</v>
      </c>
      <c r="H337" s="115" t="s">
        <v>138</v>
      </c>
    </row>
    <row r="338" spans="1:8" ht="19.899999999999999" customHeight="1">
      <c r="A338" s="121">
        <v>46027</v>
      </c>
      <c r="B338" s="112" t="s">
        <v>68</v>
      </c>
      <c r="C338" s="113" t="s">
        <v>408</v>
      </c>
      <c r="D338" s="112" t="s">
        <v>341</v>
      </c>
      <c r="E338" s="122">
        <v>1.9722222222222221</v>
      </c>
      <c r="F338" s="112" t="s">
        <v>70</v>
      </c>
      <c r="G338" s="114">
        <v>9</v>
      </c>
      <c r="H338" s="115" t="s">
        <v>406</v>
      </c>
    </row>
    <row r="339" spans="1:8" ht="19.899999999999999" customHeight="1">
      <c r="A339" s="121">
        <v>46027</v>
      </c>
      <c r="B339" s="112" t="s">
        <v>68</v>
      </c>
      <c r="C339" s="113" t="s">
        <v>411</v>
      </c>
      <c r="D339" s="112" t="s">
        <v>341</v>
      </c>
      <c r="E339" s="122">
        <v>1.7847222222222221</v>
      </c>
      <c r="F339" s="112" t="s">
        <v>70</v>
      </c>
      <c r="G339" s="114">
        <v>9</v>
      </c>
      <c r="H339" s="115" t="s">
        <v>406</v>
      </c>
    </row>
    <row r="340" spans="1:8" ht="19.899999999999999" customHeight="1">
      <c r="A340" s="121">
        <v>46027</v>
      </c>
      <c r="B340" s="112" t="s">
        <v>68</v>
      </c>
      <c r="C340" s="113" t="s">
        <v>410</v>
      </c>
      <c r="D340" s="112" t="s">
        <v>341</v>
      </c>
      <c r="E340" s="122">
        <v>1.5972222222222221</v>
      </c>
      <c r="F340" s="112" t="s">
        <v>70</v>
      </c>
      <c r="G340" s="114">
        <v>9</v>
      </c>
      <c r="H340" s="115" t="s">
        <v>406</v>
      </c>
    </row>
    <row r="341" spans="1:8" ht="19.899999999999999" customHeight="1">
      <c r="A341" s="121">
        <v>46027</v>
      </c>
      <c r="B341" s="112" t="s">
        <v>48</v>
      </c>
      <c r="C341" s="113" t="s">
        <v>382</v>
      </c>
      <c r="D341" s="112" t="s">
        <v>341</v>
      </c>
      <c r="E341" s="122">
        <v>1.118055555555556</v>
      </c>
      <c r="F341" s="112" t="s">
        <v>50</v>
      </c>
      <c r="G341" s="114">
        <v>9</v>
      </c>
      <c r="H341" s="115" t="s">
        <v>462</v>
      </c>
    </row>
    <row r="342" spans="1:8" ht="19.899999999999999" customHeight="1">
      <c r="A342" s="121">
        <v>46027</v>
      </c>
      <c r="B342" s="112" t="s">
        <v>48</v>
      </c>
      <c r="C342" s="113" t="s">
        <v>390</v>
      </c>
      <c r="D342" s="112" t="s">
        <v>341</v>
      </c>
      <c r="E342" s="122">
        <v>1.041666666666667</v>
      </c>
      <c r="F342" s="112" t="s">
        <v>50</v>
      </c>
      <c r="G342" s="114">
        <v>9</v>
      </c>
      <c r="H342" s="115" t="s">
        <v>462</v>
      </c>
    </row>
    <row r="343" spans="1:8" ht="19.899999999999999" customHeight="1">
      <c r="A343" s="121">
        <v>46027</v>
      </c>
      <c r="B343" s="112" t="s">
        <v>48</v>
      </c>
      <c r="C343" s="113" t="s">
        <v>386</v>
      </c>
      <c r="D343" s="112" t="s">
        <v>341</v>
      </c>
      <c r="E343" s="122">
        <v>1.8298611111111109</v>
      </c>
      <c r="F343" s="112" t="s">
        <v>53</v>
      </c>
      <c r="G343" s="114">
        <v>9</v>
      </c>
      <c r="H343" s="115" t="s">
        <v>384</v>
      </c>
    </row>
    <row r="344" spans="1:8" ht="19.899999999999999" customHeight="1">
      <c r="A344" s="121">
        <v>46027</v>
      </c>
      <c r="B344" s="112" t="s">
        <v>48</v>
      </c>
      <c r="C344" s="113" t="s">
        <v>389</v>
      </c>
      <c r="D344" s="112" t="s">
        <v>341</v>
      </c>
      <c r="E344" s="122">
        <v>1.7013888888888891</v>
      </c>
      <c r="F344" s="112" t="s">
        <v>53</v>
      </c>
      <c r="G344" s="114">
        <v>9</v>
      </c>
      <c r="H344" s="115" t="s">
        <v>384</v>
      </c>
    </row>
    <row r="345" spans="1:8" ht="19.899999999999999" customHeight="1">
      <c r="A345" s="121">
        <v>46027</v>
      </c>
      <c r="B345" s="112" t="s">
        <v>359</v>
      </c>
      <c r="C345" s="113" t="s">
        <v>445</v>
      </c>
      <c r="D345" s="112" t="s">
        <v>341</v>
      </c>
      <c r="E345" s="122">
        <v>1.0138888888888891</v>
      </c>
      <c r="F345" s="112" t="s">
        <v>46</v>
      </c>
      <c r="G345" s="114">
        <v>9</v>
      </c>
      <c r="H345" s="115" t="s">
        <v>363</v>
      </c>
    </row>
    <row r="346" spans="1:8" ht="19.899999999999999" customHeight="1">
      <c r="A346" s="121">
        <v>46027</v>
      </c>
      <c r="B346" s="112" t="s">
        <v>26</v>
      </c>
      <c r="C346" s="113" t="s">
        <v>354</v>
      </c>
      <c r="D346" s="112" t="s">
        <v>341</v>
      </c>
      <c r="E346" s="122">
        <v>1.3472222222222221</v>
      </c>
      <c r="F346" s="112" t="s">
        <v>34</v>
      </c>
      <c r="G346" s="114">
        <v>5</v>
      </c>
      <c r="H346" s="115" t="s">
        <v>162</v>
      </c>
    </row>
    <row r="347" spans="1:8" ht="19.899999999999999" customHeight="1">
      <c r="A347" s="121">
        <v>46027</v>
      </c>
      <c r="B347" s="112" t="s">
        <v>26</v>
      </c>
      <c r="C347" s="113" t="s">
        <v>350</v>
      </c>
      <c r="D347" s="112" t="s">
        <v>341</v>
      </c>
      <c r="E347" s="122">
        <v>1.7361111111111109</v>
      </c>
      <c r="F347" s="112" t="s">
        <v>34</v>
      </c>
      <c r="G347" s="114">
        <v>2</v>
      </c>
      <c r="H347" s="115" t="s">
        <v>162</v>
      </c>
    </row>
    <row r="348" spans="1:8" ht="19.899999999999999" customHeight="1">
      <c r="A348" s="121">
        <v>46027</v>
      </c>
      <c r="B348" s="112" t="s">
        <v>26</v>
      </c>
      <c r="C348" s="113" t="s">
        <v>351</v>
      </c>
      <c r="D348" s="112" t="s">
        <v>341</v>
      </c>
      <c r="E348" s="122">
        <v>1.836805555555556</v>
      </c>
      <c r="F348" s="112" t="s">
        <v>34</v>
      </c>
      <c r="G348" s="114">
        <v>5</v>
      </c>
      <c r="H348" s="115" t="s">
        <v>162</v>
      </c>
    </row>
    <row r="349" spans="1:8" ht="19.899999999999999" customHeight="1">
      <c r="A349" s="121">
        <v>46027</v>
      </c>
      <c r="B349" s="112" t="s">
        <v>359</v>
      </c>
      <c r="C349" s="113" t="s">
        <v>360</v>
      </c>
      <c r="D349" s="112" t="s">
        <v>341</v>
      </c>
      <c r="E349" s="122">
        <v>1.225694444444444</v>
      </c>
      <c r="F349" s="112" t="s">
        <v>46</v>
      </c>
      <c r="G349" s="114">
        <v>9</v>
      </c>
      <c r="H349" s="115" t="s">
        <v>470</v>
      </c>
    </row>
    <row r="350" spans="1:8" ht="19.899999999999999" customHeight="1">
      <c r="A350" s="121">
        <v>46027</v>
      </c>
      <c r="B350" s="112" t="s">
        <v>48</v>
      </c>
      <c r="C350" s="113" t="s">
        <v>388</v>
      </c>
      <c r="D350" s="112" t="s">
        <v>341</v>
      </c>
      <c r="E350" s="122">
        <v>1.7222222222222221</v>
      </c>
      <c r="F350" s="112" t="s">
        <v>53</v>
      </c>
      <c r="G350" s="114">
        <v>9</v>
      </c>
      <c r="H350" s="115" t="s">
        <v>387</v>
      </c>
    </row>
    <row r="351" spans="1:8" ht="19.899999999999999" customHeight="1">
      <c r="A351" s="121">
        <v>46027</v>
      </c>
      <c r="B351" s="112" t="s">
        <v>48</v>
      </c>
      <c r="C351" s="113" t="s">
        <v>385</v>
      </c>
      <c r="D351" s="112" t="s">
        <v>341</v>
      </c>
      <c r="E351" s="122">
        <v>1.9409722222222221</v>
      </c>
      <c r="F351" s="112" t="s">
        <v>53</v>
      </c>
      <c r="G351" s="114">
        <v>9</v>
      </c>
      <c r="H351" s="115" t="s">
        <v>387</v>
      </c>
    </row>
    <row r="352" spans="1:8" ht="19.899999999999999" customHeight="1">
      <c r="A352" s="121">
        <v>46027</v>
      </c>
      <c r="B352" s="112" t="s">
        <v>26</v>
      </c>
      <c r="C352" s="113" t="s">
        <v>356</v>
      </c>
      <c r="D352" s="112" t="s">
        <v>341</v>
      </c>
      <c r="E352" s="122">
        <v>1.4861111111111109</v>
      </c>
      <c r="F352" s="112" t="s">
        <v>34</v>
      </c>
      <c r="G352" s="114">
        <v>3</v>
      </c>
      <c r="H352" s="115" t="s">
        <v>355</v>
      </c>
    </row>
    <row r="353" spans="1:8" ht="19.899999999999999" customHeight="1">
      <c r="A353" s="121">
        <v>46027</v>
      </c>
      <c r="B353" s="112" t="s">
        <v>26</v>
      </c>
      <c r="C353" s="113" t="s">
        <v>357</v>
      </c>
      <c r="D353" s="112" t="s">
        <v>341</v>
      </c>
      <c r="E353" s="122">
        <v>1.5590277777777779</v>
      </c>
      <c r="F353" s="112" t="s">
        <v>28</v>
      </c>
      <c r="G353" s="114">
        <v>1</v>
      </c>
      <c r="H353" s="115" t="s">
        <v>467</v>
      </c>
    </row>
    <row r="354" spans="1:8" ht="19.899999999999999" customHeight="1">
      <c r="A354" s="121">
        <v>46027</v>
      </c>
      <c r="B354" s="112" t="s">
        <v>48</v>
      </c>
      <c r="C354" s="113" t="s">
        <v>382</v>
      </c>
      <c r="D354" s="112" t="s">
        <v>341</v>
      </c>
      <c r="E354" s="122">
        <v>1.118055555555556</v>
      </c>
      <c r="F354" s="112" t="s">
        <v>53</v>
      </c>
      <c r="G354" s="114">
        <v>9</v>
      </c>
      <c r="H354" s="115" t="s">
        <v>463</v>
      </c>
    </row>
    <row r="355" spans="1:8" ht="19.899999999999999" customHeight="1">
      <c r="A355" s="121">
        <v>46027</v>
      </c>
      <c r="B355" s="112" t="s">
        <v>48</v>
      </c>
      <c r="C355" s="113" t="s">
        <v>390</v>
      </c>
      <c r="D355" s="112" t="s">
        <v>341</v>
      </c>
      <c r="E355" s="122">
        <v>1.041666666666667</v>
      </c>
      <c r="F355" s="112" t="s">
        <v>53</v>
      </c>
      <c r="G355" s="114">
        <v>9</v>
      </c>
      <c r="H355" s="115" t="s">
        <v>463</v>
      </c>
    </row>
    <row r="356" spans="1:8" ht="19.899999999999999" customHeight="1">
      <c r="A356" s="121">
        <v>46027</v>
      </c>
      <c r="B356" s="112" t="s">
        <v>68</v>
      </c>
      <c r="C356" s="113" t="s">
        <v>405</v>
      </c>
      <c r="D356" s="112" t="s">
        <v>341</v>
      </c>
      <c r="E356" s="122">
        <v>1.836805555555556</v>
      </c>
      <c r="F356" s="112" t="s">
        <v>70</v>
      </c>
      <c r="G356" s="114">
        <v>9</v>
      </c>
      <c r="H356" s="115" t="s">
        <v>466</v>
      </c>
    </row>
    <row r="357" spans="1:8" ht="19.899999999999999" customHeight="1">
      <c r="A357" s="121">
        <v>46027</v>
      </c>
      <c r="B357" s="112" t="s">
        <v>48</v>
      </c>
      <c r="C357" s="113" t="s">
        <v>400</v>
      </c>
      <c r="D357" s="112" t="s">
        <v>341</v>
      </c>
      <c r="E357" s="122">
        <v>1.2534722222222221</v>
      </c>
      <c r="F357" s="112" t="s">
        <v>50</v>
      </c>
      <c r="G357" s="114">
        <v>9</v>
      </c>
      <c r="H357" s="115" t="s">
        <v>392</v>
      </c>
    </row>
    <row r="358" spans="1:8" ht="19.899999999999999" customHeight="1">
      <c r="A358" s="121">
        <v>46027</v>
      </c>
      <c r="B358" s="112" t="s">
        <v>26</v>
      </c>
      <c r="C358" s="113" t="s">
        <v>357</v>
      </c>
      <c r="D358" s="112" t="s">
        <v>341</v>
      </c>
      <c r="E358" s="122">
        <v>1.5590277777777779</v>
      </c>
      <c r="F358" s="112" t="s">
        <v>31</v>
      </c>
      <c r="G358" s="114">
        <v>1</v>
      </c>
      <c r="H358" s="115" t="s">
        <v>104</v>
      </c>
    </row>
    <row r="359" spans="1:8" ht="19.899999999999999" customHeight="1">
      <c r="A359" s="121">
        <v>46027</v>
      </c>
      <c r="B359" s="112" t="s">
        <v>38</v>
      </c>
      <c r="C359" s="113" t="s">
        <v>346</v>
      </c>
      <c r="D359" s="112" t="s">
        <v>341</v>
      </c>
      <c r="E359" s="122">
        <v>1.399305555555556</v>
      </c>
      <c r="F359" s="112" t="s">
        <v>46</v>
      </c>
      <c r="G359" s="114">
        <v>20</v>
      </c>
      <c r="H359" s="115" t="s">
        <v>47</v>
      </c>
    </row>
    <row r="360" spans="1:8" ht="19.899999999999999" customHeight="1">
      <c r="A360" s="121">
        <v>46027</v>
      </c>
      <c r="B360" s="112" t="s">
        <v>38</v>
      </c>
      <c r="C360" s="113" t="s">
        <v>342</v>
      </c>
      <c r="D360" s="112" t="s">
        <v>341</v>
      </c>
      <c r="E360" s="122">
        <v>1.489583333333333</v>
      </c>
      <c r="F360" s="112" t="s">
        <v>46</v>
      </c>
      <c r="G360" s="114">
        <v>14</v>
      </c>
      <c r="H360" s="115" t="s">
        <v>47</v>
      </c>
    </row>
    <row r="361" spans="1:8" ht="19.899999999999999" customHeight="1">
      <c r="A361" s="121">
        <v>46027</v>
      </c>
      <c r="B361" s="112" t="s">
        <v>38</v>
      </c>
      <c r="C361" s="113" t="s">
        <v>344</v>
      </c>
      <c r="D361" s="112" t="s">
        <v>341</v>
      </c>
      <c r="E361" s="122">
        <v>1.8888888888888891</v>
      </c>
      <c r="F361" s="112" t="s">
        <v>46</v>
      </c>
      <c r="G361" s="114">
        <v>14</v>
      </c>
      <c r="H361" s="115" t="s">
        <v>47</v>
      </c>
    </row>
    <row r="362" spans="1:8" ht="19.899999999999999" customHeight="1">
      <c r="A362" s="121">
        <v>46027</v>
      </c>
      <c r="B362" s="112" t="s">
        <v>38</v>
      </c>
      <c r="C362" s="113" t="s">
        <v>345</v>
      </c>
      <c r="D362" s="112" t="s">
        <v>341</v>
      </c>
      <c r="E362" s="122">
        <v>1.989583333333333</v>
      </c>
      <c r="F362" s="112" t="s">
        <v>46</v>
      </c>
      <c r="G362" s="114">
        <v>19</v>
      </c>
      <c r="H362" s="115" t="s">
        <v>47</v>
      </c>
    </row>
    <row r="363" spans="1:8" ht="19.899999999999999" customHeight="1">
      <c r="A363" s="121">
        <v>46027</v>
      </c>
      <c r="B363" s="112" t="s">
        <v>48</v>
      </c>
      <c r="C363" s="113" t="s">
        <v>394</v>
      </c>
      <c r="D363" s="112" t="s">
        <v>341</v>
      </c>
      <c r="E363" s="122">
        <v>1.989583333333333</v>
      </c>
      <c r="F363" s="112" t="s">
        <v>53</v>
      </c>
      <c r="G363" s="114">
        <v>4</v>
      </c>
      <c r="H363" s="115" t="s">
        <v>395</v>
      </c>
    </row>
    <row r="364" spans="1:8" ht="19.899999999999999" customHeight="1">
      <c r="A364" s="121">
        <v>46027</v>
      </c>
      <c r="B364" s="112" t="s">
        <v>48</v>
      </c>
      <c r="C364" s="113" t="s">
        <v>398</v>
      </c>
      <c r="D364" s="112" t="s">
        <v>341</v>
      </c>
      <c r="E364" s="122">
        <v>1.399305555555556</v>
      </c>
      <c r="F364" s="112" t="s">
        <v>53</v>
      </c>
      <c r="G364" s="114">
        <v>4</v>
      </c>
      <c r="H364" s="115" t="s">
        <v>395</v>
      </c>
    </row>
    <row r="365" spans="1:8" ht="19.899999999999999" customHeight="1">
      <c r="A365" s="121">
        <v>46027</v>
      </c>
      <c r="B365" s="112" t="s">
        <v>48</v>
      </c>
      <c r="C365" s="113" t="s">
        <v>396</v>
      </c>
      <c r="D365" s="112" t="s">
        <v>341</v>
      </c>
      <c r="E365" s="122">
        <v>1.489583333333333</v>
      </c>
      <c r="F365" s="112" t="s">
        <v>53</v>
      </c>
      <c r="G365" s="114">
        <v>4</v>
      </c>
      <c r="H365" s="115" t="s">
        <v>395</v>
      </c>
    </row>
    <row r="366" spans="1:8" ht="19.899999999999999" customHeight="1">
      <c r="A366" s="121">
        <v>46027</v>
      </c>
      <c r="B366" s="112" t="s">
        <v>26</v>
      </c>
      <c r="C366" s="113" t="s">
        <v>357</v>
      </c>
      <c r="D366" s="112" t="s">
        <v>341</v>
      </c>
      <c r="E366" s="122">
        <v>1.5590277777777779</v>
      </c>
      <c r="F366" s="112" t="s">
        <v>34</v>
      </c>
      <c r="G366" s="114">
        <v>1</v>
      </c>
      <c r="H366" s="115" t="s">
        <v>456</v>
      </c>
    </row>
    <row r="367" spans="1:8" ht="19.899999999999999" customHeight="1">
      <c r="A367" s="121">
        <v>46027</v>
      </c>
      <c r="B367" s="112" t="s">
        <v>48</v>
      </c>
      <c r="C367" s="113" t="s">
        <v>400</v>
      </c>
      <c r="D367" s="112" t="s">
        <v>341</v>
      </c>
      <c r="E367" s="122">
        <v>1.2534722222222221</v>
      </c>
      <c r="F367" s="112" t="s">
        <v>53</v>
      </c>
      <c r="G367" s="114">
        <v>9</v>
      </c>
      <c r="H367" s="115" t="s">
        <v>393</v>
      </c>
    </row>
    <row r="368" spans="1:8" ht="19.899999999999999" customHeight="1">
      <c r="A368" s="121">
        <v>46027</v>
      </c>
      <c r="B368" s="112" t="s">
        <v>48</v>
      </c>
      <c r="C368" s="113" t="s">
        <v>397</v>
      </c>
      <c r="D368" s="112" t="s">
        <v>341</v>
      </c>
      <c r="E368" s="122">
        <v>1.8888888888888891</v>
      </c>
      <c r="F368" s="112" t="s">
        <v>53</v>
      </c>
      <c r="G368" s="114">
        <v>4</v>
      </c>
      <c r="H368" s="115" t="s">
        <v>399</v>
      </c>
    </row>
    <row r="369" spans="1:8" ht="19.899999999999999" customHeight="1">
      <c r="A369" s="121">
        <v>46027</v>
      </c>
      <c r="B369" s="112" t="s">
        <v>48</v>
      </c>
      <c r="C369" s="113" t="s">
        <v>391</v>
      </c>
      <c r="D369" s="112" t="s">
        <v>341</v>
      </c>
      <c r="E369" s="122">
        <v>1.489583333333333</v>
      </c>
      <c r="F369" s="112" t="s">
        <v>53</v>
      </c>
      <c r="G369" s="114">
        <v>9</v>
      </c>
      <c r="H369" s="115" t="s">
        <v>401</v>
      </c>
    </row>
    <row r="370" spans="1:8" ht="19.899999999999999" customHeight="1">
      <c r="A370" s="123">
        <v>46027</v>
      </c>
      <c r="B370" s="124" t="s">
        <v>68</v>
      </c>
      <c r="C370" s="125" t="s">
        <v>437</v>
      </c>
      <c r="D370" s="124" t="s">
        <v>341</v>
      </c>
      <c r="E370" s="126">
        <v>1.104166666666667</v>
      </c>
      <c r="F370" s="124" t="s">
        <v>70</v>
      </c>
      <c r="G370" s="127">
        <v>9</v>
      </c>
      <c r="H370" s="128" t="s">
        <v>474</v>
      </c>
    </row>
    <row r="371" spans="1:8" ht="19.899999999999999" customHeight="1">
      <c r="A371" s="121">
        <v>46028</v>
      </c>
      <c r="B371" s="112" t="s">
        <v>38</v>
      </c>
      <c r="C371" s="113" t="s">
        <v>342</v>
      </c>
      <c r="D371" s="112" t="s">
        <v>341</v>
      </c>
      <c r="E371" s="122">
        <v>1.489583333333333</v>
      </c>
      <c r="F371" s="112" t="s">
        <v>40</v>
      </c>
      <c r="G371" s="114">
        <v>2</v>
      </c>
      <c r="H371" s="115" t="s">
        <v>475</v>
      </c>
    </row>
    <row r="372" spans="1:8" ht="19.899999999999999" customHeight="1">
      <c r="A372" s="121">
        <v>46028</v>
      </c>
      <c r="B372" s="112" t="s">
        <v>38</v>
      </c>
      <c r="C372" s="113" t="s">
        <v>345</v>
      </c>
      <c r="D372" s="112" t="s">
        <v>341</v>
      </c>
      <c r="E372" s="122">
        <v>1.989583333333333</v>
      </c>
      <c r="F372" s="112" t="s">
        <v>40</v>
      </c>
      <c r="G372" s="114">
        <v>19</v>
      </c>
      <c r="H372" s="115" t="s">
        <v>343</v>
      </c>
    </row>
    <row r="373" spans="1:8" ht="19.899999999999999" customHeight="1">
      <c r="A373" s="121">
        <v>46028</v>
      </c>
      <c r="B373" s="112" t="s">
        <v>26</v>
      </c>
      <c r="C373" s="113" t="s">
        <v>348</v>
      </c>
      <c r="D373" s="112" t="s">
        <v>341</v>
      </c>
      <c r="E373" s="122">
        <v>1.993055555555556</v>
      </c>
      <c r="F373" s="112" t="s">
        <v>28</v>
      </c>
      <c r="G373" s="114">
        <v>1</v>
      </c>
      <c r="H373" s="115" t="s">
        <v>131</v>
      </c>
    </row>
    <row r="374" spans="1:8" ht="19.899999999999999" customHeight="1">
      <c r="A374" s="121">
        <v>46028</v>
      </c>
      <c r="B374" s="112" t="s">
        <v>26</v>
      </c>
      <c r="C374" s="113" t="s">
        <v>351</v>
      </c>
      <c r="D374" s="112" t="s">
        <v>341</v>
      </c>
      <c r="E374" s="122">
        <v>1.836805555555556</v>
      </c>
      <c r="F374" s="112" t="s">
        <v>28</v>
      </c>
      <c r="G374" s="114">
        <v>3</v>
      </c>
      <c r="H374" s="115" t="s">
        <v>131</v>
      </c>
    </row>
    <row r="375" spans="1:8" ht="19.899999999999999" customHeight="1">
      <c r="A375" s="121">
        <v>46028</v>
      </c>
      <c r="B375" s="112" t="s">
        <v>26</v>
      </c>
      <c r="C375" s="113" t="s">
        <v>352</v>
      </c>
      <c r="D375" s="112" t="s">
        <v>341</v>
      </c>
      <c r="E375" s="122">
        <v>1.944444444444444</v>
      </c>
      <c r="F375" s="112" t="s">
        <v>28</v>
      </c>
      <c r="G375" s="114">
        <v>5</v>
      </c>
      <c r="H375" s="115" t="s">
        <v>131</v>
      </c>
    </row>
    <row r="376" spans="1:8" ht="19.899999999999999" customHeight="1">
      <c r="A376" s="121">
        <v>46028</v>
      </c>
      <c r="B376" s="112" t="s">
        <v>26</v>
      </c>
      <c r="C376" s="113" t="s">
        <v>353</v>
      </c>
      <c r="D376" s="112" t="s">
        <v>341</v>
      </c>
      <c r="E376" s="122">
        <v>1.8888888888888891</v>
      </c>
      <c r="F376" s="112" t="s">
        <v>28</v>
      </c>
      <c r="G376" s="114">
        <v>4</v>
      </c>
      <c r="H376" s="115" t="s">
        <v>131</v>
      </c>
    </row>
    <row r="377" spans="1:8" ht="19.899999999999999" customHeight="1">
      <c r="A377" s="121">
        <v>46028</v>
      </c>
      <c r="B377" s="112" t="s">
        <v>38</v>
      </c>
      <c r="C377" s="113" t="s">
        <v>344</v>
      </c>
      <c r="D377" s="112" t="s">
        <v>341</v>
      </c>
      <c r="E377" s="122">
        <v>1.8888888888888891</v>
      </c>
      <c r="F377" s="112" t="s">
        <v>40</v>
      </c>
      <c r="G377" s="114">
        <v>20</v>
      </c>
      <c r="H377" s="115" t="s">
        <v>30</v>
      </c>
    </row>
    <row r="378" spans="1:8" ht="19.899999999999999" customHeight="1">
      <c r="A378" s="121">
        <v>46028</v>
      </c>
      <c r="B378" s="112" t="s">
        <v>359</v>
      </c>
      <c r="C378" s="113" t="s">
        <v>445</v>
      </c>
      <c r="D378" s="112" t="s">
        <v>341</v>
      </c>
      <c r="E378" s="122">
        <v>1.055555555555556</v>
      </c>
      <c r="F378" s="112" t="s">
        <v>361</v>
      </c>
      <c r="G378" s="114">
        <v>9</v>
      </c>
      <c r="H378" s="115" t="s">
        <v>362</v>
      </c>
    </row>
    <row r="379" spans="1:8" ht="19.899999999999999" customHeight="1">
      <c r="A379" s="121">
        <v>46028</v>
      </c>
      <c r="B379" s="112" t="s">
        <v>38</v>
      </c>
      <c r="C379" s="113" t="s">
        <v>346</v>
      </c>
      <c r="D379" s="112" t="s">
        <v>341</v>
      </c>
      <c r="E379" s="122">
        <v>1.399305555555556</v>
      </c>
      <c r="F379" s="112" t="s">
        <v>40</v>
      </c>
      <c r="G379" s="114">
        <v>20</v>
      </c>
      <c r="H379" s="115" t="s">
        <v>347</v>
      </c>
    </row>
    <row r="380" spans="1:8" ht="19.899999999999999" customHeight="1">
      <c r="A380" s="129">
        <v>46028</v>
      </c>
      <c r="B380" s="117" t="s">
        <v>61</v>
      </c>
      <c r="C380" s="118" t="s">
        <v>364</v>
      </c>
      <c r="D380" s="117" t="s">
        <v>341</v>
      </c>
      <c r="E380" s="130">
        <v>1.756944444444444</v>
      </c>
      <c r="F380" s="117" t="s">
        <v>63</v>
      </c>
      <c r="G380" s="119">
        <v>4</v>
      </c>
      <c r="H380" s="120" t="s">
        <v>365</v>
      </c>
    </row>
    <row r="381" spans="1:8" ht="19.899999999999999" customHeight="1">
      <c r="A381" s="129">
        <v>46028</v>
      </c>
      <c r="B381" s="117" t="s">
        <v>61</v>
      </c>
      <c r="C381" s="118" t="s">
        <v>432</v>
      </c>
      <c r="D381" s="117" t="s">
        <v>341</v>
      </c>
      <c r="E381" s="130">
        <v>1.552083333333333</v>
      </c>
      <c r="F381" s="117" t="s">
        <v>63</v>
      </c>
      <c r="G381" s="119">
        <v>6</v>
      </c>
      <c r="H381" s="120" t="s">
        <v>365</v>
      </c>
    </row>
    <row r="382" spans="1:8" ht="19.899999999999999" customHeight="1">
      <c r="A382" s="129">
        <v>46028</v>
      </c>
      <c r="B382" s="117" t="s">
        <v>61</v>
      </c>
      <c r="C382" s="118" t="s">
        <v>428</v>
      </c>
      <c r="D382" s="117" t="s">
        <v>341</v>
      </c>
      <c r="E382" s="130">
        <v>1.052083333333333</v>
      </c>
      <c r="F382" s="117" t="s">
        <v>63</v>
      </c>
      <c r="G382" s="119">
        <v>5</v>
      </c>
      <c r="H382" s="120" t="s">
        <v>365</v>
      </c>
    </row>
    <row r="383" spans="1:8" ht="19.899999999999999" customHeight="1">
      <c r="A383" s="129">
        <v>46028</v>
      </c>
      <c r="B383" s="117" t="s">
        <v>61</v>
      </c>
      <c r="C383" s="118" t="s">
        <v>375</v>
      </c>
      <c r="D383" s="117" t="s">
        <v>341</v>
      </c>
      <c r="E383" s="130">
        <v>1.791666666666667</v>
      </c>
      <c r="F383" s="117" t="s">
        <v>63</v>
      </c>
      <c r="G383" s="119">
        <v>6</v>
      </c>
      <c r="H383" s="120" t="s">
        <v>365</v>
      </c>
    </row>
    <row r="384" spans="1:8" ht="19.899999999999999" customHeight="1">
      <c r="A384" s="129">
        <v>46028</v>
      </c>
      <c r="B384" s="117" t="s">
        <v>61</v>
      </c>
      <c r="C384" s="118" t="s">
        <v>377</v>
      </c>
      <c r="D384" s="117" t="s">
        <v>341</v>
      </c>
      <c r="E384" s="130">
        <v>1.4375</v>
      </c>
      <c r="F384" s="117" t="s">
        <v>63</v>
      </c>
      <c r="G384" s="119">
        <v>5</v>
      </c>
      <c r="H384" s="120" t="s">
        <v>365</v>
      </c>
    </row>
    <row r="385" spans="1:8" ht="19.899999999999999" customHeight="1">
      <c r="A385" s="121">
        <v>46028</v>
      </c>
      <c r="B385" s="112" t="s">
        <v>38</v>
      </c>
      <c r="C385" s="113" t="s">
        <v>342</v>
      </c>
      <c r="D385" s="112" t="s">
        <v>341</v>
      </c>
      <c r="E385" s="122">
        <v>1.489583333333333</v>
      </c>
      <c r="F385" s="112" t="s">
        <v>43</v>
      </c>
      <c r="G385" s="114">
        <v>2</v>
      </c>
      <c r="H385" s="115" t="s">
        <v>121</v>
      </c>
    </row>
    <row r="386" spans="1:8" ht="19.899999999999999" customHeight="1">
      <c r="A386" s="121">
        <v>46028</v>
      </c>
      <c r="B386" s="112" t="s">
        <v>26</v>
      </c>
      <c r="C386" s="113" t="s">
        <v>354</v>
      </c>
      <c r="D386" s="112" t="s">
        <v>341</v>
      </c>
      <c r="E386" s="122">
        <v>1.3472222222222221</v>
      </c>
      <c r="F386" s="112" t="s">
        <v>28</v>
      </c>
      <c r="G386" s="114">
        <v>2</v>
      </c>
      <c r="H386" s="115" t="s">
        <v>83</v>
      </c>
    </row>
    <row r="387" spans="1:8" ht="19.899999999999999" customHeight="1">
      <c r="A387" s="121">
        <v>46028</v>
      </c>
      <c r="B387" s="112" t="s">
        <v>26</v>
      </c>
      <c r="C387" s="113" t="s">
        <v>356</v>
      </c>
      <c r="D387" s="112" t="s">
        <v>341</v>
      </c>
      <c r="E387" s="122">
        <v>1.4861111111111109</v>
      </c>
      <c r="F387" s="112" t="s">
        <v>28</v>
      </c>
      <c r="G387" s="114">
        <v>5</v>
      </c>
      <c r="H387" s="115" t="s">
        <v>83</v>
      </c>
    </row>
    <row r="388" spans="1:8" ht="19.899999999999999" customHeight="1">
      <c r="A388" s="121">
        <v>46028</v>
      </c>
      <c r="B388" s="112" t="s">
        <v>26</v>
      </c>
      <c r="C388" s="113" t="s">
        <v>357</v>
      </c>
      <c r="D388" s="112" t="s">
        <v>341</v>
      </c>
      <c r="E388" s="122">
        <v>1.3923611111111109</v>
      </c>
      <c r="F388" s="112" t="s">
        <v>28</v>
      </c>
      <c r="G388" s="114">
        <v>4</v>
      </c>
      <c r="H388" s="115" t="s">
        <v>83</v>
      </c>
    </row>
    <row r="389" spans="1:8" ht="19.899999999999999" customHeight="1">
      <c r="A389" s="121">
        <v>46028</v>
      </c>
      <c r="B389" s="112" t="s">
        <v>48</v>
      </c>
      <c r="C389" s="113" t="s">
        <v>386</v>
      </c>
      <c r="D389" s="112" t="s">
        <v>341</v>
      </c>
      <c r="E389" s="122">
        <v>1.8298611111111109</v>
      </c>
      <c r="F389" s="112" t="s">
        <v>50</v>
      </c>
      <c r="G389" s="114">
        <v>8</v>
      </c>
      <c r="H389" s="115" t="s">
        <v>383</v>
      </c>
    </row>
    <row r="390" spans="1:8" ht="19.899999999999999" customHeight="1">
      <c r="A390" s="121">
        <v>46028</v>
      </c>
      <c r="B390" s="112" t="s">
        <v>48</v>
      </c>
      <c r="C390" s="113" t="s">
        <v>385</v>
      </c>
      <c r="D390" s="112" t="s">
        <v>341</v>
      </c>
      <c r="E390" s="122">
        <v>1.9409722222222221</v>
      </c>
      <c r="F390" s="112" t="s">
        <v>50</v>
      </c>
      <c r="G390" s="114">
        <v>9</v>
      </c>
      <c r="H390" s="115" t="s">
        <v>383</v>
      </c>
    </row>
    <row r="391" spans="1:8" ht="19.899999999999999" customHeight="1">
      <c r="A391" s="121">
        <v>46028</v>
      </c>
      <c r="B391" s="112" t="s">
        <v>26</v>
      </c>
      <c r="C391" s="113" t="s">
        <v>348</v>
      </c>
      <c r="D391" s="112" t="s">
        <v>341</v>
      </c>
      <c r="E391" s="122">
        <v>1.993055555555556</v>
      </c>
      <c r="F391" s="112" t="s">
        <v>31</v>
      </c>
      <c r="G391" s="114">
        <v>1</v>
      </c>
      <c r="H391" s="115" t="s">
        <v>349</v>
      </c>
    </row>
    <row r="392" spans="1:8" ht="19.899999999999999" customHeight="1">
      <c r="A392" s="121">
        <v>46028</v>
      </c>
      <c r="B392" s="112" t="s">
        <v>26</v>
      </c>
      <c r="C392" s="113" t="s">
        <v>351</v>
      </c>
      <c r="D392" s="112" t="s">
        <v>341</v>
      </c>
      <c r="E392" s="122">
        <v>1.836805555555556</v>
      </c>
      <c r="F392" s="112" t="s">
        <v>31</v>
      </c>
      <c r="G392" s="114">
        <v>3</v>
      </c>
      <c r="H392" s="115" t="s">
        <v>349</v>
      </c>
    </row>
    <row r="393" spans="1:8" ht="19.899999999999999" customHeight="1">
      <c r="A393" s="121">
        <v>46028</v>
      </c>
      <c r="B393" s="112" t="s">
        <v>26</v>
      </c>
      <c r="C393" s="113" t="s">
        <v>352</v>
      </c>
      <c r="D393" s="112" t="s">
        <v>341</v>
      </c>
      <c r="E393" s="122">
        <v>1.944444444444444</v>
      </c>
      <c r="F393" s="112" t="s">
        <v>31</v>
      </c>
      <c r="G393" s="114">
        <v>5</v>
      </c>
      <c r="H393" s="115" t="s">
        <v>349</v>
      </c>
    </row>
    <row r="394" spans="1:8" ht="19.899999999999999" customHeight="1">
      <c r="A394" s="121">
        <v>46028</v>
      </c>
      <c r="B394" s="112" t="s">
        <v>26</v>
      </c>
      <c r="C394" s="113" t="s">
        <v>353</v>
      </c>
      <c r="D394" s="112" t="s">
        <v>341</v>
      </c>
      <c r="E394" s="122">
        <v>1.8888888888888891</v>
      </c>
      <c r="F394" s="112" t="s">
        <v>31</v>
      </c>
      <c r="G394" s="114">
        <v>4</v>
      </c>
      <c r="H394" s="115" t="s">
        <v>349</v>
      </c>
    </row>
    <row r="395" spans="1:8" ht="19.899999999999999" customHeight="1">
      <c r="A395" s="121">
        <v>46028</v>
      </c>
      <c r="B395" s="112" t="s">
        <v>38</v>
      </c>
      <c r="C395" s="113" t="s">
        <v>345</v>
      </c>
      <c r="D395" s="112" t="s">
        <v>341</v>
      </c>
      <c r="E395" s="122">
        <v>1.989583333333333</v>
      </c>
      <c r="F395" s="112" t="s">
        <v>43</v>
      </c>
      <c r="G395" s="114">
        <v>19</v>
      </c>
      <c r="H395" s="115" t="s">
        <v>33</v>
      </c>
    </row>
    <row r="396" spans="1:8" ht="19.899999999999999" customHeight="1">
      <c r="A396" s="121">
        <v>46028</v>
      </c>
      <c r="B396" s="112" t="s">
        <v>402</v>
      </c>
      <c r="C396" s="113" t="s">
        <v>403</v>
      </c>
      <c r="D396" s="112" t="s">
        <v>341</v>
      </c>
      <c r="E396" s="122">
        <v>1.493055555555556</v>
      </c>
      <c r="F396" s="112" t="s">
        <v>63</v>
      </c>
      <c r="G396" s="114">
        <v>5</v>
      </c>
      <c r="H396" s="115" t="s">
        <v>404</v>
      </c>
    </row>
    <row r="397" spans="1:8" ht="19.899999999999999" customHeight="1">
      <c r="A397" s="129">
        <v>46028</v>
      </c>
      <c r="B397" s="117" t="s">
        <v>61</v>
      </c>
      <c r="C397" s="118" t="s">
        <v>379</v>
      </c>
      <c r="D397" s="117" t="s">
        <v>341</v>
      </c>
      <c r="E397" s="130">
        <v>1.381944444444444</v>
      </c>
      <c r="F397" s="117" t="s">
        <v>63</v>
      </c>
      <c r="G397" s="119">
        <v>7</v>
      </c>
      <c r="H397" s="120" t="s">
        <v>79</v>
      </c>
    </row>
    <row r="398" spans="1:8" ht="19.899999999999999" customHeight="1">
      <c r="A398" s="121">
        <v>46028</v>
      </c>
      <c r="B398" s="112" t="s">
        <v>48</v>
      </c>
      <c r="C398" s="113" t="s">
        <v>388</v>
      </c>
      <c r="D398" s="112" t="s">
        <v>341</v>
      </c>
      <c r="E398" s="122">
        <v>1.7222222222222221</v>
      </c>
      <c r="F398" s="112" t="s">
        <v>50</v>
      </c>
      <c r="G398" s="114">
        <v>9</v>
      </c>
      <c r="H398" s="115" t="s">
        <v>79</v>
      </c>
    </row>
    <row r="399" spans="1:8" ht="19.899999999999999" customHeight="1">
      <c r="A399" s="121">
        <v>46028</v>
      </c>
      <c r="B399" s="112" t="s">
        <v>48</v>
      </c>
      <c r="C399" s="113" t="s">
        <v>390</v>
      </c>
      <c r="D399" s="112" t="s">
        <v>341</v>
      </c>
      <c r="E399" s="122">
        <v>1.041666666666667</v>
      </c>
      <c r="F399" s="112" t="s">
        <v>50</v>
      </c>
      <c r="G399" s="114">
        <v>9</v>
      </c>
      <c r="H399" s="115" t="s">
        <v>79</v>
      </c>
    </row>
    <row r="400" spans="1:8" ht="19.899999999999999" customHeight="1">
      <c r="A400" s="121">
        <v>46028</v>
      </c>
      <c r="B400" s="112" t="s">
        <v>48</v>
      </c>
      <c r="C400" s="113" t="s">
        <v>389</v>
      </c>
      <c r="D400" s="112" t="s">
        <v>341</v>
      </c>
      <c r="E400" s="122">
        <v>1.7013888888888891</v>
      </c>
      <c r="F400" s="112" t="s">
        <v>50</v>
      </c>
      <c r="G400" s="114">
        <v>9</v>
      </c>
      <c r="H400" s="115" t="s">
        <v>476</v>
      </c>
    </row>
    <row r="401" spans="1:8" ht="19.899999999999999" customHeight="1">
      <c r="A401" s="121">
        <v>46028</v>
      </c>
      <c r="B401" s="112" t="s">
        <v>38</v>
      </c>
      <c r="C401" s="113" t="s">
        <v>344</v>
      </c>
      <c r="D401" s="112" t="s">
        <v>341</v>
      </c>
      <c r="E401" s="122">
        <v>1.8888888888888891</v>
      </c>
      <c r="F401" s="112" t="s">
        <v>43</v>
      </c>
      <c r="G401" s="114">
        <v>20</v>
      </c>
      <c r="H401" s="115" t="s">
        <v>420</v>
      </c>
    </row>
    <row r="402" spans="1:8" ht="19.899999999999999" customHeight="1">
      <c r="A402" s="121">
        <v>46028</v>
      </c>
      <c r="B402" s="112" t="s">
        <v>26</v>
      </c>
      <c r="C402" s="113" t="s">
        <v>354</v>
      </c>
      <c r="D402" s="112" t="s">
        <v>341</v>
      </c>
      <c r="E402" s="122">
        <v>1.3472222222222221</v>
      </c>
      <c r="F402" s="112" t="s">
        <v>31</v>
      </c>
      <c r="G402" s="114">
        <v>2</v>
      </c>
      <c r="H402" s="115" t="s">
        <v>159</v>
      </c>
    </row>
    <row r="403" spans="1:8" ht="19.899999999999999" customHeight="1">
      <c r="A403" s="121">
        <v>46028</v>
      </c>
      <c r="B403" s="112" t="s">
        <v>26</v>
      </c>
      <c r="C403" s="113" t="s">
        <v>356</v>
      </c>
      <c r="D403" s="112" t="s">
        <v>341</v>
      </c>
      <c r="E403" s="122">
        <v>1.4861111111111109</v>
      </c>
      <c r="F403" s="112" t="s">
        <v>31</v>
      </c>
      <c r="G403" s="114">
        <v>5</v>
      </c>
      <c r="H403" s="115" t="s">
        <v>159</v>
      </c>
    </row>
    <row r="404" spans="1:8" ht="19.899999999999999" customHeight="1">
      <c r="A404" s="121">
        <v>46028</v>
      </c>
      <c r="B404" s="112" t="s">
        <v>26</v>
      </c>
      <c r="C404" s="113" t="s">
        <v>357</v>
      </c>
      <c r="D404" s="112" t="s">
        <v>341</v>
      </c>
      <c r="E404" s="122">
        <v>1.3923611111111109</v>
      </c>
      <c r="F404" s="112" t="s">
        <v>31</v>
      </c>
      <c r="G404" s="114">
        <v>4</v>
      </c>
      <c r="H404" s="115" t="s">
        <v>159</v>
      </c>
    </row>
    <row r="405" spans="1:8" ht="19.899999999999999" customHeight="1">
      <c r="A405" s="121">
        <v>46028</v>
      </c>
      <c r="B405" s="112" t="s">
        <v>38</v>
      </c>
      <c r="C405" s="113" t="s">
        <v>346</v>
      </c>
      <c r="D405" s="112" t="s">
        <v>341</v>
      </c>
      <c r="E405" s="122">
        <v>1.399305555555556</v>
      </c>
      <c r="F405" s="112" t="s">
        <v>43</v>
      </c>
      <c r="G405" s="114">
        <v>20</v>
      </c>
      <c r="H405" s="115" t="s">
        <v>138</v>
      </c>
    </row>
    <row r="406" spans="1:8" ht="19.899999999999999" customHeight="1">
      <c r="A406" s="121">
        <v>46028</v>
      </c>
      <c r="B406" s="112" t="s">
        <v>26</v>
      </c>
      <c r="C406" s="113" t="s">
        <v>348</v>
      </c>
      <c r="D406" s="112" t="s">
        <v>341</v>
      </c>
      <c r="E406" s="122">
        <v>1.993055555555556</v>
      </c>
      <c r="F406" s="112" t="s">
        <v>34</v>
      </c>
      <c r="G406" s="114">
        <v>1</v>
      </c>
      <c r="H406" s="115" t="s">
        <v>138</v>
      </c>
    </row>
    <row r="407" spans="1:8" ht="19.899999999999999" customHeight="1">
      <c r="A407" s="121">
        <v>46028</v>
      </c>
      <c r="B407" s="112" t="s">
        <v>26</v>
      </c>
      <c r="C407" s="113" t="s">
        <v>351</v>
      </c>
      <c r="D407" s="112" t="s">
        <v>341</v>
      </c>
      <c r="E407" s="122">
        <v>1.836805555555556</v>
      </c>
      <c r="F407" s="112" t="s">
        <v>34</v>
      </c>
      <c r="G407" s="114">
        <v>3</v>
      </c>
      <c r="H407" s="115" t="s">
        <v>138</v>
      </c>
    </row>
    <row r="408" spans="1:8" ht="19.899999999999999" customHeight="1">
      <c r="A408" s="121">
        <v>46028</v>
      </c>
      <c r="B408" s="112" t="s">
        <v>26</v>
      </c>
      <c r="C408" s="113" t="s">
        <v>352</v>
      </c>
      <c r="D408" s="112" t="s">
        <v>341</v>
      </c>
      <c r="E408" s="122">
        <v>1.944444444444444</v>
      </c>
      <c r="F408" s="112" t="s">
        <v>34</v>
      </c>
      <c r="G408" s="114">
        <v>5</v>
      </c>
      <c r="H408" s="115" t="s">
        <v>138</v>
      </c>
    </row>
    <row r="409" spans="1:8" ht="19.899999999999999" customHeight="1">
      <c r="A409" s="121">
        <v>46028</v>
      </c>
      <c r="B409" s="112" t="s">
        <v>26</v>
      </c>
      <c r="C409" s="113" t="s">
        <v>353</v>
      </c>
      <c r="D409" s="112" t="s">
        <v>341</v>
      </c>
      <c r="E409" s="122">
        <v>1.8888888888888891</v>
      </c>
      <c r="F409" s="112" t="s">
        <v>34</v>
      </c>
      <c r="G409" s="114">
        <v>4</v>
      </c>
      <c r="H409" s="115" t="s">
        <v>138</v>
      </c>
    </row>
    <row r="410" spans="1:8" ht="19.899999999999999" customHeight="1">
      <c r="A410" s="121">
        <v>46028</v>
      </c>
      <c r="B410" s="112" t="s">
        <v>68</v>
      </c>
      <c r="C410" s="113" t="s">
        <v>405</v>
      </c>
      <c r="D410" s="112" t="s">
        <v>341</v>
      </c>
      <c r="E410" s="122">
        <v>1.836805555555556</v>
      </c>
      <c r="F410" s="112" t="s">
        <v>70</v>
      </c>
      <c r="G410" s="114">
        <v>9</v>
      </c>
      <c r="H410" s="115" t="s">
        <v>406</v>
      </c>
    </row>
    <row r="411" spans="1:8" ht="19.899999999999999" customHeight="1">
      <c r="A411" s="121">
        <v>46028</v>
      </c>
      <c r="B411" s="112" t="s">
        <v>68</v>
      </c>
      <c r="C411" s="113" t="s">
        <v>407</v>
      </c>
      <c r="D411" s="112" t="s">
        <v>341</v>
      </c>
      <c r="E411" s="122">
        <v>1.3125</v>
      </c>
      <c r="F411" s="112" t="s">
        <v>70</v>
      </c>
      <c r="G411" s="114">
        <v>9</v>
      </c>
      <c r="H411" s="115" t="s">
        <v>406</v>
      </c>
    </row>
    <row r="412" spans="1:8" ht="19.899999999999999" customHeight="1">
      <c r="A412" s="121">
        <v>46028</v>
      </c>
      <c r="B412" s="112" t="s">
        <v>68</v>
      </c>
      <c r="C412" s="113" t="s">
        <v>408</v>
      </c>
      <c r="D412" s="112" t="s">
        <v>341</v>
      </c>
      <c r="E412" s="122">
        <v>1.9722222222222221</v>
      </c>
      <c r="F412" s="112" t="s">
        <v>70</v>
      </c>
      <c r="G412" s="114">
        <v>9</v>
      </c>
      <c r="H412" s="115" t="s">
        <v>406</v>
      </c>
    </row>
    <row r="413" spans="1:8" ht="19.899999999999999" customHeight="1">
      <c r="A413" s="121">
        <v>46028</v>
      </c>
      <c r="B413" s="112" t="s">
        <v>68</v>
      </c>
      <c r="C413" s="113" t="s">
        <v>437</v>
      </c>
      <c r="D413" s="112" t="s">
        <v>341</v>
      </c>
      <c r="E413" s="122">
        <v>1.104166666666667</v>
      </c>
      <c r="F413" s="112" t="s">
        <v>70</v>
      </c>
      <c r="G413" s="114">
        <v>9</v>
      </c>
      <c r="H413" s="115" t="s">
        <v>406</v>
      </c>
    </row>
    <row r="414" spans="1:8" ht="19.899999999999999" customHeight="1">
      <c r="A414" s="121">
        <v>46028</v>
      </c>
      <c r="B414" s="112" t="s">
        <v>68</v>
      </c>
      <c r="C414" s="113" t="s">
        <v>409</v>
      </c>
      <c r="D414" s="112" t="s">
        <v>341</v>
      </c>
      <c r="E414" s="122">
        <v>1.3402777777777779</v>
      </c>
      <c r="F414" s="112" t="s">
        <v>70</v>
      </c>
      <c r="G414" s="114">
        <v>9</v>
      </c>
      <c r="H414" s="115" t="s">
        <v>406</v>
      </c>
    </row>
    <row r="415" spans="1:8" ht="19.899999999999999" customHeight="1">
      <c r="A415" s="121">
        <v>46028</v>
      </c>
      <c r="B415" s="112" t="s">
        <v>68</v>
      </c>
      <c r="C415" s="113" t="s">
        <v>411</v>
      </c>
      <c r="D415" s="112" t="s">
        <v>341</v>
      </c>
      <c r="E415" s="122">
        <v>1.7847222222222221</v>
      </c>
      <c r="F415" s="112" t="s">
        <v>70</v>
      </c>
      <c r="G415" s="114">
        <v>9</v>
      </c>
      <c r="H415" s="115" t="s">
        <v>406</v>
      </c>
    </row>
    <row r="416" spans="1:8" ht="19.899999999999999" customHeight="1">
      <c r="A416" s="121">
        <v>46028</v>
      </c>
      <c r="B416" s="112" t="s">
        <v>68</v>
      </c>
      <c r="C416" s="113" t="s">
        <v>410</v>
      </c>
      <c r="D416" s="112" t="s">
        <v>341</v>
      </c>
      <c r="E416" s="122">
        <v>1.5972222222222221</v>
      </c>
      <c r="F416" s="112" t="s">
        <v>70</v>
      </c>
      <c r="G416" s="114">
        <v>9</v>
      </c>
      <c r="H416" s="115" t="s">
        <v>406</v>
      </c>
    </row>
    <row r="417" spans="1:8" ht="19.899999999999999" customHeight="1">
      <c r="A417" s="121">
        <v>46028</v>
      </c>
      <c r="B417" s="112" t="s">
        <v>68</v>
      </c>
      <c r="C417" s="113" t="s">
        <v>413</v>
      </c>
      <c r="D417" s="112" t="s">
        <v>341</v>
      </c>
      <c r="E417" s="122">
        <v>1.0486111111111109</v>
      </c>
      <c r="F417" s="112" t="s">
        <v>70</v>
      </c>
      <c r="G417" s="114">
        <v>9</v>
      </c>
      <c r="H417" s="115" t="s">
        <v>406</v>
      </c>
    </row>
    <row r="418" spans="1:8" ht="19.899999999999999" customHeight="1">
      <c r="A418" s="121">
        <v>46028</v>
      </c>
      <c r="B418" s="112" t="s">
        <v>48</v>
      </c>
      <c r="C418" s="113" t="s">
        <v>391</v>
      </c>
      <c r="D418" s="112" t="s">
        <v>341</v>
      </c>
      <c r="E418" s="122">
        <v>1.489583333333333</v>
      </c>
      <c r="F418" s="112" t="s">
        <v>50</v>
      </c>
      <c r="G418" s="114">
        <v>9</v>
      </c>
      <c r="H418" s="115" t="s">
        <v>462</v>
      </c>
    </row>
    <row r="419" spans="1:8" ht="19.899999999999999" customHeight="1">
      <c r="A419" s="121">
        <v>46028</v>
      </c>
      <c r="B419" s="112" t="s">
        <v>48</v>
      </c>
      <c r="C419" s="113" t="s">
        <v>382</v>
      </c>
      <c r="D419" s="112" t="s">
        <v>341</v>
      </c>
      <c r="E419" s="122">
        <v>1.118055555555556</v>
      </c>
      <c r="F419" s="112" t="s">
        <v>50</v>
      </c>
      <c r="G419" s="114">
        <v>9</v>
      </c>
      <c r="H419" s="115" t="s">
        <v>462</v>
      </c>
    </row>
    <row r="420" spans="1:8" ht="19.899999999999999" customHeight="1">
      <c r="A420" s="121">
        <v>46028</v>
      </c>
      <c r="B420" s="112" t="s">
        <v>48</v>
      </c>
      <c r="C420" s="113" t="s">
        <v>386</v>
      </c>
      <c r="D420" s="112" t="s">
        <v>341</v>
      </c>
      <c r="E420" s="122">
        <v>1.8298611111111109</v>
      </c>
      <c r="F420" s="112" t="s">
        <v>53</v>
      </c>
      <c r="G420" s="114">
        <v>8</v>
      </c>
      <c r="H420" s="115" t="s">
        <v>384</v>
      </c>
    </row>
    <row r="421" spans="1:8" ht="19.899999999999999" customHeight="1">
      <c r="A421" s="121">
        <v>46028</v>
      </c>
      <c r="B421" s="112" t="s">
        <v>48</v>
      </c>
      <c r="C421" s="113" t="s">
        <v>385</v>
      </c>
      <c r="D421" s="112" t="s">
        <v>341</v>
      </c>
      <c r="E421" s="122">
        <v>1.9409722222222221</v>
      </c>
      <c r="F421" s="112" t="s">
        <v>53</v>
      </c>
      <c r="G421" s="114">
        <v>9</v>
      </c>
      <c r="H421" s="115" t="s">
        <v>384</v>
      </c>
    </row>
    <row r="422" spans="1:8" ht="19.899999999999999" customHeight="1">
      <c r="A422" s="121">
        <v>46028</v>
      </c>
      <c r="B422" s="112" t="s">
        <v>359</v>
      </c>
      <c r="C422" s="113" t="s">
        <v>445</v>
      </c>
      <c r="D422" s="112" t="s">
        <v>341</v>
      </c>
      <c r="E422" s="122">
        <v>1.055555555555556</v>
      </c>
      <c r="F422" s="112" t="s">
        <v>46</v>
      </c>
      <c r="G422" s="114">
        <v>9</v>
      </c>
      <c r="H422" s="115" t="s">
        <v>363</v>
      </c>
    </row>
    <row r="423" spans="1:8" ht="19.899999999999999" customHeight="1">
      <c r="A423" s="121">
        <v>46028</v>
      </c>
      <c r="B423" s="112" t="s">
        <v>48</v>
      </c>
      <c r="C423" s="113" t="s">
        <v>388</v>
      </c>
      <c r="D423" s="112" t="s">
        <v>341</v>
      </c>
      <c r="E423" s="122">
        <v>1.7222222222222221</v>
      </c>
      <c r="F423" s="112" t="s">
        <v>53</v>
      </c>
      <c r="G423" s="114">
        <v>9</v>
      </c>
      <c r="H423" s="115" t="s">
        <v>387</v>
      </c>
    </row>
    <row r="424" spans="1:8" ht="19.899999999999999" customHeight="1">
      <c r="A424" s="121">
        <v>46028</v>
      </c>
      <c r="B424" s="112" t="s">
        <v>48</v>
      </c>
      <c r="C424" s="113" t="s">
        <v>390</v>
      </c>
      <c r="D424" s="112" t="s">
        <v>341</v>
      </c>
      <c r="E424" s="122">
        <v>1.041666666666667</v>
      </c>
      <c r="F424" s="112" t="s">
        <v>53</v>
      </c>
      <c r="G424" s="114">
        <v>9</v>
      </c>
      <c r="H424" s="115" t="s">
        <v>387</v>
      </c>
    </row>
    <row r="425" spans="1:8" ht="19.899999999999999" customHeight="1">
      <c r="A425" s="121">
        <v>46028</v>
      </c>
      <c r="B425" s="112" t="s">
        <v>26</v>
      </c>
      <c r="C425" s="113" t="s">
        <v>354</v>
      </c>
      <c r="D425" s="112" t="s">
        <v>341</v>
      </c>
      <c r="E425" s="122">
        <v>1.3472222222222221</v>
      </c>
      <c r="F425" s="112" t="s">
        <v>34</v>
      </c>
      <c r="G425" s="114">
        <v>2</v>
      </c>
      <c r="H425" s="115" t="s">
        <v>355</v>
      </c>
    </row>
    <row r="426" spans="1:8" ht="19.899999999999999" customHeight="1">
      <c r="A426" s="121">
        <v>46028</v>
      </c>
      <c r="B426" s="112" t="s">
        <v>26</v>
      </c>
      <c r="C426" s="113" t="s">
        <v>356</v>
      </c>
      <c r="D426" s="112" t="s">
        <v>341</v>
      </c>
      <c r="E426" s="122">
        <v>1.4861111111111109</v>
      </c>
      <c r="F426" s="112" t="s">
        <v>34</v>
      </c>
      <c r="G426" s="114">
        <v>5</v>
      </c>
      <c r="H426" s="115" t="s">
        <v>355</v>
      </c>
    </row>
    <row r="427" spans="1:8" ht="19.899999999999999" customHeight="1">
      <c r="A427" s="121">
        <v>46028</v>
      </c>
      <c r="B427" s="112" t="s">
        <v>26</v>
      </c>
      <c r="C427" s="113" t="s">
        <v>357</v>
      </c>
      <c r="D427" s="112" t="s">
        <v>341</v>
      </c>
      <c r="E427" s="122">
        <v>1.3923611111111109</v>
      </c>
      <c r="F427" s="112" t="s">
        <v>34</v>
      </c>
      <c r="G427" s="114">
        <v>4</v>
      </c>
      <c r="H427" s="115" t="s">
        <v>355</v>
      </c>
    </row>
    <row r="428" spans="1:8" ht="19.899999999999999" customHeight="1">
      <c r="A428" s="121">
        <v>46028</v>
      </c>
      <c r="B428" s="112" t="s">
        <v>48</v>
      </c>
      <c r="C428" s="113" t="s">
        <v>389</v>
      </c>
      <c r="D428" s="112" t="s">
        <v>341</v>
      </c>
      <c r="E428" s="122">
        <v>1.7013888888888891</v>
      </c>
      <c r="F428" s="112" t="s">
        <v>53</v>
      </c>
      <c r="G428" s="114">
        <v>9</v>
      </c>
      <c r="H428" s="115" t="s">
        <v>477</v>
      </c>
    </row>
    <row r="429" spans="1:8" ht="19.899999999999999" customHeight="1">
      <c r="A429" s="121">
        <v>46028</v>
      </c>
      <c r="B429" s="112" t="s">
        <v>26</v>
      </c>
      <c r="C429" s="113" t="s">
        <v>350</v>
      </c>
      <c r="D429" s="112" t="s">
        <v>341</v>
      </c>
      <c r="E429" s="122">
        <v>1.7361111111111109</v>
      </c>
      <c r="F429" s="112" t="s">
        <v>28</v>
      </c>
      <c r="G429" s="114">
        <v>3</v>
      </c>
      <c r="H429" s="115" t="s">
        <v>467</v>
      </c>
    </row>
    <row r="430" spans="1:8" ht="19.899999999999999" customHeight="1">
      <c r="A430" s="121">
        <v>46028</v>
      </c>
      <c r="B430" s="112" t="s">
        <v>48</v>
      </c>
      <c r="C430" s="113" t="s">
        <v>391</v>
      </c>
      <c r="D430" s="112" t="s">
        <v>341</v>
      </c>
      <c r="E430" s="122">
        <v>1.489583333333333</v>
      </c>
      <c r="F430" s="112" t="s">
        <v>53</v>
      </c>
      <c r="G430" s="114">
        <v>9</v>
      </c>
      <c r="H430" s="115" t="s">
        <v>463</v>
      </c>
    </row>
    <row r="431" spans="1:8" ht="19.899999999999999" customHeight="1">
      <c r="A431" s="121">
        <v>46028</v>
      </c>
      <c r="B431" s="112" t="s">
        <v>48</v>
      </c>
      <c r="C431" s="113" t="s">
        <v>382</v>
      </c>
      <c r="D431" s="112" t="s">
        <v>341</v>
      </c>
      <c r="E431" s="122">
        <v>1.118055555555556</v>
      </c>
      <c r="F431" s="112" t="s">
        <v>53</v>
      </c>
      <c r="G431" s="114">
        <v>9</v>
      </c>
      <c r="H431" s="115" t="s">
        <v>463</v>
      </c>
    </row>
    <row r="432" spans="1:8" ht="19.899999999999999" customHeight="1">
      <c r="A432" s="121">
        <v>46028</v>
      </c>
      <c r="B432" s="112" t="s">
        <v>48</v>
      </c>
      <c r="C432" s="113" t="s">
        <v>400</v>
      </c>
      <c r="D432" s="112" t="s">
        <v>341</v>
      </c>
      <c r="E432" s="122">
        <v>1.2534722222222221</v>
      </c>
      <c r="F432" s="112" t="s">
        <v>50</v>
      </c>
      <c r="G432" s="114">
        <v>9</v>
      </c>
      <c r="H432" s="115" t="s">
        <v>392</v>
      </c>
    </row>
    <row r="433" spans="1:8" ht="19.899999999999999" customHeight="1">
      <c r="A433" s="121">
        <v>46028</v>
      </c>
      <c r="B433" s="112" t="s">
        <v>26</v>
      </c>
      <c r="C433" s="113" t="s">
        <v>350</v>
      </c>
      <c r="D433" s="112" t="s">
        <v>341</v>
      </c>
      <c r="E433" s="122">
        <v>1.7361111111111109</v>
      </c>
      <c r="F433" s="112" t="s">
        <v>31</v>
      </c>
      <c r="G433" s="114">
        <v>3</v>
      </c>
      <c r="H433" s="115" t="s">
        <v>104</v>
      </c>
    </row>
    <row r="434" spans="1:8" ht="19.899999999999999" customHeight="1">
      <c r="A434" s="121">
        <v>46028</v>
      </c>
      <c r="B434" s="112" t="s">
        <v>38</v>
      </c>
      <c r="C434" s="113" t="s">
        <v>346</v>
      </c>
      <c r="D434" s="112" t="s">
        <v>341</v>
      </c>
      <c r="E434" s="122">
        <v>1.399305555555556</v>
      </c>
      <c r="F434" s="112" t="s">
        <v>46</v>
      </c>
      <c r="G434" s="114">
        <v>20</v>
      </c>
      <c r="H434" s="115" t="s">
        <v>47</v>
      </c>
    </row>
    <row r="435" spans="1:8" ht="19.899999999999999" customHeight="1">
      <c r="A435" s="121">
        <v>46028</v>
      </c>
      <c r="B435" s="112" t="s">
        <v>38</v>
      </c>
      <c r="C435" s="113" t="s">
        <v>342</v>
      </c>
      <c r="D435" s="112" t="s">
        <v>341</v>
      </c>
      <c r="E435" s="122">
        <v>1.489583333333333</v>
      </c>
      <c r="F435" s="112" t="s">
        <v>46</v>
      </c>
      <c r="G435" s="114">
        <v>2</v>
      </c>
      <c r="H435" s="115" t="s">
        <v>47</v>
      </c>
    </row>
    <row r="436" spans="1:8" ht="19.899999999999999" customHeight="1">
      <c r="A436" s="121">
        <v>46028</v>
      </c>
      <c r="B436" s="112" t="s">
        <v>38</v>
      </c>
      <c r="C436" s="113" t="s">
        <v>344</v>
      </c>
      <c r="D436" s="112" t="s">
        <v>341</v>
      </c>
      <c r="E436" s="122">
        <v>1.8888888888888891</v>
      </c>
      <c r="F436" s="112" t="s">
        <v>46</v>
      </c>
      <c r="G436" s="114">
        <v>20</v>
      </c>
      <c r="H436" s="115" t="s">
        <v>47</v>
      </c>
    </row>
    <row r="437" spans="1:8" ht="19.899999999999999" customHeight="1">
      <c r="A437" s="121">
        <v>46028</v>
      </c>
      <c r="B437" s="112" t="s">
        <v>38</v>
      </c>
      <c r="C437" s="113" t="s">
        <v>345</v>
      </c>
      <c r="D437" s="112" t="s">
        <v>341</v>
      </c>
      <c r="E437" s="122">
        <v>1.989583333333333</v>
      </c>
      <c r="F437" s="112" t="s">
        <v>46</v>
      </c>
      <c r="G437" s="114">
        <v>19</v>
      </c>
      <c r="H437" s="115" t="s">
        <v>47</v>
      </c>
    </row>
    <row r="438" spans="1:8" ht="19.899999999999999" customHeight="1">
      <c r="A438" s="121">
        <v>46028</v>
      </c>
      <c r="B438" s="112" t="s">
        <v>48</v>
      </c>
      <c r="C438" s="113" t="s">
        <v>394</v>
      </c>
      <c r="D438" s="112" t="s">
        <v>341</v>
      </c>
      <c r="E438" s="122">
        <v>1.989583333333333</v>
      </c>
      <c r="F438" s="112" t="s">
        <v>53</v>
      </c>
      <c r="G438" s="114">
        <v>4</v>
      </c>
      <c r="H438" s="115" t="s">
        <v>395</v>
      </c>
    </row>
    <row r="439" spans="1:8" ht="19.899999999999999" customHeight="1">
      <c r="A439" s="121">
        <v>46028</v>
      </c>
      <c r="B439" s="112" t="s">
        <v>48</v>
      </c>
      <c r="C439" s="113" t="s">
        <v>396</v>
      </c>
      <c r="D439" s="112" t="s">
        <v>341</v>
      </c>
      <c r="E439" s="122">
        <v>1.489583333333333</v>
      </c>
      <c r="F439" s="112" t="s">
        <v>53</v>
      </c>
      <c r="G439" s="114">
        <v>4</v>
      </c>
      <c r="H439" s="115" t="s">
        <v>395</v>
      </c>
    </row>
    <row r="440" spans="1:8" ht="19.899999999999999" customHeight="1">
      <c r="A440" s="121">
        <v>46028</v>
      </c>
      <c r="B440" s="112" t="s">
        <v>26</v>
      </c>
      <c r="C440" s="113" t="s">
        <v>350</v>
      </c>
      <c r="D440" s="112" t="s">
        <v>341</v>
      </c>
      <c r="E440" s="122">
        <v>1.7361111111111109</v>
      </c>
      <c r="F440" s="112" t="s">
        <v>34</v>
      </c>
      <c r="G440" s="114">
        <v>3</v>
      </c>
      <c r="H440" s="115" t="s">
        <v>456</v>
      </c>
    </row>
    <row r="441" spans="1:8" ht="19.899999999999999" customHeight="1">
      <c r="A441" s="121">
        <v>46028</v>
      </c>
      <c r="B441" s="112" t="s">
        <v>48</v>
      </c>
      <c r="C441" s="113" t="s">
        <v>400</v>
      </c>
      <c r="D441" s="112" t="s">
        <v>341</v>
      </c>
      <c r="E441" s="122">
        <v>1.2534722222222221</v>
      </c>
      <c r="F441" s="112" t="s">
        <v>53</v>
      </c>
      <c r="G441" s="114">
        <v>9</v>
      </c>
      <c r="H441" s="115" t="s">
        <v>393</v>
      </c>
    </row>
    <row r="442" spans="1:8" ht="19.899999999999999" customHeight="1">
      <c r="A442" s="121">
        <v>46028</v>
      </c>
      <c r="B442" s="112" t="s">
        <v>48</v>
      </c>
      <c r="C442" s="113" t="s">
        <v>397</v>
      </c>
      <c r="D442" s="112" t="s">
        <v>341</v>
      </c>
      <c r="E442" s="122">
        <v>1.8888888888888891</v>
      </c>
      <c r="F442" s="112" t="s">
        <v>53</v>
      </c>
      <c r="G442" s="114">
        <v>4</v>
      </c>
      <c r="H442" s="115" t="s">
        <v>438</v>
      </c>
    </row>
    <row r="443" spans="1:8" ht="19.899999999999999" customHeight="1">
      <c r="A443" s="121">
        <v>46028</v>
      </c>
      <c r="B443" s="112" t="s">
        <v>48</v>
      </c>
      <c r="C443" s="113" t="s">
        <v>398</v>
      </c>
      <c r="D443" s="112" t="s">
        <v>341</v>
      </c>
      <c r="E443" s="122">
        <v>1.399305555555556</v>
      </c>
      <c r="F443" s="112" t="s">
        <v>53</v>
      </c>
      <c r="G443" s="114">
        <v>4</v>
      </c>
      <c r="H443" s="115" t="s">
        <v>399</v>
      </c>
    </row>
    <row r="444" spans="1:8" ht="19.899999999999999" customHeight="1">
      <c r="A444" s="121">
        <v>46028</v>
      </c>
      <c r="B444" s="112" t="s">
        <v>415</v>
      </c>
      <c r="C444" s="113" t="s">
        <v>416</v>
      </c>
      <c r="D444" s="112" t="s">
        <v>341</v>
      </c>
      <c r="E444" s="122">
        <v>1.100694444444444</v>
      </c>
      <c r="F444" s="112" t="s">
        <v>63</v>
      </c>
      <c r="G444" s="114">
        <v>9</v>
      </c>
      <c r="H444" s="115" t="s">
        <v>417</v>
      </c>
    </row>
    <row r="445" spans="1:8" ht="19.899999999999999" customHeight="1">
      <c r="A445" s="123">
        <v>46028</v>
      </c>
      <c r="B445" s="124" t="s">
        <v>415</v>
      </c>
      <c r="C445" s="125" t="s">
        <v>418</v>
      </c>
      <c r="D445" s="124" t="s">
        <v>341</v>
      </c>
      <c r="E445" s="126">
        <v>1.270833333333333</v>
      </c>
      <c r="F445" s="124" t="s">
        <v>63</v>
      </c>
      <c r="G445" s="127">
        <v>9</v>
      </c>
      <c r="H445" s="128" t="s">
        <v>417</v>
      </c>
    </row>
    <row r="446" spans="1:8" ht="19.899999999999999" customHeight="1">
      <c r="A446" s="121">
        <v>46029</v>
      </c>
      <c r="B446" s="112" t="s">
        <v>38</v>
      </c>
      <c r="C446" s="113" t="s">
        <v>342</v>
      </c>
      <c r="D446" s="112" t="s">
        <v>341</v>
      </c>
      <c r="E446" s="122">
        <v>1.489583333333333</v>
      </c>
      <c r="F446" s="112" t="s">
        <v>40</v>
      </c>
      <c r="G446" s="114">
        <v>11</v>
      </c>
      <c r="H446" s="115" t="s">
        <v>88</v>
      </c>
    </row>
    <row r="447" spans="1:8" ht="19.899999999999999" customHeight="1">
      <c r="A447" s="121">
        <v>46029</v>
      </c>
      <c r="B447" s="112" t="s">
        <v>38</v>
      </c>
      <c r="C447" s="113" t="s">
        <v>344</v>
      </c>
      <c r="D447" s="112" t="s">
        <v>341</v>
      </c>
      <c r="E447" s="122">
        <v>1.8888888888888891</v>
      </c>
      <c r="F447" s="112" t="s">
        <v>40</v>
      </c>
      <c r="G447" s="114">
        <v>20</v>
      </c>
      <c r="H447" s="115" t="s">
        <v>343</v>
      </c>
    </row>
    <row r="448" spans="1:8" ht="19.899999999999999" customHeight="1">
      <c r="A448" s="121">
        <v>46029</v>
      </c>
      <c r="B448" s="112" t="s">
        <v>38</v>
      </c>
      <c r="C448" s="113" t="s">
        <v>345</v>
      </c>
      <c r="D448" s="112" t="s">
        <v>341</v>
      </c>
      <c r="E448" s="122">
        <v>1.989583333333333</v>
      </c>
      <c r="F448" s="112" t="s">
        <v>40</v>
      </c>
      <c r="G448" s="114">
        <v>19</v>
      </c>
      <c r="H448" s="115" t="s">
        <v>343</v>
      </c>
    </row>
    <row r="449" spans="1:8" ht="19.899999999999999" customHeight="1">
      <c r="A449" s="121">
        <v>46029</v>
      </c>
      <c r="B449" s="112" t="s">
        <v>26</v>
      </c>
      <c r="C449" s="113" t="s">
        <v>348</v>
      </c>
      <c r="D449" s="112" t="s">
        <v>341</v>
      </c>
      <c r="E449" s="122">
        <v>1.993055555555556</v>
      </c>
      <c r="F449" s="112" t="s">
        <v>28</v>
      </c>
      <c r="G449" s="114">
        <v>5</v>
      </c>
      <c r="H449" s="115" t="s">
        <v>131</v>
      </c>
    </row>
    <row r="450" spans="1:8" ht="19.899999999999999" customHeight="1">
      <c r="A450" s="121">
        <v>46029</v>
      </c>
      <c r="B450" s="112" t="s">
        <v>26</v>
      </c>
      <c r="C450" s="113" t="s">
        <v>351</v>
      </c>
      <c r="D450" s="112" t="s">
        <v>341</v>
      </c>
      <c r="E450" s="122">
        <v>1.836805555555556</v>
      </c>
      <c r="F450" s="112" t="s">
        <v>28</v>
      </c>
      <c r="G450" s="114">
        <v>5</v>
      </c>
      <c r="H450" s="115" t="s">
        <v>131</v>
      </c>
    </row>
    <row r="451" spans="1:8" ht="19.899999999999999" customHeight="1">
      <c r="A451" s="121">
        <v>46029</v>
      </c>
      <c r="B451" s="112" t="s">
        <v>26</v>
      </c>
      <c r="C451" s="113" t="s">
        <v>352</v>
      </c>
      <c r="D451" s="112" t="s">
        <v>341</v>
      </c>
      <c r="E451" s="122">
        <v>1.944444444444444</v>
      </c>
      <c r="F451" s="112" t="s">
        <v>28</v>
      </c>
      <c r="G451" s="114">
        <v>2</v>
      </c>
      <c r="H451" s="115" t="s">
        <v>131</v>
      </c>
    </row>
    <row r="452" spans="1:8" ht="19.899999999999999" customHeight="1">
      <c r="A452" s="121">
        <v>46029</v>
      </c>
      <c r="B452" s="112" t="s">
        <v>26</v>
      </c>
      <c r="C452" s="113" t="s">
        <v>353</v>
      </c>
      <c r="D452" s="112" t="s">
        <v>341</v>
      </c>
      <c r="E452" s="122">
        <v>1.8888888888888891</v>
      </c>
      <c r="F452" s="112" t="s">
        <v>28</v>
      </c>
      <c r="G452" s="114">
        <v>2</v>
      </c>
      <c r="H452" s="115" t="s">
        <v>131</v>
      </c>
    </row>
    <row r="453" spans="1:8" ht="19.899999999999999" customHeight="1">
      <c r="A453" s="121">
        <v>46029</v>
      </c>
      <c r="B453" s="112" t="s">
        <v>38</v>
      </c>
      <c r="C453" s="113" t="s">
        <v>346</v>
      </c>
      <c r="D453" s="112" t="s">
        <v>341</v>
      </c>
      <c r="E453" s="122">
        <v>1.399305555555556</v>
      </c>
      <c r="F453" s="112" t="s">
        <v>40</v>
      </c>
      <c r="G453" s="114">
        <v>20</v>
      </c>
      <c r="H453" s="115" t="s">
        <v>30</v>
      </c>
    </row>
    <row r="454" spans="1:8" ht="19.899999999999999" customHeight="1">
      <c r="A454" s="121">
        <v>46029</v>
      </c>
      <c r="B454" s="112" t="s">
        <v>359</v>
      </c>
      <c r="C454" s="113" t="s">
        <v>360</v>
      </c>
      <c r="D454" s="112" t="s">
        <v>341</v>
      </c>
      <c r="E454" s="122">
        <v>1.225694444444444</v>
      </c>
      <c r="F454" s="112" t="s">
        <v>361</v>
      </c>
      <c r="G454" s="114">
        <v>9</v>
      </c>
      <c r="H454" s="115" t="s">
        <v>362</v>
      </c>
    </row>
    <row r="455" spans="1:8" ht="19.899999999999999" customHeight="1">
      <c r="A455" s="129">
        <v>46029</v>
      </c>
      <c r="B455" s="117" t="s">
        <v>61</v>
      </c>
      <c r="C455" s="118" t="s">
        <v>364</v>
      </c>
      <c r="D455" s="117" t="s">
        <v>341</v>
      </c>
      <c r="E455" s="130">
        <v>1.2326388888888891</v>
      </c>
      <c r="F455" s="117" t="s">
        <v>63</v>
      </c>
      <c r="G455" s="119">
        <v>1</v>
      </c>
      <c r="H455" s="120" t="s">
        <v>365</v>
      </c>
    </row>
    <row r="456" spans="1:8" ht="19.899999999999999" customHeight="1">
      <c r="A456" s="129">
        <v>46029</v>
      </c>
      <c r="B456" s="117" t="s">
        <v>61</v>
      </c>
      <c r="C456" s="118" t="s">
        <v>432</v>
      </c>
      <c r="D456" s="117" t="s">
        <v>341</v>
      </c>
      <c r="E456" s="130">
        <v>1.34375</v>
      </c>
      <c r="F456" s="117" t="s">
        <v>63</v>
      </c>
      <c r="G456" s="119">
        <v>5</v>
      </c>
      <c r="H456" s="120" t="s">
        <v>365</v>
      </c>
    </row>
    <row r="457" spans="1:8" ht="19.899999999999999" customHeight="1">
      <c r="A457" s="129">
        <v>46029</v>
      </c>
      <c r="B457" s="117" t="s">
        <v>61</v>
      </c>
      <c r="C457" s="118" t="s">
        <v>428</v>
      </c>
      <c r="D457" s="117" t="s">
        <v>341</v>
      </c>
      <c r="E457" s="130">
        <v>1.9375</v>
      </c>
      <c r="F457" s="117" t="s">
        <v>63</v>
      </c>
      <c r="G457" s="119">
        <v>4</v>
      </c>
      <c r="H457" s="120" t="s">
        <v>365</v>
      </c>
    </row>
    <row r="458" spans="1:8" ht="19.899999999999999" customHeight="1">
      <c r="A458" s="129">
        <v>46029</v>
      </c>
      <c r="B458" s="117" t="s">
        <v>61</v>
      </c>
      <c r="C458" s="118" t="s">
        <v>375</v>
      </c>
      <c r="D458" s="117" t="s">
        <v>341</v>
      </c>
      <c r="E458" s="130">
        <v>1.3402777777777779</v>
      </c>
      <c r="F458" s="117" t="s">
        <v>63</v>
      </c>
      <c r="G458" s="119">
        <v>4</v>
      </c>
      <c r="H458" s="120" t="s">
        <v>365</v>
      </c>
    </row>
    <row r="459" spans="1:8" ht="19.899999999999999" customHeight="1">
      <c r="A459" s="129">
        <v>46029</v>
      </c>
      <c r="B459" s="117" t="s">
        <v>61</v>
      </c>
      <c r="C459" s="118" t="s">
        <v>377</v>
      </c>
      <c r="D459" s="117" t="s">
        <v>341</v>
      </c>
      <c r="E459" s="130">
        <v>1.4375</v>
      </c>
      <c r="F459" s="117" t="s">
        <v>63</v>
      </c>
      <c r="G459" s="119">
        <v>3</v>
      </c>
      <c r="H459" s="120" t="s">
        <v>365</v>
      </c>
    </row>
    <row r="460" spans="1:8" ht="19.899999999999999" customHeight="1">
      <c r="A460" s="121">
        <v>46029</v>
      </c>
      <c r="B460" s="112" t="s">
        <v>26</v>
      </c>
      <c r="C460" s="113" t="s">
        <v>354</v>
      </c>
      <c r="D460" s="112" t="s">
        <v>341</v>
      </c>
      <c r="E460" s="122">
        <v>1.3472222222222221</v>
      </c>
      <c r="F460" s="112" t="s">
        <v>28</v>
      </c>
      <c r="G460" s="114">
        <v>3</v>
      </c>
      <c r="H460" s="115" t="s">
        <v>83</v>
      </c>
    </row>
    <row r="461" spans="1:8" ht="19.899999999999999" customHeight="1">
      <c r="A461" s="121">
        <v>46029</v>
      </c>
      <c r="B461" s="112" t="s">
        <v>48</v>
      </c>
      <c r="C461" s="113" t="s">
        <v>386</v>
      </c>
      <c r="D461" s="112" t="s">
        <v>341</v>
      </c>
      <c r="E461" s="122">
        <v>1.8298611111111109</v>
      </c>
      <c r="F461" s="112" t="s">
        <v>50</v>
      </c>
      <c r="G461" s="114">
        <v>1</v>
      </c>
      <c r="H461" s="115" t="s">
        <v>383</v>
      </c>
    </row>
    <row r="462" spans="1:8" ht="19.899999999999999" customHeight="1">
      <c r="A462" s="121">
        <v>46029</v>
      </c>
      <c r="B462" s="112" t="s">
        <v>48</v>
      </c>
      <c r="C462" s="113" t="s">
        <v>385</v>
      </c>
      <c r="D462" s="112" t="s">
        <v>341</v>
      </c>
      <c r="E462" s="122">
        <v>1.9409722222222221</v>
      </c>
      <c r="F462" s="112" t="s">
        <v>50</v>
      </c>
      <c r="G462" s="114">
        <v>7</v>
      </c>
      <c r="H462" s="115" t="s">
        <v>383</v>
      </c>
    </row>
    <row r="463" spans="1:8" ht="19.899999999999999" customHeight="1">
      <c r="A463" s="121">
        <v>46029</v>
      </c>
      <c r="B463" s="112" t="s">
        <v>38</v>
      </c>
      <c r="C463" s="113" t="s">
        <v>342</v>
      </c>
      <c r="D463" s="112" t="s">
        <v>341</v>
      </c>
      <c r="E463" s="122">
        <v>1.489583333333333</v>
      </c>
      <c r="F463" s="112" t="s">
        <v>43</v>
      </c>
      <c r="G463" s="114">
        <v>11</v>
      </c>
      <c r="H463" s="115" t="s">
        <v>89</v>
      </c>
    </row>
    <row r="464" spans="1:8" ht="19.899999999999999" customHeight="1">
      <c r="A464" s="121">
        <v>46029</v>
      </c>
      <c r="B464" s="112" t="s">
        <v>26</v>
      </c>
      <c r="C464" s="113" t="s">
        <v>348</v>
      </c>
      <c r="D464" s="112" t="s">
        <v>341</v>
      </c>
      <c r="E464" s="122">
        <v>1.993055555555556</v>
      </c>
      <c r="F464" s="112" t="s">
        <v>31</v>
      </c>
      <c r="G464" s="114">
        <v>5</v>
      </c>
      <c r="H464" s="115" t="s">
        <v>349</v>
      </c>
    </row>
    <row r="465" spans="1:8" ht="19.899999999999999" customHeight="1">
      <c r="A465" s="121">
        <v>46029</v>
      </c>
      <c r="B465" s="112" t="s">
        <v>26</v>
      </c>
      <c r="C465" s="113" t="s">
        <v>351</v>
      </c>
      <c r="D465" s="112" t="s">
        <v>341</v>
      </c>
      <c r="E465" s="122">
        <v>1.836805555555556</v>
      </c>
      <c r="F465" s="112" t="s">
        <v>31</v>
      </c>
      <c r="G465" s="114">
        <v>5</v>
      </c>
      <c r="H465" s="115" t="s">
        <v>349</v>
      </c>
    </row>
    <row r="466" spans="1:8" ht="19.899999999999999" customHeight="1">
      <c r="A466" s="121">
        <v>46029</v>
      </c>
      <c r="B466" s="112" t="s">
        <v>26</v>
      </c>
      <c r="C466" s="113" t="s">
        <v>352</v>
      </c>
      <c r="D466" s="112" t="s">
        <v>341</v>
      </c>
      <c r="E466" s="122">
        <v>1.944444444444444</v>
      </c>
      <c r="F466" s="112" t="s">
        <v>31</v>
      </c>
      <c r="G466" s="114">
        <v>2</v>
      </c>
      <c r="H466" s="115" t="s">
        <v>349</v>
      </c>
    </row>
    <row r="467" spans="1:8" ht="19.899999999999999" customHeight="1">
      <c r="A467" s="121">
        <v>46029</v>
      </c>
      <c r="B467" s="112" t="s">
        <v>26</v>
      </c>
      <c r="C467" s="113" t="s">
        <v>353</v>
      </c>
      <c r="D467" s="112" t="s">
        <v>341</v>
      </c>
      <c r="E467" s="122">
        <v>1.8888888888888891</v>
      </c>
      <c r="F467" s="112" t="s">
        <v>31</v>
      </c>
      <c r="G467" s="114">
        <v>2</v>
      </c>
      <c r="H467" s="115" t="s">
        <v>349</v>
      </c>
    </row>
    <row r="468" spans="1:8" ht="19.899999999999999" customHeight="1">
      <c r="A468" s="121">
        <v>46029</v>
      </c>
      <c r="B468" s="112" t="s">
        <v>38</v>
      </c>
      <c r="C468" s="113" t="s">
        <v>344</v>
      </c>
      <c r="D468" s="112" t="s">
        <v>341</v>
      </c>
      <c r="E468" s="122">
        <v>1.8888888888888891</v>
      </c>
      <c r="F468" s="112" t="s">
        <v>43</v>
      </c>
      <c r="G468" s="114">
        <v>20</v>
      </c>
      <c r="H468" s="115" t="s">
        <v>33</v>
      </c>
    </row>
    <row r="469" spans="1:8" ht="19.899999999999999" customHeight="1">
      <c r="A469" s="121">
        <v>46029</v>
      </c>
      <c r="B469" s="112" t="s">
        <v>38</v>
      </c>
      <c r="C469" s="113" t="s">
        <v>345</v>
      </c>
      <c r="D469" s="112" t="s">
        <v>341</v>
      </c>
      <c r="E469" s="122">
        <v>1.989583333333333</v>
      </c>
      <c r="F469" s="112" t="s">
        <v>43</v>
      </c>
      <c r="G469" s="114">
        <v>19</v>
      </c>
      <c r="H469" s="115" t="s">
        <v>33</v>
      </c>
    </row>
    <row r="470" spans="1:8" ht="19.899999999999999" customHeight="1">
      <c r="A470" s="121">
        <v>46029</v>
      </c>
      <c r="B470" s="112" t="s">
        <v>402</v>
      </c>
      <c r="C470" s="113" t="s">
        <v>403</v>
      </c>
      <c r="D470" s="112" t="s">
        <v>341</v>
      </c>
      <c r="E470" s="122">
        <v>1.493055555555556</v>
      </c>
      <c r="F470" s="112" t="s">
        <v>63</v>
      </c>
      <c r="G470" s="114">
        <v>5</v>
      </c>
      <c r="H470" s="115" t="s">
        <v>404</v>
      </c>
    </row>
    <row r="471" spans="1:8" ht="19.899999999999999" customHeight="1">
      <c r="A471" s="121">
        <v>46029</v>
      </c>
      <c r="B471" s="112" t="s">
        <v>402</v>
      </c>
      <c r="C471" s="113" t="s">
        <v>465</v>
      </c>
      <c r="D471" s="112" t="s">
        <v>341</v>
      </c>
      <c r="E471" s="122">
        <v>1.194444444444444</v>
      </c>
      <c r="F471" s="112" t="s">
        <v>63</v>
      </c>
      <c r="G471" s="114">
        <v>5</v>
      </c>
      <c r="H471" s="115" t="s">
        <v>404</v>
      </c>
    </row>
    <row r="472" spans="1:8" ht="19.899999999999999" customHeight="1">
      <c r="A472" s="121">
        <v>46029</v>
      </c>
      <c r="B472" s="112" t="s">
        <v>48</v>
      </c>
      <c r="C472" s="113" t="s">
        <v>388</v>
      </c>
      <c r="D472" s="112" t="s">
        <v>341</v>
      </c>
      <c r="E472" s="122">
        <v>1.7222222222222221</v>
      </c>
      <c r="F472" s="112" t="s">
        <v>50</v>
      </c>
      <c r="G472" s="114">
        <v>9</v>
      </c>
      <c r="H472" s="115" t="s">
        <v>79</v>
      </c>
    </row>
    <row r="473" spans="1:8" ht="19.899999999999999" customHeight="1">
      <c r="A473" s="121">
        <v>46029</v>
      </c>
      <c r="B473" s="112" t="s">
        <v>38</v>
      </c>
      <c r="C473" s="113" t="s">
        <v>346</v>
      </c>
      <c r="D473" s="112" t="s">
        <v>341</v>
      </c>
      <c r="E473" s="122">
        <v>1.399305555555556</v>
      </c>
      <c r="F473" s="112" t="s">
        <v>43</v>
      </c>
      <c r="G473" s="114">
        <v>20</v>
      </c>
      <c r="H473" s="115" t="s">
        <v>420</v>
      </c>
    </row>
    <row r="474" spans="1:8" ht="19.899999999999999" customHeight="1">
      <c r="A474" s="121">
        <v>46029</v>
      </c>
      <c r="B474" s="112" t="s">
        <v>26</v>
      </c>
      <c r="C474" s="113" t="s">
        <v>357</v>
      </c>
      <c r="D474" s="112" t="s">
        <v>341</v>
      </c>
      <c r="E474" s="122">
        <v>1.3923611111111109</v>
      </c>
      <c r="F474" s="112" t="s">
        <v>28</v>
      </c>
      <c r="G474" s="114">
        <v>9</v>
      </c>
      <c r="H474" s="115" t="s">
        <v>45</v>
      </c>
    </row>
    <row r="475" spans="1:8" ht="19.899999999999999" customHeight="1">
      <c r="A475" s="121">
        <v>46029</v>
      </c>
      <c r="B475" s="112" t="s">
        <v>26</v>
      </c>
      <c r="C475" s="113" t="s">
        <v>354</v>
      </c>
      <c r="D475" s="112" t="s">
        <v>341</v>
      </c>
      <c r="E475" s="122">
        <v>1.3472222222222221</v>
      </c>
      <c r="F475" s="112" t="s">
        <v>31</v>
      </c>
      <c r="G475" s="114">
        <v>3</v>
      </c>
      <c r="H475" s="115" t="s">
        <v>159</v>
      </c>
    </row>
    <row r="476" spans="1:8" ht="19.899999999999999" customHeight="1">
      <c r="A476" s="121">
        <v>46029</v>
      </c>
      <c r="B476" s="112" t="s">
        <v>26</v>
      </c>
      <c r="C476" s="113" t="s">
        <v>348</v>
      </c>
      <c r="D476" s="112" t="s">
        <v>341</v>
      </c>
      <c r="E476" s="122">
        <v>1.993055555555556</v>
      </c>
      <c r="F476" s="112" t="s">
        <v>34</v>
      </c>
      <c r="G476" s="114">
        <v>5</v>
      </c>
      <c r="H476" s="115" t="s">
        <v>138</v>
      </c>
    </row>
    <row r="477" spans="1:8" ht="19.899999999999999" customHeight="1">
      <c r="A477" s="121">
        <v>46029</v>
      </c>
      <c r="B477" s="112" t="s">
        <v>26</v>
      </c>
      <c r="C477" s="113" t="s">
        <v>351</v>
      </c>
      <c r="D477" s="112" t="s">
        <v>341</v>
      </c>
      <c r="E477" s="122">
        <v>1.836805555555556</v>
      </c>
      <c r="F477" s="112" t="s">
        <v>34</v>
      </c>
      <c r="G477" s="114">
        <v>5</v>
      </c>
      <c r="H477" s="115" t="s">
        <v>138</v>
      </c>
    </row>
    <row r="478" spans="1:8" ht="19.899999999999999" customHeight="1">
      <c r="A478" s="121">
        <v>46029</v>
      </c>
      <c r="B478" s="112" t="s">
        <v>26</v>
      </c>
      <c r="C478" s="113" t="s">
        <v>352</v>
      </c>
      <c r="D478" s="112" t="s">
        <v>341</v>
      </c>
      <c r="E478" s="122">
        <v>1.944444444444444</v>
      </c>
      <c r="F478" s="112" t="s">
        <v>34</v>
      </c>
      <c r="G478" s="114">
        <v>2</v>
      </c>
      <c r="H478" s="115" t="s">
        <v>138</v>
      </c>
    </row>
    <row r="479" spans="1:8" ht="19.899999999999999" customHeight="1">
      <c r="A479" s="121">
        <v>46029</v>
      </c>
      <c r="B479" s="112" t="s">
        <v>26</v>
      </c>
      <c r="C479" s="113" t="s">
        <v>353</v>
      </c>
      <c r="D479" s="112" t="s">
        <v>341</v>
      </c>
      <c r="E479" s="122">
        <v>1.8888888888888891</v>
      </c>
      <c r="F479" s="112" t="s">
        <v>34</v>
      </c>
      <c r="G479" s="114">
        <v>2</v>
      </c>
      <c r="H479" s="115" t="s">
        <v>138</v>
      </c>
    </row>
    <row r="480" spans="1:8" ht="19.899999999999999" customHeight="1">
      <c r="A480" s="121">
        <v>46029</v>
      </c>
      <c r="B480" s="112" t="s">
        <v>68</v>
      </c>
      <c r="C480" s="113" t="s">
        <v>405</v>
      </c>
      <c r="D480" s="112" t="s">
        <v>341</v>
      </c>
      <c r="E480" s="122">
        <v>1.836805555555556</v>
      </c>
      <c r="F480" s="112" t="s">
        <v>70</v>
      </c>
      <c r="G480" s="114">
        <v>9</v>
      </c>
      <c r="H480" s="115" t="s">
        <v>406</v>
      </c>
    </row>
    <row r="481" spans="1:8" ht="19.899999999999999" customHeight="1">
      <c r="A481" s="121">
        <v>46029</v>
      </c>
      <c r="B481" s="112" t="s">
        <v>68</v>
      </c>
      <c r="C481" s="113" t="s">
        <v>408</v>
      </c>
      <c r="D481" s="112" t="s">
        <v>341</v>
      </c>
      <c r="E481" s="122">
        <v>1.9722222222222221</v>
      </c>
      <c r="F481" s="112" t="s">
        <v>70</v>
      </c>
      <c r="G481" s="114">
        <v>9</v>
      </c>
      <c r="H481" s="115" t="s">
        <v>406</v>
      </c>
    </row>
    <row r="482" spans="1:8" ht="19.899999999999999" customHeight="1">
      <c r="A482" s="121">
        <v>46029</v>
      </c>
      <c r="B482" s="112" t="s">
        <v>68</v>
      </c>
      <c r="C482" s="113" t="s">
        <v>437</v>
      </c>
      <c r="D482" s="112" t="s">
        <v>341</v>
      </c>
      <c r="E482" s="122">
        <v>1.104166666666667</v>
      </c>
      <c r="F482" s="112" t="s">
        <v>70</v>
      </c>
      <c r="G482" s="114">
        <v>9</v>
      </c>
      <c r="H482" s="115" t="s">
        <v>406</v>
      </c>
    </row>
    <row r="483" spans="1:8" ht="19.899999999999999" customHeight="1">
      <c r="A483" s="121">
        <v>46029</v>
      </c>
      <c r="B483" s="112" t="s">
        <v>68</v>
      </c>
      <c r="C483" s="113" t="s">
        <v>411</v>
      </c>
      <c r="D483" s="112" t="s">
        <v>341</v>
      </c>
      <c r="E483" s="122">
        <v>1.7847222222222221</v>
      </c>
      <c r="F483" s="112" t="s">
        <v>70</v>
      </c>
      <c r="G483" s="114">
        <v>9</v>
      </c>
      <c r="H483" s="115" t="s">
        <v>406</v>
      </c>
    </row>
    <row r="484" spans="1:8" ht="19.899999999999999" customHeight="1">
      <c r="A484" s="121">
        <v>46029</v>
      </c>
      <c r="B484" s="112" t="s">
        <v>48</v>
      </c>
      <c r="C484" s="113" t="s">
        <v>389</v>
      </c>
      <c r="D484" s="112" t="s">
        <v>341</v>
      </c>
      <c r="E484" s="122">
        <v>1.7013888888888891</v>
      </c>
      <c r="F484" s="112" t="s">
        <v>50</v>
      </c>
      <c r="G484" s="114">
        <v>9</v>
      </c>
      <c r="H484" s="115" t="s">
        <v>462</v>
      </c>
    </row>
    <row r="485" spans="1:8" ht="19.899999999999999" customHeight="1">
      <c r="A485" s="121">
        <v>46029</v>
      </c>
      <c r="B485" s="112" t="s">
        <v>48</v>
      </c>
      <c r="C485" s="113" t="s">
        <v>386</v>
      </c>
      <c r="D485" s="112" t="s">
        <v>341</v>
      </c>
      <c r="E485" s="122">
        <v>1.8298611111111109</v>
      </c>
      <c r="F485" s="112" t="s">
        <v>53</v>
      </c>
      <c r="G485" s="114">
        <v>1</v>
      </c>
      <c r="H485" s="115" t="s">
        <v>384</v>
      </c>
    </row>
    <row r="486" spans="1:8" ht="19.899999999999999" customHeight="1">
      <c r="A486" s="121">
        <v>46029</v>
      </c>
      <c r="B486" s="112" t="s">
        <v>48</v>
      </c>
      <c r="C486" s="113" t="s">
        <v>385</v>
      </c>
      <c r="D486" s="112" t="s">
        <v>341</v>
      </c>
      <c r="E486" s="122">
        <v>1.9409722222222221</v>
      </c>
      <c r="F486" s="112" t="s">
        <v>53</v>
      </c>
      <c r="G486" s="114">
        <v>7</v>
      </c>
      <c r="H486" s="115" t="s">
        <v>384</v>
      </c>
    </row>
    <row r="487" spans="1:8" ht="19.899999999999999" customHeight="1">
      <c r="A487" s="121">
        <v>46029</v>
      </c>
      <c r="B487" s="112" t="s">
        <v>359</v>
      </c>
      <c r="C487" s="113" t="s">
        <v>360</v>
      </c>
      <c r="D487" s="112" t="s">
        <v>341</v>
      </c>
      <c r="E487" s="122">
        <v>1.225694444444444</v>
      </c>
      <c r="F487" s="112" t="s">
        <v>46</v>
      </c>
      <c r="G487" s="114">
        <v>9</v>
      </c>
      <c r="H487" s="115" t="s">
        <v>363</v>
      </c>
    </row>
    <row r="488" spans="1:8" ht="19.899999999999999" customHeight="1">
      <c r="A488" s="121">
        <v>46029</v>
      </c>
      <c r="B488" s="112" t="s">
        <v>48</v>
      </c>
      <c r="C488" s="113" t="s">
        <v>388</v>
      </c>
      <c r="D488" s="112" t="s">
        <v>341</v>
      </c>
      <c r="E488" s="122">
        <v>1.7222222222222221</v>
      </c>
      <c r="F488" s="112" t="s">
        <v>53</v>
      </c>
      <c r="G488" s="114">
        <v>9</v>
      </c>
      <c r="H488" s="115" t="s">
        <v>387</v>
      </c>
    </row>
    <row r="489" spans="1:8" ht="19.899999999999999" customHeight="1">
      <c r="A489" s="121">
        <v>46029</v>
      </c>
      <c r="B489" s="112" t="s">
        <v>68</v>
      </c>
      <c r="C489" s="113" t="s">
        <v>410</v>
      </c>
      <c r="D489" s="112" t="s">
        <v>341</v>
      </c>
      <c r="E489" s="122">
        <v>1.5972222222222221</v>
      </c>
      <c r="F489" s="112" t="s">
        <v>70</v>
      </c>
      <c r="G489" s="114">
        <v>9</v>
      </c>
      <c r="H489" s="115" t="s">
        <v>412</v>
      </c>
    </row>
    <row r="490" spans="1:8" ht="19.899999999999999" customHeight="1">
      <c r="A490" s="121">
        <v>46029</v>
      </c>
      <c r="B490" s="112" t="s">
        <v>26</v>
      </c>
      <c r="C490" s="113" t="s">
        <v>354</v>
      </c>
      <c r="D490" s="112" t="s">
        <v>341</v>
      </c>
      <c r="E490" s="122">
        <v>1.3472222222222221</v>
      </c>
      <c r="F490" s="112" t="s">
        <v>34</v>
      </c>
      <c r="G490" s="114">
        <v>3</v>
      </c>
      <c r="H490" s="115" t="s">
        <v>355</v>
      </c>
    </row>
    <row r="491" spans="1:8" ht="19.899999999999999" customHeight="1">
      <c r="A491" s="121">
        <v>46029</v>
      </c>
      <c r="B491" s="112" t="s">
        <v>26</v>
      </c>
      <c r="C491" s="113" t="s">
        <v>357</v>
      </c>
      <c r="D491" s="112" t="s">
        <v>341</v>
      </c>
      <c r="E491" s="122">
        <v>1.3923611111111109</v>
      </c>
      <c r="F491" s="112" t="s">
        <v>31</v>
      </c>
      <c r="G491" s="114">
        <v>9</v>
      </c>
      <c r="H491" s="115" t="s">
        <v>355</v>
      </c>
    </row>
    <row r="492" spans="1:8" ht="19.899999999999999" customHeight="1">
      <c r="A492" s="121">
        <v>46029</v>
      </c>
      <c r="B492" s="112" t="s">
        <v>48</v>
      </c>
      <c r="C492" s="113" t="s">
        <v>389</v>
      </c>
      <c r="D492" s="112" t="s">
        <v>341</v>
      </c>
      <c r="E492" s="122">
        <v>1.7013888888888891</v>
      </c>
      <c r="F492" s="112" t="s">
        <v>53</v>
      </c>
      <c r="G492" s="114">
        <v>9</v>
      </c>
      <c r="H492" s="115" t="s">
        <v>463</v>
      </c>
    </row>
    <row r="493" spans="1:8" ht="19.899999999999999" customHeight="1">
      <c r="A493" s="121">
        <v>46029</v>
      </c>
      <c r="B493" s="112" t="s">
        <v>26</v>
      </c>
      <c r="C493" s="113" t="s">
        <v>357</v>
      </c>
      <c r="D493" s="112" t="s">
        <v>341</v>
      </c>
      <c r="E493" s="122">
        <v>1.3923611111111109</v>
      </c>
      <c r="F493" s="112" t="s">
        <v>34</v>
      </c>
      <c r="G493" s="114">
        <v>9</v>
      </c>
      <c r="H493" s="115" t="s">
        <v>358</v>
      </c>
    </row>
    <row r="494" spans="1:8" ht="19.899999999999999" customHeight="1">
      <c r="A494" s="121">
        <v>46029</v>
      </c>
      <c r="B494" s="112" t="s">
        <v>48</v>
      </c>
      <c r="C494" s="113" t="s">
        <v>390</v>
      </c>
      <c r="D494" s="112" t="s">
        <v>341</v>
      </c>
      <c r="E494" s="122">
        <v>1.041666666666667</v>
      </c>
      <c r="F494" s="112" t="s">
        <v>50</v>
      </c>
      <c r="G494" s="114">
        <v>9</v>
      </c>
      <c r="H494" s="115" t="s">
        <v>392</v>
      </c>
    </row>
    <row r="495" spans="1:8" ht="19.899999999999999" customHeight="1">
      <c r="A495" s="121">
        <v>46029</v>
      </c>
      <c r="B495" s="112" t="s">
        <v>26</v>
      </c>
      <c r="C495" s="113" t="s">
        <v>350</v>
      </c>
      <c r="D495" s="112" t="s">
        <v>341</v>
      </c>
      <c r="E495" s="122">
        <v>1.7361111111111109</v>
      </c>
      <c r="F495" s="112" t="s">
        <v>28</v>
      </c>
      <c r="G495" s="114">
        <v>9</v>
      </c>
      <c r="H495" s="115" t="s">
        <v>455</v>
      </c>
    </row>
    <row r="496" spans="1:8" ht="19.899999999999999" customHeight="1">
      <c r="A496" s="121">
        <v>46029</v>
      </c>
      <c r="B496" s="112" t="s">
        <v>38</v>
      </c>
      <c r="C496" s="113" t="s">
        <v>346</v>
      </c>
      <c r="D496" s="112" t="s">
        <v>341</v>
      </c>
      <c r="E496" s="122">
        <v>1.399305555555556</v>
      </c>
      <c r="F496" s="112" t="s">
        <v>46</v>
      </c>
      <c r="G496" s="114">
        <v>20</v>
      </c>
      <c r="H496" s="115" t="s">
        <v>47</v>
      </c>
    </row>
    <row r="497" spans="1:8" ht="19.899999999999999" customHeight="1">
      <c r="A497" s="121">
        <v>46029</v>
      </c>
      <c r="B497" s="112" t="s">
        <v>38</v>
      </c>
      <c r="C497" s="113" t="s">
        <v>342</v>
      </c>
      <c r="D497" s="112" t="s">
        <v>341</v>
      </c>
      <c r="E497" s="122">
        <v>1.489583333333333</v>
      </c>
      <c r="F497" s="112" t="s">
        <v>46</v>
      </c>
      <c r="G497" s="114">
        <v>11</v>
      </c>
      <c r="H497" s="115" t="s">
        <v>47</v>
      </c>
    </row>
    <row r="498" spans="1:8" ht="19.899999999999999" customHeight="1">
      <c r="A498" s="121">
        <v>46029</v>
      </c>
      <c r="B498" s="112" t="s">
        <v>38</v>
      </c>
      <c r="C498" s="113" t="s">
        <v>344</v>
      </c>
      <c r="D498" s="112" t="s">
        <v>341</v>
      </c>
      <c r="E498" s="122">
        <v>1.8888888888888891</v>
      </c>
      <c r="F498" s="112" t="s">
        <v>46</v>
      </c>
      <c r="G498" s="114">
        <v>20</v>
      </c>
      <c r="H498" s="115" t="s">
        <v>47</v>
      </c>
    </row>
    <row r="499" spans="1:8" ht="19.899999999999999" customHeight="1">
      <c r="A499" s="121">
        <v>46029</v>
      </c>
      <c r="B499" s="112" t="s">
        <v>38</v>
      </c>
      <c r="C499" s="113" t="s">
        <v>345</v>
      </c>
      <c r="D499" s="112" t="s">
        <v>341</v>
      </c>
      <c r="E499" s="122">
        <v>1.989583333333333</v>
      </c>
      <c r="F499" s="112" t="s">
        <v>46</v>
      </c>
      <c r="G499" s="114">
        <v>19</v>
      </c>
      <c r="H499" s="115" t="s">
        <v>47</v>
      </c>
    </row>
    <row r="500" spans="1:8" ht="19.899999999999999" customHeight="1">
      <c r="A500" s="121">
        <v>46029</v>
      </c>
      <c r="B500" s="112" t="s">
        <v>48</v>
      </c>
      <c r="C500" s="113" t="s">
        <v>394</v>
      </c>
      <c r="D500" s="112" t="s">
        <v>341</v>
      </c>
      <c r="E500" s="122">
        <v>1.989583333333333</v>
      </c>
      <c r="F500" s="112" t="s">
        <v>53</v>
      </c>
      <c r="G500" s="114">
        <v>4</v>
      </c>
      <c r="H500" s="115" t="s">
        <v>395</v>
      </c>
    </row>
    <row r="501" spans="1:8" ht="19.899999999999999" customHeight="1">
      <c r="A501" s="121">
        <v>46029</v>
      </c>
      <c r="B501" s="112" t="s">
        <v>48</v>
      </c>
      <c r="C501" s="113" t="s">
        <v>396</v>
      </c>
      <c r="D501" s="112" t="s">
        <v>341</v>
      </c>
      <c r="E501" s="122">
        <v>1.489583333333333</v>
      </c>
      <c r="F501" s="112" t="s">
        <v>53</v>
      </c>
      <c r="G501" s="114">
        <v>4</v>
      </c>
      <c r="H501" s="115" t="s">
        <v>395</v>
      </c>
    </row>
    <row r="502" spans="1:8" ht="19.899999999999999" customHeight="1">
      <c r="A502" s="121">
        <v>46029</v>
      </c>
      <c r="B502" s="112" t="s">
        <v>48</v>
      </c>
      <c r="C502" s="113" t="s">
        <v>397</v>
      </c>
      <c r="D502" s="112" t="s">
        <v>341</v>
      </c>
      <c r="E502" s="122">
        <v>1.8888888888888891</v>
      </c>
      <c r="F502" s="112" t="s">
        <v>53</v>
      </c>
      <c r="G502" s="114">
        <v>4</v>
      </c>
      <c r="H502" s="115" t="s">
        <v>395</v>
      </c>
    </row>
    <row r="503" spans="1:8" ht="19.899999999999999" customHeight="1">
      <c r="A503" s="121">
        <v>46029</v>
      </c>
      <c r="B503" s="112" t="s">
        <v>26</v>
      </c>
      <c r="C503" s="113" t="s">
        <v>350</v>
      </c>
      <c r="D503" s="112" t="s">
        <v>341</v>
      </c>
      <c r="E503" s="122">
        <v>1.7361111111111109</v>
      </c>
      <c r="F503" s="112" t="s">
        <v>31</v>
      </c>
      <c r="G503" s="114">
        <v>9</v>
      </c>
      <c r="H503" s="115" t="s">
        <v>456</v>
      </c>
    </row>
    <row r="504" spans="1:8" ht="19.899999999999999" customHeight="1">
      <c r="A504" s="121">
        <v>46029</v>
      </c>
      <c r="B504" s="112" t="s">
        <v>26</v>
      </c>
      <c r="C504" s="113" t="s">
        <v>356</v>
      </c>
      <c r="D504" s="112" t="s">
        <v>341</v>
      </c>
      <c r="E504" s="122">
        <v>1.4861111111111109</v>
      </c>
      <c r="F504" s="112" t="s">
        <v>28</v>
      </c>
      <c r="G504" s="114">
        <v>7</v>
      </c>
      <c r="H504" s="115" t="s">
        <v>456</v>
      </c>
    </row>
    <row r="505" spans="1:8" ht="19.899999999999999" customHeight="1">
      <c r="A505" s="121">
        <v>46029</v>
      </c>
      <c r="B505" s="112" t="s">
        <v>48</v>
      </c>
      <c r="C505" s="113" t="s">
        <v>390</v>
      </c>
      <c r="D505" s="112" t="s">
        <v>341</v>
      </c>
      <c r="E505" s="122">
        <v>1.041666666666667</v>
      </c>
      <c r="F505" s="112" t="s">
        <v>53</v>
      </c>
      <c r="G505" s="114">
        <v>9</v>
      </c>
      <c r="H505" s="115" t="s">
        <v>393</v>
      </c>
    </row>
    <row r="506" spans="1:8" ht="19.899999999999999" customHeight="1">
      <c r="A506" s="121">
        <v>46029</v>
      </c>
      <c r="B506" s="112" t="s">
        <v>48</v>
      </c>
      <c r="C506" s="113" t="s">
        <v>398</v>
      </c>
      <c r="D506" s="112" t="s">
        <v>341</v>
      </c>
      <c r="E506" s="122">
        <v>1.399305555555556</v>
      </c>
      <c r="F506" s="112" t="s">
        <v>53</v>
      </c>
      <c r="G506" s="114">
        <v>4</v>
      </c>
      <c r="H506" s="115" t="s">
        <v>438</v>
      </c>
    </row>
    <row r="507" spans="1:8" ht="19.899999999999999" customHeight="1">
      <c r="A507" s="121">
        <v>46029</v>
      </c>
      <c r="B507" s="112" t="s">
        <v>26</v>
      </c>
      <c r="C507" s="113" t="s">
        <v>350</v>
      </c>
      <c r="D507" s="112" t="s">
        <v>341</v>
      </c>
      <c r="E507" s="122">
        <v>1.7361111111111109</v>
      </c>
      <c r="F507" s="112" t="s">
        <v>34</v>
      </c>
      <c r="G507" s="114">
        <v>9</v>
      </c>
      <c r="H507" s="115" t="s">
        <v>457</v>
      </c>
    </row>
    <row r="508" spans="1:8" ht="19.899999999999999" customHeight="1">
      <c r="A508" s="121">
        <v>46029</v>
      </c>
      <c r="B508" s="112" t="s">
        <v>26</v>
      </c>
      <c r="C508" s="113" t="s">
        <v>356</v>
      </c>
      <c r="D508" s="112" t="s">
        <v>341</v>
      </c>
      <c r="E508" s="122">
        <v>1.4861111111111109</v>
      </c>
      <c r="F508" s="112" t="s">
        <v>31</v>
      </c>
      <c r="G508" s="114">
        <v>7</v>
      </c>
      <c r="H508" s="115" t="s">
        <v>106</v>
      </c>
    </row>
    <row r="509" spans="1:8" ht="19.899999999999999" customHeight="1">
      <c r="A509" s="121">
        <v>46029</v>
      </c>
      <c r="B509" s="112" t="s">
        <v>26</v>
      </c>
      <c r="C509" s="113" t="s">
        <v>356</v>
      </c>
      <c r="D509" s="112" t="s">
        <v>341</v>
      </c>
      <c r="E509" s="122">
        <v>1.4861111111111109</v>
      </c>
      <c r="F509" s="112" t="s">
        <v>34</v>
      </c>
      <c r="G509" s="114">
        <v>7</v>
      </c>
      <c r="H509" s="115" t="s">
        <v>478</v>
      </c>
    </row>
    <row r="510" spans="1:8" ht="19.899999999999999" customHeight="1">
      <c r="A510" s="121">
        <v>46029</v>
      </c>
      <c r="B510" s="112" t="s">
        <v>48</v>
      </c>
      <c r="C510" s="113" t="s">
        <v>391</v>
      </c>
      <c r="D510" s="112" t="s">
        <v>341</v>
      </c>
      <c r="E510" s="122">
        <v>1.489583333333333</v>
      </c>
      <c r="F510" s="112" t="s">
        <v>53</v>
      </c>
      <c r="G510" s="114">
        <v>9</v>
      </c>
      <c r="H510" s="115" t="s">
        <v>401</v>
      </c>
    </row>
    <row r="511" spans="1:8" ht="19.899999999999999" customHeight="1">
      <c r="A511" s="121">
        <v>46029</v>
      </c>
      <c r="B511" s="112" t="s">
        <v>48</v>
      </c>
      <c r="C511" s="113" t="s">
        <v>382</v>
      </c>
      <c r="D511" s="112" t="s">
        <v>341</v>
      </c>
      <c r="E511" s="122">
        <v>1.118055555555556</v>
      </c>
      <c r="F511" s="112" t="s">
        <v>53</v>
      </c>
      <c r="G511" s="114">
        <v>9</v>
      </c>
      <c r="H511" s="115" t="s">
        <v>401</v>
      </c>
    </row>
    <row r="512" spans="1:8" ht="19.899999999999999" customHeight="1">
      <c r="A512" s="121">
        <v>46029</v>
      </c>
      <c r="B512" s="112" t="s">
        <v>48</v>
      </c>
      <c r="C512" s="113" t="s">
        <v>400</v>
      </c>
      <c r="D512" s="112" t="s">
        <v>341</v>
      </c>
      <c r="E512" s="122">
        <v>1.2534722222222221</v>
      </c>
      <c r="F512" s="112" t="s">
        <v>53</v>
      </c>
      <c r="G512" s="114">
        <v>9</v>
      </c>
      <c r="H512" s="115" t="s">
        <v>401</v>
      </c>
    </row>
    <row r="513" spans="1:8" ht="19.899999999999999" customHeight="1">
      <c r="A513" s="121">
        <v>46029</v>
      </c>
      <c r="B513" s="112" t="s">
        <v>415</v>
      </c>
      <c r="C513" s="113" t="s">
        <v>418</v>
      </c>
      <c r="D513" s="112" t="s">
        <v>341</v>
      </c>
      <c r="E513" s="122">
        <v>1.6875</v>
      </c>
      <c r="F513" s="112" t="s">
        <v>63</v>
      </c>
      <c r="G513" s="114">
        <v>9</v>
      </c>
      <c r="H513" s="115" t="s">
        <v>417</v>
      </c>
    </row>
    <row r="514" spans="1:8" ht="19.899999999999999" customHeight="1">
      <c r="A514" s="123">
        <v>46029</v>
      </c>
      <c r="B514" s="124" t="s">
        <v>415</v>
      </c>
      <c r="C514" s="125" t="s">
        <v>480</v>
      </c>
      <c r="D514" s="124" t="s">
        <v>341</v>
      </c>
      <c r="E514" s="126">
        <v>1.805555555555556</v>
      </c>
      <c r="F514" s="124" t="s">
        <v>63</v>
      </c>
      <c r="G514" s="127">
        <v>9</v>
      </c>
      <c r="H514" s="128" t="s">
        <v>417</v>
      </c>
    </row>
    <row r="515" spans="1:8" ht="19.899999999999999" customHeight="1">
      <c r="A515" s="121">
        <v>46030</v>
      </c>
      <c r="B515" s="112" t="s">
        <v>38</v>
      </c>
      <c r="C515" s="113" t="s">
        <v>344</v>
      </c>
      <c r="D515" s="112" t="s">
        <v>341</v>
      </c>
      <c r="E515" s="122">
        <v>1.8888888888888891</v>
      </c>
      <c r="F515" s="112" t="s">
        <v>40</v>
      </c>
      <c r="G515" s="114">
        <v>16</v>
      </c>
      <c r="H515" s="115" t="s">
        <v>343</v>
      </c>
    </row>
    <row r="516" spans="1:8" ht="19.899999999999999" customHeight="1">
      <c r="A516" s="121">
        <v>46030</v>
      </c>
      <c r="B516" s="112" t="s">
        <v>38</v>
      </c>
      <c r="C516" s="113" t="s">
        <v>345</v>
      </c>
      <c r="D516" s="112" t="s">
        <v>341</v>
      </c>
      <c r="E516" s="122">
        <v>1.989583333333333</v>
      </c>
      <c r="F516" s="112" t="s">
        <v>40</v>
      </c>
      <c r="G516" s="114">
        <v>15</v>
      </c>
      <c r="H516" s="115" t="s">
        <v>343</v>
      </c>
    </row>
    <row r="517" spans="1:8" ht="19.899999999999999" customHeight="1">
      <c r="A517" s="121">
        <v>46030</v>
      </c>
      <c r="B517" s="112" t="s">
        <v>38</v>
      </c>
      <c r="C517" s="113" t="s">
        <v>342</v>
      </c>
      <c r="D517" s="112" t="s">
        <v>341</v>
      </c>
      <c r="E517" s="122">
        <v>1.489583333333333</v>
      </c>
      <c r="F517" s="112" t="s">
        <v>40</v>
      </c>
      <c r="G517" s="114">
        <v>15</v>
      </c>
      <c r="H517" s="115" t="s">
        <v>81</v>
      </c>
    </row>
    <row r="518" spans="1:8" ht="19.899999999999999" customHeight="1">
      <c r="A518" s="121">
        <v>46030</v>
      </c>
      <c r="B518" s="112" t="s">
        <v>26</v>
      </c>
      <c r="C518" s="113" t="s">
        <v>348</v>
      </c>
      <c r="D518" s="112" t="s">
        <v>341</v>
      </c>
      <c r="E518" s="122">
        <v>1.993055555555556</v>
      </c>
      <c r="F518" s="112" t="s">
        <v>28</v>
      </c>
      <c r="G518" s="114">
        <v>4</v>
      </c>
      <c r="H518" s="115" t="s">
        <v>131</v>
      </c>
    </row>
    <row r="519" spans="1:8" ht="19.899999999999999" customHeight="1">
      <c r="A519" s="121">
        <v>46030</v>
      </c>
      <c r="B519" s="112" t="s">
        <v>26</v>
      </c>
      <c r="C519" s="113" t="s">
        <v>351</v>
      </c>
      <c r="D519" s="112" t="s">
        <v>341</v>
      </c>
      <c r="E519" s="122">
        <v>1.836805555555556</v>
      </c>
      <c r="F519" s="112" t="s">
        <v>28</v>
      </c>
      <c r="G519" s="114">
        <v>2</v>
      </c>
      <c r="H519" s="115" t="s">
        <v>131</v>
      </c>
    </row>
    <row r="520" spans="1:8" ht="19.899999999999999" customHeight="1">
      <c r="A520" s="121">
        <v>46030</v>
      </c>
      <c r="B520" s="112" t="s">
        <v>26</v>
      </c>
      <c r="C520" s="113" t="s">
        <v>353</v>
      </c>
      <c r="D520" s="112" t="s">
        <v>341</v>
      </c>
      <c r="E520" s="122">
        <v>1.8888888888888891</v>
      </c>
      <c r="F520" s="112" t="s">
        <v>28</v>
      </c>
      <c r="G520" s="114">
        <v>5</v>
      </c>
      <c r="H520" s="115" t="s">
        <v>131</v>
      </c>
    </row>
    <row r="521" spans="1:8" ht="19.899999999999999" customHeight="1">
      <c r="A521" s="121">
        <v>46030</v>
      </c>
      <c r="B521" s="112" t="s">
        <v>38</v>
      </c>
      <c r="C521" s="113" t="s">
        <v>346</v>
      </c>
      <c r="D521" s="112" t="s">
        <v>341</v>
      </c>
      <c r="E521" s="122">
        <v>1.399305555555556</v>
      </c>
      <c r="F521" s="112" t="s">
        <v>40</v>
      </c>
      <c r="G521" s="114">
        <v>20</v>
      </c>
      <c r="H521" s="115" t="s">
        <v>30</v>
      </c>
    </row>
    <row r="522" spans="1:8" ht="19.899999999999999" customHeight="1">
      <c r="A522" s="121">
        <v>46030</v>
      </c>
      <c r="B522" s="112" t="s">
        <v>359</v>
      </c>
      <c r="C522" s="113" t="s">
        <v>360</v>
      </c>
      <c r="D522" s="112" t="s">
        <v>341</v>
      </c>
      <c r="E522" s="122">
        <v>1.1701388888888891</v>
      </c>
      <c r="F522" s="112" t="s">
        <v>361</v>
      </c>
      <c r="G522" s="114">
        <v>9</v>
      </c>
      <c r="H522" s="115" t="s">
        <v>362</v>
      </c>
    </row>
    <row r="523" spans="1:8" ht="19.899999999999999" customHeight="1">
      <c r="A523" s="121">
        <v>46030</v>
      </c>
      <c r="B523" s="112" t="s">
        <v>26</v>
      </c>
      <c r="C523" s="113" t="s">
        <v>352</v>
      </c>
      <c r="D523" s="112" t="s">
        <v>341</v>
      </c>
      <c r="E523" s="122">
        <v>1.944444444444444</v>
      </c>
      <c r="F523" s="112" t="s">
        <v>28</v>
      </c>
      <c r="G523" s="114">
        <v>5</v>
      </c>
      <c r="H523" s="115" t="s">
        <v>347</v>
      </c>
    </row>
    <row r="524" spans="1:8" ht="19.899999999999999" customHeight="1">
      <c r="A524" s="129">
        <v>46030</v>
      </c>
      <c r="B524" s="117" t="s">
        <v>61</v>
      </c>
      <c r="C524" s="118" t="s">
        <v>364</v>
      </c>
      <c r="D524" s="117" t="s">
        <v>341</v>
      </c>
      <c r="E524" s="130">
        <v>1.9375</v>
      </c>
      <c r="F524" s="117" t="s">
        <v>63</v>
      </c>
      <c r="G524" s="119">
        <v>6</v>
      </c>
      <c r="H524" s="120" t="s">
        <v>365</v>
      </c>
    </row>
    <row r="525" spans="1:8" ht="19.899999999999999" customHeight="1">
      <c r="A525" s="129">
        <v>46030</v>
      </c>
      <c r="B525" s="117" t="s">
        <v>61</v>
      </c>
      <c r="C525" s="118" t="s">
        <v>371</v>
      </c>
      <c r="D525" s="117" t="s">
        <v>341</v>
      </c>
      <c r="E525" s="130">
        <v>1.0659722222222221</v>
      </c>
      <c r="F525" s="117" t="s">
        <v>63</v>
      </c>
      <c r="G525" s="119">
        <v>6</v>
      </c>
      <c r="H525" s="120" t="s">
        <v>365</v>
      </c>
    </row>
    <row r="526" spans="1:8" ht="19.899999999999999" customHeight="1">
      <c r="A526" s="129">
        <v>46030</v>
      </c>
      <c r="B526" s="117" t="s">
        <v>61</v>
      </c>
      <c r="C526" s="118" t="s">
        <v>375</v>
      </c>
      <c r="D526" s="117" t="s">
        <v>341</v>
      </c>
      <c r="E526" s="130">
        <v>1.15625</v>
      </c>
      <c r="F526" s="117" t="s">
        <v>63</v>
      </c>
      <c r="G526" s="119">
        <v>6</v>
      </c>
      <c r="H526" s="120" t="s">
        <v>365</v>
      </c>
    </row>
    <row r="527" spans="1:8" ht="19.899999999999999" customHeight="1">
      <c r="A527" s="129">
        <v>46030</v>
      </c>
      <c r="B527" s="117" t="s">
        <v>61</v>
      </c>
      <c r="C527" s="118" t="s">
        <v>377</v>
      </c>
      <c r="D527" s="117" t="s">
        <v>341</v>
      </c>
      <c r="E527" s="130">
        <v>1.40625</v>
      </c>
      <c r="F527" s="117" t="s">
        <v>63</v>
      </c>
      <c r="G527" s="119">
        <v>3</v>
      </c>
      <c r="H527" s="120" t="s">
        <v>365</v>
      </c>
    </row>
    <row r="528" spans="1:8" ht="19.899999999999999" customHeight="1">
      <c r="A528" s="129">
        <v>46030</v>
      </c>
      <c r="B528" s="117" t="s">
        <v>61</v>
      </c>
      <c r="C528" s="118" t="s">
        <v>379</v>
      </c>
      <c r="D528" s="117" t="s">
        <v>341</v>
      </c>
      <c r="E528" s="130">
        <v>1.5625</v>
      </c>
      <c r="F528" s="117" t="s">
        <v>63</v>
      </c>
      <c r="G528" s="119">
        <v>1</v>
      </c>
      <c r="H528" s="120" t="s">
        <v>365</v>
      </c>
    </row>
    <row r="529" spans="1:8" ht="19.899999999999999" customHeight="1">
      <c r="A529" s="121">
        <v>46030</v>
      </c>
      <c r="B529" s="112" t="s">
        <v>26</v>
      </c>
      <c r="C529" s="113" t="s">
        <v>354</v>
      </c>
      <c r="D529" s="112" t="s">
        <v>341</v>
      </c>
      <c r="E529" s="122">
        <v>1.3472222222222221</v>
      </c>
      <c r="F529" s="112" t="s">
        <v>28</v>
      </c>
      <c r="G529" s="114">
        <v>2</v>
      </c>
      <c r="H529" s="115" t="s">
        <v>83</v>
      </c>
    </row>
    <row r="530" spans="1:8" ht="19.899999999999999" customHeight="1">
      <c r="A530" s="121">
        <v>46030</v>
      </c>
      <c r="B530" s="112" t="s">
        <v>26</v>
      </c>
      <c r="C530" s="113" t="s">
        <v>356</v>
      </c>
      <c r="D530" s="112" t="s">
        <v>341</v>
      </c>
      <c r="E530" s="122">
        <v>1.4861111111111109</v>
      </c>
      <c r="F530" s="112" t="s">
        <v>28</v>
      </c>
      <c r="G530" s="114">
        <v>3</v>
      </c>
      <c r="H530" s="115" t="s">
        <v>83</v>
      </c>
    </row>
    <row r="531" spans="1:8" ht="19.899999999999999" customHeight="1">
      <c r="A531" s="121">
        <v>46030</v>
      </c>
      <c r="B531" s="112" t="s">
        <v>48</v>
      </c>
      <c r="C531" s="113" t="s">
        <v>386</v>
      </c>
      <c r="D531" s="112" t="s">
        <v>341</v>
      </c>
      <c r="E531" s="122">
        <v>1.8298611111111109</v>
      </c>
      <c r="F531" s="112" t="s">
        <v>50</v>
      </c>
      <c r="G531" s="114">
        <v>9</v>
      </c>
      <c r="H531" s="115" t="s">
        <v>383</v>
      </c>
    </row>
    <row r="532" spans="1:8" ht="19.899999999999999" customHeight="1">
      <c r="A532" s="121">
        <v>46030</v>
      </c>
      <c r="B532" s="112" t="s">
        <v>48</v>
      </c>
      <c r="C532" s="113" t="s">
        <v>385</v>
      </c>
      <c r="D532" s="112" t="s">
        <v>341</v>
      </c>
      <c r="E532" s="122">
        <v>1.9409722222222221</v>
      </c>
      <c r="F532" s="112" t="s">
        <v>50</v>
      </c>
      <c r="G532" s="114">
        <v>9</v>
      </c>
      <c r="H532" s="115" t="s">
        <v>383</v>
      </c>
    </row>
    <row r="533" spans="1:8" ht="19.899999999999999" customHeight="1">
      <c r="A533" s="121">
        <v>46030</v>
      </c>
      <c r="B533" s="112" t="s">
        <v>26</v>
      </c>
      <c r="C533" s="113" t="s">
        <v>348</v>
      </c>
      <c r="D533" s="112" t="s">
        <v>341</v>
      </c>
      <c r="E533" s="122">
        <v>1.993055555555556</v>
      </c>
      <c r="F533" s="112" t="s">
        <v>31</v>
      </c>
      <c r="G533" s="114">
        <v>4</v>
      </c>
      <c r="H533" s="115" t="s">
        <v>349</v>
      </c>
    </row>
    <row r="534" spans="1:8" ht="19.899999999999999" customHeight="1">
      <c r="A534" s="121">
        <v>46030</v>
      </c>
      <c r="B534" s="112" t="s">
        <v>26</v>
      </c>
      <c r="C534" s="113" t="s">
        <v>351</v>
      </c>
      <c r="D534" s="112" t="s">
        <v>341</v>
      </c>
      <c r="E534" s="122">
        <v>1.836805555555556</v>
      </c>
      <c r="F534" s="112" t="s">
        <v>31</v>
      </c>
      <c r="G534" s="114">
        <v>2</v>
      </c>
      <c r="H534" s="115" t="s">
        <v>349</v>
      </c>
    </row>
    <row r="535" spans="1:8" ht="19.899999999999999" customHeight="1">
      <c r="A535" s="121">
        <v>46030</v>
      </c>
      <c r="B535" s="112" t="s">
        <v>26</v>
      </c>
      <c r="C535" s="113" t="s">
        <v>353</v>
      </c>
      <c r="D535" s="112" t="s">
        <v>341</v>
      </c>
      <c r="E535" s="122">
        <v>1.8888888888888891</v>
      </c>
      <c r="F535" s="112" t="s">
        <v>31</v>
      </c>
      <c r="G535" s="114">
        <v>5</v>
      </c>
      <c r="H535" s="115" t="s">
        <v>349</v>
      </c>
    </row>
    <row r="536" spans="1:8" ht="19.899999999999999" customHeight="1">
      <c r="A536" s="121">
        <v>46030</v>
      </c>
      <c r="B536" s="112" t="s">
        <v>38</v>
      </c>
      <c r="C536" s="113" t="s">
        <v>344</v>
      </c>
      <c r="D536" s="112" t="s">
        <v>341</v>
      </c>
      <c r="E536" s="122">
        <v>1.8888888888888891</v>
      </c>
      <c r="F536" s="112" t="s">
        <v>43</v>
      </c>
      <c r="G536" s="114">
        <v>16</v>
      </c>
      <c r="H536" s="115" t="s">
        <v>33</v>
      </c>
    </row>
    <row r="537" spans="1:8" ht="19.899999999999999" customHeight="1">
      <c r="A537" s="121">
        <v>46030</v>
      </c>
      <c r="B537" s="112" t="s">
        <v>38</v>
      </c>
      <c r="C537" s="113" t="s">
        <v>345</v>
      </c>
      <c r="D537" s="112" t="s">
        <v>341</v>
      </c>
      <c r="E537" s="122">
        <v>1.989583333333333</v>
      </c>
      <c r="F537" s="112" t="s">
        <v>43</v>
      </c>
      <c r="G537" s="114">
        <v>15</v>
      </c>
      <c r="H537" s="115" t="s">
        <v>33</v>
      </c>
    </row>
    <row r="538" spans="1:8" ht="19.899999999999999" customHeight="1">
      <c r="A538" s="121">
        <v>46030</v>
      </c>
      <c r="B538" s="112" t="s">
        <v>402</v>
      </c>
      <c r="C538" s="113" t="s">
        <v>403</v>
      </c>
      <c r="D538" s="112" t="s">
        <v>341</v>
      </c>
      <c r="E538" s="122">
        <v>1.493055555555556</v>
      </c>
      <c r="F538" s="112" t="s">
        <v>63</v>
      </c>
      <c r="G538" s="114">
        <v>5</v>
      </c>
      <c r="H538" s="115" t="s">
        <v>404</v>
      </c>
    </row>
    <row r="539" spans="1:8" ht="19.899999999999999" customHeight="1">
      <c r="A539" s="129">
        <v>46030</v>
      </c>
      <c r="B539" s="117" t="s">
        <v>61</v>
      </c>
      <c r="C539" s="118" t="s">
        <v>369</v>
      </c>
      <c r="D539" s="117" t="s">
        <v>341</v>
      </c>
      <c r="E539" s="130">
        <v>1.1875</v>
      </c>
      <c r="F539" s="117" t="s">
        <v>63</v>
      </c>
      <c r="G539" s="119">
        <v>9</v>
      </c>
      <c r="H539" s="120" t="s">
        <v>79</v>
      </c>
    </row>
    <row r="540" spans="1:8" ht="19.899999999999999" customHeight="1">
      <c r="A540" s="121">
        <v>46030</v>
      </c>
      <c r="B540" s="112" t="s">
        <v>38</v>
      </c>
      <c r="C540" s="113" t="s">
        <v>342</v>
      </c>
      <c r="D540" s="112" t="s">
        <v>341</v>
      </c>
      <c r="E540" s="122">
        <v>1.489583333333333</v>
      </c>
      <c r="F540" s="112" t="s">
        <v>43</v>
      </c>
      <c r="G540" s="114">
        <v>15</v>
      </c>
      <c r="H540" s="115" t="s">
        <v>161</v>
      </c>
    </row>
    <row r="541" spans="1:8" ht="19.899999999999999" customHeight="1">
      <c r="A541" s="121">
        <v>46030</v>
      </c>
      <c r="B541" s="112" t="s">
        <v>26</v>
      </c>
      <c r="C541" s="113" t="s">
        <v>352</v>
      </c>
      <c r="D541" s="112" t="s">
        <v>341</v>
      </c>
      <c r="E541" s="122">
        <v>1.944444444444444</v>
      </c>
      <c r="F541" s="112" t="s">
        <v>31</v>
      </c>
      <c r="G541" s="114">
        <v>5</v>
      </c>
      <c r="H541" s="115" t="s">
        <v>426</v>
      </c>
    </row>
    <row r="542" spans="1:8" ht="19.899999999999999" customHeight="1">
      <c r="A542" s="121">
        <v>46030</v>
      </c>
      <c r="B542" s="112" t="s">
        <v>38</v>
      </c>
      <c r="C542" s="113" t="s">
        <v>346</v>
      </c>
      <c r="D542" s="112" t="s">
        <v>341</v>
      </c>
      <c r="E542" s="122">
        <v>1.399305555555556</v>
      </c>
      <c r="F542" s="112" t="s">
        <v>43</v>
      </c>
      <c r="G542" s="114">
        <v>20</v>
      </c>
      <c r="H542" s="115" t="s">
        <v>420</v>
      </c>
    </row>
    <row r="543" spans="1:8" ht="19.899999999999999" customHeight="1">
      <c r="A543" s="121">
        <v>46030</v>
      </c>
      <c r="B543" s="112" t="s">
        <v>26</v>
      </c>
      <c r="C543" s="113" t="s">
        <v>357</v>
      </c>
      <c r="D543" s="112" t="s">
        <v>341</v>
      </c>
      <c r="E543" s="122">
        <v>1.3923611111111109</v>
      </c>
      <c r="F543" s="112" t="s">
        <v>28</v>
      </c>
      <c r="G543" s="114">
        <v>9</v>
      </c>
      <c r="H543" s="115" t="s">
        <v>45</v>
      </c>
    </row>
    <row r="544" spans="1:8" ht="19.899999999999999" customHeight="1">
      <c r="A544" s="121">
        <v>46030</v>
      </c>
      <c r="B544" s="112" t="s">
        <v>26</v>
      </c>
      <c r="C544" s="113" t="s">
        <v>354</v>
      </c>
      <c r="D544" s="112" t="s">
        <v>341</v>
      </c>
      <c r="E544" s="122">
        <v>1.3472222222222221</v>
      </c>
      <c r="F544" s="112" t="s">
        <v>31</v>
      </c>
      <c r="G544" s="114">
        <v>2</v>
      </c>
      <c r="H544" s="115" t="s">
        <v>159</v>
      </c>
    </row>
    <row r="545" spans="1:8" ht="19.899999999999999" customHeight="1">
      <c r="A545" s="121">
        <v>46030</v>
      </c>
      <c r="B545" s="112" t="s">
        <v>26</v>
      </c>
      <c r="C545" s="113" t="s">
        <v>356</v>
      </c>
      <c r="D545" s="112" t="s">
        <v>341</v>
      </c>
      <c r="E545" s="122">
        <v>1.4861111111111109</v>
      </c>
      <c r="F545" s="112" t="s">
        <v>31</v>
      </c>
      <c r="G545" s="114">
        <v>3</v>
      </c>
      <c r="H545" s="115" t="s">
        <v>159</v>
      </c>
    </row>
    <row r="546" spans="1:8" ht="19.899999999999999" customHeight="1">
      <c r="A546" s="121">
        <v>46030</v>
      </c>
      <c r="B546" s="112" t="s">
        <v>26</v>
      </c>
      <c r="C546" s="113" t="s">
        <v>348</v>
      </c>
      <c r="D546" s="112" t="s">
        <v>341</v>
      </c>
      <c r="E546" s="122">
        <v>1.993055555555556</v>
      </c>
      <c r="F546" s="112" t="s">
        <v>34</v>
      </c>
      <c r="G546" s="114">
        <v>4</v>
      </c>
      <c r="H546" s="115" t="s">
        <v>138</v>
      </c>
    </row>
    <row r="547" spans="1:8" ht="19.899999999999999" customHeight="1">
      <c r="A547" s="121">
        <v>46030</v>
      </c>
      <c r="B547" s="112" t="s">
        <v>26</v>
      </c>
      <c r="C547" s="113" t="s">
        <v>351</v>
      </c>
      <c r="D547" s="112" t="s">
        <v>341</v>
      </c>
      <c r="E547" s="122">
        <v>1.836805555555556</v>
      </c>
      <c r="F547" s="112" t="s">
        <v>34</v>
      </c>
      <c r="G547" s="114">
        <v>2</v>
      </c>
      <c r="H547" s="115" t="s">
        <v>138</v>
      </c>
    </row>
    <row r="548" spans="1:8" ht="19.899999999999999" customHeight="1">
      <c r="A548" s="121">
        <v>46030</v>
      </c>
      <c r="B548" s="112" t="s">
        <v>26</v>
      </c>
      <c r="C548" s="113" t="s">
        <v>353</v>
      </c>
      <c r="D548" s="112" t="s">
        <v>341</v>
      </c>
      <c r="E548" s="122">
        <v>1.8888888888888891</v>
      </c>
      <c r="F548" s="112" t="s">
        <v>34</v>
      </c>
      <c r="G548" s="114">
        <v>5</v>
      </c>
      <c r="H548" s="115" t="s">
        <v>138</v>
      </c>
    </row>
    <row r="549" spans="1:8" ht="19.899999999999999" customHeight="1">
      <c r="A549" s="121">
        <v>46030</v>
      </c>
      <c r="B549" s="112" t="s">
        <v>68</v>
      </c>
      <c r="C549" s="113" t="s">
        <v>405</v>
      </c>
      <c r="D549" s="112" t="s">
        <v>341</v>
      </c>
      <c r="E549" s="122">
        <v>1.836805555555556</v>
      </c>
      <c r="F549" s="112" t="s">
        <v>70</v>
      </c>
      <c r="G549" s="114">
        <v>9</v>
      </c>
      <c r="H549" s="115" t="s">
        <v>406</v>
      </c>
    </row>
    <row r="550" spans="1:8" ht="19.899999999999999" customHeight="1">
      <c r="A550" s="121">
        <v>46030</v>
      </c>
      <c r="B550" s="112" t="s">
        <v>68</v>
      </c>
      <c r="C550" s="113" t="s">
        <v>408</v>
      </c>
      <c r="D550" s="112" t="s">
        <v>341</v>
      </c>
      <c r="E550" s="122">
        <v>1.9722222222222221</v>
      </c>
      <c r="F550" s="112" t="s">
        <v>70</v>
      </c>
      <c r="G550" s="114">
        <v>9</v>
      </c>
      <c r="H550" s="115" t="s">
        <v>406</v>
      </c>
    </row>
    <row r="551" spans="1:8" ht="19.899999999999999" customHeight="1">
      <c r="A551" s="121">
        <v>46030</v>
      </c>
      <c r="B551" s="112" t="s">
        <v>68</v>
      </c>
      <c r="C551" s="113" t="s">
        <v>411</v>
      </c>
      <c r="D551" s="112" t="s">
        <v>341</v>
      </c>
      <c r="E551" s="122">
        <v>1.7847222222222221</v>
      </c>
      <c r="F551" s="112" t="s">
        <v>70</v>
      </c>
      <c r="G551" s="114">
        <v>9</v>
      </c>
      <c r="H551" s="115" t="s">
        <v>406</v>
      </c>
    </row>
    <row r="552" spans="1:8" ht="19.899999999999999" customHeight="1">
      <c r="A552" s="121">
        <v>46030</v>
      </c>
      <c r="B552" s="112" t="s">
        <v>68</v>
      </c>
      <c r="C552" s="113" t="s">
        <v>413</v>
      </c>
      <c r="D552" s="112" t="s">
        <v>341</v>
      </c>
      <c r="E552" s="122">
        <v>1.0486111111111109</v>
      </c>
      <c r="F552" s="112" t="s">
        <v>70</v>
      </c>
      <c r="G552" s="114">
        <v>9</v>
      </c>
      <c r="H552" s="115" t="s">
        <v>406</v>
      </c>
    </row>
    <row r="553" spans="1:8" ht="19.899999999999999" customHeight="1">
      <c r="A553" s="121">
        <v>46030</v>
      </c>
      <c r="B553" s="112" t="s">
        <v>48</v>
      </c>
      <c r="C553" s="113" t="s">
        <v>388</v>
      </c>
      <c r="D553" s="112" t="s">
        <v>341</v>
      </c>
      <c r="E553" s="122">
        <v>1.7222222222222221</v>
      </c>
      <c r="F553" s="112" t="s">
        <v>50</v>
      </c>
      <c r="G553" s="114">
        <v>9</v>
      </c>
      <c r="H553" s="115" t="s">
        <v>462</v>
      </c>
    </row>
    <row r="554" spans="1:8" ht="19.899999999999999" customHeight="1">
      <c r="A554" s="121">
        <v>46030</v>
      </c>
      <c r="B554" s="112" t="s">
        <v>48</v>
      </c>
      <c r="C554" s="113" t="s">
        <v>382</v>
      </c>
      <c r="D554" s="112" t="s">
        <v>341</v>
      </c>
      <c r="E554" s="122">
        <v>1.118055555555556</v>
      </c>
      <c r="F554" s="112" t="s">
        <v>50</v>
      </c>
      <c r="G554" s="114">
        <v>9</v>
      </c>
      <c r="H554" s="115" t="s">
        <v>462</v>
      </c>
    </row>
    <row r="555" spans="1:8" ht="19.899999999999999" customHeight="1">
      <c r="A555" s="121">
        <v>46030</v>
      </c>
      <c r="B555" s="112" t="s">
        <v>48</v>
      </c>
      <c r="C555" s="113" t="s">
        <v>389</v>
      </c>
      <c r="D555" s="112" t="s">
        <v>341</v>
      </c>
      <c r="E555" s="122">
        <v>1.7048611111111109</v>
      </c>
      <c r="F555" s="112" t="s">
        <v>50</v>
      </c>
      <c r="G555" s="114">
        <v>9</v>
      </c>
      <c r="H555" s="115" t="s">
        <v>462</v>
      </c>
    </row>
    <row r="556" spans="1:8" ht="19.899999999999999" customHeight="1">
      <c r="A556" s="121">
        <v>46030</v>
      </c>
      <c r="B556" s="112" t="s">
        <v>48</v>
      </c>
      <c r="C556" s="113" t="s">
        <v>390</v>
      </c>
      <c r="D556" s="112" t="s">
        <v>341</v>
      </c>
      <c r="E556" s="122">
        <v>1.041666666666667</v>
      </c>
      <c r="F556" s="112" t="s">
        <v>50</v>
      </c>
      <c r="G556" s="114">
        <v>9</v>
      </c>
      <c r="H556" s="115" t="s">
        <v>462</v>
      </c>
    </row>
    <row r="557" spans="1:8" ht="19.899999999999999" customHeight="1">
      <c r="A557" s="121">
        <v>46030</v>
      </c>
      <c r="B557" s="112" t="s">
        <v>48</v>
      </c>
      <c r="C557" s="113" t="s">
        <v>386</v>
      </c>
      <c r="D557" s="112" t="s">
        <v>341</v>
      </c>
      <c r="E557" s="122">
        <v>1.8298611111111109</v>
      </c>
      <c r="F557" s="112" t="s">
        <v>53</v>
      </c>
      <c r="G557" s="114">
        <v>9</v>
      </c>
      <c r="H557" s="115" t="s">
        <v>384</v>
      </c>
    </row>
    <row r="558" spans="1:8" ht="19.899999999999999" customHeight="1">
      <c r="A558" s="121">
        <v>46030</v>
      </c>
      <c r="B558" s="112" t="s">
        <v>48</v>
      </c>
      <c r="C558" s="113" t="s">
        <v>385</v>
      </c>
      <c r="D558" s="112" t="s">
        <v>341</v>
      </c>
      <c r="E558" s="122">
        <v>1.9409722222222221</v>
      </c>
      <c r="F558" s="112" t="s">
        <v>53</v>
      </c>
      <c r="G558" s="114">
        <v>9</v>
      </c>
      <c r="H558" s="115" t="s">
        <v>384</v>
      </c>
    </row>
    <row r="559" spans="1:8" ht="19.899999999999999" customHeight="1">
      <c r="A559" s="121">
        <v>46030</v>
      </c>
      <c r="B559" s="112" t="s">
        <v>359</v>
      </c>
      <c r="C559" s="113" t="s">
        <v>360</v>
      </c>
      <c r="D559" s="112" t="s">
        <v>341</v>
      </c>
      <c r="E559" s="122">
        <v>1.1701388888888891</v>
      </c>
      <c r="F559" s="112" t="s">
        <v>46</v>
      </c>
      <c r="G559" s="114">
        <v>9</v>
      </c>
      <c r="H559" s="115" t="s">
        <v>363</v>
      </c>
    </row>
    <row r="560" spans="1:8" ht="19.899999999999999" customHeight="1">
      <c r="A560" s="121">
        <v>46030</v>
      </c>
      <c r="B560" s="112" t="s">
        <v>26</v>
      </c>
      <c r="C560" s="113" t="s">
        <v>352</v>
      </c>
      <c r="D560" s="112" t="s">
        <v>341</v>
      </c>
      <c r="E560" s="122">
        <v>1.944444444444444</v>
      </c>
      <c r="F560" s="112" t="s">
        <v>34</v>
      </c>
      <c r="G560" s="114">
        <v>5</v>
      </c>
      <c r="H560" s="115" t="s">
        <v>162</v>
      </c>
    </row>
    <row r="561" spans="1:8" ht="19.899999999999999" customHeight="1">
      <c r="A561" s="121">
        <v>46030</v>
      </c>
      <c r="B561" s="112" t="s">
        <v>68</v>
      </c>
      <c r="C561" s="113" t="s">
        <v>407</v>
      </c>
      <c r="D561" s="112" t="s">
        <v>341</v>
      </c>
      <c r="E561" s="122">
        <v>1.3125</v>
      </c>
      <c r="F561" s="112" t="s">
        <v>70</v>
      </c>
      <c r="G561" s="114">
        <v>9</v>
      </c>
      <c r="H561" s="115" t="s">
        <v>412</v>
      </c>
    </row>
    <row r="562" spans="1:8" ht="19.899999999999999" customHeight="1">
      <c r="A562" s="121">
        <v>46030</v>
      </c>
      <c r="B562" s="112" t="s">
        <v>68</v>
      </c>
      <c r="C562" s="113" t="s">
        <v>409</v>
      </c>
      <c r="D562" s="112" t="s">
        <v>341</v>
      </c>
      <c r="E562" s="122">
        <v>1.3402777777777779</v>
      </c>
      <c r="F562" s="112" t="s">
        <v>70</v>
      </c>
      <c r="G562" s="114">
        <v>9</v>
      </c>
      <c r="H562" s="115" t="s">
        <v>412</v>
      </c>
    </row>
    <row r="563" spans="1:8" ht="19.899999999999999" customHeight="1">
      <c r="A563" s="121">
        <v>46030</v>
      </c>
      <c r="B563" s="112" t="s">
        <v>26</v>
      </c>
      <c r="C563" s="113" t="s">
        <v>354</v>
      </c>
      <c r="D563" s="112" t="s">
        <v>341</v>
      </c>
      <c r="E563" s="122">
        <v>1.3472222222222221</v>
      </c>
      <c r="F563" s="112" t="s">
        <v>34</v>
      </c>
      <c r="G563" s="114">
        <v>2</v>
      </c>
      <c r="H563" s="115" t="s">
        <v>355</v>
      </c>
    </row>
    <row r="564" spans="1:8" ht="19.899999999999999" customHeight="1">
      <c r="A564" s="121">
        <v>46030</v>
      </c>
      <c r="B564" s="112" t="s">
        <v>26</v>
      </c>
      <c r="C564" s="113" t="s">
        <v>356</v>
      </c>
      <c r="D564" s="112" t="s">
        <v>341</v>
      </c>
      <c r="E564" s="122">
        <v>1.4861111111111109</v>
      </c>
      <c r="F564" s="112" t="s">
        <v>34</v>
      </c>
      <c r="G564" s="114">
        <v>3</v>
      </c>
      <c r="H564" s="115" t="s">
        <v>355</v>
      </c>
    </row>
    <row r="565" spans="1:8" ht="19.899999999999999" customHeight="1">
      <c r="A565" s="121">
        <v>46030</v>
      </c>
      <c r="B565" s="112" t="s">
        <v>26</v>
      </c>
      <c r="C565" s="113" t="s">
        <v>357</v>
      </c>
      <c r="D565" s="112" t="s">
        <v>341</v>
      </c>
      <c r="E565" s="122">
        <v>1.3923611111111109</v>
      </c>
      <c r="F565" s="112" t="s">
        <v>31</v>
      </c>
      <c r="G565" s="114">
        <v>9</v>
      </c>
      <c r="H565" s="115" t="s">
        <v>355</v>
      </c>
    </row>
    <row r="566" spans="1:8" ht="19.899999999999999" customHeight="1">
      <c r="A566" s="121">
        <v>46030</v>
      </c>
      <c r="B566" s="112" t="s">
        <v>26</v>
      </c>
      <c r="C566" s="113" t="s">
        <v>350</v>
      </c>
      <c r="D566" s="112" t="s">
        <v>341</v>
      </c>
      <c r="E566" s="122">
        <v>1.7361111111111109</v>
      </c>
      <c r="F566" s="112" t="s">
        <v>28</v>
      </c>
      <c r="G566" s="114">
        <v>4</v>
      </c>
      <c r="H566" s="115" t="s">
        <v>467</v>
      </c>
    </row>
    <row r="567" spans="1:8" ht="19.899999999999999" customHeight="1">
      <c r="A567" s="121">
        <v>46030</v>
      </c>
      <c r="B567" s="112" t="s">
        <v>48</v>
      </c>
      <c r="C567" s="113" t="s">
        <v>388</v>
      </c>
      <c r="D567" s="112" t="s">
        <v>341</v>
      </c>
      <c r="E567" s="122">
        <v>1.7222222222222221</v>
      </c>
      <c r="F567" s="112" t="s">
        <v>53</v>
      </c>
      <c r="G567" s="114">
        <v>9</v>
      </c>
      <c r="H567" s="115" t="s">
        <v>463</v>
      </c>
    </row>
    <row r="568" spans="1:8" ht="19.899999999999999" customHeight="1">
      <c r="A568" s="121">
        <v>46030</v>
      </c>
      <c r="B568" s="112" t="s">
        <v>48</v>
      </c>
      <c r="C568" s="113" t="s">
        <v>382</v>
      </c>
      <c r="D568" s="112" t="s">
        <v>341</v>
      </c>
      <c r="E568" s="122">
        <v>1.118055555555556</v>
      </c>
      <c r="F568" s="112" t="s">
        <v>53</v>
      </c>
      <c r="G568" s="114">
        <v>9</v>
      </c>
      <c r="H568" s="115" t="s">
        <v>463</v>
      </c>
    </row>
    <row r="569" spans="1:8" ht="19.899999999999999" customHeight="1">
      <c r="A569" s="121">
        <v>46030</v>
      </c>
      <c r="B569" s="112" t="s">
        <v>48</v>
      </c>
      <c r="C569" s="113" t="s">
        <v>389</v>
      </c>
      <c r="D569" s="112" t="s">
        <v>341</v>
      </c>
      <c r="E569" s="122">
        <v>1.7048611111111109</v>
      </c>
      <c r="F569" s="112" t="s">
        <v>53</v>
      </c>
      <c r="G569" s="114">
        <v>9</v>
      </c>
      <c r="H569" s="115" t="s">
        <v>463</v>
      </c>
    </row>
    <row r="570" spans="1:8" ht="19.899999999999999" customHeight="1">
      <c r="A570" s="121">
        <v>46030</v>
      </c>
      <c r="B570" s="112" t="s">
        <v>48</v>
      </c>
      <c r="C570" s="113" t="s">
        <v>390</v>
      </c>
      <c r="D570" s="112" t="s">
        <v>341</v>
      </c>
      <c r="E570" s="122">
        <v>1.041666666666667</v>
      </c>
      <c r="F570" s="112" t="s">
        <v>53</v>
      </c>
      <c r="G570" s="114">
        <v>9</v>
      </c>
      <c r="H570" s="115" t="s">
        <v>463</v>
      </c>
    </row>
    <row r="571" spans="1:8" ht="19.899999999999999" customHeight="1">
      <c r="A571" s="121">
        <v>46030</v>
      </c>
      <c r="B571" s="112" t="s">
        <v>26</v>
      </c>
      <c r="C571" s="113" t="s">
        <v>357</v>
      </c>
      <c r="D571" s="112" t="s">
        <v>341</v>
      </c>
      <c r="E571" s="122">
        <v>1.3923611111111109</v>
      </c>
      <c r="F571" s="112" t="s">
        <v>34</v>
      </c>
      <c r="G571" s="114">
        <v>9</v>
      </c>
      <c r="H571" s="115" t="s">
        <v>358</v>
      </c>
    </row>
    <row r="572" spans="1:8" ht="19.899999999999999" customHeight="1">
      <c r="A572" s="121">
        <v>46030</v>
      </c>
      <c r="B572" s="112" t="s">
        <v>48</v>
      </c>
      <c r="C572" s="113" t="s">
        <v>391</v>
      </c>
      <c r="D572" s="112" t="s">
        <v>341</v>
      </c>
      <c r="E572" s="122">
        <v>1.489583333333333</v>
      </c>
      <c r="F572" s="112" t="s">
        <v>50</v>
      </c>
      <c r="G572" s="114">
        <v>9</v>
      </c>
      <c r="H572" s="115" t="s">
        <v>392</v>
      </c>
    </row>
    <row r="573" spans="1:8" ht="19.899999999999999" customHeight="1">
      <c r="A573" s="121">
        <v>46030</v>
      </c>
      <c r="B573" s="112" t="s">
        <v>48</v>
      </c>
      <c r="C573" s="113" t="s">
        <v>400</v>
      </c>
      <c r="D573" s="112" t="s">
        <v>341</v>
      </c>
      <c r="E573" s="122">
        <v>1.2534722222222221</v>
      </c>
      <c r="F573" s="112" t="s">
        <v>50</v>
      </c>
      <c r="G573" s="114">
        <v>9</v>
      </c>
      <c r="H573" s="115" t="s">
        <v>392</v>
      </c>
    </row>
    <row r="574" spans="1:8" ht="19.899999999999999" customHeight="1">
      <c r="A574" s="121">
        <v>46030</v>
      </c>
      <c r="B574" s="112" t="s">
        <v>26</v>
      </c>
      <c r="C574" s="113" t="s">
        <v>350</v>
      </c>
      <c r="D574" s="112" t="s">
        <v>341</v>
      </c>
      <c r="E574" s="122">
        <v>1.7361111111111109</v>
      </c>
      <c r="F574" s="112" t="s">
        <v>31</v>
      </c>
      <c r="G574" s="114">
        <v>4</v>
      </c>
      <c r="H574" s="115" t="s">
        <v>104</v>
      </c>
    </row>
    <row r="575" spans="1:8" ht="19.899999999999999" customHeight="1">
      <c r="A575" s="121">
        <v>46030</v>
      </c>
      <c r="B575" s="112" t="s">
        <v>38</v>
      </c>
      <c r="C575" s="113" t="s">
        <v>346</v>
      </c>
      <c r="D575" s="112" t="s">
        <v>341</v>
      </c>
      <c r="E575" s="122">
        <v>1.399305555555556</v>
      </c>
      <c r="F575" s="112" t="s">
        <v>46</v>
      </c>
      <c r="G575" s="114">
        <v>20</v>
      </c>
      <c r="H575" s="115" t="s">
        <v>47</v>
      </c>
    </row>
    <row r="576" spans="1:8" ht="19.899999999999999" customHeight="1">
      <c r="A576" s="121">
        <v>46030</v>
      </c>
      <c r="B576" s="112" t="s">
        <v>38</v>
      </c>
      <c r="C576" s="113" t="s">
        <v>342</v>
      </c>
      <c r="D576" s="112" t="s">
        <v>341</v>
      </c>
      <c r="E576" s="122">
        <v>1.489583333333333</v>
      </c>
      <c r="F576" s="112" t="s">
        <v>46</v>
      </c>
      <c r="G576" s="114">
        <v>15</v>
      </c>
      <c r="H576" s="115" t="s">
        <v>47</v>
      </c>
    </row>
    <row r="577" spans="1:8" ht="19.899999999999999" customHeight="1">
      <c r="A577" s="121">
        <v>46030</v>
      </c>
      <c r="B577" s="112" t="s">
        <v>38</v>
      </c>
      <c r="C577" s="113" t="s">
        <v>344</v>
      </c>
      <c r="D577" s="112" t="s">
        <v>341</v>
      </c>
      <c r="E577" s="122">
        <v>1.8888888888888891</v>
      </c>
      <c r="F577" s="112" t="s">
        <v>46</v>
      </c>
      <c r="G577" s="114">
        <v>16</v>
      </c>
      <c r="H577" s="115" t="s">
        <v>47</v>
      </c>
    </row>
    <row r="578" spans="1:8" ht="19.899999999999999" customHeight="1">
      <c r="A578" s="121">
        <v>46030</v>
      </c>
      <c r="B578" s="112" t="s">
        <v>38</v>
      </c>
      <c r="C578" s="113" t="s">
        <v>345</v>
      </c>
      <c r="D578" s="112" t="s">
        <v>341</v>
      </c>
      <c r="E578" s="122">
        <v>1.989583333333333</v>
      </c>
      <c r="F578" s="112" t="s">
        <v>46</v>
      </c>
      <c r="G578" s="114">
        <v>15</v>
      </c>
      <c r="H578" s="115" t="s">
        <v>47</v>
      </c>
    </row>
    <row r="579" spans="1:8" ht="19.899999999999999" customHeight="1">
      <c r="A579" s="121">
        <v>46030</v>
      </c>
      <c r="B579" s="112" t="s">
        <v>48</v>
      </c>
      <c r="C579" s="113" t="s">
        <v>394</v>
      </c>
      <c r="D579" s="112" t="s">
        <v>341</v>
      </c>
      <c r="E579" s="122">
        <v>1.989583333333333</v>
      </c>
      <c r="F579" s="112" t="s">
        <v>53</v>
      </c>
      <c r="G579" s="114">
        <v>4</v>
      </c>
      <c r="H579" s="115" t="s">
        <v>395</v>
      </c>
    </row>
    <row r="580" spans="1:8" ht="19.899999999999999" customHeight="1">
      <c r="A580" s="121">
        <v>46030</v>
      </c>
      <c r="B580" s="112" t="s">
        <v>48</v>
      </c>
      <c r="C580" s="113" t="s">
        <v>397</v>
      </c>
      <c r="D580" s="112" t="s">
        <v>341</v>
      </c>
      <c r="E580" s="122">
        <v>1.8888888888888891</v>
      </c>
      <c r="F580" s="112" t="s">
        <v>53</v>
      </c>
      <c r="G580" s="114">
        <v>4</v>
      </c>
      <c r="H580" s="115" t="s">
        <v>395</v>
      </c>
    </row>
    <row r="581" spans="1:8" ht="19.899999999999999" customHeight="1">
      <c r="A581" s="121">
        <v>46030</v>
      </c>
      <c r="B581" s="112" t="s">
        <v>26</v>
      </c>
      <c r="C581" s="113" t="s">
        <v>350</v>
      </c>
      <c r="D581" s="112" t="s">
        <v>341</v>
      </c>
      <c r="E581" s="122">
        <v>1.7361111111111109</v>
      </c>
      <c r="F581" s="112" t="s">
        <v>34</v>
      </c>
      <c r="G581" s="114">
        <v>4</v>
      </c>
      <c r="H581" s="115" t="s">
        <v>456</v>
      </c>
    </row>
    <row r="582" spans="1:8" ht="19.899999999999999" customHeight="1">
      <c r="A582" s="121">
        <v>46030</v>
      </c>
      <c r="B582" s="112" t="s">
        <v>48</v>
      </c>
      <c r="C582" s="113" t="s">
        <v>396</v>
      </c>
      <c r="D582" s="112" t="s">
        <v>341</v>
      </c>
      <c r="E582" s="122">
        <v>1.489583333333333</v>
      </c>
      <c r="F582" s="112" t="s">
        <v>53</v>
      </c>
      <c r="G582" s="114">
        <v>4</v>
      </c>
      <c r="H582" s="115" t="s">
        <v>481</v>
      </c>
    </row>
    <row r="583" spans="1:8" ht="19.899999999999999" customHeight="1">
      <c r="A583" s="121">
        <v>46030</v>
      </c>
      <c r="B583" s="112" t="s">
        <v>48</v>
      </c>
      <c r="C583" s="113" t="s">
        <v>391</v>
      </c>
      <c r="D583" s="112" t="s">
        <v>341</v>
      </c>
      <c r="E583" s="122">
        <v>1.489583333333333</v>
      </c>
      <c r="F583" s="112" t="s">
        <v>53</v>
      </c>
      <c r="G583" s="114">
        <v>9</v>
      </c>
      <c r="H583" s="115" t="s">
        <v>393</v>
      </c>
    </row>
    <row r="584" spans="1:8" ht="19.899999999999999" customHeight="1">
      <c r="A584" s="121">
        <v>46030</v>
      </c>
      <c r="B584" s="112" t="s">
        <v>48</v>
      </c>
      <c r="C584" s="113" t="s">
        <v>400</v>
      </c>
      <c r="D584" s="112" t="s">
        <v>341</v>
      </c>
      <c r="E584" s="122">
        <v>1.2534722222222221</v>
      </c>
      <c r="F584" s="112" t="s">
        <v>53</v>
      </c>
      <c r="G584" s="114">
        <v>9</v>
      </c>
      <c r="H584" s="115" t="s">
        <v>393</v>
      </c>
    </row>
    <row r="585" spans="1:8" ht="19.899999999999999" customHeight="1">
      <c r="A585" s="121">
        <v>46030</v>
      </c>
      <c r="B585" s="112" t="s">
        <v>48</v>
      </c>
      <c r="C585" s="113" t="s">
        <v>398</v>
      </c>
      <c r="D585" s="112" t="s">
        <v>341</v>
      </c>
      <c r="E585" s="122">
        <v>1.399305555555556</v>
      </c>
      <c r="F585" s="112" t="s">
        <v>53</v>
      </c>
      <c r="G585" s="114">
        <v>4</v>
      </c>
      <c r="H585" s="115" t="s">
        <v>438</v>
      </c>
    </row>
    <row r="586" spans="1:8" ht="19.899999999999999" customHeight="1">
      <c r="A586" s="121">
        <v>46030</v>
      </c>
      <c r="B586" s="112" t="s">
        <v>68</v>
      </c>
      <c r="C586" s="113" t="s">
        <v>410</v>
      </c>
      <c r="D586" s="112" t="s">
        <v>341</v>
      </c>
      <c r="E586" s="122">
        <v>1.5972222222222221</v>
      </c>
      <c r="F586" s="112" t="s">
        <v>70</v>
      </c>
      <c r="G586" s="114">
        <v>9</v>
      </c>
      <c r="H586" s="115" t="s">
        <v>474</v>
      </c>
    </row>
    <row r="587" spans="1:8" ht="19.899999999999999" customHeight="1">
      <c r="A587" s="121">
        <v>46030</v>
      </c>
      <c r="B587" s="112" t="s">
        <v>415</v>
      </c>
      <c r="C587" s="113" t="s">
        <v>416</v>
      </c>
      <c r="D587" s="112" t="s">
        <v>341</v>
      </c>
      <c r="E587" s="122">
        <v>1.118055555555556</v>
      </c>
      <c r="F587" s="112" t="s">
        <v>63</v>
      </c>
      <c r="G587" s="114">
        <v>9</v>
      </c>
      <c r="H587" s="115" t="s">
        <v>417</v>
      </c>
    </row>
    <row r="588" spans="1:8" ht="19.899999999999999" customHeight="1">
      <c r="A588" s="123">
        <v>46030</v>
      </c>
      <c r="B588" s="124" t="s">
        <v>415</v>
      </c>
      <c r="C588" s="125" t="s">
        <v>418</v>
      </c>
      <c r="D588" s="124" t="s">
        <v>341</v>
      </c>
      <c r="E588" s="126">
        <v>1.4201388888888891</v>
      </c>
      <c r="F588" s="124" t="s">
        <v>63</v>
      </c>
      <c r="G588" s="127">
        <v>9</v>
      </c>
      <c r="H588" s="128" t="s">
        <v>417</v>
      </c>
    </row>
    <row r="589" spans="1:8" ht="19.899999999999999" customHeight="1">
      <c r="A589" s="121">
        <v>46031</v>
      </c>
      <c r="B589" s="112" t="s">
        <v>38</v>
      </c>
      <c r="C589" s="113" t="s">
        <v>342</v>
      </c>
      <c r="D589" s="112" t="s">
        <v>341</v>
      </c>
      <c r="E589" s="122">
        <v>1.489583333333333</v>
      </c>
      <c r="F589" s="112" t="s">
        <v>40</v>
      </c>
      <c r="G589" s="114">
        <v>5</v>
      </c>
      <c r="H589" s="115" t="s">
        <v>88</v>
      </c>
    </row>
    <row r="590" spans="1:8" ht="19.899999999999999" customHeight="1">
      <c r="A590" s="121">
        <v>46031</v>
      </c>
      <c r="B590" s="112" t="s">
        <v>38</v>
      </c>
      <c r="C590" s="113" t="s">
        <v>346</v>
      </c>
      <c r="D590" s="112" t="s">
        <v>341</v>
      </c>
      <c r="E590" s="122">
        <v>1.399305555555556</v>
      </c>
      <c r="F590" s="112" t="s">
        <v>40</v>
      </c>
      <c r="G590" s="114">
        <v>17</v>
      </c>
      <c r="H590" s="115" t="s">
        <v>81</v>
      </c>
    </row>
    <row r="591" spans="1:8" ht="19.899999999999999" customHeight="1">
      <c r="A591" s="121">
        <v>46031</v>
      </c>
      <c r="B591" s="112" t="s">
        <v>38</v>
      </c>
      <c r="C591" s="113" t="s">
        <v>344</v>
      </c>
      <c r="D591" s="112" t="s">
        <v>341</v>
      </c>
      <c r="E591" s="122">
        <v>1.8888888888888891</v>
      </c>
      <c r="F591" s="112" t="s">
        <v>40</v>
      </c>
      <c r="G591" s="114">
        <v>17</v>
      </c>
      <c r="H591" s="115" t="s">
        <v>81</v>
      </c>
    </row>
    <row r="592" spans="1:8" ht="19.899999999999999" customHeight="1">
      <c r="A592" s="121">
        <v>46031</v>
      </c>
      <c r="B592" s="112" t="s">
        <v>38</v>
      </c>
      <c r="C592" s="113" t="s">
        <v>345</v>
      </c>
      <c r="D592" s="112" t="s">
        <v>341</v>
      </c>
      <c r="E592" s="122">
        <v>1.989583333333333</v>
      </c>
      <c r="F592" s="112" t="s">
        <v>40</v>
      </c>
      <c r="G592" s="114">
        <v>18</v>
      </c>
      <c r="H592" s="115" t="s">
        <v>30</v>
      </c>
    </row>
    <row r="593" spans="1:8" ht="19.899999999999999" customHeight="1">
      <c r="A593" s="121">
        <v>46031</v>
      </c>
      <c r="B593" s="112" t="s">
        <v>359</v>
      </c>
      <c r="C593" s="113" t="s">
        <v>422</v>
      </c>
      <c r="D593" s="112" t="s">
        <v>341</v>
      </c>
      <c r="E593" s="122">
        <v>1.8090277777777779</v>
      </c>
      <c r="F593" s="112" t="s">
        <v>361</v>
      </c>
      <c r="G593" s="114">
        <v>9</v>
      </c>
      <c r="H593" s="115" t="s">
        <v>423</v>
      </c>
    </row>
    <row r="594" spans="1:8" ht="19.899999999999999" customHeight="1">
      <c r="A594" s="121">
        <v>46031</v>
      </c>
      <c r="B594" s="112" t="s">
        <v>359</v>
      </c>
      <c r="C594" s="113" t="s">
        <v>360</v>
      </c>
      <c r="D594" s="112" t="s">
        <v>341</v>
      </c>
      <c r="E594" s="122">
        <v>1.225694444444444</v>
      </c>
      <c r="F594" s="112" t="s">
        <v>361</v>
      </c>
      <c r="G594" s="114">
        <v>9</v>
      </c>
      <c r="H594" s="115" t="s">
        <v>423</v>
      </c>
    </row>
    <row r="595" spans="1:8" ht="19.899999999999999" customHeight="1">
      <c r="A595" s="121">
        <v>46031</v>
      </c>
      <c r="B595" s="112" t="s">
        <v>359</v>
      </c>
      <c r="C595" s="113" t="s">
        <v>425</v>
      </c>
      <c r="D595" s="112" t="s">
        <v>341</v>
      </c>
      <c r="E595" s="122">
        <v>1.510416666666667</v>
      </c>
      <c r="F595" s="112" t="s">
        <v>361</v>
      </c>
      <c r="G595" s="114">
        <v>9</v>
      </c>
      <c r="H595" s="115" t="s">
        <v>423</v>
      </c>
    </row>
    <row r="596" spans="1:8" ht="19.899999999999999" customHeight="1">
      <c r="A596" s="129">
        <v>46031</v>
      </c>
      <c r="B596" s="117" t="s">
        <v>61</v>
      </c>
      <c r="C596" s="118" t="s">
        <v>428</v>
      </c>
      <c r="D596" s="117" t="s">
        <v>341</v>
      </c>
      <c r="E596" s="130">
        <v>1.5590277777777779</v>
      </c>
      <c r="F596" s="117" t="s">
        <v>63</v>
      </c>
      <c r="G596" s="119">
        <v>1</v>
      </c>
      <c r="H596" s="120" t="s">
        <v>365</v>
      </c>
    </row>
    <row r="597" spans="1:8" ht="19.899999999999999" customHeight="1">
      <c r="A597" s="129">
        <v>46031</v>
      </c>
      <c r="B597" s="117" t="s">
        <v>61</v>
      </c>
      <c r="C597" s="118" t="s">
        <v>375</v>
      </c>
      <c r="D597" s="117" t="s">
        <v>341</v>
      </c>
      <c r="E597" s="130">
        <v>1.1423611111111109</v>
      </c>
      <c r="F597" s="117" t="s">
        <v>63</v>
      </c>
      <c r="G597" s="119">
        <v>3</v>
      </c>
      <c r="H597" s="120" t="s">
        <v>365</v>
      </c>
    </row>
    <row r="598" spans="1:8" ht="19.899999999999999" customHeight="1">
      <c r="A598" s="129">
        <v>46031</v>
      </c>
      <c r="B598" s="117" t="s">
        <v>61</v>
      </c>
      <c r="C598" s="118" t="s">
        <v>377</v>
      </c>
      <c r="D598" s="117" t="s">
        <v>341</v>
      </c>
      <c r="E598" s="130">
        <v>1.28125</v>
      </c>
      <c r="F598" s="117" t="s">
        <v>63</v>
      </c>
      <c r="G598" s="119">
        <v>6</v>
      </c>
      <c r="H598" s="120" t="s">
        <v>365</v>
      </c>
    </row>
    <row r="599" spans="1:8" ht="19.899999999999999" customHeight="1">
      <c r="A599" s="129">
        <v>46031</v>
      </c>
      <c r="B599" s="117" t="s">
        <v>61</v>
      </c>
      <c r="C599" s="118" t="s">
        <v>379</v>
      </c>
      <c r="D599" s="117" t="s">
        <v>341</v>
      </c>
      <c r="E599" s="130">
        <v>1.4375</v>
      </c>
      <c r="F599" s="117" t="s">
        <v>63</v>
      </c>
      <c r="G599" s="119">
        <v>3</v>
      </c>
      <c r="H599" s="120" t="s">
        <v>365</v>
      </c>
    </row>
    <row r="600" spans="1:8" ht="19.899999999999999" customHeight="1">
      <c r="A600" s="121">
        <v>46031</v>
      </c>
      <c r="B600" s="112" t="s">
        <v>26</v>
      </c>
      <c r="C600" s="113" t="s">
        <v>348</v>
      </c>
      <c r="D600" s="112" t="s">
        <v>341</v>
      </c>
      <c r="E600" s="122">
        <v>1.993055555555556</v>
      </c>
      <c r="F600" s="112" t="s">
        <v>28</v>
      </c>
      <c r="G600" s="114">
        <v>5</v>
      </c>
      <c r="H600" s="115" t="s">
        <v>83</v>
      </c>
    </row>
    <row r="601" spans="1:8" ht="19.899999999999999" customHeight="1">
      <c r="A601" s="121">
        <v>46031</v>
      </c>
      <c r="B601" s="112" t="s">
        <v>26</v>
      </c>
      <c r="C601" s="113" t="s">
        <v>356</v>
      </c>
      <c r="D601" s="112" t="s">
        <v>341</v>
      </c>
      <c r="E601" s="122">
        <v>1.4861111111111109</v>
      </c>
      <c r="F601" s="112" t="s">
        <v>28</v>
      </c>
      <c r="G601" s="114">
        <v>3</v>
      </c>
      <c r="H601" s="115" t="s">
        <v>83</v>
      </c>
    </row>
    <row r="602" spans="1:8" ht="19.899999999999999" customHeight="1">
      <c r="A602" s="121">
        <v>46031</v>
      </c>
      <c r="B602" s="112" t="s">
        <v>26</v>
      </c>
      <c r="C602" s="113" t="s">
        <v>353</v>
      </c>
      <c r="D602" s="112" t="s">
        <v>341</v>
      </c>
      <c r="E602" s="122">
        <v>1.8888888888888891</v>
      </c>
      <c r="F602" s="112" t="s">
        <v>28</v>
      </c>
      <c r="G602" s="114">
        <v>4</v>
      </c>
      <c r="H602" s="115" t="s">
        <v>83</v>
      </c>
    </row>
    <row r="603" spans="1:8" ht="19.899999999999999" customHeight="1">
      <c r="A603" s="121">
        <v>46031</v>
      </c>
      <c r="B603" s="112" t="s">
        <v>48</v>
      </c>
      <c r="C603" s="113" t="s">
        <v>400</v>
      </c>
      <c r="D603" s="112" t="s">
        <v>341</v>
      </c>
      <c r="E603" s="122">
        <v>1.2534722222222221</v>
      </c>
      <c r="F603" s="112" t="s">
        <v>50</v>
      </c>
      <c r="G603" s="114">
        <v>9</v>
      </c>
      <c r="H603" s="115" t="s">
        <v>383</v>
      </c>
    </row>
    <row r="604" spans="1:8" ht="19.899999999999999" customHeight="1">
      <c r="A604" s="121">
        <v>46031</v>
      </c>
      <c r="B604" s="112" t="s">
        <v>48</v>
      </c>
      <c r="C604" s="113" t="s">
        <v>390</v>
      </c>
      <c r="D604" s="112" t="s">
        <v>341</v>
      </c>
      <c r="E604" s="122">
        <v>1.041666666666667</v>
      </c>
      <c r="F604" s="112" t="s">
        <v>50</v>
      </c>
      <c r="G604" s="114">
        <v>9</v>
      </c>
      <c r="H604" s="115" t="s">
        <v>383</v>
      </c>
    </row>
    <row r="605" spans="1:8" ht="19.899999999999999" customHeight="1">
      <c r="A605" s="121">
        <v>46031</v>
      </c>
      <c r="B605" s="112" t="s">
        <v>38</v>
      </c>
      <c r="C605" s="113" t="s">
        <v>342</v>
      </c>
      <c r="D605" s="112" t="s">
        <v>341</v>
      </c>
      <c r="E605" s="122">
        <v>1.489583333333333</v>
      </c>
      <c r="F605" s="112" t="s">
        <v>43</v>
      </c>
      <c r="G605" s="114">
        <v>5</v>
      </c>
      <c r="H605" s="115" t="s">
        <v>89</v>
      </c>
    </row>
    <row r="606" spans="1:8" ht="19.899999999999999" customHeight="1">
      <c r="A606" s="121">
        <v>46031</v>
      </c>
      <c r="B606" s="112" t="s">
        <v>402</v>
      </c>
      <c r="C606" s="113" t="s">
        <v>403</v>
      </c>
      <c r="D606" s="112" t="s">
        <v>341</v>
      </c>
      <c r="E606" s="122">
        <v>1.493055555555556</v>
      </c>
      <c r="F606" s="112" t="s">
        <v>63</v>
      </c>
      <c r="G606" s="114">
        <v>5</v>
      </c>
      <c r="H606" s="115" t="s">
        <v>404</v>
      </c>
    </row>
    <row r="607" spans="1:8" ht="19.899999999999999" customHeight="1">
      <c r="A607" s="129">
        <v>46031</v>
      </c>
      <c r="B607" s="117" t="s">
        <v>61</v>
      </c>
      <c r="C607" s="118" t="s">
        <v>432</v>
      </c>
      <c r="D607" s="117" t="s">
        <v>341</v>
      </c>
      <c r="E607" s="130">
        <v>1.760416666666667</v>
      </c>
      <c r="F607" s="117" t="s">
        <v>63</v>
      </c>
      <c r="G607" s="119">
        <v>7</v>
      </c>
      <c r="H607" s="120" t="s">
        <v>79</v>
      </c>
    </row>
    <row r="608" spans="1:8" ht="19.899999999999999" customHeight="1">
      <c r="A608" s="121">
        <v>46031</v>
      </c>
      <c r="B608" s="112" t="s">
        <v>48</v>
      </c>
      <c r="C608" s="113" t="s">
        <v>391</v>
      </c>
      <c r="D608" s="112" t="s">
        <v>341</v>
      </c>
      <c r="E608" s="122">
        <v>1.489583333333333</v>
      </c>
      <c r="F608" s="112" t="s">
        <v>50</v>
      </c>
      <c r="G608" s="114">
        <v>9</v>
      </c>
      <c r="H608" s="115" t="s">
        <v>79</v>
      </c>
    </row>
    <row r="609" spans="1:8" ht="19.899999999999999" customHeight="1">
      <c r="A609" s="121">
        <v>46031</v>
      </c>
      <c r="B609" s="112" t="s">
        <v>48</v>
      </c>
      <c r="C609" s="113" t="s">
        <v>386</v>
      </c>
      <c r="D609" s="112" t="s">
        <v>341</v>
      </c>
      <c r="E609" s="122">
        <v>1.8298611111111109</v>
      </c>
      <c r="F609" s="112" t="s">
        <v>50</v>
      </c>
      <c r="G609" s="114">
        <v>9</v>
      </c>
      <c r="H609" s="115" t="s">
        <v>79</v>
      </c>
    </row>
    <row r="610" spans="1:8" ht="19.899999999999999" customHeight="1">
      <c r="A610" s="121">
        <v>46031</v>
      </c>
      <c r="B610" s="112" t="s">
        <v>48</v>
      </c>
      <c r="C610" s="113" t="s">
        <v>388</v>
      </c>
      <c r="D610" s="112" t="s">
        <v>341</v>
      </c>
      <c r="E610" s="122">
        <v>1.7222222222222221</v>
      </c>
      <c r="F610" s="112" t="s">
        <v>50</v>
      </c>
      <c r="G610" s="114">
        <v>9</v>
      </c>
      <c r="H610" s="115" t="s">
        <v>79</v>
      </c>
    </row>
    <row r="611" spans="1:8" ht="19.899999999999999" customHeight="1">
      <c r="A611" s="121">
        <v>46031</v>
      </c>
      <c r="B611" s="112" t="s">
        <v>48</v>
      </c>
      <c r="C611" s="113" t="s">
        <v>389</v>
      </c>
      <c r="D611" s="112" t="s">
        <v>341</v>
      </c>
      <c r="E611" s="122">
        <v>1.7013888888888891</v>
      </c>
      <c r="F611" s="112" t="s">
        <v>50</v>
      </c>
      <c r="G611" s="114">
        <v>8</v>
      </c>
      <c r="H611" s="115" t="s">
        <v>79</v>
      </c>
    </row>
    <row r="612" spans="1:8" ht="19.899999999999999" customHeight="1">
      <c r="A612" s="121">
        <v>46031</v>
      </c>
      <c r="B612" s="112" t="s">
        <v>48</v>
      </c>
      <c r="C612" s="113" t="s">
        <v>385</v>
      </c>
      <c r="D612" s="112" t="s">
        <v>341</v>
      </c>
      <c r="E612" s="122">
        <v>1.9409722222222221</v>
      </c>
      <c r="F612" s="112" t="s">
        <v>50</v>
      </c>
      <c r="G612" s="114">
        <v>9</v>
      </c>
      <c r="H612" s="115" t="s">
        <v>79</v>
      </c>
    </row>
    <row r="613" spans="1:8" ht="19.899999999999999" customHeight="1">
      <c r="A613" s="121">
        <v>46031</v>
      </c>
      <c r="B613" s="112" t="s">
        <v>26</v>
      </c>
      <c r="C613" s="113" t="s">
        <v>351</v>
      </c>
      <c r="D613" s="112" t="s">
        <v>341</v>
      </c>
      <c r="E613" s="122">
        <v>1.836805555555556</v>
      </c>
      <c r="F613" s="112" t="s">
        <v>28</v>
      </c>
      <c r="G613" s="114">
        <v>5</v>
      </c>
      <c r="H613" s="115" t="s">
        <v>79</v>
      </c>
    </row>
    <row r="614" spans="1:8" ht="19.899999999999999" customHeight="1">
      <c r="A614" s="121">
        <v>46031</v>
      </c>
      <c r="B614" s="112" t="s">
        <v>38</v>
      </c>
      <c r="C614" s="113" t="s">
        <v>346</v>
      </c>
      <c r="D614" s="112" t="s">
        <v>341</v>
      </c>
      <c r="E614" s="122">
        <v>1.399305555555556</v>
      </c>
      <c r="F614" s="112" t="s">
        <v>43</v>
      </c>
      <c r="G614" s="114">
        <v>17</v>
      </c>
      <c r="H614" s="115" t="s">
        <v>161</v>
      </c>
    </row>
    <row r="615" spans="1:8" ht="19.899999999999999" customHeight="1">
      <c r="A615" s="121">
        <v>46031</v>
      </c>
      <c r="B615" s="112" t="s">
        <v>38</v>
      </c>
      <c r="C615" s="113" t="s">
        <v>344</v>
      </c>
      <c r="D615" s="112" t="s">
        <v>341</v>
      </c>
      <c r="E615" s="122">
        <v>1.8888888888888891</v>
      </c>
      <c r="F615" s="112" t="s">
        <v>43</v>
      </c>
      <c r="G615" s="114">
        <v>17</v>
      </c>
      <c r="H615" s="115" t="s">
        <v>161</v>
      </c>
    </row>
    <row r="616" spans="1:8" ht="19.899999999999999" customHeight="1">
      <c r="A616" s="121">
        <v>46031</v>
      </c>
      <c r="B616" s="112" t="s">
        <v>38</v>
      </c>
      <c r="C616" s="113" t="s">
        <v>345</v>
      </c>
      <c r="D616" s="112" t="s">
        <v>341</v>
      </c>
      <c r="E616" s="122">
        <v>1.989583333333333</v>
      </c>
      <c r="F616" s="112" t="s">
        <v>43</v>
      </c>
      <c r="G616" s="114">
        <v>18</v>
      </c>
      <c r="H616" s="115" t="s">
        <v>420</v>
      </c>
    </row>
    <row r="617" spans="1:8" ht="19.899999999999999" customHeight="1">
      <c r="A617" s="121">
        <v>46031</v>
      </c>
      <c r="B617" s="112" t="s">
        <v>26</v>
      </c>
      <c r="C617" s="113" t="s">
        <v>352</v>
      </c>
      <c r="D617" s="112" t="s">
        <v>341</v>
      </c>
      <c r="E617" s="122">
        <v>1.944444444444444</v>
      </c>
      <c r="F617" s="112" t="s">
        <v>28</v>
      </c>
      <c r="G617" s="114">
        <v>9</v>
      </c>
      <c r="H617" s="115" t="s">
        <v>45</v>
      </c>
    </row>
    <row r="618" spans="1:8" ht="19.899999999999999" customHeight="1">
      <c r="A618" s="121">
        <v>46031</v>
      </c>
      <c r="B618" s="112" t="s">
        <v>26</v>
      </c>
      <c r="C618" s="113" t="s">
        <v>357</v>
      </c>
      <c r="D618" s="112" t="s">
        <v>341</v>
      </c>
      <c r="E618" s="122">
        <v>1.5590277777777779</v>
      </c>
      <c r="F618" s="112" t="s">
        <v>28</v>
      </c>
      <c r="G618" s="114">
        <v>9</v>
      </c>
      <c r="H618" s="115" t="s">
        <v>45</v>
      </c>
    </row>
    <row r="619" spans="1:8" ht="19.899999999999999" customHeight="1">
      <c r="A619" s="121">
        <v>46031</v>
      </c>
      <c r="B619" s="112" t="s">
        <v>26</v>
      </c>
      <c r="C619" s="113" t="s">
        <v>348</v>
      </c>
      <c r="D619" s="112" t="s">
        <v>341</v>
      </c>
      <c r="E619" s="122">
        <v>1.993055555555556</v>
      </c>
      <c r="F619" s="112" t="s">
        <v>31</v>
      </c>
      <c r="G619" s="114">
        <v>5</v>
      </c>
      <c r="H619" s="115" t="s">
        <v>159</v>
      </c>
    </row>
    <row r="620" spans="1:8" ht="19.899999999999999" customHeight="1">
      <c r="A620" s="121">
        <v>46031</v>
      </c>
      <c r="B620" s="112" t="s">
        <v>26</v>
      </c>
      <c r="C620" s="113" t="s">
        <v>356</v>
      </c>
      <c r="D620" s="112" t="s">
        <v>341</v>
      </c>
      <c r="E620" s="122">
        <v>1.4861111111111109</v>
      </c>
      <c r="F620" s="112" t="s">
        <v>31</v>
      </c>
      <c r="G620" s="114">
        <v>3</v>
      </c>
      <c r="H620" s="115" t="s">
        <v>159</v>
      </c>
    </row>
    <row r="621" spans="1:8" ht="19.899999999999999" customHeight="1">
      <c r="A621" s="121">
        <v>46031</v>
      </c>
      <c r="B621" s="112" t="s">
        <v>26</v>
      </c>
      <c r="C621" s="113" t="s">
        <v>353</v>
      </c>
      <c r="D621" s="112" t="s">
        <v>341</v>
      </c>
      <c r="E621" s="122">
        <v>1.8888888888888891</v>
      </c>
      <c r="F621" s="112" t="s">
        <v>31</v>
      </c>
      <c r="G621" s="114">
        <v>4</v>
      </c>
      <c r="H621" s="115" t="s">
        <v>159</v>
      </c>
    </row>
    <row r="622" spans="1:8" ht="19.899999999999999" customHeight="1">
      <c r="A622" s="121">
        <v>46031</v>
      </c>
      <c r="B622" s="112" t="s">
        <v>68</v>
      </c>
      <c r="C622" s="113" t="s">
        <v>407</v>
      </c>
      <c r="D622" s="112" t="s">
        <v>341</v>
      </c>
      <c r="E622" s="122">
        <v>1.3125</v>
      </c>
      <c r="F622" s="112" t="s">
        <v>70</v>
      </c>
      <c r="G622" s="114">
        <v>9</v>
      </c>
      <c r="H622" s="115" t="s">
        <v>406</v>
      </c>
    </row>
    <row r="623" spans="1:8" ht="19.899999999999999" customHeight="1">
      <c r="A623" s="121">
        <v>46031</v>
      </c>
      <c r="B623" s="112" t="s">
        <v>68</v>
      </c>
      <c r="C623" s="113" t="s">
        <v>408</v>
      </c>
      <c r="D623" s="112" t="s">
        <v>341</v>
      </c>
      <c r="E623" s="122">
        <v>1.9722222222222221</v>
      </c>
      <c r="F623" s="112" t="s">
        <v>70</v>
      </c>
      <c r="G623" s="114">
        <v>9</v>
      </c>
      <c r="H623" s="115" t="s">
        <v>406</v>
      </c>
    </row>
    <row r="624" spans="1:8" ht="19.899999999999999" customHeight="1">
      <c r="A624" s="121">
        <v>46031</v>
      </c>
      <c r="B624" s="112" t="s">
        <v>68</v>
      </c>
      <c r="C624" s="113" t="s">
        <v>437</v>
      </c>
      <c r="D624" s="112" t="s">
        <v>341</v>
      </c>
      <c r="E624" s="122">
        <v>1.104166666666667</v>
      </c>
      <c r="F624" s="112" t="s">
        <v>70</v>
      </c>
      <c r="G624" s="114">
        <v>9</v>
      </c>
      <c r="H624" s="115" t="s">
        <v>406</v>
      </c>
    </row>
    <row r="625" spans="1:8" ht="19.899999999999999" customHeight="1">
      <c r="A625" s="121">
        <v>46031</v>
      </c>
      <c r="B625" s="112" t="s">
        <v>68</v>
      </c>
      <c r="C625" s="113" t="s">
        <v>411</v>
      </c>
      <c r="D625" s="112" t="s">
        <v>341</v>
      </c>
      <c r="E625" s="122">
        <v>1.7847222222222221</v>
      </c>
      <c r="F625" s="112" t="s">
        <v>70</v>
      </c>
      <c r="G625" s="114">
        <v>9</v>
      </c>
      <c r="H625" s="115" t="s">
        <v>406</v>
      </c>
    </row>
    <row r="626" spans="1:8" ht="19.899999999999999" customHeight="1">
      <c r="A626" s="121">
        <v>46031</v>
      </c>
      <c r="B626" s="112" t="s">
        <v>68</v>
      </c>
      <c r="C626" s="113" t="s">
        <v>410</v>
      </c>
      <c r="D626" s="112" t="s">
        <v>341</v>
      </c>
      <c r="E626" s="122">
        <v>1.5972222222222221</v>
      </c>
      <c r="F626" s="112" t="s">
        <v>70</v>
      </c>
      <c r="G626" s="114">
        <v>9</v>
      </c>
      <c r="H626" s="115" t="s">
        <v>406</v>
      </c>
    </row>
    <row r="627" spans="1:8" ht="19.899999999999999" customHeight="1">
      <c r="A627" s="121">
        <v>46031</v>
      </c>
      <c r="B627" s="112" t="s">
        <v>68</v>
      </c>
      <c r="C627" s="113" t="s">
        <v>413</v>
      </c>
      <c r="D627" s="112" t="s">
        <v>341</v>
      </c>
      <c r="E627" s="122">
        <v>1.0486111111111109</v>
      </c>
      <c r="F627" s="112" t="s">
        <v>70</v>
      </c>
      <c r="G627" s="114">
        <v>9</v>
      </c>
      <c r="H627" s="115" t="s">
        <v>406</v>
      </c>
    </row>
    <row r="628" spans="1:8" ht="19.899999999999999" customHeight="1">
      <c r="A628" s="121">
        <v>46031</v>
      </c>
      <c r="B628" s="112" t="s">
        <v>48</v>
      </c>
      <c r="C628" s="113" t="s">
        <v>382</v>
      </c>
      <c r="D628" s="112" t="s">
        <v>341</v>
      </c>
      <c r="E628" s="122">
        <v>1.118055555555556</v>
      </c>
      <c r="F628" s="112" t="s">
        <v>50</v>
      </c>
      <c r="G628" s="114">
        <v>9</v>
      </c>
      <c r="H628" s="115" t="s">
        <v>462</v>
      </c>
    </row>
    <row r="629" spans="1:8" ht="19.899999999999999" customHeight="1">
      <c r="A629" s="121">
        <v>46031</v>
      </c>
      <c r="B629" s="112" t="s">
        <v>48</v>
      </c>
      <c r="C629" s="113" t="s">
        <v>400</v>
      </c>
      <c r="D629" s="112" t="s">
        <v>341</v>
      </c>
      <c r="E629" s="122">
        <v>1.2534722222222221</v>
      </c>
      <c r="F629" s="112" t="s">
        <v>53</v>
      </c>
      <c r="G629" s="114">
        <v>9</v>
      </c>
      <c r="H629" s="115" t="s">
        <v>384</v>
      </c>
    </row>
    <row r="630" spans="1:8" ht="19.899999999999999" customHeight="1">
      <c r="A630" s="121">
        <v>46031</v>
      </c>
      <c r="B630" s="112" t="s">
        <v>48</v>
      </c>
      <c r="C630" s="113" t="s">
        <v>390</v>
      </c>
      <c r="D630" s="112" t="s">
        <v>341</v>
      </c>
      <c r="E630" s="122">
        <v>1.041666666666667</v>
      </c>
      <c r="F630" s="112" t="s">
        <v>53</v>
      </c>
      <c r="G630" s="114">
        <v>9</v>
      </c>
      <c r="H630" s="115" t="s">
        <v>384</v>
      </c>
    </row>
    <row r="631" spans="1:8" ht="19.899999999999999" customHeight="1">
      <c r="A631" s="121">
        <v>46031</v>
      </c>
      <c r="B631" s="112" t="s">
        <v>26</v>
      </c>
      <c r="C631" s="113" t="s">
        <v>351</v>
      </c>
      <c r="D631" s="112" t="s">
        <v>341</v>
      </c>
      <c r="E631" s="122">
        <v>1.836805555555556</v>
      </c>
      <c r="F631" s="112" t="s">
        <v>31</v>
      </c>
      <c r="G631" s="114">
        <v>5</v>
      </c>
      <c r="H631" s="115" t="s">
        <v>123</v>
      </c>
    </row>
    <row r="632" spans="1:8" ht="19.899999999999999" customHeight="1">
      <c r="A632" s="121">
        <v>46031</v>
      </c>
      <c r="B632" s="112" t="s">
        <v>359</v>
      </c>
      <c r="C632" s="113" t="s">
        <v>422</v>
      </c>
      <c r="D632" s="112" t="s">
        <v>341</v>
      </c>
      <c r="E632" s="122">
        <v>1.8090277777777779</v>
      </c>
      <c r="F632" s="112" t="s">
        <v>46</v>
      </c>
      <c r="G632" s="114">
        <v>9</v>
      </c>
      <c r="H632" s="115" t="s">
        <v>424</v>
      </c>
    </row>
    <row r="633" spans="1:8" ht="19.899999999999999" customHeight="1">
      <c r="A633" s="121">
        <v>46031</v>
      </c>
      <c r="B633" s="112" t="s">
        <v>359</v>
      </c>
      <c r="C633" s="113" t="s">
        <v>360</v>
      </c>
      <c r="D633" s="112" t="s">
        <v>341</v>
      </c>
      <c r="E633" s="122">
        <v>1.225694444444444</v>
      </c>
      <c r="F633" s="112" t="s">
        <v>46</v>
      </c>
      <c r="G633" s="114">
        <v>9</v>
      </c>
      <c r="H633" s="115" t="s">
        <v>424</v>
      </c>
    </row>
    <row r="634" spans="1:8" ht="19.899999999999999" customHeight="1">
      <c r="A634" s="121">
        <v>46031</v>
      </c>
      <c r="B634" s="112" t="s">
        <v>359</v>
      </c>
      <c r="C634" s="113" t="s">
        <v>425</v>
      </c>
      <c r="D634" s="112" t="s">
        <v>341</v>
      </c>
      <c r="E634" s="122">
        <v>1.510416666666667</v>
      </c>
      <c r="F634" s="112" t="s">
        <v>46</v>
      </c>
      <c r="G634" s="114">
        <v>9</v>
      </c>
      <c r="H634" s="115" t="s">
        <v>424</v>
      </c>
    </row>
    <row r="635" spans="1:8" ht="19.899999999999999" customHeight="1">
      <c r="A635" s="121">
        <v>46031</v>
      </c>
      <c r="B635" s="112" t="s">
        <v>48</v>
      </c>
      <c r="C635" s="113" t="s">
        <v>391</v>
      </c>
      <c r="D635" s="112" t="s">
        <v>341</v>
      </c>
      <c r="E635" s="122">
        <v>1.489583333333333</v>
      </c>
      <c r="F635" s="112" t="s">
        <v>53</v>
      </c>
      <c r="G635" s="114">
        <v>9</v>
      </c>
      <c r="H635" s="115" t="s">
        <v>387</v>
      </c>
    </row>
    <row r="636" spans="1:8" ht="19.899999999999999" customHeight="1">
      <c r="A636" s="121">
        <v>46031</v>
      </c>
      <c r="B636" s="112" t="s">
        <v>48</v>
      </c>
      <c r="C636" s="113" t="s">
        <v>386</v>
      </c>
      <c r="D636" s="112" t="s">
        <v>341</v>
      </c>
      <c r="E636" s="122">
        <v>1.8298611111111109</v>
      </c>
      <c r="F636" s="112" t="s">
        <v>53</v>
      </c>
      <c r="G636" s="114">
        <v>9</v>
      </c>
      <c r="H636" s="115" t="s">
        <v>387</v>
      </c>
    </row>
    <row r="637" spans="1:8" ht="19.899999999999999" customHeight="1">
      <c r="A637" s="121">
        <v>46031</v>
      </c>
      <c r="B637" s="112" t="s">
        <v>48</v>
      </c>
      <c r="C637" s="113" t="s">
        <v>388</v>
      </c>
      <c r="D637" s="112" t="s">
        <v>341</v>
      </c>
      <c r="E637" s="122">
        <v>1.7222222222222221</v>
      </c>
      <c r="F637" s="112" t="s">
        <v>53</v>
      </c>
      <c r="G637" s="114">
        <v>9</v>
      </c>
      <c r="H637" s="115" t="s">
        <v>387</v>
      </c>
    </row>
    <row r="638" spans="1:8" ht="19.899999999999999" customHeight="1">
      <c r="A638" s="121">
        <v>46031</v>
      </c>
      <c r="B638" s="112" t="s">
        <v>48</v>
      </c>
      <c r="C638" s="113" t="s">
        <v>389</v>
      </c>
      <c r="D638" s="112" t="s">
        <v>341</v>
      </c>
      <c r="E638" s="122">
        <v>1.7013888888888891</v>
      </c>
      <c r="F638" s="112" t="s">
        <v>53</v>
      </c>
      <c r="G638" s="114">
        <v>8</v>
      </c>
      <c r="H638" s="115" t="s">
        <v>387</v>
      </c>
    </row>
    <row r="639" spans="1:8" ht="19.899999999999999" customHeight="1">
      <c r="A639" s="121">
        <v>46031</v>
      </c>
      <c r="B639" s="112" t="s">
        <v>48</v>
      </c>
      <c r="C639" s="113" t="s">
        <v>385</v>
      </c>
      <c r="D639" s="112" t="s">
        <v>341</v>
      </c>
      <c r="E639" s="122">
        <v>1.9409722222222221</v>
      </c>
      <c r="F639" s="112" t="s">
        <v>53</v>
      </c>
      <c r="G639" s="114">
        <v>9</v>
      </c>
      <c r="H639" s="115" t="s">
        <v>387</v>
      </c>
    </row>
    <row r="640" spans="1:8" ht="19.899999999999999" customHeight="1">
      <c r="A640" s="121">
        <v>46031</v>
      </c>
      <c r="B640" s="112" t="s">
        <v>68</v>
      </c>
      <c r="C640" s="113" t="s">
        <v>405</v>
      </c>
      <c r="D640" s="112" t="s">
        <v>341</v>
      </c>
      <c r="E640" s="122">
        <v>1.836805555555556</v>
      </c>
      <c r="F640" s="112" t="s">
        <v>70</v>
      </c>
      <c r="G640" s="114">
        <v>9</v>
      </c>
      <c r="H640" s="115" t="s">
        <v>412</v>
      </c>
    </row>
    <row r="641" spans="1:8" ht="19.899999999999999" customHeight="1">
      <c r="A641" s="121">
        <v>46031</v>
      </c>
      <c r="B641" s="112" t="s">
        <v>26</v>
      </c>
      <c r="C641" s="113" t="s">
        <v>348</v>
      </c>
      <c r="D641" s="112" t="s">
        <v>341</v>
      </c>
      <c r="E641" s="122">
        <v>1.993055555555556</v>
      </c>
      <c r="F641" s="112" t="s">
        <v>34</v>
      </c>
      <c r="G641" s="114">
        <v>5</v>
      </c>
      <c r="H641" s="115" t="s">
        <v>355</v>
      </c>
    </row>
    <row r="642" spans="1:8" ht="19.899999999999999" customHeight="1">
      <c r="A642" s="121">
        <v>46031</v>
      </c>
      <c r="B642" s="112" t="s">
        <v>26</v>
      </c>
      <c r="C642" s="113" t="s">
        <v>352</v>
      </c>
      <c r="D642" s="112" t="s">
        <v>341</v>
      </c>
      <c r="E642" s="122">
        <v>1.944444444444444</v>
      </c>
      <c r="F642" s="112" t="s">
        <v>31</v>
      </c>
      <c r="G642" s="114">
        <v>9</v>
      </c>
      <c r="H642" s="115" t="s">
        <v>355</v>
      </c>
    </row>
    <row r="643" spans="1:8" ht="19.899999999999999" customHeight="1">
      <c r="A643" s="121">
        <v>46031</v>
      </c>
      <c r="B643" s="112" t="s">
        <v>26</v>
      </c>
      <c r="C643" s="113" t="s">
        <v>356</v>
      </c>
      <c r="D643" s="112" t="s">
        <v>341</v>
      </c>
      <c r="E643" s="122">
        <v>1.4861111111111109</v>
      </c>
      <c r="F643" s="112" t="s">
        <v>34</v>
      </c>
      <c r="G643" s="114">
        <v>3</v>
      </c>
      <c r="H643" s="115" t="s">
        <v>355</v>
      </c>
    </row>
    <row r="644" spans="1:8" ht="19.899999999999999" customHeight="1">
      <c r="A644" s="121">
        <v>46031</v>
      </c>
      <c r="B644" s="112" t="s">
        <v>26</v>
      </c>
      <c r="C644" s="113" t="s">
        <v>357</v>
      </c>
      <c r="D644" s="112" t="s">
        <v>341</v>
      </c>
      <c r="E644" s="122">
        <v>1.5590277777777779</v>
      </c>
      <c r="F644" s="112" t="s">
        <v>31</v>
      </c>
      <c r="G644" s="114">
        <v>9</v>
      </c>
      <c r="H644" s="115" t="s">
        <v>355</v>
      </c>
    </row>
    <row r="645" spans="1:8" ht="19.899999999999999" customHeight="1">
      <c r="A645" s="121">
        <v>46031</v>
      </c>
      <c r="B645" s="112" t="s">
        <v>26</v>
      </c>
      <c r="C645" s="113" t="s">
        <v>353</v>
      </c>
      <c r="D645" s="112" t="s">
        <v>341</v>
      </c>
      <c r="E645" s="122">
        <v>1.8888888888888891</v>
      </c>
      <c r="F645" s="112" t="s">
        <v>34</v>
      </c>
      <c r="G645" s="114">
        <v>4</v>
      </c>
      <c r="H645" s="115" t="s">
        <v>355</v>
      </c>
    </row>
    <row r="646" spans="1:8" ht="19.899999999999999" customHeight="1">
      <c r="A646" s="121">
        <v>46031</v>
      </c>
      <c r="B646" s="112" t="s">
        <v>26</v>
      </c>
      <c r="C646" s="113" t="s">
        <v>351</v>
      </c>
      <c r="D646" s="112" t="s">
        <v>341</v>
      </c>
      <c r="E646" s="122">
        <v>1.836805555555556</v>
      </c>
      <c r="F646" s="112" t="s">
        <v>34</v>
      </c>
      <c r="G646" s="114">
        <v>5</v>
      </c>
      <c r="H646" s="115" t="s">
        <v>118</v>
      </c>
    </row>
    <row r="647" spans="1:8" ht="19.899999999999999" customHeight="1">
      <c r="A647" s="121">
        <v>46031</v>
      </c>
      <c r="B647" s="112" t="s">
        <v>48</v>
      </c>
      <c r="C647" s="113" t="s">
        <v>382</v>
      </c>
      <c r="D647" s="112" t="s">
        <v>341</v>
      </c>
      <c r="E647" s="122">
        <v>1.118055555555556</v>
      </c>
      <c r="F647" s="112" t="s">
        <v>53</v>
      </c>
      <c r="G647" s="114">
        <v>9</v>
      </c>
      <c r="H647" s="115" t="s">
        <v>463</v>
      </c>
    </row>
    <row r="648" spans="1:8" ht="19.899999999999999" customHeight="1">
      <c r="A648" s="121">
        <v>46031</v>
      </c>
      <c r="B648" s="112" t="s">
        <v>26</v>
      </c>
      <c r="C648" s="113" t="s">
        <v>352</v>
      </c>
      <c r="D648" s="112" t="s">
        <v>341</v>
      </c>
      <c r="E648" s="122">
        <v>1.944444444444444</v>
      </c>
      <c r="F648" s="112" t="s">
        <v>34</v>
      </c>
      <c r="G648" s="114">
        <v>9</v>
      </c>
      <c r="H648" s="115" t="s">
        <v>358</v>
      </c>
    </row>
    <row r="649" spans="1:8" ht="19.899999999999999" customHeight="1">
      <c r="A649" s="121">
        <v>46031</v>
      </c>
      <c r="B649" s="112" t="s">
        <v>26</v>
      </c>
      <c r="C649" s="113" t="s">
        <v>357</v>
      </c>
      <c r="D649" s="112" t="s">
        <v>341</v>
      </c>
      <c r="E649" s="122">
        <v>1.5590277777777779</v>
      </c>
      <c r="F649" s="112" t="s">
        <v>34</v>
      </c>
      <c r="G649" s="114">
        <v>9</v>
      </c>
      <c r="H649" s="115" t="s">
        <v>358</v>
      </c>
    </row>
    <row r="650" spans="1:8" ht="19.899999999999999" customHeight="1">
      <c r="A650" s="121">
        <v>46031</v>
      </c>
      <c r="B650" s="112" t="s">
        <v>26</v>
      </c>
      <c r="C650" s="113" t="s">
        <v>354</v>
      </c>
      <c r="D650" s="112" t="s">
        <v>341</v>
      </c>
      <c r="E650" s="122">
        <v>1.3472222222222221</v>
      </c>
      <c r="F650" s="112" t="s">
        <v>28</v>
      </c>
      <c r="G650" s="114">
        <v>4</v>
      </c>
      <c r="H650" s="115" t="s">
        <v>455</v>
      </c>
    </row>
    <row r="651" spans="1:8" ht="19.899999999999999" customHeight="1">
      <c r="A651" s="121">
        <v>46031</v>
      </c>
      <c r="B651" s="112" t="s">
        <v>26</v>
      </c>
      <c r="C651" s="113" t="s">
        <v>350</v>
      </c>
      <c r="D651" s="112" t="s">
        <v>341</v>
      </c>
      <c r="E651" s="122">
        <v>1.7361111111111109</v>
      </c>
      <c r="F651" s="112" t="s">
        <v>28</v>
      </c>
      <c r="G651" s="114">
        <v>3</v>
      </c>
      <c r="H651" s="115" t="s">
        <v>455</v>
      </c>
    </row>
    <row r="652" spans="1:8" ht="19.899999999999999" customHeight="1">
      <c r="A652" s="121">
        <v>46031</v>
      </c>
      <c r="B652" s="112" t="s">
        <v>38</v>
      </c>
      <c r="C652" s="113" t="s">
        <v>346</v>
      </c>
      <c r="D652" s="112" t="s">
        <v>341</v>
      </c>
      <c r="E652" s="122">
        <v>1.399305555555556</v>
      </c>
      <c r="F652" s="112" t="s">
        <v>46</v>
      </c>
      <c r="G652" s="114">
        <v>17</v>
      </c>
      <c r="H652" s="115" t="s">
        <v>47</v>
      </c>
    </row>
    <row r="653" spans="1:8" ht="19.899999999999999" customHeight="1">
      <c r="A653" s="121">
        <v>46031</v>
      </c>
      <c r="B653" s="112" t="s">
        <v>38</v>
      </c>
      <c r="C653" s="113" t="s">
        <v>342</v>
      </c>
      <c r="D653" s="112" t="s">
        <v>341</v>
      </c>
      <c r="E653" s="122">
        <v>1.489583333333333</v>
      </c>
      <c r="F653" s="112" t="s">
        <v>46</v>
      </c>
      <c r="G653" s="114">
        <v>5</v>
      </c>
      <c r="H653" s="115" t="s">
        <v>47</v>
      </c>
    </row>
    <row r="654" spans="1:8" ht="19.899999999999999" customHeight="1">
      <c r="A654" s="121">
        <v>46031</v>
      </c>
      <c r="B654" s="112" t="s">
        <v>38</v>
      </c>
      <c r="C654" s="113" t="s">
        <v>344</v>
      </c>
      <c r="D654" s="112" t="s">
        <v>341</v>
      </c>
      <c r="E654" s="122">
        <v>1.8888888888888891</v>
      </c>
      <c r="F654" s="112" t="s">
        <v>46</v>
      </c>
      <c r="G654" s="114">
        <v>17</v>
      </c>
      <c r="H654" s="115" t="s">
        <v>47</v>
      </c>
    </row>
    <row r="655" spans="1:8" ht="19.899999999999999" customHeight="1">
      <c r="A655" s="121">
        <v>46031</v>
      </c>
      <c r="B655" s="112" t="s">
        <v>38</v>
      </c>
      <c r="C655" s="113" t="s">
        <v>345</v>
      </c>
      <c r="D655" s="112" t="s">
        <v>341</v>
      </c>
      <c r="E655" s="122">
        <v>1.989583333333333</v>
      </c>
      <c r="F655" s="112" t="s">
        <v>46</v>
      </c>
      <c r="G655" s="114">
        <v>18</v>
      </c>
      <c r="H655" s="115" t="s">
        <v>47</v>
      </c>
    </row>
    <row r="656" spans="1:8" ht="19.899999999999999" customHeight="1">
      <c r="A656" s="121">
        <v>46031</v>
      </c>
      <c r="B656" s="112" t="s">
        <v>48</v>
      </c>
      <c r="C656" s="113" t="s">
        <v>396</v>
      </c>
      <c r="D656" s="112" t="s">
        <v>341</v>
      </c>
      <c r="E656" s="122">
        <v>1.489583333333333</v>
      </c>
      <c r="F656" s="112" t="s">
        <v>53</v>
      </c>
      <c r="G656" s="114">
        <v>4</v>
      </c>
      <c r="H656" s="115" t="s">
        <v>395</v>
      </c>
    </row>
    <row r="657" spans="1:8" ht="19.899999999999999" customHeight="1">
      <c r="A657" s="121">
        <v>46031</v>
      </c>
      <c r="B657" s="112" t="s">
        <v>26</v>
      </c>
      <c r="C657" s="113" t="s">
        <v>354</v>
      </c>
      <c r="D657" s="112" t="s">
        <v>341</v>
      </c>
      <c r="E657" s="122">
        <v>1.3472222222222221</v>
      </c>
      <c r="F657" s="112" t="s">
        <v>31</v>
      </c>
      <c r="G657" s="114">
        <v>4</v>
      </c>
      <c r="H657" s="115" t="s">
        <v>456</v>
      </c>
    </row>
    <row r="658" spans="1:8" ht="19.899999999999999" customHeight="1">
      <c r="A658" s="121">
        <v>46031</v>
      </c>
      <c r="B658" s="112" t="s">
        <v>26</v>
      </c>
      <c r="C658" s="113" t="s">
        <v>350</v>
      </c>
      <c r="D658" s="112" t="s">
        <v>341</v>
      </c>
      <c r="E658" s="122">
        <v>1.7361111111111109</v>
      </c>
      <c r="F658" s="112" t="s">
        <v>31</v>
      </c>
      <c r="G658" s="114">
        <v>3</v>
      </c>
      <c r="H658" s="115" t="s">
        <v>456</v>
      </c>
    </row>
    <row r="659" spans="1:8" ht="19.899999999999999" customHeight="1">
      <c r="A659" s="121">
        <v>46031</v>
      </c>
      <c r="B659" s="112" t="s">
        <v>48</v>
      </c>
      <c r="C659" s="113" t="s">
        <v>398</v>
      </c>
      <c r="D659" s="112" t="s">
        <v>341</v>
      </c>
      <c r="E659" s="122">
        <v>1.399305555555556</v>
      </c>
      <c r="F659" s="112" t="s">
        <v>53</v>
      </c>
      <c r="G659" s="114">
        <v>4</v>
      </c>
      <c r="H659" s="115" t="s">
        <v>481</v>
      </c>
    </row>
    <row r="660" spans="1:8" ht="19.899999999999999" customHeight="1">
      <c r="A660" s="121">
        <v>46031</v>
      </c>
      <c r="B660" s="112" t="s">
        <v>48</v>
      </c>
      <c r="C660" s="113" t="s">
        <v>397</v>
      </c>
      <c r="D660" s="112" t="s">
        <v>341</v>
      </c>
      <c r="E660" s="122">
        <v>1.8888888888888891</v>
      </c>
      <c r="F660" s="112" t="s">
        <v>53</v>
      </c>
      <c r="G660" s="114">
        <v>4</v>
      </c>
      <c r="H660" s="115" t="s">
        <v>481</v>
      </c>
    </row>
    <row r="661" spans="1:8" ht="19.899999999999999" customHeight="1">
      <c r="A661" s="121">
        <v>46031</v>
      </c>
      <c r="B661" s="112" t="s">
        <v>48</v>
      </c>
      <c r="C661" s="113" t="s">
        <v>394</v>
      </c>
      <c r="D661" s="112" t="s">
        <v>341</v>
      </c>
      <c r="E661" s="122">
        <v>1.989583333333333</v>
      </c>
      <c r="F661" s="112" t="s">
        <v>53</v>
      </c>
      <c r="G661" s="114">
        <v>4</v>
      </c>
      <c r="H661" s="115" t="s">
        <v>438</v>
      </c>
    </row>
    <row r="662" spans="1:8" ht="19.899999999999999" customHeight="1">
      <c r="A662" s="121">
        <v>46031</v>
      </c>
      <c r="B662" s="112" t="s">
        <v>26</v>
      </c>
      <c r="C662" s="113" t="s">
        <v>354</v>
      </c>
      <c r="D662" s="112" t="s">
        <v>341</v>
      </c>
      <c r="E662" s="122">
        <v>1.3472222222222221</v>
      </c>
      <c r="F662" s="112" t="s">
        <v>34</v>
      </c>
      <c r="G662" s="114">
        <v>4</v>
      </c>
      <c r="H662" s="115" t="s">
        <v>457</v>
      </c>
    </row>
    <row r="663" spans="1:8" ht="19.899999999999999" customHeight="1">
      <c r="A663" s="121">
        <v>46031</v>
      </c>
      <c r="B663" s="112" t="s">
        <v>26</v>
      </c>
      <c r="C663" s="113" t="s">
        <v>350</v>
      </c>
      <c r="D663" s="112" t="s">
        <v>341</v>
      </c>
      <c r="E663" s="122">
        <v>1.7361111111111109</v>
      </c>
      <c r="F663" s="112" t="s">
        <v>34</v>
      </c>
      <c r="G663" s="114">
        <v>3</v>
      </c>
      <c r="H663" s="115" t="s">
        <v>457</v>
      </c>
    </row>
    <row r="664" spans="1:8" ht="19.899999999999999" customHeight="1">
      <c r="A664" s="123">
        <v>46031</v>
      </c>
      <c r="B664" s="124" t="s">
        <v>415</v>
      </c>
      <c r="C664" s="125" t="s">
        <v>416</v>
      </c>
      <c r="D664" s="124" t="s">
        <v>341</v>
      </c>
      <c r="E664" s="126">
        <v>1.0972222222222221</v>
      </c>
      <c r="F664" s="124" t="s">
        <v>63</v>
      </c>
      <c r="G664" s="127">
        <v>9</v>
      </c>
      <c r="H664" s="128" t="s">
        <v>417</v>
      </c>
    </row>
    <row r="665" spans="1:8" ht="19.899999999999999" customHeight="1">
      <c r="A665" s="121">
        <v>46032</v>
      </c>
      <c r="B665" s="112" t="s">
        <v>38</v>
      </c>
      <c r="C665" s="113" t="s">
        <v>345</v>
      </c>
      <c r="D665" s="112" t="s">
        <v>341</v>
      </c>
      <c r="E665" s="122">
        <v>1.989583333333333</v>
      </c>
      <c r="F665" s="112" t="s">
        <v>40</v>
      </c>
      <c r="G665" s="114">
        <v>10</v>
      </c>
      <c r="H665" s="115" t="s">
        <v>81</v>
      </c>
    </row>
    <row r="666" spans="1:8" ht="19.899999999999999" customHeight="1">
      <c r="A666" s="121">
        <v>46032</v>
      </c>
      <c r="B666" s="112" t="s">
        <v>38</v>
      </c>
      <c r="C666" s="113" t="s">
        <v>342</v>
      </c>
      <c r="D666" s="112" t="s">
        <v>341</v>
      </c>
      <c r="E666" s="122">
        <v>1.489583333333333</v>
      </c>
      <c r="F666" s="112" t="s">
        <v>40</v>
      </c>
      <c r="G666" s="114">
        <v>17</v>
      </c>
      <c r="H666" s="115" t="s">
        <v>30</v>
      </c>
    </row>
    <row r="667" spans="1:8" ht="19.899999999999999" customHeight="1">
      <c r="A667" s="121">
        <v>46032</v>
      </c>
      <c r="B667" s="112" t="s">
        <v>359</v>
      </c>
      <c r="C667" s="113" t="s">
        <v>445</v>
      </c>
      <c r="D667" s="112" t="s">
        <v>341</v>
      </c>
      <c r="E667" s="122">
        <v>1.055555555555556</v>
      </c>
      <c r="F667" s="112" t="s">
        <v>361</v>
      </c>
      <c r="G667" s="114">
        <v>9</v>
      </c>
      <c r="H667" s="115" t="s">
        <v>423</v>
      </c>
    </row>
    <row r="668" spans="1:8" ht="19.899999999999999" customHeight="1">
      <c r="A668" s="121">
        <v>46032</v>
      </c>
      <c r="B668" s="112" t="s">
        <v>359</v>
      </c>
      <c r="C668" s="113" t="s">
        <v>360</v>
      </c>
      <c r="D668" s="112" t="s">
        <v>341</v>
      </c>
      <c r="E668" s="122">
        <v>1.1701388888888891</v>
      </c>
      <c r="F668" s="112" t="s">
        <v>361</v>
      </c>
      <c r="G668" s="114">
        <v>9</v>
      </c>
      <c r="H668" s="115" t="s">
        <v>484</v>
      </c>
    </row>
    <row r="669" spans="1:8" ht="19.899999999999999" customHeight="1">
      <c r="A669" s="121">
        <v>46032</v>
      </c>
      <c r="B669" s="112" t="s">
        <v>38</v>
      </c>
      <c r="C669" s="113" t="s">
        <v>346</v>
      </c>
      <c r="D669" s="112" t="s">
        <v>341</v>
      </c>
      <c r="E669" s="122">
        <v>1.399305555555556</v>
      </c>
      <c r="F669" s="112" t="s">
        <v>40</v>
      </c>
      <c r="G669" s="114">
        <v>17</v>
      </c>
      <c r="H669" s="115" t="s">
        <v>347</v>
      </c>
    </row>
    <row r="670" spans="1:8" ht="19.899999999999999" customHeight="1">
      <c r="A670" s="129">
        <v>46032</v>
      </c>
      <c r="B670" s="117" t="s">
        <v>61</v>
      </c>
      <c r="C670" s="118" t="s">
        <v>371</v>
      </c>
      <c r="D670" s="117" t="s">
        <v>341</v>
      </c>
      <c r="E670" s="130">
        <v>1.0486111111111109</v>
      </c>
      <c r="F670" s="117" t="s">
        <v>63</v>
      </c>
      <c r="G670" s="119">
        <v>3</v>
      </c>
      <c r="H670" s="120" t="s">
        <v>365</v>
      </c>
    </row>
    <row r="671" spans="1:8" ht="19.899999999999999" customHeight="1">
      <c r="A671" s="129">
        <v>46032</v>
      </c>
      <c r="B671" s="117" t="s">
        <v>61</v>
      </c>
      <c r="C671" s="118" t="s">
        <v>375</v>
      </c>
      <c r="D671" s="117" t="s">
        <v>341</v>
      </c>
      <c r="E671" s="130">
        <v>1.15625</v>
      </c>
      <c r="F671" s="117" t="s">
        <v>63</v>
      </c>
      <c r="G671" s="119">
        <v>4</v>
      </c>
      <c r="H671" s="120" t="s">
        <v>365</v>
      </c>
    </row>
    <row r="672" spans="1:8" ht="19.899999999999999" customHeight="1">
      <c r="A672" s="129">
        <v>46032</v>
      </c>
      <c r="B672" s="117" t="s">
        <v>61</v>
      </c>
      <c r="C672" s="118" t="s">
        <v>377</v>
      </c>
      <c r="D672" s="117" t="s">
        <v>341</v>
      </c>
      <c r="E672" s="130">
        <v>1.5034722222222221</v>
      </c>
      <c r="F672" s="117" t="s">
        <v>63</v>
      </c>
      <c r="G672" s="119">
        <v>1</v>
      </c>
      <c r="H672" s="120" t="s">
        <v>365</v>
      </c>
    </row>
    <row r="673" spans="1:8" ht="19.899999999999999" customHeight="1">
      <c r="A673" s="121">
        <v>46032</v>
      </c>
      <c r="B673" s="112" t="s">
        <v>38</v>
      </c>
      <c r="C673" s="113" t="s">
        <v>344</v>
      </c>
      <c r="D673" s="112" t="s">
        <v>341</v>
      </c>
      <c r="E673" s="122">
        <v>1.8888888888888891</v>
      </c>
      <c r="F673" s="112" t="s">
        <v>40</v>
      </c>
      <c r="G673" s="114">
        <v>12</v>
      </c>
      <c r="H673" s="115" t="s">
        <v>121</v>
      </c>
    </row>
    <row r="674" spans="1:8" ht="19.899999999999999" customHeight="1">
      <c r="A674" s="121">
        <v>46032</v>
      </c>
      <c r="B674" s="112" t="s">
        <v>26</v>
      </c>
      <c r="C674" s="113" t="s">
        <v>348</v>
      </c>
      <c r="D674" s="112" t="s">
        <v>341</v>
      </c>
      <c r="E674" s="122">
        <v>1.993055555555556</v>
      </c>
      <c r="F674" s="112" t="s">
        <v>28</v>
      </c>
      <c r="G674" s="114">
        <v>4</v>
      </c>
      <c r="H674" s="115" t="s">
        <v>83</v>
      </c>
    </row>
    <row r="675" spans="1:8" ht="19.899999999999999" customHeight="1">
      <c r="A675" s="121">
        <v>46032</v>
      </c>
      <c r="B675" s="112" t="s">
        <v>26</v>
      </c>
      <c r="C675" s="113" t="s">
        <v>353</v>
      </c>
      <c r="D675" s="112" t="s">
        <v>341</v>
      </c>
      <c r="E675" s="122">
        <v>1.8888888888888891</v>
      </c>
      <c r="F675" s="112" t="s">
        <v>28</v>
      </c>
      <c r="G675" s="114">
        <v>1</v>
      </c>
      <c r="H675" s="115" t="s">
        <v>83</v>
      </c>
    </row>
    <row r="676" spans="1:8" ht="19.899999999999999" customHeight="1">
      <c r="A676" s="121">
        <v>46032</v>
      </c>
      <c r="B676" s="112" t="s">
        <v>48</v>
      </c>
      <c r="C676" s="113" t="s">
        <v>389</v>
      </c>
      <c r="D676" s="112" t="s">
        <v>341</v>
      </c>
      <c r="E676" s="122">
        <v>1.7048611111111109</v>
      </c>
      <c r="F676" s="112" t="s">
        <v>50</v>
      </c>
      <c r="G676" s="114">
        <v>1</v>
      </c>
      <c r="H676" s="115" t="s">
        <v>383</v>
      </c>
    </row>
    <row r="677" spans="1:8" ht="19.899999999999999" customHeight="1">
      <c r="A677" s="121">
        <v>46032</v>
      </c>
      <c r="B677" s="112" t="s">
        <v>402</v>
      </c>
      <c r="C677" s="113" t="s">
        <v>403</v>
      </c>
      <c r="D677" s="112" t="s">
        <v>341</v>
      </c>
      <c r="E677" s="122">
        <v>1.493055555555556</v>
      </c>
      <c r="F677" s="112" t="s">
        <v>63</v>
      </c>
      <c r="G677" s="114">
        <v>5</v>
      </c>
      <c r="H677" s="115" t="s">
        <v>404</v>
      </c>
    </row>
    <row r="678" spans="1:8" ht="19.899999999999999" customHeight="1">
      <c r="A678" s="129">
        <v>46032</v>
      </c>
      <c r="B678" s="117" t="s">
        <v>61</v>
      </c>
      <c r="C678" s="118" t="s">
        <v>364</v>
      </c>
      <c r="D678" s="117" t="s">
        <v>341</v>
      </c>
      <c r="E678" s="130">
        <v>1.90625</v>
      </c>
      <c r="F678" s="117" t="s">
        <v>63</v>
      </c>
      <c r="G678" s="119">
        <v>7</v>
      </c>
      <c r="H678" s="120" t="s">
        <v>79</v>
      </c>
    </row>
    <row r="679" spans="1:8" ht="19.899999999999999" customHeight="1">
      <c r="A679" s="121">
        <v>46032</v>
      </c>
      <c r="B679" s="112" t="s">
        <v>48</v>
      </c>
      <c r="C679" s="113" t="s">
        <v>385</v>
      </c>
      <c r="D679" s="112" t="s">
        <v>341</v>
      </c>
      <c r="E679" s="122">
        <v>1.9409722222222221</v>
      </c>
      <c r="F679" s="112" t="s">
        <v>50</v>
      </c>
      <c r="G679" s="114">
        <v>8</v>
      </c>
      <c r="H679" s="115" t="s">
        <v>79</v>
      </c>
    </row>
    <row r="680" spans="1:8" ht="19.899999999999999" customHeight="1">
      <c r="A680" s="121">
        <v>46032</v>
      </c>
      <c r="B680" s="112" t="s">
        <v>26</v>
      </c>
      <c r="C680" s="113" t="s">
        <v>350</v>
      </c>
      <c r="D680" s="112" t="s">
        <v>341</v>
      </c>
      <c r="E680" s="122">
        <v>1.7361111111111109</v>
      </c>
      <c r="F680" s="112" t="s">
        <v>28</v>
      </c>
      <c r="G680" s="114">
        <v>5</v>
      </c>
      <c r="H680" s="115" t="s">
        <v>79</v>
      </c>
    </row>
    <row r="681" spans="1:8" ht="19.899999999999999" customHeight="1">
      <c r="A681" s="121">
        <v>46032</v>
      </c>
      <c r="B681" s="112" t="s">
        <v>26</v>
      </c>
      <c r="C681" s="113" t="s">
        <v>351</v>
      </c>
      <c r="D681" s="112" t="s">
        <v>341</v>
      </c>
      <c r="E681" s="122">
        <v>1.836805555555556</v>
      </c>
      <c r="F681" s="112" t="s">
        <v>28</v>
      </c>
      <c r="G681" s="114">
        <v>5</v>
      </c>
      <c r="H681" s="115" t="s">
        <v>79</v>
      </c>
    </row>
    <row r="682" spans="1:8" ht="19.899999999999999" customHeight="1">
      <c r="A682" s="121">
        <v>46032</v>
      </c>
      <c r="B682" s="112" t="s">
        <v>26</v>
      </c>
      <c r="C682" s="113" t="s">
        <v>356</v>
      </c>
      <c r="D682" s="112" t="s">
        <v>341</v>
      </c>
      <c r="E682" s="122">
        <v>1.4861111111111109</v>
      </c>
      <c r="F682" s="112" t="s">
        <v>28</v>
      </c>
      <c r="G682" s="114">
        <v>5</v>
      </c>
      <c r="H682" s="115" t="s">
        <v>79</v>
      </c>
    </row>
    <row r="683" spans="1:8" ht="19.899999999999999" customHeight="1">
      <c r="A683" s="121">
        <v>46032</v>
      </c>
      <c r="B683" s="112" t="s">
        <v>38</v>
      </c>
      <c r="C683" s="113" t="s">
        <v>345</v>
      </c>
      <c r="D683" s="112" t="s">
        <v>341</v>
      </c>
      <c r="E683" s="122">
        <v>1.989583333333333</v>
      </c>
      <c r="F683" s="112" t="s">
        <v>43</v>
      </c>
      <c r="G683" s="114">
        <v>10</v>
      </c>
      <c r="H683" s="115" t="s">
        <v>161</v>
      </c>
    </row>
    <row r="684" spans="1:8" ht="19.899999999999999" customHeight="1">
      <c r="A684" s="121">
        <v>46032</v>
      </c>
      <c r="B684" s="112" t="s">
        <v>38</v>
      </c>
      <c r="C684" s="113" t="s">
        <v>342</v>
      </c>
      <c r="D684" s="112" t="s">
        <v>341</v>
      </c>
      <c r="E684" s="122">
        <v>1.489583333333333</v>
      </c>
      <c r="F684" s="112" t="s">
        <v>43</v>
      </c>
      <c r="G684" s="114">
        <v>17</v>
      </c>
      <c r="H684" s="115" t="s">
        <v>420</v>
      </c>
    </row>
    <row r="685" spans="1:8" ht="19.899999999999999" customHeight="1">
      <c r="A685" s="121">
        <v>46032</v>
      </c>
      <c r="B685" s="112" t="s">
        <v>26</v>
      </c>
      <c r="C685" s="113" t="s">
        <v>352</v>
      </c>
      <c r="D685" s="112" t="s">
        <v>341</v>
      </c>
      <c r="E685" s="122">
        <v>1.944444444444444</v>
      </c>
      <c r="F685" s="112" t="s">
        <v>28</v>
      </c>
      <c r="G685" s="114">
        <v>9</v>
      </c>
      <c r="H685" s="115" t="s">
        <v>45</v>
      </c>
    </row>
    <row r="686" spans="1:8" ht="19.899999999999999" customHeight="1">
      <c r="A686" s="121">
        <v>46032</v>
      </c>
      <c r="B686" s="112" t="s">
        <v>26</v>
      </c>
      <c r="C686" s="113" t="s">
        <v>357</v>
      </c>
      <c r="D686" s="112" t="s">
        <v>341</v>
      </c>
      <c r="E686" s="122">
        <v>1.3923611111111109</v>
      </c>
      <c r="F686" s="112" t="s">
        <v>28</v>
      </c>
      <c r="G686" s="114">
        <v>9</v>
      </c>
      <c r="H686" s="115" t="s">
        <v>45</v>
      </c>
    </row>
    <row r="687" spans="1:8" ht="19.899999999999999" customHeight="1">
      <c r="A687" s="121">
        <v>46032</v>
      </c>
      <c r="B687" s="112" t="s">
        <v>26</v>
      </c>
      <c r="C687" s="113" t="s">
        <v>348</v>
      </c>
      <c r="D687" s="112" t="s">
        <v>341</v>
      </c>
      <c r="E687" s="122">
        <v>1.993055555555556</v>
      </c>
      <c r="F687" s="112" t="s">
        <v>31</v>
      </c>
      <c r="G687" s="114">
        <v>4</v>
      </c>
      <c r="H687" s="115" t="s">
        <v>159</v>
      </c>
    </row>
    <row r="688" spans="1:8" ht="19.899999999999999" customHeight="1">
      <c r="A688" s="121">
        <v>46032</v>
      </c>
      <c r="B688" s="112" t="s">
        <v>26</v>
      </c>
      <c r="C688" s="113" t="s">
        <v>353</v>
      </c>
      <c r="D688" s="112" t="s">
        <v>341</v>
      </c>
      <c r="E688" s="122">
        <v>1.8888888888888891</v>
      </c>
      <c r="F688" s="112" t="s">
        <v>31</v>
      </c>
      <c r="G688" s="114">
        <v>1</v>
      </c>
      <c r="H688" s="115" t="s">
        <v>159</v>
      </c>
    </row>
    <row r="689" spans="1:8" ht="19.899999999999999" customHeight="1">
      <c r="A689" s="121">
        <v>46032</v>
      </c>
      <c r="B689" s="112" t="s">
        <v>38</v>
      </c>
      <c r="C689" s="113" t="s">
        <v>346</v>
      </c>
      <c r="D689" s="112" t="s">
        <v>341</v>
      </c>
      <c r="E689" s="122">
        <v>1.399305555555556</v>
      </c>
      <c r="F689" s="112" t="s">
        <v>43</v>
      </c>
      <c r="G689" s="114">
        <v>17</v>
      </c>
      <c r="H689" s="115" t="s">
        <v>138</v>
      </c>
    </row>
    <row r="690" spans="1:8" ht="19.899999999999999" customHeight="1">
      <c r="A690" s="121">
        <v>46032</v>
      </c>
      <c r="B690" s="112" t="s">
        <v>68</v>
      </c>
      <c r="C690" s="113" t="s">
        <v>405</v>
      </c>
      <c r="D690" s="112" t="s">
        <v>341</v>
      </c>
      <c r="E690" s="122">
        <v>1.836805555555556</v>
      </c>
      <c r="F690" s="112" t="s">
        <v>70</v>
      </c>
      <c r="G690" s="114">
        <v>9</v>
      </c>
      <c r="H690" s="115" t="s">
        <v>406</v>
      </c>
    </row>
    <row r="691" spans="1:8" ht="19.899999999999999" customHeight="1">
      <c r="A691" s="121">
        <v>46032</v>
      </c>
      <c r="B691" s="112" t="s">
        <v>68</v>
      </c>
      <c r="C691" s="113" t="s">
        <v>407</v>
      </c>
      <c r="D691" s="112" t="s">
        <v>341</v>
      </c>
      <c r="E691" s="122">
        <v>1.3125</v>
      </c>
      <c r="F691" s="112" t="s">
        <v>70</v>
      </c>
      <c r="G691" s="114">
        <v>9</v>
      </c>
      <c r="H691" s="115" t="s">
        <v>406</v>
      </c>
    </row>
    <row r="692" spans="1:8" ht="19.899999999999999" customHeight="1">
      <c r="A692" s="121">
        <v>46032</v>
      </c>
      <c r="B692" s="112" t="s">
        <v>68</v>
      </c>
      <c r="C692" s="113" t="s">
        <v>408</v>
      </c>
      <c r="D692" s="112" t="s">
        <v>341</v>
      </c>
      <c r="E692" s="122">
        <v>1.9722222222222221</v>
      </c>
      <c r="F692" s="112" t="s">
        <v>70</v>
      </c>
      <c r="G692" s="114">
        <v>9</v>
      </c>
      <c r="H692" s="115" t="s">
        <v>406</v>
      </c>
    </row>
    <row r="693" spans="1:8" ht="19.899999999999999" customHeight="1">
      <c r="A693" s="121">
        <v>46032</v>
      </c>
      <c r="B693" s="112" t="s">
        <v>68</v>
      </c>
      <c r="C693" s="113" t="s">
        <v>437</v>
      </c>
      <c r="D693" s="112" t="s">
        <v>341</v>
      </c>
      <c r="E693" s="122">
        <v>1.104166666666667</v>
      </c>
      <c r="F693" s="112" t="s">
        <v>70</v>
      </c>
      <c r="G693" s="114">
        <v>9</v>
      </c>
      <c r="H693" s="115" t="s">
        <v>406</v>
      </c>
    </row>
    <row r="694" spans="1:8" ht="19.899999999999999" customHeight="1">
      <c r="A694" s="121">
        <v>46032</v>
      </c>
      <c r="B694" s="112" t="s">
        <v>68</v>
      </c>
      <c r="C694" s="113" t="s">
        <v>411</v>
      </c>
      <c r="D694" s="112" t="s">
        <v>341</v>
      </c>
      <c r="E694" s="122">
        <v>1.7847222222222221</v>
      </c>
      <c r="F694" s="112" t="s">
        <v>70</v>
      </c>
      <c r="G694" s="114">
        <v>9</v>
      </c>
      <c r="H694" s="115" t="s">
        <v>406</v>
      </c>
    </row>
    <row r="695" spans="1:8" ht="19.899999999999999" customHeight="1">
      <c r="A695" s="121">
        <v>46032</v>
      </c>
      <c r="B695" s="112" t="s">
        <v>68</v>
      </c>
      <c r="C695" s="113" t="s">
        <v>410</v>
      </c>
      <c r="D695" s="112" t="s">
        <v>341</v>
      </c>
      <c r="E695" s="122">
        <v>1.5972222222222221</v>
      </c>
      <c r="F695" s="112" t="s">
        <v>70</v>
      </c>
      <c r="G695" s="114">
        <v>9</v>
      </c>
      <c r="H695" s="115" t="s">
        <v>406</v>
      </c>
    </row>
    <row r="696" spans="1:8" ht="19.899999999999999" customHeight="1">
      <c r="A696" s="121">
        <v>46032</v>
      </c>
      <c r="B696" s="112" t="s">
        <v>68</v>
      </c>
      <c r="C696" s="113" t="s">
        <v>413</v>
      </c>
      <c r="D696" s="112" t="s">
        <v>341</v>
      </c>
      <c r="E696" s="122">
        <v>1.0486111111111109</v>
      </c>
      <c r="F696" s="112" t="s">
        <v>70</v>
      </c>
      <c r="G696" s="114">
        <v>9</v>
      </c>
      <c r="H696" s="115" t="s">
        <v>406</v>
      </c>
    </row>
    <row r="697" spans="1:8" ht="19.899999999999999" customHeight="1">
      <c r="A697" s="121">
        <v>46032</v>
      </c>
      <c r="B697" s="112" t="s">
        <v>48</v>
      </c>
      <c r="C697" s="113" t="s">
        <v>382</v>
      </c>
      <c r="D697" s="112" t="s">
        <v>341</v>
      </c>
      <c r="E697" s="122">
        <v>1.118055555555556</v>
      </c>
      <c r="F697" s="112" t="s">
        <v>50</v>
      </c>
      <c r="G697" s="114">
        <v>9</v>
      </c>
      <c r="H697" s="115" t="s">
        <v>462</v>
      </c>
    </row>
    <row r="698" spans="1:8" ht="19.899999999999999" customHeight="1">
      <c r="A698" s="121">
        <v>46032</v>
      </c>
      <c r="B698" s="112" t="s">
        <v>48</v>
      </c>
      <c r="C698" s="113" t="s">
        <v>390</v>
      </c>
      <c r="D698" s="112" t="s">
        <v>341</v>
      </c>
      <c r="E698" s="122">
        <v>1.041666666666667</v>
      </c>
      <c r="F698" s="112" t="s">
        <v>50</v>
      </c>
      <c r="G698" s="114">
        <v>9</v>
      </c>
      <c r="H698" s="115" t="s">
        <v>462</v>
      </c>
    </row>
    <row r="699" spans="1:8" ht="19.899999999999999" customHeight="1">
      <c r="A699" s="121">
        <v>46032</v>
      </c>
      <c r="B699" s="112" t="s">
        <v>48</v>
      </c>
      <c r="C699" s="113" t="s">
        <v>388</v>
      </c>
      <c r="D699" s="112" t="s">
        <v>341</v>
      </c>
      <c r="E699" s="122">
        <v>1.7222222222222221</v>
      </c>
      <c r="F699" s="112" t="s">
        <v>50</v>
      </c>
      <c r="G699" s="114">
        <v>7</v>
      </c>
      <c r="H699" s="115" t="s">
        <v>486</v>
      </c>
    </row>
    <row r="700" spans="1:8" ht="19.899999999999999" customHeight="1">
      <c r="A700" s="121">
        <v>46032</v>
      </c>
      <c r="B700" s="112" t="s">
        <v>48</v>
      </c>
      <c r="C700" s="113" t="s">
        <v>389</v>
      </c>
      <c r="D700" s="112" t="s">
        <v>341</v>
      </c>
      <c r="E700" s="122">
        <v>1.7048611111111109</v>
      </c>
      <c r="F700" s="112" t="s">
        <v>53</v>
      </c>
      <c r="G700" s="114">
        <v>1</v>
      </c>
      <c r="H700" s="115" t="s">
        <v>384</v>
      </c>
    </row>
    <row r="701" spans="1:8" ht="19.899999999999999" customHeight="1">
      <c r="A701" s="121">
        <v>46032</v>
      </c>
      <c r="B701" s="112" t="s">
        <v>38</v>
      </c>
      <c r="C701" s="113" t="s">
        <v>344</v>
      </c>
      <c r="D701" s="112" t="s">
        <v>341</v>
      </c>
      <c r="E701" s="122">
        <v>1.8888888888888891</v>
      </c>
      <c r="F701" s="112" t="s">
        <v>43</v>
      </c>
      <c r="G701" s="114">
        <v>12</v>
      </c>
      <c r="H701" s="115" t="s">
        <v>123</v>
      </c>
    </row>
    <row r="702" spans="1:8" ht="19.899999999999999" customHeight="1">
      <c r="A702" s="121">
        <v>46032</v>
      </c>
      <c r="B702" s="112" t="s">
        <v>26</v>
      </c>
      <c r="C702" s="113" t="s">
        <v>350</v>
      </c>
      <c r="D702" s="112" t="s">
        <v>341</v>
      </c>
      <c r="E702" s="122">
        <v>1.7361111111111109</v>
      </c>
      <c r="F702" s="112" t="s">
        <v>31</v>
      </c>
      <c r="G702" s="114">
        <v>5</v>
      </c>
      <c r="H702" s="115" t="s">
        <v>123</v>
      </c>
    </row>
    <row r="703" spans="1:8" ht="19.899999999999999" customHeight="1">
      <c r="A703" s="121">
        <v>46032</v>
      </c>
      <c r="B703" s="112" t="s">
        <v>26</v>
      </c>
      <c r="C703" s="113" t="s">
        <v>351</v>
      </c>
      <c r="D703" s="112" t="s">
        <v>341</v>
      </c>
      <c r="E703" s="122">
        <v>1.836805555555556</v>
      </c>
      <c r="F703" s="112" t="s">
        <v>31</v>
      </c>
      <c r="G703" s="114">
        <v>5</v>
      </c>
      <c r="H703" s="115" t="s">
        <v>123</v>
      </c>
    </row>
    <row r="704" spans="1:8" ht="19.899999999999999" customHeight="1">
      <c r="A704" s="121">
        <v>46032</v>
      </c>
      <c r="B704" s="112" t="s">
        <v>26</v>
      </c>
      <c r="C704" s="113" t="s">
        <v>356</v>
      </c>
      <c r="D704" s="112" t="s">
        <v>341</v>
      </c>
      <c r="E704" s="122">
        <v>1.4861111111111109</v>
      </c>
      <c r="F704" s="112" t="s">
        <v>31</v>
      </c>
      <c r="G704" s="114">
        <v>5</v>
      </c>
      <c r="H704" s="115" t="s">
        <v>123</v>
      </c>
    </row>
    <row r="705" spans="1:8" ht="19.899999999999999" customHeight="1">
      <c r="A705" s="121">
        <v>46032</v>
      </c>
      <c r="B705" s="112" t="s">
        <v>359</v>
      </c>
      <c r="C705" s="113" t="s">
        <v>445</v>
      </c>
      <c r="D705" s="112" t="s">
        <v>341</v>
      </c>
      <c r="E705" s="122">
        <v>1.055555555555556</v>
      </c>
      <c r="F705" s="112" t="s">
        <v>46</v>
      </c>
      <c r="G705" s="114">
        <v>9</v>
      </c>
      <c r="H705" s="115" t="s">
        <v>424</v>
      </c>
    </row>
    <row r="706" spans="1:8" ht="19.899999999999999" customHeight="1">
      <c r="A706" s="121">
        <v>46032</v>
      </c>
      <c r="B706" s="112" t="s">
        <v>48</v>
      </c>
      <c r="C706" s="113" t="s">
        <v>385</v>
      </c>
      <c r="D706" s="112" t="s">
        <v>341</v>
      </c>
      <c r="E706" s="122">
        <v>1.9409722222222221</v>
      </c>
      <c r="F706" s="112" t="s">
        <v>53</v>
      </c>
      <c r="G706" s="114">
        <v>8</v>
      </c>
      <c r="H706" s="115" t="s">
        <v>387</v>
      </c>
    </row>
    <row r="707" spans="1:8" ht="19.899999999999999" customHeight="1">
      <c r="A707" s="121">
        <v>46032</v>
      </c>
      <c r="B707" s="112" t="s">
        <v>68</v>
      </c>
      <c r="C707" s="113" t="s">
        <v>409</v>
      </c>
      <c r="D707" s="112" t="s">
        <v>341</v>
      </c>
      <c r="E707" s="122">
        <v>1.3402777777777779</v>
      </c>
      <c r="F707" s="112" t="s">
        <v>70</v>
      </c>
      <c r="G707" s="114">
        <v>9</v>
      </c>
      <c r="H707" s="115" t="s">
        <v>412</v>
      </c>
    </row>
    <row r="708" spans="1:8" ht="19.899999999999999" customHeight="1">
      <c r="A708" s="121">
        <v>46032</v>
      </c>
      <c r="B708" s="112" t="s">
        <v>26</v>
      </c>
      <c r="C708" s="113" t="s">
        <v>348</v>
      </c>
      <c r="D708" s="112" t="s">
        <v>341</v>
      </c>
      <c r="E708" s="122">
        <v>1.993055555555556</v>
      </c>
      <c r="F708" s="112" t="s">
        <v>34</v>
      </c>
      <c r="G708" s="114">
        <v>4</v>
      </c>
      <c r="H708" s="115" t="s">
        <v>355</v>
      </c>
    </row>
    <row r="709" spans="1:8" ht="19.899999999999999" customHeight="1">
      <c r="A709" s="121">
        <v>46032</v>
      </c>
      <c r="B709" s="112" t="s">
        <v>26</v>
      </c>
      <c r="C709" s="113" t="s">
        <v>352</v>
      </c>
      <c r="D709" s="112" t="s">
        <v>341</v>
      </c>
      <c r="E709" s="122">
        <v>1.944444444444444</v>
      </c>
      <c r="F709" s="112" t="s">
        <v>31</v>
      </c>
      <c r="G709" s="114">
        <v>9</v>
      </c>
      <c r="H709" s="115" t="s">
        <v>355</v>
      </c>
    </row>
    <row r="710" spans="1:8" ht="19.899999999999999" customHeight="1">
      <c r="A710" s="121">
        <v>46032</v>
      </c>
      <c r="B710" s="112" t="s">
        <v>26</v>
      </c>
      <c r="C710" s="113" t="s">
        <v>357</v>
      </c>
      <c r="D710" s="112" t="s">
        <v>341</v>
      </c>
      <c r="E710" s="122">
        <v>1.3923611111111109</v>
      </c>
      <c r="F710" s="112" t="s">
        <v>31</v>
      </c>
      <c r="G710" s="114">
        <v>9</v>
      </c>
      <c r="H710" s="115" t="s">
        <v>355</v>
      </c>
    </row>
    <row r="711" spans="1:8" ht="19.899999999999999" customHeight="1">
      <c r="A711" s="121">
        <v>46032</v>
      </c>
      <c r="B711" s="112" t="s">
        <v>26</v>
      </c>
      <c r="C711" s="113" t="s">
        <v>353</v>
      </c>
      <c r="D711" s="112" t="s">
        <v>341</v>
      </c>
      <c r="E711" s="122">
        <v>1.8888888888888891</v>
      </c>
      <c r="F711" s="112" t="s">
        <v>34</v>
      </c>
      <c r="G711" s="114">
        <v>1</v>
      </c>
      <c r="H711" s="115" t="s">
        <v>355</v>
      </c>
    </row>
    <row r="712" spans="1:8" ht="19.899999999999999" customHeight="1">
      <c r="A712" s="121">
        <v>46032</v>
      </c>
      <c r="B712" s="112" t="s">
        <v>359</v>
      </c>
      <c r="C712" s="113" t="s">
        <v>360</v>
      </c>
      <c r="D712" s="112" t="s">
        <v>341</v>
      </c>
      <c r="E712" s="122">
        <v>1.1701388888888891</v>
      </c>
      <c r="F712" s="112" t="s">
        <v>46</v>
      </c>
      <c r="G712" s="114">
        <v>9</v>
      </c>
      <c r="H712" s="115" t="s">
        <v>485</v>
      </c>
    </row>
    <row r="713" spans="1:8" ht="19.899999999999999" customHeight="1">
      <c r="A713" s="121">
        <v>46032</v>
      </c>
      <c r="B713" s="112" t="s">
        <v>48</v>
      </c>
      <c r="C713" s="113" t="s">
        <v>386</v>
      </c>
      <c r="D713" s="112" t="s">
        <v>341</v>
      </c>
      <c r="E713" s="122">
        <v>1.8298611111111109</v>
      </c>
      <c r="F713" s="112" t="s">
        <v>50</v>
      </c>
      <c r="G713" s="114">
        <v>9</v>
      </c>
      <c r="H713" s="115" t="s">
        <v>488</v>
      </c>
    </row>
    <row r="714" spans="1:8" ht="19.899999999999999" customHeight="1">
      <c r="A714" s="121">
        <v>46032</v>
      </c>
      <c r="B714" s="112" t="s">
        <v>26</v>
      </c>
      <c r="C714" s="113" t="s">
        <v>350</v>
      </c>
      <c r="D714" s="112" t="s">
        <v>341</v>
      </c>
      <c r="E714" s="122">
        <v>1.7361111111111109</v>
      </c>
      <c r="F714" s="112" t="s">
        <v>34</v>
      </c>
      <c r="G714" s="114">
        <v>5</v>
      </c>
      <c r="H714" s="115" t="s">
        <v>118</v>
      </c>
    </row>
    <row r="715" spans="1:8" ht="19.899999999999999" customHeight="1">
      <c r="A715" s="121">
        <v>46032</v>
      </c>
      <c r="B715" s="112" t="s">
        <v>26</v>
      </c>
      <c r="C715" s="113" t="s">
        <v>351</v>
      </c>
      <c r="D715" s="112" t="s">
        <v>341</v>
      </c>
      <c r="E715" s="122">
        <v>1.836805555555556</v>
      </c>
      <c r="F715" s="112" t="s">
        <v>34</v>
      </c>
      <c r="G715" s="114">
        <v>5</v>
      </c>
      <c r="H715" s="115" t="s">
        <v>118</v>
      </c>
    </row>
    <row r="716" spans="1:8" ht="19.899999999999999" customHeight="1">
      <c r="A716" s="121">
        <v>46032</v>
      </c>
      <c r="B716" s="112" t="s">
        <v>26</v>
      </c>
      <c r="C716" s="113" t="s">
        <v>356</v>
      </c>
      <c r="D716" s="112" t="s">
        <v>341</v>
      </c>
      <c r="E716" s="122">
        <v>1.4861111111111109</v>
      </c>
      <c r="F716" s="112" t="s">
        <v>34</v>
      </c>
      <c r="G716" s="114">
        <v>5</v>
      </c>
      <c r="H716" s="115" t="s">
        <v>118</v>
      </c>
    </row>
    <row r="717" spans="1:8" ht="19.899999999999999" customHeight="1">
      <c r="A717" s="121">
        <v>46032</v>
      </c>
      <c r="B717" s="112" t="s">
        <v>48</v>
      </c>
      <c r="C717" s="113" t="s">
        <v>382</v>
      </c>
      <c r="D717" s="112" t="s">
        <v>341</v>
      </c>
      <c r="E717" s="122">
        <v>1.118055555555556</v>
      </c>
      <c r="F717" s="112" t="s">
        <v>53</v>
      </c>
      <c r="G717" s="114">
        <v>9</v>
      </c>
      <c r="H717" s="115" t="s">
        <v>463</v>
      </c>
    </row>
    <row r="718" spans="1:8" ht="19.899999999999999" customHeight="1">
      <c r="A718" s="121">
        <v>46032</v>
      </c>
      <c r="B718" s="112" t="s">
        <v>48</v>
      </c>
      <c r="C718" s="113" t="s">
        <v>390</v>
      </c>
      <c r="D718" s="112" t="s">
        <v>341</v>
      </c>
      <c r="E718" s="122">
        <v>1.041666666666667</v>
      </c>
      <c r="F718" s="112" t="s">
        <v>53</v>
      </c>
      <c r="G718" s="114">
        <v>9</v>
      </c>
      <c r="H718" s="115" t="s">
        <v>463</v>
      </c>
    </row>
    <row r="719" spans="1:8" ht="19.899999999999999" customHeight="1">
      <c r="A719" s="121">
        <v>46032</v>
      </c>
      <c r="B719" s="112" t="s">
        <v>48</v>
      </c>
      <c r="C719" s="113" t="s">
        <v>388</v>
      </c>
      <c r="D719" s="112" t="s">
        <v>341</v>
      </c>
      <c r="E719" s="122">
        <v>1.7222222222222221</v>
      </c>
      <c r="F719" s="112" t="s">
        <v>53</v>
      </c>
      <c r="G719" s="114">
        <v>7</v>
      </c>
      <c r="H719" s="115" t="s">
        <v>487</v>
      </c>
    </row>
    <row r="720" spans="1:8" ht="19.899999999999999" customHeight="1">
      <c r="A720" s="121">
        <v>46032</v>
      </c>
      <c r="B720" s="112" t="s">
        <v>26</v>
      </c>
      <c r="C720" s="113" t="s">
        <v>352</v>
      </c>
      <c r="D720" s="112" t="s">
        <v>341</v>
      </c>
      <c r="E720" s="122">
        <v>1.944444444444444</v>
      </c>
      <c r="F720" s="112" t="s">
        <v>34</v>
      </c>
      <c r="G720" s="114">
        <v>9</v>
      </c>
      <c r="H720" s="115" t="s">
        <v>358</v>
      </c>
    </row>
    <row r="721" spans="1:8" ht="19.899999999999999" customHeight="1">
      <c r="A721" s="121">
        <v>46032</v>
      </c>
      <c r="B721" s="112" t="s">
        <v>26</v>
      </c>
      <c r="C721" s="113" t="s">
        <v>357</v>
      </c>
      <c r="D721" s="112" t="s">
        <v>341</v>
      </c>
      <c r="E721" s="122">
        <v>1.3923611111111109</v>
      </c>
      <c r="F721" s="112" t="s">
        <v>34</v>
      </c>
      <c r="G721" s="114">
        <v>9</v>
      </c>
      <c r="H721" s="115" t="s">
        <v>358</v>
      </c>
    </row>
    <row r="722" spans="1:8" ht="19.899999999999999" customHeight="1">
      <c r="A722" s="121">
        <v>46032</v>
      </c>
      <c r="B722" s="112" t="s">
        <v>48</v>
      </c>
      <c r="C722" s="113" t="s">
        <v>400</v>
      </c>
      <c r="D722" s="112" t="s">
        <v>341</v>
      </c>
      <c r="E722" s="122">
        <v>1.2534722222222221</v>
      </c>
      <c r="F722" s="112" t="s">
        <v>50</v>
      </c>
      <c r="G722" s="114">
        <v>9</v>
      </c>
      <c r="H722" s="115" t="s">
        <v>392</v>
      </c>
    </row>
    <row r="723" spans="1:8" ht="19.899999999999999" customHeight="1">
      <c r="A723" s="121">
        <v>46032</v>
      </c>
      <c r="B723" s="112" t="s">
        <v>48</v>
      </c>
      <c r="C723" s="113" t="s">
        <v>386</v>
      </c>
      <c r="D723" s="112" t="s">
        <v>341</v>
      </c>
      <c r="E723" s="122">
        <v>1.8298611111111109</v>
      </c>
      <c r="F723" s="112" t="s">
        <v>53</v>
      </c>
      <c r="G723" s="114">
        <v>9</v>
      </c>
      <c r="H723" s="115" t="s">
        <v>489</v>
      </c>
    </row>
    <row r="724" spans="1:8" ht="19.899999999999999" customHeight="1">
      <c r="A724" s="121">
        <v>46032</v>
      </c>
      <c r="B724" s="112" t="s">
        <v>38</v>
      </c>
      <c r="C724" s="113" t="s">
        <v>346</v>
      </c>
      <c r="D724" s="112" t="s">
        <v>341</v>
      </c>
      <c r="E724" s="122">
        <v>1.399305555555556</v>
      </c>
      <c r="F724" s="112" t="s">
        <v>46</v>
      </c>
      <c r="G724" s="114">
        <v>17</v>
      </c>
      <c r="H724" s="115" t="s">
        <v>47</v>
      </c>
    </row>
    <row r="725" spans="1:8" ht="19.899999999999999" customHeight="1">
      <c r="A725" s="121">
        <v>46032</v>
      </c>
      <c r="B725" s="112" t="s">
        <v>38</v>
      </c>
      <c r="C725" s="113" t="s">
        <v>342</v>
      </c>
      <c r="D725" s="112" t="s">
        <v>341</v>
      </c>
      <c r="E725" s="122">
        <v>1.489583333333333</v>
      </c>
      <c r="F725" s="112" t="s">
        <v>46</v>
      </c>
      <c r="G725" s="114">
        <v>17</v>
      </c>
      <c r="H725" s="115" t="s">
        <v>47</v>
      </c>
    </row>
    <row r="726" spans="1:8" ht="19.899999999999999" customHeight="1">
      <c r="A726" s="121">
        <v>46032</v>
      </c>
      <c r="B726" s="112" t="s">
        <v>38</v>
      </c>
      <c r="C726" s="113" t="s">
        <v>344</v>
      </c>
      <c r="D726" s="112" t="s">
        <v>341</v>
      </c>
      <c r="E726" s="122">
        <v>1.8888888888888891</v>
      </c>
      <c r="F726" s="112" t="s">
        <v>46</v>
      </c>
      <c r="G726" s="114">
        <v>12</v>
      </c>
      <c r="H726" s="115" t="s">
        <v>47</v>
      </c>
    </row>
    <row r="727" spans="1:8" ht="19.899999999999999" customHeight="1">
      <c r="A727" s="121">
        <v>46032</v>
      </c>
      <c r="B727" s="112" t="s">
        <v>38</v>
      </c>
      <c r="C727" s="113" t="s">
        <v>345</v>
      </c>
      <c r="D727" s="112" t="s">
        <v>341</v>
      </c>
      <c r="E727" s="122">
        <v>1.989583333333333</v>
      </c>
      <c r="F727" s="112" t="s">
        <v>46</v>
      </c>
      <c r="G727" s="114">
        <v>10</v>
      </c>
      <c r="H727" s="115" t="s">
        <v>47</v>
      </c>
    </row>
    <row r="728" spans="1:8" ht="19.899999999999999" customHeight="1">
      <c r="A728" s="121">
        <v>46032</v>
      </c>
      <c r="B728" s="112" t="s">
        <v>26</v>
      </c>
      <c r="C728" s="113" t="s">
        <v>354</v>
      </c>
      <c r="D728" s="112" t="s">
        <v>341</v>
      </c>
      <c r="E728" s="122">
        <v>1.3472222222222221</v>
      </c>
      <c r="F728" s="112" t="s">
        <v>28</v>
      </c>
      <c r="G728" s="114">
        <v>9</v>
      </c>
      <c r="H728" s="115" t="s">
        <v>456</v>
      </c>
    </row>
    <row r="729" spans="1:8" ht="19.899999999999999" customHeight="1">
      <c r="A729" s="121">
        <v>46032</v>
      </c>
      <c r="B729" s="112" t="s">
        <v>48</v>
      </c>
      <c r="C729" s="113" t="s">
        <v>394</v>
      </c>
      <c r="D729" s="112" t="s">
        <v>341</v>
      </c>
      <c r="E729" s="122">
        <v>1.989583333333333</v>
      </c>
      <c r="F729" s="112" t="s">
        <v>53</v>
      </c>
      <c r="G729" s="114">
        <v>4</v>
      </c>
      <c r="H729" s="115" t="s">
        <v>481</v>
      </c>
    </row>
    <row r="730" spans="1:8" ht="19.899999999999999" customHeight="1">
      <c r="A730" s="121">
        <v>46032</v>
      </c>
      <c r="B730" s="112" t="s">
        <v>48</v>
      </c>
      <c r="C730" s="113" t="s">
        <v>400</v>
      </c>
      <c r="D730" s="112" t="s">
        <v>341</v>
      </c>
      <c r="E730" s="122">
        <v>1.2534722222222221</v>
      </c>
      <c r="F730" s="112" t="s">
        <v>53</v>
      </c>
      <c r="G730" s="114">
        <v>9</v>
      </c>
      <c r="H730" s="115" t="s">
        <v>393</v>
      </c>
    </row>
    <row r="731" spans="1:8" ht="19.899999999999999" customHeight="1">
      <c r="A731" s="121">
        <v>46032</v>
      </c>
      <c r="B731" s="112" t="s">
        <v>48</v>
      </c>
      <c r="C731" s="113" t="s">
        <v>396</v>
      </c>
      <c r="D731" s="112" t="s">
        <v>341</v>
      </c>
      <c r="E731" s="122">
        <v>1.489583333333333</v>
      </c>
      <c r="F731" s="112" t="s">
        <v>53</v>
      </c>
      <c r="G731" s="114">
        <v>4</v>
      </c>
      <c r="H731" s="115" t="s">
        <v>438</v>
      </c>
    </row>
    <row r="732" spans="1:8" ht="19.899999999999999" customHeight="1">
      <c r="A732" s="121">
        <v>46032</v>
      </c>
      <c r="B732" s="112" t="s">
        <v>26</v>
      </c>
      <c r="C732" s="113" t="s">
        <v>354</v>
      </c>
      <c r="D732" s="112" t="s">
        <v>341</v>
      </c>
      <c r="E732" s="122">
        <v>1.3472222222222221</v>
      </c>
      <c r="F732" s="112" t="s">
        <v>31</v>
      </c>
      <c r="G732" s="114">
        <v>9</v>
      </c>
      <c r="H732" s="115" t="s">
        <v>106</v>
      </c>
    </row>
    <row r="733" spans="1:8" ht="19.899999999999999" customHeight="1">
      <c r="A733" s="121">
        <v>46032</v>
      </c>
      <c r="B733" s="112" t="s">
        <v>48</v>
      </c>
      <c r="C733" s="113" t="s">
        <v>398</v>
      </c>
      <c r="D733" s="112" t="s">
        <v>341</v>
      </c>
      <c r="E733" s="122">
        <v>1.399305555555556</v>
      </c>
      <c r="F733" s="112" t="s">
        <v>53</v>
      </c>
      <c r="G733" s="114">
        <v>4</v>
      </c>
      <c r="H733" s="115" t="s">
        <v>399</v>
      </c>
    </row>
    <row r="734" spans="1:8" ht="19.899999999999999" customHeight="1">
      <c r="A734" s="121">
        <v>46032</v>
      </c>
      <c r="B734" s="112" t="s">
        <v>48</v>
      </c>
      <c r="C734" s="113" t="s">
        <v>397</v>
      </c>
      <c r="D734" s="112" t="s">
        <v>341</v>
      </c>
      <c r="E734" s="122">
        <v>1.8888888888888891</v>
      </c>
      <c r="F734" s="112" t="s">
        <v>53</v>
      </c>
      <c r="G734" s="114">
        <v>4</v>
      </c>
      <c r="H734" s="115" t="s">
        <v>464</v>
      </c>
    </row>
    <row r="735" spans="1:8" ht="19.899999999999999" customHeight="1">
      <c r="A735" s="121">
        <v>46032</v>
      </c>
      <c r="B735" s="112" t="s">
        <v>26</v>
      </c>
      <c r="C735" s="113" t="s">
        <v>354</v>
      </c>
      <c r="D735" s="112" t="s">
        <v>341</v>
      </c>
      <c r="E735" s="122">
        <v>1.3472222222222221</v>
      </c>
      <c r="F735" s="112" t="s">
        <v>34</v>
      </c>
      <c r="G735" s="114">
        <v>9</v>
      </c>
      <c r="H735" s="115" t="s">
        <v>478</v>
      </c>
    </row>
    <row r="736" spans="1:8" ht="19.899999999999999" customHeight="1">
      <c r="A736" s="121">
        <v>46032</v>
      </c>
      <c r="B736" s="112" t="s">
        <v>48</v>
      </c>
      <c r="C736" s="113" t="s">
        <v>391</v>
      </c>
      <c r="D736" s="112" t="s">
        <v>341</v>
      </c>
      <c r="E736" s="122">
        <v>1.489583333333333</v>
      </c>
      <c r="F736" s="112" t="s">
        <v>53</v>
      </c>
      <c r="G736" s="114">
        <v>5</v>
      </c>
      <c r="H736" s="115" t="s">
        <v>490</v>
      </c>
    </row>
    <row r="737" spans="1:8" ht="19.899999999999999" customHeight="1">
      <c r="A737" s="123">
        <v>46032</v>
      </c>
      <c r="B737" s="124" t="s">
        <v>415</v>
      </c>
      <c r="C737" s="125" t="s">
        <v>416</v>
      </c>
      <c r="D737" s="124" t="s">
        <v>341</v>
      </c>
      <c r="E737" s="126">
        <v>1.0972222222222221</v>
      </c>
      <c r="F737" s="124" t="s">
        <v>63</v>
      </c>
      <c r="G737" s="127">
        <v>9</v>
      </c>
      <c r="H737" s="128" t="s">
        <v>417</v>
      </c>
    </row>
    <row r="738" spans="1:8" ht="19.899999999999999" customHeight="1">
      <c r="A738" s="121">
        <v>46033</v>
      </c>
      <c r="B738" s="112" t="s">
        <v>38</v>
      </c>
      <c r="C738" s="113" t="s">
        <v>344</v>
      </c>
      <c r="D738" s="112" t="s">
        <v>341</v>
      </c>
      <c r="E738" s="122">
        <v>1.8888888888888891</v>
      </c>
      <c r="F738" s="112" t="s">
        <v>40</v>
      </c>
      <c r="G738" s="114">
        <v>20</v>
      </c>
      <c r="H738" s="115" t="s">
        <v>81</v>
      </c>
    </row>
    <row r="739" spans="1:8" ht="19.899999999999999" customHeight="1">
      <c r="A739" s="121">
        <v>46033</v>
      </c>
      <c r="B739" s="112" t="s">
        <v>38</v>
      </c>
      <c r="C739" s="113" t="s">
        <v>345</v>
      </c>
      <c r="D739" s="112" t="s">
        <v>341</v>
      </c>
      <c r="E739" s="122">
        <v>1.989583333333333</v>
      </c>
      <c r="F739" s="112" t="s">
        <v>40</v>
      </c>
      <c r="G739" s="114">
        <v>20</v>
      </c>
      <c r="H739" s="115" t="s">
        <v>81</v>
      </c>
    </row>
    <row r="740" spans="1:8" ht="19.899999999999999" customHeight="1">
      <c r="A740" s="121">
        <v>46033</v>
      </c>
      <c r="B740" s="112" t="s">
        <v>38</v>
      </c>
      <c r="C740" s="113" t="s">
        <v>346</v>
      </c>
      <c r="D740" s="112" t="s">
        <v>341</v>
      </c>
      <c r="E740" s="122">
        <v>1.399305555555556</v>
      </c>
      <c r="F740" s="112" t="s">
        <v>40</v>
      </c>
      <c r="G740" s="114">
        <v>20</v>
      </c>
      <c r="H740" s="115" t="s">
        <v>30</v>
      </c>
    </row>
    <row r="741" spans="1:8" ht="19.899999999999999" customHeight="1">
      <c r="A741" s="121">
        <v>46033</v>
      </c>
      <c r="B741" s="112" t="s">
        <v>38</v>
      </c>
      <c r="C741" s="113" t="s">
        <v>342</v>
      </c>
      <c r="D741" s="112" t="s">
        <v>341</v>
      </c>
      <c r="E741" s="122">
        <v>1.489583333333333</v>
      </c>
      <c r="F741" s="112" t="s">
        <v>40</v>
      </c>
      <c r="G741" s="114">
        <v>11</v>
      </c>
      <c r="H741" s="115" t="s">
        <v>30</v>
      </c>
    </row>
    <row r="742" spans="1:8" ht="19.899999999999999" customHeight="1">
      <c r="A742" s="121">
        <v>46033</v>
      </c>
      <c r="B742" s="112" t="s">
        <v>359</v>
      </c>
      <c r="C742" s="113" t="s">
        <v>360</v>
      </c>
      <c r="D742" s="112" t="s">
        <v>341</v>
      </c>
      <c r="E742" s="122">
        <v>1.229166666666667</v>
      </c>
      <c r="F742" s="112" t="s">
        <v>361</v>
      </c>
      <c r="G742" s="114">
        <v>9</v>
      </c>
      <c r="H742" s="115" t="s">
        <v>423</v>
      </c>
    </row>
    <row r="743" spans="1:8" ht="19.899999999999999" customHeight="1">
      <c r="A743" s="129">
        <v>46033</v>
      </c>
      <c r="B743" s="117" t="s">
        <v>61</v>
      </c>
      <c r="C743" s="118" t="s">
        <v>432</v>
      </c>
      <c r="D743" s="117" t="s">
        <v>341</v>
      </c>
      <c r="E743" s="130">
        <v>1.333333333333333</v>
      </c>
      <c r="F743" s="117" t="s">
        <v>63</v>
      </c>
      <c r="G743" s="119">
        <v>5</v>
      </c>
      <c r="H743" s="120" t="s">
        <v>365</v>
      </c>
    </row>
    <row r="744" spans="1:8" ht="19.899999999999999" customHeight="1">
      <c r="A744" s="129">
        <v>46033</v>
      </c>
      <c r="B744" s="117" t="s">
        <v>61</v>
      </c>
      <c r="C744" s="118" t="s">
        <v>375</v>
      </c>
      <c r="D744" s="117" t="s">
        <v>341</v>
      </c>
      <c r="E744" s="130">
        <v>1.1423611111111109</v>
      </c>
      <c r="F744" s="117" t="s">
        <v>63</v>
      </c>
      <c r="G744" s="119">
        <v>3</v>
      </c>
      <c r="H744" s="120" t="s">
        <v>365</v>
      </c>
    </row>
    <row r="745" spans="1:8" ht="19.899999999999999" customHeight="1">
      <c r="A745" s="129">
        <v>46033</v>
      </c>
      <c r="B745" s="117" t="s">
        <v>61</v>
      </c>
      <c r="C745" s="118" t="s">
        <v>377</v>
      </c>
      <c r="D745" s="117" t="s">
        <v>341</v>
      </c>
      <c r="E745" s="130">
        <v>1.4548611111111109</v>
      </c>
      <c r="F745" s="117" t="s">
        <v>63</v>
      </c>
      <c r="G745" s="119">
        <v>5</v>
      </c>
      <c r="H745" s="120" t="s">
        <v>365</v>
      </c>
    </row>
    <row r="746" spans="1:8" ht="19.899999999999999" customHeight="1">
      <c r="A746" s="129">
        <v>46033</v>
      </c>
      <c r="B746" s="117" t="s">
        <v>61</v>
      </c>
      <c r="C746" s="118" t="s">
        <v>379</v>
      </c>
      <c r="D746" s="117" t="s">
        <v>341</v>
      </c>
      <c r="E746" s="130">
        <v>1.8298611111111109</v>
      </c>
      <c r="F746" s="117" t="s">
        <v>63</v>
      </c>
      <c r="G746" s="119">
        <v>3</v>
      </c>
      <c r="H746" s="120" t="s">
        <v>365</v>
      </c>
    </row>
    <row r="747" spans="1:8" ht="19.899999999999999" customHeight="1">
      <c r="A747" s="121">
        <v>46033</v>
      </c>
      <c r="B747" s="112" t="s">
        <v>26</v>
      </c>
      <c r="C747" s="113" t="s">
        <v>348</v>
      </c>
      <c r="D747" s="112" t="s">
        <v>341</v>
      </c>
      <c r="E747" s="122">
        <v>1.993055555555556</v>
      </c>
      <c r="F747" s="112" t="s">
        <v>28</v>
      </c>
      <c r="G747" s="114">
        <v>4</v>
      </c>
      <c r="H747" s="115" t="s">
        <v>83</v>
      </c>
    </row>
    <row r="748" spans="1:8" ht="19.899999999999999" customHeight="1">
      <c r="A748" s="121">
        <v>46033</v>
      </c>
      <c r="B748" s="112" t="s">
        <v>26</v>
      </c>
      <c r="C748" s="113" t="s">
        <v>350</v>
      </c>
      <c r="D748" s="112" t="s">
        <v>341</v>
      </c>
      <c r="E748" s="122">
        <v>1.7361111111111109</v>
      </c>
      <c r="F748" s="112" t="s">
        <v>28</v>
      </c>
      <c r="G748" s="114">
        <v>3</v>
      </c>
      <c r="H748" s="115" t="s">
        <v>83</v>
      </c>
    </row>
    <row r="749" spans="1:8" ht="19.899999999999999" customHeight="1">
      <c r="A749" s="121">
        <v>46033</v>
      </c>
      <c r="B749" s="112" t="s">
        <v>26</v>
      </c>
      <c r="C749" s="113" t="s">
        <v>351</v>
      </c>
      <c r="D749" s="112" t="s">
        <v>341</v>
      </c>
      <c r="E749" s="122">
        <v>1.836805555555556</v>
      </c>
      <c r="F749" s="112" t="s">
        <v>28</v>
      </c>
      <c r="G749" s="114">
        <v>4</v>
      </c>
      <c r="H749" s="115" t="s">
        <v>83</v>
      </c>
    </row>
    <row r="750" spans="1:8" ht="19.899999999999999" customHeight="1">
      <c r="A750" s="121">
        <v>46033</v>
      </c>
      <c r="B750" s="112" t="s">
        <v>26</v>
      </c>
      <c r="C750" s="113" t="s">
        <v>353</v>
      </c>
      <c r="D750" s="112" t="s">
        <v>341</v>
      </c>
      <c r="E750" s="122">
        <v>1.8888888888888891</v>
      </c>
      <c r="F750" s="112" t="s">
        <v>28</v>
      </c>
      <c r="G750" s="114">
        <v>4</v>
      </c>
      <c r="H750" s="115" t="s">
        <v>83</v>
      </c>
    </row>
    <row r="751" spans="1:8" ht="19.899999999999999" customHeight="1">
      <c r="A751" s="121">
        <v>46033</v>
      </c>
      <c r="B751" s="112" t="s">
        <v>48</v>
      </c>
      <c r="C751" s="113" t="s">
        <v>386</v>
      </c>
      <c r="D751" s="112" t="s">
        <v>341</v>
      </c>
      <c r="E751" s="122">
        <v>1.8298611111111109</v>
      </c>
      <c r="F751" s="112" t="s">
        <v>50</v>
      </c>
      <c r="G751" s="114">
        <v>9</v>
      </c>
      <c r="H751" s="115" t="s">
        <v>383</v>
      </c>
    </row>
    <row r="752" spans="1:8" ht="19.899999999999999" customHeight="1">
      <c r="A752" s="121">
        <v>46033</v>
      </c>
      <c r="B752" s="112" t="s">
        <v>48</v>
      </c>
      <c r="C752" s="113" t="s">
        <v>385</v>
      </c>
      <c r="D752" s="112" t="s">
        <v>341</v>
      </c>
      <c r="E752" s="122">
        <v>1.9409722222222221</v>
      </c>
      <c r="F752" s="112" t="s">
        <v>50</v>
      </c>
      <c r="G752" s="114">
        <v>9</v>
      </c>
      <c r="H752" s="115" t="s">
        <v>383</v>
      </c>
    </row>
    <row r="753" spans="1:8" ht="19.899999999999999" customHeight="1">
      <c r="A753" s="121">
        <v>46033</v>
      </c>
      <c r="B753" s="112" t="s">
        <v>402</v>
      </c>
      <c r="C753" s="113" t="s">
        <v>403</v>
      </c>
      <c r="D753" s="112" t="s">
        <v>341</v>
      </c>
      <c r="E753" s="122">
        <v>1.493055555555556</v>
      </c>
      <c r="F753" s="112" t="s">
        <v>63</v>
      </c>
      <c r="G753" s="114">
        <v>5</v>
      </c>
      <c r="H753" s="115" t="s">
        <v>404</v>
      </c>
    </row>
    <row r="754" spans="1:8" ht="19.899999999999999" customHeight="1">
      <c r="A754" s="121">
        <v>46033</v>
      </c>
      <c r="B754" s="112" t="s">
        <v>402</v>
      </c>
      <c r="C754" s="113" t="s">
        <v>465</v>
      </c>
      <c r="D754" s="112" t="s">
        <v>341</v>
      </c>
      <c r="E754" s="122">
        <v>1.2048611111111109</v>
      </c>
      <c r="F754" s="112" t="s">
        <v>63</v>
      </c>
      <c r="G754" s="114">
        <v>5</v>
      </c>
      <c r="H754" s="115" t="s">
        <v>404</v>
      </c>
    </row>
    <row r="755" spans="1:8" ht="19.899999999999999" customHeight="1">
      <c r="A755" s="129">
        <v>46033</v>
      </c>
      <c r="B755" s="117" t="s">
        <v>61</v>
      </c>
      <c r="C755" s="118" t="s">
        <v>369</v>
      </c>
      <c r="D755" s="117" t="s">
        <v>341</v>
      </c>
      <c r="E755" s="130">
        <v>1.15625</v>
      </c>
      <c r="F755" s="117" t="s">
        <v>63</v>
      </c>
      <c r="G755" s="119">
        <v>9</v>
      </c>
      <c r="H755" s="120" t="s">
        <v>79</v>
      </c>
    </row>
    <row r="756" spans="1:8" ht="19.899999999999999" customHeight="1">
      <c r="A756" s="121">
        <v>46033</v>
      </c>
      <c r="B756" s="112" t="s">
        <v>48</v>
      </c>
      <c r="C756" s="113" t="s">
        <v>388</v>
      </c>
      <c r="D756" s="112" t="s">
        <v>341</v>
      </c>
      <c r="E756" s="122">
        <v>1.7222222222222221</v>
      </c>
      <c r="F756" s="112" t="s">
        <v>50</v>
      </c>
      <c r="G756" s="114">
        <v>9</v>
      </c>
      <c r="H756" s="115" t="s">
        <v>79</v>
      </c>
    </row>
    <row r="757" spans="1:8" ht="19.899999999999999" customHeight="1">
      <c r="A757" s="121">
        <v>46033</v>
      </c>
      <c r="B757" s="112" t="s">
        <v>48</v>
      </c>
      <c r="C757" s="113" t="s">
        <v>390</v>
      </c>
      <c r="D757" s="112" t="s">
        <v>341</v>
      </c>
      <c r="E757" s="122">
        <v>1.041666666666667</v>
      </c>
      <c r="F757" s="112" t="s">
        <v>50</v>
      </c>
      <c r="G757" s="114">
        <v>9</v>
      </c>
      <c r="H757" s="115" t="s">
        <v>79</v>
      </c>
    </row>
    <row r="758" spans="1:8" ht="19.899999999999999" customHeight="1">
      <c r="A758" s="121">
        <v>46033</v>
      </c>
      <c r="B758" s="112" t="s">
        <v>26</v>
      </c>
      <c r="C758" s="113" t="s">
        <v>356</v>
      </c>
      <c r="D758" s="112" t="s">
        <v>341</v>
      </c>
      <c r="E758" s="122">
        <v>1.4861111111111109</v>
      </c>
      <c r="F758" s="112" t="s">
        <v>28</v>
      </c>
      <c r="G758" s="114">
        <v>3</v>
      </c>
      <c r="H758" s="115" t="s">
        <v>79</v>
      </c>
    </row>
    <row r="759" spans="1:8" ht="19.899999999999999" customHeight="1">
      <c r="A759" s="121">
        <v>46033</v>
      </c>
      <c r="B759" s="112" t="s">
        <v>38</v>
      </c>
      <c r="C759" s="113" t="s">
        <v>344</v>
      </c>
      <c r="D759" s="112" t="s">
        <v>341</v>
      </c>
      <c r="E759" s="122">
        <v>1.8888888888888891</v>
      </c>
      <c r="F759" s="112" t="s">
        <v>43</v>
      </c>
      <c r="G759" s="114">
        <v>20</v>
      </c>
      <c r="H759" s="115" t="s">
        <v>161</v>
      </c>
    </row>
    <row r="760" spans="1:8" ht="19.899999999999999" customHeight="1">
      <c r="A760" s="121">
        <v>46033</v>
      </c>
      <c r="B760" s="112" t="s">
        <v>38</v>
      </c>
      <c r="C760" s="113" t="s">
        <v>345</v>
      </c>
      <c r="D760" s="112" t="s">
        <v>341</v>
      </c>
      <c r="E760" s="122">
        <v>1.989583333333333</v>
      </c>
      <c r="F760" s="112" t="s">
        <v>43</v>
      </c>
      <c r="G760" s="114">
        <v>20</v>
      </c>
      <c r="H760" s="115" t="s">
        <v>161</v>
      </c>
    </row>
    <row r="761" spans="1:8" ht="19.899999999999999" customHeight="1">
      <c r="A761" s="121">
        <v>46033</v>
      </c>
      <c r="B761" s="112" t="s">
        <v>38</v>
      </c>
      <c r="C761" s="113" t="s">
        <v>346</v>
      </c>
      <c r="D761" s="112" t="s">
        <v>341</v>
      </c>
      <c r="E761" s="122">
        <v>1.399305555555556</v>
      </c>
      <c r="F761" s="112" t="s">
        <v>43</v>
      </c>
      <c r="G761" s="114">
        <v>20</v>
      </c>
      <c r="H761" s="115" t="s">
        <v>420</v>
      </c>
    </row>
    <row r="762" spans="1:8" ht="19.899999999999999" customHeight="1">
      <c r="A762" s="121">
        <v>46033</v>
      </c>
      <c r="B762" s="112" t="s">
        <v>38</v>
      </c>
      <c r="C762" s="113" t="s">
        <v>342</v>
      </c>
      <c r="D762" s="112" t="s">
        <v>341</v>
      </c>
      <c r="E762" s="122">
        <v>1.489583333333333</v>
      </c>
      <c r="F762" s="112" t="s">
        <v>43</v>
      </c>
      <c r="G762" s="114">
        <v>11</v>
      </c>
      <c r="H762" s="115" t="s">
        <v>420</v>
      </c>
    </row>
    <row r="763" spans="1:8" ht="19.899999999999999" customHeight="1">
      <c r="A763" s="121">
        <v>46033</v>
      </c>
      <c r="B763" s="112" t="s">
        <v>26</v>
      </c>
      <c r="C763" s="113" t="s">
        <v>352</v>
      </c>
      <c r="D763" s="112" t="s">
        <v>341</v>
      </c>
      <c r="E763" s="122">
        <v>1.944444444444444</v>
      </c>
      <c r="F763" s="112" t="s">
        <v>28</v>
      </c>
      <c r="G763" s="114">
        <v>9</v>
      </c>
      <c r="H763" s="115" t="s">
        <v>45</v>
      </c>
    </row>
    <row r="764" spans="1:8" ht="19.899999999999999" customHeight="1">
      <c r="A764" s="121">
        <v>46033</v>
      </c>
      <c r="B764" s="112" t="s">
        <v>26</v>
      </c>
      <c r="C764" s="113" t="s">
        <v>357</v>
      </c>
      <c r="D764" s="112" t="s">
        <v>341</v>
      </c>
      <c r="E764" s="122">
        <v>1.3923611111111109</v>
      </c>
      <c r="F764" s="112" t="s">
        <v>28</v>
      </c>
      <c r="G764" s="114">
        <v>9</v>
      </c>
      <c r="H764" s="115" t="s">
        <v>45</v>
      </c>
    </row>
    <row r="765" spans="1:8" ht="19.899999999999999" customHeight="1">
      <c r="A765" s="121">
        <v>46033</v>
      </c>
      <c r="B765" s="112" t="s">
        <v>26</v>
      </c>
      <c r="C765" s="113" t="s">
        <v>348</v>
      </c>
      <c r="D765" s="112" t="s">
        <v>341</v>
      </c>
      <c r="E765" s="122">
        <v>1.993055555555556</v>
      </c>
      <c r="F765" s="112" t="s">
        <v>31</v>
      </c>
      <c r="G765" s="114">
        <v>4</v>
      </c>
      <c r="H765" s="115" t="s">
        <v>159</v>
      </c>
    </row>
    <row r="766" spans="1:8" ht="19.899999999999999" customHeight="1">
      <c r="A766" s="121">
        <v>46033</v>
      </c>
      <c r="B766" s="112" t="s">
        <v>26</v>
      </c>
      <c r="C766" s="113" t="s">
        <v>350</v>
      </c>
      <c r="D766" s="112" t="s">
        <v>341</v>
      </c>
      <c r="E766" s="122">
        <v>1.7361111111111109</v>
      </c>
      <c r="F766" s="112" t="s">
        <v>31</v>
      </c>
      <c r="G766" s="114">
        <v>3</v>
      </c>
      <c r="H766" s="115" t="s">
        <v>159</v>
      </c>
    </row>
    <row r="767" spans="1:8" ht="19.899999999999999" customHeight="1">
      <c r="A767" s="121">
        <v>46033</v>
      </c>
      <c r="B767" s="112" t="s">
        <v>26</v>
      </c>
      <c r="C767" s="113" t="s">
        <v>351</v>
      </c>
      <c r="D767" s="112" t="s">
        <v>341</v>
      </c>
      <c r="E767" s="122">
        <v>1.836805555555556</v>
      </c>
      <c r="F767" s="112" t="s">
        <v>31</v>
      </c>
      <c r="G767" s="114">
        <v>4</v>
      </c>
      <c r="H767" s="115" t="s">
        <v>159</v>
      </c>
    </row>
    <row r="768" spans="1:8" ht="19.899999999999999" customHeight="1">
      <c r="A768" s="121">
        <v>46033</v>
      </c>
      <c r="B768" s="112" t="s">
        <v>26</v>
      </c>
      <c r="C768" s="113" t="s">
        <v>353</v>
      </c>
      <c r="D768" s="112" t="s">
        <v>341</v>
      </c>
      <c r="E768" s="122">
        <v>1.8888888888888891</v>
      </c>
      <c r="F768" s="112" t="s">
        <v>31</v>
      </c>
      <c r="G768" s="114">
        <v>4</v>
      </c>
      <c r="H768" s="115" t="s">
        <v>159</v>
      </c>
    </row>
    <row r="769" spans="1:8" ht="19.899999999999999" customHeight="1">
      <c r="A769" s="121">
        <v>46033</v>
      </c>
      <c r="B769" s="112" t="s">
        <v>68</v>
      </c>
      <c r="C769" s="113" t="s">
        <v>405</v>
      </c>
      <c r="D769" s="112" t="s">
        <v>341</v>
      </c>
      <c r="E769" s="122">
        <v>1.836805555555556</v>
      </c>
      <c r="F769" s="112" t="s">
        <v>70</v>
      </c>
      <c r="G769" s="114">
        <v>9</v>
      </c>
      <c r="H769" s="115" t="s">
        <v>406</v>
      </c>
    </row>
    <row r="770" spans="1:8" ht="19.899999999999999" customHeight="1">
      <c r="A770" s="121">
        <v>46033</v>
      </c>
      <c r="B770" s="112" t="s">
        <v>68</v>
      </c>
      <c r="C770" s="113" t="s">
        <v>407</v>
      </c>
      <c r="D770" s="112" t="s">
        <v>341</v>
      </c>
      <c r="E770" s="122">
        <v>1.3125</v>
      </c>
      <c r="F770" s="112" t="s">
        <v>70</v>
      </c>
      <c r="G770" s="114">
        <v>9</v>
      </c>
      <c r="H770" s="115" t="s">
        <v>406</v>
      </c>
    </row>
    <row r="771" spans="1:8" ht="19.899999999999999" customHeight="1">
      <c r="A771" s="121">
        <v>46033</v>
      </c>
      <c r="B771" s="112" t="s">
        <v>68</v>
      </c>
      <c r="C771" s="113" t="s">
        <v>408</v>
      </c>
      <c r="D771" s="112" t="s">
        <v>341</v>
      </c>
      <c r="E771" s="122">
        <v>1.9722222222222221</v>
      </c>
      <c r="F771" s="112" t="s">
        <v>70</v>
      </c>
      <c r="G771" s="114">
        <v>9</v>
      </c>
      <c r="H771" s="115" t="s">
        <v>406</v>
      </c>
    </row>
    <row r="772" spans="1:8" ht="19.899999999999999" customHeight="1">
      <c r="A772" s="121">
        <v>46033</v>
      </c>
      <c r="B772" s="112" t="s">
        <v>68</v>
      </c>
      <c r="C772" s="113" t="s">
        <v>437</v>
      </c>
      <c r="D772" s="112" t="s">
        <v>341</v>
      </c>
      <c r="E772" s="122">
        <v>1.104166666666667</v>
      </c>
      <c r="F772" s="112" t="s">
        <v>70</v>
      </c>
      <c r="G772" s="114">
        <v>9</v>
      </c>
      <c r="H772" s="115" t="s">
        <v>406</v>
      </c>
    </row>
    <row r="773" spans="1:8" ht="19.899999999999999" customHeight="1">
      <c r="A773" s="121">
        <v>46033</v>
      </c>
      <c r="B773" s="112" t="s">
        <v>68</v>
      </c>
      <c r="C773" s="113" t="s">
        <v>410</v>
      </c>
      <c r="D773" s="112" t="s">
        <v>341</v>
      </c>
      <c r="E773" s="122">
        <v>1.5972222222222221</v>
      </c>
      <c r="F773" s="112" t="s">
        <v>70</v>
      </c>
      <c r="G773" s="114">
        <v>9</v>
      </c>
      <c r="H773" s="115" t="s">
        <v>406</v>
      </c>
    </row>
    <row r="774" spans="1:8" ht="19.899999999999999" customHeight="1">
      <c r="A774" s="121">
        <v>46033</v>
      </c>
      <c r="B774" s="112" t="s">
        <v>68</v>
      </c>
      <c r="C774" s="113" t="s">
        <v>413</v>
      </c>
      <c r="D774" s="112" t="s">
        <v>341</v>
      </c>
      <c r="E774" s="122">
        <v>1.0486111111111109</v>
      </c>
      <c r="F774" s="112" t="s">
        <v>70</v>
      </c>
      <c r="G774" s="114">
        <v>9</v>
      </c>
      <c r="H774" s="115" t="s">
        <v>406</v>
      </c>
    </row>
    <row r="775" spans="1:8" ht="19.899999999999999" customHeight="1">
      <c r="A775" s="121">
        <v>46033</v>
      </c>
      <c r="B775" s="112" t="s">
        <v>48</v>
      </c>
      <c r="C775" s="113" t="s">
        <v>382</v>
      </c>
      <c r="D775" s="112" t="s">
        <v>341</v>
      </c>
      <c r="E775" s="122">
        <v>1.118055555555556</v>
      </c>
      <c r="F775" s="112" t="s">
        <v>50</v>
      </c>
      <c r="G775" s="114">
        <v>9</v>
      </c>
      <c r="H775" s="115" t="s">
        <v>462</v>
      </c>
    </row>
    <row r="776" spans="1:8" ht="19.899999999999999" customHeight="1">
      <c r="A776" s="121">
        <v>46033</v>
      </c>
      <c r="B776" s="112" t="s">
        <v>48</v>
      </c>
      <c r="C776" s="113" t="s">
        <v>389</v>
      </c>
      <c r="D776" s="112" t="s">
        <v>341</v>
      </c>
      <c r="E776" s="122">
        <v>1.7013888888888891</v>
      </c>
      <c r="F776" s="112" t="s">
        <v>50</v>
      </c>
      <c r="G776" s="114">
        <v>9</v>
      </c>
      <c r="H776" s="115" t="s">
        <v>462</v>
      </c>
    </row>
    <row r="777" spans="1:8" ht="19.899999999999999" customHeight="1">
      <c r="A777" s="121">
        <v>46033</v>
      </c>
      <c r="B777" s="112" t="s">
        <v>48</v>
      </c>
      <c r="C777" s="113" t="s">
        <v>386</v>
      </c>
      <c r="D777" s="112" t="s">
        <v>341</v>
      </c>
      <c r="E777" s="122">
        <v>1.8298611111111109</v>
      </c>
      <c r="F777" s="112" t="s">
        <v>53</v>
      </c>
      <c r="G777" s="114">
        <v>9</v>
      </c>
      <c r="H777" s="115" t="s">
        <v>384</v>
      </c>
    </row>
    <row r="778" spans="1:8" ht="19.899999999999999" customHeight="1">
      <c r="A778" s="121">
        <v>46033</v>
      </c>
      <c r="B778" s="112" t="s">
        <v>48</v>
      </c>
      <c r="C778" s="113" t="s">
        <v>385</v>
      </c>
      <c r="D778" s="112" t="s">
        <v>341</v>
      </c>
      <c r="E778" s="122">
        <v>1.9409722222222221</v>
      </c>
      <c r="F778" s="112" t="s">
        <v>53</v>
      </c>
      <c r="G778" s="114">
        <v>9</v>
      </c>
      <c r="H778" s="115" t="s">
        <v>384</v>
      </c>
    </row>
    <row r="779" spans="1:8" ht="19.899999999999999" customHeight="1">
      <c r="A779" s="121">
        <v>46033</v>
      </c>
      <c r="B779" s="112" t="s">
        <v>26</v>
      </c>
      <c r="C779" s="113" t="s">
        <v>356</v>
      </c>
      <c r="D779" s="112" t="s">
        <v>341</v>
      </c>
      <c r="E779" s="122">
        <v>1.4861111111111109</v>
      </c>
      <c r="F779" s="112" t="s">
        <v>31</v>
      </c>
      <c r="G779" s="114">
        <v>3</v>
      </c>
      <c r="H779" s="115" t="s">
        <v>123</v>
      </c>
    </row>
    <row r="780" spans="1:8" ht="19.899999999999999" customHeight="1">
      <c r="A780" s="121">
        <v>46033</v>
      </c>
      <c r="B780" s="112" t="s">
        <v>359</v>
      </c>
      <c r="C780" s="113" t="s">
        <v>360</v>
      </c>
      <c r="D780" s="112" t="s">
        <v>341</v>
      </c>
      <c r="E780" s="122">
        <v>1.229166666666667</v>
      </c>
      <c r="F780" s="112" t="s">
        <v>46</v>
      </c>
      <c r="G780" s="114">
        <v>9</v>
      </c>
      <c r="H780" s="115" t="s">
        <v>424</v>
      </c>
    </row>
    <row r="781" spans="1:8" ht="19.899999999999999" customHeight="1">
      <c r="A781" s="121">
        <v>46033</v>
      </c>
      <c r="B781" s="112" t="s">
        <v>48</v>
      </c>
      <c r="C781" s="113" t="s">
        <v>388</v>
      </c>
      <c r="D781" s="112" t="s">
        <v>341</v>
      </c>
      <c r="E781" s="122">
        <v>1.7222222222222221</v>
      </c>
      <c r="F781" s="112" t="s">
        <v>53</v>
      </c>
      <c r="G781" s="114">
        <v>9</v>
      </c>
      <c r="H781" s="115" t="s">
        <v>387</v>
      </c>
    </row>
    <row r="782" spans="1:8" ht="19.899999999999999" customHeight="1">
      <c r="A782" s="121">
        <v>46033</v>
      </c>
      <c r="B782" s="112" t="s">
        <v>48</v>
      </c>
      <c r="C782" s="113" t="s">
        <v>390</v>
      </c>
      <c r="D782" s="112" t="s">
        <v>341</v>
      </c>
      <c r="E782" s="122">
        <v>1.041666666666667</v>
      </c>
      <c r="F782" s="112" t="s">
        <v>53</v>
      </c>
      <c r="G782" s="114">
        <v>9</v>
      </c>
      <c r="H782" s="115" t="s">
        <v>387</v>
      </c>
    </row>
    <row r="783" spans="1:8" ht="19.899999999999999" customHeight="1">
      <c r="A783" s="121">
        <v>46033</v>
      </c>
      <c r="B783" s="112" t="s">
        <v>68</v>
      </c>
      <c r="C783" s="113" t="s">
        <v>411</v>
      </c>
      <c r="D783" s="112" t="s">
        <v>341</v>
      </c>
      <c r="E783" s="122">
        <v>1.7847222222222221</v>
      </c>
      <c r="F783" s="112" t="s">
        <v>70</v>
      </c>
      <c r="G783" s="114">
        <v>9</v>
      </c>
      <c r="H783" s="115" t="s">
        <v>412</v>
      </c>
    </row>
    <row r="784" spans="1:8" ht="19.899999999999999" customHeight="1">
      <c r="A784" s="121">
        <v>46033</v>
      </c>
      <c r="B784" s="112" t="s">
        <v>26</v>
      </c>
      <c r="C784" s="113" t="s">
        <v>348</v>
      </c>
      <c r="D784" s="112" t="s">
        <v>341</v>
      </c>
      <c r="E784" s="122">
        <v>1.993055555555556</v>
      </c>
      <c r="F784" s="112" t="s">
        <v>34</v>
      </c>
      <c r="G784" s="114">
        <v>4</v>
      </c>
      <c r="H784" s="115" t="s">
        <v>355</v>
      </c>
    </row>
    <row r="785" spans="1:8" ht="19.899999999999999" customHeight="1">
      <c r="A785" s="121">
        <v>46033</v>
      </c>
      <c r="B785" s="112" t="s">
        <v>26</v>
      </c>
      <c r="C785" s="113" t="s">
        <v>350</v>
      </c>
      <c r="D785" s="112" t="s">
        <v>341</v>
      </c>
      <c r="E785" s="122">
        <v>1.7361111111111109</v>
      </c>
      <c r="F785" s="112" t="s">
        <v>34</v>
      </c>
      <c r="G785" s="114">
        <v>3</v>
      </c>
      <c r="H785" s="115" t="s">
        <v>355</v>
      </c>
    </row>
    <row r="786" spans="1:8" ht="19.899999999999999" customHeight="1">
      <c r="A786" s="121">
        <v>46033</v>
      </c>
      <c r="B786" s="112" t="s">
        <v>26</v>
      </c>
      <c r="C786" s="113" t="s">
        <v>351</v>
      </c>
      <c r="D786" s="112" t="s">
        <v>341</v>
      </c>
      <c r="E786" s="122">
        <v>1.836805555555556</v>
      </c>
      <c r="F786" s="112" t="s">
        <v>34</v>
      </c>
      <c r="G786" s="114">
        <v>4</v>
      </c>
      <c r="H786" s="115" t="s">
        <v>355</v>
      </c>
    </row>
    <row r="787" spans="1:8" ht="19.899999999999999" customHeight="1">
      <c r="A787" s="121">
        <v>46033</v>
      </c>
      <c r="B787" s="112" t="s">
        <v>26</v>
      </c>
      <c r="C787" s="113" t="s">
        <v>352</v>
      </c>
      <c r="D787" s="112" t="s">
        <v>341</v>
      </c>
      <c r="E787" s="122">
        <v>1.944444444444444</v>
      </c>
      <c r="F787" s="112" t="s">
        <v>31</v>
      </c>
      <c r="G787" s="114">
        <v>9</v>
      </c>
      <c r="H787" s="115" t="s">
        <v>355</v>
      </c>
    </row>
    <row r="788" spans="1:8" ht="19.899999999999999" customHeight="1">
      <c r="A788" s="121">
        <v>46033</v>
      </c>
      <c r="B788" s="112" t="s">
        <v>26</v>
      </c>
      <c r="C788" s="113" t="s">
        <v>357</v>
      </c>
      <c r="D788" s="112" t="s">
        <v>341</v>
      </c>
      <c r="E788" s="122">
        <v>1.3923611111111109</v>
      </c>
      <c r="F788" s="112" t="s">
        <v>31</v>
      </c>
      <c r="G788" s="114">
        <v>9</v>
      </c>
      <c r="H788" s="115" t="s">
        <v>355</v>
      </c>
    </row>
    <row r="789" spans="1:8" ht="19.899999999999999" customHeight="1">
      <c r="A789" s="121">
        <v>46033</v>
      </c>
      <c r="B789" s="112" t="s">
        <v>26</v>
      </c>
      <c r="C789" s="113" t="s">
        <v>353</v>
      </c>
      <c r="D789" s="112" t="s">
        <v>341</v>
      </c>
      <c r="E789" s="122">
        <v>1.8888888888888891</v>
      </c>
      <c r="F789" s="112" t="s">
        <v>34</v>
      </c>
      <c r="G789" s="114">
        <v>4</v>
      </c>
      <c r="H789" s="115" t="s">
        <v>355</v>
      </c>
    </row>
    <row r="790" spans="1:8" ht="19.899999999999999" customHeight="1">
      <c r="A790" s="121">
        <v>46033</v>
      </c>
      <c r="B790" s="112" t="s">
        <v>26</v>
      </c>
      <c r="C790" s="113" t="s">
        <v>356</v>
      </c>
      <c r="D790" s="112" t="s">
        <v>341</v>
      </c>
      <c r="E790" s="122">
        <v>1.4861111111111109</v>
      </c>
      <c r="F790" s="112" t="s">
        <v>34</v>
      </c>
      <c r="G790" s="114">
        <v>3</v>
      </c>
      <c r="H790" s="115" t="s">
        <v>118</v>
      </c>
    </row>
    <row r="791" spans="1:8" ht="19.899999999999999" customHeight="1">
      <c r="A791" s="121">
        <v>46033</v>
      </c>
      <c r="B791" s="112" t="s">
        <v>48</v>
      </c>
      <c r="C791" s="113" t="s">
        <v>382</v>
      </c>
      <c r="D791" s="112" t="s">
        <v>341</v>
      </c>
      <c r="E791" s="122">
        <v>1.118055555555556</v>
      </c>
      <c r="F791" s="112" t="s">
        <v>53</v>
      </c>
      <c r="G791" s="114">
        <v>9</v>
      </c>
      <c r="H791" s="115" t="s">
        <v>463</v>
      </c>
    </row>
    <row r="792" spans="1:8" ht="19.899999999999999" customHeight="1">
      <c r="A792" s="121">
        <v>46033</v>
      </c>
      <c r="B792" s="112" t="s">
        <v>48</v>
      </c>
      <c r="C792" s="113" t="s">
        <v>389</v>
      </c>
      <c r="D792" s="112" t="s">
        <v>341</v>
      </c>
      <c r="E792" s="122">
        <v>1.7013888888888891</v>
      </c>
      <c r="F792" s="112" t="s">
        <v>53</v>
      </c>
      <c r="G792" s="114">
        <v>9</v>
      </c>
      <c r="H792" s="115" t="s">
        <v>463</v>
      </c>
    </row>
    <row r="793" spans="1:8" ht="19.899999999999999" customHeight="1">
      <c r="A793" s="121">
        <v>46033</v>
      </c>
      <c r="B793" s="112" t="s">
        <v>26</v>
      </c>
      <c r="C793" s="113" t="s">
        <v>352</v>
      </c>
      <c r="D793" s="112" t="s">
        <v>341</v>
      </c>
      <c r="E793" s="122">
        <v>1.944444444444444</v>
      </c>
      <c r="F793" s="112" t="s">
        <v>34</v>
      </c>
      <c r="G793" s="114">
        <v>9</v>
      </c>
      <c r="H793" s="115" t="s">
        <v>358</v>
      </c>
    </row>
    <row r="794" spans="1:8" ht="19.899999999999999" customHeight="1">
      <c r="A794" s="121">
        <v>46033</v>
      </c>
      <c r="B794" s="112" t="s">
        <v>26</v>
      </c>
      <c r="C794" s="113" t="s">
        <v>357</v>
      </c>
      <c r="D794" s="112" t="s">
        <v>341</v>
      </c>
      <c r="E794" s="122">
        <v>1.3923611111111109</v>
      </c>
      <c r="F794" s="112" t="s">
        <v>34</v>
      </c>
      <c r="G794" s="114">
        <v>9</v>
      </c>
      <c r="H794" s="115" t="s">
        <v>358</v>
      </c>
    </row>
    <row r="795" spans="1:8" ht="19.899999999999999" customHeight="1">
      <c r="A795" s="121">
        <v>46033</v>
      </c>
      <c r="B795" s="112" t="s">
        <v>48</v>
      </c>
      <c r="C795" s="113" t="s">
        <v>391</v>
      </c>
      <c r="D795" s="112" t="s">
        <v>341</v>
      </c>
      <c r="E795" s="122">
        <v>1.489583333333333</v>
      </c>
      <c r="F795" s="112" t="s">
        <v>50</v>
      </c>
      <c r="G795" s="114">
        <v>9</v>
      </c>
      <c r="H795" s="115" t="s">
        <v>392</v>
      </c>
    </row>
    <row r="796" spans="1:8" ht="19.899999999999999" customHeight="1">
      <c r="A796" s="121">
        <v>46033</v>
      </c>
      <c r="B796" s="112" t="s">
        <v>48</v>
      </c>
      <c r="C796" s="113" t="s">
        <v>400</v>
      </c>
      <c r="D796" s="112" t="s">
        <v>341</v>
      </c>
      <c r="E796" s="122">
        <v>1.2534722222222221</v>
      </c>
      <c r="F796" s="112" t="s">
        <v>50</v>
      </c>
      <c r="G796" s="114">
        <v>9</v>
      </c>
      <c r="H796" s="115" t="s">
        <v>392</v>
      </c>
    </row>
    <row r="797" spans="1:8" ht="19.899999999999999" customHeight="1">
      <c r="A797" s="121">
        <v>46033</v>
      </c>
      <c r="B797" s="112" t="s">
        <v>26</v>
      </c>
      <c r="C797" s="113" t="s">
        <v>354</v>
      </c>
      <c r="D797" s="112" t="s">
        <v>341</v>
      </c>
      <c r="E797" s="122">
        <v>1.3472222222222221</v>
      </c>
      <c r="F797" s="112" t="s">
        <v>28</v>
      </c>
      <c r="G797" s="114">
        <v>3</v>
      </c>
      <c r="H797" s="115" t="s">
        <v>455</v>
      </c>
    </row>
    <row r="798" spans="1:8" ht="19.899999999999999" customHeight="1">
      <c r="A798" s="121">
        <v>46033</v>
      </c>
      <c r="B798" s="112" t="s">
        <v>38</v>
      </c>
      <c r="C798" s="113" t="s">
        <v>346</v>
      </c>
      <c r="D798" s="112" t="s">
        <v>341</v>
      </c>
      <c r="E798" s="122">
        <v>1.399305555555556</v>
      </c>
      <c r="F798" s="112" t="s">
        <v>46</v>
      </c>
      <c r="G798" s="114">
        <v>20</v>
      </c>
      <c r="H798" s="115" t="s">
        <v>47</v>
      </c>
    </row>
    <row r="799" spans="1:8" ht="19.899999999999999" customHeight="1">
      <c r="A799" s="121">
        <v>46033</v>
      </c>
      <c r="B799" s="112" t="s">
        <v>38</v>
      </c>
      <c r="C799" s="113" t="s">
        <v>342</v>
      </c>
      <c r="D799" s="112" t="s">
        <v>341</v>
      </c>
      <c r="E799" s="122">
        <v>1.489583333333333</v>
      </c>
      <c r="F799" s="112" t="s">
        <v>46</v>
      </c>
      <c r="G799" s="114">
        <v>11</v>
      </c>
      <c r="H799" s="115" t="s">
        <v>47</v>
      </c>
    </row>
    <row r="800" spans="1:8" ht="19.899999999999999" customHeight="1">
      <c r="A800" s="121">
        <v>46033</v>
      </c>
      <c r="B800" s="112" t="s">
        <v>38</v>
      </c>
      <c r="C800" s="113" t="s">
        <v>344</v>
      </c>
      <c r="D800" s="112" t="s">
        <v>341</v>
      </c>
      <c r="E800" s="122">
        <v>1.8888888888888891</v>
      </c>
      <c r="F800" s="112" t="s">
        <v>46</v>
      </c>
      <c r="G800" s="114">
        <v>20</v>
      </c>
      <c r="H800" s="115" t="s">
        <v>47</v>
      </c>
    </row>
    <row r="801" spans="1:8" ht="19.899999999999999" customHeight="1">
      <c r="A801" s="121">
        <v>46033</v>
      </c>
      <c r="B801" s="112" t="s">
        <v>38</v>
      </c>
      <c r="C801" s="113" t="s">
        <v>345</v>
      </c>
      <c r="D801" s="112" t="s">
        <v>341</v>
      </c>
      <c r="E801" s="122">
        <v>1.989583333333333</v>
      </c>
      <c r="F801" s="112" t="s">
        <v>46</v>
      </c>
      <c r="G801" s="114">
        <v>20</v>
      </c>
      <c r="H801" s="115" t="s">
        <v>47</v>
      </c>
    </row>
    <row r="802" spans="1:8" ht="19.899999999999999" customHeight="1">
      <c r="A802" s="121">
        <v>46033</v>
      </c>
      <c r="B802" s="112" t="s">
        <v>26</v>
      </c>
      <c r="C802" s="113" t="s">
        <v>354</v>
      </c>
      <c r="D802" s="112" t="s">
        <v>341</v>
      </c>
      <c r="E802" s="122">
        <v>1.3472222222222221</v>
      </c>
      <c r="F802" s="112" t="s">
        <v>31</v>
      </c>
      <c r="G802" s="114">
        <v>3</v>
      </c>
      <c r="H802" s="115" t="s">
        <v>456</v>
      </c>
    </row>
    <row r="803" spans="1:8" ht="19.899999999999999" customHeight="1">
      <c r="A803" s="121">
        <v>46033</v>
      </c>
      <c r="B803" s="112" t="s">
        <v>48</v>
      </c>
      <c r="C803" s="113" t="s">
        <v>394</v>
      </c>
      <c r="D803" s="112" t="s">
        <v>341</v>
      </c>
      <c r="E803" s="122">
        <v>1.989583333333333</v>
      </c>
      <c r="F803" s="112" t="s">
        <v>53</v>
      </c>
      <c r="G803" s="114">
        <v>4</v>
      </c>
      <c r="H803" s="115" t="s">
        <v>481</v>
      </c>
    </row>
    <row r="804" spans="1:8" ht="19.899999999999999" customHeight="1">
      <c r="A804" s="121">
        <v>46033</v>
      </c>
      <c r="B804" s="112" t="s">
        <v>48</v>
      </c>
      <c r="C804" s="113" t="s">
        <v>397</v>
      </c>
      <c r="D804" s="112" t="s">
        <v>341</v>
      </c>
      <c r="E804" s="122">
        <v>1.8888888888888891</v>
      </c>
      <c r="F804" s="112" t="s">
        <v>53</v>
      </c>
      <c r="G804" s="114">
        <v>4</v>
      </c>
      <c r="H804" s="115" t="s">
        <v>481</v>
      </c>
    </row>
    <row r="805" spans="1:8" ht="19.899999999999999" customHeight="1">
      <c r="A805" s="121">
        <v>46033</v>
      </c>
      <c r="B805" s="112" t="s">
        <v>48</v>
      </c>
      <c r="C805" s="113" t="s">
        <v>391</v>
      </c>
      <c r="D805" s="112" t="s">
        <v>341</v>
      </c>
      <c r="E805" s="122">
        <v>1.489583333333333</v>
      </c>
      <c r="F805" s="112" t="s">
        <v>53</v>
      </c>
      <c r="G805" s="114">
        <v>9</v>
      </c>
      <c r="H805" s="115" t="s">
        <v>393</v>
      </c>
    </row>
    <row r="806" spans="1:8" ht="19.899999999999999" customHeight="1">
      <c r="A806" s="121">
        <v>46033</v>
      </c>
      <c r="B806" s="112" t="s">
        <v>48</v>
      </c>
      <c r="C806" s="113" t="s">
        <v>400</v>
      </c>
      <c r="D806" s="112" t="s">
        <v>341</v>
      </c>
      <c r="E806" s="122">
        <v>1.2534722222222221</v>
      </c>
      <c r="F806" s="112" t="s">
        <v>53</v>
      </c>
      <c r="G806" s="114">
        <v>9</v>
      </c>
      <c r="H806" s="115" t="s">
        <v>393</v>
      </c>
    </row>
    <row r="807" spans="1:8" ht="19.899999999999999" customHeight="1">
      <c r="A807" s="121">
        <v>46033</v>
      </c>
      <c r="B807" s="112" t="s">
        <v>48</v>
      </c>
      <c r="C807" s="113" t="s">
        <v>398</v>
      </c>
      <c r="D807" s="112" t="s">
        <v>341</v>
      </c>
      <c r="E807" s="122">
        <v>1.399305555555556</v>
      </c>
      <c r="F807" s="112" t="s">
        <v>53</v>
      </c>
      <c r="G807" s="114">
        <v>4</v>
      </c>
      <c r="H807" s="115" t="s">
        <v>438</v>
      </c>
    </row>
    <row r="808" spans="1:8" ht="19.899999999999999" customHeight="1">
      <c r="A808" s="121">
        <v>46033</v>
      </c>
      <c r="B808" s="112" t="s">
        <v>48</v>
      </c>
      <c r="C808" s="113" t="s">
        <v>396</v>
      </c>
      <c r="D808" s="112" t="s">
        <v>341</v>
      </c>
      <c r="E808" s="122">
        <v>1.489583333333333</v>
      </c>
      <c r="F808" s="112" t="s">
        <v>53</v>
      </c>
      <c r="G808" s="114">
        <v>4</v>
      </c>
      <c r="H808" s="115" t="s">
        <v>438</v>
      </c>
    </row>
    <row r="809" spans="1:8" ht="19.899999999999999" customHeight="1">
      <c r="A809" s="123">
        <v>46033</v>
      </c>
      <c r="B809" s="124" t="s">
        <v>26</v>
      </c>
      <c r="C809" s="125" t="s">
        <v>354</v>
      </c>
      <c r="D809" s="124" t="s">
        <v>341</v>
      </c>
      <c r="E809" s="126">
        <v>1.3472222222222221</v>
      </c>
      <c r="F809" s="124" t="s">
        <v>34</v>
      </c>
      <c r="G809" s="127">
        <v>3</v>
      </c>
      <c r="H809" s="128" t="s">
        <v>457</v>
      </c>
    </row>
    <row r="810" spans="1:8" ht="19.899999999999999" customHeight="1">
      <c r="A810" s="121">
        <v>46034</v>
      </c>
      <c r="B810" s="112" t="s">
        <v>38</v>
      </c>
      <c r="C810" s="113" t="s">
        <v>342</v>
      </c>
      <c r="D810" s="112" t="s">
        <v>341</v>
      </c>
      <c r="E810" s="122">
        <v>1.489583333333333</v>
      </c>
      <c r="F810" s="112" t="s">
        <v>40</v>
      </c>
      <c r="G810" s="114">
        <v>15</v>
      </c>
      <c r="H810" s="115" t="s">
        <v>475</v>
      </c>
    </row>
    <row r="811" spans="1:8" ht="19.899999999999999" customHeight="1">
      <c r="A811" s="121">
        <v>46034</v>
      </c>
      <c r="B811" s="112" t="s">
        <v>38</v>
      </c>
      <c r="C811" s="113" t="s">
        <v>344</v>
      </c>
      <c r="D811" s="112" t="s">
        <v>341</v>
      </c>
      <c r="E811" s="122">
        <v>1.8888888888888891</v>
      </c>
      <c r="F811" s="112" t="s">
        <v>40</v>
      </c>
      <c r="G811" s="114">
        <v>18</v>
      </c>
      <c r="H811" s="115" t="s">
        <v>30</v>
      </c>
    </row>
    <row r="812" spans="1:8" ht="19.899999999999999" customHeight="1">
      <c r="A812" s="121">
        <v>46034</v>
      </c>
      <c r="B812" s="112" t="s">
        <v>359</v>
      </c>
      <c r="C812" s="113" t="s">
        <v>360</v>
      </c>
      <c r="D812" s="112" t="s">
        <v>341</v>
      </c>
      <c r="E812" s="122">
        <v>1.225694444444444</v>
      </c>
      <c r="F812" s="112" t="s">
        <v>361</v>
      </c>
      <c r="G812" s="114">
        <v>9</v>
      </c>
      <c r="H812" s="115" t="s">
        <v>362</v>
      </c>
    </row>
    <row r="813" spans="1:8" ht="19.899999999999999" customHeight="1">
      <c r="A813" s="121">
        <v>46034</v>
      </c>
      <c r="B813" s="112" t="s">
        <v>359</v>
      </c>
      <c r="C813" s="113" t="s">
        <v>445</v>
      </c>
      <c r="D813" s="112" t="s">
        <v>341</v>
      </c>
      <c r="E813" s="122">
        <v>1.0138888888888891</v>
      </c>
      <c r="F813" s="112" t="s">
        <v>361</v>
      </c>
      <c r="G813" s="114">
        <v>9</v>
      </c>
      <c r="H813" s="115" t="s">
        <v>362</v>
      </c>
    </row>
    <row r="814" spans="1:8" ht="19.899999999999999" customHeight="1">
      <c r="A814" s="121">
        <v>46034</v>
      </c>
      <c r="B814" s="112" t="s">
        <v>38</v>
      </c>
      <c r="C814" s="113" t="s">
        <v>346</v>
      </c>
      <c r="D814" s="112" t="s">
        <v>341</v>
      </c>
      <c r="E814" s="122">
        <v>1.399305555555556</v>
      </c>
      <c r="F814" s="112" t="s">
        <v>440</v>
      </c>
      <c r="G814" s="114">
        <v>20</v>
      </c>
      <c r="H814" s="115" t="s">
        <v>347</v>
      </c>
    </row>
    <row r="815" spans="1:8" ht="19.899999999999999" customHeight="1">
      <c r="A815" s="121">
        <v>46034</v>
      </c>
      <c r="B815" s="112" t="s">
        <v>38</v>
      </c>
      <c r="C815" s="113" t="s">
        <v>345</v>
      </c>
      <c r="D815" s="112" t="s">
        <v>341</v>
      </c>
      <c r="E815" s="122">
        <v>1.989583333333333</v>
      </c>
      <c r="F815" s="112" t="s">
        <v>40</v>
      </c>
      <c r="G815" s="114">
        <v>20</v>
      </c>
      <c r="H815" s="115" t="s">
        <v>347</v>
      </c>
    </row>
    <row r="816" spans="1:8" ht="19.899999999999999" customHeight="1">
      <c r="A816" s="129">
        <v>46034</v>
      </c>
      <c r="B816" s="117" t="s">
        <v>61</v>
      </c>
      <c r="C816" s="118" t="s">
        <v>432</v>
      </c>
      <c r="D816" s="117" t="s">
        <v>341</v>
      </c>
      <c r="E816" s="130">
        <v>1.802083333333333</v>
      </c>
      <c r="F816" s="117" t="s">
        <v>63</v>
      </c>
      <c r="G816" s="119">
        <v>5</v>
      </c>
      <c r="H816" s="120" t="s">
        <v>365</v>
      </c>
    </row>
    <row r="817" spans="1:8" ht="19.899999999999999" customHeight="1">
      <c r="A817" s="129">
        <v>46034</v>
      </c>
      <c r="B817" s="117" t="s">
        <v>61</v>
      </c>
      <c r="C817" s="118" t="s">
        <v>375</v>
      </c>
      <c r="D817" s="117" t="s">
        <v>341</v>
      </c>
      <c r="E817" s="130">
        <v>1.2465277777777779</v>
      </c>
      <c r="F817" s="117" t="s">
        <v>63</v>
      </c>
      <c r="G817" s="119">
        <v>4</v>
      </c>
      <c r="H817" s="120" t="s">
        <v>365</v>
      </c>
    </row>
    <row r="818" spans="1:8" ht="19.899999999999999" customHeight="1">
      <c r="A818" s="129">
        <v>46034</v>
      </c>
      <c r="B818" s="117" t="s">
        <v>61</v>
      </c>
      <c r="C818" s="118" t="s">
        <v>377</v>
      </c>
      <c r="D818" s="117" t="s">
        <v>341</v>
      </c>
      <c r="E818" s="130">
        <v>1.4375</v>
      </c>
      <c r="F818" s="117" t="s">
        <v>63</v>
      </c>
      <c r="G818" s="119">
        <v>4</v>
      </c>
      <c r="H818" s="120" t="s">
        <v>365</v>
      </c>
    </row>
    <row r="819" spans="1:8" ht="19.899999999999999" customHeight="1">
      <c r="A819" s="121">
        <v>46034</v>
      </c>
      <c r="B819" s="112" t="s">
        <v>38</v>
      </c>
      <c r="C819" s="113" t="s">
        <v>342</v>
      </c>
      <c r="D819" s="112" t="s">
        <v>341</v>
      </c>
      <c r="E819" s="122">
        <v>1.489583333333333</v>
      </c>
      <c r="F819" s="112" t="s">
        <v>43</v>
      </c>
      <c r="G819" s="114">
        <v>15</v>
      </c>
      <c r="H819" s="115" t="s">
        <v>121</v>
      </c>
    </row>
    <row r="820" spans="1:8" ht="19.899999999999999" customHeight="1">
      <c r="A820" s="121">
        <v>46034</v>
      </c>
      <c r="B820" s="112" t="s">
        <v>26</v>
      </c>
      <c r="C820" s="113" t="s">
        <v>348</v>
      </c>
      <c r="D820" s="112" t="s">
        <v>341</v>
      </c>
      <c r="E820" s="122">
        <v>1.993055555555556</v>
      </c>
      <c r="F820" s="112" t="s">
        <v>28</v>
      </c>
      <c r="G820" s="114">
        <v>4</v>
      </c>
      <c r="H820" s="115" t="s">
        <v>83</v>
      </c>
    </row>
    <row r="821" spans="1:8" ht="19.899999999999999" customHeight="1">
      <c r="A821" s="121">
        <v>46034</v>
      </c>
      <c r="B821" s="112" t="s">
        <v>26</v>
      </c>
      <c r="C821" s="113" t="s">
        <v>351</v>
      </c>
      <c r="D821" s="112" t="s">
        <v>341</v>
      </c>
      <c r="E821" s="122">
        <v>1.836805555555556</v>
      </c>
      <c r="F821" s="112" t="s">
        <v>28</v>
      </c>
      <c r="G821" s="114">
        <v>3</v>
      </c>
      <c r="H821" s="115" t="s">
        <v>83</v>
      </c>
    </row>
    <row r="822" spans="1:8" ht="19.899999999999999" customHeight="1">
      <c r="A822" s="121">
        <v>46034</v>
      </c>
      <c r="B822" s="112" t="s">
        <v>26</v>
      </c>
      <c r="C822" s="113" t="s">
        <v>356</v>
      </c>
      <c r="D822" s="112" t="s">
        <v>341</v>
      </c>
      <c r="E822" s="122">
        <v>1.4861111111111109</v>
      </c>
      <c r="F822" s="112" t="s">
        <v>28</v>
      </c>
      <c r="G822" s="114">
        <v>5</v>
      </c>
      <c r="H822" s="115" t="s">
        <v>83</v>
      </c>
    </row>
    <row r="823" spans="1:8" ht="19.899999999999999" customHeight="1">
      <c r="A823" s="121">
        <v>46034</v>
      </c>
      <c r="B823" s="112" t="s">
        <v>26</v>
      </c>
      <c r="C823" s="113" t="s">
        <v>353</v>
      </c>
      <c r="D823" s="112" t="s">
        <v>341</v>
      </c>
      <c r="E823" s="122">
        <v>1.8888888888888891</v>
      </c>
      <c r="F823" s="112" t="s">
        <v>28</v>
      </c>
      <c r="G823" s="114">
        <v>5</v>
      </c>
      <c r="H823" s="115" t="s">
        <v>83</v>
      </c>
    </row>
    <row r="824" spans="1:8" ht="19.899999999999999" customHeight="1">
      <c r="A824" s="121">
        <v>46034</v>
      </c>
      <c r="B824" s="112" t="s">
        <v>48</v>
      </c>
      <c r="C824" s="113" t="s">
        <v>386</v>
      </c>
      <c r="D824" s="112" t="s">
        <v>341</v>
      </c>
      <c r="E824" s="122">
        <v>1.8298611111111109</v>
      </c>
      <c r="F824" s="112" t="s">
        <v>50</v>
      </c>
      <c r="G824" s="114">
        <v>9</v>
      </c>
      <c r="H824" s="115" t="s">
        <v>383</v>
      </c>
    </row>
    <row r="825" spans="1:8" ht="19.899999999999999" customHeight="1">
      <c r="A825" s="121">
        <v>46034</v>
      </c>
      <c r="B825" s="112" t="s">
        <v>402</v>
      </c>
      <c r="C825" s="113" t="s">
        <v>403</v>
      </c>
      <c r="D825" s="112" t="s">
        <v>341</v>
      </c>
      <c r="E825" s="122">
        <v>1.493055555555556</v>
      </c>
      <c r="F825" s="112" t="s">
        <v>63</v>
      </c>
      <c r="G825" s="114">
        <v>5</v>
      </c>
      <c r="H825" s="115" t="s">
        <v>404</v>
      </c>
    </row>
    <row r="826" spans="1:8" ht="19.899999999999999" customHeight="1">
      <c r="A826" s="121">
        <v>46034</v>
      </c>
      <c r="B826" s="112" t="s">
        <v>402</v>
      </c>
      <c r="C826" s="113" t="s">
        <v>465</v>
      </c>
      <c r="D826" s="112" t="s">
        <v>341</v>
      </c>
      <c r="E826" s="122">
        <v>1.135416666666667</v>
      </c>
      <c r="F826" s="112" t="s">
        <v>63</v>
      </c>
      <c r="G826" s="114">
        <v>5</v>
      </c>
      <c r="H826" s="115" t="s">
        <v>404</v>
      </c>
    </row>
    <row r="827" spans="1:8" ht="19.899999999999999" customHeight="1">
      <c r="A827" s="121">
        <v>46034</v>
      </c>
      <c r="B827" s="112" t="s">
        <v>402</v>
      </c>
      <c r="C827" s="113" t="s">
        <v>473</v>
      </c>
      <c r="D827" s="112" t="s">
        <v>341</v>
      </c>
      <c r="E827" s="122">
        <v>1.868055555555556</v>
      </c>
      <c r="F827" s="112" t="s">
        <v>63</v>
      </c>
      <c r="G827" s="114">
        <v>5</v>
      </c>
      <c r="H827" s="115" t="s">
        <v>404</v>
      </c>
    </row>
    <row r="828" spans="1:8" ht="19.899999999999999" customHeight="1">
      <c r="A828" s="121">
        <v>46034</v>
      </c>
      <c r="B828" s="112" t="s">
        <v>48</v>
      </c>
      <c r="C828" s="113" t="s">
        <v>388</v>
      </c>
      <c r="D828" s="112" t="s">
        <v>341</v>
      </c>
      <c r="E828" s="122">
        <v>1.7222222222222221</v>
      </c>
      <c r="F828" s="112" t="s">
        <v>50</v>
      </c>
      <c r="G828" s="114">
        <v>9</v>
      </c>
      <c r="H828" s="115" t="s">
        <v>79</v>
      </c>
    </row>
    <row r="829" spans="1:8" ht="19.899999999999999" customHeight="1">
      <c r="A829" s="121">
        <v>46034</v>
      </c>
      <c r="B829" s="112" t="s">
        <v>48</v>
      </c>
      <c r="C829" s="113" t="s">
        <v>385</v>
      </c>
      <c r="D829" s="112" t="s">
        <v>341</v>
      </c>
      <c r="E829" s="122">
        <v>1.9409722222222221</v>
      </c>
      <c r="F829" s="112" t="s">
        <v>50</v>
      </c>
      <c r="G829" s="114">
        <v>9</v>
      </c>
      <c r="H829" s="115" t="s">
        <v>79</v>
      </c>
    </row>
    <row r="830" spans="1:8" ht="19.899999999999999" customHeight="1">
      <c r="A830" s="121">
        <v>46034</v>
      </c>
      <c r="B830" s="112" t="s">
        <v>26</v>
      </c>
      <c r="C830" s="113" t="s">
        <v>350</v>
      </c>
      <c r="D830" s="112" t="s">
        <v>341</v>
      </c>
      <c r="E830" s="122">
        <v>1.7361111111111109</v>
      </c>
      <c r="F830" s="112" t="s">
        <v>28</v>
      </c>
      <c r="G830" s="114">
        <v>5</v>
      </c>
      <c r="H830" s="115" t="s">
        <v>79</v>
      </c>
    </row>
    <row r="831" spans="1:8" ht="19.899999999999999" customHeight="1">
      <c r="A831" s="121">
        <v>46034</v>
      </c>
      <c r="B831" s="112" t="s">
        <v>38</v>
      </c>
      <c r="C831" s="113" t="s">
        <v>344</v>
      </c>
      <c r="D831" s="112" t="s">
        <v>341</v>
      </c>
      <c r="E831" s="122">
        <v>1.8888888888888891</v>
      </c>
      <c r="F831" s="112" t="s">
        <v>43</v>
      </c>
      <c r="G831" s="114">
        <v>18</v>
      </c>
      <c r="H831" s="115" t="s">
        <v>420</v>
      </c>
    </row>
    <row r="832" spans="1:8" ht="19.899999999999999" customHeight="1">
      <c r="A832" s="121">
        <v>46034</v>
      </c>
      <c r="B832" s="112" t="s">
        <v>26</v>
      </c>
      <c r="C832" s="113" t="s">
        <v>352</v>
      </c>
      <c r="D832" s="112" t="s">
        <v>341</v>
      </c>
      <c r="E832" s="122">
        <v>1.944444444444444</v>
      </c>
      <c r="F832" s="112" t="s">
        <v>28</v>
      </c>
      <c r="G832" s="114">
        <v>9</v>
      </c>
      <c r="H832" s="115" t="s">
        <v>45</v>
      </c>
    </row>
    <row r="833" spans="1:8" ht="19.899999999999999" customHeight="1">
      <c r="A833" s="121">
        <v>46034</v>
      </c>
      <c r="B833" s="112" t="s">
        <v>26</v>
      </c>
      <c r="C833" s="113" t="s">
        <v>357</v>
      </c>
      <c r="D833" s="112" t="s">
        <v>341</v>
      </c>
      <c r="E833" s="122">
        <v>1.5590277777777779</v>
      </c>
      <c r="F833" s="112" t="s">
        <v>28</v>
      </c>
      <c r="G833" s="114">
        <v>9</v>
      </c>
      <c r="H833" s="115" t="s">
        <v>45</v>
      </c>
    </row>
    <row r="834" spans="1:8" ht="19.899999999999999" customHeight="1">
      <c r="A834" s="121">
        <v>46034</v>
      </c>
      <c r="B834" s="112" t="s">
        <v>26</v>
      </c>
      <c r="C834" s="113" t="s">
        <v>348</v>
      </c>
      <c r="D834" s="112" t="s">
        <v>341</v>
      </c>
      <c r="E834" s="122">
        <v>1.993055555555556</v>
      </c>
      <c r="F834" s="112" t="s">
        <v>31</v>
      </c>
      <c r="G834" s="114">
        <v>4</v>
      </c>
      <c r="H834" s="115" t="s">
        <v>159</v>
      </c>
    </row>
    <row r="835" spans="1:8" ht="19.899999999999999" customHeight="1">
      <c r="A835" s="121">
        <v>46034</v>
      </c>
      <c r="B835" s="112" t="s">
        <v>26</v>
      </c>
      <c r="C835" s="113" t="s">
        <v>351</v>
      </c>
      <c r="D835" s="112" t="s">
        <v>341</v>
      </c>
      <c r="E835" s="122">
        <v>1.836805555555556</v>
      </c>
      <c r="F835" s="112" t="s">
        <v>31</v>
      </c>
      <c r="G835" s="114">
        <v>3</v>
      </c>
      <c r="H835" s="115" t="s">
        <v>159</v>
      </c>
    </row>
    <row r="836" spans="1:8" ht="19.899999999999999" customHeight="1">
      <c r="A836" s="121">
        <v>46034</v>
      </c>
      <c r="B836" s="112" t="s">
        <v>26</v>
      </c>
      <c r="C836" s="113" t="s">
        <v>356</v>
      </c>
      <c r="D836" s="112" t="s">
        <v>341</v>
      </c>
      <c r="E836" s="122">
        <v>1.4861111111111109</v>
      </c>
      <c r="F836" s="112" t="s">
        <v>31</v>
      </c>
      <c r="G836" s="114">
        <v>5</v>
      </c>
      <c r="H836" s="115" t="s">
        <v>159</v>
      </c>
    </row>
    <row r="837" spans="1:8" ht="19.899999999999999" customHeight="1">
      <c r="A837" s="121">
        <v>46034</v>
      </c>
      <c r="B837" s="112" t="s">
        <v>26</v>
      </c>
      <c r="C837" s="113" t="s">
        <v>353</v>
      </c>
      <c r="D837" s="112" t="s">
        <v>341</v>
      </c>
      <c r="E837" s="122">
        <v>1.8888888888888891</v>
      </c>
      <c r="F837" s="112" t="s">
        <v>31</v>
      </c>
      <c r="G837" s="114">
        <v>5</v>
      </c>
      <c r="H837" s="115" t="s">
        <v>159</v>
      </c>
    </row>
    <row r="838" spans="1:8" ht="19.899999999999999" customHeight="1">
      <c r="A838" s="121">
        <v>46034</v>
      </c>
      <c r="B838" s="112" t="s">
        <v>38</v>
      </c>
      <c r="C838" s="113" t="s">
        <v>345</v>
      </c>
      <c r="D838" s="112" t="s">
        <v>341</v>
      </c>
      <c r="E838" s="122">
        <v>1.989583333333333</v>
      </c>
      <c r="F838" s="112" t="s">
        <v>43</v>
      </c>
      <c r="G838" s="114">
        <v>20</v>
      </c>
      <c r="H838" s="115" t="s">
        <v>138</v>
      </c>
    </row>
    <row r="839" spans="1:8" ht="19.899999999999999" customHeight="1">
      <c r="A839" s="121">
        <v>46034</v>
      </c>
      <c r="B839" s="112" t="s">
        <v>68</v>
      </c>
      <c r="C839" s="113" t="s">
        <v>405</v>
      </c>
      <c r="D839" s="112" t="s">
        <v>341</v>
      </c>
      <c r="E839" s="122">
        <v>1.836805555555556</v>
      </c>
      <c r="F839" s="112" t="s">
        <v>70</v>
      </c>
      <c r="G839" s="114">
        <v>9</v>
      </c>
      <c r="H839" s="115" t="s">
        <v>406</v>
      </c>
    </row>
    <row r="840" spans="1:8" ht="19.899999999999999" customHeight="1">
      <c r="A840" s="121">
        <v>46034</v>
      </c>
      <c r="B840" s="112" t="s">
        <v>68</v>
      </c>
      <c r="C840" s="113" t="s">
        <v>407</v>
      </c>
      <c r="D840" s="112" t="s">
        <v>341</v>
      </c>
      <c r="E840" s="122">
        <v>1.3125</v>
      </c>
      <c r="F840" s="112" t="s">
        <v>70</v>
      </c>
      <c r="G840" s="114">
        <v>9</v>
      </c>
      <c r="H840" s="115" t="s">
        <v>406</v>
      </c>
    </row>
    <row r="841" spans="1:8" ht="19.899999999999999" customHeight="1">
      <c r="A841" s="121">
        <v>46034</v>
      </c>
      <c r="B841" s="112" t="s">
        <v>68</v>
      </c>
      <c r="C841" s="113" t="s">
        <v>408</v>
      </c>
      <c r="D841" s="112" t="s">
        <v>341</v>
      </c>
      <c r="E841" s="122">
        <v>1.9722222222222221</v>
      </c>
      <c r="F841" s="112" t="s">
        <v>70</v>
      </c>
      <c r="G841" s="114">
        <v>9</v>
      </c>
      <c r="H841" s="115" t="s">
        <v>406</v>
      </c>
    </row>
    <row r="842" spans="1:8" ht="19.899999999999999" customHeight="1">
      <c r="A842" s="121">
        <v>46034</v>
      </c>
      <c r="B842" s="112" t="s">
        <v>68</v>
      </c>
      <c r="C842" s="113" t="s">
        <v>409</v>
      </c>
      <c r="D842" s="112" t="s">
        <v>341</v>
      </c>
      <c r="E842" s="122">
        <v>1.3402777777777779</v>
      </c>
      <c r="F842" s="112" t="s">
        <v>70</v>
      </c>
      <c r="G842" s="114">
        <v>9</v>
      </c>
      <c r="H842" s="115" t="s">
        <v>406</v>
      </c>
    </row>
    <row r="843" spans="1:8" ht="19.899999999999999" customHeight="1">
      <c r="A843" s="121">
        <v>46034</v>
      </c>
      <c r="B843" s="112" t="s">
        <v>68</v>
      </c>
      <c r="C843" s="113" t="s">
        <v>411</v>
      </c>
      <c r="D843" s="112" t="s">
        <v>341</v>
      </c>
      <c r="E843" s="122">
        <v>1.7847222222222221</v>
      </c>
      <c r="F843" s="112" t="s">
        <v>70</v>
      </c>
      <c r="G843" s="114">
        <v>9</v>
      </c>
      <c r="H843" s="115" t="s">
        <v>406</v>
      </c>
    </row>
    <row r="844" spans="1:8" ht="19.899999999999999" customHeight="1">
      <c r="A844" s="121">
        <v>46034</v>
      </c>
      <c r="B844" s="112" t="s">
        <v>68</v>
      </c>
      <c r="C844" s="113" t="s">
        <v>410</v>
      </c>
      <c r="D844" s="112" t="s">
        <v>341</v>
      </c>
      <c r="E844" s="122">
        <v>1.5972222222222221</v>
      </c>
      <c r="F844" s="112" t="s">
        <v>70</v>
      </c>
      <c r="G844" s="114">
        <v>9</v>
      </c>
      <c r="H844" s="115" t="s">
        <v>406</v>
      </c>
    </row>
    <row r="845" spans="1:8" ht="19.899999999999999" customHeight="1">
      <c r="A845" s="121">
        <v>46034</v>
      </c>
      <c r="B845" s="112" t="s">
        <v>68</v>
      </c>
      <c r="C845" s="113" t="s">
        <v>413</v>
      </c>
      <c r="D845" s="112" t="s">
        <v>341</v>
      </c>
      <c r="E845" s="122">
        <v>1.0486111111111109</v>
      </c>
      <c r="F845" s="112" t="s">
        <v>70</v>
      </c>
      <c r="G845" s="114">
        <v>9</v>
      </c>
      <c r="H845" s="115" t="s">
        <v>406</v>
      </c>
    </row>
    <row r="846" spans="1:8" ht="19.899999999999999" customHeight="1">
      <c r="A846" s="121">
        <v>46034</v>
      </c>
      <c r="B846" s="112" t="s">
        <v>48</v>
      </c>
      <c r="C846" s="113" t="s">
        <v>389</v>
      </c>
      <c r="D846" s="112" t="s">
        <v>341</v>
      </c>
      <c r="E846" s="122">
        <v>1.7013888888888891</v>
      </c>
      <c r="F846" s="112" t="s">
        <v>50</v>
      </c>
      <c r="G846" s="114">
        <v>9</v>
      </c>
      <c r="H846" s="115" t="s">
        <v>462</v>
      </c>
    </row>
    <row r="847" spans="1:8" ht="19.899999999999999" customHeight="1">
      <c r="A847" s="121">
        <v>46034</v>
      </c>
      <c r="B847" s="112" t="s">
        <v>48</v>
      </c>
      <c r="C847" s="113" t="s">
        <v>390</v>
      </c>
      <c r="D847" s="112" t="s">
        <v>341</v>
      </c>
      <c r="E847" s="122">
        <v>1.041666666666667</v>
      </c>
      <c r="F847" s="112" t="s">
        <v>50</v>
      </c>
      <c r="G847" s="114">
        <v>9</v>
      </c>
      <c r="H847" s="115" t="s">
        <v>462</v>
      </c>
    </row>
    <row r="848" spans="1:8" ht="19.899999999999999" customHeight="1">
      <c r="A848" s="121">
        <v>46034</v>
      </c>
      <c r="B848" s="112" t="s">
        <v>48</v>
      </c>
      <c r="C848" s="113" t="s">
        <v>386</v>
      </c>
      <c r="D848" s="112" t="s">
        <v>341</v>
      </c>
      <c r="E848" s="122">
        <v>1.8298611111111109</v>
      </c>
      <c r="F848" s="112" t="s">
        <v>53</v>
      </c>
      <c r="G848" s="114">
        <v>9</v>
      </c>
      <c r="H848" s="115" t="s">
        <v>384</v>
      </c>
    </row>
    <row r="849" spans="1:8" ht="19.899999999999999" customHeight="1">
      <c r="A849" s="121">
        <v>46034</v>
      </c>
      <c r="B849" s="112" t="s">
        <v>26</v>
      </c>
      <c r="C849" s="113" t="s">
        <v>350</v>
      </c>
      <c r="D849" s="112" t="s">
        <v>341</v>
      </c>
      <c r="E849" s="122">
        <v>1.7361111111111109</v>
      </c>
      <c r="F849" s="112" t="s">
        <v>31</v>
      </c>
      <c r="G849" s="114">
        <v>5</v>
      </c>
      <c r="H849" s="115" t="s">
        <v>123</v>
      </c>
    </row>
    <row r="850" spans="1:8" ht="19.899999999999999" customHeight="1">
      <c r="A850" s="121">
        <v>46034</v>
      </c>
      <c r="B850" s="112" t="s">
        <v>359</v>
      </c>
      <c r="C850" s="113" t="s">
        <v>360</v>
      </c>
      <c r="D850" s="112" t="s">
        <v>341</v>
      </c>
      <c r="E850" s="122">
        <v>1.225694444444444</v>
      </c>
      <c r="F850" s="112" t="s">
        <v>46</v>
      </c>
      <c r="G850" s="114">
        <v>9</v>
      </c>
      <c r="H850" s="115" t="s">
        <v>363</v>
      </c>
    </row>
    <row r="851" spans="1:8" ht="19.899999999999999" customHeight="1">
      <c r="A851" s="121">
        <v>46034</v>
      </c>
      <c r="B851" s="112" t="s">
        <v>359</v>
      </c>
      <c r="C851" s="113" t="s">
        <v>445</v>
      </c>
      <c r="D851" s="112" t="s">
        <v>341</v>
      </c>
      <c r="E851" s="122">
        <v>1.0138888888888891</v>
      </c>
      <c r="F851" s="112" t="s">
        <v>46</v>
      </c>
      <c r="G851" s="114">
        <v>9</v>
      </c>
      <c r="H851" s="115" t="s">
        <v>363</v>
      </c>
    </row>
    <row r="852" spans="1:8" ht="19.899999999999999" customHeight="1">
      <c r="A852" s="121">
        <v>46034</v>
      </c>
      <c r="B852" s="112" t="s">
        <v>48</v>
      </c>
      <c r="C852" s="113" t="s">
        <v>388</v>
      </c>
      <c r="D852" s="112" t="s">
        <v>341</v>
      </c>
      <c r="E852" s="122">
        <v>1.7222222222222221</v>
      </c>
      <c r="F852" s="112" t="s">
        <v>53</v>
      </c>
      <c r="G852" s="114">
        <v>9</v>
      </c>
      <c r="H852" s="115" t="s">
        <v>387</v>
      </c>
    </row>
    <row r="853" spans="1:8" ht="19.899999999999999" customHeight="1">
      <c r="A853" s="121">
        <v>46034</v>
      </c>
      <c r="B853" s="112" t="s">
        <v>48</v>
      </c>
      <c r="C853" s="113" t="s">
        <v>385</v>
      </c>
      <c r="D853" s="112" t="s">
        <v>341</v>
      </c>
      <c r="E853" s="122">
        <v>1.9409722222222221</v>
      </c>
      <c r="F853" s="112" t="s">
        <v>53</v>
      </c>
      <c r="G853" s="114">
        <v>9</v>
      </c>
      <c r="H853" s="115" t="s">
        <v>387</v>
      </c>
    </row>
    <row r="854" spans="1:8" ht="19.899999999999999" customHeight="1">
      <c r="A854" s="121">
        <v>46034</v>
      </c>
      <c r="B854" s="112" t="s">
        <v>26</v>
      </c>
      <c r="C854" s="113" t="s">
        <v>348</v>
      </c>
      <c r="D854" s="112" t="s">
        <v>341</v>
      </c>
      <c r="E854" s="122">
        <v>1.993055555555556</v>
      </c>
      <c r="F854" s="112" t="s">
        <v>34</v>
      </c>
      <c r="G854" s="114">
        <v>4</v>
      </c>
      <c r="H854" s="115" t="s">
        <v>355</v>
      </c>
    </row>
    <row r="855" spans="1:8" ht="19.899999999999999" customHeight="1">
      <c r="A855" s="121">
        <v>46034</v>
      </c>
      <c r="B855" s="112" t="s">
        <v>26</v>
      </c>
      <c r="C855" s="113" t="s">
        <v>351</v>
      </c>
      <c r="D855" s="112" t="s">
        <v>341</v>
      </c>
      <c r="E855" s="122">
        <v>1.836805555555556</v>
      </c>
      <c r="F855" s="112" t="s">
        <v>34</v>
      </c>
      <c r="G855" s="114">
        <v>3</v>
      </c>
      <c r="H855" s="115" t="s">
        <v>355</v>
      </c>
    </row>
    <row r="856" spans="1:8" ht="19.899999999999999" customHeight="1">
      <c r="A856" s="121">
        <v>46034</v>
      </c>
      <c r="B856" s="112" t="s">
        <v>26</v>
      </c>
      <c r="C856" s="113" t="s">
        <v>352</v>
      </c>
      <c r="D856" s="112" t="s">
        <v>341</v>
      </c>
      <c r="E856" s="122">
        <v>1.944444444444444</v>
      </c>
      <c r="F856" s="112" t="s">
        <v>31</v>
      </c>
      <c r="G856" s="114">
        <v>9</v>
      </c>
      <c r="H856" s="115" t="s">
        <v>355</v>
      </c>
    </row>
    <row r="857" spans="1:8" ht="19.899999999999999" customHeight="1">
      <c r="A857" s="121">
        <v>46034</v>
      </c>
      <c r="B857" s="112" t="s">
        <v>26</v>
      </c>
      <c r="C857" s="113" t="s">
        <v>356</v>
      </c>
      <c r="D857" s="112" t="s">
        <v>341</v>
      </c>
      <c r="E857" s="122">
        <v>1.4861111111111109</v>
      </c>
      <c r="F857" s="112" t="s">
        <v>34</v>
      </c>
      <c r="G857" s="114">
        <v>5</v>
      </c>
      <c r="H857" s="115" t="s">
        <v>355</v>
      </c>
    </row>
    <row r="858" spans="1:8" ht="19.899999999999999" customHeight="1">
      <c r="A858" s="121">
        <v>46034</v>
      </c>
      <c r="B858" s="112" t="s">
        <v>26</v>
      </c>
      <c r="C858" s="113" t="s">
        <v>357</v>
      </c>
      <c r="D858" s="112" t="s">
        <v>341</v>
      </c>
      <c r="E858" s="122">
        <v>1.5590277777777779</v>
      </c>
      <c r="F858" s="112" t="s">
        <v>31</v>
      </c>
      <c r="G858" s="114">
        <v>9</v>
      </c>
      <c r="H858" s="115" t="s">
        <v>355</v>
      </c>
    </row>
    <row r="859" spans="1:8" ht="19.899999999999999" customHeight="1">
      <c r="A859" s="121">
        <v>46034</v>
      </c>
      <c r="B859" s="112" t="s">
        <v>26</v>
      </c>
      <c r="C859" s="113" t="s">
        <v>353</v>
      </c>
      <c r="D859" s="112" t="s">
        <v>341</v>
      </c>
      <c r="E859" s="122">
        <v>1.8888888888888891</v>
      </c>
      <c r="F859" s="112" t="s">
        <v>34</v>
      </c>
      <c r="G859" s="114">
        <v>5</v>
      </c>
      <c r="H859" s="115" t="s">
        <v>355</v>
      </c>
    </row>
    <row r="860" spans="1:8" ht="19.899999999999999" customHeight="1">
      <c r="A860" s="121">
        <v>46034</v>
      </c>
      <c r="B860" s="112" t="s">
        <v>26</v>
      </c>
      <c r="C860" s="113" t="s">
        <v>350</v>
      </c>
      <c r="D860" s="112" t="s">
        <v>341</v>
      </c>
      <c r="E860" s="122">
        <v>1.7361111111111109</v>
      </c>
      <c r="F860" s="112" t="s">
        <v>34</v>
      </c>
      <c r="G860" s="114">
        <v>5</v>
      </c>
      <c r="H860" s="115" t="s">
        <v>118</v>
      </c>
    </row>
    <row r="861" spans="1:8" ht="19.899999999999999" customHeight="1">
      <c r="A861" s="121">
        <v>46034</v>
      </c>
      <c r="B861" s="112" t="s">
        <v>48</v>
      </c>
      <c r="C861" s="113" t="s">
        <v>389</v>
      </c>
      <c r="D861" s="112" t="s">
        <v>341</v>
      </c>
      <c r="E861" s="122">
        <v>1.7013888888888891</v>
      </c>
      <c r="F861" s="112" t="s">
        <v>53</v>
      </c>
      <c r="G861" s="114">
        <v>9</v>
      </c>
      <c r="H861" s="115" t="s">
        <v>463</v>
      </c>
    </row>
    <row r="862" spans="1:8" ht="19.899999999999999" customHeight="1">
      <c r="A862" s="121">
        <v>46034</v>
      </c>
      <c r="B862" s="112" t="s">
        <v>48</v>
      </c>
      <c r="C862" s="113" t="s">
        <v>390</v>
      </c>
      <c r="D862" s="112" t="s">
        <v>341</v>
      </c>
      <c r="E862" s="122">
        <v>1.041666666666667</v>
      </c>
      <c r="F862" s="112" t="s">
        <v>53</v>
      </c>
      <c r="G862" s="114">
        <v>9</v>
      </c>
      <c r="H862" s="115" t="s">
        <v>463</v>
      </c>
    </row>
    <row r="863" spans="1:8" ht="19.899999999999999" customHeight="1">
      <c r="A863" s="121">
        <v>46034</v>
      </c>
      <c r="B863" s="112" t="s">
        <v>26</v>
      </c>
      <c r="C863" s="113" t="s">
        <v>352</v>
      </c>
      <c r="D863" s="112" t="s">
        <v>341</v>
      </c>
      <c r="E863" s="122">
        <v>1.944444444444444</v>
      </c>
      <c r="F863" s="112" t="s">
        <v>34</v>
      </c>
      <c r="G863" s="114">
        <v>9</v>
      </c>
      <c r="H863" s="115" t="s">
        <v>358</v>
      </c>
    </row>
    <row r="864" spans="1:8" ht="19.899999999999999" customHeight="1">
      <c r="A864" s="121">
        <v>46034</v>
      </c>
      <c r="B864" s="112" t="s">
        <v>26</v>
      </c>
      <c r="C864" s="113" t="s">
        <v>357</v>
      </c>
      <c r="D864" s="112" t="s">
        <v>341</v>
      </c>
      <c r="E864" s="122">
        <v>1.5590277777777779</v>
      </c>
      <c r="F864" s="112" t="s">
        <v>34</v>
      </c>
      <c r="G864" s="114">
        <v>9</v>
      </c>
      <c r="H864" s="115" t="s">
        <v>358</v>
      </c>
    </row>
    <row r="865" spans="1:8" ht="19.899999999999999" customHeight="1">
      <c r="A865" s="121">
        <v>46034</v>
      </c>
      <c r="B865" s="112" t="s">
        <v>48</v>
      </c>
      <c r="C865" s="113" t="s">
        <v>391</v>
      </c>
      <c r="D865" s="112" t="s">
        <v>341</v>
      </c>
      <c r="E865" s="122">
        <v>1.489583333333333</v>
      </c>
      <c r="F865" s="112" t="s">
        <v>50</v>
      </c>
      <c r="G865" s="114">
        <v>9</v>
      </c>
      <c r="H865" s="115" t="s">
        <v>392</v>
      </c>
    </row>
    <row r="866" spans="1:8" ht="19.899999999999999" customHeight="1">
      <c r="A866" s="121">
        <v>46034</v>
      </c>
      <c r="B866" s="112" t="s">
        <v>48</v>
      </c>
      <c r="C866" s="113" t="s">
        <v>382</v>
      </c>
      <c r="D866" s="112" t="s">
        <v>341</v>
      </c>
      <c r="E866" s="122">
        <v>1.118055555555556</v>
      </c>
      <c r="F866" s="112" t="s">
        <v>50</v>
      </c>
      <c r="G866" s="114">
        <v>9</v>
      </c>
      <c r="H866" s="115" t="s">
        <v>392</v>
      </c>
    </row>
    <row r="867" spans="1:8" ht="19.899999999999999" customHeight="1">
      <c r="A867" s="121">
        <v>46034</v>
      </c>
      <c r="B867" s="112" t="s">
        <v>48</v>
      </c>
      <c r="C867" s="113" t="s">
        <v>400</v>
      </c>
      <c r="D867" s="112" t="s">
        <v>341</v>
      </c>
      <c r="E867" s="122">
        <v>1.2534722222222221</v>
      </c>
      <c r="F867" s="112" t="s">
        <v>50</v>
      </c>
      <c r="G867" s="114">
        <v>9</v>
      </c>
      <c r="H867" s="115" t="s">
        <v>392</v>
      </c>
    </row>
    <row r="868" spans="1:8" ht="19.899999999999999" customHeight="1">
      <c r="A868" s="121">
        <v>46034</v>
      </c>
      <c r="B868" s="112" t="s">
        <v>26</v>
      </c>
      <c r="C868" s="113" t="s">
        <v>354</v>
      </c>
      <c r="D868" s="112" t="s">
        <v>341</v>
      </c>
      <c r="E868" s="122">
        <v>1.3472222222222221</v>
      </c>
      <c r="F868" s="112" t="s">
        <v>28</v>
      </c>
      <c r="G868" s="114">
        <v>5</v>
      </c>
      <c r="H868" s="115" t="s">
        <v>455</v>
      </c>
    </row>
    <row r="869" spans="1:8" ht="19.899999999999999" customHeight="1">
      <c r="A869" s="121">
        <v>46034</v>
      </c>
      <c r="B869" s="112" t="s">
        <v>38</v>
      </c>
      <c r="C869" s="113" t="s">
        <v>342</v>
      </c>
      <c r="D869" s="112" t="s">
        <v>341</v>
      </c>
      <c r="E869" s="122">
        <v>1.489583333333333</v>
      </c>
      <c r="F869" s="112" t="s">
        <v>46</v>
      </c>
      <c r="G869" s="114">
        <v>15</v>
      </c>
      <c r="H869" s="115" t="s">
        <v>47</v>
      </c>
    </row>
    <row r="870" spans="1:8" ht="19.899999999999999" customHeight="1">
      <c r="A870" s="121">
        <v>46034</v>
      </c>
      <c r="B870" s="112" t="s">
        <v>38</v>
      </c>
      <c r="C870" s="113" t="s">
        <v>344</v>
      </c>
      <c r="D870" s="112" t="s">
        <v>341</v>
      </c>
      <c r="E870" s="122">
        <v>1.8888888888888891</v>
      </c>
      <c r="F870" s="112" t="s">
        <v>46</v>
      </c>
      <c r="G870" s="114">
        <v>18</v>
      </c>
      <c r="H870" s="115" t="s">
        <v>47</v>
      </c>
    </row>
    <row r="871" spans="1:8" ht="19.899999999999999" customHeight="1">
      <c r="A871" s="121">
        <v>46034</v>
      </c>
      <c r="B871" s="112" t="s">
        <v>38</v>
      </c>
      <c r="C871" s="113" t="s">
        <v>345</v>
      </c>
      <c r="D871" s="112" t="s">
        <v>341</v>
      </c>
      <c r="E871" s="122">
        <v>1.989583333333333</v>
      </c>
      <c r="F871" s="112" t="s">
        <v>46</v>
      </c>
      <c r="G871" s="114">
        <v>20</v>
      </c>
      <c r="H871" s="115" t="s">
        <v>47</v>
      </c>
    </row>
    <row r="872" spans="1:8" ht="19.899999999999999" customHeight="1">
      <c r="A872" s="121">
        <v>46034</v>
      </c>
      <c r="B872" s="112" t="s">
        <v>48</v>
      </c>
      <c r="C872" s="113" t="s">
        <v>396</v>
      </c>
      <c r="D872" s="112" t="s">
        <v>341</v>
      </c>
      <c r="E872" s="122">
        <v>1.489583333333333</v>
      </c>
      <c r="F872" s="112" t="s">
        <v>53</v>
      </c>
      <c r="G872" s="114">
        <v>4</v>
      </c>
      <c r="H872" s="115" t="s">
        <v>395</v>
      </c>
    </row>
    <row r="873" spans="1:8" ht="19.899999999999999" customHeight="1">
      <c r="A873" s="121">
        <v>46034</v>
      </c>
      <c r="B873" s="112" t="s">
        <v>26</v>
      </c>
      <c r="C873" s="113" t="s">
        <v>354</v>
      </c>
      <c r="D873" s="112" t="s">
        <v>341</v>
      </c>
      <c r="E873" s="122">
        <v>1.3472222222222221</v>
      </c>
      <c r="F873" s="112" t="s">
        <v>31</v>
      </c>
      <c r="G873" s="114">
        <v>5</v>
      </c>
      <c r="H873" s="115" t="s">
        <v>456</v>
      </c>
    </row>
    <row r="874" spans="1:8" ht="19.899999999999999" customHeight="1">
      <c r="A874" s="121">
        <v>46034</v>
      </c>
      <c r="B874" s="112" t="s">
        <v>48</v>
      </c>
      <c r="C874" s="113" t="s">
        <v>391</v>
      </c>
      <c r="D874" s="112" t="s">
        <v>341</v>
      </c>
      <c r="E874" s="122">
        <v>1.489583333333333</v>
      </c>
      <c r="F874" s="112" t="s">
        <v>53</v>
      </c>
      <c r="G874" s="114">
        <v>9</v>
      </c>
      <c r="H874" s="115" t="s">
        <v>393</v>
      </c>
    </row>
    <row r="875" spans="1:8" ht="19.899999999999999" customHeight="1">
      <c r="A875" s="121">
        <v>46034</v>
      </c>
      <c r="B875" s="112" t="s">
        <v>48</v>
      </c>
      <c r="C875" s="113" t="s">
        <v>382</v>
      </c>
      <c r="D875" s="112" t="s">
        <v>341</v>
      </c>
      <c r="E875" s="122">
        <v>1.118055555555556</v>
      </c>
      <c r="F875" s="112" t="s">
        <v>53</v>
      </c>
      <c r="G875" s="114">
        <v>9</v>
      </c>
      <c r="H875" s="115" t="s">
        <v>393</v>
      </c>
    </row>
    <row r="876" spans="1:8" ht="19.899999999999999" customHeight="1">
      <c r="A876" s="121">
        <v>46034</v>
      </c>
      <c r="B876" s="112" t="s">
        <v>48</v>
      </c>
      <c r="C876" s="113" t="s">
        <v>400</v>
      </c>
      <c r="D876" s="112" t="s">
        <v>341</v>
      </c>
      <c r="E876" s="122">
        <v>1.2534722222222221</v>
      </c>
      <c r="F876" s="112" t="s">
        <v>53</v>
      </c>
      <c r="G876" s="114">
        <v>9</v>
      </c>
      <c r="H876" s="115" t="s">
        <v>393</v>
      </c>
    </row>
    <row r="877" spans="1:8" ht="19.899999999999999" customHeight="1">
      <c r="A877" s="121">
        <v>46034</v>
      </c>
      <c r="B877" s="112" t="s">
        <v>48</v>
      </c>
      <c r="C877" s="113" t="s">
        <v>397</v>
      </c>
      <c r="D877" s="112" t="s">
        <v>341</v>
      </c>
      <c r="E877" s="122">
        <v>1.8888888888888891</v>
      </c>
      <c r="F877" s="112" t="s">
        <v>53</v>
      </c>
      <c r="G877" s="114">
        <v>4</v>
      </c>
      <c r="H877" s="115" t="s">
        <v>438</v>
      </c>
    </row>
    <row r="878" spans="1:8" ht="19.899999999999999" customHeight="1">
      <c r="A878" s="121">
        <v>46034</v>
      </c>
      <c r="B878" s="112" t="s">
        <v>26</v>
      </c>
      <c r="C878" s="113" t="s">
        <v>354</v>
      </c>
      <c r="D878" s="112" t="s">
        <v>341</v>
      </c>
      <c r="E878" s="122">
        <v>1.3472222222222221</v>
      </c>
      <c r="F878" s="112" t="s">
        <v>34</v>
      </c>
      <c r="G878" s="114">
        <v>5</v>
      </c>
      <c r="H878" s="115" t="s">
        <v>457</v>
      </c>
    </row>
    <row r="879" spans="1:8" ht="19.899999999999999" customHeight="1">
      <c r="A879" s="121">
        <v>46034</v>
      </c>
      <c r="B879" s="112" t="s">
        <v>48</v>
      </c>
      <c r="C879" s="113" t="s">
        <v>394</v>
      </c>
      <c r="D879" s="112" t="s">
        <v>341</v>
      </c>
      <c r="E879" s="122">
        <v>1.989583333333333</v>
      </c>
      <c r="F879" s="112" t="s">
        <v>53</v>
      </c>
      <c r="G879" s="114">
        <v>4</v>
      </c>
      <c r="H879" s="115" t="s">
        <v>399</v>
      </c>
    </row>
    <row r="880" spans="1:8" ht="19.899999999999999" customHeight="1">
      <c r="A880" s="121">
        <v>46034</v>
      </c>
      <c r="B880" s="112" t="s">
        <v>48</v>
      </c>
      <c r="C880" s="113" t="s">
        <v>398</v>
      </c>
      <c r="D880" s="112" t="s">
        <v>341</v>
      </c>
      <c r="E880" s="122">
        <v>1.399305555555556</v>
      </c>
      <c r="F880" s="112" t="s">
        <v>53</v>
      </c>
      <c r="G880" s="114">
        <v>4</v>
      </c>
      <c r="H880" s="115" t="s">
        <v>399</v>
      </c>
    </row>
    <row r="881" spans="1:8" ht="19.899999999999999" customHeight="1">
      <c r="A881" s="121">
        <v>46034</v>
      </c>
      <c r="B881" s="112" t="s">
        <v>68</v>
      </c>
      <c r="C881" s="113" t="s">
        <v>437</v>
      </c>
      <c r="D881" s="112" t="s">
        <v>341</v>
      </c>
      <c r="E881" s="122">
        <v>1.104166666666667</v>
      </c>
      <c r="F881" s="112" t="s">
        <v>70</v>
      </c>
      <c r="G881" s="114">
        <v>9</v>
      </c>
      <c r="H881" s="115" t="s">
        <v>492</v>
      </c>
    </row>
    <row r="882" spans="1:8" ht="19.899999999999999" customHeight="1">
      <c r="A882" s="123">
        <v>46034</v>
      </c>
      <c r="B882" s="124" t="s">
        <v>415</v>
      </c>
      <c r="C882" s="125" t="s">
        <v>480</v>
      </c>
      <c r="D882" s="124" t="s">
        <v>341</v>
      </c>
      <c r="E882" s="126">
        <v>1.7222222222222221</v>
      </c>
      <c r="F882" s="124" t="s">
        <v>63</v>
      </c>
      <c r="G882" s="127">
        <v>9</v>
      </c>
      <c r="H882" s="128" t="s">
        <v>417</v>
      </c>
    </row>
    <row r="883" spans="1:8" ht="19.899999999999999" customHeight="1">
      <c r="A883" s="121">
        <v>46035</v>
      </c>
      <c r="B883" s="112" t="s">
        <v>38</v>
      </c>
      <c r="C883" s="113" t="s">
        <v>342</v>
      </c>
      <c r="D883" s="112" t="s">
        <v>341</v>
      </c>
      <c r="E883" s="122">
        <v>1.489583333333333</v>
      </c>
      <c r="F883" s="112" t="s">
        <v>40</v>
      </c>
      <c r="G883" s="114">
        <v>10</v>
      </c>
      <c r="H883" s="115" t="s">
        <v>475</v>
      </c>
    </row>
    <row r="884" spans="1:8" ht="19.899999999999999" customHeight="1">
      <c r="A884" s="121">
        <v>46035</v>
      </c>
      <c r="B884" s="112" t="s">
        <v>38</v>
      </c>
      <c r="C884" s="113" t="s">
        <v>344</v>
      </c>
      <c r="D884" s="112" t="s">
        <v>341</v>
      </c>
      <c r="E884" s="122">
        <v>1.8888888888888891</v>
      </c>
      <c r="F884" s="112" t="s">
        <v>40</v>
      </c>
      <c r="G884" s="114">
        <v>19</v>
      </c>
      <c r="H884" s="115" t="s">
        <v>30</v>
      </c>
    </row>
    <row r="885" spans="1:8" ht="19.899999999999999" customHeight="1">
      <c r="A885" s="121">
        <v>46035</v>
      </c>
      <c r="B885" s="112" t="s">
        <v>38</v>
      </c>
      <c r="C885" s="113" t="s">
        <v>346</v>
      </c>
      <c r="D885" s="112" t="s">
        <v>341</v>
      </c>
      <c r="E885" s="122">
        <v>1.399305555555556</v>
      </c>
      <c r="F885" s="112" t="s">
        <v>40</v>
      </c>
      <c r="G885" s="114">
        <v>20</v>
      </c>
      <c r="H885" s="115" t="s">
        <v>347</v>
      </c>
    </row>
    <row r="886" spans="1:8" ht="19.899999999999999" customHeight="1">
      <c r="A886" s="121">
        <v>46035</v>
      </c>
      <c r="B886" s="112" t="s">
        <v>38</v>
      </c>
      <c r="C886" s="113" t="s">
        <v>345</v>
      </c>
      <c r="D886" s="112" t="s">
        <v>341</v>
      </c>
      <c r="E886" s="122">
        <v>1.989583333333333</v>
      </c>
      <c r="F886" s="112" t="s">
        <v>40</v>
      </c>
      <c r="G886" s="114">
        <v>20</v>
      </c>
      <c r="H886" s="115" t="s">
        <v>347</v>
      </c>
    </row>
    <row r="887" spans="1:8" ht="19.899999999999999" customHeight="1">
      <c r="A887" s="129">
        <v>46035</v>
      </c>
      <c r="B887" s="117" t="s">
        <v>61</v>
      </c>
      <c r="C887" s="118" t="s">
        <v>432</v>
      </c>
      <c r="D887" s="117" t="s">
        <v>341</v>
      </c>
      <c r="E887" s="130">
        <v>1.552083333333333</v>
      </c>
      <c r="F887" s="117" t="s">
        <v>63</v>
      </c>
      <c r="G887" s="119">
        <v>6</v>
      </c>
      <c r="H887" s="120" t="s">
        <v>365</v>
      </c>
    </row>
    <row r="888" spans="1:8" ht="19.899999999999999" customHeight="1">
      <c r="A888" s="129">
        <v>46035</v>
      </c>
      <c r="B888" s="117" t="s">
        <v>61</v>
      </c>
      <c r="C888" s="118" t="s">
        <v>428</v>
      </c>
      <c r="D888" s="117" t="s">
        <v>341</v>
      </c>
      <c r="E888" s="130">
        <v>1.052083333333333</v>
      </c>
      <c r="F888" s="117" t="s">
        <v>63</v>
      </c>
      <c r="G888" s="119">
        <v>6</v>
      </c>
      <c r="H888" s="120" t="s">
        <v>365</v>
      </c>
    </row>
    <row r="889" spans="1:8" ht="19.899999999999999" customHeight="1">
      <c r="A889" s="129">
        <v>46035</v>
      </c>
      <c r="B889" s="117" t="s">
        <v>61</v>
      </c>
      <c r="C889" s="118" t="s">
        <v>375</v>
      </c>
      <c r="D889" s="117" t="s">
        <v>341</v>
      </c>
      <c r="E889" s="130">
        <v>1.791666666666667</v>
      </c>
      <c r="F889" s="117" t="s">
        <v>63</v>
      </c>
      <c r="G889" s="119">
        <v>3</v>
      </c>
      <c r="H889" s="120" t="s">
        <v>365</v>
      </c>
    </row>
    <row r="890" spans="1:8" ht="19.899999999999999" customHeight="1">
      <c r="A890" s="129">
        <v>46035</v>
      </c>
      <c r="B890" s="117" t="s">
        <v>61</v>
      </c>
      <c r="C890" s="118" t="s">
        <v>377</v>
      </c>
      <c r="D890" s="117" t="s">
        <v>341</v>
      </c>
      <c r="E890" s="130">
        <v>1.4375</v>
      </c>
      <c r="F890" s="117" t="s">
        <v>63</v>
      </c>
      <c r="G890" s="119">
        <v>2</v>
      </c>
      <c r="H890" s="120" t="s">
        <v>365</v>
      </c>
    </row>
    <row r="891" spans="1:8" ht="19.899999999999999" customHeight="1">
      <c r="A891" s="129">
        <v>46035</v>
      </c>
      <c r="B891" s="117" t="s">
        <v>61</v>
      </c>
      <c r="C891" s="118" t="s">
        <v>379</v>
      </c>
      <c r="D891" s="117" t="s">
        <v>341</v>
      </c>
      <c r="E891" s="130">
        <v>1.381944444444444</v>
      </c>
      <c r="F891" s="117" t="s">
        <v>63</v>
      </c>
      <c r="G891" s="119">
        <v>6</v>
      </c>
      <c r="H891" s="120" t="s">
        <v>365</v>
      </c>
    </row>
    <row r="892" spans="1:8" ht="19.899999999999999" customHeight="1">
      <c r="A892" s="121">
        <v>46035</v>
      </c>
      <c r="B892" s="112" t="s">
        <v>38</v>
      </c>
      <c r="C892" s="113" t="s">
        <v>342</v>
      </c>
      <c r="D892" s="112" t="s">
        <v>341</v>
      </c>
      <c r="E892" s="122">
        <v>1.489583333333333</v>
      </c>
      <c r="F892" s="112" t="s">
        <v>43</v>
      </c>
      <c r="G892" s="114">
        <v>10</v>
      </c>
      <c r="H892" s="115" t="s">
        <v>121</v>
      </c>
    </row>
    <row r="893" spans="1:8" ht="19.899999999999999" customHeight="1">
      <c r="A893" s="121">
        <v>46035</v>
      </c>
      <c r="B893" s="112" t="s">
        <v>26</v>
      </c>
      <c r="C893" s="113" t="s">
        <v>348</v>
      </c>
      <c r="D893" s="112" t="s">
        <v>341</v>
      </c>
      <c r="E893" s="122">
        <v>1.993055555555556</v>
      </c>
      <c r="F893" s="112" t="s">
        <v>28</v>
      </c>
      <c r="G893" s="114">
        <v>3</v>
      </c>
      <c r="H893" s="115" t="s">
        <v>83</v>
      </c>
    </row>
    <row r="894" spans="1:8" ht="19.899999999999999" customHeight="1">
      <c r="A894" s="121">
        <v>46035</v>
      </c>
      <c r="B894" s="112" t="s">
        <v>26</v>
      </c>
      <c r="C894" s="113" t="s">
        <v>350</v>
      </c>
      <c r="D894" s="112" t="s">
        <v>341</v>
      </c>
      <c r="E894" s="122">
        <v>1.7361111111111109</v>
      </c>
      <c r="F894" s="112" t="s">
        <v>28</v>
      </c>
      <c r="G894" s="114">
        <v>4</v>
      </c>
      <c r="H894" s="115" t="s">
        <v>83</v>
      </c>
    </row>
    <row r="895" spans="1:8" ht="19.899999999999999" customHeight="1">
      <c r="A895" s="121">
        <v>46035</v>
      </c>
      <c r="B895" s="112" t="s">
        <v>26</v>
      </c>
      <c r="C895" s="113" t="s">
        <v>351</v>
      </c>
      <c r="D895" s="112" t="s">
        <v>341</v>
      </c>
      <c r="E895" s="122">
        <v>1.836805555555556</v>
      </c>
      <c r="F895" s="112" t="s">
        <v>28</v>
      </c>
      <c r="G895" s="114">
        <v>2</v>
      </c>
      <c r="H895" s="115" t="s">
        <v>83</v>
      </c>
    </row>
    <row r="896" spans="1:8" ht="19.899999999999999" customHeight="1">
      <c r="A896" s="121">
        <v>46035</v>
      </c>
      <c r="B896" s="112" t="s">
        <v>26</v>
      </c>
      <c r="C896" s="113" t="s">
        <v>356</v>
      </c>
      <c r="D896" s="112" t="s">
        <v>341</v>
      </c>
      <c r="E896" s="122">
        <v>1.4861111111111109</v>
      </c>
      <c r="F896" s="112" t="s">
        <v>28</v>
      </c>
      <c r="G896" s="114">
        <v>5</v>
      </c>
      <c r="H896" s="115" t="s">
        <v>83</v>
      </c>
    </row>
    <row r="897" spans="1:8" ht="19.899999999999999" customHeight="1">
      <c r="A897" s="121">
        <v>46035</v>
      </c>
      <c r="B897" s="112" t="s">
        <v>26</v>
      </c>
      <c r="C897" s="113" t="s">
        <v>353</v>
      </c>
      <c r="D897" s="112" t="s">
        <v>341</v>
      </c>
      <c r="E897" s="122">
        <v>1.8888888888888891</v>
      </c>
      <c r="F897" s="112" t="s">
        <v>28</v>
      </c>
      <c r="G897" s="114">
        <v>1</v>
      </c>
      <c r="H897" s="115" t="s">
        <v>83</v>
      </c>
    </row>
    <row r="898" spans="1:8" ht="19.899999999999999" customHeight="1">
      <c r="A898" s="121">
        <v>46035</v>
      </c>
      <c r="B898" s="112" t="s">
        <v>48</v>
      </c>
      <c r="C898" s="113" t="s">
        <v>386</v>
      </c>
      <c r="D898" s="112" t="s">
        <v>341</v>
      </c>
      <c r="E898" s="122">
        <v>1.8298611111111109</v>
      </c>
      <c r="F898" s="112" t="s">
        <v>50</v>
      </c>
      <c r="G898" s="114">
        <v>7</v>
      </c>
      <c r="H898" s="115" t="s">
        <v>383</v>
      </c>
    </row>
    <row r="899" spans="1:8" ht="19.899999999999999" customHeight="1">
      <c r="A899" s="121">
        <v>46035</v>
      </c>
      <c r="B899" s="112" t="s">
        <v>48</v>
      </c>
      <c r="C899" s="113" t="s">
        <v>385</v>
      </c>
      <c r="D899" s="112" t="s">
        <v>341</v>
      </c>
      <c r="E899" s="122">
        <v>1.9409722222222221</v>
      </c>
      <c r="F899" s="112" t="s">
        <v>50</v>
      </c>
      <c r="G899" s="114">
        <v>9</v>
      </c>
      <c r="H899" s="115" t="s">
        <v>383</v>
      </c>
    </row>
    <row r="900" spans="1:8" ht="19.899999999999999" customHeight="1">
      <c r="A900" s="121">
        <v>46035</v>
      </c>
      <c r="B900" s="112" t="s">
        <v>359</v>
      </c>
      <c r="C900" s="113" t="s">
        <v>445</v>
      </c>
      <c r="D900" s="112" t="s">
        <v>341</v>
      </c>
      <c r="E900" s="122">
        <v>1.055555555555556</v>
      </c>
      <c r="F900" s="112" t="s">
        <v>361</v>
      </c>
      <c r="G900" s="114">
        <v>9</v>
      </c>
      <c r="H900" s="115" t="s">
        <v>493</v>
      </c>
    </row>
    <row r="901" spans="1:8" ht="19.899999999999999" customHeight="1">
      <c r="A901" s="121">
        <v>46035</v>
      </c>
      <c r="B901" s="112" t="s">
        <v>402</v>
      </c>
      <c r="C901" s="113" t="s">
        <v>403</v>
      </c>
      <c r="D901" s="112" t="s">
        <v>341</v>
      </c>
      <c r="E901" s="122">
        <v>1.493055555555556</v>
      </c>
      <c r="F901" s="112" t="s">
        <v>63</v>
      </c>
      <c r="G901" s="114">
        <v>5</v>
      </c>
      <c r="H901" s="115" t="s">
        <v>404</v>
      </c>
    </row>
    <row r="902" spans="1:8" ht="19.899999999999999" customHeight="1">
      <c r="A902" s="129">
        <v>46035</v>
      </c>
      <c r="B902" s="117" t="s">
        <v>61</v>
      </c>
      <c r="C902" s="118" t="s">
        <v>364</v>
      </c>
      <c r="D902" s="117" t="s">
        <v>341</v>
      </c>
      <c r="E902" s="130">
        <v>1.756944444444444</v>
      </c>
      <c r="F902" s="117" t="s">
        <v>63</v>
      </c>
      <c r="G902" s="119">
        <v>7</v>
      </c>
      <c r="H902" s="120" t="s">
        <v>79</v>
      </c>
    </row>
    <row r="903" spans="1:8" ht="19.899999999999999" customHeight="1">
      <c r="A903" s="121">
        <v>46035</v>
      </c>
      <c r="B903" s="112" t="s">
        <v>48</v>
      </c>
      <c r="C903" s="113" t="s">
        <v>388</v>
      </c>
      <c r="D903" s="112" t="s">
        <v>341</v>
      </c>
      <c r="E903" s="122">
        <v>1.7222222222222221</v>
      </c>
      <c r="F903" s="112" t="s">
        <v>50</v>
      </c>
      <c r="G903" s="114">
        <v>9</v>
      </c>
      <c r="H903" s="115" t="s">
        <v>79</v>
      </c>
    </row>
    <row r="904" spans="1:8" ht="19.899999999999999" customHeight="1">
      <c r="A904" s="121">
        <v>46035</v>
      </c>
      <c r="B904" s="112" t="s">
        <v>38</v>
      </c>
      <c r="C904" s="113" t="s">
        <v>344</v>
      </c>
      <c r="D904" s="112" t="s">
        <v>341</v>
      </c>
      <c r="E904" s="122">
        <v>1.8888888888888891</v>
      </c>
      <c r="F904" s="112" t="s">
        <v>43</v>
      </c>
      <c r="G904" s="114">
        <v>19</v>
      </c>
      <c r="H904" s="115" t="s">
        <v>420</v>
      </c>
    </row>
    <row r="905" spans="1:8" ht="19.899999999999999" customHeight="1">
      <c r="A905" s="121">
        <v>46035</v>
      </c>
      <c r="B905" s="112" t="s">
        <v>26</v>
      </c>
      <c r="C905" s="113" t="s">
        <v>352</v>
      </c>
      <c r="D905" s="112" t="s">
        <v>341</v>
      </c>
      <c r="E905" s="122">
        <v>1.944444444444444</v>
      </c>
      <c r="F905" s="112" t="s">
        <v>28</v>
      </c>
      <c r="G905" s="114">
        <v>9</v>
      </c>
      <c r="H905" s="115" t="s">
        <v>45</v>
      </c>
    </row>
    <row r="906" spans="1:8" ht="19.899999999999999" customHeight="1">
      <c r="A906" s="121">
        <v>46035</v>
      </c>
      <c r="B906" s="112" t="s">
        <v>26</v>
      </c>
      <c r="C906" s="113" t="s">
        <v>357</v>
      </c>
      <c r="D906" s="112" t="s">
        <v>341</v>
      </c>
      <c r="E906" s="122">
        <v>1.3923611111111109</v>
      </c>
      <c r="F906" s="112" t="s">
        <v>28</v>
      </c>
      <c r="G906" s="114">
        <v>9</v>
      </c>
      <c r="H906" s="115" t="s">
        <v>45</v>
      </c>
    </row>
    <row r="907" spans="1:8" ht="19.899999999999999" customHeight="1">
      <c r="A907" s="121">
        <v>46035</v>
      </c>
      <c r="B907" s="112" t="s">
        <v>26</v>
      </c>
      <c r="C907" s="113" t="s">
        <v>348</v>
      </c>
      <c r="D907" s="112" t="s">
        <v>341</v>
      </c>
      <c r="E907" s="122">
        <v>1.993055555555556</v>
      </c>
      <c r="F907" s="112" t="s">
        <v>31</v>
      </c>
      <c r="G907" s="114">
        <v>3</v>
      </c>
      <c r="H907" s="115" t="s">
        <v>159</v>
      </c>
    </row>
    <row r="908" spans="1:8" ht="19.899999999999999" customHeight="1">
      <c r="A908" s="121">
        <v>46035</v>
      </c>
      <c r="B908" s="112" t="s">
        <v>26</v>
      </c>
      <c r="C908" s="113" t="s">
        <v>350</v>
      </c>
      <c r="D908" s="112" t="s">
        <v>341</v>
      </c>
      <c r="E908" s="122">
        <v>1.7361111111111109</v>
      </c>
      <c r="F908" s="112" t="s">
        <v>31</v>
      </c>
      <c r="G908" s="114">
        <v>4</v>
      </c>
      <c r="H908" s="115" t="s">
        <v>159</v>
      </c>
    </row>
    <row r="909" spans="1:8" ht="19.899999999999999" customHeight="1">
      <c r="A909" s="121">
        <v>46035</v>
      </c>
      <c r="B909" s="112" t="s">
        <v>26</v>
      </c>
      <c r="C909" s="113" t="s">
        <v>351</v>
      </c>
      <c r="D909" s="112" t="s">
        <v>341</v>
      </c>
      <c r="E909" s="122">
        <v>1.836805555555556</v>
      </c>
      <c r="F909" s="112" t="s">
        <v>31</v>
      </c>
      <c r="G909" s="114">
        <v>2</v>
      </c>
      <c r="H909" s="115" t="s">
        <v>159</v>
      </c>
    </row>
    <row r="910" spans="1:8" ht="19.899999999999999" customHeight="1">
      <c r="A910" s="121">
        <v>46035</v>
      </c>
      <c r="B910" s="112" t="s">
        <v>26</v>
      </c>
      <c r="C910" s="113" t="s">
        <v>356</v>
      </c>
      <c r="D910" s="112" t="s">
        <v>341</v>
      </c>
      <c r="E910" s="122">
        <v>1.4861111111111109</v>
      </c>
      <c r="F910" s="112" t="s">
        <v>31</v>
      </c>
      <c r="G910" s="114">
        <v>5</v>
      </c>
      <c r="H910" s="115" t="s">
        <v>159</v>
      </c>
    </row>
    <row r="911" spans="1:8" ht="19.899999999999999" customHeight="1">
      <c r="A911" s="121">
        <v>46035</v>
      </c>
      <c r="B911" s="112" t="s">
        <v>26</v>
      </c>
      <c r="C911" s="113" t="s">
        <v>353</v>
      </c>
      <c r="D911" s="112" t="s">
        <v>341</v>
      </c>
      <c r="E911" s="122">
        <v>1.8888888888888891</v>
      </c>
      <c r="F911" s="112" t="s">
        <v>31</v>
      </c>
      <c r="G911" s="114">
        <v>1</v>
      </c>
      <c r="H911" s="115" t="s">
        <v>159</v>
      </c>
    </row>
    <row r="912" spans="1:8" ht="19.899999999999999" customHeight="1">
      <c r="A912" s="121">
        <v>46035</v>
      </c>
      <c r="B912" s="112" t="s">
        <v>38</v>
      </c>
      <c r="C912" s="113" t="s">
        <v>346</v>
      </c>
      <c r="D912" s="112" t="s">
        <v>341</v>
      </c>
      <c r="E912" s="122">
        <v>1.399305555555556</v>
      </c>
      <c r="F912" s="112" t="s">
        <v>43</v>
      </c>
      <c r="G912" s="114">
        <v>20</v>
      </c>
      <c r="H912" s="115" t="s">
        <v>138</v>
      </c>
    </row>
    <row r="913" spans="1:8" ht="19.899999999999999" customHeight="1">
      <c r="A913" s="121">
        <v>46035</v>
      </c>
      <c r="B913" s="112" t="s">
        <v>38</v>
      </c>
      <c r="C913" s="113" t="s">
        <v>345</v>
      </c>
      <c r="D913" s="112" t="s">
        <v>341</v>
      </c>
      <c r="E913" s="122">
        <v>1.989583333333333</v>
      </c>
      <c r="F913" s="112" t="s">
        <v>43</v>
      </c>
      <c r="G913" s="114">
        <v>20</v>
      </c>
      <c r="H913" s="115" t="s">
        <v>138</v>
      </c>
    </row>
    <row r="914" spans="1:8" ht="19.899999999999999" customHeight="1">
      <c r="A914" s="121">
        <v>46035</v>
      </c>
      <c r="B914" s="112" t="s">
        <v>68</v>
      </c>
      <c r="C914" s="113" t="s">
        <v>405</v>
      </c>
      <c r="D914" s="112" t="s">
        <v>341</v>
      </c>
      <c r="E914" s="122">
        <v>1.836805555555556</v>
      </c>
      <c r="F914" s="112" t="s">
        <v>70</v>
      </c>
      <c r="G914" s="114">
        <v>9</v>
      </c>
      <c r="H914" s="115" t="s">
        <v>406</v>
      </c>
    </row>
    <row r="915" spans="1:8" ht="19.899999999999999" customHeight="1">
      <c r="A915" s="121">
        <v>46035</v>
      </c>
      <c r="B915" s="112" t="s">
        <v>68</v>
      </c>
      <c r="C915" s="113" t="s">
        <v>407</v>
      </c>
      <c r="D915" s="112" t="s">
        <v>341</v>
      </c>
      <c r="E915" s="122">
        <v>1.3125</v>
      </c>
      <c r="F915" s="112" t="s">
        <v>70</v>
      </c>
      <c r="G915" s="114">
        <v>9</v>
      </c>
      <c r="H915" s="115" t="s">
        <v>406</v>
      </c>
    </row>
    <row r="916" spans="1:8" ht="19.899999999999999" customHeight="1">
      <c r="A916" s="121">
        <v>46035</v>
      </c>
      <c r="B916" s="112" t="s">
        <v>68</v>
      </c>
      <c r="C916" s="113" t="s">
        <v>408</v>
      </c>
      <c r="D916" s="112" t="s">
        <v>341</v>
      </c>
      <c r="E916" s="122">
        <v>1.9722222222222221</v>
      </c>
      <c r="F916" s="112" t="s">
        <v>70</v>
      </c>
      <c r="G916" s="114">
        <v>9</v>
      </c>
      <c r="H916" s="115" t="s">
        <v>406</v>
      </c>
    </row>
    <row r="917" spans="1:8" ht="19.899999999999999" customHeight="1">
      <c r="A917" s="121">
        <v>46035</v>
      </c>
      <c r="B917" s="112" t="s">
        <v>68</v>
      </c>
      <c r="C917" s="113" t="s">
        <v>437</v>
      </c>
      <c r="D917" s="112" t="s">
        <v>341</v>
      </c>
      <c r="E917" s="122">
        <v>1.104166666666667</v>
      </c>
      <c r="F917" s="112" t="s">
        <v>70</v>
      </c>
      <c r="G917" s="114">
        <v>9</v>
      </c>
      <c r="H917" s="115" t="s">
        <v>406</v>
      </c>
    </row>
    <row r="918" spans="1:8" ht="19.899999999999999" customHeight="1">
      <c r="A918" s="121">
        <v>46035</v>
      </c>
      <c r="B918" s="112" t="s">
        <v>68</v>
      </c>
      <c r="C918" s="113" t="s">
        <v>409</v>
      </c>
      <c r="D918" s="112" t="s">
        <v>341</v>
      </c>
      <c r="E918" s="122">
        <v>1.3402777777777779</v>
      </c>
      <c r="F918" s="112" t="s">
        <v>70</v>
      </c>
      <c r="G918" s="114">
        <v>9</v>
      </c>
      <c r="H918" s="115" t="s">
        <v>406</v>
      </c>
    </row>
    <row r="919" spans="1:8" ht="19.899999999999999" customHeight="1">
      <c r="A919" s="121">
        <v>46035</v>
      </c>
      <c r="B919" s="112" t="s">
        <v>68</v>
      </c>
      <c r="C919" s="113" t="s">
        <v>411</v>
      </c>
      <c r="D919" s="112" t="s">
        <v>341</v>
      </c>
      <c r="E919" s="122">
        <v>1.7847222222222221</v>
      </c>
      <c r="F919" s="112" t="s">
        <v>70</v>
      </c>
      <c r="G919" s="114">
        <v>9</v>
      </c>
      <c r="H919" s="115" t="s">
        <v>406</v>
      </c>
    </row>
    <row r="920" spans="1:8" ht="19.899999999999999" customHeight="1">
      <c r="A920" s="121">
        <v>46035</v>
      </c>
      <c r="B920" s="112" t="s">
        <v>68</v>
      </c>
      <c r="C920" s="113" t="s">
        <v>410</v>
      </c>
      <c r="D920" s="112" t="s">
        <v>341</v>
      </c>
      <c r="E920" s="122">
        <v>1.5972222222222221</v>
      </c>
      <c r="F920" s="112" t="s">
        <v>70</v>
      </c>
      <c r="G920" s="114">
        <v>9</v>
      </c>
      <c r="H920" s="115" t="s">
        <v>406</v>
      </c>
    </row>
    <row r="921" spans="1:8" ht="19.899999999999999" customHeight="1">
      <c r="A921" s="121">
        <v>46035</v>
      </c>
      <c r="B921" s="112" t="s">
        <v>68</v>
      </c>
      <c r="C921" s="113" t="s">
        <v>413</v>
      </c>
      <c r="D921" s="112" t="s">
        <v>341</v>
      </c>
      <c r="E921" s="122">
        <v>1.0486111111111109</v>
      </c>
      <c r="F921" s="112" t="s">
        <v>70</v>
      </c>
      <c r="G921" s="114">
        <v>9</v>
      </c>
      <c r="H921" s="115" t="s">
        <v>406</v>
      </c>
    </row>
    <row r="922" spans="1:8" ht="19.899999999999999" customHeight="1">
      <c r="A922" s="121">
        <v>46035</v>
      </c>
      <c r="B922" s="112" t="s">
        <v>48</v>
      </c>
      <c r="C922" s="113" t="s">
        <v>389</v>
      </c>
      <c r="D922" s="112" t="s">
        <v>341</v>
      </c>
      <c r="E922" s="122">
        <v>1.7013888888888891</v>
      </c>
      <c r="F922" s="112" t="s">
        <v>50</v>
      </c>
      <c r="G922" s="114">
        <v>9</v>
      </c>
      <c r="H922" s="115" t="s">
        <v>462</v>
      </c>
    </row>
    <row r="923" spans="1:8" ht="19.899999999999999" customHeight="1">
      <c r="A923" s="121">
        <v>46035</v>
      </c>
      <c r="B923" s="112" t="s">
        <v>48</v>
      </c>
      <c r="C923" s="113" t="s">
        <v>390</v>
      </c>
      <c r="D923" s="112" t="s">
        <v>341</v>
      </c>
      <c r="E923" s="122">
        <v>1.041666666666667</v>
      </c>
      <c r="F923" s="112" t="s">
        <v>50</v>
      </c>
      <c r="G923" s="114">
        <v>9</v>
      </c>
      <c r="H923" s="115" t="s">
        <v>462</v>
      </c>
    </row>
    <row r="924" spans="1:8" ht="19.899999999999999" customHeight="1">
      <c r="A924" s="121">
        <v>46035</v>
      </c>
      <c r="B924" s="112" t="s">
        <v>48</v>
      </c>
      <c r="C924" s="113" t="s">
        <v>386</v>
      </c>
      <c r="D924" s="112" t="s">
        <v>341</v>
      </c>
      <c r="E924" s="122">
        <v>1.8298611111111109</v>
      </c>
      <c r="F924" s="112" t="s">
        <v>53</v>
      </c>
      <c r="G924" s="114">
        <v>7</v>
      </c>
      <c r="H924" s="115" t="s">
        <v>384</v>
      </c>
    </row>
    <row r="925" spans="1:8" ht="19.899999999999999" customHeight="1">
      <c r="A925" s="121">
        <v>46035</v>
      </c>
      <c r="B925" s="112" t="s">
        <v>48</v>
      </c>
      <c r="C925" s="113" t="s">
        <v>385</v>
      </c>
      <c r="D925" s="112" t="s">
        <v>341</v>
      </c>
      <c r="E925" s="122">
        <v>1.9409722222222221</v>
      </c>
      <c r="F925" s="112" t="s">
        <v>53</v>
      </c>
      <c r="G925" s="114">
        <v>9</v>
      </c>
      <c r="H925" s="115" t="s">
        <v>384</v>
      </c>
    </row>
    <row r="926" spans="1:8" ht="19.899999999999999" customHeight="1">
      <c r="A926" s="121">
        <v>46035</v>
      </c>
      <c r="B926" s="112" t="s">
        <v>48</v>
      </c>
      <c r="C926" s="113" t="s">
        <v>388</v>
      </c>
      <c r="D926" s="112" t="s">
        <v>341</v>
      </c>
      <c r="E926" s="122">
        <v>1.7222222222222221</v>
      </c>
      <c r="F926" s="112" t="s">
        <v>53</v>
      </c>
      <c r="G926" s="114">
        <v>9</v>
      </c>
      <c r="H926" s="115" t="s">
        <v>387</v>
      </c>
    </row>
    <row r="927" spans="1:8" ht="19.899999999999999" customHeight="1">
      <c r="A927" s="121">
        <v>46035</v>
      </c>
      <c r="B927" s="112" t="s">
        <v>26</v>
      </c>
      <c r="C927" s="113" t="s">
        <v>348</v>
      </c>
      <c r="D927" s="112" t="s">
        <v>341</v>
      </c>
      <c r="E927" s="122">
        <v>1.993055555555556</v>
      </c>
      <c r="F927" s="112" t="s">
        <v>34</v>
      </c>
      <c r="G927" s="114">
        <v>3</v>
      </c>
      <c r="H927" s="115" t="s">
        <v>355</v>
      </c>
    </row>
    <row r="928" spans="1:8" ht="19.899999999999999" customHeight="1">
      <c r="A928" s="121">
        <v>46035</v>
      </c>
      <c r="B928" s="112" t="s">
        <v>26</v>
      </c>
      <c r="C928" s="113" t="s">
        <v>350</v>
      </c>
      <c r="D928" s="112" t="s">
        <v>341</v>
      </c>
      <c r="E928" s="122">
        <v>1.7361111111111109</v>
      </c>
      <c r="F928" s="112" t="s">
        <v>34</v>
      </c>
      <c r="G928" s="114">
        <v>4</v>
      </c>
      <c r="H928" s="115" t="s">
        <v>355</v>
      </c>
    </row>
    <row r="929" spans="1:8" ht="19.899999999999999" customHeight="1">
      <c r="A929" s="121">
        <v>46035</v>
      </c>
      <c r="B929" s="112" t="s">
        <v>26</v>
      </c>
      <c r="C929" s="113" t="s">
        <v>351</v>
      </c>
      <c r="D929" s="112" t="s">
        <v>341</v>
      </c>
      <c r="E929" s="122">
        <v>1.836805555555556</v>
      </c>
      <c r="F929" s="112" t="s">
        <v>34</v>
      </c>
      <c r="G929" s="114">
        <v>2</v>
      </c>
      <c r="H929" s="115" t="s">
        <v>355</v>
      </c>
    </row>
    <row r="930" spans="1:8" ht="19.899999999999999" customHeight="1">
      <c r="A930" s="121">
        <v>46035</v>
      </c>
      <c r="B930" s="112" t="s">
        <v>26</v>
      </c>
      <c r="C930" s="113" t="s">
        <v>352</v>
      </c>
      <c r="D930" s="112" t="s">
        <v>341</v>
      </c>
      <c r="E930" s="122">
        <v>1.944444444444444</v>
      </c>
      <c r="F930" s="112" t="s">
        <v>31</v>
      </c>
      <c r="G930" s="114">
        <v>9</v>
      </c>
      <c r="H930" s="115" t="s">
        <v>355</v>
      </c>
    </row>
    <row r="931" spans="1:8" ht="19.899999999999999" customHeight="1">
      <c r="A931" s="121">
        <v>46035</v>
      </c>
      <c r="B931" s="112" t="s">
        <v>26</v>
      </c>
      <c r="C931" s="113" t="s">
        <v>356</v>
      </c>
      <c r="D931" s="112" t="s">
        <v>341</v>
      </c>
      <c r="E931" s="122">
        <v>1.4861111111111109</v>
      </c>
      <c r="F931" s="112" t="s">
        <v>34</v>
      </c>
      <c r="G931" s="114">
        <v>5</v>
      </c>
      <c r="H931" s="115" t="s">
        <v>355</v>
      </c>
    </row>
    <row r="932" spans="1:8" ht="19.899999999999999" customHeight="1">
      <c r="A932" s="121">
        <v>46035</v>
      </c>
      <c r="B932" s="112" t="s">
        <v>26</v>
      </c>
      <c r="C932" s="113" t="s">
        <v>357</v>
      </c>
      <c r="D932" s="112" t="s">
        <v>341</v>
      </c>
      <c r="E932" s="122">
        <v>1.3923611111111109</v>
      </c>
      <c r="F932" s="112" t="s">
        <v>31</v>
      </c>
      <c r="G932" s="114">
        <v>9</v>
      </c>
      <c r="H932" s="115" t="s">
        <v>355</v>
      </c>
    </row>
    <row r="933" spans="1:8" ht="19.899999999999999" customHeight="1">
      <c r="A933" s="121">
        <v>46035</v>
      </c>
      <c r="B933" s="112" t="s">
        <v>26</v>
      </c>
      <c r="C933" s="113" t="s">
        <v>353</v>
      </c>
      <c r="D933" s="112" t="s">
        <v>341</v>
      </c>
      <c r="E933" s="122">
        <v>1.8888888888888891</v>
      </c>
      <c r="F933" s="112" t="s">
        <v>34</v>
      </c>
      <c r="G933" s="114">
        <v>1</v>
      </c>
      <c r="H933" s="115" t="s">
        <v>355</v>
      </c>
    </row>
    <row r="934" spans="1:8" ht="19.899999999999999" customHeight="1">
      <c r="A934" s="121">
        <v>46035</v>
      </c>
      <c r="B934" s="112" t="s">
        <v>359</v>
      </c>
      <c r="C934" s="113" t="s">
        <v>445</v>
      </c>
      <c r="D934" s="112" t="s">
        <v>341</v>
      </c>
      <c r="E934" s="122">
        <v>1.055555555555556</v>
      </c>
      <c r="F934" s="112" t="s">
        <v>46</v>
      </c>
      <c r="G934" s="114">
        <v>9</v>
      </c>
      <c r="H934" s="115" t="s">
        <v>494</v>
      </c>
    </row>
    <row r="935" spans="1:8" ht="19.899999999999999" customHeight="1">
      <c r="A935" s="121">
        <v>46035</v>
      </c>
      <c r="B935" s="112" t="s">
        <v>48</v>
      </c>
      <c r="C935" s="113" t="s">
        <v>389</v>
      </c>
      <c r="D935" s="112" t="s">
        <v>341</v>
      </c>
      <c r="E935" s="122">
        <v>1.7013888888888891</v>
      </c>
      <c r="F935" s="112" t="s">
        <v>53</v>
      </c>
      <c r="G935" s="114">
        <v>9</v>
      </c>
      <c r="H935" s="115" t="s">
        <v>463</v>
      </c>
    </row>
    <row r="936" spans="1:8" ht="19.899999999999999" customHeight="1">
      <c r="A936" s="121">
        <v>46035</v>
      </c>
      <c r="B936" s="112" t="s">
        <v>48</v>
      </c>
      <c r="C936" s="113" t="s">
        <v>390</v>
      </c>
      <c r="D936" s="112" t="s">
        <v>341</v>
      </c>
      <c r="E936" s="122">
        <v>1.041666666666667</v>
      </c>
      <c r="F936" s="112" t="s">
        <v>53</v>
      </c>
      <c r="G936" s="114">
        <v>9</v>
      </c>
      <c r="H936" s="115" t="s">
        <v>463</v>
      </c>
    </row>
    <row r="937" spans="1:8" ht="19.899999999999999" customHeight="1">
      <c r="A937" s="121">
        <v>46035</v>
      </c>
      <c r="B937" s="112" t="s">
        <v>26</v>
      </c>
      <c r="C937" s="113" t="s">
        <v>352</v>
      </c>
      <c r="D937" s="112" t="s">
        <v>341</v>
      </c>
      <c r="E937" s="122">
        <v>1.944444444444444</v>
      </c>
      <c r="F937" s="112" t="s">
        <v>34</v>
      </c>
      <c r="G937" s="114">
        <v>9</v>
      </c>
      <c r="H937" s="115" t="s">
        <v>358</v>
      </c>
    </row>
    <row r="938" spans="1:8" ht="19.899999999999999" customHeight="1">
      <c r="A938" s="121">
        <v>46035</v>
      </c>
      <c r="B938" s="112" t="s">
        <v>26</v>
      </c>
      <c r="C938" s="113" t="s">
        <v>357</v>
      </c>
      <c r="D938" s="112" t="s">
        <v>341</v>
      </c>
      <c r="E938" s="122">
        <v>1.3923611111111109</v>
      </c>
      <c r="F938" s="112" t="s">
        <v>34</v>
      </c>
      <c r="G938" s="114">
        <v>9</v>
      </c>
      <c r="H938" s="115" t="s">
        <v>358</v>
      </c>
    </row>
    <row r="939" spans="1:8" ht="19.899999999999999" customHeight="1">
      <c r="A939" s="121">
        <v>46035</v>
      </c>
      <c r="B939" s="112" t="s">
        <v>48</v>
      </c>
      <c r="C939" s="113" t="s">
        <v>400</v>
      </c>
      <c r="D939" s="112" t="s">
        <v>341</v>
      </c>
      <c r="E939" s="122">
        <v>1.2534722222222221</v>
      </c>
      <c r="F939" s="112" t="s">
        <v>50</v>
      </c>
      <c r="G939" s="114">
        <v>9</v>
      </c>
      <c r="H939" s="115" t="s">
        <v>392</v>
      </c>
    </row>
    <row r="940" spans="1:8" ht="19.899999999999999" customHeight="1">
      <c r="A940" s="121">
        <v>46035</v>
      </c>
      <c r="B940" s="112" t="s">
        <v>26</v>
      </c>
      <c r="C940" s="113" t="s">
        <v>354</v>
      </c>
      <c r="D940" s="112" t="s">
        <v>341</v>
      </c>
      <c r="E940" s="122">
        <v>1.3472222222222221</v>
      </c>
      <c r="F940" s="112" t="s">
        <v>28</v>
      </c>
      <c r="G940" s="114">
        <v>5</v>
      </c>
      <c r="H940" s="115" t="s">
        <v>455</v>
      </c>
    </row>
    <row r="941" spans="1:8" ht="19.899999999999999" customHeight="1">
      <c r="A941" s="121">
        <v>46035</v>
      </c>
      <c r="B941" s="112" t="s">
        <v>38</v>
      </c>
      <c r="C941" s="113" t="s">
        <v>346</v>
      </c>
      <c r="D941" s="112" t="s">
        <v>341</v>
      </c>
      <c r="E941" s="122">
        <v>1.399305555555556</v>
      </c>
      <c r="F941" s="112" t="s">
        <v>46</v>
      </c>
      <c r="G941" s="114">
        <v>20</v>
      </c>
      <c r="H941" s="115" t="s">
        <v>47</v>
      </c>
    </row>
    <row r="942" spans="1:8" ht="19.899999999999999" customHeight="1">
      <c r="A942" s="121">
        <v>46035</v>
      </c>
      <c r="B942" s="112" t="s">
        <v>38</v>
      </c>
      <c r="C942" s="113" t="s">
        <v>342</v>
      </c>
      <c r="D942" s="112" t="s">
        <v>341</v>
      </c>
      <c r="E942" s="122">
        <v>1.489583333333333</v>
      </c>
      <c r="F942" s="112" t="s">
        <v>46</v>
      </c>
      <c r="G942" s="114">
        <v>10</v>
      </c>
      <c r="H942" s="115" t="s">
        <v>47</v>
      </c>
    </row>
    <row r="943" spans="1:8" ht="19.899999999999999" customHeight="1">
      <c r="A943" s="121">
        <v>46035</v>
      </c>
      <c r="B943" s="112" t="s">
        <v>38</v>
      </c>
      <c r="C943" s="113" t="s">
        <v>344</v>
      </c>
      <c r="D943" s="112" t="s">
        <v>341</v>
      </c>
      <c r="E943" s="122">
        <v>1.8888888888888891</v>
      </c>
      <c r="F943" s="112" t="s">
        <v>46</v>
      </c>
      <c r="G943" s="114">
        <v>19</v>
      </c>
      <c r="H943" s="115" t="s">
        <v>47</v>
      </c>
    </row>
    <row r="944" spans="1:8" ht="19.899999999999999" customHeight="1">
      <c r="A944" s="121">
        <v>46035</v>
      </c>
      <c r="B944" s="112" t="s">
        <v>38</v>
      </c>
      <c r="C944" s="113" t="s">
        <v>345</v>
      </c>
      <c r="D944" s="112" t="s">
        <v>341</v>
      </c>
      <c r="E944" s="122">
        <v>1.989583333333333</v>
      </c>
      <c r="F944" s="112" t="s">
        <v>46</v>
      </c>
      <c r="G944" s="114">
        <v>20</v>
      </c>
      <c r="H944" s="115" t="s">
        <v>47</v>
      </c>
    </row>
    <row r="945" spans="1:8" ht="19.899999999999999" customHeight="1">
      <c r="A945" s="121">
        <v>46035</v>
      </c>
      <c r="B945" s="112" t="s">
        <v>48</v>
      </c>
      <c r="C945" s="113" t="s">
        <v>396</v>
      </c>
      <c r="D945" s="112" t="s">
        <v>341</v>
      </c>
      <c r="E945" s="122">
        <v>1.489583333333333</v>
      </c>
      <c r="F945" s="112" t="s">
        <v>53</v>
      </c>
      <c r="G945" s="114">
        <v>4</v>
      </c>
      <c r="H945" s="115" t="s">
        <v>395</v>
      </c>
    </row>
    <row r="946" spans="1:8" ht="19.899999999999999" customHeight="1">
      <c r="A946" s="121">
        <v>46035</v>
      </c>
      <c r="B946" s="112" t="s">
        <v>26</v>
      </c>
      <c r="C946" s="113" t="s">
        <v>354</v>
      </c>
      <c r="D946" s="112" t="s">
        <v>341</v>
      </c>
      <c r="E946" s="122">
        <v>1.3472222222222221</v>
      </c>
      <c r="F946" s="112" t="s">
        <v>31</v>
      </c>
      <c r="G946" s="114">
        <v>5</v>
      </c>
      <c r="H946" s="115" t="s">
        <v>456</v>
      </c>
    </row>
    <row r="947" spans="1:8" ht="19.899999999999999" customHeight="1">
      <c r="A947" s="121">
        <v>46035</v>
      </c>
      <c r="B947" s="112" t="s">
        <v>48</v>
      </c>
      <c r="C947" s="113" t="s">
        <v>400</v>
      </c>
      <c r="D947" s="112" t="s">
        <v>341</v>
      </c>
      <c r="E947" s="122">
        <v>1.2534722222222221</v>
      </c>
      <c r="F947" s="112" t="s">
        <v>53</v>
      </c>
      <c r="G947" s="114">
        <v>9</v>
      </c>
      <c r="H947" s="115" t="s">
        <v>393</v>
      </c>
    </row>
    <row r="948" spans="1:8" ht="19.899999999999999" customHeight="1">
      <c r="A948" s="121">
        <v>46035</v>
      </c>
      <c r="B948" s="112" t="s">
        <v>48</v>
      </c>
      <c r="C948" s="113" t="s">
        <v>397</v>
      </c>
      <c r="D948" s="112" t="s">
        <v>341</v>
      </c>
      <c r="E948" s="122">
        <v>1.8888888888888891</v>
      </c>
      <c r="F948" s="112" t="s">
        <v>53</v>
      </c>
      <c r="G948" s="114">
        <v>4</v>
      </c>
      <c r="H948" s="115" t="s">
        <v>438</v>
      </c>
    </row>
    <row r="949" spans="1:8" ht="19.899999999999999" customHeight="1">
      <c r="A949" s="121">
        <v>46035</v>
      </c>
      <c r="B949" s="112" t="s">
        <v>26</v>
      </c>
      <c r="C949" s="113" t="s">
        <v>354</v>
      </c>
      <c r="D949" s="112" t="s">
        <v>341</v>
      </c>
      <c r="E949" s="122">
        <v>1.3472222222222221</v>
      </c>
      <c r="F949" s="112" t="s">
        <v>34</v>
      </c>
      <c r="G949" s="114">
        <v>5</v>
      </c>
      <c r="H949" s="115" t="s">
        <v>457</v>
      </c>
    </row>
    <row r="950" spans="1:8" ht="19.899999999999999" customHeight="1">
      <c r="A950" s="121">
        <v>46035</v>
      </c>
      <c r="B950" s="112" t="s">
        <v>48</v>
      </c>
      <c r="C950" s="113" t="s">
        <v>394</v>
      </c>
      <c r="D950" s="112" t="s">
        <v>341</v>
      </c>
      <c r="E950" s="122">
        <v>1.989583333333333</v>
      </c>
      <c r="F950" s="112" t="s">
        <v>53</v>
      </c>
      <c r="G950" s="114">
        <v>4</v>
      </c>
      <c r="H950" s="115" t="s">
        <v>399</v>
      </c>
    </row>
    <row r="951" spans="1:8" ht="19.899999999999999" customHeight="1">
      <c r="A951" s="121">
        <v>46035</v>
      </c>
      <c r="B951" s="112" t="s">
        <v>48</v>
      </c>
      <c r="C951" s="113" t="s">
        <v>398</v>
      </c>
      <c r="D951" s="112" t="s">
        <v>341</v>
      </c>
      <c r="E951" s="122">
        <v>1.399305555555556</v>
      </c>
      <c r="F951" s="112" t="s">
        <v>53</v>
      </c>
      <c r="G951" s="114">
        <v>4</v>
      </c>
      <c r="H951" s="115" t="s">
        <v>399</v>
      </c>
    </row>
    <row r="952" spans="1:8" ht="19.899999999999999" customHeight="1">
      <c r="A952" s="121">
        <v>46035</v>
      </c>
      <c r="B952" s="112" t="s">
        <v>48</v>
      </c>
      <c r="C952" s="113" t="s">
        <v>391</v>
      </c>
      <c r="D952" s="112" t="s">
        <v>341</v>
      </c>
      <c r="E952" s="122">
        <v>1.489583333333333</v>
      </c>
      <c r="F952" s="112" t="s">
        <v>53</v>
      </c>
      <c r="G952" s="114">
        <v>7</v>
      </c>
      <c r="H952" s="115" t="s">
        <v>401</v>
      </c>
    </row>
    <row r="953" spans="1:8" ht="19.899999999999999" customHeight="1">
      <c r="A953" s="121">
        <v>46035</v>
      </c>
      <c r="B953" s="112" t="s">
        <v>48</v>
      </c>
      <c r="C953" s="113" t="s">
        <v>382</v>
      </c>
      <c r="D953" s="112" t="s">
        <v>341</v>
      </c>
      <c r="E953" s="122">
        <v>1.118055555555556</v>
      </c>
      <c r="F953" s="112" t="s">
        <v>53</v>
      </c>
      <c r="G953" s="114">
        <v>9</v>
      </c>
      <c r="H953" s="115" t="s">
        <v>401</v>
      </c>
    </row>
    <row r="954" spans="1:8" ht="19.899999999999999" customHeight="1">
      <c r="A954" s="121">
        <v>46035</v>
      </c>
      <c r="B954" s="112" t="s">
        <v>415</v>
      </c>
      <c r="C954" s="113" t="s">
        <v>416</v>
      </c>
      <c r="D954" s="112" t="s">
        <v>341</v>
      </c>
      <c r="E954" s="122">
        <v>1.100694444444444</v>
      </c>
      <c r="F954" s="112" t="s">
        <v>63</v>
      </c>
      <c r="G954" s="114">
        <v>9</v>
      </c>
      <c r="H954" s="115" t="s">
        <v>417</v>
      </c>
    </row>
    <row r="955" spans="1:8" ht="19.899999999999999" customHeight="1">
      <c r="A955" s="123">
        <v>46035</v>
      </c>
      <c r="B955" s="124" t="s">
        <v>415</v>
      </c>
      <c r="C955" s="125" t="s">
        <v>418</v>
      </c>
      <c r="D955" s="124" t="s">
        <v>341</v>
      </c>
      <c r="E955" s="126">
        <v>1.270833333333333</v>
      </c>
      <c r="F955" s="124" t="s">
        <v>63</v>
      </c>
      <c r="G955" s="127">
        <v>9</v>
      </c>
      <c r="H955" s="128" t="s">
        <v>417</v>
      </c>
    </row>
    <row r="956" spans="1:8" ht="19.899999999999999" customHeight="1">
      <c r="A956" s="121">
        <v>46036</v>
      </c>
      <c r="B956" s="112" t="s">
        <v>38</v>
      </c>
      <c r="C956" s="113" t="s">
        <v>342</v>
      </c>
      <c r="D956" s="112" t="s">
        <v>341</v>
      </c>
      <c r="E956" s="122">
        <v>1.489583333333333</v>
      </c>
      <c r="F956" s="112" t="s">
        <v>40</v>
      </c>
      <c r="G956" s="114">
        <v>16</v>
      </c>
      <c r="H956" s="115" t="s">
        <v>343</v>
      </c>
    </row>
    <row r="957" spans="1:8" ht="19.899999999999999" customHeight="1">
      <c r="A957" s="121">
        <v>46036</v>
      </c>
      <c r="B957" s="112" t="s">
        <v>38</v>
      </c>
      <c r="C957" s="113" t="s">
        <v>346</v>
      </c>
      <c r="D957" s="112" t="s">
        <v>341</v>
      </c>
      <c r="E957" s="122">
        <v>1.399305555555556</v>
      </c>
      <c r="F957" s="112" t="s">
        <v>40</v>
      </c>
      <c r="G957" s="114">
        <v>20</v>
      </c>
      <c r="H957" s="115" t="s">
        <v>30</v>
      </c>
    </row>
    <row r="958" spans="1:8" ht="19.899999999999999" customHeight="1">
      <c r="A958" s="121">
        <v>46036</v>
      </c>
      <c r="B958" s="112" t="s">
        <v>38</v>
      </c>
      <c r="C958" s="113" t="s">
        <v>345</v>
      </c>
      <c r="D958" s="112" t="s">
        <v>341</v>
      </c>
      <c r="E958" s="122">
        <v>1.989583333333333</v>
      </c>
      <c r="F958" s="112" t="s">
        <v>40</v>
      </c>
      <c r="G958" s="114">
        <v>19</v>
      </c>
      <c r="H958" s="115" t="s">
        <v>347</v>
      </c>
    </row>
    <row r="959" spans="1:8" ht="19.899999999999999" customHeight="1">
      <c r="A959" s="129">
        <v>46036</v>
      </c>
      <c r="B959" s="117" t="s">
        <v>61</v>
      </c>
      <c r="C959" s="118" t="s">
        <v>364</v>
      </c>
      <c r="D959" s="117" t="s">
        <v>341</v>
      </c>
      <c r="E959" s="130">
        <v>1.2326388888888891</v>
      </c>
      <c r="F959" s="117" t="s">
        <v>63</v>
      </c>
      <c r="G959" s="119">
        <v>6</v>
      </c>
      <c r="H959" s="120" t="s">
        <v>365</v>
      </c>
    </row>
    <row r="960" spans="1:8" ht="19.899999999999999" customHeight="1">
      <c r="A960" s="129">
        <v>46036</v>
      </c>
      <c r="B960" s="117" t="s">
        <v>61</v>
      </c>
      <c r="C960" s="118" t="s">
        <v>432</v>
      </c>
      <c r="D960" s="117" t="s">
        <v>341</v>
      </c>
      <c r="E960" s="130">
        <v>1.34375</v>
      </c>
      <c r="F960" s="117" t="s">
        <v>63</v>
      </c>
      <c r="G960" s="119">
        <v>6</v>
      </c>
      <c r="H960" s="120" t="s">
        <v>365</v>
      </c>
    </row>
    <row r="961" spans="1:8" ht="19.899999999999999" customHeight="1">
      <c r="A961" s="129">
        <v>46036</v>
      </c>
      <c r="B961" s="117" t="s">
        <v>61</v>
      </c>
      <c r="C961" s="118" t="s">
        <v>428</v>
      </c>
      <c r="D961" s="117" t="s">
        <v>341</v>
      </c>
      <c r="E961" s="130">
        <v>1.9375</v>
      </c>
      <c r="F961" s="117" t="s">
        <v>63</v>
      </c>
      <c r="G961" s="119">
        <v>3</v>
      </c>
      <c r="H961" s="120" t="s">
        <v>365</v>
      </c>
    </row>
    <row r="962" spans="1:8" ht="19.899999999999999" customHeight="1">
      <c r="A962" s="129">
        <v>46036</v>
      </c>
      <c r="B962" s="117" t="s">
        <v>61</v>
      </c>
      <c r="C962" s="118" t="s">
        <v>375</v>
      </c>
      <c r="D962" s="117" t="s">
        <v>341</v>
      </c>
      <c r="E962" s="130">
        <v>1.3402777777777779</v>
      </c>
      <c r="F962" s="117" t="s">
        <v>63</v>
      </c>
      <c r="G962" s="119">
        <v>6</v>
      </c>
      <c r="H962" s="120" t="s">
        <v>365</v>
      </c>
    </row>
    <row r="963" spans="1:8" ht="19.899999999999999" customHeight="1">
      <c r="A963" s="121">
        <v>46036</v>
      </c>
      <c r="B963" s="112" t="s">
        <v>26</v>
      </c>
      <c r="C963" s="113" t="s">
        <v>354</v>
      </c>
      <c r="D963" s="112" t="s">
        <v>341</v>
      </c>
      <c r="E963" s="122">
        <v>1.3472222222222221</v>
      </c>
      <c r="F963" s="112" t="s">
        <v>28</v>
      </c>
      <c r="G963" s="114">
        <v>5</v>
      </c>
      <c r="H963" s="115" t="s">
        <v>83</v>
      </c>
    </row>
    <row r="964" spans="1:8" ht="19.899999999999999" customHeight="1">
      <c r="A964" s="121">
        <v>46036</v>
      </c>
      <c r="B964" s="112" t="s">
        <v>26</v>
      </c>
      <c r="C964" s="113" t="s">
        <v>348</v>
      </c>
      <c r="D964" s="112" t="s">
        <v>341</v>
      </c>
      <c r="E964" s="122">
        <v>1.993055555555556</v>
      </c>
      <c r="F964" s="112" t="s">
        <v>28</v>
      </c>
      <c r="G964" s="114">
        <v>4</v>
      </c>
      <c r="H964" s="115" t="s">
        <v>83</v>
      </c>
    </row>
    <row r="965" spans="1:8" ht="19.899999999999999" customHeight="1">
      <c r="A965" s="121">
        <v>46036</v>
      </c>
      <c r="B965" s="112" t="s">
        <v>26</v>
      </c>
      <c r="C965" s="113" t="s">
        <v>351</v>
      </c>
      <c r="D965" s="112" t="s">
        <v>341</v>
      </c>
      <c r="E965" s="122">
        <v>1.836805555555556</v>
      </c>
      <c r="F965" s="112" t="s">
        <v>28</v>
      </c>
      <c r="G965" s="114">
        <v>1</v>
      </c>
      <c r="H965" s="115" t="s">
        <v>83</v>
      </c>
    </row>
    <row r="966" spans="1:8" ht="19.899999999999999" customHeight="1">
      <c r="A966" s="121">
        <v>46036</v>
      </c>
      <c r="B966" s="112" t="s">
        <v>26</v>
      </c>
      <c r="C966" s="113" t="s">
        <v>353</v>
      </c>
      <c r="D966" s="112" t="s">
        <v>341</v>
      </c>
      <c r="E966" s="122">
        <v>1.8888888888888891</v>
      </c>
      <c r="F966" s="112" t="s">
        <v>28</v>
      </c>
      <c r="G966" s="114">
        <v>3</v>
      </c>
      <c r="H966" s="115" t="s">
        <v>83</v>
      </c>
    </row>
    <row r="967" spans="1:8" ht="19.899999999999999" customHeight="1">
      <c r="A967" s="121">
        <v>46036</v>
      </c>
      <c r="B967" s="112" t="s">
        <v>48</v>
      </c>
      <c r="C967" s="113" t="s">
        <v>386</v>
      </c>
      <c r="D967" s="112" t="s">
        <v>341</v>
      </c>
      <c r="E967" s="122">
        <v>1.8298611111111109</v>
      </c>
      <c r="F967" s="112" t="s">
        <v>50</v>
      </c>
      <c r="G967" s="114">
        <v>1</v>
      </c>
      <c r="H967" s="115" t="s">
        <v>383</v>
      </c>
    </row>
    <row r="968" spans="1:8" ht="19.899999999999999" customHeight="1">
      <c r="A968" s="121">
        <v>46036</v>
      </c>
      <c r="B968" s="112" t="s">
        <v>359</v>
      </c>
      <c r="C968" s="113" t="s">
        <v>360</v>
      </c>
      <c r="D968" s="112" t="s">
        <v>341</v>
      </c>
      <c r="E968" s="122">
        <v>1.225694444444444</v>
      </c>
      <c r="F968" s="112" t="s">
        <v>361</v>
      </c>
      <c r="G968" s="114">
        <v>9</v>
      </c>
      <c r="H968" s="115" t="s">
        <v>493</v>
      </c>
    </row>
    <row r="969" spans="1:8" ht="19.899999999999999" customHeight="1">
      <c r="A969" s="121">
        <v>46036</v>
      </c>
      <c r="B969" s="112" t="s">
        <v>38</v>
      </c>
      <c r="C969" s="113" t="s">
        <v>344</v>
      </c>
      <c r="D969" s="112" t="s">
        <v>341</v>
      </c>
      <c r="E969" s="122">
        <v>1.8888888888888891</v>
      </c>
      <c r="F969" s="112" t="s">
        <v>40</v>
      </c>
      <c r="G969" s="114">
        <v>12</v>
      </c>
      <c r="H969" s="115" t="s">
        <v>349</v>
      </c>
    </row>
    <row r="970" spans="1:8" ht="19.899999999999999" customHeight="1">
      <c r="A970" s="121">
        <v>46036</v>
      </c>
      <c r="B970" s="112" t="s">
        <v>38</v>
      </c>
      <c r="C970" s="113" t="s">
        <v>342</v>
      </c>
      <c r="D970" s="112" t="s">
        <v>341</v>
      </c>
      <c r="E970" s="122">
        <v>1.489583333333333</v>
      </c>
      <c r="F970" s="112" t="s">
        <v>43</v>
      </c>
      <c r="G970" s="114">
        <v>16</v>
      </c>
      <c r="H970" s="115" t="s">
        <v>33</v>
      </c>
    </row>
    <row r="971" spans="1:8" ht="19.899999999999999" customHeight="1">
      <c r="A971" s="121">
        <v>46036</v>
      </c>
      <c r="B971" s="112" t="s">
        <v>402</v>
      </c>
      <c r="C971" s="113" t="s">
        <v>403</v>
      </c>
      <c r="D971" s="112" t="s">
        <v>341</v>
      </c>
      <c r="E971" s="122">
        <v>1.493055555555556</v>
      </c>
      <c r="F971" s="112" t="s">
        <v>63</v>
      </c>
      <c r="G971" s="114">
        <v>5</v>
      </c>
      <c r="H971" s="115" t="s">
        <v>404</v>
      </c>
    </row>
    <row r="972" spans="1:8" ht="19.899999999999999" customHeight="1">
      <c r="A972" s="121">
        <v>46036</v>
      </c>
      <c r="B972" s="112" t="s">
        <v>402</v>
      </c>
      <c r="C972" s="113" t="s">
        <v>465</v>
      </c>
      <c r="D972" s="112" t="s">
        <v>341</v>
      </c>
      <c r="E972" s="122">
        <v>1.194444444444444</v>
      </c>
      <c r="F972" s="112" t="s">
        <v>63</v>
      </c>
      <c r="G972" s="114">
        <v>5</v>
      </c>
      <c r="H972" s="115" t="s">
        <v>404</v>
      </c>
    </row>
    <row r="973" spans="1:8" ht="19.899999999999999" customHeight="1">
      <c r="A973" s="129">
        <v>46036</v>
      </c>
      <c r="B973" s="117" t="s">
        <v>61</v>
      </c>
      <c r="C973" s="118" t="s">
        <v>377</v>
      </c>
      <c r="D973" s="117" t="s">
        <v>341</v>
      </c>
      <c r="E973" s="130">
        <v>1.4375</v>
      </c>
      <c r="F973" s="117" t="s">
        <v>63</v>
      </c>
      <c r="G973" s="119">
        <v>5</v>
      </c>
      <c r="H973" s="120" t="s">
        <v>79</v>
      </c>
    </row>
    <row r="974" spans="1:8" ht="19.899999999999999" customHeight="1">
      <c r="A974" s="121">
        <v>46036</v>
      </c>
      <c r="B974" s="112" t="s">
        <v>48</v>
      </c>
      <c r="C974" s="113" t="s">
        <v>385</v>
      </c>
      <c r="D974" s="112" t="s">
        <v>341</v>
      </c>
      <c r="E974" s="122">
        <v>1.9409722222222221</v>
      </c>
      <c r="F974" s="112" t="s">
        <v>50</v>
      </c>
      <c r="G974" s="114">
        <v>9</v>
      </c>
      <c r="H974" s="115" t="s">
        <v>79</v>
      </c>
    </row>
    <row r="975" spans="1:8" ht="19.899999999999999" customHeight="1">
      <c r="A975" s="121">
        <v>46036</v>
      </c>
      <c r="B975" s="112" t="s">
        <v>26</v>
      </c>
      <c r="C975" s="113" t="s">
        <v>350</v>
      </c>
      <c r="D975" s="112" t="s">
        <v>341</v>
      </c>
      <c r="E975" s="122">
        <v>1.7361111111111109</v>
      </c>
      <c r="F975" s="112" t="s">
        <v>28</v>
      </c>
      <c r="G975" s="114">
        <v>5</v>
      </c>
      <c r="H975" s="115" t="s">
        <v>79</v>
      </c>
    </row>
    <row r="976" spans="1:8" ht="19.899999999999999" customHeight="1">
      <c r="A976" s="121">
        <v>46036</v>
      </c>
      <c r="B976" s="112" t="s">
        <v>38</v>
      </c>
      <c r="C976" s="113" t="s">
        <v>346</v>
      </c>
      <c r="D976" s="112" t="s">
        <v>341</v>
      </c>
      <c r="E976" s="122">
        <v>1.399305555555556</v>
      </c>
      <c r="F976" s="112" t="s">
        <v>43</v>
      </c>
      <c r="G976" s="114">
        <v>20</v>
      </c>
      <c r="H976" s="115" t="s">
        <v>420</v>
      </c>
    </row>
    <row r="977" spans="1:8" ht="19.899999999999999" customHeight="1">
      <c r="A977" s="121">
        <v>46036</v>
      </c>
      <c r="B977" s="112" t="s">
        <v>26</v>
      </c>
      <c r="C977" s="113" t="s">
        <v>352</v>
      </c>
      <c r="D977" s="112" t="s">
        <v>341</v>
      </c>
      <c r="E977" s="122">
        <v>1.944444444444444</v>
      </c>
      <c r="F977" s="112" t="s">
        <v>28</v>
      </c>
      <c r="G977" s="114">
        <v>9</v>
      </c>
      <c r="H977" s="115" t="s">
        <v>45</v>
      </c>
    </row>
    <row r="978" spans="1:8" ht="19.899999999999999" customHeight="1">
      <c r="A978" s="121">
        <v>46036</v>
      </c>
      <c r="B978" s="112" t="s">
        <v>26</v>
      </c>
      <c r="C978" s="113" t="s">
        <v>354</v>
      </c>
      <c r="D978" s="112" t="s">
        <v>341</v>
      </c>
      <c r="E978" s="122">
        <v>1.3472222222222221</v>
      </c>
      <c r="F978" s="112" t="s">
        <v>31</v>
      </c>
      <c r="G978" s="114">
        <v>5</v>
      </c>
      <c r="H978" s="115" t="s">
        <v>159</v>
      </c>
    </row>
    <row r="979" spans="1:8" ht="19.899999999999999" customHeight="1">
      <c r="A979" s="121">
        <v>46036</v>
      </c>
      <c r="B979" s="112" t="s">
        <v>26</v>
      </c>
      <c r="C979" s="113" t="s">
        <v>348</v>
      </c>
      <c r="D979" s="112" t="s">
        <v>341</v>
      </c>
      <c r="E979" s="122">
        <v>1.993055555555556</v>
      </c>
      <c r="F979" s="112" t="s">
        <v>31</v>
      </c>
      <c r="G979" s="114">
        <v>4</v>
      </c>
      <c r="H979" s="115" t="s">
        <v>159</v>
      </c>
    </row>
    <row r="980" spans="1:8" ht="19.899999999999999" customHeight="1">
      <c r="A980" s="121">
        <v>46036</v>
      </c>
      <c r="B980" s="112" t="s">
        <v>26</v>
      </c>
      <c r="C980" s="113" t="s">
        <v>351</v>
      </c>
      <c r="D980" s="112" t="s">
        <v>341</v>
      </c>
      <c r="E980" s="122">
        <v>1.836805555555556</v>
      </c>
      <c r="F980" s="112" t="s">
        <v>31</v>
      </c>
      <c r="G980" s="114">
        <v>1</v>
      </c>
      <c r="H980" s="115" t="s">
        <v>159</v>
      </c>
    </row>
    <row r="981" spans="1:8" ht="19.899999999999999" customHeight="1">
      <c r="A981" s="121">
        <v>46036</v>
      </c>
      <c r="B981" s="112" t="s">
        <v>26</v>
      </c>
      <c r="C981" s="113" t="s">
        <v>353</v>
      </c>
      <c r="D981" s="112" t="s">
        <v>341</v>
      </c>
      <c r="E981" s="122">
        <v>1.8888888888888891</v>
      </c>
      <c r="F981" s="112" t="s">
        <v>31</v>
      </c>
      <c r="G981" s="114">
        <v>3</v>
      </c>
      <c r="H981" s="115" t="s">
        <v>159</v>
      </c>
    </row>
    <row r="982" spans="1:8" ht="19.899999999999999" customHeight="1">
      <c r="A982" s="121">
        <v>46036</v>
      </c>
      <c r="B982" s="112" t="s">
        <v>38</v>
      </c>
      <c r="C982" s="113" t="s">
        <v>345</v>
      </c>
      <c r="D982" s="112" t="s">
        <v>341</v>
      </c>
      <c r="E982" s="122">
        <v>1.989583333333333</v>
      </c>
      <c r="F982" s="112" t="s">
        <v>43</v>
      </c>
      <c r="G982" s="114">
        <v>19</v>
      </c>
      <c r="H982" s="115" t="s">
        <v>138</v>
      </c>
    </row>
    <row r="983" spans="1:8" ht="19.899999999999999" customHeight="1">
      <c r="A983" s="121">
        <v>46036</v>
      </c>
      <c r="B983" s="112" t="s">
        <v>68</v>
      </c>
      <c r="C983" s="113" t="s">
        <v>405</v>
      </c>
      <c r="D983" s="112" t="s">
        <v>341</v>
      </c>
      <c r="E983" s="122">
        <v>1.836805555555556</v>
      </c>
      <c r="F983" s="112" t="s">
        <v>70</v>
      </c>
      <c r="G983" s="114">
        <v>9</v>
      </c>
      <c r="H983" s="115" t="s">
        <v>406</v>
      </c>
    </row>
    <row r="984" spans="1:8" ht="19.899999999999999" customHeight="1">
      <c r="A984" s="121">
        <v>46036</v>
      </c>
      <c r="B984" s="112" t="s">
        <v>68</v>
      </c>
      <c r="C984" s="113" t="s">
        <v>407</v>
      </c>
      <c r="D984" s="112" t="s">
        <v>341</v>
      </c>
      <c r="E984" s="122">
        <v>1.3125</v>
      </c>
      <c r="F984" s="112" t="s">
        <v>70</v>
      </c>
      <c r="G984" s="114">
        <v>5</v>
      </c>
      <c r="H984" s="115" t="s">
        <v>406</v>
      </c>
    </row>
    <row r="985" spans="1:8" ht="19.899999999999999" customHeight="1">
      <c r="A985" s="121">
        <v>46036</v>
      </c>
      <c r="B985" s="112" t="s">
        <v>68</v>
      </c>
      <c r="C985" s="113" t="s">
        <v>408</v>
      </c>
      <c r="D985" s="112" t="s">
        <v>341</v>
      </c>
      <c r="E985" s="122">
        <v>1.9722222222222221</v>
      </c>
      <c r="F985" s="112" t="s">
        <v>70</v>
      </c>
      <c r="G985" s="114">
        <v>9</v>
      </c>
      <c r="H985" s="115" t="s">
        <v>406</v>
      </c>
    </row>
    <row r="986" spans="1:8" ht="19.899999999999999" customHeight="1">
      <c r="A986" s="121">
        <v>46036</v>
      </c>
      <c r="B986" s="112" t="s">
        <v>68</v>
      </c>
      <c r="C986" s="113" t="s">
        <v>437</v>
      </c>
      <c r="D986" s="112" t="s">
        <v>341</v>
      </c>
      <c r="E986" s="122">
        <v>1.104166666666667</v>
      </c>
      <c r="F986" s="112" t="s">
        <v>70</v>
      </c>
      <c r="G986" s="114">
        <v>9</v>
      </c>
      <c r="H986" s="115" t="s">
        <v>406</v>
      </c>
    </row>
    <row r="987" spans="1:8" ht="19.899999999999999" customHeight="1">
      <c r="A987" s="121">
        <v>46036</v>
      </c>
      <c r="B987" s="112" t="s">
        <v>68</v>
      </c>
      <c r="C987" s="113" t="s">
        <v>409</v>
      </c>
      <c r="D987" s="112" t="s">
        <v>341</v>
      </c>
      <c r="E987" s="122">
        <v>1.3402777777777779</v>
      </c>
      <c r="F987" s="112" t="s">
        <v>70</v>
      </c>
      <c r="G987" s="114">
        <v>9</v>
      </c>
      <c r="H987" s="115" t="s">
        <v>406</v>
      </c>
    </row>
    <row r="988" spans="1:8" ht="19.899999999999999" customHeight="1">
      <c r="A988" s="121">
        <v>46036</v>
      </c>
      <c r="B988" s="112" t="s">
        <v>68</v>
      </c>
      <c r="C988" s="113" t="s">
        <v>410</v>
      </c>
      <c r="D988" s="112" t="s">
        <v>341</v>
      </c>
      <c r="E988" s="122">
        <v>1.5972222222222221</v>
      </c>
      <c r="F988" s="112" t="s">
        <v>70</v>
      </c>
      <c r="G988" s="114">
        <v>9</v>
      </c>
      <c r="H988" s="115" t="s">
        <v>406</v>
      </c>
    </row>
    <row r="989" spans="1:8" ht="19.899999999999999" customHeight="1">
      <c r="A989" s="121">
        <v>46036</v>
      </c>
      <c r="B989" s="112" t="s">
        <v>48</v>
      </c>
      <c r="C989" s="113" t="s">
        <v>388</v>
      </c>
      <c r="D989" s="112" t="s">
        <v>341</v>
      </c>
      <c r="E989" s="122">
        <v>1.7222222222222221</v>
      </c>
      <c r="F989" s="112" t="s">
        <v>50</v>
      </c>
      <c r="G989" s="114">
        <v>9</v>
      </c>
      <c r="H989" s="115" t="s">
        <v>462</v>
      </c>
    </row>
    <row r="990" spans="1:8" ht="19.899999999999999" customHeight="1">
      <c r="A990" s="121">
        <v>46036</v>
      </c>
      <c r="B990" s="112" t="s">
        <v>48</v>
      </c>
      <c r="C990" s="113" t="s">
        <v>389</v>
      </c>
      <c r="D990" s="112" t="s">
        <v>341</v>
      </c>
      <c r="E990" s="122">
        <v>1.7013888888888891</v>
      </c>
      <c r="F990" s="112" t="s">
        <v>50</v>
      </c>
      <c r="G990" s="114">
        <v>9</v>
      </c>
      <c r="H990" s="115" t="s">
        <v>462</v>
      </c>
    </row>
    <row r="991" spans="1:8" ht="19.899999999999999" customHeight="1">
      <c r="A991" s="121">
        <v>46036</v>
      </c>
      <c r="B991" s="112" t="s">
        <v>48</v>
      </c>
      <c r="C991" s="113" t="s">
        <v>386</v>
      </c>
      <c r="D991" s="112" t="s">
        <v>341</v>
      </c>
      <c r="E991" s="122">
        <v>1.8298611111111109</v>
      </c>
      <c r="F991" s="112" t="s">
        <v>53</v>
      </c>
      <c r="G991" s="114">
        <v>1</v>
      </c>
      <c r="H991" s="115" t="s">
        <v>384</v>
      </c>
    </row>
    <row r="992" spans="1:8" ht="19.899999999999999" customHeight="1">
      <c r="A992" s="121">
        <v>46036</v>
      </c>
      <c r="B992" s="112" t="s">
        <v>26</v>
      </c>
      <c r="C992" s="113" t="s">
        <v>350</v>
      </c>
      <c r="D992" s="112" t="s">
        <v>341</v>
      </c>
      <c r="E992" s="122">
        <v>1.7361111111111109</v>
      </c>
      <c r="F992" s="112" t="s">
        <v>31</v>
      </c>
      <c r="G992" s="114">
        <v>5</v>
      </c>
      <c r="H992" s="115" t="s">
        <v>123</v>
      </c>
    </row>
    <row r="993" spans="1:8" ht="19.899999999999999" customHeight="1">
      <c r="A993" s="121">
        <v>46036</v>
      </c>
      <c r="B993" s="112" t="s">
        <v>38</v>
      </c>
      <c r="C993" s="113" t="s">
        <v>344</v>
      </c>
      <c r="D993" s="112" t="s">
        <v>341</v>
      </c>
      <c r="E993" s="122">
        <v>1.8888888888888891</v>
      </c>
      <c r="F993" s="112" t="s">
        <v>43</v>
      </c>
      <c r="G993" s="114">
        <v>12</v>
      </c>
      <c r="H993" s="115" t="s">
        <v>443</v>
      </c>
    </row>
    <row r="994" spans="1:8" ht="19.899999999999999" customHeight="1">
      <c r="A994" s="121">
        <v>46036</v>
      </c>
      <c r="B994" s="112" t="s">
        <v>48</v>
      </c>
      <c r="C994" s="113" t="s">
        <v>385</v>
      </c>
      <c r="D994" s="112" t="s">
        <v>341</v>
      </c>
      <c r="E994" s="122">
        <v>1.9409722222222221</v>
      </c>
      <c r="F994" s="112" t="s">
        <v>53</v>
      </c>
      <c r="G994" s="114">
        <v>9</v>
      </c>
      <c r="H994" s="115" t="s">
        <v>387</v>
      </c>
    </row>
    <row r="995" spans="1:8" ht="19.899999999999999" customHeight="1">
      <c r="A995" s="121">
        <v>46036</v>
      </c>
      <c r="B995" s="112" t="s">
        <v>68</v>
      </c>
      <c r="C995" s="113" t="s">
        <v>411</v>
      </c>
      <c r="D995" s="112" t="s">
        <v>341</v>
      </c>
      <c r="E995" s="122">
        <v>1.7847222222222221</v>
      </c>
      <c r="F995" s="112" t="s">
        <v>70</v>
      </c>
      <c r="G995" s="114">
        <v>9</v>
      </c>
      <c r="H995" s="115" t="s">
        <v>412</v>
      </c>
    </row>
    <row r="996" spans="1:8" ht="19.899999999999999" customHeight="1">
      <c r="A996" s="121">
        <v>46036</v>
      </c>
      <c r="B996" s="112" t="s">
        <v>26</v>
      </c>
      <c r="C996" s="113" t="s">
        <v>354</v>
      </c>
      <c r="D996" s="112" t="s">
        <v>341</v>
      </c>
      <c r="E996" s="122">
        <v>1.3472222222222221</v>
      </c>
      <c r="F996" s="112" t="s">
        <v>34</v>
      </c>
      <c r="G996" s="114">
        <v>5</v>
      </c>
      <c r="H996" s="115" t="s">
        <v>355</v>
      </c>
    </row>
    <row r="997" spans="1:8" ht="19.899999999999999" customHeight="1">
      <c r="A997" s="121">
        <v>46036</v>
      </c>
      <c r="B997" s="112" t="s">
        <v>26</v>
      </c>
      <c r="C997" s="113" t="s">
        <v>348</v>
      </c>
      <c r="D997" s="112" t="s">
        <v>341</v>
      </c>
      <c r="E997" s="122">
        <v>1.993055555555556</v>
      </c>
      <c r="F997" s="112" t="s">
        <v>34</v>
      </c>
      <c r="G997" s="114">
        <v>4</v>
      </c>
      <c r="H997" s="115" t="s">
        <v>355</v>
      </c>
    </row>
    <row r="998" spans="1:8" ht="19.899999999999999" customHeight="1">
      <c r="A998" s="121">
        <v>46036</v>
      </c>
      <c r="B998" s="112" t="s">
        <v>26</v>
      </c>
      <c r="C998" s="113" t="s">
        <v>351</v>
      </c>
      <c r="D998" s="112" t="s">
        <v>341</v>
      </c>
      <c r="E998" s="122">
        <v>1.836805555555556</v>
      </c>
      <c r="F998" s="112" t="s">
        <v>34</v>
      </c>
      <c r="G998" s="114">
        <v>1</v>
      </c>
      <c r="H998" s="115" t="s">
        <v>355</v>
      </c>
    </row>
    <row r="999" spans="1:8" ht="19.899999999999999" customHeight="1">
      <c r="A999" s="121">
        <v>46036</v>
      </c>
      <c r="B999" s="112" t="s">
        <v>26</v>
      </c>
      <c r="C999" s="113" t="s">
        <v>352</v>
      </c>
      <c r="D999" s="112" t="s">
        <v>341</v>
      </c>
      <c r="E999" s="122">
        <v>1.944444444444444</v>
      </c>
      <c r="F999" s="112" t="s">
        <v>31</v>
      </c>
      <c r="G999" s="114">
        <v>9</v>
      </c>
      <c r="H999" s="115" t="s">
        <v>355</v>
      </c>
    </row>
    <row r="1000" spans="1:8" ht="19.899999999999999" customHeight="1">
      <c r="A1000" s="121">
        <v>46036</v>
      </c>
      <c r="B1000" s="112" t="s">
        <v>26</v>
      </c>
      <c r="C1000" s="113" t="s">
        <v>353</v>
      </c>
      <c r="D1000" s="112" t="s">
        <v>341</v>
      </c>
      <c r="E1000" s="122">
        <v>1.8888888888888891</v>
      </c>
      <c r="F1000" s="112" t="s">
        <v>34</v>
      </c>
      <c r="G1000" s="114">
        <v>3</v>
      </c>
      <c r="H1000" s="115" t="s">
        <v>355</v>
      </c>
    </row>
    <row r="1001" spans="1:8" ht="19.899999999999999" customHeight="1">
      <c r="A1001" s="121">
        <v>46036</v>
      </c>
      <c r="B1001" s="112" t="s">
        <v>359</v>
      </c>
      <c r="C1001" s="113" t="s">
        <v>360</v>
      </c>
      <c r="D1001" s="112" t="s">
        <v>341</v>
      </c>
      <c r="E1001" s="122">
        <v>1.225694444444444</v>
      </c>
      <c r="F1001" s="112" t="s">
        <v>46</v>
      </c>
      <c r="G1001" s="114">
        <v>9</v>
      </c>
      <c r="H1001" s="115" t="s">
        <v>494</v>
      </c>
    </row>
    <row r="1002" spans="1:8" ht="19.899999999999999" customHeight="1">
      <c r="A1002" s="121">
        <v>46036</v>
      </c>
      <c r="B1002" s="112" t="s">
        <v>26</v>
      </c>
      <c r="C1002" s="113" t="s">
        <v>350</v>
      </c>
      <c r="D1002" s="112" t="s">
        <v>341</v>
      </c>
      <c r="E1002" s="122">
        <v>1.7361111111111109</v>
      </c>
      <c r="F1002" s="112" t="s">
        <v>34</v>
      </c>
      <c r="G1002" s="114">
        <v>5</v>
      </c>
      <c r="H1002" s="115" t="s">
        <v>118</v>
      </c>
    </row>
    <row r="1003" spans="1:8" ht="19.899999999999999" customHeight="1">
      <c r="A1003" s="121">
        <v>46036</v>
      </c>
      <c r="B1003" s="112" t="s">
        <v>48</v>
      </c>
      <c r="C1003" s="113" t="s">
        <v>388</v>
      </c>
      <c r="D1003" s="112" t="s">
        <v>341</v>
      </c>
      <c r="E1003" s="122">
        <v>1.7222222222222221</v>
      </c>
      <c r="F1003" s="112" t="s">
        <v>53</v>
      </c>
      <c r="G1003" s="114">
        <v>9</v>
      </c>
      <c r="H1003" s="115" t="s">
        <v>463</v>
      </c>
    </row>
    <row r="1004" spans="1:8" ht="19.899999999999999" customHeight="1">
      <c r="A1004" s="121">
        <v>46036</v>
      </c>
      <c r="B1004" s="112" t="s">
        <v>48</v>
      </c>
      <c r="C1004" s="113" t="s">
        <v>389</v>
      </c>
      <c r="D1004" s="112" t="s">
        <v>341</v>
      </c>
      <c r="E1004" s="122">
        <v>1.7013888888888891</v>
      </c>
      <c r="F1004" s="112" t="s">
        <v>53</v>
      </c>
      <c r="G1004" s="114">
        <v>9</v>
      </c>
      <c r="H1004" s="115" t="s">
        <v>463</v>
      </c>
    </row>
    <row r="1005" spans="1:8" ht="19.899999999999999" customHeight="1">
      <c r="A1005" s="121">
        <v>46036</v>
      </c>
      <c r="B1005" s="112" t="s">
        <v>26</v>
      </c>
      <c r="C1005" s="113" t="s">
        <v>352</v>
      </c>
      <c r="D1005" s="112" t="s">
        <v>341</v>
      </c>
      <c r="E1005" s="122">
        <v>1.944444444444444</v>
      </c>
      <c r="F1005" s="112" t="s">
        <v>34</v>
      </c>
      <c r="G1005" s="114">
        <v>9</v>
      </c>
      <c r="H1005" s="115" t="s">
        <v>358</v>
      </c>
    </row>
    <row r="1006" spans="1:8" ht="19.899999999999999" customHeight="1">
      <c r="A1006" s="121">
        <v>46036</v>
      </c>
      <c r="B1006" s="112" t="s">
        <v>48</v>
      </c>
      <c r="C1006" s="113" t="s">
        <v>400</v>
      </c>
      <c r="D1006" s="112" t="s">
        <v>341</v>
      </c>
      <c r="E1006" s="122">
        <v>1.2534722222222221</v>
      </c>
      <c r="F1006" s="112" t="s">
        <v>50</v>
      </c>
      <c r="G1006" s="114">
        <v>9</v>
      </c>
      <c r="H1006" s="115" t="s">
        <v>392</v>
      </c>
    </row>
    <row r="1007" spans="1:8" ht="19.899999999999999" customHeight="1">
      <c r="A1007" s="121">
        <v>46036</v>
      </c>
      <c r="B1007" s="112" t="s">
        <v>26</v>
      </c>
      <c r="C1007" s="113" t="s">
        <v>356</v>
      </c>
      <c r="D1007" s="112" t="s">
        <v>341</v>
      </c>
      <c r="E1007" s="122">
        <v>1.4861111111111109</v>
      </c>
      <c r="F1007" s="112" t="s">
        <v>28</v>
      </c>
      <c r="G1007" s="114">
        <v>3</v>
      </c>
      <c r="H1007" s="115" t="s">
        <v>455</v>
      </c>
    </row>
    <row r="1008" spans="1:8" ht="19.899999999999999" customHeight="1">
      <c r="A1008" s="121">
        <v>46036</v>
      </c>
      <c r="B1008" s="112" t="s">
        <v>38</v>
      </c>
      <c r="C1008" s="113" t="s">
        <v>346</v>
      </c>
      <c r="D1008" s="112" t="s">
        <v>341</v>
      </c>
      <c r="E1008" s="122">
        <v>1.399305555555556</v>
      </c>
      <c r="F1008" s="112" t="s">
        <v>46</v>
      </c>
      <c r="G1008" s="114">
        <v>20</v>
      </c>
      <c r="H1008" s="115" t="s">
        <v>47</v>
      </c>
    </row>
    <row r="1009" spans="1:8" ht="19.899999999999999" customHeight="1">
      <c r="A1009" s="121">
        <v>46036</v>
      </c>
      <c r="B1009" s="112" t="s">
        <v>38</v>
      </c>
      <c r="C1009" s="113" t="s">
        <v>342</v>
      </c>
      <c r="D1009" s="112" t="s">
        <v>341</v>
      </c>
      <c r="E1009" s="122">
        <v>1.489583333333333</v>
      </c>
      <c r="F1009" s="112" t="s">
        <v>46</v>
      </c>
      <c r="G1009" s="114">
        <v>16</v>
      </c>
      <c r="H1009" s="115" t="s">
        <v>47</v>
      </c>
    </row>
    <row r="1010" spans="1:8" ht="19.899999999999999" customHeight="1">
      <c r="A1010" s="121">
        <v>46036</v>
      </c>
      <c r="B1010" s="112" t="s">
        <v>38</v>
      </c>
      <c r="C1010" s="113" t="s">
        <v>344</v>
      </c>
      <c r="D1010" s="112" t="s">
        <v>341</v>
      </c>
      <c r="E1010" s="122">
        <v>1.8888888888888891</v>
      </c>
      <c r="F1010" s="112" t="s">
        <v>46</v>
      </c>
      <c r="G1010" s="114">
        <v>12</v>
      </c>
      <c r="H1010" s="115" t="s">
        <v>47</v>
      </c>
    </row>
    <row r="1011" spans="1:8" ht="19.899999999999999" customHeight="1">
      <c r="A1011" s="121">
        <v>46036</v>
      </c>
      <c r="B1011" s="112" t="s">
        <v>38</v>
      </c>
      <c r="C1011" s="113" t="s">
        <v>345</v>
      </c>
      <c r="D1011" s="112" t="s">
        <v>341</v>
      </c>
      <c r="E1011" s="122">
        <v>1.989583333333333</v>
      </c>
      <c r="F1011" s="112" t="s">
        <v>46</v>
      </c>
      <c r="G1011" s="114">
        <v>19</v>
      </c>
      <c r="H1011" s="115" t="s">
        <v>47</v>
      </c>
    </row>
    <row r="1012" spans="1:8" ht="19.899999999999999" customHeight="1">
      <c r="A1012" s="121">
        <v>46036</v>
      </c>
      <c r="B1012" s="112" t="s">
        <v>48</v>
      </c>
      <c r="C1012" s="113" t="s">
        <v>396</v>
      </c>
      <c r="D1012" s="112" t="s">
        <v>341</v>
      </c>
      <c r="E1012" s="122">
        <v>1.489583333333333</v>
      </c>
      <c r="F1012" s="112" t="s">
        <v>53</v>
      </c>
      <c r="G1012" s="114">
        <v>4</v>
      </c>
      <c r="H1012" s="115" t="s">
        <v>395</v>
      </c>
    </row>
    <row r="1013" spans="1:8" ht="19.899999999999999" customHeight="1">
      <c r="A1013" s="121">
        <v>46036</v>
      </c>
      <c r="B1013" s="112" t="s">
        <v>26</v>
      </c>
      <c r="C1013" s="113" t="s">
        <v>356</v>
      </c>
      <c r="D1013" s="112" t="s">
        <v>341</v>
      </c>
      <c r="E1013" s="122">
        <v>1.4861111111111109</v>
      </c>
      <c r="F1013" s="112" t="s">
        <v>31</v>
      </c>
      <c r="G1013" s="114">
        <v>3</v>
      </c>
      <c r="H1013" s="115" t="s">
        <v>456</v>
      </c>
    </row>
    <row r="1014" spans="1:8" ht="19.899999999999999" customHeight="1">
      <c r="A1014" s="121">
        <v>46036</v>
      </c>
      <c r="B1014" s="112" t="s">
        <v>26</v>
      </c>
      <c r="C1014" s="113" t="s">
        <v>357</v>
      </c>
      <c r="D1014" s="112" t="s">
        <v>341</v>
      </c>
      <c r="E1014" s="122">
        <v>1.3923611111111109</v>
      </c>
      <c r="F1014" s="112" t="s">
        <v>28</v>
      </c>
      <c r="G1014" s="114">
        <v>5</v>
      </c>
      <c r="H1014" s="115" t="s">
        <v>456</v>
      </c>
    </row>
    <row r="1015" spans="1:8" ht="19.899999999999999" customHeight="1">
      <c r="A1015" s="121">
        <v>46036</v>
      </c>
      <c r="B1015" s="112" t="s">
        <v>48</v>
      </c>
      <c r="C1015" s="113" t="s">
        <v>400</v>
      </c>
      <c r="D1015" s="112" t="s">
        <v>341</v>
      </c>
      <c r="E1015" s="122">
        <v>1.2534722222222221</v>
      </c>
      <c r="F1015" s="112" t="s">
        <v>53</v>
      </c>
      <c r="G1015" s="114">
        <v>9</v>
      </c>
      <c r="H1015" s="115" t="s">
        <v>393</v>
      </c>
    </row>
    <row r="1016" spans="1:8" ht="19.899999999999999" customHeight="1">
      <c r="A1016" s="121">
        <v>46036</v>
      </c>
      <c r="B1016" s="112" t="s">
        <v>48</v>
      </c>
      <c r="C1016" s="113" t="s">
        <v>398</v>
      </c>
      <c r="D1016" s="112" t="s">
        <v>341</v>
      </c>
      <c r="E1016" s="122">
        <v>1.399305555555556</v>
      </c>
      <c r="F1016" s="112" t="s">
        <v>53</v>
      </c>
      <c r="G1016" s="114">
        <v>4</v>
      </c>
      <c r="H1016" s="115" t="s">
        <v>438</v>
      </c>
    </row>
    <row r="1017" spans="1:8" ht="19.899999999999999" customHeight="1">
      <c r="A1017" s="121">
        <v>46036</v>
      </c>
      <c r="B1017" s="112" t="s">
        <v>26</v>
      </c>
      <c r="C1017" s="113" t="s">
        <v>356</v>
      </c>
      <c r="D1017" s="112" t="s">
        <v>341</v>
      </c>
      <c r="E1017" s="122">
        <v>1.4861111111111109</v>
      </c>
      <c r="F1017" s="112" t="s">
        <v>34</v>
      </c>
      <c r="G1017" s="114">
        <v>3</v>
      </c>
      <c r="H1017" s="115" t="s">
        <v>457</v>
      </c>
    </row>
    <row r="1018" spans="1:8" ht="19.899999999999999" customHeight="1">
      <c r="A1018" s="121">
        <v>46036</v>
      </c>
      <c r="B1018" s="112" t="s">
        <v>26</v>
      </c>
      <c r="C1018" s="113" t="s">
        <v>357</v>
      </c>
      <c r="D1018" s="112" t="s">
        <v>341</v>
      </c>
      <c r="E1018" s="122">
        <v>1.3923611111111109</v>
      </c>
      <c r="F1018" s="112" t="s">
        <v>31</v>
      </c>
      <c r="G1018" s="114">
        <v>5</v>
      </c>
      <c r="H1018" s="115" t="s">
        <v>106</v>
      </c>
    </row>
    <row r="1019" spans="1:8" ht="19.899999999999999" customHeight="1">
      <c r="A1019" s="121">
        <v>46036</v>
      </c>
      <c r="B1019" s="112" t="s">
        <v>48</v>
      </c>
      <c r="C1019" s="113" t="s">
        <v>394</v>
      </c>
      <c r="D1019" s="112" t="s">
        <v>341</v>
      </c>
      <c r="E1019" s="122">
        <v>1.989583333333333</v>
      </c>
      <c r="F1019" s="112" t="s">
        <v>53</v>
      </c>
      <c r="G1019" s="114">
        <v>4</v>
      </c>
      <c r="H1019" s="115" t="s">
        <v>399</v>
      </c>
    </row>
    <row r="1020" spans="1:8" ht="19.899999999999999" customHeight="1">
      <c r="A1020" s="121">
        <v>46036</v>
      </c>
      <c r="B1020" s="112" t="s">
        <v>26</v>
      </c>
      <c r="C1020" s="113" t="s">
        <v>357</v>
      </c>
      <c r="D1020" s="112" t="s">
        <v>341</v>
      </c>
      <c r="E1020" s="122">
        <v>1.3923611111111109</v>
      </c>
      <c r="F1020" s="112" t="s">
        <v>34</v>
      </c>
      <c r="G1020" s="114">
        <v>5</v>
      </c>
      <c r="H1020" s="115" t="s">
        <v>478</v>
      </c>
    </row>
    <row r="1021" spans="1:8" ht="19.899999999999999" customHeight="1">
      <c r="A1021" s="121">
        <v>46036</v>
      </c>
      <c r="B1021" s="112" t="s">
        <v>48</v>
      </c>
      <c r="C1021" s="113" t="s">
        <v>391</v>
      </c>
      <c r="D1021" s="112" t="s">
        <v>341</v>
      </c>
      <c r="E1021" s="122">
        <v>1.489583333333333</v>
      </c>
      <c r="F1021" s="112" t="s">
        <v>53</v>
      </c>
      <c r="G1021" s="114">
        <v>4</v>
      </c>
      <c r="H1021" s="115" t="s">
        <v>401</v>
      </c>
    </row>
    <row r="1022" spans="1:8" ht="19.899999999999999" customHeight="1">
      <c r="A1022" s="121">
        <v>46036</v>
      </c>
      <c r="B1022" s="112" t="s">
        <v>48</v>
      </c>
      <c r="C1022" s="113" t="s">
        <v>382</v>
      </c>
      <c r="D1022" s="112" t="s">
        <v>341</v>
      </c>
      <c r="E1022" s="122">
        <v>1.118055555555556</v>
      </c>
      <c r="F1022" s="112" t="s">
        <v>53</v>
      </c>
      <c r="G1022" s="114">
        <v>9</v>
      </c>
      <c r="H1022" s="115" t="s">
        <v>401</v>
      </c>
    </row>
    <row r="1023" spans="1:8" ht="19.899999999999999" customHeight="1">
      <c r="A1023" s="121">
        <v>46036</v>
      </c>
      <c r="B1023" s="112" t="s">
        <v>48</v>
      </c>
      <c r="C1023" s="113" t="s">
        <v>390</v>
      </c>
      <c r="D1023" s="112" t="s">
        <v>341</v>
      </c>
      <c r="E1023" s="122">
        <v>1.041666666666667</v>
      </c>
      <c r="F1023" s="112" t="s">
        <v>53</v>
      </c>
      <c r="G1023" s="114">
        <v>9</v>
      </c>
      <c r="H1023" s="115" t="s">
        <v>401</v>
      </c>
    </row>
    <row r="1024" spans="1:8" ht="19.899999999999999" customHeight="1">
      <c r="A1024" s="121">
        <v>46036</v>
      </c>
      <c r="B1024" s="112" t="s">
        <v>48</v>
      </c>
      <c r="C1024" s="113" t="s">
        <v>397</v>
      </c>
      <c r="D1024" s="112" t="s">
        <v>341</v>
      </c>
      <c r="E1024" s="122">
        <v>1.8888888888888891</v>
      </c>
      <c r="F1024" s="112" t="s">
        <v>53</v>
      </c>
      <c r="G1024" s="114">
        <v>4</v>
      </c>
      <c r="H1024" s="115" t="s">
        <v>452</v>
      </c>
    </row>
    <row r="1025" spans="1:8" ht="19.899999999999999" customHeight="1">
      <c r="A1025" s="121">
        <v>46036</v>
      </c>
      <c r="B1025" s="112" t="s">
        <v>415</v>
      </c>
      <c r="C1025" s="113" t="s">
        <v>418</v>
      </c>
      <c r="D1025" s="112" t="s">
        <v>341</v>
      </c>
      <c r="E1025" s="122">
        <v>1.6875</v>
      </c>
      <c r="F1025" s="112" t="s">
        <v>63</v>
      </c>
      <c r="G1025" s="114">
        <v>9</v>
      </c>
      <c r="H1025" s="115" t="s">
        <v>417</v>
      </c>
    </row>
    <row r="1026" spans="1:8" ht="19.899999999999999" customHeight="1">
      <c r="A1026" s="123">
        <v>46036</v>
      </c>
      <c r="B1026" s="124" t="s">
        <v>415</v>
      </c>
      <c r="C1026" s="125" t="s">
        <v>480</v>
      </c>
      <c r="D1026" s="124" t="s">
        <v>341</v>
      </c>
      <c r="E1026" s="126">
        <v>1.805555555555556</v>
      </c>
      <c r="F1026" s="124" t="s">
        <v>63</v>
      </c>
      <c r="G1026" s="127">
        <v>9</v>
      </c>
      <c r="H1026" s="128" t="s">
        <v>417</v>
      </c>
    </row>
    <row r="1027" spans="1:8" ht="19.899999999999999" customHeight="1">
      <c r="A1027" s="121">
        <v>46037</v>
      </c>
      <c r="B1027" s="112" t="s">
        <v>38</v>
      </c>
      <c r="C1027" s="113" t="s">
        <v>344</v>
      </c>
      <c r="D1027" s="112" t="s">
        <v>341</v>
      </c>
      <c r="E1027" s="122">
        <v>1.8888888888888891</v>
      </c>
      <c r="F1027" s="112" t="s">
        <v>40</v>
      </c>
      <c r="G1027" s="114">
        <v>17</v>
      </c>
      <c r="H1027" s="115" t="s">
        <v>347</v>
      </c>
    </row>
    <row r="1028" spans="1:8" ht="19.899999999999999" customHeight="1">
      <c r="A1028" s="121">
        <v>46037</v>
      </c>
      <c r="B1028" s="112" t="s">
        <v>38</v>
      </c>
      <c r="C1028" s="113" t="s">
        <v>345</v>
      </c>
      <c r="D1028" s="112" t="s">
        <v>341</v>
      </c>
      <c r="E1028" s="122">
        <v>1.989583333333333</v>
      </c>
      <c r="F1028" s="112" t="s">
        <v>40</v>
      </c>
      <c r="G1028" s="114">
        <v>20</v>
      </c>
      <c r="H1028" s="115" t="s">
        <v>347</v>
      </c>
    </row>
    <row r="1029" spans="1:8" ht="19.899999999999999" customHeight="1">
      <c r="A1029" s="129">
        <v>46037</v>
      </c>
      <c r="B1029" s="117" t="s">
        <v>61</v>
      </c>
      <c r="C1029" s="118" t="s">
        <v>371</v>
      </c>
      <c r="D1029" s="117" t="s">
        <v>341</v>
      </c>
      <c r="E1029" s="130">
        <v>1.0659722222222221</v>
      </c>
      <c r="F1029" s="117" t="s">
        <v>63</v>
      </c>
      <c r="G1029" s="119">
        <v>1</v>
      </c>
      <c r="H1029" s="120" t="s">
        <v>365</v>
      </c>
    </row>
    <row r="1030" spans="1:8" ht="19.899999999999999" customHeight="1">
      <c r="A1030" s="121">
        <v>46037</v>
      </c>
      <c r="B1030" s="112" t="s">
        <v>38</v>
      </c>
      <c r="C1030" s="113" t="s">
        <v>342</v>
      </c>
      <c r="D1030" s="112" t="s">
        <v>341</v>
      </c>
      <c r="E1030" s="122">
        <v>1.489583333333333</v>
      </c>
      <c r="F1030" s="112" t="s">
        <v>40</v>
      </c>
      <c r="G1030" s="114">
        <v>16</v>
      </c>
      <c r="H1030" s="115" t="s">
        <v>121</v>
      </c>
    </row>
    <row r="1031" spans="1:8" ht="19.899999999999999" customHeight="1">
      <c r="A1031" s="121">
        <v>46037</v>
      </c>
      <c r="B1031" s="112" t="s">
        <v>48</v>
      </c>
      <c r="C1031" s="113" t="s">
        <v>386</v>
      </c>
      <c r="D1031" s="112" t="s">
        <v>341</v>
      </c>
      <c r="E1031" s="122">
        <v>1.8298611111111109</v>
      </c>
      <c r="F1031" s="112" t="s">
        <v>50</v>
      </c>
      <c r="G1031" s="114">
        <v>1</v>
      </c>
      <c r="H1031" s="115" t="s">
        <v>383</v>
      </c>
    </row>
    <row r="1032" spans="1:8" ht="19.899999999999999" customHeight="1">
      <c r="A1032" s="121">
        <v>46037</v>
      </c>
      <c r="B1032" s="112" t="s">
        <v>48</v>
      </c>
      <c r="C1032" s="113" t="s">
        <v>385</v>
      </c>
      <c r="D1032" s="112" t="s">
        <v>341</v>
      </c>
      <c r="E1032" s="122">
        <v>1.9409722222222221</v>
      </c>
      <c r="F1032" s="112" t="s">
        <v>50</v>
      </c>
      <c r="G1032" s="114">
        <v>1</v>
      </c>
      <c r="H1032" s="115" t="s">
        <v>383</v>
      </c>
    </row>
    <row r="1033" spans="1:8" ht="19.899999999999999" customHeight="1">
      <c r="A1033" s="121">
        <v>46037</v>
      </c>
      <c r="B1033" s="112" t="s">
        <v>359</v>
      </c>
      <c r="C1033" s="113" t="s">
        <v>360</v>
      </c>
      <c r="D1033" s="112" t="s">
        <v>341</v>
      </c>
      <c r="E1033" s="122">
        <v>1.1701388888888891</v>
      </c>
      <c r="F1033" s="112" t="s">
        <v>361</v>
      </c>
      <c r="G1033" s="114">
        <v>9</v>
      </c>
      <c r="H1033" s="115" t="s">
        <v>493</v>
      </c>
    </row>
    <row r="1034" spans="1:8" ht="19.899999999999999" customHeight="1">
      <c r="A1034" s="121">
        <v>46037</v>
      </c>
      <c r="B1034" s="112" t="s">
        <v>38</v>
      </c>
      <c r="C1034" s="113" t="s">
        <v>346</v>
      </c>
      <c r="D1034" s="112" t="s">
        <v>341</v>
      </c>
      <c r="E1034" s="122">
        <v>1.399305555555556</v>
      </c>
      <c r="F1034" s="112" t="s">
        <v>40</v>
      </c>
      <c r="G1034" s="114">
        <v>14</v>
      </c>
      <c r="H1034" s="115" t="s">
        <v>349</v>
      </c>
    </row>
    <row r="1035" spans="1:8" ht="19.899999999999999" customHeight="1">
      <c r="A1035" s="121">
        <v>46037</v>
      </c>
      <c r="B1035" s="112" t="s">
        <v>402</v>
      </c>
      <c r="C1035" s="113" t="s">
        <v>403</v>
      </c>
      <c r="D1035" s="112" t="s">
        <v>341</v>
      </c>
      <c r="E1035" s="122">
        <v>1.493055555555556</v>
      </c>
      <c r="F1035" s="112" t="s">
        <v>63</v>
      </c>
      <c r="G1035" s="114">
        <v>5</v>
      </c>
      <c r="H1035" s="115" t="s">
        <v>404</v>
      </c>
    </row>
    <row r="1036" spans="1:8" ht="19.899999999999999" customHeight="1">
      <c r="A1036" s="129">
        <v>46037</v>
      </c>
      <c r="B1036" s="117" t="s">
        <v>61</v>
      </c>
      <c r="C1036" s="118" t="s">
        <v>369</v>
      </c>
      <c r="D1036" s="117" t="s">
        <v>341</v>
      </c>
      <c r="E1036" s="130">
        <v>1.1875</v>
      </c>
      <c r="F1036" s="117" t="s">
        <v>63</v>
      </c>
      <c r="G1036" s="119">
        <v>9</v>
      </c>
      <c r="H1036" s="120" t="s">
        <v>79</v>
      </c>
    </row>
    <row r="1037" spans="1:8" ht="19.899999999999999" customHeight="1">
      <c r="A1037" s="129">
        <v>46037</v>
      </c>
      <c r="B1037" s="117" t="s">
        <v>61</v>
      </c>
      <c r="C1037" s="118" t="s">
        <v>375</v>
      </c>
      <c r="D1037" s="117" t="s">
        <v>341</v>
      </c>
      <c r="E1037" s="130">
        <v>1.15625</v>
      </c>
      <c r="F1037" s="117" t="s">
        <v>63</v>
      </c>
      <c r="G1037" s="119">
        <v>7</v>
      </c>
      <c r="H1037" s="120" t="s">
        <v>79</v>
      </c>
    </row>
    <row r="1038" spans="1:8" ht="19.899999999999999" customHeight="1">
      <c r="A1038" s="129">
        <v>46037</v>
      </c>
      <c r="B1038" s="117" t="s">
        <v>61</v>
      </c>
      <c r="C1038" s="118" t="s">
        <v>377</v>
      </c>
      <c r="D1038" s="117" t="s">
        <v>341</v>
      </c>
      <c r="E1038" s="130">
        <v>1.40625</v>
      </c>
      <c r="F1038" s="117" t="s">
        <v>63</v>
      </c>
      <c r="G1038" s="119">
        <v>7</v>
      </c>
      <c r="H1038" s="120" t="s">
        <v>79</v>
      </c>
    </row>
    <row r="1039" spans="1:8" ht="19.899999999999999" customHeight="1">
      <c r="A1039" s="129">
        <v>46037</v>
      </c>
      <c r="B1039" s="117" t="s">
        <v>61</v>
      </c>
      <c r="C1039" s="118" t="s">
        <v>379</v>
      </c>
      <c r="D1039" s="117" t="s">
        <v>341</v>
      </c>
      <c r="E1039" s="130">
        <v>1.5625</v>
      </c>
      <c r="F1039" s="117" t="s">
        <v>63</v>
      </c>
      <c r="G1039" s="119">
        <v>4</v>
      </c>
      <c r="H1039" s="120" t="s">
        <v>79</v>
      </c>
    </row>
    <row r="1040" spans="1:8" ht="19.899999999999999" customHeight="1">
      <c r="A1040" s="121">
        <v>46037</v>
      </c>
      <c r="B1040" s="112" t="s">
        <v>48</v>
      </c>
      <c r="C1040" s="113" t="s">
        <v>382</v>
      </c>
      <c r="D1040" s="112" t="s">
        <v>341</v>
      </c>
      <c r="E1040" s="122">
        <v>1.118055555555556</v>
      </c>
      <c r="F1040" s="112" t="s">
        <v>50</v>
      </c>
      <c r="G1040" s="114">
        <v>9</v>
      </c>
      <c r="H1040" s="115" t="s">
        <v>79</v>
      </c>
    </row>
    <row r="1041" spans="1:8" ht="19.899999999999999" customHeight="1">
      <c r="A1041" s="121">
        <v>46037</v>
      </c>
      <c r="B1041" s="112" t="s">
        <v>48</v>
      </c>
      <c r="C1041" s="113" t="s">
        <v>390</v>
      </c>
      <c r="D1041" s="112" t="s">
        <v>341</v>
      </c>
      <c r="E1041" s="122">
        <v>1.041666666666667</v>
      </c>
      <c r="F1041" s="112" t="s">
        <v>50</v>
      </c>
      <c r="G1041" s="114">
        <v>9</v>
      </c>
      <c r="H1041" s="115" t="s">
        <v>79</v>
      </c>
    </row>
    <row r="1042" spans="1:8" ht="19.899999999999999" customHeight="1">
      <c r="A1042" s="121">
        <v>46037</v>
      </c>
      <c r="B1042" s="112" t="s">
        <v>26</v>
      </c>
      <c r="C1042" s="113" t="s">
        <v>348</v>
      </c>
      <c r="D1042" s="112" t="s">
        <v>341</v>
      </c>
      <c r="E1042" s="122">
        <v>1.993055555555556</v>
      </c>
      <c r="F1042" s="112" t="s">
        <v>28</v>
      </c>
      <c r="G1042" s="114">
        <v>2</v>
      </c>
      <c r="H1042" s="115" t="s">
        <v>79</v>
      </c>
    </row>
    <row r="1043" spans="1:8" ht="19.899999999999999" customHeight="1">
      <c r="A1043" s="121">
        <v>46037</v>
      </c>
      <c r="B1043" s="112" t="s">
        <v>26</v>
      </c>
      <c r="C1043" s="113" t="s">
        <v>350</v>
      </c>
      <c r="D1043" s="112" t="s">
        <v>341</v>
      </c>
      <c r="E1043" s="122">
        <v>1.7361111111111109</v>
      </c>
      <c r="F1043" s="112" t="s">
        <v>28</v>
      </c>
      <c r="G1043" s="114">
        <v>1</v>
      </c>
      <c r="H1043" s="115" t="s">
        <v>79</v>
      </c>
    </row>
    <row r="1044" spans="1:8" ht="19.899999999999999" customHeight="1">
      <c r="A1044" s="121">
        <v>46037</v>
      </c>
      <c r="B1044" s="112" t="s">
        <v>26</v>
      </c>
      <c r="C1044" s="113" t="s">
        <v>356</v>
      </c>
      <c r="D1044" s="112" t="s">
        <v>341</v>
      </c>
      <c r="E1044" s="122">
        <v>1.4861111111111109</v>
      </c>
      <c r="F1044" s="112" t="s">
        <v>28</v>
      </c>
      <c r="G1044" s="114">
        <v>1</v>
      </c>
      <c r="H1044" s="115" t="s">
        <v>79</v>
      </c>
    </row>
    <row r="1045" spans="1:8" ht="19.899999999999999" customHeight="1">
      <c r="A1045" s="121">
        <v>46037</v>
      </c>
      <c r="B1045" s="112" t="s">
        <v>26</v>
      </c>
      <c r="C1045" s="113" t="s">
        <v>353</v>
      </c>
      <c r="D1045" s="112" t="s">
        <v>341</v>
      </c>
      <c r="E1045" s="122">
        <v>1.8888888888888891</v>
      </c>
      <c r="F1045" s="112" t="s">
        <v>28</v>
      </c>
      <c r="G1045" s="114">
        <v>4</v>
      </c>
      <c r="H1045" s="115" t="s">
        <v>79</v>
      </c>
    </row>
    <row r="1046" spans="1:8" ht="19.899999999999999" customHeight="1">
      <c r="A1046" s="121">
        <v>46037</v>
      </c>
      <c r="B1046" s="112" t="s">
        <v>26</v>
      </c>
      <c r="C1046" s="113" t="s">
        <v>351</v>
      </c>
      <c r="D1046" s="112" t="s">
        <v>341</v>
      </c>
      <c r="E1046" s="122">
        <v>1.836805555555556</v>
      </c>
      <c r="F1046" s="112" t="s">
        <v>28</v>
      </c>
      <c r="G1046" s="114">
        <v>9</v>
      </c>
      <c r="H1046" s="115" t="s">
        <v>45</v>
      </c>
    </row>
    <row r="1047" spans="1:8" ht="19.899999999999999" customHeight="1">
      <c r="A1047" s="121">
        <v>46037</v>
      </c>
      <c r="B1047" s="112" t="s">
        <v>26</v>
      </c>
      <c r="C1047" s="113" t="s">
        <v>352</v>
      </c>
      <c r="D1047" s="112" t="s">
        <v>341</v>
      </c>
      <c r="E1047" s="122">
        <v>1.944444444444444</v>
      </c>
      <c r="F1047" s="112" t="s">
        <v>28</v>
      </c>
      <c r="G1047" s="114">
        <v>9</v>
      </c>
      <c r="H1047" s="115" t="s">
        <v>45</v>
      </c>
    </row>
    <row r="1048" spans="1:8" ht="19.899999999999999" customHeight="1">
      <c r="A1048" s="121">
        <v>46037</v>
      </c>
      <c r="B1048" s="112" t="s">
        <v>26</v>
      </c>
      <c r="C1048" s="113" t="s">
        <v>357</v>
      </c>
      <c r="D1048" s="112" t="s">
        <v>341</v>
      </c>
      <c r="E1048" s="122">
        <v>1.3923611111111109</v>
      </c>
      <c r="F1048" s="112" t="s">
        <v>28</v>
      </c>
      <c r="G1048" s="114">
        <v>9</v>
      </c>
      <c r="H1048" s="115" t="s">
        <v>45</v>
      </c>
    </row>
    <row r="1049" spans="1:8" ht="19.899999999999999" customHeight="1">
      <c r="A1049" s="129">
        <v>46037</v>
      </c>
      <c r="B1049" s="117" t="s">
        <v>61</v>
      </c>
      <c r="C1049" s="118" t="s">
        <v>364</v>
      </c>
      <c r="D1049" s="117" t="s">
        <v>341</v>
      </c>
      <c r="E1049" s="130">
        <v>1.9375</v>
      </c>
      <c r="F1049" s="117" t="s">
        <v>63</v>
      </c>
      <c r="G1049" s="119">
        <v>9</v>
      </c>
      <c r="H1049" s="120" t="s">
        <v>449</v>
      </c>
    </row>
    <row r="1050" spans="1:8" ht="19.899999999999999" customHeight="1">
      <c r="A1050" s="121">
        <v>46037</v>
      </c>
      <c r="B1050" s="112" t="s">
        <v>38</v>
      </c>
      <c r="C1050" s="113" t="s">
        <v>344</v>
      </c>
      <c r="D1050" s="112" t="s">
        <v>341</v>
      </c>
      <c r="E1050" s="122">
        <v>1.8888888888888891</v>
      </c>
      <c r="F1050" s="112" t="s">
        <v>43</v>
      </c>
      <c r="G1050" s="114">
        <v>17</v>
      </c>
      <c r="H1050" s="115" t="s">
        <v>138</v>
      </c>
    </row>
    <row r="1051" spans="1:8" ht="19.899999999999999" customHeight="1">
      <c r="A1051" s="121">
        <v>46037</v>
      </c>
      <c r="B1051" s="112" t="s">
        <v>38</v>
      </c>
      <c r="C1051" s="113" t="s">
        <v>345</v>
      </c>
      <c r="D1051" s="112" t="s">
        <v>341</v>
      </c>
      <c r="E1051" s="122">
        <v>1.989583333333333</v>
      </c>
      <c r="F1051" s="112" t="s">
        <v>43</v>
      </c>
      <c r="G1051" s="114">
        <v>20</v>
      </c>
      <c r="H1051" s="115" t="s">
        <v>138</v>
      </c>
    </row>
    <row r="1052" spans="1:8" ht="19.899999999999999" customHeight="1">
      <c r="A1052" s="121">
        <v>46037</v>
      </c>
      <c r="B1052" s="112" t="s">
        <v>68</v>
      </c>
      <c r="C1052" s="113" t="s">
        <v>408</v>
      </c>
      <c r="D1052" s="112" t="s">
        <v>341</v>
      </c>
      <c r="E1052" s="122">
        <v>1.9722222222222221</v>
      </c>
      <c r="F1052" s="112" t="s">
        <v>70</v>
      </c>
      <c r="G1052" s="114">
        <v>9</v>
      </c>
      <c r="H1052" s="115" t="s">
        <v>406</v>
      </c>
    </row>
    <row r="1053" spans="1:8" ht="19.899999999999999" customHeight="1">
      <c r="A1053" s="121">
        <v>46037</v>
      </c>
      <c r="B1053" s="112" t="s">
        <v>68</v>
      </c>
      <c r="C1053" s="113" t="s">
        <v>413</v>
      </c>
      <c r="D1053" s="112" t="s">
        <v>341</v>
      </c>
      <c r="E1053" s="122">
        <v>1.0486111111111109</v>
      </c>
      <c r="F1053" s="112" t="s">
        <v>70</v>
      </c>
      <c r="G1053" s="114">
        <v>9</v>
      </c>
      <c r="H1053" s="115" t="s">
        <v>406</v>
      </c>
    </row>
    <row r="1054" spans="1:8" ht="19.899999999999999" customHeight="1">
      <c r="A1054" s="121">
        <v>46037</v>
      </c>
      <c r="B1054" s="112" t="s">
        <v>48</v>
      </c>
      <c r="C1054" s="113" t="s">
        <v>388</v>
      </c>
      <c r="D1054" s="112" t="s">
        <v>341</v>
      </c>
      <c r="E1054" s="122">
        <v>1.7222222222222221</v>
      </c>
      <c r="F1054" s="112" t="s">
        <v>50</v>
      </c>
      <c r="G1054" s="114">
        <v>9</v>
      </c>
      <c r="H1054" s="115" t="s">
        <v>462</v>
      </c>
    </row>
    <row r="1055" spans="1:8" ht="19.899999999999999" customHeight="1">
      <c r="A1055" s="121">
        <v>46037</v>
      </c>
      <c r="B1055" s="112" t="s">
        <v>48</v>
      </c>
      <c r="C1055" s="113" t="s">
        <v>389</v>
      </c>
      <c r="D1055" s="112" t="s">
        <v>341</v>
      </c>
      <c r="E1055" s="122">
        <v>1.7048611111111109</v>
      </c>
      <c r="F1055" s="112" t="s">
        <v>50</v>
      </c>
      <c r="G1055" s="114">
        <v>9</v>
      </c>
      <c r="H1055" s="115" t="s">
        <v>462</v>
      </c>
    </row>
    <row r="1056" spans="1:8" ht="19.899999999999999" customHeight="1">
      <c r="A1056" s="121">
        <v>46037</v>
      </c>
      <c r="B1056" s="112" t="s">
        <v>48</v>
      </c>
      <c r="C1056" s="113" t="s">
        <v>386</v>
      </c>
      <c r="D1056" s="112" t="s">
        <v>341</v>
      </c>
      <c r="E1056" s="122">
        <v>1.8298611111111109</v>
      </c>
      <c r="F1056" s="112" t="s">
        <v>53</v>
      </c>
      <c r="G1056" s="114">
        <v>1</v>
      </c>
      <c r="H1056" s="115" t="s">
        <v>384</v>
      </c>
    </row>
    <row r="1057" spans="1:8" ht="19.899999999999999" customHeight="1">
      <c r="A1057" s="121">
        <v>46037</v>
      </c>
      <c r="B1057" s="112" t="s">
        <v>48</v>
      </c>
      <c r="C1057" s="113" t="s">
        <v>385</v>
      </c>
      <c r="D1057" s="112" t="s">
        <v>341</v>
      </c>
      <c r="E1057" s="122">
        <v>1.9409722222222221</v>
      </c>
      <c r="F1057" s="112" t="s">
        <v>53</v>
      </c>
      <c r="G1057" s="114">
        <v>1</v>
      </c>
      <c r="H1057" s="115" t="s">
        <v>384</v>
      </c>
    </row>
    <row r="1058" spans="1:8" ht="19.899999999999999" customHeight="1">
      <c r="A1058" s="121">
        <v>46037</v>
      </c>
      <c r="B1058" s="112" t="s">
        <v>38</v>
      </c>
      <c r="C1058" s="113" t="s">
        <v>342</v>
      </c>
      <c r="D1058" s="112" t="s">
        <v>341</v>
      </c>
      <c r="E1058" s="122">
        <v>1.489583333333333</v>
      </c>
      <c r="F1058" s="112" t="s">
        <v>43</v>
      </c>
      <c r="G1058" s="114">
        <v>16</v>
      </c>
      <c r="H1058" s="115" t="s">
        <v>123</v>
      </c>
    </row>
    <row r="1059" spans="1:8" ht="19.899999999999999" customHeight="1">
      <c r="A1059" s="121">
        <v>46037</v>
      </c>
      <c r="B1059" s="112" t="s">
        <v>26</v>
      </c>
      <c r="C1059" s="113" t="s">
        <v>348</v>
      </c>
      <c r="D1059" s="112" t="s">
        <v>341</v>
      </c>
      <c r="E1059" s="122">
        <v>1.993055555555556</v>
      </c>
      <c r="F1059" s="112" t="s">
        <v>31</v>
      </c>
      <c r="G1059" s="114">
        <v>2</v>
      </c>
      <c r="H1059" s="115" t="s">
        <v>123</v>
      </c>
    </row>
    <row r="1060" spans="1:8" ht="19.899999999999999" customHeight="1">
      <c r="A1060" s="121">
        <v>46037</v>
      </c>
      <c r="B1060" s="112" t="s">
        <v>26</v>
      </c>
      <c r="C1060" s="113" t="s">
        <v>350</v>
      </c>
      <c r="D1060" s="112" t="s">
        <v>341</v>
      </c>
      <c r="E1060" s="122">
        <v>1.7361111111111109</v>
      </c>
      <c r="F1060" s="112" t="s">
        <v>31</v>
      </c>
      <c r="G1060" s="114">
        <v>1</v>
      </c>
      <c r="H1060" s="115" t="s">
        <v>123</v>
      </c>
    </row>
    <row r="1061" spans="1:8" ht="19.899999999999999" customHeight="1">
      <c r="A1061" s="121">
        <v>46037</v>
      </c>
      <c r="B1061" s="112" t="s">
        <v>26</v>
      </c>
      <c r="C1061" s="113" t="s">
        <v>356</v>
      </c>
      <c r="D1061" s="112" t="s">
        <v>341</v>
      </c>
      <c r="E1061" s="122">
        <v>1.4861111111111109</v>
      </c>
      <c r="F1061" s="112" t="s">
        <v>31</v>
      </c>
      <c r="G1061" s="114">
        <v>1</v>
      </c>
      <c r="H1061" s="115" t="s">
        <v>123</v>
      </c>
    </row>
    <row r="1062" spans="1:8" ht="19.899999999999999" customHeight="1">
      <c r="A1062" s="121">
        <v>46037</v>
      </c>
      <c r="B1062" s="112" t="s">
        <v>26</v>
      </c>
      <c r="C1062" s="113" t="s">
        <v>353</v>
      </c>
      <c r="D1062" s="112" t="s">
        <v>341</v>
      </c>
      <c r="E1062" s="122">
        <v>1.8888888888888891</v>
      </c>
      <c r="F1062" s="112" t="s">
        <v>31</v>
      </c>
      <c r="G1062" s="114">
        <v>4</v>
      </c>
      <c r="H1062" s="115" t="s">
        <v>123</v>
      </c>
    </row>
    <row r="1063" spans="1:8" ht="19.899999999999999" customHeight="1">
      <c r="A1063" s="121">
        <v>46037</v>
      </c>
      <c r="B1063" s="112" t="s">
        <v>38</v>
      </c>
      <c r="C1063" s="113" t="s">
        <v>346</v>
      </c>
      <c r="D1063" s="112" t="s">
        <v>341</v>
      </c>
      <c r="E1063" s="122">
        <v>1.399305555555556</v>
      </c>
      <c r="F1063" s="112" t="s">
        <v>43</v>
      </c>
      <c r="G1063" s="114">
        <v>14</v>
      </c>
      <c r="H1063" s="115" t="s">
        <v>443</v>
      </c>
    </row>
    <row r="1064" spans="1:8" ht="19.899999999999999" customHeight="1">
      <c r="A1064" s="121">
        <v>46037</v>
      </c>
      <c r="B1064" s="112" t="s">
        <v>48</v>
      </c>
      <c r="C1064" s="113" t="s">
        <v>382</v>
      </c>
      <c r="D1064" s="112" t="s">
        <v>341</v>
      </c>
      <c r="E1064" s="122">
        <v>1.118055555555556</v>
      </c>
      <c r="F1064" s="112" t="s">
        <v>53</v>
      </c>
      <c r="G1064" s="114">
        <v>9</v>
      </c>
      <c r="H1064" s="115" t="s">
        <v>387</v>
      </c>
    </row>
    <row r="1065" spans="1:8" ht="19.899999999999999" customHeight="1">
      <c r="A1065" s="121">
        <v>46037</v>
      </c>
      <c r="B1065" s="112" t="s">
        <v>48</v>
      </c>
      <c r="C1065" s="113" t="s">
        <v>390</v>
      </c>
      <c r="D1065" s="112" t="s">
        <v>341</v>
      </c>
      <c r="E1065" s="122">
        <v>1.041666666666667</v>
      </c>
      <c r="F1065" s="112" t="s">
        <v>53</v>
      </c>
      <c r="G1065" s="114">
        <v>9</v>
      </c>
      <c r="H1065" s="115" t="s">
        <v>387</v>
      </c>
    </row>
    <row r="1066" spans="1:8" ht="19.899999999999999" customHeight="1">
      <c r="A1066" s="121">
        <v>46037</v>
      </c>
      <c r="B1066" s="112" t="s">
        <v>68</v>
      </c>
      <c r="C1066" s="113" t="s">
        <v>407</v>
      </c>
      <c r="D1066" s="112" t="s">
        <v>341</v>
      </c>
      <c r="E1066" s="122">
        <v>1.3125</v>
      </c>
      <c r="F1066" s="112" t="s">
        <v>70</v>
      </c>
      <c r="G1066" s="114">
        <v>9</v>
      </c>
      <c r="H1066" s="115" t="s">
        <v>412</v>
      </c>
    </row>
    <row r="1067" spans="1:8" ht="19.899999999999999" customHeight="1">
      <c r="A1067" s="121">
        <v>46037</v>
      </c>
      <c r="B1067" s="112" t="s">
        <v>68</v>
      </c>
      <c r="C1067" s="113" t="s">
        <v>410</v>
      </c>
      <c r="D1067" s="112" t="s">
        <v>341</v>
      </c>
      <c r="E1067" s="122">
        <v>1.5972222222222221</v>
      </c>
      <c r="F1067" s="112" t="s">
        <v>70</v>
      </c>
      <c r="G1067" s="114">
        <v>9</v>
      </c>
      <c r="H1067" s="115" t="s">
        <v>412</v>
      </c>
    </row>
    <row r="1068" spans="1:8" ht="19.899999999999999" customHeight="1">
      <c r="A1068" s="121">
        <v>46037</v>
      </c>
      <c r="B1068" s="112" t="s">
        <v>26</v>
      </c>
      <c r="C1068" s="113" t="s">
        <v>351</v>
      </c>
      <c r="D1068" s="112" t="s">
        <v>341</v>
      </c>
      <c r="E1068" s="122">
        <v>1.836805555555556</v>
      </c>
      <c r="F1068" s="112" t="s">
        <v>31</v>
      </c>
      <c r="G1068" s="114">
        <v>9</v>
      </c>
      <c r="H1068" s="115" t="s">
        <v>355</v>
      </c>
    </row>
    <row r="1069" spans="1:8" ht="19.899999999999999" customHeight="1">
      <c r="A1069" s="121">
        <v>46037</v>
      </c>
      <c r="B1069" s="112" t="s">
        <v>26</v>
      </c>
      <c r="C1069" s="113" t="s">
        <v>352</v>
      </c>
      <c r="D1069" s="112" t="s">
        <v>341</v>
      </c>
      <c r="E1069" s="122">
        <v>1.944444444444444</v>
      </c>
      <c r="F1069" s="112" t="s">
        <v>31</v>
      </c>
      <c r="G1069" s="114">
        <v>9</v>
      </c>
      <c r="H1069" s="115" t="s">
        <v>355</v>
      </c>
    </row>
    <row r="1070" spans="1:8" ht="19.899999999999999" customHeight="1">
      <c r="A1070" s="121">
        <v>46037</v>
      </c>
      <c r="B1070" s="112" t="s">
        <v>26</v>
      </c>
      <c r="C1070" s="113" t="s">
        <v>357</v>
      </c>
      <c r="D1070" s="112" t="s">
        <v>341</v>
      </c>
      <c r="E1070" s="122">
        <v>1.3923611111111109</v>
      </c>
      <c r="F1070" s="112" t="s">
        <v>31</v>
      </c>
      <c r="G1070" s="114">
        <v>9</v>
      </c>
      <c r="H1070" s="115" t="s">
        <v>355</v>
      </c>
    </row>
    <row r="1071" spans="1:8" ht="19.899999999999999" customHeight="1">
      <c r="A1071" s="121">
        <v>46037</v>
      </c>
      <c r="B1071" s="112" t="s">
        <v>359</v>
      </c>
      <c r="C1071" s="113" t="s">
        <v>360</v>
      </c>
      <c r="D1071" s="112" t="s">
        <v>341</v>
      </c>
      <c r="E1071" s="122">
        <v>1.1701388888888891</v>
      </c>
      <c r="F1071" s="112" t="s">
        <v>46</v>
      </c>
      <c r="G1071" s="114">
        <v>9</v>
      </c>
      <c r="H1071" s="115" t="s">
        <v>494</v>
      </c>
    </row>
    <row r="1072" spans="1:8" ht="19.899999999999999" customHeight="1">
      <c r="A1072" s="121">
        <v>46037</v>
      </c>
      <c r="B1072" s="112" t="s">
        <v>26</v>
      </c>
      <c r="C1072" s="113" t="s">
        <v>348</v>
      </c>
      <c r="D1072" s="112" t="s">
        <v>341</v>
      </c>
      <c r="E1072" s="122">
        <v>1.993055555555556</v>
      </c>
      <c r="F1072" s="112" t="s">
        <v>34</v>
      </c>
      <c r="G1072" s="114">
        <v>2</v>
      </c>
      <c r="H1072" s="115" t="s">
        <v>118</v>
      </c>
    </row>
    <row r="1073" spans="1:8" ht="19.899999999999999" customHeight="1">
      <c r="A1073" s="121">
        <v>46037</v>
      </c>
      <c r="B1073" s="112" t="s">
        <v>26</v>
      </c>
      <c r="C1073" s="113" t="s">
        <v>350</v>
      </c>
      <c r="D1073" s="112" t="s">
        <v>341</v>
      </c>
      <c r="E1073" s="122">
        <v>1.7361111111111109</v>
      </c>
      <c r="F1073" s="112" t="s">
        <v>34</v>
      </c>
      <c r="G1073" s="114">
        <v>1</v>
      </c>
      <c r="H1073" s="115" t="s">
        <v>118</v>
      </c>
    </row>
    <row r="1074" spans="1:8" ht="19.899999999999999" customHeight="1">
      <c r="A1074" s="121">
        <v>46037</v>
      </c>
      <c r="B1074" s="112" t="s">
        <v>26</v>
      </c>
      <c r="C1074" s="113" t="s">
        <v>356</v>
      </c>
      <c r="D1074" s="112" t="s">
        <v>341</v>
      </c>
      <c r="E1074" s="122">
        <v>1.4861111111111109</v>
      </c>
      <c r="F1074" s="112" t="s">
        <v>34</v>
      </c>
      <c r="G1074" s="114">
        <v>1</v>
      </c>
      <c r="H1074" s="115" t="s">
        <v>118</v>
      </c>
    </row>
    <row r="1075" spans="1:8" ht="19.899999999999999" customHeight="1">
      <c r="A1075" s="121">
        <v>46037</v>
      </c>
      <c r="B1075" s="112" t="s">
        <v>26</v>
      </c>
      <c r="C1075" s="113" t="s">
        <v>353</v>
      </c>
      <c r="D1075" s="112" t="s">
        <v>341</v>
      </c>
      <c r="E1075" s="122">
        <v>1.8888888888888891</v>
      </c>
      <c r="F1075" s="112" t="s">
        <v>34</v>
      </c>
      <c r="G1075" s="114">
        <v>4</v>
      </c>
      <c r="H1075" s="115" t="s">
        <v>118</v>
      </c>
    </row>
    <row r="1076" spans="1:8" ht="19.899999999999999" customHeight="1">
      <c r="A1076" s="121">
        <v>46037</v>
      </c>
      <c r="B1076" s="112" t="s">
        <v>48</v>
      </c>
      <c r="C1076" s="113" t="s">
        <v>388</v>
      </c>
      <c r="D1076" s="112" t="s">
        <v>341</v>
      </c>
      <c r="E1076" s="122">
        <v>1.7222222222222221</v>
      </c>
      <c r="F1076" s="112" t="s">
        <v>53</v>
      </c>
      <c r="G1076" s="114">
        <v>9</v>
      </c>
      <c r="H1076" s="115" t="s">
        <v>463</v>
      </c>
    </row>
    <row r="1077" spans="1:8" ht="19.899999999999999" customHeight="1">
      <c r="A1077" s="121">
        <v>46037</v>
      </c>
      <c r="B1077" s="112" t="s">
        <v>48</v>
      </c>
      <c r="C1077" s="113" t="s">
        <v>389</v>
      </c>
      <c r="D1077" s="112" t="s">
        <v>341</v>
      </c>
      <c r="E1077" s="122">
        <v>1.7048611111111109</v>
      </c>
      <c r="F1077" s="112" t="s">
        <v>53</v>
      </c>
      <c r="G1077" s="114">
        <v>9</v>
      </c>
      <c r="H1077" s="115" t="s">
        <v>463</v>
      </c>
    </row>
    <row r="1078" spans="1:8" ht="19.899999999999999" customHeight="1">
      <c r="A1078" s="121">
        <v>46037</v>
      </c>
      <c r="B1078" s="112" t="s">
        <v>68</v>
      </c>
      <c r="C1078" s="113" t="s">
        <v>409</v>
      </c>
      <c r="D1078" s="112" t="s">
        <v>341</v>
      </c>
      <c r="E1078" s="122">
        <v>1.3402777777777779</v>
      </c>
      <c r="F1078" s="112" t="s">
        <v>70</v>
      </c>
      <c r="G1078" s="114">
        <v>9</v>
      </c>
      <c r="H1078" s="115" t="s">
        <v>466</v>
      </c>
    </row>
    <row r="1079" spans="1:8" ht="19.899999999999999" customHeight="1">
      <c r="A1079" s="121">
        <v>46037</v>
      </c>
      <c r="B1079" s="112" t="s">
        <v>68</v>
      </c>
      <c r="C1079" s="113" t="s">
        <v>411</v>
      </c>
      <c r="D1079" s="112" t="s">
        <v>341</v>
      </c>
      <c r="E1079" s="122">
        <v>1.7847222222222221</v>
      </c>
      <c r="F1079" s="112" t="s">
        <v>70</v>
      </c>
      <c r="G1079" s="114">
        <v>9</v>
      </c>
      <c r="H1079" s="115" t="s">
        <v>466</v>
      </c>
    </row>
    <row r="1080" spans="1:8" ht="19.899999999999999" customHeight="1">
      <c r="A1080" s="121">
        <v>46037</v>
      </c>
      <c r="B1080" s="112" t="s">
        <v>26</v>
      </c>
      <c r="C1080" s="113" t="s">
        <v>351</v>
      </c>
      <c r="D1080" s="112" t="s">
        <v>341</v>
      </c>
      <c r="E1080" s="122">
        <v>1.836805555555556</v>
      </c>
      <c r="F1080" s="112" t="s">
        <v>34</v>
      </c>
      <c r="G1080" s="114">
        <v>9</v>
      </c>
      <c r="H1080" s="115" t="s">
        <v>358</v>
      </c>
    </row>
    <row r="1081" spans="1:8" ht="19.899999999999999" customHeight="1">
      <c r="A1081" s="121">
        <v>46037</v>
      </c>
      <c r="B1081" s="112" t="s">
        <v>26</v>
      </c>
      <c r="C1081" s="113" t="s">
        <v>352</v>
      </c>
      <c r="D1081" s="112" t="s">
        <v>341</v>
      </c>
      <c r="E1081" s="122">
        <v>1.944444444444444</v>
      </c>
      <c r="F1081" s="112" t="s">
        <v>34</v>
      </c>
      <c r="G1081" s="114">
        <v>9</v>
      </c>
      <c r="H1081" s="115" t="s">
        <v>358</v>
      </c>
    </row>
    <row r="1082" spans="1:8" ht="19.899999999999999" customHeight="1">
      <c r="A1082" s="121">
        <v>46037</v>
      </c>
      <c r="B1082" s="112" t="s">
        <v>26</v>
      </c>
      <c r="C1082" s="113" t="s">
        <v>357</v>
      </c>
      <c r="D1082" s="112" t="s">
        <v>341</v>
      </c>
      <c r="E1082" s="122">
        <v>1.3923611111111109</v>
      </c>
      <c r="F1082" s="112" t="s">
        <v>34</v>
      </c>
      <c r="G1082" s="114">
        <v>9</v>
      </c>
      <c r="H1082" s="115" t="s">
        <v>358</v>
      </c>
    </row>
    <row r="1083" spans="1:8" ht="19.899999999999999" customHeight="1">
      <c r="A1083" s="121">
        <v>46037</v>
      </c>
      <c r="B1083" s="112" t="s">
        <v>48</v>
      </c>
      <c r="C1083" s="113" t="s">
        <v>391</v>
      </c>
      <c r="D1083" s="112" t="s">
        <v>341</v>
      </c>
      <c r="E1083" s="122">
        <v>1.489583333333333</v>
      </c>
      <c r="F1083" s="112" t="s">
        <v>50</v>
      </c>
      <c r="G1083" s="114">
        <v>9</v>
      </c>
      <c r="H1083" s="115" t="s">
        <v>392</v>
      </c>
    </row>
    <row r="1084" spans="1:8" ht="19.899999999999999" customHeight="1">
      <c r="A1084" s="121">
        <v>46037</v>
      </c>
      <c r="B1084" s="112" t="s">
        <v>38</v>
      </c>
      <c r="C1084" s="113" t="s">
        <v>346</v>
      </c>
      <c r="D1084" s="112" t="s">
        <v>341</v>
      </c>
      <c r="E1084" s="122">
        <v>1.399305555555556</v>
      </c>
      <c r="F1084" s="112" t="s">
        <v>46</v>
      </c>
      <c r="G1084" s="114">
        <v>14</v>
      </c>
      <c r="H1084" s="115" t="s">
        <v>47</v>
      </c>
    </row>
    <row r="1085" spans="1:8" ht="19.899999999999999" customHeight="1">
      <c r="A1085" s="121">
        <v>46037</v>
      </c>
      <c r="B1085" s="112" t="s">
        <v>38</v>
      </c>
      <c r="C1085" s="113" t="s">
        <v>342</v>
      </c>
      <c r="D1085" s="112" t="s">
        <v>341</v>
      </c>
      <c r="E1085" s="122">
        <v>1.489583333333333</v>
      </c>
      <c r="F1085" s="112" t="s">
        <v>46</v>
      </c>
      <c r="G1085" s="114">
        <v>16</v>
      </c>
      <c r="H1085" s="115" t="s">
        <v>47</v>
      </c>
    </row>
    <row r="1086" spans="1:8" ht="19.899999999999999" customHeight="1">
      <c r="A1086" s="121">
        <v>46037</v>
      </c>
      <c r="B1086" s="112" t="s">
        <v>38</v>
      </c>
      <c r="C1086" s="113" t="s">
        <v>344</v>
      </c>
      <c r="D1086" s="112" t="s">
        <v>341</v>
      </c>
      <c r="E1086" s="122">
        <v>1.8888888888888891</v>
      </c>
      <c r="F1086" s="112" t="s">
        <v>46</v>
      </c>
      <c r="G1086" s="114">
        <v>17</v>
      </c>
      <c r="H1086" s="115" t="s">
        <v>47</v>
      </c>
    </row>
    <row r="1087" spans="1:8" ht="19.899999999999999" customHeight="1">
      <c r="A1087" s="121">
        <v>46037</v>
      </c>
      <c r="B1087" s="112" t="s">
        <v>38</v>
      </c>
      <c r="C1087" s="113" t="s">
        <v>345</v>
      </c>
      <c r="D1087" s="112" t="s">
        <v>341</v>
      </c>
      <c r="E1087" s="122">
        <v>1.989583333333333</v>
      </c>
      <c r="F1087" s="112" t="s">
        <v>46</v>
      </c>
      <c r="G1087" s="114">
        <v>20</v>
      </c>
      <c r="H1087" s="115" t="s">
        <v>47</v>
      </c>
    </row>
    <row r="1088" spans="1:8" ht="19.899999999999999" customHeight="1">
      <c r="A1088" s="121">
        <v>46037</v>
      </c>
      <c r="B1088" s="112" t="s">
        <v>48</v>
      </c>
      <c r="C1088" s="113" t="s">
        <v>391</v>
      </c>
      <c r="D1088" s="112" t="s">
        <v>341</v>
      </c>
      <c r="E1088" s="122">
        <v>1.489583333333333</v>
      </c>
      <c r="F1088" s="112" t="s">
        <v>53</v>
      </c>
      <c r="G1088" s="114">
        <v>9</v>
      </c>
      <c r="H1088" s="115" t="s">
        <v>393</v>
      </c>
    </row>
    <row r="1089" spans="1:8" ht="19.899999999999999" customHeight="1">
      <c r="A1089" s="121">
        <v>46037</v>
      </c>
      <c r="B1089" s="112" t="s">
        <v>48</v>
      </c>
      <c r="C1089" s="113" t="s">
        <v>394</v>
      </c>
      <c r="D1089" s="112" t="s">
        <v>341</v>
      </c>
      <c r="E1089" s="122">
        <v>1.989583333333333</v>
      </c>
      <c r="F1089" s="112" t="s">
        <v>53</v>
      </c>
      <c r="G1089" s="114">
        <v>4</v>
      </c>
      <c r="H1089" s="115" t="s">
        <v>399</v>
      </c>
    </row>
    <row r="1090" spans="1:8" ht="19.899999999999999" customHeight="1">
      <c r="A1090" s="121">
        <v>46037</v>
      </c>
      <c r="B1090" s="112" t="s">
        <v>48</v>
      </c>
      <c r="C1090" s="113" t="s">
        <v>397</v>
      </c>
      <c r="D1090" s="112" t="s">
        <v>341</v>
      </c>
      <c r="E1090" s="122">
        <v>1.8888888888888891</v>
      </c>
      <c r="F1090" s="112" t="s">
        <v>53</v>
      </c>
      <c r="G1090" s="114">
        <v>4</v>
      </c>
      <c r="H1090" s="115" t="s">
        <v>399</v>
      </c>
    </row>
    <row r="1091" spans="1:8" ht="19.899999999999999" customHeight="1">
      <c r="A1091" s="121">
        <v>46037</v>
      </c>
      <c r="B1091" s="112" t="s">
        <v>48</v>
      </c>
      <c r="C1091" s="113" t="s">
        <v>396</v>
      </c>
      <c r="D1091" s="112" t="s">
        <v>341</v>
      </c>
      <c r="E1091" s="122">
        <v>1.489583333333333</v>
      </c>
      <c r="F1091" s="112" t="s">
        <v>53</v>
      </c>
      <c r="G1091" s="114">
        <v>4</v>
      </c>
      <c r="H1091" s="115" t="s">
        <v>464</v>
      </c>
    </row>
    <row r="1092" spans="1:8" ht="19.899999999999999" customHeight="1">
      <c r="A1092" s="121">
        <v>46037</v>
      </c>
      <c r="B1092" s="112" t="s">
        <v>48</v>
      </c>
      <c r="C1092" s="113" t="s">
        <v>400</v>
      </c>
      <c r="D1092" s="112" t="s">
        <v>341</v>
      </c>
      <c r="E1092" s="122">
        <v>1.2534722222222221</v>
      </c>
      <c r="F1092" s="112" t="s">
        <v>53</v>
      </c>
      <c r="G1092" s="114">
        <v>9</v>
      </c>
      <c r="H1092" s="115" t="s">
        <v>401</v>
      </c>
    </row>
    <row r="1093" spans="1:8" ht="19.899999999999999" customHeight="1">
      <c r="A1093" s="121">
        <v>46037</v>
      </c>
      <c r="B1093" s="112" t="s">
        <v>68</v>
      </c>
      <c r="C1093" s="113" t="s">
        <v>405</v>
      </c>
      <c r="D1093" s="112" t="s">
        <v>341</v>
      </c>
      <c r="E1093" s="122">
        <v>1.836805555555556</v>
      </c>
      <c r="F1093" s="112" t="s">
        <v>70</v>
      </c>
      <c r="G1093" s="114">
        <v>9</v>
      </c>
      <c r="H1093" s="115" t="s">
        <v>474</v>
      </c>
    </row>
    <row r="1094" spans="1:8" ht="19.899999999999999" customHeight="1">
      <c r="A1094" s="121">
        <v>46037</v>
      </c>
      <c r="B1094" s="112" t="s">
        <v>48</v>
      </c>
      <c r="C1094" s="113" t="s">
        <v>398</v>
      </c>
      <c r="D1094" s="112" t="s">
        <v>341</v>
      </c>
      <c r="E1094" s="122">
        <v>1.399305555555556</v>
      </c>
      <c r="F1094" s="112" t="s">
        <v>53</v>
      </c>
      <c r="G1094" s="114">
        <v>4</v>
      </c>
      <c r="H1094" s="115" t="s">
        <v>452</v>
      </c>
    </row>
    <row r="1095" spans="1:8" ht="19.899999999999999" customHeight="1">
      <c r="A1095" s="121">
        <v>46037</v>
      </c>
      <c r="B1095" s="112" t="s">
        <v>26</v>
      </c>
      <c r="C1095" s="113" t="s">
        <v>354</v>
      </c>
      <c r="D1095" s="112" t="s">
        <v>341</v>
      </c>
      <c r="E1095" s="122">
        <v>1.3472222222222221</v>
      </c>
      <c r="F1095" s="112" t="s">
        <v>34</v>
      </c>
      <c r="G1095" s="114">
        <v>2</v>
      </c>
      <c r="H1095" s="115" t="s">
        <v>500</v>
      </c>
    </row>
    <row r="1096" spans="1:8" ht="19.899999999999999" customHeight="1">
      <c r="A1096" s="121">
        <v>46037</v>
      </c>
      <c r="B1096" s="112" t="s">
        <v>415</v>
      </c>
      <c r="C1096" s="113" t="s">
        <v>416</v>
      </c>
      <c r="D1096" s="112" t="s">
        <v>341</v>
      </c>
      <c r="E1096" s="122">
        <v>1.118055555555556</v>
      </c>
      <c r="F1096" s="112" t="s">
        <v>63</v>
      </c>
      <c r="G1096" s="114">
        <v>9</v>
      </c>
      <c r="H1096" s="115" t="s">
        <v>417</v>
      </c>
    </row>
    <row r="1097" spans="1:8" ht="19.899999999999999" customHeight="1">
      <c r="A1097" s="121">
        <v>46037</v>
      </c>
      <c r="B1097" s="112" t="s">
        <v>415</v>
      </c>
      <c r="C1097" s="113" t="s">
        <v>418</v>
      </c>
      <c r="D1097" s="112" t="s">
        <v>341</v>
      </c>
      <c r="E1097" s="122">
        <v>1.4201388888888891</v>
      </c>
      <c r="F1097" s="112" t="s">
        <v>63</v>
      </c>
      <c r="G1097" s="114">
        <v>9</v>
      </c>
      <c r="H1097" s="115" t="s">
        <v>417</v>
      </c>
    </row>
    <row r="1098" spans="1:8" ht="19.899999999999999" customHeight="1">
      <c r="A1098" s="121">
        <v>46037</v>
      </c>
      <c r="B1098" s="112" t="s">
        <v>26</v>
      </c>
      <c r="C1098" s="113" t="s">
        <v>354</v>
      </c>
      <c r="D1098" s="112" t="s">
        <v>341</v>
      </c>
      <c r="E1098" s="122">
        <v>1.3472222222222221</v>
      </c>
      <c r="F1098" s="112" t="s">
        <v>28</v>
      </c>
      <c r="G1098" s="114">
        <v>2</v>
      </c>
      <c r="H1098" s="115" t="s">
        <v>501</v>
      </c>
    </row>
    <row r="1099" spans="1:8" ht="19.899999999999999" customHeight="1">
      <c r="A1099" s="123">
        <v>46037</v>
      </c>
      <c r="B1099" s="124" t="s">
        <v>26</v>
      </c>
      <c r="C1099" s="125" t="s">
        <v>354</v>
      </c>
      <c r="D1099" s="124" t="s">
        <v>341</v>
      </c>
      <c r="E1099" s="126">
        <v>1.3472222222222221</v>
      </c>
      <c r="F1099" s="124" t="s">
        <v>31</v>
      </c>
      <c r="G1099" s="127">
        <v>2</v>
      </c>
      <c r="H1099" s="128" t="s">
        <v>502</v>
      </c>
    </row>
    <row r="1100" spans="1:8" ht="19.899999999999999" customHeight="1">
      <c r="A1100" s="121">
        <v>46038</v>
      </c>
      <c r="B1100" s="112" t="s">
        <v>38</v>
      </c>
      <c r="C1100" s="113" t="s">
        <v>346</v>
      </c>
      <c r="D1100" s="112" t="s">
        <v>341</v>
      </c>
      <c r="E1100" s="122">
        <v>1.399305555555556</v>
      </c>
      <c r="F1100" s="112" t="s">
        <v>40</v>
      </c>
      <c r="G1100" s="114">
        <v>14</v>
      </c>
      <c r="H1100" s="115" t="s">
        <v>121</v>
      </c>
    </row>
    <row r="1101" spans="1:8" ht="19.899999999999999" customHeight="1">
      <c r="A1101" s="121">
        <v>46038</v>
      </c>
      <c r="B1101" s="112" t="s">
        <v>359</v>
      </c>
      <c r="C1101" s="113" t="s">
        <v>422</v>
      </c>
      <c r="D1101" s="112" t="s">
        <v>341</v>
      </c>
      <c r="E1101" s="122">
        <v>1.8090277777777779</v>
      </c>
      <c r="F1101" s="112" t="s">
        <v>361</v>
      </c>
      <c r="G1101" s="114">
        <v>9</v>
      </c>
      <c r="H1101" s="115" t="s">
        <v>504</v>
      </c>
    </row>
    <row r="1102" spans="1:8" ht="19.899999999999999" customHeight="1">
      <c r="A1102" s="121">
        <v>46038</v>
      </c>
      <c r="B1102" s="112" t="s">
        <v>359</v>
      </c>
      <c r="C1102" s="113" t="s">
        <v>360</v>
      </c>
      <c r="D1102" s="112" t="s">
        <v>341</v>
      </c>
      <c r="E1102" s="122">
        <v>1.225694444444444</v>
      </c>
      <c r="F1102" s="112" t="s">
        <v>361</v>
      </c>
      <c r="G1102" s="114">
        <v>9</v>
      </c>
      <c r="H1102" s="115" t="s">
        <v>504</v>
      </c>
    </row>
    <row r="1103" spans="1:8" ht="19.899999999999999" customHeight="1">
      <c r="A1103" s="121">
        <v>46038</v>
      </c>
      <c r="B1103" s="112" t="s">
        <v>359</v>
      </c>
      <c r="C1103" s="113" t="s">
        <v>425</v>
      </c>
      <c r="D1103" s="112" t="s">
        <v>341</v>
      </c>
      <c r="E1103" s="122">
        <v>1.510416666666667</v>
      </c>
      <c r="F1103" s="112" t="s">
        <v>361</v>
      </c>
      <c r="G1103" s="114">
        <v>9</v>
      </c>
      <c r="H1103" s="115" t="s">
        <v>504</v>
      </c>
    </row>
    <row r="1104" spans="1:8" ht="19.899999999999999" customHeight="1">
      <c r="A1104" s="121">
        <v>46038</v>
      </c>
      <c r="B1104" s="112" t="s">
        <v>38</v>
      </c>
      <c r="C1104" s="113" t="s">
        <v>342</v>
      </c>
      <c r="D1104" s="112" t="s">
        <v>341</v>
      </c>
      <c r="E1104" s="122">
        <v>1.489583333333333</v>
      </c>
      <c r="F1104" s="112" t="s">
        <v>40</v>
      </c>
      <c r="G1104" s="114">
        <v>20</v>
      </c>
      <c r="H1104" s="115" t="s">
        <v>349</v>
      </c>
    </row>
    <row r="1105" spans="1:8" ht="19.899999999999999" customHeight="1">
      <c r="A1105" s="121">
        <v>46038</v>
      </c>
      <c r="B1105" s="112" t="s">
        <v>402</v>
      </c>
      <c r="C1105" s="113" t="s">
        <v>403</v>
      </c>
      <c r="D1105" s="112" t="s">
        <v>341</v>
      </c>
      <c r="E1105" s="122">
        <v>1.493055555555556</v>
      </c>
      <c r="F1105" s="112" t="s">
        <v>63</v>
      </c>
      <c r="G1105" s="114">
        <v>5</v>
      </c>
      <c r="H1105" s="115" t="s">
        <v>404</v>
      </c>
    </row>
    <row r="1106" spans="1:8" ht="19.899999999999999" customHeight="1">
      <c r="A1106" s="129">
        <v>46038</v>
      </c>
      <c r="B1106" s="117" t="s">
        <v>61</v>
      </c>
      <c r="C1106" s="118" t="s">
        <v>428</v>
      </c>
      <c r="D1106" s="117" t="s">
        <v>341</v>
      </c>
      <c r="E1106" s="130">
        <v>1.5590277777777779</v>
      </c>
      <c r="F1106" s="117" t="s">
        <v>63</v>
      </c>
      <c r="G1106" s="119">
        <v>2</v>
      </c>
      <c r="H1106" s="120" t="s">
        <v>79</v>
      </c>
    </row>
    <row r="1107" spans="1:8" ht="19.899999999999999" customHeight="1">
      <c r="A1107" s="129">
        <v>46038</v>
      </c>
      <c r="B1107" s="117" t="s">
        <v>61</v>
      </c>
      <c r="C1107" s="118" t="s">
        <v>375</v>
      </c>
      <c r="D1107" s="117" t="s">
        <v>341</v>
      </c>
      <c r="E1107" s="130">
        <v>1.1423611111111109</v>
      </c>
      <c r="F1107" s="117" t="s">
        <v>63</v>
      </c>
      <c r="G1107" s="119">
        <v>1</v>
      </c>
      <c r="H1107" s="120" t="s">
        <v>79</v>
      </c>
    </row>
    <row r="1108" spans="1:8" ht="19.899999999999999" customHeight="1">
      <c r="A1108" s="129">
        <v>46038</v>
      </c>
      <c r="B1108" s="117" t="s">
        <v>61</v>
      </c>
      <c r="C1108" s="118" t="s">
        <v>377</v>
      </c>
      <c r="D1108" s="117" t="s">
        <v>341</v>
      </c>
      <c r="E1108" s="130">
        <v>1.28125</v>
      </c>
      <c r="F1108" s="117" t="s">
        <v>63</v>
      </c>
      <c r="G1108" s="119">
        <v>5</v>
      </c>
      <c r="H1108" s="120" t="s">
        <v>79</v>
      </c>
    </row>
    <row r="1109" spans="1:8" ht="19.899999999999999" customHeight="1">
      <c r="A1109" s="129">
        <v>46038</v>
      </c>
      <c r="B1109" s="117" t="s">
        <v>61</v>
      </c>
      <c r="C1109" s="118" t="s">
        <v>379</v>
      </c>
      <c r="D1109" s="117" t="s">
        <v>341</v>
      </c>
      <c r="E1109" s="130">
        <v>1.4375</v>
      </c>
      <c r="F1109" s="117" t="s">
        <v>63</v>
      </c>
      <c r="G1109" s="119">
        <v>2</v>
      </c>
      <c r="H1109" s="120" t="s">
        <v>79</v>
      </c>
    </row>
    <row r="1110" spans="1:8" ht="19.899999999999999" customHeight="1">
      <c r="A1110" s="121">
        <v>46038</v>
      </c>
      <c r="B1110" s="112" t="s">
        <v>26</v>
      </c>
      <c r="C1110" s="113" t="s">
        <v>354</v>
      </c>
      <c r="D1110" s="112" t="s">
        <v>341</v>
      </c>
      <c r="E1110" s="122">
        <v>1.3472222222222221</v>
      </c>
      <c r="F1110" s="112" t="s">
        <v>28</v>
      </c>
      <c r="G1110" s="114">
        <v>4</v>
      </c>
      <c r="H1110" s="115" t="s">
        <v>79</v>
      </c>
    </row>
    <row r="1111" spans="1:8" ht="19.899999999999999" customHeight="1">
      <c r="A1111" s="121">
        <v>46038</v>
      </c>
      <c r="B1111" s="112" t="s">
        <v>38</v>
      </c>
      <c r="C1111" s="113" t="s">
        <v>344</v>
      </c>
      <c r="D1111" s="112" t="s">
        <v>341</v>
      </c>
      <c r="E1111" s="122">
        <v>1.8888888888888891</v>
      </c>
      <c r="F1111" s="112" t="s">
        <v>40</v>
      </c>
      <c r="G1111" s="114">
        <v>17</v>
      </c>
      <c r="H1111" s="115" t="s">
        <v>426</v>
      </c>
    </row>
    <row r="1112" spans="1:8" ht="19.899999999999999" customHeight="1">
      <c r="A1112" s="121">
        <v>46038</v>
      </c>
      <c r="B1112" s="112" t="s">
        <v>38</v>
      </c>
      <c r="C1112" s="113" t="s">
        <v>345</v>
      </c>
      <c r="D1112" s="112" t="s">
        <v>341</v>
      </c>
      <c r="E1112" s="122">
        <v>1.989583333333333</v>
      </c>
      <c r="F1112" s="112" t="s">
        <v>40</v>
      </c>
      <c r="G1112" s="114">
        <v>18</v>
      </c>
      <c r="H1112" s="115" t="s">
        <v>426</v>
      </c>
    </row>
    <row r="1113" spans="1:8" ht="19.899999999999999" customHeight="1">
      <c r="A1113" s="121">
        <v>46038</v>
      </c>
      <c r="B1113" s="112" t="s">
        <v>26</v>
      </c>
      <c r="C1113" s="113" t="s">
        <v>356</v>
      </c>
      <c r="D1113" s="112" t="s">
        <v>341</v>
      </c>
      <c r="E1113" s="122">
        <v>1.4861111111111109</v>
      </c>
      <c r="F1113" s="112" t="s">
        <v>28</v>
      </c>
      <c r="G1113" s="114">
        <v>4</v>
      </c>
      <c r="H1113" s="115" t="s">
        <v>45</v>
      </c>
    </row>
    <row r="1114" spans="1:8" ht="19.899999999999999" customHeight="1">
      <c r="A1114" s="129">
        <v>46038</v>
      </c>
      <c r="B1114" s="117" t="s">
        <v>61</v>
      </c>
      <c r="C1114" s="118" t="s">
        <v>432</v>
      </c>
      <c r="D1114" s="117" t="s">
        <v>341</v>
      </c>
      <c r="E1114" s="130">
        <v>1.760416666666667</v>
      </c>
      <c r="F1114" s="117" t="s">
        <v>63</v>
      </c>
      <c r="G1114" s="119">
        <v>9</v>
      </c>
      <c r="H1114" s="120" t="s">
        <v>449</v>
      </c>
    </row>
    <row r="1115" spans="1:8" ht="19.899999999999999" customHeight="1">
      <c r="A1115" s="121">
        <v>46038</v>
      </c>
      <c r="B1115" s="112" t="s">
        <v>38</v>
      </c>
      <c r="C1115" s="113" t="s">
        <v>346</v>
      </c>
      <c r="D1115" s="112" t="s">
        <v>341</v>
      </c>
      <c r="E1115" s="122">
        <v>1.399305555555556</v>
      </c>
      <c r="F1115" s="112" t="s">
        <v>43</v>
      </c>
      <c r="G1115" s="114">
        <v>14</v>
      </c>
      <c r="H1115" s="115" t="s">
        <v>123</v>
      </c>
    </row>
    <row r="1116" spans="1:8" ht="19.899999999999999" customHeight="1">
      <c r="A1116" s="121">
        <v>46038</v>
      </c>
      <c r="B1116" s="112" t="s">
        <v>26</v>
      </c>
      <c r="C1116" s="113" t="s">
        <v>354</v>
      </c>
      <c r="D1116" s="112" t="s">
        <v>341</v>
      </c>
      <c r="E1116" s="122">
        <v>1.3472222222222221</v>
      </c>
      <c r="F1116" s="112" t="s">
        <v>31</v>
      </c>
      <c r="G1116" s="114">
        <v>4</v>
      </c>
      <c r="H1116" s="115" t="s">
        <v>123</v>
      </c>
    </row>
    <row r="1117" spans="1:8" ht="19.899999999999999" customHeight="1">
      <c r="A1117" s="121">
        <v>46038</v>
      </c>
      <c r="B1117" s="112" t="s">
        <v>26</v>
      </c>
      <c r="C1117" s="113" t="s">
        <v>348</v>
      </c>
      <c r="D1117" s="112" t="s">
        <v>341</v>
      </c>
      <c r="E1117" s="122">
        <v>1.993055555555556</v>
      </c>
      <c r="F1117" s="112" t="s">
        <v>28</v>
      </c>
      <c r="G1117" s="114">
        <v>2</v>
      </c>
      <c r="H1117" s="115" t="s">
        <v>123</v>
      </c>
    </row>
    <row r="1118" spans="1:8" ht="19.899999999999999" customHeight="1">
      <c r="A1118" s="121">
        <v>46038</v>
      </c>
      <c r="B1118" s="112" t="s">
        <v>26</v>
      </c>
      <c r="C1118" s="113" t="s">
        <v>350</v>
      </c>
      <c r="D1118" s="112" t="s">
        <v>341</v>
      </c>
      <c r="E1118" s="122">
        <v>1.7361111111111109</v>
      </c>
      <c r="F1118" s="112" t="s">
        <v>28</v>
      </c>
      <c r="G1118" s="114">
        <v>5</v>
      </c>
      <c r="H1118" s="115" t="s">
        <v>123</v>
      </c>
    </row>
    <row r="1119" spans="1:8" ht="19.899999999999999" customHeight="1">
      <c r="A1119" s="121">
        <v>46038</v>
      </c>
      <c r="B1119" s="112" t="s">
        <v>26</v>
      </c>
      <c r="C1119" s="113" t="s">
        <v>352</v>
      </c>
      <c r="D1119" s="112" t="s">
        <v>341</v>
      </c>
      <c r="E1119" s="122">
        <v>1.944444444444444</v>
      </c>
      <c r="F1119" s="112" t="s">
        <v>28</v>
      </c>
      <c r="G1119" s="114">
        <v>8</v>
      </c>
      <c r="H1119" s="115" t="s">
        <v>123</v>
      </c>
    </row>
    <row r="1120" spans="1:8" ht="19.899999999999999" customHeight="1">
      <c r="A1120" s="121">
        <v>46038</v>
      </c>
      <c r="B1120" s="112" t="s">
        <v>26</v>
      </c>
      <c r="C1120" s="113" t="s">
        <v>357</v>
      </c>
      <c r="D1120" s="112" t="s">
        <v>341</v>
      </c>
      <c r="E1120" s="122">
        <v>1.5590277777777779</v>
      </c>
      <c r="F1120" s="112" t="s">
        <v>28</v>
      </c>
      <c r="G1120" s="114">
        <v>9</v>
      </c>
      <c r="H1120" s="115" t="s">
        <v>123</v>
      </c>
    </row>
    <row r="1121" spans="1:8" ht="19.899999999999999" customHeight="1">
      <c r="A1121" s="121">
        <v>46038</v>
      </c>
      <c r="B1121" s="112" t="s">
        <v>26</v>
      </c>
      <c r="C1121" s="113" t="s">
        <v>353</v>
      </c>
      <c r="D1121" s="112" t="s">
        <v>341</v>
      </c>
      <c r="E1121" s="122">
        <v>1.8888888888888891</v>
      </c>
      <c r="F1121" s="112" t="s">
        <v>28</v>
      </c>
      <c r="G1121" s="114">
        <v>5</v>
      </c>
      <c r="H1121" s="115" t="s">
        <v>123</v>
      </c>
    </row>
    <row r="1122" spans="1:8" ht="19.899999999999999" customHeight="1">
      <c r="A1122" s="121">
        <v>46038</v>
      </c>
      <c r="B1122" s="112" t="s">
        <v>38</v>
      </c>
      <c r="C1122" s="113" t="s">
        <v>342</v>
      </c>
      <c r="D1122" s="112" t="s">
        <v>341</v>
      </c>
      <c r="E1122" s="122">
        <v>1.489583333333333</v>
      </c>
      <c r="F1122" s="112" t="s">
        <v>43</v>
      </c>
      <c r="G1122" s="114">
        <v>20</v>
      </c>
      <c r="H1122" s="115" t="s">
        <v>443</v>
      </c>
    </row>
    <row r="1123" spans="1:8" ht="19.899999999999999" customHeight="1">
      <c r="A1123" s="121">
        <v>46038</v>
      </c>
      <c r="B1123" s="112" t="s">
        <v>68</v>
      </c>
      <c r="C1123" s="113" t="s">
        <v>405</v>
      </c>
      <c r="D1123" s="112" t="s">
        <v>341</v>
      </c>
      <c r="E1123" s="122">
        <v>1.836805555555556</v>
      </c>
      <c r="F1123" s="112" t="s">
        <v>70</v>
      </c>
      <c r="G1123" s="114">
        <v>9</v>
      </c>
      <c r="H1123" s="115" t="s">
        <v>412</v>
      </c>
    </row>
    <row r="1124" spans="1:8" ht="19.899999999999999" customHeight="1">
      <c r="A1124" s="121">
        <v>46038</v>
      </c>
      <c r="B1124" s="112" t="s">
        <v>68</v>
      </c>
      <c r="C1124" s="113" t="s">
        <v>407</v>
      </c>
      <c r="D1124" s="112" t="s">
        <v>341</v>
      </c>
      <c r="E1124" s="122">
        <v>1.3125</v>
      </c>
      <c r="F1124" s="112" t="s">
        <v>70</v>
      </c>
      <c r="G1124" s="114">
        <v>9</v>
      </c>
      <c r="H1124" s="115" t="s">
        <v>412</v>
      </c>
    </row>
    <row r="1125" spans="1:8" ht="19.899999999999999" customHeight="1">
      <c r="A1125" s="121">
        <v>46038</v>
      </c>
      <c r="B1125" s="112" t="s">
        <v>68</v>
      </c>
      <c r="C1125" s="113" t="s">
        <v>408</v>
      </c>
      <c r="D1125" s="112" t="s">
        <v>341</v>
      </c>
      <c r="E1125" s="122">
        <v>1.9722222222222221</v>
      </c>
      <c r="F1125" s="112" t="s">
        <v>70</v>
      </c>
      <c r="G1125" s="114">
        <v>9</v>
      </c>
      <c r="H1125" s="115" t="s">
        <v>412</v>
      </c>
    </row>
    <row r="1126" spans="1:8" ht="19.899999999999999" customHeight="1">
      <c r="A1126" s="121">
        <v>46038</v>
      </c>
      <c r="B1126" s="112" t="s">
        <v>68</v>
      </c>
      <c r="C1126" s="113" t="s">
        <v>437</v>
      </c>
      <c r="D1126" s="112" t="s">
        <v>341</v>
      </c>
      <c r="E1126" s="122">
        <v>1.104166666666667</v>
      </c>
      <c r="F1126" s="112" t="s">
        <v>70</v>
      </c>
      <c r="G1126" s="114">
        <v>9</v>
      </c>
      <c r="H1126" s="115" t="s">
        <v>412</v>
      </c>
    </row>
    <row r="1127" spans="1:8" ht="19.899999999999999" customHeight="1">
      <c r="A1127" s="121">
        <v>46038</v>
      </c>
      <c r="B1127" s="112" t="s">
        <v>68</v>
      </c>
      <c r="C1127" s="113" t="s">
        <v>411</v>
      </c>
      <c r="D1127" s="112" t="s">
        <v>341</v>
      </c>
      <c r="E1127" s="122">
        <v>1.7847222222222221</v>
      </c>
      <c r="F1127" s="112" t="s">
        <v>70</v>
      </c>
      <c r="G1127" s="114">
        <v>9</v>
      </c>
      <c r="H1127" s="115" t="s">
        <v>412</v>
      </c>
    </row>
    <row r="1128" spans="1:8" ht="19.899999999999999" customHeight="1">
      <c r="A1128" s="121">
        <v>46038</v>
      </c>
      <c r="B1128" s="112" t="s">
        <v>68</v>
      </c>
      <c r="C1128" s="113" t="s">
        <v>410</v>
      </c>
      <c r="D1128" s="112" t="s">
        <v>341</v>
      </c>
      <c r="E1128" s="122">
        <v>1.5972222222222221</v>
      </c>
      <c r="F1128" s="112" t="s">
        <v>70</v>
      </c>
      <c r="G1128" s="114">
        <v>9</v>
      </c>
      <c r="H1128" s="115" t="s">
        <v>412</v>
      </c>
    </row>
    <row r="1129" spans="1:8" ht="19.899999999999999" customHeight="1">
      <c r="A1129" s="121">
        <v>46038</v>
      </c>
      <c r="B1129" s="112" t="s">
        <v>68</v>
      </c>
      <c r="C1129" s="113" t="s">
        <v>413</v>
      </c>
      <c r="D1129" s="112" t="s">
        <v>341</v>
      </c>
      <c r="E1129" s="122">
        <v>1.0486111111111109</v>
      </c>
      <c r="F1129" s="112" t="s">
        <v>70</v>
      </c>
      <c r="G1129" s="114">
        <v>9</v>
      </c>
      <c r="H1129" s="115" t="s">
        <v>412</v>
      </c>
    </row>
    <row r="1130" spans="1:8" ht="19.899999999999999" customHeight="1">
      <c r="A1130" s="121">
        <v>46038</v>
      </c>
      <c r="B1130" s="112" t="s">
        <v>26</v>
      </c>
      <c r="C1130" s="113" t="s">
        <v>356</v>
      </c>
      <c r="D1130" s="112" t="s">
        <v>341</v>
      </c>
      <c r="E1130" s="122">
        <v>1.4861111111111109</v>
      </c>
      <c r="F1130" s="112" t="s">
        <v>31</v>
      </c>
      <c r="G1130" s="114">
        <v>4</v>
      </c>
      <c r="H1130" s="115" t="s">
        <v>355</v>
      </c>
    </row>
    <row r="1131" spans="1:8" ht="19.899999999999999" customHeight="1">
      <c r="A1131" s="121">
        <v>46038</v>
      </c>
      <c r="B1131" s="112" t="s">
        <v>38</v>
      </c>
      <c r="C1131" s="113" t="s">
        <v>344</v>
      </c>
      <c r="D1131" s="112" t="s">
        <v>341</v>
      </c>
      <c r="E1131" s="122">
        <v>1.8888888888888891</v>
      </c>
      <c r="F1131" s="112" t="s">
        <v>43</v>
      </c>
      <c r="G1131" s="114">
        <v>17</v>
      </c>
      <c r="H1131" s="115" t="s">
        <v>503</v>
      </c>
    </row>
    <row r="1132" spans="1:8" ht="19.899999999999999" customHeight="1">
      <c r="A1132" s="121">
        <v>46038</v>
      </c>
      <c r="B1132" s="112" t="s">
        <v>38</v>
      </c>
      <c r="C1132" s="113" t="s">
        <v>345</v>
      </c>
      <c r="D1132" s="112" t="s">
        <v>341</v>
      </c>
      <c r="E1132" s="122">
        <v>1.989583333333333</v>
      </c>
      <c r="F1132" s="112" t="s">
        <v>43</v>
      </c>
      <c r="G1132" s="114">
        <v>18</v>
      </c>
      <c r="H1132" s="115" t="s">
        <v>503</v>
      </c>
    </row>
    <row r="1133" spans="1:8" ht="19.899999999999999" customHeight="1">
      <c r="A1133" s="121">
        <v>46038</v>
      </c>
      <c r="B1133" s="112" t="s">
        <v>26</v>
      </c>
      <c r="C1133" s="113" t="s">
        <v>351</v>
      </c>
      <c r="D1133" s="112" t="s">
        <v>341</v>
      </c>
      <c r="E1133" s="122">
        <v>1.836805555555556</v>
      </c>
      <c r="F1133" s="112" t="s">
        <v>28</v>
      </c>
      <c r="G1133" s="114">
        <v>2</v>
      </c>
      <c r="H1133" s="115" t="s">
        <v>467</v>
      </c>
    </row>
    <row r="1134" spans="1:8" ht="19.899999999999999" customHeight="1">
      <c r="A1134" s="121">
        <v>46038</v>
      </c>
      <c r="B1134" s="112" t="s">
        <v>26</v>
      </c>
      <c r="C1134" s="113" t="s">
        <v>354</v>
      </c>
      <c r="D1134" s="112" t="s">
        <v>341</v>
      </c>
      <c r="E1134" s="122">
        <v>1.3472222222222221</v>
      </c>
      <c r="F1134" s="112" t="s">
        <v>34</v>
      </c>
      <c r="G1134" s="114">
        <v>4</v>
      </c>
      <c r="H1134" s="115" t="s">
        <v>118</v>
      </c>
    </row>
    <row r="1135" spans="1:8" ht="19.899999999999999" customHeight="1">
      <c r="A1135" s="121">
        <v>46038</v>
      </c>
      <c r="B1135" s="112" t="s">
        <v>26</v>
      </c>
      <c r="C1135" s="113" t="s">
        <v>348</v>
      </c>
      <c r="D1135" s="112" t="s">
        <v>341</v>
      </c>
      <c r="E1135" s="122">
        <v>1.993055555555556</v>
      </c>
      <c r="F1135" s="112" t="s">
        <v>31</v>
      </c>
      <c r="G1135" s="114">
        <v>2</v>
      </c>
      <c r="H1135" s="115" t="s">
        <v>163</v>
      </c>
    </row>
    <row r="1136" spans="1:8" ht="19.899999999999999" customHeight="1">
      <c r="A1136" s="121">
        <v>46038</v>
      </c>
      <c r="B1136" s="112" t="s">
        <v>26</v>
      </c>
      <c r="C1136" s="113" t="s">
        <v>350</v>
      </c>
      <c r="D1136" s="112" t="s">
        <v>341</v>
      </c>
      <c r="E1136" s="122">
        <v>1.7361111111111109</v>
      </c>
      <c r="F1136" s="112" t="s">
        <v>31</v>
      </c>
      <c r="G1136" s="114">
        <v>5</v>
      </c>
      <c r="H1136" s="115" t="s">
        <v>163</v>
      </c>
    </row>
    <row r="1137" spans="1:8" ht="19.899999999999999" customHeight="1">
      <c r="A1137" s="121">
        <v>46038</v>
      </c>
      <c r="B1137" s="112" t="s">
        <v>26</v>
      </c>
      <c r="C1137" s="113" t="s">
        <v>352</v>
      </c>
      <c r="D1137" s="112" t="s">
        <v>341</v>
      </c>
      <c r="E1137" s="122">
        <v>1.944444444444444</v>
      </c>
      <c r="F1137" s="112" t="s">
        <v>31</v>
      </c>
      <c r="G1137" s="114">
        <v>8</v>
      </c>
      <c r="H1137" s="115" t="s">
        <v>163</v>
      </c>
    </row>
    <row r="1138" spans="1:8" ht="19.899999999999999" customHeight="1">
      <c r="A1138" s="121">
        <v>46038</v>
      </c>
      <c r="B1138" s="112" t="s">
        <v>26</v>
      </c>
      <c r="C1138" s="113" t="s">
        <v>357</v>
      </c>
      <c r="D1138" s="112" t="s">
        <v>341</v>
      </c>
      <c r="E1138" s="122">
        <v>1.5590277777777779</v>
      </c>
      <c r="F1138" s="112" t="s">
        <v>31</v>
      </c>
      <c r="G1138" s="114">
        <v>9</v>
      </c>
      <c r="H1138" s="115" t="s">
        <v>163</v>
      </c>
    </row>
    <row r="1139" spans="1:8" ht="19.899999999999999" customHeight="1">
      <c r="A1139" s="121">
        <v>46038</v>
      </c>
      <c r="B1139" s="112" t="s">
        <v>26</v>
      </c>
      <c r="C1139" s="113" t="s">
        <v>353</v>
      </c>
      <c r="D1139" s="112" t="s">
        <v>341</v>
      </c>
      <c r="E1139" s="122">
        <v>1.8888888888888891</v>
      </c>
      <c r="F1139" s="112" t="s">
        <v>31</v>
      </c>
      <c r="G1139" s="114">
        <v>5</v>
      </c>
      <c r="H1139" s="115" t="s">
        <v>163</v>
      </c>
    </row>
    <row r="1140" spans="1:8" ht="19.899999999999999" customHeight="1">
      <c r="A1140" s="121">
        <v>46038</v>
      </c>
      <c r="B1140" s="112" t="s">
        <v>359</v>
      </c>
      <c r="C1140" s="113" t="s">
        <v>422</v>
      </c>
      <c r="D1140" s="112" t="s">
        <v>341</v>
      </c>
      <c r="E1140" s="122">
        <v>1.8090277777777779</v>
      </c>
      <c r="F1140" s="112" t="s">
        <v>46</v>
      </c>
      <c r="G1140" s="114">
        <v>9</v>
      </c>
      <c r="H1140" s="115" t="s">
        <v>505</v>
      </c>
    </row>
    <row r="1141" spans="1:8" ht="19.899999999999999" customHeight="1">
      <c r="A1141" s="121">
        <v>46038</v>
      </c>
      <c r="B1141" s="112" t="s">
        <v>359</v>
      </c>
      <c r="C1141" s="113" t="s">
        <v>360</v>
      </c>
      <c r="D1141" s="112" t="s">
        <v>341</v>
      </c>
      <c r="E1141" s="122">
        <v>1.225694444444444</v>
      </c>
      <c r="F1141" s="112" t="s">
        <v>46</v>
      </c>
      <c r="G1141" s="114">
        <v>9</v>
      </c>
      <c r="H1141" s="115" t="s">
        <v>505</v>
      </c>
    </row>
    <row r="1142" spans="1:8" ht="19.899999999999999" customHeight="1">
      <c r="A1142" s="121">
        <v>46038</v>
      </c>
      <c r="B1142" s="112" t="s">
        <v>359</v>
      </c>
      <c r="C1142" s="113" t="s">
        <v>425</v>
      </c>
      <c r="D1142" s="112" t="s">
        <v>341</v>
      </c>
      <c r="E1142" s="122">
        <v>1.510416666666667</v>
      </c>
      <c r="F1142" s="112" t="s">
        <v>46</v>
      </c>
      <c r="G1142" s="114">
        <v>9</v>
      </c>
      <c r="H1142" s="115" t="s">
        <v>505</v>
      </c>
    </row>
    <row r="1143" spans="1:8" ht="19.899999999999999" customHeight="1">
      <c r="A1143" s="121">
        <v>46038</v>
      </c>
      <c r="B1143" s="112" t="s">
        <v>26</v>
      </c>
      <c r="C1143" s="113" t="s">
        <v>356</v>
      </c>
      <c r="D1143" s="112" t="s">
        <v>341</v>
      </c>
      <c r="E1143" s="122">
        <v>1.4861111111111109</v>
      </c>
      <c r="F1143" s="112" t="s">
        <v>34</v>
      </c>
      <c r="G1143" s="114">
        <v>4</v>
      </c>
      <c r="H1143" s="115" t="s">
        <v>358</v>
      </c>
    </row>
    <row r="1144" spans="1:8" ht="19.899999999999999" customHeight="1">
      <c r="A1144" s="121">
        <v>46038</v>
      </c>
      <c r="B1144" s="112" t="s">
        <v>26</v>
      </c>
      <c r="C1144" s="113" t="s">
        <v>351</v>
      </c>
      <c r="D1144" s="112" t="s">
        <v>341</v>
      </c>
      <c r="E1144" s="122">
        <v>1.836805555555556</v>
      </c>
      <c r="F1144" s="112" t="s">
        <v>31</v>
      </c>
      <c r="G1144" s="114">
        <v>2</v>
      </c>
      <c r="H1144" s="115" t="s">
        <v>104</v>
      </c>
    </row>
    <row r="1145" spans="1:8" ht="19.899999999999999" customHeight="1">
      <c r="A1145" s="121">
        <v>46038</v>
      </c>
      <c r="B1145" s="112" t="s">
        <v>26</v>
      </c>
      <c r="C1145" s="113" t="s">
        <v>348</v>
      </c>
      <c r="D1145" s="112" t="s">
        <v>341</v>
      </c>
      <c r="E1145" s="122">
        <v>1.993055555555556</v>
      </c>
      <c r="F1145" s="112" t="s">
        <v>34</v>
      </c>
      <c r="G1145" s="114">
        <v>2</v>
      </c>
      <c r="H1145" s="115" t="s">
        <v>119</v>
      </c>
    </row>
    <row r="1146" spans="1:8" ht="19.899999999999999" customHeight="1">
      <c r="A1146" s="121">
        <v>46038</v>
      </c>
      <c r="B1146" s="112" t="s">
        <v>26</v>
      </c>
      <c r="C1146" s="113" t="s">
        <v>350</v>
      </c>
      <c r="D1146" s="112" t="s">
        <v>341</v>
      </c>
      <c r="E1146" s="122">
        <v>1.7361111111111109</v>
      </c>
      <c r="F1146" s="112" t="s">
        <v>34</v>
      </c>
      <c r="G1146" s="114">
        <v>5</v>
      </c>
      <c r="H1146" s="115" t="s">
        <v>119</v>
      </c>
    </row>
    <row r="1147" spans="1:8" ht="19.899999999999999" customHeight="1">
      <c r="A1147" s="121">
        <v>46038</v>
      </c>
      <c r="B1147" s="112" t="s">
        <v>26</v>
      </c>
      <c r="C1147" s="113" t="s">
        <v>352</v>
      </c>
      <c r="D1147" s="112" t="s">
        <v>341</v>
      </c>
      <c r="E1147" s="122">
        <v>1.944444444444444</v>
      </c>
      <c r="F1147" s="112" t="s">
        <v>34</v>
      </c>
      <c r="G1147" s="114">
        <v>8</v>
      </c>
      <c r="H1147" s="115" t="s">
        <v>119</v>
      </c>
    </row>
    <row r="1148" spans="1:8" ht="19.899999999999999" customHeight="1">
      <c r="A1148" s="121">
        <v>46038</v>
      </c>
      <c r="B1148" s="112" t="s">
        <v>26</v>
      </c>
      <c r="C1148" s="113" t="s">
        <v>357</v>
      </c>
      <c r="D1148" s="112" t="s">
        <v>341</v>
      </c>
      <c r="E1148" s="122">
        <v>1.5590277777777779</v>
      </c>
      <c r="F1148" s="112" t="s">
        <v>34</v>
      </c>
      <c r="G1148" s="114">
        <v>9</v>
      </c>
      <c r="H1148" s="115" t="s">
        <v>119</v>
      </c>
    </row>
    <row r="1149" spans="1:8" ht="19.899999999999999" customHeight="1">
      <c r="A1149" s="121">
        <v>46038</v>
      </c>
      <c r="B1149" s="112" t="s">
        <v>26</v>
      </c>
      <c r="C1149" s="113" t="s">
        <v>353</v>
      </c>
      <c r="D1149" s="112" t="s">
        <v>341</v>
      </c>
      <c r="E1149" s="122">
        <v>1.8888888888888891</v>
      </c>
      <c r="F1149" s="112" t="s">
        <v>34</v>
      </c>
      <c r="G1149" s="114">
        <v>5</v>
      </c>
      <c r="H1149" s="115" t="s">
        <v>119</v>
      </c>
    </row>
    <row r="1150" spans="1:8" ht="19.899999999999999" customHeight="1">
      <c r="A1150" s="121">
        <v>46038</v>
      </c>
      <c r="B1150" s="112" t="s">
        <v>38</v>
      </c>
      <c r="C1150" s="113" t="s">
        <v>346</v>
      </c>
      <c r="D1150" s="112" t="s">
        <v>341</v>
      </c>
      <c r="E1150" s="122">
        <v>1.399305555555556</v>
      </c>
      <c r="F1150" s="112" t="s">
        <v>46</v>
      </c>
      <c r="G1150" s="114">
        <v>14</v>
      </c>
      <c r="H1150" s="115" t="s">
        <v>47</v>
      </c>
    </row>
    <row r="1151" spans="1:8" ht="19.899999999999999" customHeight="1">
      <c r="A1151" s="121">
        <v>46038</v>
      </c>
      <c r="B1151" s="112" t="s">
        <v>38</v>
      </c>
      <c r="C1151" s="113" t="s">
        <v>342</v>
      </c>
      <c r="D1151" s="112" t="s">
        <v>341</v>
      </c>
      <c r="E1151" s="122">
        <v>1.489583333333333</v>
      </c>
      <c r="F1151" s="112" t="s">
        <v>46</v>
      </c>
      <c r="G1151" s="114">
        <v>20</v>
      </c>
      <c r="H1151" s="115" t="s">
        <v>47</v>
      </c>
    </row>
    <row r="1152" spans="1:8" ht="19.899999999999999" customHeight="1">
      <c r="A1152" s="121">
        <v>46038</v>
      </c>
      <c r="B1152" s="112" t="s">
        <v>38</v>
      </c>
      <c r="C1152" s="113" t="s">
        <v>344</v>
      </c>
      <c r="D1152" s="112" t="s">
        <v>341</v>
      </c>
      <c r="E1152" s="122">
        <v>1.8888888888888891</v>
      </c>
      <c r="F1152" s="112" t="s">
        <v>46</v>
      </c>
      <c r="G1152" s="114">
        <v>17</v>
      </c>
      <c r="H1152" s="115" t="s">
        <v>47</v>
      </c>
    </row>
    <row r="1153" spans="1:8" ht="19.899999999999999" customHeight="1">
      <c r="A1153" s="121">
        <v>46038</v>
      </c>
      <c r="B1153" s="112" t="s">
        <v>38</v>
      </c>
      <c r="C1153" s="113" t="s">
        <v>345</v>
      </c>
      <c r="D1153" s="112" t="s">
        <v>341</v>
      </c>
      <c r="E1153" s="122">
        <v>1.989583333333333</v>
      </c>
      <c r="F1153" s="112" t="s">
        <v>46</v>
      </c>
      <c r="G1153" s="114">
        <v>18</v>
      </c>
      <c r="H1153" s="115" t="s">
        <v>47</v>
      </c>
    </row>
    <row r="1154" spans="1:8" ht="19.899999999999999" customHeight="1">
      <c r="A1154" s="121">
        <v>46038</v>
      </c>
      <c r="B1154" s="112" t="s">
        <v>26</v>
      </c>
      <c r="C1154" s="113" t="s">
        <v>351</v>
      </c>
      <c r="D1154" s="112" t="s">
        <v>341</v>
      </c>
      <c r="E1154" s="122">
        <v>1.836805555555556</v>
      </c>
      <c r="F1154" s="112" t="s">
        <v>34</v>
      </c>
      <c r="G1154" s="114">
        <v>2</v>
      </c>
      <c r="H1154" s="115" t="s">
        <v>456</v>
      </c>
    </row>
    <row r="1155" spans="1:8" ht="19.899999999999999" customHeight="1">
      <c r="A1155" s="121">
        <v>46038</v>
      </c>
      <c r="B1155" s="112" t="s">
        <v>48</v>
      </c>
      <c r="C1155" s="113" t="s">
        <v>398</v>
      </c>
      <c r="D1155" s="112" t="s">
        <v>341</v>
      </c>
      <c r="E1155" s="122">
        <v>1.399305555555556</v>
      </c>
      <c r="F1155" s="112" t="s">
        <v>53</v>
      </c>
      <c r="G1155" s="114">
        <v>4</v>
      </c>
      <c r="H1155" s="115" t="s">
        <v>464</v>
      </c>
    </row>
    <row r="1156" spans="1:8" ht="19.899999999999999" customHeight="1">
      <c r="A1156" s="121">
        <v>46038</v>
      </c>
      <c r="B1156" s="112" t="s">
        <v>48</v>
      </c>
      <c r="C1156" s="113" t="s">
        <v>394</v>
      </c>
      <c r="D1156" s="112" t="s">
        <v>341</v>
      </c>
      <c r="E1156" s="122">
        <v>1.989583333333333</v>
      </c>
      <c r="F1156" s="112" t="s">
        <v>53</v>
      </c>
      <c r="G1156" s="114">
        <v>4</v>
      </c>
      <c r="H1156" s="115" t="s">
        <v>452</v>
      </c>
    </row>
    <row r="1157" spans="1:8" ht="19.899999999999999" customHeight="1">
      <c r="A1157" s="121">
        <v>46038</v>
      </c>
      <c r="B1157" s="112" t="s">
        <v>48</v>
      </c>
      <c r="C1157" s="113" t="s">
        <v>396</v>
      </c>
      <c r="D1157" s="112" t="s">
        <v>341</v>
      </c>
      <c r="E1157" s="122">
        <v>1.489583333333333</v>
      </c>
      <c r="F1157" s="112" t="s">
        <v>53</v>
      </c>
      <c r="G1157" s="114">
        <v>4</v>
      </c>
      <c r="H1157" s="115" t="s">
        <v>452</v>
      </c>
    </row>
    <row r="1158" spans="1:8" ht="19.899999999999999" customHeight="1">
      <c r="A1158" s="121">
        <v>46038</v>
      </c>
      <c r="B1158" s="112" t="s">
        <v>48</v>
      </c>
      <c r="C1158" s="113" t="s">
        <v>397</v>
      </c>
      <c r="D1158" s="112" t="s">
        <v>341</v>
      </c>
      <c r="E1158" s="122">
        <v>1.8888888888888891</v>
      </c>
      <c r="F1158" s="112" t="s">
        <v>53</v>
      </c>
      <c r="G1158" s="114">
        <v>4</v>
      </c>
      <c r="H1158" s="115" t="s">
        <v>452</v>
      </c>
    </row>
    <row r="1159" spans="1:8" ht="19.899999999999999" customHeight="1">
      <c r="A1159" s="121">
        <v>46038</v>
      </c>
      <c r="B1159" s="112" t="s">
        <v>48</v>
      </c>
      <c r="C1159" s="113" t="s">
        <v>391</v>
      </c>
      <c r="D1159" s="112" t="s">
        <v>341</v>
      </c>
      <c r="E1159" s="122">
        <v>1.489583333333333</v>
      </c>
      <c r="F1159" s="112" t="s">
        <v>53</v>
      </c>
      <c r="G1159" s="114">
        <v>9</v>
      </c>
      <c r="H1159" s="115" t="s">
        <v>439</v>
      </c>
    </row>
    <row r="1160" spans="1:8" ht="19.899999999999999" customHeight="1">
      <c r="A1160" s="121">
        <v>46038</v>
      </c>
      <c r="B1160" s="112" t="s">
        <v>48</v>
      </c>
      <c r="C1160" s="113" t="s">
        <v>386</v>
      </c>
      <c r="D1160" s="112" t="s">
        <v>341</v>
      </c>
      <c r="E1160" s="122">
        <v>1.8298611111111109</v>
      </c>
      <c r="F1160" s="112" t="s">
        <v>53</v>
      </c>
      <c r="G1160" s="114">
        <v>9</v>
      </c>
      <c r="H1160" s="115" t="s">
        <v>439</v>
      </c>
    </row>
    <row r="1161" spans="1:8" ht="19.899999999999999" customHeight="1">
      <c r="A1161" s="121">
        <v>46038</v>
      </c>
      <c r="B1161" s="112" t="s">
        <v>48</v>
      </c>
      <c r="C1161" s="113" t="s">
        <v>388</v>
      </c>
      <c r="D1161" s="112" t="s">
        <v>341</v>
      </c>
      <c r="E1161" s="122">
        <v>1.7222222222222221</v>
      </c>
      <c r="F1161" s="112" t="s">
        <v>53</v>
      </c>
      <c r="G1161" s="114">
        <v>9</v>
      </c>
      <c r="H1161" s="115" t="s">
        <v>439</v>
      </c>
    </row>
    <row r="1162" spans="1:8" ht="19.899999999999999" customHeight="1">
      <c r="A1162" s="121">
        <v>46038</v>
      </c>
      <c r="B1162" s="112" t="s">
        <v>48</v>
      </c>
      <c r="C1162" s="113" t="s">
        <v>382</v>
      </c>
      <c r="D1162" s="112" t="s">
        <v>341</v>
      </c>
      <c r="E1162" s="122">
        <v>1.118055555555556</v>
      </c>
      <c r="F1162" s="112" t="s">
        <v>53</v>
      </c>
      <c r="G1162" s="114">
        <v>9</v>
      </c>
      <c r="H1162" s="115" t="s">
        <v>439</v>
      </c>
    </row>
    <row r="1163" spans="1:8" ht="19.899999999999999" customHeight="1">
      <c r="A1163" s="121">
        <v>46038</v>
      </c>
      <c r="B1163" s="112" t="s">
        <v>48</v>
      </c>
      <c r="C1163" s="113" t="s">
        <v>389</v>
      </c>
      <c r="D1163" s="112" t="s">
        <v>341</v>
      </c>
      <c r="E1163" s="122">
        <v>1.7013888888888891</v>
      </c>
      <c r="F1163" s="112" t="s">
        <v>53</v>
      </c>
      <c r="G1163" s="114">
        <v>9</v>
      </c>
      <c r="H1163" s="115" t="s">
        <v>439</v>
      </c>
    </row>
    <row r="1164" spans="1:8" ht="19.899999999999999" customHeight="1">
      <c r="A1164" s="121">
        <v>46038</v>
      </c>
      <c r="B1164" s="112" t="s">
        <v>48</v>
      </c>
      <c r="C1164" s="113" t="s">
        <v>400</v>
      </c>
      <c r="D1164" s="112" t="s">
        <v>341</v>
      </c>
      <c r="E1164" s="122">
        <v>1.2534722222222221</v>
      </c>
      <c r="F1164" s="112" t="s">
        <v>53</v>
      </c>
      <c r="G1164" s="114">
        <v>9</v>
      </c>
      <c r="H1164" s="115" t="s">
        <v>439</v>
      </c>
    </row>
    <row r="1165" spans="1:8" ht="19.899999999999999" customHeight="1">
      <c r="A1165" s="121">
        <v>46038</v>
      </c>
      <c r="B1165" s="112" t="s">
        <v>48</v>
      </c>
      <c r="C1165" s="113" t="s">
        <v>390</v>
      </c>
      <c r="D1165" s="112" t="s">
        <v>341</v>
      </c>
      <c r="E1165" s="122">
        <v>1.041666666666667</v>
      </c>
      <c r="F1165" s="112" t="s">
        <v>53</v>
      </c>
      <c r="G1165" s="114">
        <v>9</v>
      </c>
      <c r="H1165" s="115" t="s">
        <v>439</v>
      </c>
    </row>
    <row r="1166" spans="1:8" ht="19.899999999999999" customHeight="1">
      <c r="A1166" s="121">
        <v>46038</v>
      </c>
      <c r="B1166" s="112" t="s">
        <v>48</v>
      </c>
      <c r="C1166" s="113" t="s">
        <v>385</v>
      </c>
      <c r="D1166" s="112" t="s">
        <v>341</v>
      </c>
      <c r="E1166" s="122">
        <v>1.9409722222222221</v>
      </c>
      <c r="F1166" s="112" t="s">
        <v>53</v>
      </c>
      <c r="G1166" s="114">
        <v>9</v>
      </c>
      <c r="H1166" s="115" t="s">
        <v>439</v>
      </c>
    </row>
    <row r="1167" spans="1:8" ht="19.899999999999999" customHeight="1">
      <c r="A1167" s="123">
        <v>46038</v>
      </c>
      <c r="B1167" s="124" t="s">
        <v>415</v>
      </c>
      <c r="C1167" s="125" t="s">
        <v>416</v>
      </c>
      <c r="D1167" s="124" t="s">
        <v>341</v>
      </c>
      <c r="E1167" s="126">
        <v>1.0972222222222221</v>
      </c>
      <c r="F1167" s="124" t="s">
        <v>63</v>
      </c>
      <c r="G1167" s="127">
        <v>9</v>
      </c>
      <c r="H1167" s="128" t="s">
        <v>417</v>
      </c>
    </row>
    <row r="1168" spans="1:8" ht="19.899999999999999" customHeight="1">
      <c r="A1168" s="121">
        <v>46039</v>
      </c>
      <c r="B1168" s="112" t="s">
        <v>38</v>
      </c>
      <c r="C1168" s="113" t="s">
        <v>346</v>
      </c>
      <c r="D1168" s="112" t="s">
        <v>341</v>
      </c>
      <c r="E1168" s="122">
        <v>1.399305555555556</v>
      </c>
      <c r="F1168" s="112" t="s">
        <v>40</v>
      </c>
      <c r="G1168" s="114">
        <v>10</v>
      </c>
      <c r="H1168" s="115" t="s">
        <v>121</v>
      </c>
    </row>
    <row r="1169" spans="1:8" ht="19.899999999999999" customHeight="1">
      <c r="A1169" s="121">
        <v>46039</v>
      </c>
      <c r="B1169" s="112" t="s">
        <v>359</v>
      </c>
      <c r="C1169" s="113" t="s">
        <v>360</v>
      </c>
      <c r="D1169" s="112" t="s">
        <v>341</v>
      </c>
      <c r="E1169" s="122">
        <v>1.1701388888888891</v>
      </c>
      <c r="F1169" s="112" t="s">
        <v>361</v>
      </c>
      <c r="G1169" s="114">
        <v>9</v>
      </c>
      <c r="H1169" s="115" t="s">
        <v>504</v>
      </c>
    </row>
    <row r="1170" spans="1:8" ht="19.899999999999999" customHeight="1">
      <c r="A1170" s="121">
        <v>46039</v>
      </c>
      <c r="B1170" s="112" t="s">
        <v>359</v>
      </c>
      <c r="C1170" s="113" t="s">
        <v>445</v>
      </c>
      <c r="D1170" s="112" t="s">
        <v>341</v>
      </c>
      <c r="E1170" s="122">
        <v>1.055555555555556</v>
      </c>
      <c r="F1170" s="112" t="s">
        <v>361</v>
      </c>
      <c r="G1170" s="114">
        <v>9</v>
      </c>
      <c r="H1170" s="115" t="s">
        <v>504</v>
      </c>
    </row>
    <row r="1171" spans="1:8" ht="19.899999999999999" customHeight="1">
      <c r="A1171" s="121">
        <v>46039</v>
      </c>
      <c r="B1171" s="112" t="s">
        <v>402</v>
      </c>
      <c r="C1171" s="113" t="s">
        <v>403</v>
      </c>
      <c r="D1171" s="112" t="s">
        <v>341</v>
      </c>
      <c r="E1171" s="122">
        <v>1.493055555555556</v>
      </c>
      <c r="F1171" s="112" t="s">
        <v>63</v>
      </c>
      <c r="G1171" s="114">
        <v>3</v>
      </c>
      <c r="H1171" s="115" t="s">
        <v>404</v>
      </c>
    </row>
    <row r="1172" spans="1:8" ht="19.899999999999999" customHeight="1">
      <c r="A1172" s="121">
        <v>46039</v>
      </c>
      <c r="B1172" s="112" t="s">
        <v>38</v>
      </c>
      <c r="C1172" s="113" t="s">
        <v>345</v>
      </c>
      <c r="D1172" s="112" t="s">
        <v>341</v>
      </c>
      <c r="E1172" s="122">
        <v>1.989583333333333</v>
      </c>
      <c r="F1172" s="112" t="s">
        <v>40</v>
      </c>
      <c r="G1172" s="114">
        <v>17</v>
      </c>
      <c r="H1172" s="115" t="s">
        <v>426</v>
      </c>
    </row>
    <row r="1173" spans="1:8" ht="19.899999999999999" customHeight="1">
      <c r="A1173" s="121">
        <v>46039</v>
      </c>
      <c r="B1173" s="112" t="s">
        <v>26</v>
      </c>
      <c r="C1173" s="113" t="s">
        <v>357</v>
      </c>
      <c r="D1173" s="112" t="s">
        <v>341</v>
      </c>
      <c r="E1173" s="122">
        <v>1.3923611111111109</v>
      </c>
      <c r="F1173" s="112" t="s">
        <v>28</v>
      </c>
      <c r="G1173" s="114">
        <v>6</v>
      </c>
      <c r="H1173" s="115" t="s">
        <v>45</v>
      </c>
    </row>
    <row r="1174" spans="1:8" ht="19.899999999999999" customHeight="1">
      <c r="A1174" s="129">
        <v>46039</v>
      </c>
      <c r="B1174" s="117" t="s">
        <v>61</v>
      </c>
      <c r="C1174" s="118" t="s">
        <v>371</v>
      </c>
      <c r="D1174" s="117" t="s">
        <v>341</v>
      </c>
      <c r="E1174" s="130">
        <v>1.0486111111111109</v>
      </c>
      <c r="F1174" s="117" t="s">
        <v>63</v>
      </c>
      <c r="G1174" s="119">
        <v>5</v>
      </c>
      <c r="H1174" s="120" t="s">
        <v>449</v>
      </c>
    </row>
    <row r="1175" spans="1:8" ht="19.899999999999999" customHeight="1">
      <c r="A1175" s="129">
        <v>46039</v>
      </c>
      <c r="B1175" s="117" t="s">
        <v>61</v>
      </c>
      <c r="C1175" s="118" t="s">
        <v>375</v>
      </c>
      <c r="D1175" s="117" t="s">
        <v>341</v>
      </c>
      <c r="E1175" s="130">
        <v>1.15625</v>
      </c>
      <c r="F1175" s="117" t="s">
        <v>63</v>
      </c>
      <c r="G1175" s="119">
        <v>9</v>
      </c>
      <c r="H1175" s="120" t="s">
        <v>449</v>
      </c>
    </row>
    <row r="1176" spans="1:8" ht="19.899999999999999" customHeight="1">
      <c r="A1176" s="121">
        <v>46039</v>
      </c>
      <c r="B1176" s="112" t="s">
        <v>38</v>
      </c>
      <c r="C1176" s="113" t="s">
        <v>342</v>
      </c>
      <c r="D1176" s="112" t="s">
        <v>341</v>
      </c>
      <c r="E1176" s="122">
        <v>1.489583333333333</v>
      </c>
      <c r="F1176" s="112" t="s">
        <v>40</v>
      </c>
      <c r="G1176" s="114">
        <v>13</v>
      </c>
      <c r="H1176" s="115" t="s">
        <v>138</v>
      </c>
    </row>
    <row r="1177" spans="1:8" ht="19.899999999999999" customHeight="1">
      <c r="A1177" s="121">
        <v>46039</v>
      </c>
      <c r="B1177" s="112" t="s">
        <v>38</v>
      </c>
      <c r="C1177" s="113" t="s">
        <v>346</v>
      </c>
      <c r="D1177" s="112" t="s">
        <v>341</v>
      </c>
      <c r="E1177" s="122">
        <v>1.399305555555556</v>
      </c>
      <c r="F1177" s="112" t="s">
        <v>43</v>
      </c>
      <c r="G1177" s="114">
        <v>10</v>
      </c>
      <c r="H1177" s="115" t="s">
        <v>123</v>
      </c>
    </row>
    <row r="1178" spans="1:8" ht="19.899999999999999" customHeight="1">
      <c r="A1178" s="121">
        <v>46039</v>
      </c>
      <c r="B1178" s="112" t="s">
        <v>26</v>
      </c>
      <c r="C1178" s="113" t="s">
        <v>354</v>
      </c>
      <c r="D1178" s="112" t="s">
        <v>341</v>
      </c>
      <c r="E1178" s="122">
        <v>1.3472222222222221</v>
      </c>
      <c r="F1178" s="112" t="s">
        <v>28</v>
      </c>
      <c r="G1178" s="114">
        <v>9</v>
      </c>
      <c r="H1178" s="115" t="s">
        <v>123</v>
      </c>
    </row>
    <row r="1179" spans="1:8" ht="19.899999999999999" customHeight="1">
      <c r="A1179" s="121">
        <v>46039</v>
      </c>
      <c r="B1179" s="112" t="s">
        <v>26</v>
      </c>
      <c r="C1179" s="113" t="s">
        <v>348</v>
      </c>
      <c r="D1179" s="112" t="s">
        <v>341</v>
      </c>
      <c r="E1179" s="122">
        <v>1.993055555555556</v>
      </c>
      <c r="F1179" s="112" t="s">
        <v>28</v>
      </c>
      <c r="G1179" s="114">
        <v>5</v>
      </c>
      <c r="H1179" s="115" t="s">
        <v>123</v>
      </c>
    </row>
    <row r="1180" spans="1:8" ht="19.899999999999999" customHeight="1">
      <c r="A1180" s="121">
        <v>46039</v>
      </c>
      <c r="B1180" s="112" t="s">
        <v>26</v>
      </c>
      <c r="C1180" s="113" t="s">
        <v>352</v>
      </c>
      <c r="D1180" s="112" t="s">
        <v>341</v>
      </c>
      <c r="E1180" s="122">
        <v>1.944444444444444</v>
      </c>
      <c r="F1180" s="112" t="s">
        <v>28</v>
      </c>
      <c r="G1180" s="114">
        <v>9</v>
      </c>
      <c r="H1180" s="115" t="s">
        <v>123</v>
      </c>
    </row>
    <row r="1181" spans="1:8" ht="19.899999999999999" customHeight="1">
      <c r="A1181" s="121">
        <v>46039</v>
      </c>
      <c r="B1181" s="112" t="s">
        <v>26</v>
      </c>
      <c r="C1181" s="113" t="s">
        <v>356</v>
      </c>
      <c r="D1181" s="112" t="s">
        <v>341</v>
      </c>
      <c r="E1181" s="122">
        <v>1.4861111111111109</v>
      </c>
      <c r="F1181" s="112" t="s">
        <v>28</v>
      </c>
      <c r="G1181" s="114">
        <v>2</v>
      </c>
      <c r="H1181" s="115" t="s">
        <v>123</v>
      </c>
    </row>
    <row r="1182" spans="1:8" ht="19.899999999999999" customHeight="1">
      <c r="A1182" s="129">
        <v>46039</v>
      </c>
      <c r="B1182" s="117" t="s">
        <v>61</v>
      </c>
      <c r="C1182" s="118" t="s">
        <v>364</v>
      </c>
      <c r="D1182" s="117" t="s">
        <v>341</v>
      </c>
      <c r="E1182" s="130">
        <v>1.90625</v>
      </c>
      <c r="F1182" s="117" t="s">
        <v>63</v>
      </c>
      <c r="G1182" s="119">
        <v>9</v>
      </c>
      <c r="H1182" s="120" t="s">
        <v>513</v>
      </c>
    </row>
    <row r="1183" spans="1:8" ht="19.899999999999999" customHeight="1">
      <c r="A1183" s="129">
        <v>46039</v>
      </c>
      <c r="B1183" s="117" t="s">
        <v>61</v>
      </c>
      <c r="C1183" s="118" t="s">
        <v>377</v>
      </c>
      <c r="D1183" s="117" t="s">
        <v>341</v>
      </c>
      <c r="E1183" s="130">
        <v>1.5034722222222221</v>
      </c>
      <c r="F1183" s="117" t="s">
        <v>63</v>
      </c>
      <c r="G1183" s="119">
        <v>6</v>
      </c>
      <c r="H1183" s="120" t="s">
        <v>513</v>
      </c>
    </row>
    <row r="1184" spans="1:8" ht="19.899999999999999" customHeight="1">
      <c r="A1184" s="121">
        <v>46039</v>
      </c>
      <c r="B1184" s="112" t="s">
        <v>68</v>
      </c>
      <c r="C1184" s="113" t="s">
        <v>407</v>
      </c>
      <c r="D1184" s="112" t="s">
        <v>341</v>
      </c>
      <c r="E1184" s="122">
        <v>1.3125</v>
      </c>
      <c r="F1184" s="112" t="s">
        <v>70</v>
      </c>
      <c r="G1184" s="114">
        <v>9</v>
      </c>
      <c r="H1184" s="115" t="s">
        <v>412</v>
      </c>
    </row>
    <row r="1185" spans="1:8" ht="19.899999999999999" customHeight="1">
      <c r="A1185" s="121">
        <v>46039</v>
      </c>
      <c r="B1185" s="112" t="s">
        <v>68</v>
      </c>
      <c r="C1185" s="113" t="s">
        <v>408</v>
      </c>
      <c r="D1185" s="112" t="s">
        <v>341</v>
      </c>
      <c r="E1185" s="122">
        <v>1.9722222222222221</v>
      </c>
      <c r="F1185" s="112" t="s">
        <v>70</v>
      </c>
      <c r="G1185" s="114">
        <v>9</v>
      </c>
      <c r="H1185" s="115" t="s">
        <v>412</v>
      </c>
    </row>
    <row r="1186" spans="1:8" ht="19.899999999999999" customHeight="1">
      <c r="A1186" s="121">
        <v>46039</v>
      </c>
      <c r="B1186" s="112" t="s">
        <v>68</v>
      </c>
      <c r="C1186" s="113" t="s">
        <v>437</v>
      </c>
      <c r="D1186" s="112" t="s">
        <v>341</v>
      </c>
      <c r="E1186" s="122">
        <v>1.104166666666667</v>
      </c>
      <c r="F1186" s="112" t="s">
        <v>70</v>
      </c>
      <c r="G1186" s="114">
        <v>9</v>
      </c>
      <c r="H1186" s="115" t="s">
        <v>412</v>
      </c>
    </row>
    <row r="1187" spans="1:8" ht="19.899999999999999" customHeight="1">
      <c r="A1187" s="121">
        <v>46039</v>
      </c>
      <c r="B1187" s="112" t="s">
        <v>68</v>
      </c>
      <c r="C1187" s="113" t="s">
        <v>409</v>
      </c>
      <c r="D1187" s="112" t="s">
        <v>341</v>
      </c>
      <c r="E1187" s="122">
        <v>1.3402777777777779</v>
      </c>
      <c r="F1187" s="112" t="s">
        <v>70</v>
      </c>
      <c r="G1187" s="114">
        <v>9</v>
      </c>
      <c r="H1187" s="115" t="s">
        <v>412</v>
      </c>
    </row>
    <row r="1188" spans="1:8" ht="19.899999999999999" customHeight="1">
      <c r="A1188" s="121">
        <v>46039</v>
      </c>
      <c r="B1188" s="112" t="s">
        <v>68</v>
      </c>
      <c r="C1188" s="113" t="s">
        <v>411</v>
      </c>
      <c r="D1188" s="112" t="s">
        <v>341</v>
      </c>
      <c r="E1188" s="122">
        <v>1.7847222222222221</v>
      </c>
      <c r="F1188" s="112" t="s">
        <v>70</v>
      </c>
      <c r="G1188" s="114">
        <v>9</v>
      </c>
      <c r="H1188" s="115" t="s">
        <v>412</v>
      </c>
    </row>
    <row r="1189" spans="1:8" ht="19.899999999999999" customHeight="1">
      <c r="A1189" s="121">
        <v>46039</v>
      </c>
      <c r="B1189" s="112" t="s">
        <v>68</v>
      </c>
      <c r="C1189" s="113" t="s">
        <v>410</v>
      </c>
      <c r="D1189" s="112" t="s">
        <v>341</v>
      </c>
      <c r="E1189" s="122">
        <v>1.5972222222222221</v>
      </c>
      <c r="F1189" s="112" t="s">
        <v>70</v>
      </c>
      <c r="G1189" s="114">
        <v>9</v>
      </c>
      <c r="H1189" s="115" t="s">
        <v>412</v>
      </c>
    </row>
    <row r="1190" spans="1:8" ht="19.899999999999999" customHeight="1">
      <c r="A1190" s="121">
        <v>46039</v>
      </c>
      <c r="B1190" s="112" t="s">
        <v>68</v>
      </c>
      <c r="C1190" s="113" t="s">
        <v>413</v>
      </c>
      <c r="D1190" s="112" t="s">
        <v>341</v>
      </c>
      <c r="E1190" s="122">
        <v>1.0486111111111109</v>
      </c>
      <c r="F1190" s="112" t="s">
        <v>70</v>
      </c>
      <c r="G1190" s="114">
        <v>9</v>
      </c>
      <c r="H1190" s="115" t="s">
        <v>412</v>
      </c>
    </row>
    <row r="1191" spans="1:8" ht="19.899999999999999" customHeight="1">
      <c r="A1191" s="121">
        <v>46039</v>
      </c>
      <c r="B1191" s="112" t="s">
        <v>26</v>
      </c>
      <c r="C1191" s="113" t="s">
        <v>357</v>
      </c>
      <c r="D1191" s="112" t="s">
        <v>341</v>
      </c>
      <c r="E1191" s="122">
        <v>1.3923611111111109</v>
      </c>
      <c r="F1191" s="112" t="s">
        <v>31</v>
      </c>
      <c r="G1191" s="114">
        <v>6</v>
      </c>
      <c r="H1191" s="115" t="s">
        <v>355</v>
      </c>
    </row>
    <row r="1192" spans="1:8" ht="19.899999999999999" customHeight="1">
      <c r="A1192" s="121">
        <v>46039</v>
      </c>
      <c r="B1192" s="112" t="s">
        <v>38</v>
      </c>
      <c r="C1192" s="113" t="s">
        <v>345</v>
      </c>
      <c r="D1192" s="112" t="s">
        <v>341</v>
      </c>
      <c r="E1192" s="122">
        <v>1.989583333333333</v>
      </c>
      <c r="F1192" s="112" t="s">
        <v>43</v>
      </c>
      <c r="G1192" s="114">
        <v>17</v>
      </c>
      <c r="H1192" s="115" t="s">
        <v>503</v>
      </c>
    </row>
    <row r="1193" spans="1:8" ht="19.899999999999999" customHeight="1">
      <c r="A1193" s="121">
        <v>46039</v>
      </c>
      <c r="B1193" s="112" t="s">
        <v>26</v>
      </c>
      <c r="C1193" s="113" t="s">
        <v>351</v>
      </c>
      <c r="D1193" s="112" t="s">
        <v>341</v>
      </c>
      <c r="E1193" s="122">
        <v>1.836805555555556</v>
      </c>
      <c r="F1193" s="112" t="s">
        <v>28</v>
      </c>
      <c r="G1193" s="114">
        <v>5</v>
      </c>
      <c r="H1193" s="115" t="s">
        <v>467</v>
      </c>
    </row>
    <row r="1194" spans="1:8" ht="19.899999999999999" customHeight="1">
      <c r="A1194" s="121">
        <v>46039</v>
      </c>
      <c r="B1194" s="112" t="s">
        <v>26</v>
      </c>
      <c r="C1194" s="113" t="s">
        <v>353</v>
      </c>
      <c r="D1194" s="112" t="s">
        <v>341</v>
      </c>
      <c r="E1194" s="122">
        <v>1.8888888888888891</v>
      </c>
      <c r="F1194" s="112" t="s">
        <v>28</v>
      </c>
      <c r="G1194" s="114">
        <v>5</v>
      </c>
      <c r="H1194" s="115" t="s">
        <v>467</v>
      </c>
    </row>
    <row r="1195" spans="1:8" ht="19.899999999999999" customHeight="1">
      <c r="A1195" s="121">
        <v>46039</v>
      </c>
      <c r="B1195" s="112" t="s">
        <v>26</v>
      </c>
      <c r="C1195" s="113" t="s">
        <v>354</v>
      </c>
      <c r="D1195" s="112" t="s">
        <v>341</v>
      </c>
      <c r="E1195" s="122">
        <v>1.3472222222222221</v>
      </c>
      <c r="F1195" s="112" t="s">
        <v>31</v>
      </c>
      <c r="G1195" s="114">
        <v>9</v>
      </c>
      <c r="H1195" s="115" t="s">
        <v>163</v>
      </c>
    </row>
    <row r="1196" spans="1:8" ht="19.899999999999999" customHeight="1">
      <c r="A1196" s="121">
        <v>46039</v>
      </c>
      <c r="B1196" s="112" t="s">
        <v>26</v>
      </c>
      <c r="C1196" s="113" t="s">
        <v>348</v>
      </c>
      <c r="D1196" s="112" t="s">
        <v>341</v>
      </c>
      <c r="E1196" s="122">
        <v>1.993055555555556</v>
      </c>
      <c r="F1196" s="112" t="s">
        <v>31</v>
      </c>
      <c r="G1196" s="114">
        <v>5</v>
      </c>
      <c r="H1196" s="115" t="s">
        <v>163</v>
      </c>
    </row>
    <row r="1197" spans="1:8" ht="19.899999999999999" customHeight="1">
      <c r="A1197" s="121">
        <v>46039</v>
      </c>
      <c r="B1197" s="112" t="s">
        <v>26</v>
      </c>
      <c r="C1197" s="113" t="s">
        <v>352</v>
      </c>
      <c r="D1197" s="112" t="s">
        <v>341</v>
      </c>
      <c r="E1197" s="122">
        <v>1.944444444444444</v>
      </c>
      <c r="F1197" s="112" t="s">
        <v>31</v>
      </c>
      <c r="G1197" s="114">
        <v>9</v>
      </c>
      <c r="H1197" s="115" t="s">
        <v>163</v>
      </c>
    </row>
    <row r="1198" spans="1:8" ht="19.899999999999999" customHeight="1">
      <c r="A1198" s="121">
        <v>46039</v>
      </c>
      <c r="B1198" s="112" t="s">
        <v>26</v>
      </c>
      <c r="C1198" s="113" t="s">
        <v>356</v>
      </c>
      <c r="D1198" s="112" t="s">
        <v>341</v>
      </c>
      <c r="E1198" s="122">
        <v>1.4861111111111109</v>
      </c>
      <c r="F1198" s="112" t="s">
        <v>31</v>
      </c>
      <c r="G1198" s="114">
        <v>2</v>
      </c>
      <c r="H1198" s="115" t="s">
        <v>163</v>
      </c>
    </row>
    <row r="1199" spans="1:8" ht="19.899999999999999" customHeight="1">
      <c r="A1199" s="121">
        <v>46039</v>
      </c>
      <c r="B1199" s="112" t="s">
        <v>359</v>
      </c>
      <c r="C1199" s="113" t="s">
        <v>360</v>
      </c>
      <c r="D1199" s="112" t="s">
        <v>341</v>
      </c>
      <c r="E1199" s="122">
        <v>1.1701388888888891</v>
      </c>
      <c r="F1199" s="112" t="s">
        <v>46</v>
      </c>
      <c r="G1199" s="114">
        <v>9</v>
      </c>
      <c r="H1199" s="115" t="s">
        <v>505</v>
      </c>
    </row>
    <row r="1200" spans="1:8" ht="19.899999999999999" customHeight="1">
      <c r="A1200" s="121">
        <v>46039</v>
      </c>
      <c r="B1200" s="112" t="s">
        <v>359</v>
      </c>
      <c r="C1200" s="113" t="s">
        <v>445</v>
      </c>
      <c r="D1200" s="112" t="s">
        <v>341</v>
      </c>
      <c r="E1200" s="122">
        <v>1.055555555555556</v>
      </c>
      <c r="F1200" s="112" t="s">
        <v>46</v>
      </c>
      <c r="G1200" s="114">
        <v>9</v>
      </c>
      <c r="H1200" s="115" t="s">
        <v>505</v>
      </c>
    </row>
    <row r="1201" spans="1:8" ht="19.899999999999999" customHeight="1">
      <c r="A1201" s="121">
        <v>46039</v>
      </c>
      <c r="B1201" s="112" t="s">
        <v>38</v>
      </c>
      <c r="C1201" s="113" t="s">
        <v>342</v>
      </c>
      <c r="D1201" s="112" t="s">
        <v>341</v>
      </c>
      <c r="E1201" s="122">
        <v>1.489583333333333</v>
      </c>
      <c r="F1201" s="112" t="s">
        <v>43</v>
      </c>
      <c r="G1201" s="114">
        <v>13</v>
      </c>
      <c r="H1201" s="115" t="s">
        <v>511</v>
      </c>
    </row>
    <row r="1202" spans="1:8" ht="19.899999999999999" customHeight="1">
      <c r="A1202" s="121">
        <v>46039</v>
      </c>
      <c r="B1202" s="112" t="s">
        <v>38</v>
      </c>
      <c r="C1202" s="113" t="s">
        <v>344</v>
      </c>
      <c r="D1202" s="112" t="s">
        <v>341</v>
      </c>
      <c r="E1202" s="122">
        <v>1.8888888888888891</v>
      </c>
      <c r="F1202" s="112" t="s">
        <v>40</v>
      </c>
      <c r="G1202" s="114">
        <v>19</v>
      </c>
      <c r="H1202" s="115" t="s">
        <v>511</v>
      </c>
    </row>
    <row r="1203" spans="1:8" ht="19.899999999999999" customHeight="1">
      <c r="A1203" s="121">
        <v>46039</v>
      </c>
      <c r="B1203" s="112" t="s">
        <v>68</v>
      </c>
      <c r="C1203" s="113" t="s">
        <v>405</v>
      </c>
      <c r="D1203" s="112" t="s">
        <v>341</v>
      </c>
      <c r="E1203" s="122">
        <v>1.836805555555556</v>
      </c>
      <c r="F1203" s="112" t="s">
        <v>70</v>
      </c>
      <c r="G1203" s="114">
        <v>9</v>
      </c>
      <c r="H1203" s="115" t="s">
        <v>466</v>
      </c>
    </row>
    <row r="1204" spans="1:8" ht="19.899999999999999" customHeight="1">
      <c r="A1204" s="121">
        <v>46039</v>
      </c>
      <c r="B1204" s="112" t="s">
        <v>26</v>
      </c>
      <c r="C1204" s="113" t="s">
        <v>357</v>
      </c>
      <c r="D1204" s="112" t="s">
        <v>341</v>
      </c>
      <c r="E1204" s="122">
        <v>1.3923611111111109</v>
      </c>
      <c r="F1204" s="112" t="s">
        <v>34</v>
      </c>
      <c r="G1204" s="114">
        <v>6</v>
      </c>
      <c r="H1204" s="115" t="s">
        <v>358</v>
      </c>
    </row>
    <row r="1205" spans="1:8" ht="19.899999999999999" customHeight="1">
      <c r="A1205" s="121">
        <v>46039</v>
      </c>
      <c r="B1205" s="112" t="s">
        <v>26</v>
      </c>
      <c r="C1205" s="113" t="s">
        <v>350</v>
      </c>
      <c r="D1205" s="112" t="s">
        <v>341</v>
      </c>
      <c r="E1205" s="122">
        <v>1.7361111111111109</v>
      </c>
      <c r="F1205" s="112" t="s">
        <v>28</v>
      </c>
      <c r="G1205" s="114">
        <v>9</v>
      </c>
      <c r="H1205" s="115" t="s">
        <v>455</v>
      </c>
    </row>
    <row r="1206" spans="1:8" ht="19.899999999999999" customHeight="1">
      <c r="A1206" s="121">
        <v>46039</v>
      </c>
      <c r="B1206" s="112" t="s">
        <v>26</v>
      </c>
      <c r="C1206" s="113" t="s">
        <v>351</v>
      </c>
      <c r="D1206" s="112" t="s">
        <v>341</v>
      </c>
      <c r="E1206" s="122">
        <v>1.836805555555556</v>
      </c>
      <c r="F1206" s="112" t="s">
        <v>31</v>
      </c>
      <c r="G1206" s="114">
        <v>5</v>
      </c>
      <c r="H1206" s="115" t="s">
        <v>104</v>
      </c>
    </row>
    <row r="1207" spans="1:8" ht="19.899999999999999" customHeight="1">
      <c r="A1207" s="121">
        <v>46039</v>
      </c>
      <c r="B1207" s="112" t="s">
        <v>26</v>
      </c>
      <c r="C1207" s="113" t="s">
        <v>353</v>
      </c>
      <c r="D1207" s="112" t="s">
        <v>341</v>
      </c>
      <c r="E1207" s="122">
        <v>1.8888888888888891</v>
      </c>
      <c r="F1207" s="112" t="s">
        <v>31</v>
      </c>
      <c r="G1207" s="114">
        <v>5</v>
      </c>
      <c r="H1207" s="115" t="s">
        <v>104</v>
      </c>
    </row>
    <row r="1208" spans="1:8" ht="19.899999999999999" customHeight="1">
      <c r="A1208" s="121">
        <v>46039</v>
      </c>
      <c r="B1208" s="112" t="s">
        <v>26</v>
      </c>
      <c r="C1208" s="113" t="s">
        <v>354</v>
      </c>
      <c r="D1208" s="112" t="s">
        <v>341</v>
      </c>
      <c r="E1208" s="122">
        <v>1.3472222222222221</v>
      </c>
      <c r="F1208" s="112" t="s">
        <v>34</v>
      </c>
      <c r="G1208" s="114">
        <v>9</v>
      </c>
      <c r="H1208" s="115" t="s">
        <v>119</v>
      </c>
    </row>
    <row r="1209" spans="1:8" ht="19.899999999999999" customHeight="1">
      <c r="A1209" s="121">
        <v>46039</v>
      </c>
      <c r="B1209" s="112" t="s">
        <v>26</v>
      </c>
      <c r="C1209" s="113" t="s">
        <v>348</v>
      </c>
      <c r="D1209" s="112" t="s">
        <v>341</v>
      </c>
      <c r="E1209" s="122">
        <v>1.993055555555556</v>
      </c>
      <c r="F1209" s="112" t="s">
        <v>34</v>
      </c>
      <c r="G1209" s="114">
        <v>5</v>
      </c>
      <c r="H1209" s="115" t="s">
        <v>119</v>
      </c>
    </row>
    <row r="1210" spans="1:8" ht="19.899999999999999" customHeight="1">
      <c r="A1210" s="121">
        <v>46039</v>
      </c>
      <c r="B1210" s="112" t="s">
        <v>26</v>
      </c>
      <c r="C1210" s="113" t="s">
        <v>352</v>
      </c>
      <c r="D1210" s="112" t="s">
        <v>341</v>
      </c>
      <c r="E1210" s="122">
        <v>1.944444444444444</v>
      </c>
      <c r="F1210" s="112" t="s">
        <v>34</v>
      </c>
      <c r="G1210" s="114">
        <v>9</v>
      </c>
      <c r="H1210" s="115" t="s">
        <v>119</v>
      </c>
    </row>
    <row r="1211" spans="1:8" ht="19.899999999999999" customHeight="1">
      <c r="A1211" s="121">
        <v>46039</v>
      </c>
      <c r="B1211" s="112" t="s">
        <v>26</v>
      </c>
      <c r="C1211" s="113" t="s">
        <v>356</v>
      </c>
      <c r="D1211" s="112" t="s">
        <v>341</v>
      </c>
      <c r="E1211" s="122">
        <v>1.4861111111111109</v>
      </c>
      <c r="F1211" s="112" t="s">
        <v>34</v>
      </c>
      <c r="G1211" s="114">
        <v>2</v>
      </c>
      <c r="H1211" s="115" t="s">
        <v>119</v>
      </c>
    </row>
    <row r="1212" spans="1:8" ht="19.899999999999999" customHeight="1">
      <c r="A1212" s="121">
        <v>46039</v>
      </c>
      <c r="B1212" s="112" t="s">
        <v>38</v>
      </c>
      <c r="C1212" s="113" t="s">
        <v>346</v>
      </c>
      <c r="D1212" s="112" t="s">
        <v>341</v>
      </c>
      <c r="E1212" s="122">
        <v>1.399305555555556</v>
      </c>
      <c r="F1212" s="112" t="s">
        <v>46</v>
      </c>
      <c r="G1212" s="114">
        <v>10</v>
      </c>
      <c r="H1212" s="115" t="s">
        <v>47</v>
      </c>
    </row>
    <row r="1213" spans="1:8" ht="19.899999999999999" customHeight="1">
      <c r="A1213" s="121">
        <v>46039</v>
      </c>
      <c r="B1213" s="112" t="s">
        <v>38</v>
      </c>
      <c r="C1213" s="113" t="s">
        <v>342</v>
      </c>
      <c r="D1213" s="112" t="s">
        <v>341</v>
      </c>
      <c r="E1213" s="122">
        <v>1.489583333333333</v>
      </c>
      <c r="F1213" s="112" t="s">
        <v>46</v>
      </c>
      <c r="G1213" s="114">
        <v>13</v>
      </c>
      <c r="H1213" s="115" t="s">
        <v>47</v>
      </c>
    </row>
    <row r="1214" spans="1:8" ht="19.899999999999999" customHeight="1">
      <c r="A1214" s="121">
        <v>46039</v>
      </c>
      <c r="B1214" s="112" t="s">
        <v>38</v>
      </c>
      <c r="C1214" s="113" t="s">
        <v>345</v>
      </c>
      <c r="D1214" s="112" t="s">
        <v>341</v>
      </c>
      <c r="E1214" s="122">
        <v>1.989583333333333</v>
      </c>
      <c r="F1214" s="112" t="s">
        <v>46</v>
      </c>
      <c r="G1214" s="114">
        <v>17</v>
      </c>
      <c r="H1214" s="115" t="s">
        <v>47</v>
      </c>
    </row>
    <row r="1215" spans="1:8" ht="19.899999999999999" customHeight="1">
      <c r="A1215" s="121">
        <v>46039</v>
      </c>
      <c r="B1215" s="112" t="s">
        <v>38</v>
      </c>
      <c r="C1215" s="113" t="s">
        <v>344</v>
      </c>
      <c r="D1215" s="112" t="s">
        <v>341</v>
      </c>
      <c r="E1215" s="122">
        <v>1.8888888888888891</v>
      </c>
      <c r="F1215" s="112" t="s">
        <v>43</v>
      </c>
      <c r="G1215" s="114">
        <v>19</v>
      </c>
      <c r="H1215" s="115" t="s">
        <v>456</v>
      </c>
    </row>
    <row r="1216" spans="1:8" ht="19.899999999999999" customHeight="1">
      <c r="A1216" s="121">
        <v>46039</v>
      </c>
      <c r="B1216" s="112" t="s">
        <v>26</v>
      </c>
      <c r="C1216" s="113" t="s">
        <v>350</v>
      </c>
      <c r="D1216" s="112" t="s">
        <v>341</v>
      </c>
      <c r="E1216" s="122">
        <v>1.7361111111111109</v>
      </c>
      <c r="F1216" s="112" t="s">
        <v>31</v>
      </c>
      <c r="G1216" s="114">
        <v>9</v>
      </c>
      <c r="H1216" s="115" t="s">
        <v>456</v>
      </c>
    </row>
    <row r="1217" spans="1:8" ht="19.899999999999999" customHeight="1">
      <c r="A1217" s="121">
        <v>46039</v>
      </c>
      <c r="B1217" s="112" t="s">
        <v>26</v>
      </c>
      <c r="C1217" s="113" t="s">
        <v>351</v>
      </c>
      <c r="D1217" s="112" t="s">
        <v>341</v>
      </c>
      <c r="E1217" s="122">
        <v>1.836805555555556</v>
      </c>
      <c r="F1217" s="112" t="s">
        <v>34</v>
      </c>
      <c r="G1217" s="114">
        <v>5</v>
      </c>
      <c r="H1217" s="115" t="s">
        <v>456</v>
      </c>
    </row>
    <row r="1218" spans="1:8" ht="19.899999999999999" customHeight="1">
      <c r="A1218" s="121">
        <v>46039</v>
      </c>
      <c r="B1218" s="112" t="s">
        <v>26</v>
      </c>
      <c r="C1218" s="113" t="s">
        <v>353</v>
      </c>
      <c r="D1218" s="112" t="s">
        <v>341</v>
      </c>
      <c r="E1218" s="122">
        <v>1.8888888888888891</v>
      </c>
      <c r="F1218" s="112" t="s">
        <v>34</v>
      </c>
      <c r="G1218" s="114">
        <v>5</v>
      </c>
      <c r="H1218" s="115" t="s">
        <v>456</v>
      </c>
    </row>
    <row r="1219" spans="1:8" ht="19.899999999999999" customHeight="1">
      <c r="A1219" s="121">
        <v>46039</v>
      </c>
      <c r="B1219" s="112" t="s">
        <v>26</v>
      </c>
      <c r="C1219" s="113" t="s">
        <v>350</v>
      </c>
      <c r="D1219" s="112" t="s">
        <v>341</v>
      </c>
      <c r="E1219" s="122">
        <v>1.7361111111111109</v>
      </c>
      <c r="F1219" s="112" t="s">
        <v>34</v>
      </c>
      <c r="G1219" s="114">
        <v>9</v>
      </c>
      <c r="H1219" s="115" t="s">
        <v>457</v>
      </c>
    </row>
    <row r="1220" spans="1:8" ht="19.899999999999999" customHeight="1">
      <c r="A1220" s="121">
        <v>46039</v>
      </c>
      <c r="B1220" s="112" t="s">
        <v>48</v>
      </c>
      <c r="C1220" s="113" t="s">
        <v>398</v>
      </c>
      <c r="D1220" s="112" t="s">
        <v>341</v>
      </c>
      <c r="E1220" s="122">
        <v>1.399305555555556</v>
      </c>
      <c r="F1220" s="112" t="s">
        <v>53</v>
      </c>
      <c r="G1220" s="114">
        <v>4</v>
      </c>
      <c r="H1220" s="115" t="s">
        <v>464</v>
      </c>
    </row>
    <row r="1221" spans="1:8" ht="19.899999999999999" customHeight="1">
      <c r="A1221" s="121">
        <v>46039</v>
      </c>
      <c r="B1221" s="112" t="s">
        <v>48</v>
      </c>
      <c r="C1221" s="113" t="s">
        <v>394</v>
      </c>
      <c r="D1221" s="112" t="s">
        <v>341</v>
      </c>
      <c r="E1221" s="122">
        <v>1.989583333333333</v>
      </c>
      <c r="F1221" s="112" t="s">
        <v>53</v>
      </c>
      <c r="G1221" s="114">
        <v>4</v>
      </c>
      <c r="H1221" s="115" t="s">
        <v>452</v>
      </c>
    </row>
    <row r="1222" spans="1:8" ht="19.899999999999999" customHeight="1">
      <c r="A1222" s="121">
        <v>46039</v>
      </c>
      <c r="B1222" s="112" t="s">
        <v>48</v>
      </c>
      <c r="C1222" s="113" t="s">
        <v>391</v>
      </c>
      <c r="D1222" s="112" t="s">
        <v>341</v>
      </c>
      <c r="E1222" s="122">
        <v>1.489583333333333</v>
      </c>
      <c r="F1222" s="112" t="s">
        <v>53</v>
      </c>
      <c r="G1222" s="114">
        <v>9</v>
      </c>
      <c r="H1222" s="115" t="s">
        <v>439</v>
      </c>
    </row>
    <row r="1223" spans="1:8" ht="19.899999999999999" customHeight="1">
      <c r="A1223" s="121">
        <v>46039</v>
      </c>
      <c r="B1223" s="112" t="s">
        <v>48</v>
      </c>
      <c r="C1223" s="113" t="s">
        <v>382</v>
      </c>
      <c r="D1223" s="112" t="s">
        <v>341</v>
      </c>
      <c r="E1223" s="122">
        <v>1.118055555555556</v>
      </c>
      <c r="F1223" s="112" t="s">
        <v>53</v>
      </c>
      <c r="G1223" s="114">
        <v>9</v>
      </c>
      <c r="H1223" s="115" t="s">
        <v>439</v>
      </c>
    </row>
    <row r="1224" spans="1:8" ht="19.899999999999999" customHeight="1">
      <c r="A1224" s="121">
        <v>46039</v>
      </c>
      <c r="B1224" s="112" t="s">
        <v>48</v>
      </c>
      <c r="C1224" s="113" t="s">
        <v>389</v>
      </c>
      <c r="D1224" s="112" t="s">
        <v>341</v>
      </c>
      <c r="E1224" s="122">
        <v>1.7048611111111109</v>
      </c>
      <c r="F1224" s="112" t="s">
        <v>53</v>
      </c>
      <c r="G1224" s="114">
        <v>9</v>
      </c>
      <c r="H1224" s="115" t="s">
        <v>439</v>
      </c>
    </row>
    <row r="1225" spans="1:8" ht="19.899999999999999" customHeight="1">
      <c r="A1225" s="121">
        <v>46039</v>
      </c>
      <c r="B1225" s="112" t="s">
        <v>48</v>
      </c>
      <c r="C1225" s="113" t="s">
        <v>400</v>
      </c>
      <c r="D1225" s="112" t="s">
        <v>341</v>
      </c>
      <c r="E1225" s="122">
        <v>1.2534722222222221</v>
      </c>
      <c r="F1225" s="112" t="s">
        <v>53</v>
      </c>
      <c r="G1225" s="114">
        <v>9</v>
      </c>
      <c r="H1225" s="115" t="s">
        <v>439</v>
      </c>
    </row>
    <row r="1226" spans="1:8" ht="19.899999999999999" customHeight="1">
      <c r="A1226" s="121">
        <v>46039</v>
      </c>
      <c r="B1226" s="112" t="s">
        <v>48</v>
      </c>
      <c r="C1226" s="113" t="s">
        <v>390</v>
      </c>
      <c r="D1226" s="112" t="s">
        <v>341</v>
      </c>
      <c r="E1226" s="122">
        <v>1.041666666666667</v>
      </c>
      <c r="F1226" s="112" t="s">
        <v>53</v>
      </c>
      <c r="G1226" s="114">
        <v>9</v>
      </c>
      <c r="H1226" s="115" t="s">
        <v>439</v>
      </c>
    </row>
    <row r="1227" spans="1:8" ht="19.899999999999999" customHeight="1">
      <c r="A1227" s="121">
        <v>46039</v>
      </c>
      <c r="B1227" s="112" t="s">
        <v>48</v>
      </c>
      <c r="C1227" s="113" t="s">
        <v>385</v>
      </c>
      <c r="D1227" s="112" t="s">
        <v>341</v>
      </c>
      <c r="E1227" s="122">
        <v>1.9409722222222221</v>
      </c>
      <c r="F1227" s="112" t="s">
        <v>53</v>
      </c>
      <c r="G1227" s="114">
        <v>9</v>
      </c>
      <c r="H1227" s="115" t="s">
        <v>439</v>
      </c>
    </row>
    <row r="1228" spans="1:8" ht="19.899999999999999" customHeight="1">
      <c r="A1228" s="121">
        <v>46039</v>
      </c>
      <c r="B1228" s="112" t="s">
        <v>38</v>
      </c>
      <c r="C1228" s="113" t="s">
        <v>344</v>
      </c>
      <c r="D1228" s="112" t="s">
        <v>341</v>
      </c>
      <c r="E1228" s="122">
        <v>1.8888888888888891</v>
      </c>
      <c r="F1228" s="112" t="s">
        <v>46</v>
      </c>
      <c r="G1228" s="114">
        <v>19</v>
      </c>
      <c r="H1228" s="115" t="s">
        <v>419</v>
      </c>
    </row>
    <row r="1229" spans="1:8" ht="19.899999999999999" customHeight="1">
      <c r="A1229" s="121">
        <v>46039</v>
      </c>
      <c r="B1229" s="112" t="s">
        <v>48</v>
      </c>
      <c r="C1229" s="113" t="s">
        <v>396</v>
      </c>
      <c r="D1229" s="112" t="s">
        <v>341</v>
      </c>
      <c r="E1229" s="122">
        <v>1.489583333333333</v>
      </c>
      <c r="F1229" s="112" t="s">
        <v>53</v>
      </c>
      <c r="G1229" s="114">
        <v>4</v>
      </c>
      <c r="H1229" s="115" t="s">
        <v>518</v>
      </c>
    </row>
    <row r="1230" spans="1:8" ht="19.899999999999999" customHeight="1">
      <c r="A1230" s="121">
        <v>46039</v>
      </c>
      <c r="B1230" s="112" t="s">
        <v>48</v>
      </c>
      <c r="C1230" s="113" t="s">
        <v>386</v>
      </c>
      <c r="D1230" s="112" t="s">
        <v>341</v>
      </c>
      <c r="E1230" s="122">
        <v>1.8298611111111109</v>
      </c>
      <c r="F1230" s="112" t="s">
        <v>53</v>
      </c>
      <c r="G1230" s="114">
        <v>9</v>
      </c>
      <c r="H1230" s="115" t="s">
        <v>453</v>
      </c>
    </row>
    <row r="1231" spans="1:8" ht="19.899999999999999" customHeight="1">
      <c r="A1231" s="121">
        <v>46039</v>
      </c>
      <c r="B1231" s="112" t="s">
        <v>48</v>
      </c>
      <c r="C1231" s="113" t="s">
        <v>388</v>
      </c>
      <c r="D1231" s="112" t="s">
        <v>341</v>
      </c>
      <c r="E1231" s="122">
        <v>1.7222222222222221</v>
      </c>
      <c r="F1231" s="112" t="s">
        <v>53</v>
      </c>
      <c r="G1231" s="114">
        <v>9</v>
      </c>
      <c r="H1231" s="115" t="s">
        <v>453</v>
      </c>
    </row>
    <row r="1232" spans="1:8" ht="19.899999999999999" customHeight="1">
      <c r="A1232" s="121">
        <v>46039</v>
      </c>
      <c r="B1232" s="112" t="s">
        <v>48</v>
      </c>
      <c r="C1232" s="113" t="s">
        <v>397</v>
      </c>
      <c r="D1232" s="112" t="s">
        <v>341</v>
      </c>
      <c r="E1232" s="122">
        <v>1.8888888888888891</v>
      </c>
      <c r="F1232" s="112" t="s">
        <v>53</v>
      </c>
      <c r="G1232" s="114">
        <v>4</v>
      </c>
      <c r="H1232" s="115" t="s">
        <v>519</v>
      </c>
    </row>
    <row r="1233" spans="1:8" ht="19.899999999999999" customHeight="1">
      <c r="A1233" s="123">
        <v>46039</v>
      </c>
      <c r="B1233" s="124" t="s">
        <v>415</v>
      </c>
      <c r="C1233" s="125" t="s">
        <v>416</v>
      </c>
      <c r="D1233" s="124" t="s">
        <v>341</v>
      </c>
      <c r="E1233" s="126">
        <v>1.0972222222222221</v>
      </c>
      <c r="F1233" s="124" t="s">
        <v>63</v>
      </c>
      <c r="G1233" s="127">
        <v>9</v>
      </c>
      <c r="H1233" s="128" t="s">
        <v>417</v>
      </c>
    </row>
    <row r="1234" spans="1:8" ht="19.899999999999999" customHeight="1">
      <c r="A1234" s="121">
        <v>46040</v>
      </c>
      <c r="B1234" s="112" t="s">
        <v>38</v>
      </c>
      <c r="C1234" s="113" t="s">
        <v>346</v>
      </c>
      <c r="D1234" s="112" t="s">
        <v>341</v>
      </c>
      <c r="E1234" s="122">
        <v>1.399305555555556</v>
      </c>
      <c r="F1234" s="112" t="s">
        <v>40</v>
      </c>
      <c r="G1234" s="114">
        <v>13</v>
      </c>
      <c r="H1234" s="115" t="s">
        <v>347</v>
      </c>
    </row>
    <row r="1235" spans="1:8" ht="19.899999999999999" customHeight="1">
      <c r="A1235" s="121">
        <v>46040</v>
      </c>
      <c r="B1235" s="112" t="s">
        <v>38</v>
      </c>
      <c r="C1235" s="113" t="s">
        <v>342</v>
      </c>
      <c r="D1235" s="112" t="s">
        <v>341</v>
      </c>
      <c r="E1235" s="122">
        <v>1.489583333333333</v>
      </c>
      <c r="F1235" s="112" t="s">
        <v>40</v>
      </c>
      <c r="G1235" s="114">
        <v>20</v>
      </c>
      <c r="H1235" s="115" t="s">
        <v>347</v>
      </c>
    </row>
    <row r="1236" spans="1:8" ht="19.899999999999999" customHeight="1">
      <c r="A1236" s="121">
        <v>46040</v>
      </c>
      <c r="B1236" s="112" t="s">
        <v>359</v>
      </c>
      <c r="C1236" s="113" t="s">
        <v>360</v>
      </c>
      <c r="D1236" s="112" t="s">
        <v>341</v>
      </c>
      <c r="E1236" s="122">
        <v>1.229166666666667</v>
      </c>
      <c r="F1236" s="112" t="s">
        <v>361</v>
      </c>
      <c r="G1236" s="114">
        <v>9</v>
      </c>
      <c r="H1236" s="115" t="s">
        <v>504</v>
      </c>
    </row>
    <row r="1237" spans="1:8" ht="19.899999999999999" customHeight="1">
      <c r="A1237" s="121">
        <v>46040</v>
      </c>
      <c r="B1237" s="112" t="s">
        <v>38</v>
      </c>
      <c r="C1237" s="113" t="s">
        <v>345</v>
      </c>
      <c r="D1237" s="112" t="s">
        <v>341</v>
      </c>
      <c r="E1237" s="122">
        <v>1.989583333333333</v>
      </c>
      <c r="F1237" s="112" t="s">
        <v>40</v>
      </c>
      <c r="G1237" s="114">
        <v>13</v>
      </c>
      <c r="H1237" s="115" t="s">
        <v>349</v>
      </c>
    </row>
    <row r="1238" spans="1:8" ht="19.899999999999999" customHeight="1">
      <c r="A1238" s="121">
        <v>46040</v>
      </c>
      <c r="B1238" s="112" t="s">
        <v>402</v>
      </c>
      <c r="C1238" s="113" t="s">
        <v>403</v>
      </c>
      <c r="D1238" s="112" t="s">
        <v>341</v>
      </c>
      <c r="E1238" s="122">
        <v>1.493055555555556</v>
      </c>
      <c r="F1238" s="112" t="s">
        <v>63</v>
      </c>
      <c r="G1238" s="114">
        <v>5</v>
      </c>
      <c r="H1238" s="115" t="s">
        <v>404</v>
      </c>
    </row>
    <row r="1239" spans="1:8" ht="19.899999999999999" customHeight="1">
      <c r="A1239" s="121">
        <v>46040</v>
      </c>
      <c r="B1239" s="112" t="s">
        <v>402</v>
      </c>
      <c r="C1239" s="113" t="s">
        <v>465</v>
      </c>
      <c r="D1239" s="112" t="s">
        <v>341</v>
      </c>
      <c r="E1239" s="122">
        <v>1.2048611111111109</v>
      </c>
      <c r="F1239" s="112" t="s">
        <v>63</v>
      </c>
      <c r="G1239" s="114">
        <v>5</v>
      </c>
      <c r="H1239" s="115" t="s">
        <v>404</v>
      </c>
    </row>
    <row r="1240" spans="1:8" ht="19.899999999999999" customHeight="1">
      <c r="A1240" s="129">
        <v>46040</v>
      </c>
      <c r="B1240" s="117" t="s">
        <v>61</v>
      </c>
      <c r="C1240" s="118" t="s">
        <v>369</v>
      </c>
      <c r="D1240" s="117" t="s">
        <v>341</v>
      </c>
      <c r="E1240" s="130">
        <v>1.15625</v>
      </c>
      <c r="F1240" s="117" t="s">
        <v>63</v>
      </c>
      <c r="G1240" s="119">
        <v>9</v>
      </c>
      <c r="H1240" s="120" t="s">
        <v>79</v>
      </c>
    </row>
    <row r="1241" spans="1:8" ht="19.899999999999999" customHeight="1">
      <c r="A1241" s="129">
        <v>46040</v>
      </c>
      <c r="B1241" s="117" t="s">
        <v>61</v>
      </c>
      <c r="C1241" s="118" t="s">
        <v>432</v>
      </c>
      <c r="D1241" s="117" t="s">
        <v>341</v>
      </c>
      <c r="E1241" s="130">
        <v>1.333333333333333</v>
      </c>
      <c r="F1241" s="117" t="s">
        <v>63</v>
      </c>
      <c r="G1241" s="119">
        <v>7</v>
      </c>
      <c r="H1241" s="120" t="s">
        <v>79</v>
      </c>
    </row>
    <row r="1242" spans="1:8" ht="19.899999999999999" customHeight="1">
      <c r="A1242" s="129">
        <v>46040</v>
      </c>
      <c r="B1242" s="117" t="s">
        <v>61</v>
      </c>
      <c r="C1242" s="118" t="s">
        <v>377</v>
      </c>
      <c r="D1242" s="117" t="s">
        <v>341</v>
      </c>
      <c r="E1242" s="130">
        <v>1.4548611111111109</v>
      </c>
      <c r="F1242" s="117" t="s">
        <v>63</v>
      </c>
      <c r="G1242" s="119">
        <v>1</v>
      </c>
      <c r="H1242" s="120" t="s">
        <v>79</v>
      </c>
    </row>
    <row r="1243" spans="1:8" ht="19.899999999999999" customHeight="1">
      <c r="A1243" s="129">
        <v>46040</v>
      </c>
      <c r="B1243" s="117" t="s">
        <v>61</v>
      </c>
      <c r="C1243" s="118" t="s">
        <v>379</v>
      </c>
      <c r="D1243" s="117" t="s">
        <v>341</v>
      </c>
      <c r="E1243" s="130">
        <v>1.8298611111111109</v>
      </c>
      <c r="F1243" s="117" t="s">
        <v>63</v>
      </c>
      <c r="G1243" s="119">
        <v>1</v>
      </c>
      <c r="H1243" s="120" t="s">
        <v>79</v>
      </c>
    </row>
    <row r="1244" spans="1:8" ht="19.899999999999999" customHeight="1">
      <c r="A1244" s="121">
        <v>46040</v>
      </c>
      <c r="B1244" s="112" t="s">
        <v>26</v>
      </c>
      <c r="C1244" s="113" t="s">
        <v>353</v>
      </c>
      <c r="D1244" s="112" t="s">
        <v>341</v>
      </c>
      <c r="E1244" s="122">
        <v>1.8888888888888891</v>
      </c>
      <c r="F1244" s="112" t="s">
        <v>28</v>
      </c>
      <c r="G1244" s="114">
        <v>4</v>
      </c>
      <c r="H1244" s="115" t="s">
        <v>79</v>
      </c>
    </row>
    <row r="1245" spans="1:8" ht="19.899999999999999" customHeight="1">
      <c r="A1245" s="121">
        <v>46040</v>
      </c>
      <c r="B1245" s="112" t="s">
        <v>26</v>
      </c>
      <c r="C1245" s="113" t="s">
        <v>354</v>
      </c>
      <c r="D1245" s="112" t="s">
        <v>341</v>
      </c>
      <c r="E1245" s="122">
        <v>1.3472222222222221</v>
      </c>
      <c r="F1245" s="112" t="s">
        <v>28</v>
      </c>
      <c r="G1245" s="114">
        <v>5</v>
      </c>
      <c r="H1245" s="115" t="s">
        <v>45</v>
      </c>
    </row>
    <row r="1246" spans="1:8" ht="19.899999999999999" customHeight="1">
      <c r="A1246" s="121">
        <v>46040</v>
      </c>
      <c r="B1246" s="112" t="s">
        <v>26</v>
      </c>
      <c r="C1246" s="113" t="s">
        <v>348</v>
      </c>
      <c r="D1246" s="112" t="s">
        <v>341</v>
      </c>
      <c r="E1246" s="122">
        <v>1.993055555555556</v>
      </c>
      <c r="F1246" s="112" t="s">
        <v>28</v>
      </c>
      <c r="G1246" s="114">
        <v>5</v>
      </c>
      <c r="H1246" s="115" t="s">
        <v>45</v>
      </c>
    </row>
    <row r="1247" spans="1:8" ht="19.899999999999999" customHeight="1">
      <c r="A1247" s="121">
        <v>46040</v>
      </c>
      <c r="B1247" s="112" t="s">
        <v>26</v>
      </c>
      <c r="C1247" s="113" t="s">
        <v>350</v>
      </c>
      <c r="D1247" s="112" t="s">
        <v>341</v>
      </c>
      <c r="E1247" s="122">
        <v>1.7361111111111109</v>
      </c>
      <c r="F1247" s="112" t="s">
        <v>28</v>
      </c>
      <c r="G1247" s="114">
        <v>5</v>
      </c>
      <c r="H1247" s="115" t="s">
        <v>45</v>
      </c>
    </row>
    <row r="1248" spans="1:8" ht="19.899999999999999" customHeight="1">
      <c r="A1248" s="121">
        <v>46040</v>
      </c>
      <c r="B1248" s="112" t="s">
        <v>26</v>
      </c>
      <c r="C1248" s="113" t="s">
        <v>351</v>
      </c>
      <c r="D1248" s="112" t="s">
        <v>341</v>
      </c>
      <c r="E1248" s="122">
        <v>1.836805555555556</v>
      </c>
      <c r="F1248" s="112" t="s">
        <v>28</v>
      </c>
      <c r="G1248" s="114">
        <v>3</v>
      </c>
      <c r="H1248" s="115" t="s">
        <v>45</v>
      </c>
    </row>
    <row r="1249" spans="1:8" ht="19.899999999999999" customHeight="1">
      <c r="A1249" s="121">
        <v>46040</v>
      </c>
      <c r="B1249" s="112" t="s">
        <v>26</v>
      </c>
      <c r="C1249" s="113" t="s">
        <v>352</v>
      </c>
      <c r="D1249" s="112" t="s">
        <v>341</v>
      </c>
      <c r="E1249" s="122">
        <v>1.944444444444444</v>
      </c>
      <c r="F1249" s="112" t="s">
        <v>28</v>
      </c>
      <c r="G1249" s="114">
        <v>6</v>
      </c>
      <c r="H1249" s="115" t="s">
        <v>45</v>
      </c>
    </row>
    <row r="1250" spans="1:8" ht="19.899999999999999" customHeight="1">
      <c r="A1250" s="121">
        <v>46040</v>
      </c>
      <c r="B1250" s="112" t="s">
        <v>26</v>
      </c>
      <c r="C1250" s="113" t="s">
        <v>356</v>
      </c>
      <c r="D1250" s="112" t="s">
        <v>341</v>
      </c>
      <c r="E1250" s="122">
        <v>1.4861111111111109</v>
      </c>
      <c r="F1250" s="112" t="s">
        <v>28</v>
      </c>
      <c r="G1250" s="114">
        <v>4</v>
      </c>
      <c r="H1250" s="115" t="s">
        <v>45</v>
      </c>
    </row>
    <row r="1251" spans="1:8" ht="19.899999999999999" customHeight="1">
      <c r="A1251" s="121">
        <v>46040</v>
      </c>
      <c r="B1251" s="112" t="s">
        <v>26</v>
      </c>
      <c r="C1251" s="113" t="s">
        <v>357</v>
      </c>
      <c r="D1251" s="112" t="s">
        <v>341</v>
      </c>
      <c r="E1251" s="122">
        <v>1.3923611111111109</v>
      </c>
      <c r="F1251" s="112" t="s">
        <v>28</v>
      </c>
      <c r="G1251" s="114">
        <v>9</v>
      </c>
      <c r="H1251" s="115" t="s">
        <v>45</v>
      </c>
    </row>
    <row r="1252" spans="1:8" ht="19.899999999999999" customHeight="1">
      <c r="A1252" s="129">
        <v>46040</v>
      </c>
      <c r="B1252" s="117" t="s">
        <v>61</v>
      </c>
      <c r="C1252" s="118" t="s">
        <v>375</v>
      </c>
      <c r="D1252" s="117" t="s">
        <v>341</v>
      </c>
      <c r="E1252" s="130">
        <v>1.1423611111111109</v>
      </c>
      <c r="F1252" s="117" t="s">
        <v>63</v>
      </c>
      <c r="G1252" s="119">
        <v>9</v>
      </c>
      <c r="H1252" s="120" t="s">
        <v>449</v>
      </c>
    </row>
    <row r="1253" spans="1:8" ht="19.899999999999999" customHeight="1">
      <c r="A1253" s="121">
        <v>46040</v>
      </c>
      <c r="B1253" s="112" t="s">
        <v>38</v>
      </c>
      <c r="C1253" s="113" t="s">
        <v>346</v>
      </c>
      <c r="D1253" s="112" t="s">
        <v>341</v>
      </c>
      <c r="E1253" s="122">
        <v>1.399305555555556</v>
      </c>
      <c r="F1253" s="112" t="s">
        <v>43</v>
      </c>
      <c r="G1253" s="114">
        <v>13</v>
      </c>
      <c r="H1253" s="115" t="s">
        <v>138</v>
      </c>
    </row>
    <row r="1254" spans="1:8" ht="19.899999999999999" customHeight="1">
      <c r="A1254" s="121">
        <v>46040</v>
      </c>
      <c r="B1254" s="112" t="s">
        <v>38</v>
      </c>
      <c r="C1254" s="113" t="s">
        <v>342</v>
      </c>
      <c r="D1254" s="112" t="s">
        <v>341</v>
      </c>
      <c r="E1254" s="122">
        <v>1.489583333333333</v>
      </c>
      <c r="F1254" s="112" t="s">
        <v>43</v>
      </c>
      <c r="G1254" s="114">
        <v>20</v>
      </c>
      <c r="H1254" s="115" t="s">
        <v>138</v>
      </c>
    </row>
    <row r="1255" spans="1:8" ht="19.899999999999999" customHeight="1">
      <c r="A1255" s="121">
        <v>46040</v>
      </c>
      <c r="B1255" s="112" t="s">
        <v>26</v>
      </c>
      <c r="C1255" s="113" t="s">
        <v>353</v>
      </c>
      <c r="D1255" s="112" t="s">
        <v>341</v>
      </c>
      <c r="E1255" s="122">
        <v>1.8888888888888891</v>
      </c>
      <c r="F1255" s="112" t="s">
        <v>31</v>
      </c>
      <c r="G1255" s="114">
        <v>4</v>
      </c>
      <c r="H1255" s="115" t="s">
        <v>123</v>
      </c>
    </row>
    <row r="1256" spans="1:8" ht="19.899999999999999" customHeight="1">
      <c r="A1256" s="121">
        <v>46040</v>
      </c>
      <c r="B1256" s="112" t="s">
        <v>38</v>
      </c>
      <c r="C1256" s="113" t="s">
        <v>344</v>
      </c>
      <c r="D1256" s="112" t="s">
        <v>341</v>
      </c>
      <c r="E1256" s="122">
        <v>1.8888888888888891</v>
      </c>
      <c r="F1256" s="112" t="s">
        <v>40</v>
      </c>
      <c r="G1256" s="114">
        <v>15</v>
      </c>
      <c r="H1256" s="115" t="s">
        <v>150</v>
      </c>
    </row>
    <row r="1257" spans="1:8" ht="19.899999999999999" customHeight="1">
      <c r="A1257" s="121">
        <v>46040</v>
      </c>
      <c r="B1257" s="112" t="s">
        <v>38</v>
      </c>
      <c r="C1257" s="113" t="s">
        <v>345</v>
      </c>
      <c r="D1257" s="112" t="s">
        <v>341</v>
      </c>
      <c r="E1257" s="122">
        <v>1.989583333333333</v>
      </c>
      <c r="F1257" s="112" t="s">
        <v>43</v>
      </c>
      <c r="G1257" s="114">
        <v>13</v>
      </c>
      <c r="H1257" s="115" t="s">
        <v>443</v>
      </c>
    </row>
    <row r="1258" spans="1:8" ht="19.899999999999999" customHeight="1">
      <c r="A1258" s="121">
        <v>46040</v>
      </c>
      <c r="B1258" s="112" t="s">
        <v>68</v>
      </c>
      <c r="C1258" s="113" t="s">
        <v>407</v>
      </c>
      <c r="D1258" s="112" t="s">
        <v>341</v>
      </c>
      <c r="E1258" s="122">
        <v>1.3125</v>
      </c>
      <c r="F1258" s="112" t="s">
        <v>70</v>
      </c>
      <c r="G1258" s="114">
        <v>9</v>
      </c>
      <c r="H1258" s="115" t="s">
        <v>412</v>
      </c>
    </row>
    <row r="1259" spans="1:8" ht="19.899999999999999" customHeight="1">
      <c r="A1259" s="121">
        <v>46040</v>
      </c>
      <c r="B1259" s="112" t="s">
        <v>68</v>
      </c>
      <c r="C1259" s="113" t="s">
        <v>408</v>
      </c>
      <c r="D1259" s="112" t="s">
        <v>341</v>
      </c>
      <c r="E1259" s="122">
        <v>1.9722222222222221</v>
      </c>
      <c r="F1259" s="112" t="s">
        <v>70</v>
      </c>
      <c r="G1259" s="114">
        <v>9</v>
      </c>
      <c r="H1259" s="115" t="s">
        <v>412</v>
      </c>
    </row>
    <row r="1260" spans="1:8" ht="19.899999999999999" customHeight="1">
      <c r="A1260" s="121">
        <v>46040</v>
      </c>
      <c r="B1260" s="112" t="s">
        <v>68</v>
      </c>
      <c r="C1260" s="113" t="s">
        <v>437</v>
      </c>
      <c r="D1260" s="112" t="s">
        <v>341</v>
      </c>
      <c r="E1260" s="122">
        <v>1.104166666666667</v>
      </c>
      <c r="F1260" s="112" t="s">
        <v>70</v>
      </c>
      <c r="G1260" s="114">
        <v>9</v>
      </c>
      <c r="H1260" s="115" t="s">
        <v>412</v>
      </c>
    </row>
    <row r="1261" spans="1:8" ht="19.899999999999999" customHeight="1">
      <c r="A1261" s="121">
        <v>46040</v>
      </c>
      <c r="B1261" s="112" t="s">
        <v>68</v>
      </c>
      <c r="C1261" s="113" t="s">
        <v>411</v>
      </c>
      <c r="D1261" s="112" t="s">
        <v>341</v>
      </c>
      <c r="E1261" s="122">
        <v>1.7847222222222221</v>
      </c>
      <c r="F1261" s="112" t="s">
        <v>70</v>
      </c>
      <c r="G1261" s="114">
        <v>9</v>
      </c>
      <c r="H1261" s="115" t="s">
        <v>412</v>
      </c>
    </row>
    <row r="1262" spans="1:8" ht="19.899999999999999" customHeight="1">
      <c r="A1262" s="121">
        <v>46040</v>
      </c>
      <c r="B1262" s="112" t="s">
        <v>68</v>
      </c>
      <c r="C1262" s="113" t="s">
        <v>413</v>
      </c>
      <c r="D1262" s="112" t="s">
        <v>341</v>
      </c>
      <c r="E1262" s="122">
        <v>1.0486111111111109</v>
      </c>
      <c r="F1262" s="112" t="s">
        <v>70</v>
      </c>
      <c r="G1262" s="114">
        <v>9</v>
      </c>
      <c r="H1262" s="115" t="s">
        <v>412</v>
      </c>
    </row>
    <row r="1263" spans="1:8" ht="19.899999999999999" customHeight="1">
      <c r="A1263" s="121">
        <v>46040</v>
      </c>
      <c r="B1263" s="112" t="s">
        <v>26</v>
      </c>
      <c r="C1263" s="113" t="s">
        <v>354</v>
      </c>
      <c r="D1263" s="112" t="s">
        <v>341</v>
      </c>
      <c r="E1263" s="122">
        <v>1.3472222222222221</v>
      </c>
      <c r="F1263" s="112" t="s">
        <v>31</v>
      </c>
      <c r="G1263" s="114">
        <v>5</v>
      </c>
      <c r="H1263" s="115" t="s">
        <v>355</v>
      </c>
    </row>
    <row r="1264" spans="1:8" ht="19.899999999999999" customHeight="1">
      <c r="A1264" s="121">
        <v>46040</v>
      </c>
      <c r="B1264" s="112" t="s">
        <v>26</v>
      </c>
      <c r="C1264" s="113" t="s">
        <v>348</v>
      </c>
      <c r="D1264" s="112" t="s">
        <v>341</v>
      </c>
      <c r="E1264" s="122">
        <v>1.993055555555556</v>
      </c>
      <c r="F1264" s="112" t="s">
        <v>31</v>
      </c>
      <c r="G1264" s="114">
        <v>5</v>
      </c>
      <c r="H1264" s="115" t="s">
        <v>355</v>
      </c>
    </row>
    <row r="1265" spans="1:8" ht="19.899999999999999" customHeight="1">
      <c r="A1265" s="121">
        <v>46040</v>
      </c>
      <c r="B1265" s="112" t="s">
        <v>26</v>
      </c>
      <c r="C1265" s="113" t="s">
        <v>350</v>
      </c>
      <c r="D1265" s="112" t="s">
        <v>341</v>
      </c>
      <c r="E1265" s="122">
        <v>1.7361111111111109</v>
      </c>
      <c r="F1265" s="112" t="s">
        <v>31</v>
      </c>
      <c r="G1265" s="114">
        <v>5</v>
      </c>
      <c r="H1265" s="115" t="s">
        <v>355</v>
      </c>
    </row>
    <row r="1266" spans="1:8" ht="19.899999999999999" customHeight="1">
      <c r="A1266" s="121">
        <v>46040</v>
      </c>
      <c r="B1266" s="112" t="s">
        <v>26</v>
      </c>
      <c r="C1266" s="113" t="s">
        <v>351</v>
      </c>
      <c r="D1266" s="112" t="s">
        <v>341</v>
      </c>
      <c r="E1266" s="122">
        <v>1.836805555555556</v>
      </c>
      <c r="F1266" s="112" t="s">
        <v>31</v>
      </c>
      <c r="G1266" s="114">
        <v>3</v>
      </c>
      <c r="H1266" s="115" t="s">
        <v>355</v>
      </c>
    </row>
    <row r="1267" spans="1:8" ht="19.899999999999999" customHeight="1">
      <c r="A1267" s="121">
        <v>46040</v>
      </c>
      <c r="B1267" s="112" t="s">
        <v>26</v>
      </c>
      <c r="C1267" s="113" t="s">
        <v>352</v>
      </c>
      <c r="D1267" s="112" t="s">
        <v>341</v>
      </c>
      <c r="E1267" s="122">
        <v>1.944444444444444</v>
      </c>
      <c r="F1267" s="112" t="s">
        <v>31</v>
      </c>
      <c r="G1267" s="114">
        <v>6</v>
      </c>
      <c r="H1267" s="115" t="s">
        <v>355</v>
      </c>
    </row>
    <row r="1268" spans="1:8" ht="19.899999999999999" customHeight="1">
      <c r="A1268" s="121">
        <v>46040</v>
      </c>
      <c r="B1268" s="112" t="s">
        <v>26</v>
      </c>
      <c r="C1268" s="113" t="s">
        <v>356</v>
      </c>
      <c r="D1268" s="112" t="s">
        <v>341</v>
      </c>
      <c r="E1268" s="122">
        <v>1.4861111111111109</v>
      </c>
      <c r="F1268" s="112" t="s">
        <v>31</v>
      </c>
      <c r="G1268" s="114">
        <v>4</v>
      </c>
      <c r="H1268" s="115" t="s">
        <v>355</v>
      </c>
    </row>
    <row r="1269" spans="1:8" ht="19.899999999999999" customHeight="1">
      <c r="A1269" s="121">
        <v>46040</v>
      </c>
      <c r="B1269" s="112" t="s">
        <v>26</v>
      </c>
      <c r="C1269" s="113" t="s">
        <v>357</v>
      </c>
      <c r="D1269" s="112" t="s">
        <v>341</v>
      </c>
      <c r="E1269" s="122">
        <v>1.3923611111111109</v>
      </c>
      <c r="F1269" s="112" t="s">
        <v>31</v>
      </c>
      <c r="G1269" s="114">
        <v>9</v>
      </c>
      <c r="H1269" s="115" t="s">
        <v>355</v>
      </c>
    </row>
    <row r="1270" spans="1:8" ht="19.899999999999999" customHeight="1">
      <c r="A1270" s="121">
        <v>46040</v>
      </c>
      <c r="B1270" s="112" t="s">
        <v>26</v>
      </c>
      <c r="C1270" s="113" t="s">
        <v>353</v>
      </c>
      <c r="D1270" s="112" t="s">
        <v>341</v>
      </c>
      <c r="E1270" s="122">
        <v>1.8888888888888891</v>
      </c>
      <c r="F1270" s="112" t="s">
        <v>34</v>
      </c>
      <c r="G1270" s="114">
        <v>4</v>
      </c>
      <c r="H1270" s="115" t="s">
        <v>118</v>
      </c>
    </row>
    <row r="1271" spans="1:8" ht="19.899999999999999" customHeight="1">
      <c r="A1271" s="121">
        <v>46040</v>
      </c>
      <c r="B1271" s="112" t="s">
        <v>359</v>
      </c>
      <c r="C1271" s="113" t="s">
        <v>360</v>
      </c>
      <c r="D1271" s="112" t="s">
        <v>341</v>
      </c>
      <c r="E1271" s="122">
        <v>1.229166666666667</v>
      </c>
      <c r="F1271" s="112" t="s">
        <v>46</v>
      </c>
      <c r="G1271" s="114">
        <v>9</v>
      </c>
      <c r="H1271" s="115" t="s">
        <v>505</v>
      </c>
    </row>
    <row r="1272" spans="1:8" ht="19.899999999999999" customHeight="1">
      <c r="A1272" s="121">
        <v>46040</v>
      </c>
      <c r="B1272" s="112" t="s">
        <v>26</v>
      </c>
      <c r="C1272" s="113" t="s">
        <v>354</v>
      </c>
      <c r="D1272" s="112" t="s">
        <v>341</v>
      </c>
      <c r="E1272" s="122">
        <v>1.3472222222222221</v>
      </c>
      <c r="F1272" s="112" t="s">
        <v>34</v>
      </c>
      <c r="G1272" s="114">
        <v>5</v>
      </c>
      <c r="H1272" s="115" t="s">
        <v>358</v>
      </c>
    </row>
    <row r="1273" spans="1:8" ht="19.899999999999999" customHeight="1">
      <c r="A1273" s="121">
        <v>46040</v>
      </c>
      <c r="B1273" s="112" t="s">
        <v>26</v>
      </c>
      <c r="C1273" s="113" t="s">
        <v>348</v>
      </c>
      <c r="D1273" s="112" t="s">
        <v>341</v>
      </c>
      <c r="E1273" s="122">
        <v>1.993055555555556</v>
      </c>
      <c r="F1273" s="112" t="s">
        <v>34</v>
      </c>
      <c r="G1273" s="114">
        <v>5</v>
      </c>
      <c r="H1273" s="115" t="s">
        <v>358</v>
      </c>
    </row>
    <row r="1274" spans="1:8" ht="19.899999999999999" customHeight="1">
      <c r="A1274" s="121">
        <v>46040</v>
      </c>
      <c r="B1274" s="112" t="s">
        <v>26</v>
      </c>
      <c r="C1274" s="113" t="s">
        <v>350</v>
      </c>
      <c r="D1274" s="112" t="s">
        <v>341</v>
      </c>
      <c r="E1274" s="122">
        <v>1.7361111111111109</v>
      </c>
      <c r="F1274" s="112" t="s">
        <v>34</v>
      </c>
      <c r="G1274" s="114">
        <v>5</v>
      </c>
      <c r="H1274" s="115" t="s">
        <v>358</v>
      </c>
    </row>
    <row r="1275" spans="1:8" ht="19.899999999999999" customHeight="1">
      <c r="A1275" s="121">
        <v>46040</v>
      </c>
      <c r="B1275" s="112" t="s">
        <v>26</v>
      </c>
      <c r="C1275" s="113" t="s">
        <v>351</v>
      </c>
      <c r="D1275" s="112" t="s">
        <v>341</v>
      </c>
      <c r="E1275" s="122">
        <v>1.836805555555556</v>
      </c>
      <c r="F1275" s="112" t="s">
        <v>34</v>
      </c>
      <c r="G1275" s="114">
        <v>3</v>
      </c>
      <c r="H1275" s="115" t="s">
        <v>358</v>
      </c>
    </row>
    <row r="1276" spans="1:8" ht="19.899999999999999" customHeight="1">
      <c r="A1276" s="121">
        <v>46040</v>
      </c>
      <c r="B1276" s="112" t="s">
        <v>26</v>
      </c>
      <c r="C1276" s="113" t="s">
        <v>352</v>
      </c>
      <c r="D1276" s="112" t="s">
        <v>341</v>
      </c>
      <c r="E1276" s="122">
        <v>1.944444444444444</v>
      </c>
      <c r="F1276" s="112" t="s">
        <v>34</v>
      </c>
      <c r="G1276" s="114">
        <v>6</v>
      </c>
      <c r="H1276" s="115" t="s">
        <v>358</v>
      </c>
    </row>
    <row r="1277" spans="1:8" ht="19.899999999999999" customHeight="1">
      <c r="A1277" s="121">
        <v>46040</v>
      </c>
      <c r="B1277" s="112" t="s">
        <v>26</v>
      </c>
      <c r="C1277" s="113" t="s">
        <v>356</v>
      </c>
      <c r="D1277" s="112" t="s">
        <v>341</v>
      </c>
      <c r="E1277" s="122">
        <v>1.4861111111111109</v>
      </c>
      <c r="F1277" s="112" t="s">
        <v>34</v>
      </c>
      <c r="G1277" s="114">
        <v>4</v>
      </c>
      <c r="H1277" s="115" t="s">
        <v>358</v>
      </c>
    </row>
    <row r="1278" spans="1:8" ht="19.899999999999999" customHeight="1">
      <c r="A1278" s="121">
        <v>46040</v>
      </c>
      <c r="B1278" s="112" t="s">
        <v>26</v>
      </c>
      <c r="C1278" s="113" t="s">
        <v>357</v>
      </c>
      <c r="D1278" s="112" t="s">
        <v>341</v>
      </c>
      <c r="E1278" s="122">
        <v>1.3923611111111109</v>
      </c>
      <c r="F1278" s="112" t="s">
        <v>34</v>
      </c>
      <c r="G1278" s="114">
        <v>9</v>
      </c>
      <c r="H1278" s="115" t="s">
        <v>358</v>
      </c>
    </row>
    <row r="1279" spans="1:8" ht="19.899999999999999" customHeight="1">
      <c r="A1279" s="121">
        <v>46040</v>
      </c>
      <c r="B1279" s="112" t="s">
        <v>38</v>
      </c>
      <c r="C1279" s="113" t="s">
        <v>344</v>
      </c>
      <c r="D1279" s="112" t="s">
        <v>341</v>
      </c>
      <c r="E1279" s="122">
        <v>1.8888888888888891</v>
      </c>
      <c r="F1279" s="112" t="s">
        <v>43</v>
      </c>
      <c r="G1279" s="114">
        <v>15</v>
      </c>
      <c r="H1279" s="115" t="s">
        <v>455</v>
      </c>
    </row>
    <row r="1280" spans="1:8" ht="19.899999999999999" customHeight="1">
      <c r="A1280" s="121">
        <v>46040</v>
      </c>
      <c r="B1280" s="112" t="s">
        <v>38</v>
      </c>
      <c r="C1280" s="113" t="s">
        <v>346</v>
      </c>
      <c r="D1280" s="112" t="s">
        <v>341</v>
      </c>
      <c r="E1280" s="122">
        <v>1.399305555555556</v>
      </c>
      <c r="F1280" s="112" t="s">
        <v>46</v>
      </c>
      <c r="G1280" s="114">
        <v>13</v>
      </c>
      <c r="H1280" s="115" t="s">
        <v>47</v>
      </c>
    </row>
    <row r="1281" spans="1:8" ht="19.899999999999999" customHeight="1">
      <c r="A1281" s="121">
        <v>46040</v>
      </c>
      <c r="B1281" s="112" t="s">
        <v>38</v>
      </c>
      <c r="C1281" s="113" t="s">
        <v>342</v>
      </c>
      <c r="D1281" s="112" t="s">
        <v>341</v>
      </c>
      <c r="E1281" s="122">
        <v>1.489583333333333</v>
      </c>
      <c r="F1281" s="112" t="s">
        <v>46</v>
      </c>
      <c r="G1281" s="114">
        <v>20</v>
      </c>
      <c r="H1281" s="115" t="s">
        <v>47</v>
      </c>
    </row>
    <row r="1282" spans="1:8" ht="19.899999999999999" customHeight="1">
      <c r="A1282" s="121">
        <v>46040</v>
      </c>
      <c r="B1282" s="112" t="s">
        <v>38</v>
      </c>
      <c r="C1282" s="113" t="s">
        <v>344</v>
      </c>
      <c r="D1282" s="112" t="s">
        <v>341</v>
      </c>
      <c r="E1282" s="122">
        <v>1.8888888888888891</v>
      </c>
      <c r="F1282" s="112" t="s">
        <v>46</v>
      </c>
      <c r="G1282" s="114">
        <v>15</v>
      </c>
      <c r="H1282" s="115" t="s">
        <v>47</v>
      </c>
    </row>
    <row r="1283" spans="1:8" ht="19.899999999999999" customHeight="1">
      <c r="A1283" s="121">
        <v>46040</v>
      </c>
      <c r="B1283" s="112" t="s">
        <v>38</v>
      </c>
      <c r="C1283" s="113" t="s">
        <v>345</v>
      </c>
      <c r="D1283" s="112" t="s">
        <v>341</v>
      </c>
      <c r="E1283" s="122">
        <v>1.989583333333333</v>
      </c>
      <c r="F1283" s="112" t="s">
        <v>46</v>
      </c>
      <c r="G1283" s="114">
        <v>13</v>
      </c>
      <c r="H1283" s="115" t="s">
        <v>47</v>
      </c>
    </row>
    <row r="1284" spans="1:8" ht="19.899999999999999" customHeight="1">
      <c r="A1284" s="121">
        <v>46040</v>
      </c>
      <c r="B1284" s="112" t="s">
        <v>68</v>
      </c>
      <c r="C1284" s="113" t="s">
        <v>405</v>
      </c>
      <c r="D1284" s="112" t="s">
        <v>341</v>
      </c>
      <c r="E1284" s="122">
        <v>1.836805555555556</v>
      </c>
      <c r="F1284" s="112" t="s">
        <v>70</v>
      </c>
      <c r="G1284" s="114">
        <v>9</v>
      </c>
      <c r="H1284" s="115" t="s">
        <v>523</v>
      </c>
    </row>
    <row r="1285" spans="1:8" ht="19.899999999999999" customHeight="1">
      <c r="A1285" s="121">
        <v>46040</v>
      </c>
      <c r="B1285" s="112" t="s">
        <v>48</v>
      </c>
      <c r="C1285" s="113" t="s">
        <v>398</v>
      </c>
      <c r="D1285" s="112" t="s">
        <v>341</v>
      </c>
      <c r="E1285" s="122">
        <v>1.399305555555556</v>
      </c>
      <c r="F1285" s="112" t="s">
        <v>53</v>
      </c>
      <c r="G1285" s="114">
        <v>4</v>
      </c>
      <c r="H1285" s="115" t="s">
        <v>399</v>
      </c>
    </row>
    <row r="1286" spans="1:8" ht="19.899999999999999" customHeight="1">
      <c r="A1286" s="121">
        <v>46040</v>
      </c>
      <c r="B1286" s="112" t="s">
        <v>48</v>
      </c>
      <c r="C1286" s="113" t="s">
        <v>396</v>
      </c>
      <c r="D1286" s="112" t="s">
        <v>341</v>
      </c>
      <c r="E1286" s="122">
        <v>1.489583333333333</v>
      </c>
      <c r="F1286" s="112" t="s">
        <v>53</v>
      </c>
      <c r="G1286" s="114">
        <v>4</v>
      </c>
      <c r="H1286" s="115" t="s">
        <v>399</v>
      </c>
    </row>
    <row r="1287" spans="1:8" ht="19.899999999999999" customHeight="1">
      <c r="A1287" s="121">
        <v>46040</v>
      </c>
      <c r="B1287" s="112" t="s">
        <v>48</v>
      </c>
      <c r="C1287" s="113" t="s">
        <v>394</v>
      </c>
      <c r="D1287" s="112" t="s">
        <v>341</v>
      </c>
      <c r="E1287" s="122">
        <v>1.989583333333333</v>
      </c>
      <c r="F1287" s="112" t="s">
        <v>53</v>
      </c>
      <c r="G1287" s="114">
        <v>4</v>
      </c>
      <c r="H1287" s="115" t="s">
        <v>452</v>
      </c>
    </row>
    <row r="1288" spans="1:8" ht="19.899999999999999" customHeight="1">
      <c r="A1288" s="121">
        <v>46040</v>
      </c>
      <c r="B1288" s="112" t="s">
        <v>48</v>
      </c>
      <c r="C1288" s="113" t="s">
        <v>391</v>
      </c>
      <c r="D1288" s="112" t="s">
        <v>341</v>
      </c>
      <c r="E1288" s="122">
        <v>1.489583333333333</v>
      </c>
      <c r="F1288" s="112" t="s">
        <v>53</v>
      </c>
      <c r="G1288" s="114">
        <v>9</v>
      </c>
      <c r="H1288" s="115" t="s">
        <v>439</v>
      </c>
    </row>
    <row r="1289" spans="1:8" ht="19.899999999999999" customHeight="1">
      <c r="A1289" s="121">
        <v>46040</v>
      </c>
      <c r="B1289" s="112" t="s">
        <v>48</v>
      </c>
      <c r="C1289" s="113" t="s">
        <v>386</v>
      </c>
      <c r="D1289" s="112" t="s">
        <v>341</v>
      </c>
      <c r="E1289" s="122">
        <v>1.8298611111111109</v>
      </c>
      <c r="F1289" s="112" t="s">
        <v>53</v>
      </c>
      <c r="G1289" s="114">
        <v>9</v>
      </c>
      <c r="H1289" s="115" t="s">
        <v>439</v>
      </c>
    </row>
    <row r="1290" spans="1:8" ht="19.899999999999999" customHeight="1">
      <c r="A1290" s="121">
        <v>46040</v>
      </c>
      <c r="B1290" s="112" t="s">
        <v>48</v>
      </c>
      <c r="C1290" s="113" t="s">
        <v>388</v>
      </c>
      <c r="D1290" s="112" t="s">
        <v>341</v>
      </c>
      <c r="E1290" s="122">
        <v>1.7222222222222221</v>
      </c>
      <c r="F1290" s="112" t="s">
        <v>53</v>
      </c>
      <c r="G1290" s="114">
        <v>9</v>
      </c>
      <c r="H1290" s="115" t="s">
        <v>439</v>
      </c>
    </row>
    <row r="1291" spans="1:8" ht="19.899999999999999" customHeight="1">
      <c r="A1291" s="121">
        <v>46040</v>
      </c>
      <c r="B1291" s="112" t="s">
        <v>48</v>
      </c>
      <c r="C1291" s="113" t="s">
        <v>382</v>
      </c>
      <c r="D1291" s="112" t="s">
        <v>341</v>
      </c>
      <c r="E1291" s="122">
        <v>1.118055555555556</v>
      </c>
      <c r="F1291" s="112" t="s">
        <v>53</v>
      </c>
      <c r="G1291" s="114">
        <v>9</v>
      </c>
      <c r="H1291" s="115" t="s">
        <v>439</v>
      </c>
    </row>
    <row r="1292" spans="1:8" ht="19.899999999999999" customHeight="1">
      <c r="A1292" s="121">
        <v>46040</v>
      </c>
      <c r="B1292" s="112" t="s">
        <v>48</v>
      </c>
      <c r="C1292" s="113" t="s">
        <v>389</v>
      </c>
      <c r="D1292" s="112" t="s">
        <v>341</v>
      </c>
      <c r="E1292" s="122">
        <v>1.7013888888888891</v>
      </c>
      <c r="F1292" s="112" t="s">
        <v>53</v>
      </c>
      <c r="G1292" s="114">
        <v>9</v>
      </c>
      <c r="H1292" s="115" t="s">
        <v>439</v>
      </c>
    </row>
    <row r="1293" spans="1:8" ht="19.899999999999999" customHeight="1">
      <c r="A1293" s="121">
        <v>46040</v>
      </c>
      <c r="B1293" s="112" t="s">
        <v>48</v>
      </c>
      <c r="C1293" s="113" t="s">
        <v>400</v>
      </c>
      <c r="D1293" s="112" t="s">
        <v>341</v>
      </c>
      <c r="E1293" s="122">
        <v>1.2534722222222221</v>
      </c>
      <c r="F1293" s="112" t="s">
        <v>53</v>
      </c>
      <c r="G1293" s="114">
        <v>9</v>
      </c>
      <c r="H1293" s="115" t="s">
        <v>439</v>
      </c>
    </row>
    <row r="1294" spans="1:8" ht="19.899999999999999" customHeight="1">
      <c r="A1294" s="121">
        <v>46040</v>
      </c>
      <c r="B1294" s="112" t="s">
        <v>48</v>
      </c>
      <c r="C1294" s="113" t="s">
        <v>390</v>
      </c>
      <c r="D1294" s="112" t="s">
        <v>341</v>
      </c>
      <c r="E1294" s="122">
        <v>1.041666666666667</v>
      </c>
      <c r="F1294" s="112" t="s">
        <v>53</v>
      </c>
      <c r="G1294" s="114">
        <v>9</v>
      </c>
      <c r="H1294" s="115" t="s">
        <v>439</v>
      </c>
    </row>
    <row r="1295" spans="1:8" ht="19.899999999999999" customHeight="1">
      <c r="A1295" s="121">
        <v>46040</v>
      </c>
      <c r="B1295" s="112" t="s">
        <v>48</v>
      </c>
      <c r="C1295" s="113" t="s">
        <v>385</v>
      </c>
      <c r="D1295" s="112" t="s">
        <v>341</v>
      </c>
      <c r="E1295" s="122">
        <v>1.9409722222222221</v>
      </c>
      <c r="F1295" s="112" t="s">
        <v>53</v>
      </c>
      <c r="G1295" s="114">
        <v>9</v>
      </c>
      <c r="H1295" s="115" t="s">
        <v>439</v>
      </c>
    </row>
    <row r="1296" spans="1:8" ht="19.899999999999999" customHeight="1">
      <c r="A1296" s="121">
        <v>46040</v>
      </c>
      <c r="B1296" s="112" t="s">
        <v>48</v>
      </c>
      <c r="C1296" s="113" t="s">
        <v>397</v>
      </c>
      <c r="D1296" s="112" t="s">
        <v>341</v>
      </c>
      <c r="E1296" s="122">
        <v>1.8888888888888891</v>
      </c>
      <c r="F1296" s="112" t="s">
        <v>53</v>
      </c>
      <c r="G1296" s="114">
        <v>4</v>
      </c>
      <c r="H1296" s="115" t="s">
        <v>518</v>
      </c>
    </row>
    <row r="1297" spans="1:8" ht="19.899999999999999" customHeight="1">
      <c r="A1297" s="123">
        <v>46040</v>
      </c>
      <c r="B1297" s="124" t="s">
        <v>68</v>
      </c>
      <c r="C1297" s="125" t="s">
        <v>410</v>
      </c>
      <c r="D1297" s="124" t="s">
        <v>341</v>
      </c>
      <c r="E1297" s="126">
        <v>1.5972222222222221</v>
      </c>
      <c r="F1297" s="124" t="s">
        <v>70</v>
      </c>
      <c r="G1297" s="127">
        <v>9</v>
      </c>
      <c r="H1297" s="128" t="s">
        <v>524</v>
      </c>
    </row>
    <row r="1298" spans="1:8" ht="19.899999999999999" customHeight="1">
      <c r="A1298" s="121">
        <v>46041</v>
      </c>
      <c r="B1298" s="112" t="s">
        <v>38</v>
      </c>
      <c r="C1298" s="113" t="s">
        <v>342</v>
      </c>
      <c r="D1298" s="112" t="s">
        <v>341</v>
      </c>
      <c r="E1298" s="122">
        <v>1.489583333333333</v>
      </c>
      <c r="F1298" s="112" t="s">
        <v>40</v>
      </c>
      <c r="G1298" s="114">
        <v>14</v>
      </c>
      <c r="H1298" s="115" t="s">
        <v>81</v>
      </c>
    </row>
    <row r="1299" spans="1:8" ht="19.899999999999999" customHeight="1">
      <c r="A1299" s="121">
        <v>46041</v>
      </c>
      <c r="B1299" s="112" t="s">
        <v>38</v>
      </c>
      <c r="C1299" s="113" t="s">
        <v>346</v>
      </c>
      <c r="D1299" s="112" t="s">
        <v>341</v>
      </c>
      <c r="E1299" s="122">
        <v>1.399305555555556</v>
      </c>
      <c r="F1299" s="112" t="s">
        <v>40</v>
      </c>
      <c r="G1299" s="114">
        <v>20</v>
      </c>
      <c r="H1299" s="115" t="s">
        <v>347</v>
      </c>
    </row>
    <row r="1300" spans="1:8" ht="19.899999999999999" customHeight="1">
      <c r="A1300" s="121">
        <v>46041</v>
      </c>
      <c r="B1300" s="112" t="s">
        <v>38</v>
      </c>
      <c r="C1300" s="113" t="s">
        <v>345</v>
      </c>
      <c r="D1300" s="112" t="s">
        <v>341</v>
      </c>
      <c r="E1300" s="122">
        <v>1.989583333333333</v>
      </c>
      <c r="F1300" s="112" t="s">
        <v>40</v>
      </c>
      <c r="G1300" s="114">
        <v>20</v>
      </c>
      <c r="H1300" s="115" t="s">
        <v>347</v>
      </c>
    </row>
    <row r="1301" spans="1:8" ht="19.899999999999999" customHeight="1">
      <c r="A1301" s="121">
        <v>46041</v>
      </c>
      <c r="B1301" s="112" t="s">
        <v>359</v>
      </c>
      <c r="C1301" s="113" t="s">
        <v>360</v>
      </c>
      <c r="D1301" s="112" t="s">
        <v>341</v>
      </c>
      <c r="E1301" s="122">
        <v>1.225694444444444</v>
      </c>
      <c r="F1301" s="112" t="s">
        <v>361</v>
      </c>
      <c r="G1301" s="114">
        <v>9</v>
      </c>
      <c r="H1301" s="115" t="s">
        <v>525</v>
      </c>
    </row>
    <row r="1302" spans="1:8" ht="19.899999999999999" customHeight="1">
      <c r="A1302" s="121">
        <v>46041</v>
      </c>
      <c r="B1302" s="112" t="s">
        <v>359</v>
      </c>
      <c r="C1302" s="113" t="s">
        <v>445</v>
      </c>
      <c r="D1302" s="112" t="s">
        <v>341</v>
      </c>
      <c r="E1302" s="122">
        <v>1.0138888888888891</v>
      </c>
      <c r="F1302" s="112" t="s">
        <v>361</v>
      </c>
      <c r="G1302" s="114">
        <v>9</v>
      </c>
      <c r="H1302" s="115" t="s">
        <v>525</v>
      </c>
    </row>
    <row r="1303" spans="1:8" ht="19.899999999999999" customHeight="1">
      <c r="A1303" s="129">
        <v>46041</v>
      </c>
      <c r="B1303" s="117" t="s">
        <v>61</v>
      </c>
      <c r="C1303" s="118" t="s">
        <v>375</v>
      </c>
      <c r="D1303" s="117" t="s">
        <v>341</v>
      </c>
      <c r="E1303" s="130">
        <v>1.2465277777777779</v>
      </c>
      <c r="F1303" s="117" t="s">
        <v>63</v>
      </c>
      <c r="G1303" s="119">
        <v>3</v>
      </c>
      <c r="H1303" s="120" t="s">
        <v>365</v>
      </c>
    </row>
    <row r="1304" spans="1:8" ht="19.899999999999999" customHeight="1">
      <c r="A1304" s="129">
        <v>46041</v>
      </c>
      <c r="B1304" s="117" t="s">
        <v>61</v>
      </c>
      <c r="C1304" s="118" t="s">
        <v>377</v>
      </c>
      <c r="D1304" s="117" t="s">
        <v>341</v>
      </c>
      <c r="E1304" s="130">
        <v>1.4375</v>
      </c>
      <c r="F1304" s="117" t="s">
        <v>63</v>
      </c>
      <c r="G1304" s="119">
        <v>2</v>
      </c>
      <c r="H1304" s="120" t="s">
        <v>365</v>
      </c>
    </row>
    <row r="1305" spans="1:8" ht="19.899999999999999" customHeight="1">
      <c r="A1305" s="121">
        <v>46041</v>
      </c>
      <c r="B1305" s="112" t="s">
        <v>38</v>
      </c>
      <c r="C1305" s="113" t="s">
        <v>344</v>
      </c>
      <c r="D1305" s="112" t="s">
        <v>341</v>
      </c>
      <c r="E1305" s="122">
        <v>1.8888888888888891</v>
      </c>
      <c r="F1305" s="112" t="s">
        <v>40</v>
      </c>
      <c r="G1305" s="114">
        <v>14</v>
      </c>
      <c r="H1305" s="115" t="s">
        <v>121</v>
      </c>
    </row>
    <row r="1306" spans="1:8" ht="19.899999999999999" customHeight="1">
      <c r="A1306" s="121">
        <v>46041</v>
      </c>
      <c r="B1306" s="112" t="s">
        <v>48</v>
      </c>
      <c r="C1306" s="113" t="s">
        <v>386</v>
      </c>
      <c r="D1306" s="112" t="s">
        <v>341</v>
      </c>
      <c r="E1306" s="122">
        <v>1.8298611111111109</v>
      </c>
      <c r="F1306" s="112" t="s">
        <v>50</v>
      </c>
      <c r="G1306" s="114">
        <v>1</v>
      </c>
      <c r="H1306" s="115" t="s">
        <v>383</v>
      </c>
    </row>
    <row r="1307" spans="1:8" ht="19.899999999999999" customHeight="1">
      <c r="A1307" s="121">
        <v>46041</v>
      </c>
      <c r="B1307" s="112" t="s">
        <v>48</v>
      </c>
      <c r="C1307" s="113" t="s">
        <v>382</v>
      </c>
      <c r="D1307" s="112" t="s">
        <v>341</v>
      </c>
      <c r="E1307" s="122">
        <v>1.118055555555556</v>
      </c>
      <c r="F1307" s="112" t="s">
        <v>50</v>
      </c>
      <c r="G1307" s="114">
        <v>2</v>
      </c>
      <c r="H1307" s="115" t="s">
        <v>383</v>
      </c>
    </row>
    <row r="1308" spans="1:8" ht="19.899999999999999" customHeight="1">
      <c r="A1308" s="121">
        <v>46041</v>
      </c>
      <c r="B1308" s="112" t="s">
        <v>402</v>
      </c>
      <c r="C1308" s="113" t="s">
        <v>403</v>
      </c>
      <c r="D1308" s="112" t="s">
        <v>341</v>
      </c>
      <c r="E1308" s="122">
        <v>1.493055555555556</v>
      </c>
      <c r="F1308" s="112" t="s">
        <v>63</v>
      </c>
      <c r="G1308" s="114">
        <v>5</v>
      </c>
      <c r="H1308" s="115" t="s">
        <v>404</v>
      </c>
    </row>
    <row r="1309" spans="1:8" ht="19.899999999999999" customHeight="1">
      <c r="A1309" s="121">
        <v>46041</v>
      </c>
      <c r="B1309" s="112" t="s">
        <v>402</v>
      </c>
      <c r="C1309" s="113" t="s">
        <v>465</v>
      </c>
      <c r="D1309" s="112" t="s">
        <v>341</v>
      </c>
      <c r="E1309" s="122">
        <v>1.135416666666667</v>
      </c>
      <c r="F1309" s="112" t="s">
        <v>63</v>
      </c>
      <c r="G1309" s="114">
        <v>5</v>
      </c>
      <c r="H1309" s="115" t="s">
        <v>404</v>
      </c>
    </row>
    <row r="1310" spans="1:8" ht="19.899999999999999" customHeight="1">
      <c r="A1310" s="121">
        <v>46041</v>
      </c>
      <c r="B1310" s="112" t="s">
        <v>402</v>
      </c>
      <c r="C1310" s="113" t="s">
        <v>473</v>
      </c>
      <c r="D1310" s="112" t="s">
        <v>341</v>
      </c>
      <c r="E1310" s="122">
        <v>1.868055555555556</v>
      </c>
      <c r="F1310" s="112" t="s">
        <v>63</v>
      </c>
      <c r="G1310" s="114">
        <v>5</v>
      </c>
      <c r="H1310" s="115" t="s">
        <v>404</v>
      </c>
    </row>
    <row r="1311" spans="1:8" ht="19.899999999999999" customHeight="1">
      <c r="A1311" s="129">
        <v>46041</v>
      </c>
      <c r="B1311" s="117" t="s">
        <v>61</v>
      </c>
      <c r="C1311" s="118" t="s">
        <v>432</v>
      </c>
      <c r="D1311" s="117" t="s">
        <v>341</v>
      </c>
      <c r="E1311" s="130">
        <v>1.802083333333333</v>
      </c>
      <c r="F1311" s="117" t="s">
        <v>63</v>
      </c>
      <c r="G1311" s="119">
        <v>3</v>
      </c>
      <c r="H1311" s="120" t="s">
        <v>79</v>
      </c>
    </row>
    <row r="1312" spans="1:8" ht="19.899999999999999" customHeight="1">
      <c r="A1312" s="121">
        <v>46041</v>
      </c>
      <c r="B1312" s="112" t="s">
        <v>48</v>
      </c>
      <c r="C1312" s="113" t="s">
        <v>391</v>
      </c>
      <c r="D1312" s="112" t="s">
        <v>341</v>
      </c>
      <c r="E1312" s="122">
        <v>1.489583333333333</v>
      </c>
      <c r="F1312" s="112" t="s">
        <v>50</v>
      </c>
      <c r="G1312" s="114">
        <v>9</v>
      </c>
      <c r="H1312" s="115" t="s">
        <v>79</v>
      </c>
    </row>
    <row r="1313" spans="1:8" ht="19.899999999999999" customHeight="1">
      <c r="A1313" s="121">
        <v>46041</v>
      </c>
      <c r="B1313" s="112" t="s">
        <v>48</v>
      </c>
      <c r="C1313" s="113" t="s">
        <v>389</v>
      </c>
      <c r="D1313" s="112" t="s">
        <v>341</v>
      </c>
      <c r="E1313" s="122">
        <v>1.7013888888888891</v>
      </c>
      <c r="F1313" s="112" t="s">
        <v>50</v>
      </c>
      <c r="G1313" s="114">
        <v>9</v>
      </c>
      <c r="H1313" s="115" t="s">
        <v>79</v>
      </c>
    </row>
    <row r="1314" spans="1:8" ht="19.899999999999999" customHeight="1">
      <c r="A1314" s="121">
        <v>46041</v>
      </c>
      <c r="B1314" s="112" t="s">
        <v>48</v>
      </c>
      <c r="C1314" s="113" t="s">
        <v>400</v>
      </c>
      <c r="D1314" s="112" t="s">
        <v>341</v>
      </c>
      <c r="E1314" s="122">
        <v>1.2534722222222221</v>
      </c>
      <c r="F1314" s="112" t="s">
        <v>50</v>
      </c>
      <c r="G1314" s="114">
        <v>7</v>
      </c>
      <c r="H1314" s="115" t="s">
        <v>79</v>
      </c>
    </row>
    <row r="1315" spans="1:8" ht="19.899999999999999" customHeight="1">
      <c r="A1315" s="121">
        <v>46041</v>
      </c>
      <c r="B1315" s="112" t="s">
        <v>48</v>
      </c>
      <c r="C1315" s="113" t="s">
        <v>385</v>
      </c>
      <c r="D1315" s="112" t="s">
        <v>341</v>
      </c>
      <c r="E1315" s="122">
        <v>1.9409722222222221</v>
      </c>
      <c r="F1315" s="112" t="s">
        <v>50</v>
      </c>
      <c r="G1315" s="114">
        <v>9</v>
      </c>
      <c r="H1315" s="115" t="s">
        <v>79</v>
      </c>
    </row>
    <row r="1316" spans="1:8" ht="19.899999999999999" customHeight="1">
      <c r="A1316" s="121">
        <v>46041</v>
      </c>
      <c r="B1316" s="112" t="s">
        <v>26</v>
      </c>
      <c r="C1316" s="113" t="s">
        <v>354</v>
      </c>
      <c r="D1316" s="112" t="s">
        <v>341</v>
      </c>
      <c r="E1316" s="122">
        <v>1.3472222222222221</v>
      </c>
      <c r="F1316" s="112" t="s">
        <v>28</v>
      </c>
      <c r="G1316" s="114">
        <v>5</v>
      </c>
      <c r="H1316" s="115" t="s">
        <v>79</v>
      </c>
    </row>
    <row r="1317" spans="1:8" ht="19.899999999999999" customHeight="1">
      <c r="A1317" s="121">
        <v>46041</v>
      </c>
      <c r="B1317" s="112" t="s">
        <v>26</v>
      </c>
      <c r="C1317" s="113" t="s">
        <v>348</v>
      </c>
      <c r="D1317" s="112" t="s">
        <v>341</v>
      </c>
      <c r="E1317" s="122">
        <v>1.993055555555556</v>
      </c>
      <c r="F1317" s="112" t="s">
        <v>28</v>
      </c>
      <c r="G1317" s="114">
        <v>5</v>
      </c>
      <c r="H1317" s="115" t="s">
        <v>79</v>
      </c>
    </row>
    <row r="1318" spans="1:8" ht="19.899999999999999" customHeight="1">
      <c r="A1318" s="121">
        <v>46041</v>
      </c>
      <c r="B1318" s="112" t="s">
        <v>26</v>
      </c>
      <c r="C1318" s="113" t="s">
        <v>350</v>
      </c>
      <c r="D1318" s="112" t="s">
        <v>341</v>
      </c>
      <c r="E1318" s="122">
        <v>1.7361111111111109</v>
      </c>
      <c r="F1318" s="112" t="s">
        <v>28</v>
      </c>
      <c r="G1318" s="114">
        <v>5</v>
      </c>
      <c r="H1318" s="115" t="s">
        <v>79</v>
      </c>
    </row>
    <row r="1319" spans="1:8" ht="19.899999999999999" customHeight="1">
      <c r="A1319" s="121">
        <v>46041</v>
      </c>
      <c r="B1319" s="112" t="s">
        <v>26</v>
      </c>
      <c r="C1319" s="113" t="s">
        <v>351</v>
      </c>
      <c r="D1319" s="112" t="s">
        <v>341</v>
      </c>
      <c r="E1319" s="122">
        <v>1.836805555555556</v>
      </c>
      <c r="F1319" s="112" t="s">
        <v>28</v>
      </c>
      <c r="G1319" s="114">
        <v>5</v>
      </c>
      <c r="H1319" s="115" t="s">
        <v>79</v>
      </c>
    </row>
    <row r="1320" spans="1:8" ht="19.899999999999999" customHeight="1">
      <c r="A1320" s="121">
        <v>46041</v>
      </c>
      <c r="B1320" s="112" t="s">
        <v>26</v>
      </c>
      <c r="C1320" s="113" t="s">
        <v>353</v>
      </c>
      <c r="D1320" s="112" t="s">
        <v>341</v>
      </c>
      <c r="E1320" s="122">
        <v>1.8888888888888891</v>
      </c>
      <c r="F1320" s="112" t="s">
        <v>28</v>
      </c>
      <c r="G1320" s="114">
        <v>5</v>
      </c>
      <c r="H1320" s="115" t="s">
        <v>79</v>
      </c>
    </row>
    <row r="1321" spans="1:8" ht="19.899999999999999" customHeight="1">
      <c r="A1321" s="121">
        <v>46041</v>
      </c>
      <c r="B1321" s="112" t="s">
        <v>38</v>
      </c>
      <c r="C1321" s="113" t="s">
        <v>342</v>
      </c>
      <c r="D1321" s="112" t="s">
        <v>341</v>
      </c>
      <c r="E1321" s="122">
        <v>1.489583333333333</v>
      </c>
      <c r="F1321" s="112" t="s">
        <v>43</v>
      </c>
      <c r="G1321" s="114">
        <v>14</v>
      </c>
      <c r="H1321" s="115" t="s">
        <v>161</v>
      </c>
    </row>
    <row r="1322" spans="1:8" ht="19.899999999999999" customHeight="1">
      <c r="A1322" s="121">
        <v>46041</v>
      </c>
      <c r="B1322" s="112" t="s">
        <v>48</v>
      </c>
      <c r="C1322" s="113" t="s">
        <v>388</v>
      </c>
      <c r="D1322" s="112" t="s">
        <v>341</v>
      </c>
      <c r="E1322" s="122">
        <v>1.7222222222222221</v>
      </c>
      <c r="F1322" s="112" t="s">
        <v>50</v>
      </c>
      <c r="G1322" s="114">
        <v>9</v>
      </c>
      <c r="H1322" s="115" t="s">
        <v>476</v>
      </c>
    </row>
    <row r="1323" spans="1:8" ht="19.899999999999999" customHeight="1">
      <c r="A1323" s="121">
        <v>46041</v>
      </c>
      <c r="B1323" s="112" t="s">
        <v>48</v>
      </c>
      <c r="C1323" s="113" t="s">
        <v>390</v>
      </c>
      <c r="D1323" s="112" t="s">
        <v>341</v>
      </c>
      <c r="E1323" s="122">
        <v>1.041666666666667</v>
      </c>
      <c r="F1323" s="112" t="s">
        <v>50</v>
      </c>
      <c r="G1323" s="114">
        <v>9</v>
      </c>
      <c r="H1323" s="115" t="s">
        <v>476</v>
      </c>
    </row>
    <row r="1324" spans="1:8" ht="19.899999999999999" customHeight="1">
      <c r="A1324" s="121">
        <v>46041</v>
      </c>
      <c r="B1324" s="112" t="s">
        <v>26</v>
      </c>
      <c r="C1324" s="113" t="s">
        <v>352</v>
      </c>
      <c r="D1324" s="112" t="s">
        <v>341</v>
      </c>
      <c r="E1324" s="122">
        <v>1.944444444444444</v>
      </c>
      <c r="F1324" s="112" t="s">
        <v>28</v>
      </c>
      <c r="G1324" s="114">
        <v>5</v>
      </c>
      <c r="H1324" s="115" t="s">
        <v>45</v>
      </c>
    </row>
    <row r="1325" spans="1:8" ht="19.899999999999999" customHeight="1">
      <c r="A1325" s="121">
        <v>46041</v>
      </c>
      <c r="B1325" s="112" t="s">
        <v>26</v>
      </c>
      <c r="C1325" s="113" t="s">
        <v>357</v>
      </c>
      <c r="D1325" s="112" t="s">
        <v>341</v>
      </c>
      <c r="E1325" s="122">
        <v>1.5590277777777779</v>
      </c>
      <c r="F1325" s="112" t="s">
        <v>28</v>
      </c>
      <c r="G1325" s="114">
        <v>5</v>
      </c>
      <c r="H1325" s="115" t="s">
        <v>45</v>
      </c>
    </row>
    <row r="1326" spans="1:8" ht="19.899999999999999" customHeight="1">
      <c r="A1326" s="121">
        <v>46041</v>
      </c>
      <c r="B1326" s="112" t="s">
        <v>38</v>
      </c>
      <c r="C1326" s="113" t="s">
        <v>346</v>
      </c>
      <c r="D1326" s="112" t="s">
        <v>341</v>
      </c>
      <c r="E1326" s="122">
        <v>1.399305555555556</v>
      </c>
      <c r="F1326" s="112" t="s">
        <v>43</v>
      </c>
      <c r="G1326" s="114">
        <v>20</v>
      </c>
      <c r="H1326" s="115" t="s">
        <v>138</v>
      </c>
    </row>
    <row r="1327" spans="1:8" ht="19.899999999999999" customHeight="1">
      <c r="A1327" s="121">
        <v>46041</v>
      </c>
      <c r="B1327" s="112" t="s">
        <v>38</v>
      </c>
      <c r="C1327" s="113" t="s">
        <v>345</v>
      </c>
      <c r="D1327" s="112" t="s">
        <v>341</v>
      </c>
      <c r="E1327" s="122">
        <v>1.989583333333333</v>
      </c>
      <c r="F1327" s="112" t="s">
        <v>43</v>
      </c>
      <c r="G1327" s="114">
        <v>20</v>
      </c>
      <c r="H1327" s="115" t="s">
        <v>138</v>
      </c>
    </row>
    <row r="1328" spans="1:8" ht="19.899999999999999" customHeight="1">
      <c r="A1328" s="121">
        <v>46041</v>
      </c>
      <c r="B1328" s="112" t="s">
        <v>68</v>
      </c>
      <c r="C1328" s="113" t="s">
        <v>405</v>
      </c>
      <c r="D1328" s="112" t="s">
        <v>341</v>
      </c>
      <c r="E1328" s="122">
        <v>1.836805555555556</v>
      </c>
      <c r="F1328" s="112" t="s">
        <v>70</v>
      </c>
      <c r="G1328" s="114">
        <v>9</v>
      </c>
      <c r="H1328" s="115" t="s">
        <v>406</v>
      </c>
    </row>
    <row r="1329" spans="1:8" ht="19.899999999999999" customHeight="1">
      <c r="A1329" s="121">
        <v>46041</v>
      </c>
      <c r="B1329" s="112" t="s">
        <v>68</v>
      </c>
      <c r="C1329" s="113" t="s">
        <v>407</v>
      </c>
      <c r="D1329" s="112" t="s">
        <v>341</v>
      </c>
      <c r="E1329" s="122">
        <v>1.3125</v>
      </c>
      <c r="F1329" s="112" t="s">
        <v>70</v>
      </c>
      <c r="G1329" s="114">
        <v>9</v>
      </c>
      <c r="H1329" s="115" t="s">
        <v>406</v>
      </c>
    </row>
    <row r="1330" spans="1:8" ht="19.899999999999999" customHeight="1">
      <c r="A1330" s="121">
        <v>46041</v>
      </c>
      <c r="B1330" s="112" t="s">
        <v>68</v>
      </c>
      <c r="C1330" s="113" t="s">
        <v>408</v>
      </c>
      <c r="D1330" s="112" t="s">
        <v>341</v>
      </c>
      <c r="E1330" s="122">
        <v>1.9722222222222221</v>
      </c>
      <c r="F1330" s="112" t="s">
        <v>70</v>
      </c>
      <c r="G1330" s="114">
        <v>9</v>
      </c>
      <c r="H1330" s="115" t="s">
        <v>406</v>
      </c>
    </row>
    <row r="1331" spans="1:8" ht="19.899999999999999" customHeight="1">
      <c r="A1331" s="121">
        <v>46041</v>
      </c>
      <c r="B1331" s="112" t="s">
        <v>68</v>
      </c>
      <c r="C1331" s="113" t="s">
        <v>411</v>
      </c>
      <c r="D1331" s="112" t="s">
        <v>341</v>
      </c>
      <c r="E1331" s="122">
        <v>1.7847222222222221</v>
      </c>
      <c r="F1331" s="112" t="s">
        <v>70</v>
      </c>
      <c r="G1331" s="114">
        <v>9</v>
      </c>
      <c r="H1331" s="115" t="s">
        <v>406</v>
      </c>
    </row>
    <row r="1332" spans="1:8" ht="19.899999999999999" customHeight="1">
      <c r="A1332" s="121">
        <v>46041</v>
      </c>
      <c r="B1332" s="112" t="s">
        <v>68</v>
      </c>
      <c r="C1332" s="113" t="s">
        <v>410</v>
      </c>
      <c r="D1332" s="112" t="s">
        <v>341</v>
      </c>
      <c r="E1332" s="122">
        <v>1.5972222222222221</v>
      </c>
      <c r="F1332" s="112" t="s">
        <v>70</v>
      </c>
      <c r="G1332" s="114">
        <v>9</v>
      </c>
      <c r="H1332" s="115" t="s">
        <v>406</v>
      </c>
    </row>
    <row r="1333" spans="1:8" ht="19.899999999999999" customHeight="1">
      <c r="A1333" s="121">
        <v>46041</v>
      </c>
      <c r="B1333" s="112" t="s">
        <v>48</v>
      </c>
      <c r="C1333" s="113" t="s">
        <v>386</v>
      </c>
      <c r="D1333" s="112" t="s">
        <v>341</v>
      </c>
      <c r="E1333" s="122">
        <v>1.8298611111111109</v>
      </c>
      <c r="F1333" s="112" t="s">
        <v>53</v>
      </c>
      <c r="G1333" s="114">
        <v>1</v>
      </c>
      <c r="H1333" s="115" t="s">
        <v>384</v>
      </c>
    </row>
    <row r="1334" spans="1:8" ht="19.899999999999999" customHeight="1">
      <c r="A1334" s="121">
        <v>46041</v>
      </c>
      <c r="B1334" s="112" t="s">
        <v>48</v>
      </c>
      <c r="C1334" s="113" t="s">
        <v>382</v>
      </c>
      <c r="D1334" s="112" t="s">
        <v>341</v>
      </c>
      <c r="E1334" s="122">
        <v>1.118055555555556</v>
      </c>
      <c r="F1334" s="112" t="s">
        <v>53</v>
      </c>
      <c r="G1334" s="114">
        <v>2</v>
      </c>
      <c r="H1334" s="115" t="s">
        <v>384</v>
      </c>
    </row>
    <row r="1335" spans="1:8" ht="19.899999999999999" customHeight="1">
      <c r="A1335" s="121">
        <v>46041</v>
      </c>
      <c r="B1335" s="112" t="s">
        <v>38</v>
      </c>
      <c r="C1335" s="113" t="s">
        <v>344</v>
      </c>
      <c r="D1335" s="112" t="s">
        <v>341</v>
      </c>
      <c r="E1335" s="122">
        <v>1.8888888888888891</v>
      </c>
      <c r="F1335" s="112" t="s">
        <v>43</v>
      </c>
      <c r="G1335" s="114">
        <v>14</v>
      </c>
      <c r="H1335" s="115" t="s">
        <v>123</v>
      </c>
    </row>
    <row r="1336" spans="1:8" ht="19.899999999999999" customHeight="1">
      <c r="A1336" s="121">
        <v>46041</v>
      </c>
      <c r="B1336" s="112" t="s">
        <v>26</v>
      </c>
      <c r="C1336" s="113" t="s">
        <v>354</v>
      </c>
      <c r="D1336" s="112" t="s">
        <v>341</v>
      </c>
      <c r="E1336" s="122">
        <v>1.3472222222222221</v>
      </c>
      <c r="F1336" s="112" t="s">
        <v>31</v>
      </c>
      <c r="G1336" s="114">
        <v>5</v>
      </c>
      <c r="H1336" s="115" t="s">
        <v>123</v>
      </c>
    </row>
    <row r="1337" spans="1:8" ht="19.899999999999999" customHeight="1">
      <c r="A1337" s="121">
        <v>46041</v>
      </c>
      <c r="B1337" s="112" t="s">
        <v>26</v>
      </c>
      <c r="C1337" s="113" t="s">
        <v>348</v>
      </c>
      <c r="D1337" s="112" t="s">
        <v>341</v>
      </c>
      <c r="E1337" s="122">
        <v>1.993055555555556</v>
      </c>
      <c r="F1337" s="112" t="s">
        <v>31</v>
      </c>
      <c r="G1337" s="114">
        <v>5</v>
      </c>
      <c r="H1337" s="115" t="s">
        <v>123</v>
      </c>
    </row>
    <row r="1338" spans="1:8" ht="19.899999999999999" customHeight="1">
      <c r="A1338" s="121">
        <v>46041</v>
      </c>
      <c r="B1338" s="112" t="s">
        <v>26</v>
      </c>
      <c r="C1338" s="113" t="s">
        <v>350</v>
      </c>
      <c r="D1338" s="112" t="s">
        <v>341</v>
      </c>
      <c r="E1338" s="122">
        <v>1.7361111111111109</v>
      </c>
      <c r="F1338" s="112" t="s">
        <v>31</v>
      </c>
      <c r="G1338" s="114">
        <v>5</v>
      </c>
      <c r="H1338" s="115" t="s">
        <v>123</v>
      </c>
    </row>
    <row r="1339" spans="1:8" ht="19.899999999999999" customHeight="1">
      <c r="A1339" s="121">
        <v>46041</v>
      </c>
      <c r="B1339" s="112" t="s">
        <v>26</v>
      </c>
      <c r="C1339" s="113" t="s">
        <v>351</v>
      </c>
      <c r="D1339" s="112" t="s">
        <v>341</v>
      </c>
      <c r="E1339" s="122">
        <v>1.836805555555556</v>
      </c>
      <c r="F1339" s="112" t="s">
        <v>31</v>
      </c>
      <c r="G1339" s="114">
        <v>5</v>
      </c>
      <c r="H1339" s="115" t="s">
        <v>123</v>
      </c>
    </row>
    <row r="1340" spans="1:8" ht="19.899999999999999" customHeight="1">
      <c r="A1340" s="121">
        <v>46041</v>
      </c>
      <c r="B1340" s="112" t="s">
        <v>26</v>
      </c>
      <c r="C1340" s="113" t="s">
        <v>356</v>
      </c>
      <c r="D1340" s="112" t="s">
        <v>341</v>
      </c>
      <c r="E1340" s="122">
        <v>1.4861111111111109</v>
      </c>
      <c r="F1340" s="112" t="s">
        <v>28</v>
      </c>
      <c r="G1340" s="114">
        <v>9</v>
      </c>
      <c r="H1340" s="115" t="s">
        <v>123</v>
      </c>
    </row>
    <row r="1341" spans="1:8" ht="19.899999999999999" customHeight="1">
      <c r="A1341" s="121">
        <v>46041</v>
      </c>
      <c r="B1341" s="112" t="s">
        <v>26</v>
      </c>
      <c r="C1341" s="113" t="s">
        <v>353</v>
      </c>
      <c r="D1341" s="112" t="s">
        <v>341</v>
      </c>
      <c r="E1341" s="122">
        <v>1.8888888888888891</v>
      </c>
      <c r="F1341" s="112" t="s">
        <v>31</v>
      </c>
      <c r="G1341" s="114">
        <v>5</v>
      </c>
      <c r="H1341" s="115" t="s">
        <v>123</v>
      </c>
    </row>
    <row r="1342" spans="1:8" ht="19.899999999999999" customHeight="1">
      <c r="A1342" s="121">
        <v>46041</v>
      </c>
      <c r="B1342" s="112" t="s">
        <v>48</v>
      </c>
      <c r="C1342" s="113" t="s">
        <v>391</v>
      </c>
      <c r="D1342" s="112" t="s">
        <v>341</v>
      </c>
      <c r="E1342" s="122">
        <v>1.489583333333333</v>
      </c>
      <c r="F1342" s="112" t="s">
        <v>53</v>
      </c>
      <c r="G1342" s="114">
        <v>9</v>
      </c>
      <c r="H1342" s="115" t="s">
        <v>387</v>
      </c>
    </row>
    <row r="1343" spans="1:8" ht="19.899999999999999" customHeight="1">
      <c r="A1343" s="121">
        <v>46041</v>
      </c>
      <c r="B1343" s="112" t="s">
        <v>48</v>
      </c>
      <c r="C1343" s="113" t="s">
        <v>389</v>
      </c>
      <c r="D1343" s="112" t="s">
        <v>341</v>
      </c>
      <c r="E1343" s="122">
        <v>1.7013888888888891</v>
      </c>
      <c r="F1343" s="112" t="s">
        <v>53</v>
      </c>
      <c r="G1343" s="114">
        <v>9</v>
      </c>
      <c r="H1343" s="115" t="s">
        <v>387</v>
      </c>
    </row>
    <row r="1344" spans="1:8" ht="19.899999999999999" customHeight="1">
      <c r="A1344" s="121">
        <v>46041</v>
      </c>
      <c r="B1344" s="112" t="s">
        <v>48</v>
      </c>
      <c r="C1344" s="113" t="s">
        <v>400</v>
      </c>
      <c r="D1344" s="112" t="s">
        <v>341</v>
      </c>
      <c r="E1344" s="122">
        <v>1.2534722222222221</v>
      </c>
      <c r="F1344" s="112" t="s">
        <v>53</v>
      </c>
      <c r="G1344" s="114">
        <v>7</v>
      </c>
      <c r="H1344" s="115" t="s">
        <v>387</v>
      </c>
    </row>
    <row r="1345" spans="1:8" ht="19.899999999999999" customHeight="1">
      <c r="A1345" s="121">
        <v>46041</v>
      </c>
      <c r="B1345" s="112" t="s">
        <v>48</v>
      </c>
      <c r="C1345" s="113" t="s">
        <v>385</v>
      </c>
      <c r="D1345" s="112" t="s">
        <v>341</v>
      </c>
      <c r="E1345" s="122">
        <v>1.9409722222222221</v>
      </c>
      <c r="F1345" s="112" t="s">
        <v>53</v>
      </c>
      <c r="G1345" s="114">
        <v>9</v>
      </c>
      <c r="H1345" s="115" t="s">
        <v>387</v>
      </c>
    </row>
    <row r="1346" spans="1:8" ht="19.899999999999999" customHeight="1">
      <c r="A1346" s="121">
        <v>46041</v>
      </c>
      <c r="B1346" s="112" t="s">
        <v>359</v>
      </c>
      <c r="C1346" s="113" t="s">
        <v>360</v>
      </c>
      <c r="D1346" s="112" t="s">
        <v>341</v>
      </c>
      <c r="E1346" s="122">
        <v>1.225694444444444</v>
      </c>
      <c r="F1346" s="112" t="s">
        <v>46</v>
      </c>
      <c r="G1346" s="114">
        <v>9</v>
      </c>
      <c r="H1346" s="115" t="s">
        <v>526</v>
      </c>
    </row>
    <row r="1347" spans="1:8" ht="19.899999999999999" customHeight="1">
      <c r="A1347" s="121">
        <v>46041</v>
      </c>
      <c r="B1347" s="112" t="s">
        <v>359</v>
      </c>
      <c r="C1347" s="113" t="s">
        <v>445</v>
      </c>
      <c r="D1347" s="112" t="s">
        <v>341</v>
      </c>
      <c r="E1347" s="122">
        <v>1.0138888888888891</v>
      </c>
      <c r="F1347" s="112" t="s">
        <v>46</v>
      </c>
      <c r="G1347" s="114">
        <v>9</v>
      </c>
      <c r="H1347" s="115" t="s">
        <v>526</v>
      </c>
    </row>
    <row r="1348" spans="1:8" ht="19.899999999999999" customHeight="1">
      <c r="A1348" s="121">
        <v>46041</v>
      </c>
      <c r="B1348" s="112" t="s">
        <v>68</v>
      </c>
      <c r="C1348" s="113" t="s">
        <v>413</v>
      </c>
      <c r="D1348" s="112" t="s">
        <v>341</v>
      </c>
      <c r="E1348" s="122">
        <v>1.0486111111111109</v>
      </c>
      <c r="F1348" s="112" t="s">
        <v>70</v>
      </c>
      <c r="G1348" s="114">
        <v>9</v>
      </c>
      <c r="H1348" s="115" t="s">
        <v>412</v>
      </c>
    </row>
    <row r="1349" spans="1:8" ht="19.899999999999999" customHeight="1">
      <c r="A1349" s="121">
        <v>46041</v>
      </c>
      <c r="B1349" s="112" t="s">
        <v>26</v>
      </c>
      <c r="C1349" s="113" t="s">
        <v>352</v>
      </c>
      <c r="D1349" s="112" t="s">
        <v>341</v>
      </c>
      <c r="E1349" s="122">
        <v>1.944444444444444</v>
      </c>
      <c r="F1349" s="112" t="s">
        <v>31</v>
      </c>
      <c r="G1349" s="114">
        <v>5</v>
      </c>
      <c r="H1349" s="115" t="s">
        <v>355</v>
      </c>
    </row>
    <row r="1350" spans="1:8" ht="19.899999999999999" customHeight="1">
      <c r="A1350" s="121">
        <v>46041</v>
      </c>
      <c r="B1350" s="112" t="s">
        <v>26</v>
      </c>
      <c r="C1350" s="113" t="s">
        <v>357</v>
      </c>
      <c r="D1350" s="112" t="s">
        <v>341</v>
      </c>
      <c r="E1350" s="122">
        <v>1.5590277777777779</v>
      </c>
      <c r="F1350" s="112" t="s">
        <v>31</v>
      </c>
      <c r="G1350" s="114">
        <v>5</v>
      </c>
      <c r="H1350" s="115" t="s">
        <v>355</v>
      </c>
    </row>
    <row r="1351" spans="1:8" ht="19.899999999999999" customHeight="1">
      <c r="A1351" s="121">
        <v>46041</v>
      </c>
      <c r="B1351" s="112" t="s">
        <v>48</v>
      </c>
      <c r="C1351" s="113" t="s">
        <v>388</v>
      </c>
      <c r="D1351" s="112" t="s">
        <v>341</v>
      </c>
      <c r="E1351" s="122">
        <v>1.7222222222222221</v>
      </c>
      <c r="F1351" s="112" t="s">
        <v>53</v>
      </c>
      <c r="G1351" s="114">
        <v>9</v>
      </c>
      <c r="H1351" s="115" t="s">
        <v>477</v>
      </c>
    </row>
    <row r="1352" spans="1:8" ht="19.899999999999999" customHeight="1">
      <c r="A1352" s="121">
        <v>46041</v>
      </c>
      <c r="B1352" s="112" t="s">
        <v>48</v>
      </c>
      <c r="C1352" s="113" t="s">
        <v>390</v>
      </c>
      <c r="D1352" s="112" t="s">
        <v>341</v>
      </c>
      <c r="E1352" s="122">
        <v>1.041666666666667</v>
      </c>
      <c r="F1352" s="112" t="s">
        <v>53</v>
      </c>
      <c r="G1352" s="114">
        <v>9</v>
      </c>
      <c r="H1352" s="115" t="s">
        <v>477</v>
      </c>
    </row>
    <row r="1353" spans="1:8" ht="19.899999999999999" customHeight="1">
      <c r="A1353" s="121">
        <v>46041</v>
      </c>
      <c r="B1353" s="112" t="s">
        <v>26</v>
      </c>
      <c r="C1353" s="113" t="s">
        <v>354</v>
      </c>
      <c r="D1353" s="112" t="s">
        <v>341</v>
      </c>
      <c r="E1353" s="122">
        <v>1.3472222222222221</v>
      </c>
      <c r="F1353" s="112" t="s">
        <v>34</v>
      </c>
      <c r="G1353" s="114">
        <v>5</v>
      </c>
      <c r="H1353" s="115" t="s">
        <v>118</v>
      </c>
    </row>
    <row r="1354" spans="1:8" ht="19.899999999999999" customHeight="1">
      <c r="A1354" s="121">
        <v>46041</v>
      </c>
      <c r="B1354" s="112" t="s">
        <v>26</v>
      </c>
      <c r="C1354" s="113" t="s">
        <v>348</v>
      </c>
      <c r="D1354" s="112" t="s">
        <v>341</v>
      </c>
      <c r="E1354" s="122">
        <v>1.993055555555556</v>
      </c>
      <c r="F1354" s="112" t="s">
        <v>34</v>
      </c>
      <c r="G1354" s="114">
        <v>5</v>
      </c>
      <c r="H1354" s="115" t="s">
        <v>118</v>
      </c>
    </row>
    <row r="1355" spans="1:8" ht="19.899999999999999" customHeight="1">
      <c r="A1355" s="121">
        <v>46041</v>
      </c>
      <c r="B1355" s="112" t="s">
        <v>26</v>
      </c>
      <c r="C1355" s="113" t="s">
        <v>350</v>
      </c>
      <c r="D1355" s="112" t="s">
        <v>341</v>
      </c>
      <c r="E1355" s="122">
        <v>1.7361111111111109</v>
      </c>
      <c r="F1355" s="112" t="s">
        <v>34</v>
      </c>
      <c r="G1355" s="114">
        <v>5</v>
      </c>
      <c r="H1355" s="115" t="s">
        <v>118</v>
      </c>
    </row>
    <row r="1356" spans="1:8" ht="19.899999999999999" customHeight="1">
      <c r="A1356" s="121">
        <v>46041</v>
      </c>
      <c r="B1356" s="112" t="s">
        <v>26</v>
      </c>
      <c r="C1356" s="113" t="s">
        <v>351</v>
      </c>
      <c r="D1356" s="112" t="s">
        <v>341</v>
      </c>
      <c r="E1356" s="122">
        <v>1.836805555555556</v>
      </c>
      <c r="F1356" s="112" t="s">
        <v>34</v>
      </c>
      <c r="G1356" s="114">
        <v>5</v>
      </c>
      <c r="H1356" s="115" t="s">
        <v>118</v>
      </c>
    </row>
    <row r="1357" spans="1:8" ht="19.899999999999999" customHeight="1">
      <c r="A1357" s="121">
        <v>46041</v>
      </c>
      <c r="B1357" s="112" t="s">
        <v>26</v>
      </c>
      <c r="C1357" s="113" t="s">
        <v>353</v>
      </c>
      <c r="D1357" s="112" t="s">
        <v>341</v>
      </c>
      <c r="E1357" s="122">
        <v>1.8888888888888891</v>
      </c>
      <c r="F1357" s="112" t="s">
        <v>34</v>
      </c>
      <c r="G1357" s="114">
        <v>5</v>
      </c>
      <c r="H1357" s="115" t="s">
        <v>118</v>
      </c>
    </row>
    <row r="1358" spans="1:8" ht="19.899999999999999" customHeight="1">
      <c r="A1358" s="121">
        <v>46041</v>
      </c>
      <c r="B1358" s="112" t="s">
        <v>26</v>
      </c>
      <c r="C1358" s="113" t="s">
        <v>356</v>
      </c>
      <c r="D1358" s="112" t="s">
        <v>341</v>
      </c>
      <c r="E1358" s="122">
        <v>1.4861111111111109</v>
      </c>
      <c r="F1358" s="112" t="s">
        <v>31</v>
      </c>
      <c r="G1358" s="114">
        <v>9</v>
      </c>
      <c r="H1358" s="115" t="s">
        <v>163</v>
      </c>
    </row>
    <row r="1359" spans="1:8" ht="19.899999999999999" customHeight="1">
      <c r="A1359" s="121">
        <v>46041</v>
      </c>
      <c r="B1359" s="112" t="s">
        <v>26</v>
      </c>
      <c r="C1359" s="113" t="s">
        <v>352</v>
      </c>
      <c r="D1359" s="112" t="s">
        <v>341</v>
      </c>
      <c r="E1359" s="122">
        <v>1.944444444444444</v>
      </c>
      <c r="F1359" s="112" t="s">
        <v>34</v>
      </c>
      <c r="G1359" s="114">
        <v>5</v>
      </c>
      <c r="H1359" s="115" t="s">
        <v>358</v>
      </c>
    </row>
    <row r="1360" spans="1:8" ht="19.899999999999999" customHeight="1">
      <c r="A1360" s="121">
        <v>46041</v>
      </c>
      <c r="B1360" s="112" t="s">
        <v>26</v>
      </c>
      <c r="C1360" s="113" t="s">
        <v>357</v>
      </c>
      <c r="D1360" s="112" t="s">
        <v>341</v>
      </c>
      <c r="E1360" s="122">
        <v>1.5590277777777779</v>
      </c>
      <c r="F1360" s="112" t="s">
        <v>34</v>
      </c>
      <c r="G1360" s="114">
        <v>5</v>
      </c>
      <c r="H1360" s="115" t="s">
        <v>358</v>
      </c>
    </row>
    <row r="1361" spans="1:8" ht="19.899999999999999" customHeight="1">
      <c r="A1361" s="121">
        <v>46041</v>
      </c>
      <c r="B1361" s="112" t="s">
        <v>26</v>
      </c>
      <c r="C1361" s="113" t="s">
        <v>356</v>
      </c>
      <c r="D1361" s="112" t="s">
        <v>341</v>
      </c>
      <c r="E1361" s="122">
        <v>1.4861111111111109</v>
      </c>
      <c r="F1361" s="112" t="s">
        <v>34</v>
      </c>
      <c r="G1361" s="114">
        <v>9</v>
      </c>
      <c r="H1361" s="115" t="s">
        <v>119</v>
      </c>
    </row>
    <row r="1362" spans="1:8" ht="19.899999999999999" customHeight="1">
      <c r="A1362" s="121">
        <v>46041</v>
      </c>
      <c r="B1362" s="112" t="s">
        <v>38</v>
      </c>
      <c r="C1362" s="113" t="s">
        <v>346</v>
      </c>
      <c r="D1362" s="112" t="s">
        <v>341</v>
      </c>
      <c r="E1362" s="122">
        <v>1.399305555555556</v>
      </c>
      <c r="F1362" s="112" t="s">
        <v>46</v>
      </c>
      <c r="G1362" s="114">
        <v>20</v>
      </c>
      <c r="H1362" s="115" t="s">
        <v>47</v>
      </c>
    </row>
    <row r="1363" spans="1:8" ht="19.899999999999999" customHeight="1">
      <c r="A1363" s="121">
        <v>46041</v>
      </c>
      <c r="B1363" s="112" t="s">
        <v>38</v>
      </c>
      <c r="C1363" s="113" t="s">
        <v>342</v>
      </c>
      <c r="D1363" s="112" t="s">
        <v>341</v>
      </c>
      <c r="E1363" s="122">
        <v>1.489583333333333</v>
      </c>
      <c r="F1363" s="112" t="s">
        <v>46</v>
      </c>
      <c r="G1363" s="114">
        <v>14</v>
      </c>
      <c r="H1363" s="115" t="s">
        <v>47</v>
      </c>
    </row>
    <row r="1364" spans="1:8" ht="19.899999999999999" customHeight="1">
      <c r="A1364" s="121">
        <v>46041</v>
      </c>
      <c r="B1364" s="112" t="s">
        <v>38</v>
      </c>
      <c r="C1364" s="113" t="s">
        <v>344</v>
      </c>
      <c r="D1364" s="112" t="s">
        <v>341</v>
      </c>
      <c r="E1364" s="122">
        <v>1.8888888888888891</v>
      </c>
      <c r="F1364" s="112" t="s">
        <v>46</v>
      </c>
      <c r="G1364" s="114">
        <v>14</v>
      </c>
      <c r="H1364" s="115" t="s">
        <v>47</v>
      </c>
    </row>
    <row r="1365" spans="1:8" ht="19.899999999999999" customHeight="1">
      <c r="A1365" s="121">
        <v>46041</v>
      </c>
      <c r="B1365" s="112" t="s">
        <v>38</v>
      </c>
      <c r="C1365" s="113" t="s">
        <v>345</v>
      </c>
      <c r="D1365" s="112" t="s">
        <v>341</v>
      </c>
      <c r="E1365" s="122">
        <v>1.989583333333333</v>
      </c>
      <c r="F1365" s="112" t="s">
        <v>46</v>
      </c>
      <c r="G1365" s="114">
        <v>20</v>
      </c>
      <c r="H1365" s="115" t="s">
        <v>47</v>
      </c>
    </row>
    <row r="1366" spans="1:8" ht="19.899999999999999" customHeight="1">
      <c r="A1366" s="121">
        <v>46041</v>
      </c>
      <c r="B1366" s="112" t="s">
        <v>68</v>
      </c>
      <c r="C1366" s="113" t="s">
        <v>409</v>
      </c>
      <c r="D1366" s="112" t="s">
        <v>341</v>
      </c>
      <c r="E1366" s="122">
        <v>1.3402777777777779</v>
      </c>
      <c r="F1366" s="112" t="s">
        <v>70</v>
      </c>
      <c r="G1366" s="114">
        <v>9</v>
      </c>
      <c r="H1366" s="115" t="s">
        <v>523</v>
      </c>
    </row>
    <row r="1367" spans="1:8" ht="19.899999999999999" customHeight="1">
      <c r="A1367" s="121">
        <v>46041</v>
      </c>
      <c r="B1367" s="112" t="s">
        <v>48</v>
      </c>
      <c r="C1367" s="113" t="s">
        <v>396</v>
      </c>
      <c r="D1367" s="112" t="s">
        <v>341</v>
      </c>
      <c r="E1367" s="122">
        <v>1.489583333333333</v>
      </c>
      <c r="F1367" s="112" t="s">
        <v>53</v>
      </c>
      <c r="G1367" s="114">
        <v>4</v>
      </c>
      <c r="H1367" s="115" t="s">
        <v>481</v>
      </c>
    </row>
    <row r="1368" spans="1:8" ht="19.899999999999999" customHeight="1">
      <c r="A1368" s="121">
        <v>46041</v>
      </c>
      <c r="B1368" s="112" t="s">
        <v>48</v>
      </c>
      <c r="C1368" s="113" t="s">
        <v>394</v>
      </c>
      <c r="D1368" s="112" t="s">
        <v>341</v>
      </c>
      <c r="E1368" s="122">
        <v>1.989583333333333</v>
      </c>
      <c r="F1368" s="112" t="s">
        <v>53</v>
      </c>
      <c r="G1368" s="114">
        <v>4</v>
      </c>
      <c r="H1368" s="115" t="s">
        <v>399</v>
      </c>
    </row>
    <row r="1369" spans="1:8" ht="19.899999999999999" customHeight="1">
      <c r="A1369" s="121">
        <v>46041</v>
      </c>
      <c r="B1369" s="112" t="s">
        <v>48</v>
      </c>
      <c r="C1369" s="113" t="s">
        <v>398</v>
      </c>
      <c r="D1369" s="112" t="s">
        <v>341</v>
      </c>
      <c r="E1369" s="122">
        <v>1.399305555555556</v>
      </c>
      <c r="F1369" s="112" t="s">
        <v>53</v>
      </c>
      <c r="G1369" s="114">
        <v>4</v>
      </c>
      <c r="H1369" s="115" t="s">
        <v>399</v>
      </c>
    </row>
    <row r="1370" spans="1:8" ht="19.899999999999999" customHeight="1">
      <c r="A1370" s="121">
        <v>46041</v>
      </c>
      <c r="B1370" s="112" t="s">
        <v>48</v>
      </c>
      <c r="C1370" s="113" t="s">
        <v>397</v>
      </c>
      <c r="D1370" s="112" t="s">
        <v>341</v>
      </c>
      <c r="E1370" s="122">
        <v>1.8888888888888891</v>
      </c>
      <c r="F1370" s="112" t="s">
        <v>53</v>
      </c>
      <c r="G1370" s="114">
        <v>4</v>
      </c>
      <c r="H1370" s="115" t="s">
        <v>464</v>
      </c>
    </row>
    <row r="1371" spans="1:8" ht="19.899999999999999" customHeight="1">
      <c r="A1371" s="121">
        <v>46041</v>
      </c>
      <c r="B1371" s="112" t="s">
        <v>68</v>
      </c>
      <c r="C1371" s="113" t="s">
        <v>437</v>
      </c>
      <c r="D1371" s="112" t="s">
        <v>341</v>
      </c>
      <c r="E1371" s="122">
        <v>1.104166666666667</v>
      </c>
      <c r="F1371" s="112" t="s">
        <v>70</v>
      </c>
      <c r="G1371" s="114">
        <v>9</v>
      </c>
      <c r="H1371" s="115" t="s">
        <v>474</v>
      </c>
    </row>
    <row r="1372" spans="1:8" ht="19.899999999999999" customHeight="1">
      <c r="A1372" s="123">
        <v>46041</v>
      </c>
      <c r="B1372" s="124" t="s">
        <v>415</v>
      </c>
      <c r="C1372" s="125" t="s">
        <v>480</v>
      </c>
      <c r="D1372" s="124" t="s">
        <v>341</v>
      </c>
      <c r="E1372" s="126">
        <v>1.7222222222222221</v>
      </c>
      <c r="F1372" s="124" t="s">
        <v>63</v>
      </c>
      <c r="G1372" s="127">
        <v>9</v>
      </c>
      <c r="H1372" s="128" t="s">
        <v>417</v>
      </c>
    </row>
    <row r="1373" spans="1:8" ht="19.899999999999999" customHeight="1">
      <c r="A1373" s="121">
        <v>46042</v>
      </c>
      <c r="B1373" s="112" t="s">
        <v>38</v>
      </c>
      <c r="C1373" s="113" t="s">
        <v>342</v>
      </c>
      <c r="D1373" s="112" t="s">
        <v>341</v>
      </c>
      <c r="E1373" s="122">
        <v>1.489583333333333</v>
      </c>
      <c r="F1373" s="112" t="s">
        <v>40</v>
      </c>
      <c r="G1373" s="114">
        <v>16</v>
      </c>
      <c r="H1373" s="115" t="s">
        <v>81</v>
      </c>
    </row>
    <row r="1374" spans="1:8" ht="19.899999999999999" customHeight="1">
      <c r="A1374" s="121">
        <v>46042</v>
      </c>
      <c r="B1374" s="112" t="s">
        <v>38</v>
      </c>
      <c r="C1374" s="113" t="s">
        <v>344</v>
      </c>
      <c r="D1374" s="112" t="s">
        <v>341</v>
      </c>
      <c r="E1374" s="122">
        <v>1.8888888888888891</v>
      </c>
      <c r="F1374" s="112" t="s">
        <v>40</v>
      </c>
      <c r="G1374" s="114">
        <v>20</v>
      </c>
      <c r="H1374" s="115" t="s">
        <v>30</v>
      </c>
    </row>
    <row r="1375" spans="1:8" ht="19.899999999999999" customHeight="1">
      <c r="A1375" s="121">
        <v>46042</v>
      </c>
      <c r="B1375" s="112" t="s">
        <v>38</v>
      </c>
      <c r="C1375" s="113" t="s">
        <v>346</v>
      </c>
      <c r="D1375" s="112" t="s">
        <v>341</v>
      </c>
      <c r="E1375" s="122">
        <v>1.399305555555556</v>
      </c>
      <c r="F1375" s="112" t="s">
        <v>40</v>
      </c>
      <c r="G1375" s="114">
        <v>20</v>
      </c>
      <c r="H1375" s="115" t="s">
        <v>347</v>
      </c>
    </row>
    <row r="1376" spans="1:8" ht="19.899999999999999" customHeight="1">
      <c r="A1376" s="121">
        <v>46042</v>
      </c>
      <c r="B1376" s="112" t="s">
        <v>38</v>
      </c>
      <c r="C1376" s="113" t="s">
        <v>345</v>
      </c>
      <c r="D1376" s="112" t="s">
        <v>341</v>
      </c>
      <c r="E1376" s="122">
        <v>1.989583333333333</v>
      </c>
      <c r="F1376" s="112" t="s">
        <v>40</v>
      </c>
      <c r="G1376" s="114">
        <v>20</v>
      </c>
      <c r="H1376" s="115" t="s">
        <v>347</v>
      </c>
    </row>
    <row r="1377" spans="1:8" ht="19.899999999999999" customHeight="1">
      <c r="A1377" s="121">
        <v>46042</v>
      </c>
      <c r="B1377" s="112" t="s">
        <v>359</v>
      </c>
      <c r="C1377" s="113" t="s">
        <v>445</v>
      </c>
      <c r="D1377" s="112" t="s">
        <v>341</v>
      </c>
      <c r="E1377" s="122">
        <v>1.055555555555556</v>
      </c>
      <c r="F1377" s="112" t="s">
        <v>361</v>
      </c>
      <c r="G1377" s="114">
        <v>9</v>
      </c>
      <c r="H1377" s="115" t="s">
        <v>525</v>
      </c>
    </row>
    <row r="1378" spans="1:8" ht="19.899999999999999" customHeight="1">
      <c r="A1378" s="129">
        <v>46042</v>
      </c>
      <c r="B1378" s="117" t="s">
        <v>61</v>
      </c>
      <c r="C1378" s="118" t="s">
        <v>364</v>
      </c>
      <c r="D1378" s="117" t="s">
        <v>341</v>
      </c>
      <c r="E1378" s="130">
        <v>1.756944444444444</v>
      </c>
      <c r="F1378" s="117" t="s">
        <v>63</v>
      </c>
      <c r="G1378" s="119">
        <v>5</v>
      </c>
      <c r="H1378" s="120" t="s">
        <v>365</v>
      </c>
    </row>
    <row r="1379" spans="1:8" ht="19.899999999999999" customHeight="1">
      <c r="A1379" s="129">
        <v>46042</v>
      </c>
      <c r="B1379" s="117" t="s">
        <v>61</v>
      </c>
      <c r="C1379" s="118" t="s">
        <v>432</v>
      </c>
      <c r="D1379" s="117" t="s">
        <v>341</v>
      </c>
      <c r="E1379" s="130">
        <v>1.552083333333333</v>
      </c>
      <c r="F1379" s="117" t="s">
        <v>63</v>
      </c>
      <c r="G1379" s="119">
        <v>2</v>
      </c>
      <c r="H1379" s="120" t="s">
        <v>365</v>
      </c>
    </row>
    <row r="1380" spans="1:8" ht="19.899999999999999" customHeight="1">
      <c r="A1380" s="129">
        <v>46042</v>
      </c>
      <c r="B1380" s="117" t="s">
        <v>61</v>
      </c>
      <c r="C1380" s="118" t="s">
        <v>428</v>
      </c>
      <c r="D1380" s="117" t="s">
        <v>341</v>
      </c>
      <c r="E1380" s="130">
        <v>1.052083333333333</v>
      </c>
      <c r="F1380" s="117" t="s">
        <v>63</v>
      </c>
      <c r="G1380" s="119">
        <v>5</v>
      </c>
      <c r="H1380" s="120" t="s">
        <v>365</v>
      </c>
    </row>
    <row r="1381" spans="1:8" ht="19.899999999999999" customHeight="1">
      <c r="A1381" s="129">
        <v>46042</v>
      </c>
      <c r="B1381" s="117" t="s">
        <v>61</v>
      </c>
      <c r="C1381" s="118" t="s">
        <v>375</v>
      </c>
      <c r="D1381" s="117" t="s">
        <v>341</v>
      </c>
      <c r="E1381" s="130">
        <v>1.791666666666667</v>
      </c>
      <c r="F1381" s="117" t="s">
        <v>63</v>
      </c>
      <c r="G1381" s="119">
        <v>5</v>
      </c>
      <c r="H1381" s="120" t="s">
        <v>365</v>
      </c>
    </row>
    <row r="1382" spans="1:8" ht="19.899999999999999" customHeight="1">
      <c r="A1382" s="129">
        <v>46042</v>
      </c>
      <c r="B1382" s="117" t="s">
        <v>61</v>
      </c>
      <c r="C1382" s="118" t="s">
        <v>377</v>
      </c>
      <c r="D1382" s="117" t="s">
        <v>341</v>
      </c>
      <c r="E1382" s="130">
        <v>1.4375</v>
      </c>
      <c r="F1382" s="117" t="s">
        <v>63</v>
      </c>
      <c r="G1382" s="119">
        <v>5</v>
      </c>
      <c r="H1382" s="120" t="s">
        <v>365</v>
      </c>
    </row>
    <row r="1383" spans="1:8" ht="19.899999999999999" customHeight="1">
      <c r="A1383" s="129">
        <v>46042</v>
      </c>
      <c r="B1383" s="117" t="s">
        <v>61</v>
      </c>
      <c r="C1383" s="118" t="s">
        <v>379</v>
      </c>
      <c r="D1383" s="117" t="s">
        <v>341</v>
      </c>
      <c r="E1383" s="130">
        <v>1.381944444444444</v>
      </c>
      <c r="F1383" s="117" t="s">
        <v>63</v>
      </c>
      <c r="G1383" s="119">
        <v>4</v>
      </c>
      <c r="H1383" s="120" t="s">
        <v>365</v>
      </c>
    </row>
    <row r="1384" spans="1:8" ht="19.899999999999999" customHeight="1">
      <c r="A1384" s="121">
        <v>46042</v>
      </c>
      <c r="B1384" s="112" t="s">
        <v>26</v>
      </c>
      <c r="C1384" s="113" t="s">
        <v>348</v>
      </c>
      <c r="D1384" s="112" t="s">
        <v>341</v>
      </c>
      <c r="E1384" s="122">
        <v>1.993055555555556</v>
      </c>
      <c r="F1384" s="112" t="s">
        <v>28</v>
      </c>
      <c r="G1384" s="114">
        <v>4</v>
      </c>
      <c r="H1384" s="115" t="s">
        <v>83</v>
      </c>
    </row>
    <row r="1385" spans="1:8" ht="19.899999999999999" customHeight="1">
      <c r="A1385" s="121">
        <v>46042</v>
      </c>
      <c r="B1385" s="112" t="s">
        <v>26</v>
      </c>
      <c r="C1385" s="113" t="s">
        <v>353</v>
      </c>
      <c r="D1385" s="112" t="s">
        <v>341</v>
      </c>
      <c r="E1385" s="122">
        <v>1.8888888888888891</v>
      </c>
      <c r="F1385" s="112" t="s">
        <v>28</v>
      </c>
      <c r="G1385" s="114">
        <v>4</v>
      </c>
      <c r="H1385" s="115" t="s">
        <v>83</v>
      </c>
    </row>
    <row r="1386" spans="1:8" ht="19.899999999999999" customHeight="1">
      <c r="A1386" s="121">
        <v>46042</v>
      </c>
      <c r="B1386" s="112" t="s">
        <v>402</v>
      </c>
      <c r="C1386" s="113" t="s">
        <v>403</v>
      </c>
      <c r="D1386" s="112" t="s">
        <v>341</v>
      </c>
      <c r="E1386" s="122">
        <v>1.493055555555556</v>
      </c>
      <c r="F1386" s="112" t="s">
        <v>63</v>
      </c>
      <c r="G1386" s="114">
        <v>5</v>
      </c>
      <c r="H1386" s="115" t="s">
        <v>404</v>
      </c>
    </row>
    <row r="1387" spans="1:8" ht="19.899999999999999" customHeight="1">
      <c r="A1387" s="121">
        <v>46042</v>
      </c>
      <c r="B1387" s="112" t="s">
        <v>48</v>
      </c>
      <c r="C1387" s="113" t="s">
        <v>386</v>
      </c>
      <c r="D1387" s="112" t="s">
        <v>341</v>
      </c>
      <c r="E1387" s="122">
        <v>1.8298611111111109</v>
      </c>
      <c r="F1387" s="112" t="s">
        <v>50</v>
      </c>
      <c r="G1387" s="114">
        <v>9</v>
      </c>
      <c r="H1387" s="115" t="s">
        <v>79</v>
      </c>
    </row>
    <row r="1388" spans="1:8" ht="19.899999999999999" customHeight="1">
      <c r="A1388" s="121">
        <v>46042</v>
      </c>
      <c r="B1388" s="112" t="s">
        <v>48</v>
      </c>
      <c r="C1388" s="113" t="s">
        <v>388</v>
      </c>
      <c r="D1388" s="112" t="s">
        <v>341</v>
      </c>
      <c r="E1388" s="122">
        <v>1.7222222222222221</v>
      </c>
      <c r="F1388" s="112" t="s">
        <v>50</v>
      </c>
      <c r="G1388" s="114">
        <v>9</v>
      </c>
      <c r="H1388" s="115" t="s">
        <v>79</v>
      </c>
    </row>
    <row r="1389" spans="1:8" ht="19.899999999999999" customHeight="1">
      <c r="A1389" s="121">
        <v>46042</v>
      </c>
      <c r="B1389" s="112" t="s">
        <v>48</v>
      </c>
      <c r="C1389" s="113" t="s">
        <v>382</v>
      </c>
      <c r="D1389" s="112" t="s">
        <v>341</v>
      </c>
      <c r="E1389" s="122">
        <v>1.118055555555556</v>
      </c>
      <c r="F1389" s="112" t="s">
        <v>50</v>
      </c>
      <c r="G1389" s="114">
        <v>9</v>
      </c>
      <c r="H1389" s="115" t="s">
        <v>79</v>
      </c>
    </row>
    <row r="1390" spans="1:8" ht="19.899999999999999" customHeight="1">
      <c r="A1390" s="121">
        <v>46042</v>
      </c>
      <c r="B1390" s="112" t="s">
        <v>48</v>
      </c>
      <c r="C1390" s="113" t="s">
        <v>389</v>
      </c>
      <c r="D1390" s="112" t="s">
        <v>341</v>
      </c>
      <c r="E1390" s="122">
        <v>1.7013888888888891</v>
      </c>
      <c r="F1390" s="112" t="s">
        <v>50</v>
      </c>
      <c r="G1390" s="114">
        <v>9</v>
      </c>
      <c r="H1390" s="115" t="s">
        <v>79</v>
      </c>
    </row>
    <row r="1391" spans="1:8" ht="19.899999999999999" customHeight="1">
      <c r="A1391" s="121">
        <v>46042</v>
      </c>
      <c r="B1391" s="112" t="s">
        <v>48</v>
      </c>
      <c r="C1391" s="113" t="s">
        <v>400</v>
      </c>
      <c r="D1391" s="112" t="s">
        <v>341</v>
      </c>
      <c r="E1391" s="122">
        <v>1.2534722222222221</v>
      </c>
      <c r="F1391" s="112" t="s">
        <v>50</v>
      </c>
      <c r="G1391" s="114">
        <v>9</v>
      </c>
      <c r="H1391" s="115" t="s">
        <v>79</v>
      </c>
    </row>
    <row r="1392" spans="1:8" ht="19.899999999999999" customHeight="1">
      <c r="A1392" s="121">
        <v>46042</v>
      </c>
      <c r="B1392" s="112" t="s">
        <v>48</v>
      </c>
      <c r="C1392" s="113" t="s">
        <v>390</v>
      </c>
      <c r="D1392" s="112" t="s">
        <v>341</v>
      </c>
      <c r="E1392" s="122">
        <v>1.041666666666667</v>
      </c>
      <c r="F1392" s="112" t="s">
        <v>50</v>
      </c>
      <c r="G1392" s="114">
        <v>9</v>
      </c>
      <c r="H1392" s="115" t="s">
        <v>79</v>
      </c>
    </row>
    <row r="1393" spans="1:8" ht="19.899999999999999" customHeight="1">
      <c r="A1393" s="121">
        <v>46042</v>
      </c>
      <c r="B1393" s="112" t="s">
        <v>48</v>
      </c>
      <c r="C1393" s="113" t="s">
        <v>385</v>
      </c>
      <c r="D1393" s="112" t="s">
        <v>341</v>
      </c>
      <c r="E1393" s="122">
        <v>1.9409722222222221</v>
      </c>
      <c r="F1393" s="112" t="s">
        <v>50</v>
      </c>
      <c r="G1393" s="114">
        <v>9</v>
      </c>
      <c r="H1393" s="115" t="s">
        <v>79</v>
      </c>
    </row>
    <row r="1394" spans="1:8" ht="19.899999999999999" customHeight="1">
      <c r="A1394" s="121">
        <v>46042</v>
      </c>
      <c r="B1394" s="112" t="s">
        <v>26</v>
      </c>
      <c r="C1394" s="113" t="s">
        <v>354</v>
      </c>
      <c r="D1394" s="112" t="s">
        <v>341</v>
      </c>
      <c r="E1394" s="122">
        <v>1.3472222222222221</v>
      </c>
      <c r="F1394" s="112" t="s">
        <v>28</v>
      </c>
      <c r="G1394" s="114">
        <v>7</v>
      </c>
      <c r="H1394" s="115" t="s">
        <v>79</v>
      </c>
    </row>
    <row r="1395" spans="1:8" ht="19.899999999999999" customHeight="1">
      <c r="A1395" s="121">
        <v>46042</v>
      </c>
      <c r="B1395" s="112" t="s">
        <v>38</v>
      </c>
      <c r="C1395" s="113" t="s">
        <v>342</v>
      </c>
      <c r="D1395" s="112" t="s">
        <v>341</v>
      </c>
      <c r="E1395" s="122">
        <v>1.489583333333333</v>
      </c>
      <c r="F1395" s="112" t="s">
        <v>43</v>
      </c>
      <c r="G1395" s="114">
        <v>16</v>
      </c>
      <c r="H1395" s="115" t="s">
        <v>161</v>
      </c>
    </row>
    <row r="1396" spans="1:8" ht="19.899999999999999" customHeight="1">
      <c r="A1396" s="121">
        <v>46042</v>
      </c>
      <c r="B1396" s="112" t="s">
        <v>38</v>
      </c>
      <c r="C1396" s="113" t="s">
        <v>344</v>
      </c>
      <c r="D1396" s="112" t="s">
        <v>341</v>
      </c>
      <c r="E1396" s="122">
        <v>1.8888888888888891</v>
      </c>
      <c r="F1396" s="112" t="s">
        <v>43</v>
      </c>
      <c r="G1396" s="114">
        <v>20</v>
      </c>
      <c r="H1396" s="115" t="s">
        <v>420</v>
      </c>
    </row>
    <row r="1397" spans="1:8" ht="19.899999999999999" customHeight="1">
      <c r="A1397" s="121">
        <v>46042</v>
      </c>
      <c r="B1397" s="112" t="s">
        <v>26</v>
      </c>
      <c r="C1397" s="113" t="s">
        <v>352</v>
      </c>
      <c r="D1397" s="112" t="s">
        <v>341</v>
      </c>
      <c r="E1397" s="122">
        <v>1.944444444444444</v>
      </c>
      <c r="F1397" s="112" t="s">
        <v>28</v>
      </c>
      <c r="G1397" s="114">
        <v>5</v>
      </c>
      <c r="H1397" s="115" t="s">
        <v>45</v>
      </c>
    </row>
    <row r="1398" spans="1:8" ht="19.899999999999999" customHeight="1">
      <c r="A1398" s="121">
        <v>46042</v>
      </c>
      <c r="B1398" s="112" t="s">
        <v>26</v>
      </c>
      <c r="C1398" s="113" t="s">
        <v>357</v>
      </c>
      <c r="D1398" s="112" t="s">
        <v>341</v>
      </c>
      <c r="E1398" s="122">
        <v>1.3923611111111109</v>
      </c>
      <c r="F1398" s="112" t="s">
        <v>28</v>
      </c>
      <c r="G1398" s="114">
        <v>5</v>
      </c>
      <c r="H1398" s="115" t="s">
        <v>45</v>
      </c>
    </row>
    <row r="1399" spans="1:8" ht="19.899999999999999" customHeight="1">
      <c r="A1399" s="121">
        <v>46042</v>
      </c>
      <c r="B1399" s="112" t="s">
        <v>26</v>
      </c>
      <c r="C1399" s="113" t="s">
        <v>348</v>
      </c>
      <c r="D1399" s="112" t="s">
        <v>341</v>
      </c>
      <c r="E1399" s="122">
        <v>1.993055555555556</v>
      </c>
      <c r="F1399" s="112" t="s">
        <v>31</v>
      </c>
      <c r="G1399" s="114">
        <v>4</v>
      </c>
      <c r="H1399" s="115" t="s">
        <v>159</v>
      </c>
    </row>
    <row r="1400" spans="1:8" ht="19.899999999999999" customHeight="1">
      <c r="A1400" s="121">
        <v>46042</v>
      </c>
      <c r="B1400" s="112" t="s">
        <v>26</v>
      </c>
      <c r="C1400" s="113" t="s">
        <v>353</v>
      </c>
      <c r="D1400" s="112" t="s">
        <v>341</v>
      </c>
      <c r="E1400" s="122">
        <v>1.8888888888888891</v>
      </c>
      <c r="F1400" s="112" t="s">
        <v>31</v>
      </c>
      <c r="G1400" s="114">
        <v>4</v>
      </c>
      <c r="H1400" s="115" t="s">
        <v>159</v>
      </c>
    </row>
    <row r="1401" spans="1:8" ht="19.899999999999999" customHeight="1">
      <c r="A1401" s="121">
        <v>46042</v>
      </c>
      <c r="B1401" s="112" t="s">
        <v>38</v>
      </c>
      <c r="C1401" s="113" t="s">
        <v>346</v>
      </c>
      <c r="D1401" s="112" t="s">
        <v>341</v>
      </c>
      <c r="E1401" s="122">
        <v>1.399305555555556</v>
      </c>
      <c r="F1401" s="112" t="s">
        <v>43</v>
      </c>
      <c r="G1401" s="114">
        <v>20</v>
      </c>
      <c r="H1401" s="115" t="s">
        <v>138</v>
      </c>
    </row>
    <row r="1402" spans="1:8" ht="19.899999999999999" customHeight="1">
      <c r="A1402" s="121">
        <v>46042</v>
      </c>
      <c r="B1402" s="112" t="s">
        <v>38</v>
      </c>
      <c r="C1402" s="113" t="s">
        <v>345</v>
      </c>
      <c r="D1402" s="112" t="s">
        <v>341</v>
      </c>
      <c r="E1402" s="122">
        <v>1.989583333333333</v>
      </c>
      <c r="F1402" s="112" t="s">
        <v>43</v>
      </c>
      <c r="G1402" s="114">
        <v>20</v>
      </c>
      <c r="H1402" s="115" t="s">
        <v>138</v>
      </c>
    </row>
    <row r="1403" spans="1:8" ht="19.899999999999999" customHeight="1">
      <c r="A1403" s="121">
        <v>46042</v>
      </c>
      <c r="B1403" s="112" t="s">
        <v>68</v>
      </c>
      <c r="C1403" s="113" t="s">
        <v>407</v>
      </c>
      <c r="D1403" s="112" t="s">
        <v>341</v>
      </c>
      <c r="E1403" s="122">
        <v>1.3125</v>
      </c>
      <c r="F1403" s="112" t="s">
        <v>70</v>
      </c>
      <c r="G1403" s="114">
        <v>9</v>
      </c>
      <c r="H1403" s="115" t="s">
        <v>406</v>
      </c>
    </row>
    <row r="1404" spans="1:8" ht="19.899999999999999" customHeight="1">
      <c r="A1404" s="121">
        <v>46042</v>
      </c>
      <c r="B1404" s="112" t="s">
        <v>68</v>
      </c>
      <c r="C1404" s="113" t="s">
        <v>408</v>
      </c>
      <c r="D1404" s="112" t="s">
        <v>341</v>
      </c>
      <c r="E1404" s="122">
        <v>1.9722222222222221</v>
      </c>
      <c r="F1404" s="112" t="s">
        <v>70</v>
      </c>
      <c r="G1404" s="114">
        <v>9</v>
      </c>
      <c r="H1404" s="115" t="s">
        <v>406</v>
      </c>
    </row>
    <row r="1405" spans="1:8" ht="19.899999999999999" customHeight="1">
      <c r="A1405" s="121">
        <v>46042</v>
      </c>
      <c r="B1405" s="112" t="s">
        <v>68</v>
      </c>
      <c r="C1405" s="113" t="s">
        <v>437</v>
      </c>
      <c r="D1405" s="112" t="s">
        <v>341</v>
      </c>
      <c r="E1405" s="122">
        <v>1.104166666666667</v>
      </c>
      <c r="F1405" s="112" t="s">
        <v>70</v>
      </c>
      <c r="G1405" s="114">
        <v>9</v>
      </c>
      <c r="H1405" s="115" t="s">
        <v>406</v>
      </c>
    </row>
    <row r="1406" spans="1:8" ht="19.899999999999999" customHeight="1">
      <c r="A1406" s="121">
        <v>46042</v>
      </c>
      <c r="B1406" s="112" t="s">
        <v>68</v>
      </c>
      <c r="C1406" s="113" t="s">
        <v>409</v>
      </c>
      <c r="D1406" s="112" t="s">
        <v>341</v>
      </c>
      <c r="E1406" s="122">
        <v>1.3402777777777779</v>
      </c>
      <c r="F1406" s="112" t="s">
        <v>70</v>
      </c>
      <c r="G1406" s="114">
        <v>9</v>
      </c>
      <c r="H1406" s="115" t="s">
        <v>406</v>
      </c>
    </row>
    <row r="1407" spans="1:8" ht="19.899999999999999" customHeight="1">
      <c r="A1407" s="121">
        <v>46042</v>
      </c>
      <c r="B1407" s="112" t="s">
        <v>68</v>
      </c>
      <c r="C1407" s="113" t="s">
        <v>411</v>
      </c>
      <c r="D1407" s="112" t="s">
        <v>341</v>
      </c>
      <c r="E1407" s="122">
        <v>1.7847222222222221</v>
      </c>
      <c r="F1407" s="112" t="s">
        <v>70</v>
      </c>
      <c r="G1407" s="114">
        <v>9</v>
      </c>
      <c r="H1407" s="115" t="s">
        <v>406</v>
      </c>
    </row>
    <row r="1408" spans="1:8" ht="19.899999999999999" customHeight="1">
      <c r="A1408" s="121">
        <v>46042</v>
      </c>
      <c r="B1408" s="112" t="s">
        <v>68</v>
      </c>
      <c r="C1408" s="113" t="s">
        <v>410</v>
      </c>
      <c r="D1408" s="112" t="s">
        <v>341</v>
      </c>
      <c r="E1408" s="122">
        <v>1.5972222222222221</v>
      </c>
      <c r="F1408" s="112" t="s">
        <v>70</v>
      </c>
      <c r="G1408" s="114">
        <v>9</v>
      </c>
      <c r="H1408" s="115" t="s">
        <v>406</v>
      </c>
    </row>
    <row r="1409" spans="1:8" ht="19.899999999999999" customHeight="1">
      <c r="A1409" s="121">
        <v>46042</v>
      </c>
      <c r="B1409" s="112" t="s">
        <v>68</v>
      </c>
      <c r="C1409" s="113" t="s">
        <v>413</v>
      </c>
      <c r="D1409" s="112" t="s">
        <v>341</v>
      </c>
      <c r="E1409" s="122">
        <v>1.0486111111111109</v>
      </c>
      <c r="F1409" s="112" t="s">
        <v>70</v>
      </c>
      <c r="G1409" s="114">
        <v>9</v>
      </c>
      <c r="H1409" s="115" t="s">
        <v>406</v>
      </c>
    </row>
    <row r="1410" spans="1:8" ht="19.899999999999999" customHeight="1">
      <c r="A1410" s="121">
        <v>46042</v>
      </c>
      <c r="B1410" s="112" t="s">
        <v>48</v>
      </c>
      <c r="C1410" s="113" t="s">
        <v>391</v>
      </c>
      <c r="D1410" s="112" t="s">
        <v>341</v>
      </c>
      <c r="E1410" s="122">
        <v>1.489583333333333</v>
      </c>
      <c r="F1410" s="112" t="s">
        <v>50</v>
      </c>
      <c r="G1410" s="114">
        <v>9</v>
      </c>
      <c r="H1410" s="115" t="s">
        <v>462</v>
      </c>
    </row>
    <row r="1411" spans="1:8" ht="19.899999999999999" customHeight="1">
      <c r="A1411" s="121">
        <v>46042</v>
      </c>
      <c r="B1411" s="112" t="s">
        <v>26</v>
      </c>
      <c r="C1411" s="113" t="s">
        <v>354</v>
      </c>
      <c r="D1411" s="112" t="s">
        <v>341</v>
      </c>
      <c r="E1411" s="122">
        <v>1.3472222222222221</v>
      </c>
      <c r="F1411" s="112" t="s">
        <v>31</v>
      </c>
      <c r="G1411" s="114">
        <v>7</v>
      </c>
      <c r="H1411" s="115" t="s">
        <v>123</v>
      </c>
    </row>
    <row r="1412" spans="1:8" ht="19.899999999999999" customHeight="1">
      <c r="A1412" s="121">
        <v>46042</v>
      </c>
      <c r="B1412" s="112" t="s">
        <v>48</v>
      </c>
      <c r="C1412" s="113" t="s">
        <v>386</v>
      </c>
      <c r="D1412" s="112" t="s">
        <v>341</v>
      </c>
      <c r="E1412" s="122">
        <v>1.8298611111111109</v>
      </c>
      <c r="F1412" s="112" t="s">
        <v>53</v>
      </c>
      <c r="G1412" s="114">
        <v>9</v>
      </c>
      <c r="H1412" s="115" t="s">
        <v>387</v>
      </c>
    </row>
    <row r="1413" spans="1:8" ht="19.899999999999999" customHeight="1">
      <c r="A1413" s="121">
        <v>46042</v>
      </c>
      <c r="B1413" s="112" t="s">
        <v>48</v>
      </c>
      <c r="C1413" s="113" t="s">
        <v>388</v>
      </c>
      <c r="D1413" s="112" t="s">
        <v>341</v>
      </c>
      <c r="E1413" s="122">
        <v>1.7222222222222221</v>
      </c>
      <c r="F1413" s="112" t="s">
        <v>53</v>
      </c>
      <c r="G1413" s="114">
        <v>9</v>
      </c>
      <c r="H1413" s="115" t="s">
        <v>387</v>
      </c>
    </row>
    <row r="1414" spans="1:8" ht="19.899999999999999" customHeight="1">
      <c r="A1414" s="121">
        <v>46042</v>
      </c>
      <c r="B1414" s="112" t="s">
        <v>48</v>
      </c>
      <c r="C1414" s="113" t="s">
        <v>382</v>
      </c>
      <c r="D1414" s="112" t="s">
        <v>341</v>
      </c>
      <c r="E1414" s="122">
        <v>1.118055555555556</v>
      </c>
      <c r="F1414" s="112" t="s">
        <v>53</v>
      </c>
      <c r="G1414" s="114">
        <v>9</v>
      </c>
      <c r="H1414" s="115" t="s">
        <v>387</v>
      </c>
    </row>
    <row r="1415" spans="1:8" ht="19.899999999999999" customHeight="1">
      <c r="A1415" s="121">
        <v>46042</v>
      </c>
      <c r="B1415" s="112" t="s">
        <v>48</v>
      </c>
      <c r="C1415" s="113" t="s">
        <v>389</v>
      </c>
      <c r="D1415" s="112" t="s">
        <v>341</v>
      </c>
      <c r="E1415" s="122">
        <v>1.7013888888888891</v>
      </c>
      <c r="F1415" s="112" t="s">
        <v>53</v>
      </c>
      <c r="G1415" s="114">
        <v>9</v>
      </c>
      <c r="H1415" s="115" t="s">
        <v>387</v>
      </c>
    </row>
    <row r="1416" spans="1:8" ht="19.899999999999999" customHeight="1">
      <c r="A1416" s="121">
        <v>46042</v>
      </c>
      <c r="B1416" s="112" t="s">
        <v>48</v>
      </c>
      <c r="C1416" s="113" t="s">
        <v>400</v>
      </c>
      <c r="D1416" s="112" t="s">
        <v>341</v>
      </c>
      <c r="E1416" s="122">
        <v>1.2534722222222221</v>
      </c>
      <c r="F1416" s="112" t="s">
        <v>53</v>
      </c>
      <c r="G1416" s="114">
        <v>9</v>
      </c>
      <c r="H1416" s="115" t="s">
        <v>387</v>
      </c>
    </row>
    <row r="1417" spans="1:8" ht="19.899999999999999" customHeight="1">
      <c r="A1417" s="121">
        <v>46042</v>
      </c>
      <c r="B1417" s="112" t="s">
        <v>48</v>
      </c>
      <c r="C1417" s="113" t="s">
        <v>390</v>
      </c>
      <c r="D1417" s="112" t="s">
        <v>341</v>
      </c>
      <c r="E1417" s="122">
        <v>1.041666666666667</v>
      </c>
      <c r="F1417" s="112" t="s">
        <v>53</v>
      </c>
      <c r="G1417" s="114">
        <v>9</v>
      </c>
      <c r="H1417" s="115" t="s">
        <v>387</v>
      </c>
    </row>
    <row r="1418" spans="1:8" ht="19.899999999999999" customHeight="1">
      <c r="A1418" s="121">
        <v>46042</v>
      </c>
      <c r="B1418" s="112" t="s">
        <v>48</v>
      </c>
      <c r="C1418" s="113" t="s">
        <v>385</v>
      </c>
      <c r="D1418" s="112" t="s">
        <v>341</v>
      </c>
      <c r="E1418" s="122">
        <v>1.9409722222222221</v>
      </c>
      <c r="F1418" s="112" t="s">
        <v>53</v>
      </c>
      <c r="G1418" s="114">
        <v>9</v>
      </c>
      <c r="H1418" s="115" t="s">
        <v>387</v>
      </c>
    </row>
    <row r="1419" spans="1:8" ht="19.899999999999999" customHeight="1">
      <c r="A1419" s="121">
        <v>46042</v>
      </c>
      <c r="B1419" s="112" t="s">
        <v>359</v>
      </c>
      <c r="C1419" s="113" t="s">
        <v>445</v>
      </c>
      <c r="D1419" s="112" t="s">
        <v>341</v>
      </c>
      <c r="E1419" s="122">
        <v>1.055555555555556</v>
      </c>
      <c r="F1419" s="112" t="s">
        <v>46</v>
      </c>
      <c r="G1419" s="114">
        <v>9</v>
      </c>
      <c r="H1419" s="115" t="s">
        <v>526</v>
      </c>
    </row>
    <row r="1420" spans="1:8" ht="19.899999999999999" customHeight="1">
      <c r="A1420" s="121">
        <v>46042</v>
      </c>
      <c r="B1420" s="112" t="s">
        <v>26</v>
      </c>
      <c r="C1420" s="113" t="s">
        <v>348</v>
      </c>
      <c r="D1420" s="112" t="s">
        <v>341</v>
      </c>
      <c r="E1420" s="122">
        <v>1.993055555555556</v>
      </c>
      <c r="F1420" s="112" t="s">
        <v>34</v>
      </c>
      <c r="G1420" s="114">
        <v>4</v>
      </c>
      <c r="H1420" s="115" t="s">
        <v>355</v>
      </c>
    </row>
    <row r="1421" spans="1:8" ht="19.899999999999999" customHeight="1">
      <c r="A1421" s="121">
        <v>46042</v>
      </c>
      <c r="B1421" s="112" t="s">
        <v>26</v>
      </c>
      <c r="C1421" s="113" t="s">
        <v>352</v>
      </c>
      <c r="D1421" s="112" t="s">
        <v>341</v>
      </c>
      <c r="E1421" s="122">
        <v>1.944444444444444</v>
      </c>
      <c r="F1421" s="112" t="s">
        <v>31</v>
      </c>
      <c r="G1421" s="114">
        <v>5</v>
      </c>
      <c r="H1421" s="115" t="s">
        <v>355</v>
      </c>
    </row>
    <row r="1422" spans="1:8" ht="19.899999999999999" customHeight="1">
      <c r="A1422" s="121">
        <v>46042</v>
      </c>
      <c r="B1422" s="112" t="s">
        <v>26</v>
      </c>
      <c r="C1422" s="113" t="s">
        <v>357</v>
      </c>
      <c r="D1422" s="112" t="s">
        <v>341</v>
      </c>
      <c r="E1422" s="122">
        <v>1.3923611111111109</v>
      </c>
      <c r="F1422" s="112" t="s">
        <v>31</v>
      </c>
      <c r="G1422" s="114">
        <v>5</v>
      </c>
      <c r="H1422" s="115" t="s">
        <v>355</v>
      </c>
    </row>
    <row r="1423" spans="1:8" ht="19.899999999999999" customHeight="1">
      <c r="A1423" s="121">
        <v>46042</v>
      </c>
      <c r="B1423" s="112" t="s">
        <v>26</v>
      </c>
      <c r="C1423" s="113" t="s">
        <v>353</v>
      </c>
      <c r="D1423" s="112" t="s">
        <v>341</v>
      </c>
      <c r="E1423" s="122">
        <v>1.8888888888888891</v>
      </c>
      <c r="F1423" s="112" t="s">
        <v>34</v>
      </c>
      <c r="G1423" s="114">
        <v>4</v>
      </c>
      <c r="H1423" s="115" t="s">
        <v>355</v>
      </c>
    </row>
    <row r="1424" spans="1:8" ht="19.899999999999999" customHeight="1">
      <c r="A1424" s="121">
        <v>46042</v>
      </c>
      <c r="B1424" s="112" t="s">
        <v>26</v>
      </c>
      <c r="C1424" s="113" t="s">
        <v>354</v>
      </c>
      <c r="D1424" s="112" t="s">
        <v>341</v>
      </c>
      <c r="E1424" s="122">
        <v>1.3472222222222221</v>
      </c>
      <c r="F1424" s="112" t="s">
        <v>34</v>
      </c>
      <c r="G1424" s="114">
        <v>7</v>
      </c>
      <c r="H1424" s="115" t="s">
        <v>118</v>
      </c>
    </row>
    <row r="1425" spans="1:8" ht="19.899999999999999" customHeight="1">
      <c r="A1425" s="121">
        <v>46042</v>
      </c>
      <c r="B1425" s="112" t="s">
        <v>48</v>
      </c>
      <c r="C1425" s="113" t="s">
        <v>391</v>
      </c>
      <c r="D1425" s="112" t="s">
        <v>341</v>
      </c>
      <c r="E1425" s="122">
        <v>1.489583333333333</v>
      </c>
      <c r="F1425" s="112" t="s">
        <v>53</v>
      </c>
      <c r="G1425" s="114">
        <v>9</v>
      </c>
      <c r="H1425" s="115" t="s">
        <v>463</v>
      </c>
    </row>
    <row r="1426" spans="1:8" ht="19.899999999999999" customHeight="1">
      <c r="A1426" s="121">
        <v>46042</v>
      </c>
      <c r="B1426" s="112" t="s">
        <v>68</v>
      </c>
      <c r="C1426" s="113" t="s">
        <v>405</v>
      </c>
      <c r="D1426" s="112" t="s">
        <v>341</v>
      </c>
      <c r="E1426" s="122">
        <v>1.836805555555556</v>
      </c>
      <c r="F1426" s="112" t="s">
        <v>70</v>
      </c>
      <c r="G1426" s="114">
        <v>9</v>
      </c>
      <c r="H1426" s="115" t="s">
        <v>466</v>
      </c>
    </row>
    <row r="1427" spans="1:8" ht="19.899999999999999" customHeight="1">
      <c r="A1427" s="121">
        <v>46042</v>
      </c>
      <c r="B1427" s="112" t="s">
        <v>26</v>
      </c>
      <c r="C1427" s="113" t="s">
        <v>352</v>
      </c>
      <c r="D1427" s="112" t="s">
        <v>341</v>
      </c>
      <c r="E1427" s="122">
        <v>1.944444444444444</v>
      </c>
      <c r="F1427" s="112" t="s">
        <v>34</v>
      </c>
      <c r="G1427" s="114">
        <v>5</v>
      </c>
      <c r="H1427" s="115" t="s">
        <v>358</v>
      </c>
    </row>
    <row r="1428" spans="1:8" ht="19.899999999999999" customHeight="1">
      <c r="A1428" s="121">
        <v>46042</v>
      </c>
      <c r="B1428" s="112" t="s">
        <v>26</v>
      </c>
      <c r="C1428" s="113" t="s">
        <v>357</v>
      </c>
      <c r="D1428" s="112" t="s">
        <v>341</v>
      </c>
      <c r="E1428" s="122">
        <v>1.3923611111111109</v>
      </c>
      <c r="F1428" s="112" t="s">
        <v>34</v>
      </c>
      <c r="G1428" s="114">
        <v>5</v>
      </c>
      <c r="H1428" s="115" t="s">
        <v>358</v>
      </c>
    </row>
    <row r="1429" spans="1:8" ht="19.899999999999999" customHeight="1">
      <c r="A1429" s="121">
        <v>46042</v>
      </c>
      <c r="B1429" s="112" t="s">
        <v>26</v>
      </c>
      <c r="C1429" s="113" t="s">
        <v>356</v>
      </c>
      <c r="D1429" s="112" t="s">
        <v>341</v>
      </c>
      <c r="E1429" s="122">
        <v>1.4861111111111109</v>
      </c>
      <c r="F1429" s="112" t="s">
        <v>28</v>
      </c>
      <c r="G1429" s="114">
        <v>4</v>
      </c>
      <c r="H1429" s="115" t="s">
        <v>455</v>
      </c>
    </row>
    <row r="1430" spans="1:8" ht="19.899999999999999" customHeight="1">
      <c r="A1430" s="121">
        <v>46042</v>
      </c>
      <c r="B1430" s="112" t="s">
        <v>38</v>
      </c>
      <c r="C1430" s="113" t="s">
        <v>346</v>
      </c>
      <c r="D1430" s="112" t="s">
        <v>341</v>
      </c>
      <c r="E1430" s="122">
        <v>1.399305555555556</v>
      </c>
      <c r="F1430" s="112" t="s">
        <v>46</v>
      </c>
      <c r="G1430" s="114">
        <v>20</v>
      </c>
      <c r="H1430" s="115" t="s">
        <v>47</v>
      </c>
    </row>
    <row r="1431" spans="1:8" ht="19.899999999999999" customHeight="1">
      <c r="A1431" s="121">
        <v>46042</v>
      </c>
      <c r="B1431" s="112" t="s">
        <v>38</v>
      </c>
      <c r="C1431" s="113" t="s">
        <v>342</v>
      </c>
      <c r="D1431" s="112" t="s">
        <v>341</v>
      </c>
      <c r="E1431" s="122">
        <v>1.489583333333333</v>
      </c>
      <c r="F1431" s="112" t="s">
        <v>46</v>
      </c>
      <c r="G1431" s="114">
        <v>16</v>
      </c>
      <c r="H1431" s="115" t="s">
        <v>47</v>
      </c>
    </row>
    <row r="1432" spans="1:8" ht="19.899999999999999" customHeight="1">
      <c r="A1432" s="121">
        <v>46042</v>
      </c>
      <c r="B1432" s="112" t="s">
        <v>38</v>
      </c>
      <c r="C1432" s="113" t="s">
        <v>344</v>
      </c>
      <c r="D1432" s="112" t="s">
        <v>341</v>
      </c>
      <c r="E1432" s="122">
        <v>1.8888888888888891</v>
      </c>
      <c r="F1432" s="112" t="s">
        <v>46</v>
      </c>
      <c r="G1432" s="114">
        <v>20</v>
      </c>
      <c r="H1432" s="115" t="s">
        <v>47</v>
      </c>
    </row>
    <row r="1433" spans="1:8" ht="19.899999999999999" customHeight="1">
      <c r="A1433" s="121">
        <v>46042</v>
      </c>
      <c r="B1433" s="112" t="s">
        <v>38</v>
      </c>
      <c r="C1433" s="113" t="s">
        <v>345</v>
      </c>
      <c r="D1433" s="112" t="s">
        <v>341</v>
      </c>
      <c r="E1433" s="122">
        <v>1.989583333333333</v>
      </c>
      <c r="F1433" s="112" t="s">
        <v>46</v>
      </c>
      <c r="G1433" s="114">
        <v>20</v>
      </c>
      <c r="H1433" s="115" t="s">
        <v>47</v>
      </c>
    </row>
    <row r="1434" spans="1:8" ht="19.899999999999999" customHeight="1">
      <c r="A1434" s="121">
        <v>46042</v>
      </c>
      <c r="B1434" s="112" t="s">
        <v>26</v>
      </c>
      <c r="C1434" s="113" t="s">
        <v>356</v>
      </c>
      <c r="D1434" s="112" t="s">
        <v>341</v>
      </c>
      <c r="E1434" s="122">
        <v>1.4861111111111109</v>
      </c>
      <c r="F1434" s="112" t="s">
        <v>31</v>
      </c>
      <c r="G1434" s="114">
        <v>4</v>
      </c>
      <c r="H1434" s="115" t="s">
        <v>456</v>
      </c>
    </row>
    <row r="1435" spans="1:8" ht="19.899999999999999" customHeight="1">
      <c r="A1435" s="121">
        <v>46042</v>
      </c>
      <c r="B1435" s="112" t="s">
        <v>48</v>
      </c>
      <c r="C1435" s="113" t="s">
        <v>396</v>
      </c>
      <c r="D1435" s="112" t="s">
        <v>341</v>
      </c>
      <c r="E1435" s="122">
        <v>1.489583333333333</v>
      </c>
      <c r="F1435" s="112" t="s">
        <v>53</v>
      </c>
      <c r="G1435" s="114">
        <v>4</v>
      </c>
      <c r="H1435" s="115" t="s">
        <v>481</v>
      </c>
    </row>
    <row r="1436" spans="1:8" ht="19.899999999999999" customHeight="1">
      <c r="A1436" s="121">
        <v>46042</v>
      </c>
      <c r="B1436" s="112" t="s">
        <v>48</v>
      </c>
      <c r="C1436" s="113" t="s">
        <v>397</v>
      </c>
      <c r="D1436" s="112" t="s">
        <v>341</v>
      </c>
      <c r="E1436" s="122">
        <v>1.8888888888888891</v>
      </c>
      <c r="F1436" s="112" t="s">
        <v>53</v>
      </c>
      <c r="G1436" s="114">
        <v>4</v>
      </c>
      <c r="H1436" s="115" t="s">
        <v>438</v>
      </c>
    </row>
    <row r="1437" spans="1:8" ht="19.899999999999999" customHeight="1">
      <c r="A1437" s="121">
        <v>46042</v>
      </c>
      <c r="B1437" s="112" t="s">
        <v>26</v>
      </c>
      <c r="C1437" s="113" t="s">
        <v>356</v>
      </c>
      <c r="D1437" s="112" t="s">
        <v>341</v>
      </c>
      <c r="E1437" s="122">
        <v>1.4861111111111109</v>
      </c>
      <c r="F1437" s="112" t="s">
        <v>34</v>
      </c>
      <c r="G1437" s="114">
        <v>4</v>
      </c>
      <c r="H1437" s="115" t="s">
        <v>457</v>
      </c>
    </row>
    <row r="1438" spans="1:8" ht="19.899999999999999" customHeight="1">
      <c r="A1438" s="121">
        <v>46042</v>
      </c>
      <c r="B1438" s="112" t="s">
        <v>48</v>
      </c>
      <c r="C1438" s="113" t="s">
        <v>394</v>
      </c>
      <c r="D1438" s="112" t="s">
        <v>341</v>
      </c>
      <c r="E1438" s="122">
        <v>1.989583333333333</v>
      </c>
      <c r="F1438" s="112" t="s">
        <v>53</v>
      </c>
      <c r="G1438" s="114">
        <v>4</v>
      </c>
      <c r="H1438" s="115" t="s">
        <v>399</v>
      </c>
    </row>
    <row r="1439" spans="1:8" ht="19.899999999999999" customHeight="1">
      <c r="A1439" s="121">
        <v>46042</v>
      </c>
      <c r="B1439" s="112" t="s">
        <v>48</v>
      </c>
      <c r="C1439" s="113" t="s">
        <v>398</v>
      </c>
      <c r="D1439" s="112" t="s">
        <v>341</v>
      </c>
      <c r="E1439" s="122">
        <v>1.399305555555556</v>
      </c>
      <c r="F1439" s="112" t="s">
        <v>53</v>
      </c>
      <c r="G1439" s="114">
        <v>4</v>
      </c>
      <c r="H1439" s="115" t="s">
        <v>399</v>
      </c>
    </row>
    <row r="1440" spans="1:8" ht="19.899999999999999" customHeight="1">
      <c r="A1440" s="121">
        <v>46042</v>
      </c>
      <c r="B1440" s="112" t="s">
        <v>26</v>
      </c>
      <c r="C1440" s="113" t="s">
        <v>351</v>
      </c>
      <c r="D1440" s="112" t="s">
        <v>341</v>
      </c>
      <c r="E1440" s="122">
        <v>1.836805555555556</v>
      </c>
      <c r="F1440" s="112" t="s">
        <v>28</v>
      </c>
      <c r="G1440" s="114">
        <v>9</v>
      </c>
      <c r="H1440" s="115" t="s">
        <v>172</v>
      </c>
    </row>
    <row r="1441" spans="1:8" ht="19.899999999999999" customHeight="1">
      <c r="A1441" s="121">
        <v>46042</v>
      </c>
      <c r="B1441" s="112" t="s">
        <v>26</v>
      </c>
      <c r="C1441" s="113" t="s">
        <v>351</v>
      </c>
      <c r="D1441" s="112" t="s">
        <v>341</v>
      </c>
      <c r="E1441" s="122">
        <v>1.836805555555556</v>
      </c>
      <c r="F1441" s="112" t="s">
        <v>31</v>
      </c>
      <c r="G1441" s="114">
        <v>9</v>
      </c>
      <c r="H1441" s="115" t="s">
        <v>419</v>
      </c>
    </row>
    <row r="1442" spans="1:8" ht="19.899999999999999" customHeight="1">
      <c r="A1442" s="121">
        <v>46042</v>
      </c>
      <c r="B1442" s="112" t="s">
        <v>26</v>
      </c>
      <c r="C1442" s="113" t="s">
        <v>350</v>
      </c>
      <c r="D1442" s="112" t="s">
        <v>341</v>
      </c>
      <c r="E1442" s="122">
        <v>1.7361111111111109</v>
      </c>
      <c r="F1442" s="112" t="s">
        <v>34</v>
      </c>
      <c r="G1442" s="114">
        <v>2</v>
      </c>
      <c r="H1442" s="115" t="s">
        <v>500</v>
      </c>
    </row>
    <row r="1443" spans="1:8" ht="19.899999999999999" customHeight="1">
      <c r="A1443" s="121">
        <v>46042</v>
      </c>
      <c r="B1443" s="112" t="s">
        <v>26</v>
      </c>
      <c r="C1443" s="113" t="s">
        <v>351</v>
      </c>
      <c r="D1443" s="112" t="s">
        <v>341</v>
      </c>
      <c r="E1443" s="122">
        <v>1.836805555555556</v>
      </c>
      <c r="F1443" s="112" t="s">
        <v>34</v>
      </c>
      <c r="G1443" s="114">
        <v>9</v>
      </c>
      <c r="H1443" s="115" t="s">
        <v>500</v>
      </c>
    </row>
    <row r="1444" spans="1:8" ht="19.899999999999999" customHeight="1">
      <c r="A1444" s="121">
        <v>46042</v>
      </c>
      <c r="B1444" s="112" t="s">
        <v>415</v>
      </c>
      <c r="C1444" s="113" t="s">
        <v>416</v>
      </c>
      <c r="D1444" s="112" t="s">
        <v>341</v>
      </c>
      <c r="E1444" s="122">
        <v>1.100694444444444</v>
      </c>
      <c r="F1444" s="112" t="s">
        <v>63</v>
      </c>
      <c r="G1444" s="114">
        <v>9</v>
      </c>
      <c r="H1444" s="115" t="s">
        <v>417</v>
      </c>
    </row>
    <row r="1445" spans="1:8" ht="19.899999999999999" customHeight="1">
      <c r="A1445" s="121">
        <v>46042</v>
      </c>
      <c r="B1445" s="112" t="s">
        <v>415</v>
      </c>
      <c r="C1445" s="113" t="s">
        <v>418</v>
      </c>
      <c r="D1445" s="112" t="s">
        <v>341</v>
      </c>
      <c r="E1445" s="122">
        <v>1.270833333333333</v>
      </c>
      <c r="F1445" s="112" t="s">
        <v>63</v>
      </c>
      <c r="G1445" s="114">
        <v>9</v>
      </c>
      <c r="H1445" s="115" t="s">
        <v>417</v>
      </c>
    </row>
    <row r="1446" spans="1:8" ht="19.899999999999999" customHeight="1">
      <c r="A1446" s="121">
        <v>46042</v>
      </c>
      <c r="B1446" s="112" t="s">
        <v>26</v>
      </c>
      <c r="C1446" s="113" t="s">
        <v>350</v>
      </c>
      <c r="D1446" s="112" t="s">
        <v>341</v>
      </c>
      <c r="E1446" s="122">
        <v>1.7361111111111109</v>
      </c>
      <c r="F1446" s="112" t="s">
        <v>28</v>
      </c>
      <c r="G1446" s="114">
        <v>2</v>
      </c>
      <c r="H1446" s="115" t="s">
        <v>501</v>
      </c>
    </row>
    <row r="1447" spans="1:8" ht="19.899999999999999" customHeight="1">
      <c r="A1447" s="123">
        <v>46042</v>
      </c>
      <c r="B1447" s="124" t="s">
        <v>26</v>
      </c>
      <c r="C1447" s="125" t="s">
        <v>350</v>
      </c>
      <c r="D1447" s="124" t="s">
        <v>341</v>
      </c>
      <c r="E1447" s="126">
        <v>1.7361111111111109</v>
      </c>
      <c r="F1447" s="124" t="s">
        <v>31</v>
      </c>
      <c r="G1447" s="127">
        <v>2</v>
      </c>
      <c r="H1447" s="128" t="s">
        <v>502</v>
      </c>
    </row>
    <row r="1448" spans="1:8" ht="19.899999999999999" customHeight="1">
      <c r="A1448" s="121">
        <v>46043</v>
      </c>
      <c r="B1448" s="112" t="s">
        <v>38</v>
      </c>
      <c r="C1448" s="113" t="s">
        <v>342</v>
      </c>
      <c r="D1448" s="112" t="s">
        <v>341</v>
      </c>
      <c r="E1448" s="122">
        <v>1.489583333333333</v>
      </c>
      <c r="F1448" s="112" t="s">
        <v>40</v>
      </c>
      <c r="G1448" s="114">
        <v>17</v>
      </c>
      <c r="H1448" s="115" t="s">
        <v>81</v>
      </c>
    </row>
    <row r="1449" spans="1:8" ht="19.899999999999999" customHeight="1">
      <c r="A1449" s="121">
        <v>46043</v>
      </c>
      <c r="B1449" s="112" t="s">
        <v>38</v>
      </c>
      <c r="C1449" s="113" t="s">
        <v>346</v>
      </c>
      <c r="D1449" s="112" t="s">
        <v>341</v>
      </c>
      <c r="E1449" s="122">
        <v>1.399305555555556</v>
      </c>
      <c r="F1449" s="112" t="s">
        <v>40</v>
      </c>
      <c r="G1449" s="114">
        <v>20</v>
      </c>
      <c r="H1449" s="115" t="s">
        <v>30</v>
      </c>
    </row>
    <row r="1450" spans="1:8" ht="19.899999999999999" customHeight="1">
      <c r="A1450" s="121">
        <v>46043</v>
      </c>
      <c r="B1450" s="112" t="s">
        <v>38</v>
      </c>
      <c r="C1450" s="113" t="s">
        <v>344</v>
      </c>
      <c r="D1450" s="112" t="s">
        <v>341</v>
      </c>
      <c r="E1450" s="122">
        <v>1.8888888888888891</v>
      </c>
      <c r="F1450" s="112" t="s">
        <v>40</v>
      </c>
      <c r="G1450" s="114">
        <v>20</v>
      </c>
      <c r="H1450" s="115" t="s">
        <v>30</v>
      </c>
    </row>
    <row r="1451" spans="1:8" ht="19.899999999999999" customHeight="1">
      <c r="A1451" s="121">
        <v>46043</v>
      </c>
      <c r="B1451" s="112" t="s">
        <v>38</v>
      </c>
      <c r="C1451" s="113" t="s">
        <v>345</v>
      </c>
      <c r="D1451" s="112" t="s">
        <v>341</v>
      </c>
      <c r="E1451" s="122">
        <v>1.989583333333333</v>
      </c>
      <c r="F1451" s="112" t="s">
        <v>40</v>
      </c>
      <c r="G1451" s="114">
        <v>20</v>
      </c>
      <c r="H1451" s="115" t="s">
        <v>347</v>
      </c>
    </row>
    <row r="1452" spans="1:8" ht="19.899999999999999" customHeight="1">
      <c r="A1452" s="121">
        <v>46043</v>
      </c>
      <c r="B1452" s="112" t="s">
        <v>359</v>
      </c>
      <c r="C1452" s="113" t="s">
        <v>360</v>
      </c>
      <c r="D1452" s="112" t="s">
        <v>341</v>
      </c>
      <c r="E1452" s="122">
        <v>1.225694444444444</v>
      </c>
      <c r="F1452" s="112" t="s">
        <v>361</v>
      </c>
      <c r="G1452" s="114">
        <v>9</v>
      </c>
      <c r="H1452" s="115" t="s">
        <v>525</v>
      </c>
    </row>
    <row r="1453" spans="1:8" ht="19.899999999999999" customHeight="1">
      <c r="A1453" s="129">
        <v>46043</v>
      </c>
      <c r="B1453" s="117" t="s">
        <v>61</v>
      </c>
      <c r="C1453" s="118" t="s">
        <v>364</v>
      </c>
      <c r="D1453" s="117" t="s">
        <v>341</v>
      </c>
      <c r="E1453" s="130">
        <v>1.2326388888888891</v>
      </c>
      <c r="F1453" s="117" t="s">
        <v>63</v>
      </c>
      <c r="G1453" s="119">
        <v>6</v>
      </c>
      <c r="H1453" s="120" t="s">
        <v>365</v>
      </c>
    </row>
    <row r="1454" spans="1:8" ht="19.899999999999999" customHeight="1">
      <c r="A1454" s="129">
        <v>46043</v>
      </c>
      <c r="B1454" s="117" t="s">
        <v>61</v>
      </c>
      <c r="C1454" s="118" t="s">
        <v>432</v>
      </c>
      <c r="D1454" s="117" t="s">
        <v>341</v>
      </c>
      <c r="E1454" s="130">
        <v>1.34375</v>
      </c>
      <c r="F1454" s="117" t="s">
        <v>63</v>
      </c>
      <c r="G1454" s="119">
        <v>6</v>
      </c>
      <c r="H1454" s="120" t="s">
        <v>365</v>
      </c>
    </row>
    <row r="1455" spans="1:8" ht="19.899999999999999" customHeight="1">
      <c r="A1455" s="129">
        <v>46043</v>
      </c>
      <c r="B1455" s="117" t="s">
        <v>61</v>
      </c>
      <c r="C1455" s="118" t="s">
        <v>428</v>
      </c>
      <c r="D1455" s="117" t="s">
        <v>341</v>
      </c>
      <c r="E1455" s="130">
        <v>1.9375</v>
      </c>
      <c r="F1455" s="117" t="s">
        <v>63</v>
      </c>
      <c r="G1455" s="119">
        <v>1</v>
      </c>
      <c r="H1455" s="120" t="s">
        <v>365</v>
      </c>
    </row>
    <row r="1456" spans="1:8" ht="19.899999999999999" customHeight="1">
      <c r="A1456" s="129">
        <v>46043</v>
      </c>
      <c r="B1456" s="117" t="s">
        <v>61</v>
      </c>
      <c r="C1456" s="118" t="s">
        <v>375</v>
      </c>
      <c r="D1456" s="117" t="s">
        <v>341</v>
      </c>
      <c r="E1456" s="130">
        <v>1.3402777777777779</v>
      </c>
      <c r="F1456" s="117" t="s">
        <v>63</v>
      </c>
      <c r="G1456" s="119">
        <v>6</v>
      </c>
      <c r="H1456" s="120" t="s">
        <v>365</v>
      </c>
    </row>
    <row r="1457" spans="1:8" ht="19.899999999999999" customHeight="1">
      <c r="A1457" s="121">
        <v>46043</v>
      </c>
      <c r="B1457" s="112" t="s">
        <v>26</v>
      </c>
      <c r="C1457" s="113" t="s">
        <v>348</v>
      </c>
      <c r="D1457" s="112" t="s">
        <v>341</v>
      </c>
      <c r="E1457" s="122">
        <v>1.993055555555556</v>
      </c>
      <c r="F1457" s="112" t="s">
        <v>28</v>
      </c>
      <c r="G1457" s="114">
        <v>4</v>
      </c>
      <c r="H1457" s="115" t="s">
        <v>83</v>
      </c>
    </row>
    <row r="1458" spans="1:8" ht="19.899999999999999" customHeight="1">
      <c r="A1458" s="121">
        <v>46043</v>
      </c>
      <c r="B1458" s="112" t="s">
        <v>26</v>
      </c>
      <c r="C1458" s="113" t="s">
        <v>351</v>
      </c>
      <c r="D1458" s="112" t="s">
        <v>341</v>
      </c>
      <c r="E1458" s="122">
        <v>1.836805555555556</v>
      </c>
      <c r="F1458" s="112" t="s">
        <v>28</v>
      </c>
      <c r="G1458" s="114">
        <v>5</v>
      </c>
      <c r="H1458" s="115" t="s">
        <v>83</v>
      </c>
    </row>
    <row r="1459" spans="1:8" ht="19.899999999999999" customHeight="1">
      <c r="A1459" s="121">
        <v>46043</v>
      </c>
      <c r="B1459" s="112" t="s">
        <v>26</v>
      </c>
      <c r="C1459" s="113" t="s">
        <v>353</v>
      </c>
      <c r="D1459" s="112" t="s">
        <v>341</v>
      </c>
      <c r="E1459" s="122">
        <v>1.8888888888888891</v>
      </c>
      <c r="F1459" s="112" t="s">
        <v>28</v>
      </c>
      <c r="G1459" s="114">
        <v>4</v>
      </c>
      <c r="H1459" s="115" t="s">
        <v>83</v>
      </c>
    </row>
    <row r="1460" spans="1:8" ht="19.899999999999999" customHeight="1">
      <c r="A1460" s="121">
        <v>46043</v>
      </c>
      <c r="B1460" s="112" t="s">
        <v>402</v>
      </c>
      <c r="C1460" s="113" t="s">
        <v>403</v>
      </c>
      <c r="D1460" s="112" t="s">
        <v>341</v>
      </c>
      <c r="E1460" s="122">
        <v>1.493055555555556</v>
      </c>
      <c r="F1460" s="112" t="s">
        <v>63</v>
      </c>
      <c r="G1460" s="114">
        <v>5</v>
      </c>
      <c r="H1460" s="115" t="s">
        <v>404</v>
      </c>
    </row>
    <row r="1461" spans="1:8" ht="19.899999999999999" customHeight="1">
      <c r="A1461" s="121">
        <v>46043</v>
      </c>
      <c r="B1461" s="112" t="s">
        <v>402</v>
      </c>
      <c r="C1461" s="113" t="s">
        <v>465</v>
      </c>
      <c r="D1461" s="112" t="s">
        <v>341</v>
      </c>
      <c r="E1461" s="122">
        <v>1.194444444444444</v>
      </c>
      <c r="F1461" s="112" t="s">
        <v>63</v>
      </c>
      <c r="G1461" s="114">
        <v>5</v>
      </c>
      <c r="H1461" s="115" t="s">
        <v>404</v>
      </c>
    </row>
    <row r="1462" spans="1:8" ht="19.899999999999999" customHeight="1">
      <c r="A1462" s="129">
        <v>46043</v>
      </c>
      <c r="B1462" s="117" t="s">
        <v>61</v>
      </c>
      <c r="C1462" s="118" t="s">
        <v>377</v>
      </c>
      <c r="D1462" s="117" t="s">
        <v>341</v>
      </c>
      <c r="E1462" s="130">
        <v>1.4375</v>
      </c>
      <c r="F1462" s="117" t="s">
        <v>63</v>
      </c>
      <c r="G1462" s="119">
        <v>3</v>
      </c>
      <c r="H1462" s="120" t="s">
        <v>79</v>
      </c>
    </row>
    <row r="1463" spans="1:8" ht="19.899999999999999" customHeight="1">
      <c r="A1463" s="121">
        <v>46043</v>
      </c>
      <c r="B1463" s="112" t="s">
        <v>48</v>
      </c>
      <c r="C1463" s="113" t="s">
        <v>386</v>
      </c>
      <c r="D1463" s="112" t="s">
        <v>341</v>
      </c>
      <c r="E1463" s="122">
        <v>1.8298611111111109</v>
      </c>
      <c r="F1463" s="112" t="s">
        <v>50</v>
      </c>
      <c r="G1463" s="114">
        <v>9</v>
      </c>
      <c r="H1463" s="115" t="s">
        <v>79</v>
      </c>
    </row>
    <row r="1464" spans="1:8" ht="19.899999999999999" customHeight="1">
      <c r="A1464" s="121">
        <v>46043</v>
      </c>
      <c r="B1464" s="112" t="s">
        <v>48</v>
      </c>
      <c r="C1464" s="113" t="s">
        <v>388</v>
      </c>
      <c r="D1464" s="112" t="s">
        <v>341</v>
      </c>
      <c r="E1464" s="122">
        <v>1.7222222222222221</v>
      </c>
      <c r="F1464" s="112" t="s">
        <v>50</v>
      </c>
      <c r="G1464" s="114">
        <v>9</v>
      </c>
      <c r="H1464" s="115" t="s">
        <v>79</v>
      </c>
    </row>
    <row r="1465" spans="1:8" ht="19.899999999999999" customHeight="1">
      <c r="A1465" s="121">
        <v>46043</v>
      </c>
      <c r="B1465" s="112" t="s">
        <v>48</v>
      </c>
      <c r="C1465" s="113" t="s">
        <v>382</v>
      </c>
      <c r="D1465" s="112" t="s">
        <v>341</v>
      </c>
      <c r="E1465" s="122">
        <v>1.118055555555556</v>
      </c>
      <c r="F1465" s="112" t="s">
        <v>50</v>
      </c>
      <c r="G1465" s="114">
        <v>9</v>
      </c>
      <c r="H1465" s="115" t="s">
        <v>79</v>
      </c>
    </row>
    <row r="1466" spans="1:8" ht="19.899999999999999" customHeight="1">
      <c r="A1466" s="121">
        <v>46043</v>
      </c>
      <c r="B1466" s="112" t="s">
        <v>48</v>
      </c>
      <c r="C1466" s="113" t="s">
        <v>389</v>
      </c>
      <c r="D1466" s="112" t="s">
        <v>341</v>
      </c>
      <c r="E1466" s="122">
        <v>1.7013888888888891</v>
      </c>
      <c r="F1466" s="112" t="s">
        <v>50</v>
      </c>
      <c r="G1466" s="114">
        <v>9</v>
      </c>
      <c r="H1466" s="115" t="s">
        <v>79</v>
      </c>
    </row>
    <row r="1467" spans="1:8" ht="19.899999999999999" customHeight="1">
      <c r="A1467" s="121">
        <v>46043</v>
      </c>
      <c r="B1467" s="112" t="s">
        <v>48</v>
      </c>
      <c r="C1467" s="113" t="s">
        <v>400</v>
      </c>
      <c r="D1467" s="112" t="s">
        <v>341</v>
      </c>
      <c r="E1467" s="122">
        <v>1.2534722222222221</v>
      </c>
      <c r="F1467" s="112" t="s">
        <v>50</v>
      </c>
      <c r="G1467" s="114">
        <v>9</v>
      </c>
      <c r="H1467" s="115" t="s">
        <v>79</v>
      </c>
    </row>
    <row r="1468" spans="1:8" ht="19.899999999999999" customHeight="1">
      <c r="A1468" s="121">
        <v>46043</v>
      </c>
      <c r="B1468" s="112" t="s">
        <v>48</v>
      </c>
      <c r="C1468" s="113" t="s">
        <v>390</v>
      </c>
      <c r="D1468" s="112" t="s">
        <v>341</v>
      </c>
      <c r="E1468" s="122">
        <v>1.041666666666667</v>
      </c>
      <c r="F1468" s="112" t="s">
        <v>50</v>
      </c>
      <c r="G1468" s="114">
        <v>9</v>
      </c>
      <c r="H1468" s="115" t="s">
        <v>79</v>
      </c>
    </row>
    <row r="1469" spans="1:8" ht="19.899999999999999" customHeight="1">
      <c r="A1469" s="121">
        <v>46043</v>
      </c>
      <c r="B1469" s="112" t="s">
        <v>48</v>
      </c>
      <c r="C1469" s="113" t="s">
        <v>385</v>
      </c>
      <c r="D1469" s="112" t="s">
        <v>341</v>
      </c>
      <c r="E1469" s="122">
        <v>1.9409722222222221</v>
      </c>
      <c r="F1469" s="112" t="s">
        <v>50</v>
      </c>
      <c r="G1469" s="114">
        <v>9</v>
      </c>
      <c r="H1469" s="115" t="s">
        <v>79</v>
      </c>
    </row>
    <row r="1470" spans="1:8" ht="19.899999999999999" customHeight="1">
      <c r="A1470" s="121">
        <v>46043</v>
      </c>
      <c r="B1470" s="112" t="s">
        <v>26</v>
      </c>
      <c r="C1470" s="113" t="s">
        <v>354</v>
      </c>
      <c r="D1470" s="112" t="s">
        <v>341</v>
      </c>
      <c r="E1470" s="122">
        <v>1.3472222222222221</v>
      </c>
      <c r="F1470" s="112" t="s">
        <v>28</v>
      </c>
      <c r="G1470" s="114">
        <v>9</v>
      </c>
      <c r="H1470" s="115" t="s">
        <v>79</v>
      </c>
    </row>
    <row r="1471" spans="1:8" ht="19.899999999999999" customHeight="1">
      <c r="A1471" s="121">
        <v>46043</v>
      </c>
      <c r="B1471" s="112" t="s">
        <v>38</v>
      </c>
      <c r="C1471" s="113" t="s">
        <v>342</v>
      </c>
      <c r="D1471" s="112" t="s">
        <v>341</v>
      </c>
      <c r="E1471" s="122">
        <v>1.489583333333333</v>
      </c>
      <c r="F1471" s="112" t="s">
        <v>43</v>
      </c>
      <c r="G1471" s="114">
        <v>17</v>
      </c>
      <c r="H1471" s="115" t="s">
        <v>161</v>
      </c>
    </row>
    <row r="1472" spans="1:8" ht="19.899999999999999" customHeight="1">
      <c r="A1472" s="121">
        <v>46043</v>
      </c>
      <c r="B1472" s="112" t="s">
        <v>38</v>
      </c>
      <c r="C1472" s="113" t="s">
        <v>346</v>
      </c>
      <c r="D1472" s="112" t="s">
        <v>341</v>
      </c>
      <c r="E1472" s="122">
        <v>1.399305555555556</v>
      </c>
      <c r="F1472" s="112" t="s">
        <v>43</v>
      </c>
      <c r="G1472" s="114">
        <v>20</v>
      </c>
      <c r="H1472" s="115" t="s">
        <v>420</v>
      </c>
    </row>
    <row r="1473" spans="1:8" ht="19.899999999999999" customHeight="1">
      <c r="A1473" s="121">
        <v>46043</v>
      </c>
      <c r="B1473" s="112" t="s">
        <v>38</v>
      </c>
      <c r="C1473" s="113" t="s">
        <v>344</v>
      </c>
      <c r="D1473" s="112" t="s">
        <v>341</v>
      </c>
      <c r="E1473" s="122">
        <v>1.8888888888888891</v>
      </c>
      <c r="F1473" s="112" t="s">
        <v>43</v>
      </c>
      <c r="G1473" s="114">
        <v>20</v>
      </c>
      <c r="H1473" s="115" t="s">
        <v>420</v>
      </c>
    </row>
    <row r="1474" spans="1:8" ht="19.899999999999999" customHeight="1">
      <c r="A1474" s="121">
        <v>46043</v>
      </c>
      <c r="B1474" s="112" t="s">
        <v>26</v>
      </c>
      <c r="C1474" s="113" t="s">
        <v>352</v>
      </c>
      <c r="D1474" s="112" t="s">
        <v>341</v>
      </c>
      <c r="E1474" s="122">
        <v>1.944444444444444</v>
      </c>
      <c r="F1474" s="112" t="s">
        <v>28</v>
      </c>
      <c r="G1474" s="114">
        <v>5</v>
      </c>
      <c r="H1474" s="115" t="s">
        <v>45</v>
      </c>
    </row>
    <row r="1475" spans="1:8" ht="19.899999999999999" customHeight="1">
      <c r="A1475" s="121">
        <v>46043</v>
      </c>
      <c r="B1475" s="112" t="s">
        <v>26</v>
      </c>
      <c r="C1475" s="113" t="s">
        <v>357</v>
      </c>
      <c r="D1475" s="112" t="s">
        <v>341</v>
      </c>
      <c r="E1475" s="122">
        <v>1.3923611111111109</v>
      </c>
      <c r="F1475" s="112" t="s">
        <v>28</v>
      </c>
      <c r="G1475" s="114">
        <v>5</v>
      </c>
      <c r="H1475" s="115" t="s">
        <v>45</v>
      </c>
    </row>
    <row r="1476" spans="1:8" ht="19.899999999999999" customHeight="1">
      <c r="A1476" s="121">
        <v>46043</v>
      </c>
      <c r="B1476" s="112" t="s">
        <v>26</v>
      </c>
      <c r="C1476" s="113" t="s">
        <v>348</v>
      </c>
      <c r="D1476" s="112" t="s">
        <v>341</v>
      </c>
      <c r="E1476" s="122">
        <v>1.993055555555556</v>
      </c>
      <c r="F1476" s="112" t="s">
        <v>31</v>
      </c>
      <c r="G1476" s="114">
        <v>4</v>
      </c>
      <c r="H1476" s="115" t="s">
        <v>159</v>
      </c>
    </row>
    <row r="1477" spans="1:8" ht="19.899999999999999" customHeight="1">
      <c r="A1477" s="121">
        <v>46043</v>
      </c>
      <c r="B1477" s="112" t="s">
        <v>26</v>
      </c>
      <c r="C1477" s="113" t="s">
        <v>351</v>
      </c>
      <c r="D1477" s="112" t="s">
        <v>341</v>
      </c>
      <c r="E1477" s="122">
        <v>1.836805555555556</v>
      </c>
      <c r="F1477" s="112" t="s">
        <v>31</v>
      </c>
      <c r="G1477" s="114">
        <v>5</v>
      </c>
      <c r="H1477" s="115" t="s">
        <v>159</v>
      </c>
    </row>
    <row r="1478" spans="1:8" ht="19.899999999999999" customHeight="1">
      <c r="A1478" s="121">
        <v>46043</v>
      </c>
      <c r="B1478" s="112" t="s">
        <v>26</v>
      </c>
      <c r="C1478" s="113" t="s">
        <v>353</v>
      </c>
      <c r="D1478" s="112" t="s">
        <v>341</v>
      </c>
      <c r="E1478" s="122">
        <v>1.8888888888888891</v>
      </c>
      <c r="F1478" s="112" t="s">
        <v>31</v>
      </c>
      <c r="G1478" s="114">
        <v>4</v>
      </c>
      <c r="H1478" s="115" t="s">
        <v>159</v>
      </c>
    </row>
    <row r="1479" spans="1:8" ht="19.899999999999999" customHeight="1">
      <c r="A1479" s="121">
        <v>46043</v>
      </c>
      <c r="B1479" s="112" t="s">
        <v>38</v>
      </c>
      <c r="C1479" s="113" t="s">
        <v>345</v>
      </c>
      <c r="D1479" s="112" t="s">
        <v>341</v>
      </c>
      <c r="E1479" s="122">
        <v>1.989583333333333</v>
      </c>
      <c r="F1479" s="112" t="s">
        <v>43</v>
      </c>
      <c r="G1479" s="114">
        <v>20</v>
      </c>
      <c r="H1479" s="115" t="s">
        <v>138</v>
      </c>
    </row>
    <row r="1480" spans="1:8" ht="19.899999999999999" customHeight="1">
      <c r="A1480" s="121">
        <v>46043</v>
      </c>
      <c r="B1480" s="112" t="s">
        <v>48</v>
      </c>
      <c r="C1480" s="113" t="s">
        <v>391</v>
      </c>
      <c r="D1480" s="112" t="s">
        <v>341</v>
      </c>
      <c r="E1480" s="122">
        <v>1.489583333333333</v>
      </c>
      <c r="F1480" s="112" t="s">
        <v>50</v>
      </c>
      <c r="G1480" s="114">
        <v>9</v>
      </c>
      <c r="H1480" s="115" t="s">
        <v>462</v>
      </c>
    </row>
    <row r="1481" spans="1:8" ht="19.899999999999999" customHeight="1">
      <c r="A1481" s="121">
        <v>46043</v>
      </c>
      <c r="B1481" s="112" t="s">
        <v>26</v>
      </c>
      <c r="C1481" s="113" t="s">
        <v>354</v>
      </c>
      <c r="D1481" s="112" t="s">
        <v>341</v>
      </c>
      <c r="E1481" s="122">
        <v>1.3472222222222221</v>
      </c>
      <c r="F1481" s="112" t="s">
        <v>31</v>
      </c>
      <c r="G1481" s="114">
        <v>9</v>
      </c>
      <c r="H1481" s="115" t="s">
        <v>123</v>
      </c>
    </row>
    <row r="1482" spans="1:8" ht="19.899999999999999" customHeight="1">
      <c r="A1482" s="121">
        <v>46043</v>
      </c>
      <c r="B1482" s="112" t="s">
        <v>48</v>
      </c>
      <c r="C1482" s="113" t="s">
        <v>386</v>
      </c>
      <c r="D1482" s="112" t="s">
        <v>341</v>
      </c>
      <c r="E1482" s="122">
        <v>1.8298611111111109</v>
      </c>
      <c r="F1482" s="112" t="s">
        <v>53</v>
      </c>
      <c r="G1482" s="114">
        <v>9</v>
      </c>
      <c r="H1482" s="115" t="s">
        <v>387</v>
      </c>
    </row>
    <row r="1483" spans="1:8" ht="19.899999999999999" customHeight="1">
      <c r="A1483" s="121">
        <v>46043</v>
      </c>
      <c r="B1483" s="112" t="s">
        <v>48</v>
      </c>
      <c r="C1483" s="113" t="s">
        <v>388</v>
      </c>
      <c r="D1483" s="112" t="s">
        <v>341</v>
      </c>
      <c r="E1483" s="122">
        <v>1.7222222222222221</v>
      </c>
      <c r="F1483" s="112" t="s">
        <v>53</v>
      </c>
      <c r="G1483" s="114">
        <v>9</v>
      </c>
      <c r="H1483" s="115" t="s">
        <v>387</v>
      </c>
    </row>
    <row r="1484" spans="1:8" ht="19.899999999999999" customHeight="1">
      <c r="A1484" s="121">
        <v>46043</v>
      </c>
      <c r="B1484" s="112" t="s">
        <v>48</v>
      </c>
      <c r="C1484" s="113" t="s">
        <v>382</v>
      </c>
      <c r="D1484" s="112" t="s">
        <v>341</v>
      </c>
      <c r="E1484" s="122">
        <v>1.118055555555556</v>
      </c>
      <c r="F1484" s="112" t="s">
        <v>53</v>
      </c>
      <c r="G1484" s="114">
        <v>9</v>
      </c>
      <c r="H1484" s="115" t="s">
        <v>387</v>
      </c>
    </row>
    <row r="1485" spans="1:8" ht="19.899999999999999" customHeight="1">
      <c r="A1485" s="121">
        <v>46043</v>
      </c>
      <c r="B1485" s="112" t="s">
        <v>48</v>
      </c>
      <c r="C1485" s="113" t="s">
        <v>389</v>
      </c>
      <c r="D1485" s="112" t="s">
        <v>341</v>
      </c>
      <c r="E1485" s="122">
        <v>1.7013888888888891</v>
      </c>
      <c r="F1485" s="112" t="s">
        <v>53</v>
      </c>
      <c r="G1485" s="114">
        <v>9</v>
      </c>
      <c r="H1485" s="115" t="s">
        <v>387</v>
      </c>
    </row>
    <row r="1486" spans="1:8" ht="19.899999999999999" customHeight="1">
      <c r="A1486" s="121">
        <v>46043</v>
      </c>
      <c r="B1486" s="112" t="s">
        <v>48</v>
      </c>
      <c r="C1486" s="113" t="s">
        <v>400</v>
      </c>
      <c r="D1486" s="112" t="s">
        <v>341</v>
      </c>
      <c r="E1486" s="122">
        <v>1.2534722222222221</v>
      </c>
      <c r="F1486" s="112" t="s">
        <v>53</v>
      </c>
      <c r="G1486" s="114">
        <v>9</v>
      </c>
      <c r="H1486" s="115" t="s">
        <v>387</v>
      </c>
    </row>
    <row r="1487" spans="1:8" ht="19.899999999999999" customHeight="1">
      <c r="A1487" s="121">
        <v>46043</v>
      </c>
      <c r="B1487" s="112" t="s">
        <v>48</v>
      </c>
      <c r="C1487" s="113" t="s">
        <v>390</v>
      </c>
      <c r="D1487" s="112" t="s">
        <v>341</v>
      </c>
      <c r="E1487" s="122">
        <v>1.041666666666667</v>
      </c>
      <c r="F1487" s="112" t="s">
        <v>53</v>
      </c>
      <c r="G1487" s="114">
        <v>9</v>
      </c>
      <c r="H1487" s="115" t="s">
        <v>387</v>
      </c>
    </row>
    <row r="1488" spans="1:8" ht="19.899999999999999" customHeight="1">
      <c r="A1488" s="121">
        <v>46043</v>
      </c>
      <c r="B1488" s="112" t="s">
        <v>48</v>
      </c>
      <c r="C1488" s="113" t="s">
        <v>385</v>
      </c>
      <c r="D1488" s="112" t="s">
        <v>341</v>
      </c>
      <c r="E1488" s="122">
        <v>1.9409722222222221</v>
      </c>
      <c r="F1488" s="112" t="s">
        <v>53</v>
      </c>
      <c r="G1488" s="114">
        <v>9</v>
      </c>
      <c r="H1488" s="115" t="s">
        <v>387</v>
      </c>
    </row>
    <row r="1489" spans="1:8" ht="19.899999999999999" customHeight="1">
      <c r="A1489" s="121">
        <v>46043</v>
      </c>
      <c r="B1489" s="112" t="s">
        <v>359</v>
      </c>
      <c r="C1489" s="113" t="s">
        <v>360</v>
      </c>
      <c r="D1489" s="112" t="s">
        <v>341</v>
      </c>
      <c r="E1489" s="122">
        <v>1.225694444444444</v>
      </c>
      <c r="F1489" s="112" t="s">
        <v>46</v>
      </c>
      <c r="G1489" s="114">
        <v>9</v>
      </c>
      <c r="H1489" s="115" t="s">
        <v>526</v>
      </c>
    </row>
    <row r="1490" spans="1:8" ht="19.899999999999999" customHeight="1">
      <c r="A1490" s="121">
        <v>46043</v>
      </c>
      <c r="B1490" s="112" t="s">
        <v>26</v>
      </c>
      <c r="C1490" s="113" t="s">
        <v>348</v>
      </c>
      <c r="D1490" s="112" t="s">
        <v>341</v>
      </c>
      <c r="E1490" s="122">
        <v>1.993055555555556</v>
      </c>
      <c r="F1490" s="112" t="s">
        <v>34</v>
      </c>
      <c r="G1490" s="114">
        <v>4</v>
      </c>
      <c r="H1490" s="115" t="s">
        <v>355</v>
      </c>
    </row>
    <row r="1491" spans="1:8" ht="19.899999999999999" customHeight="1">
      <c r="A1491" s="121">
        <v>46043</v>
      </c>
      <c r="B1491" s="112" t="s">
        <v>26</v>
      </c>
      <c r="C1491" s="113" t="s">
        <v>351</v>
      </c>
      <c r="D1491" s="112" t="s">
        <v>341</v>
      </c>
      <c r="E1491" s="122">
        <v>1.836805555555556</v>
      </c>
      <c r="F1491" s="112" t="s">
        <v>34</v>
      </c>
      <c r="G1491" s="114">
        <v>5</v>
      </c>
      <c r="H1491" s="115" t="s">
        <v>355</v>
      </c>
    </row>
    <row r="1492" spans="1:8" ht="19.899999999999999" customHeight="1">
      <c r="A1492" s="121">
        <v>46043</v>
      </c>
      <c r="B1492" s="112" t="s">
        <v>26</v>
      </c>
      <c r="C1492" s="113" t="s">
        <v>352</v>
      </c>
      <c r="D1492" s="112" t="s">
        <v>341</v>
      </c>
      <c r="E1492" s="122">
        <v>1.944444444444444</v>
      </c>
      <c r="F1492" s="112" t="s">
        <v>31</v>
      </c>
      <c r="G1492" s="114">
        <v>5</v>
      </c>
      <c r="H1492" s="115" t="s">
        <v>355</v>
      </c>
    </row>
    <row r="1493" spans="1:8" ht="19.899999999999999" customHeight="1">
      <c r="A1493" s="121">
        <v>46043</v>
      </c>
      <c r="B1493" s="112" t="s">
        <v>26</v>
      </c>
      <c r="C1493" s="113" t="s">
        <v>357</v>
      </c>
      <c r="D1493" s="112" t="s">
        <v>341</v>
      </c>
      <c r="E1493" s="122">
        <v>1.3923611111111109</v>
      </c>
      <c r="F1493" s="112" t="s">
        <v>31</v>
      </c>
      <c r="G1493" s="114">
        <v>5</v>
      </c>
      <c r="H1493" s="115" t="s">
        <v>355</v>
      </c>
    </row>
    <row r="1494" spans="1:8" ht="19.899999999999999" customHeight="1">
      <c r="A1494" s="121">
        <v>46043</v>
      </c>
      <c r="B1494" s="112" t="s">
        <v>26</v>
      </c>
      <c r="C1494" s="113" t="s">
        <v>353</v>
      </c>
      <c r="D1494" s="112" t="s">
        <v>341</v>
      </c>
      <c r="E1494" s="122">
        <v>1.8888888888888891</v>
      </c>
      <c r="F1494" s="112" t="s">
        <v>34</v>
      </c>
      <c r="G1494" s="114">
        <v>4</v>
      </c>
      <c r="H1494" s="115" t="s">
        <v>355</v>
      </c>
    </row>
    <row r="1495" spans="1:8" ht="19.899999999999999" customHeight="1">
      <c r="A1495" s="121">
        <v>46043</v>
      </c>
      <c r="B1495" s="112" t="s">
        <v>26</v>
      </c>
      <c r="C1495" s="113" t="s">
        <v>354</v>
      </c>
      <c r="D1495" s="112" t="s">
        <v>341</v>
      </c>
      <c r="E1495" s="122">
        <v>1.3472222222222221</v>
      </c>
      <c r="F1495" s="112" t="s">
        <v>34</v>
      </c>
      <c r="G1495" s="114">
        <v>9</v>
      </c>
      <c r="H1495" s="115" t="s">
        <v>118</v>
      </c>
    </row>
    <row r="1496" spans="1:8" ht="19.899999999999999" customHeight="1">
      <c r="A1496" s="121">
        <v>46043</v>
      </c>
      <c r="B1496" s="112" t="s">
        <v>48</v>
      </c>
      <c r="C1496" s="113" t="s">
        <v>391</v>
      </c>
      <c r="D1496" s="112" t="s">
        <v>341</v>
      </c>
      <c r="E1496" s="122">
        <v>1.489583333333333</v>
      </c>
      <c r="F1496" s="112" t="s">
        <v>53</v>
      </c>
      <c r="G1496" s="114">
        <v>9</v>
      </c>
      <c r="H1496" s="115" t="s">
        <v>463</v>
      </c>
    </row>
    <row r="1497" spans="1:8" ht="19.899999999999999" customHeight="1">
      <c r="A1497" s="121">
        <v>46043</v>
      </c>
      <c r="B1497" s="112" t="s">
        <v>26</v>
      </c>
      <c r="C1497" s="113" t="s">
        <v>352</v>
      </c>
      <c r="D1497" s="112" t="s">
        <v>341</v>
      </c>
      <c r="E1497" s="122">
        <v>1.944444444444444</v>
      </c>
      <c r="F1497" s="112" t="s">
        <v>34</v>
      </c>
      <c r="G1497" s="114">
        <v>5</v>
      </c>
      <c r="H1497" s="115" t="s">
        <v>358</v>
      </c>
    </row>
    <row r="1498" spans="1:8" ht="19.899999999999999" customHeight="1">
      <c r="A1498" s="121">
        <v>46043</v>
      </c>
      <c r="B1498" s="112" t="s">
        <v>26</v>
      </c>
      <c r="C1498" s="113" t="s">
        <v>357</v>
      </c>
      <c r="D1498" s="112" t="s">
        <v>341</v>
      </c>
      <c r="E1498" s="122">
        <v>1.3923611111111109</v>
      </c>
      <c r="F1498" s="112" t="s">
        <v>34</v>
      </c>
      <c r="G1498" s="114">
        <v>5</v>
      </c>
      <c r="H1498" s="115" t="s">
        <v>358</v>
      </c>
    </row>
    <row r="1499" spans="1:8" ht="19.899999999999999" customHeight="1">
      <c r="A1499" s="121">
        <v>46043</v>
      </c>
      <c r="B1499" s="112" t="s">
        <v>26</v>
      </c>
      <c r="C1499" s="113" t="s">
        <v>356</v>
      </c>
      <c r="D1499" s="112" t="s">
        <v>341</v>
      </c>
      <c r="E1499" s="122">
        <v>1.4861111111111109</v>
      </c>
      <c r="F1499" s="112" t="s">
        <v>28</v>
      </c>
      <c r="G1499" s="114">
        <v>5</v>
      </c>
      <c r="H1499" s="115" t="s">
        <v>455</v>
      </c>
    </row>
    <row r="1500" spans="1:8" ht="19.899999999999999" customHeight="1">
      <c r="A1500" s="121">
        <v>46043</v>
      </c>
      <c r="B1500" s="112" t="s">
        <v>38</v>
      </c>
      <c r="C1500" s="113" t="s">
        <v>346</v>
      </c>
      <c r="D1500" s="112" t="s">
        <v>341</v>
      </c>
      <c r="E1500" s="122">
        <v>1.399305555555556</v>
      </c>
      <c r="F1500" s="112" t="s">
        <v>46</v>
      </c>
      <c r="G1500" s="114">
        <v>20</v>
      </c>
      <c r="H1500" s="115" t="s">
        <v>47</v>
      </c>
    </row>
    <row r="1501" spans="1:8" ht="19.899999999999999" customHeight="1">
      <c r="A1501" s="121">
        <v>46043</v>
      </c>
      <c r="B1501" s="112" t="s">
        <v>38</v>
      </c>
      <c r="C1501" s="113" t="s">
        <v>342</v>
      </c>
      <c r="D1501" s="112" t="s">
        <v>341</v>
      </c>
      <c r="E1501" s="122">
        <v>1.489583333333333</v>
      </c>
      <c r="F1501" s="112" t="s">
        <v>46</v>
      </c>
      <c r="G1501" s="114">
        <v>17</v>
      </c>
      <c r="H1501" s="115" t="s">
        <v>47</v>
      </c>
    </row>
    <row r="1502" spans="1:8" ht="19.899999999999999" customHeight="1">
      <c r="A1502" s="121">
        <v>46043</v>
      </c>
      <c r="B1502" s="112" t="s">
        <v>38</v>
      </c>
      <c r="C1502" s="113" t="s">
        <v>344</v>
      </c>
      <c r="D1502" s="112" t="s">
        <v>341</v>
      </c>
      <c r="E1502" s="122">
        <v>1.8888888888888891</v>
      </c>
      <c r="F1502" s="112" t="s">
        <v>46</v>
      </c>
      <c r="G1502" s="114">
        <v>20</v>
      </c>
      <c r="H1502" s="115" t="s">
        <v>47</v>
      </c>
    </row>
    <row r="1503" spans="1:8" ht="19.899999999999999" customHeight="1">
      <c r="A1503" s="121">
        <v>46043</v>
      </c>
      <c r="B1503" s="112" t="s">
        <v>38</v>
      </c>
      <c r="C1503" s="113" t="s">
        <v>345</v>
      </c>
      <c r="D1503" s="112" t="s">
        <v>341</v>
      </c>
      <c r="E1503" s="122">
        <v>1.989583333333333</v>
      </c>
      <c r="F1503" s="112" t="s">
        <v>46</v>
      </c>
      <c r="G1503" s="114">
        <v>20</v>
      </c>
      <c r="H1503" s="115" t="s">
        <v>47</v>
      </c>
    </row>
    <row r="1504" spans="1:8" ht="19.899999999999999" customHeight="1">
      <c r="A1504" s="121">
        <v>46043</v>
      </c>
      <c r="B1504" s="112" t="s">
        <v>26</v>
      </c>
      <c r="C1504" s="113" t="s">
        <v>356</v>
      </c>
      <c r="D1504" s="112" t="s">
        <v>341</v>
      </c>
      <c r="E1504" s="122">
        <v>1.4861111111111109</v>
      </c>
      <c r="F1504" s="112" t="s">
        <v>31</v>
      </c>
      <c r="G1504" s="114">
        <v>5</v>
      </c>
      <c r="H1504" s="115" t="s">
        <v>456</v>
      </c>
    </row>
    <row r="1505" spans="1:8" ht="19.899999999999999" customHeight="1">
      <c r="A1505" s="121">
        <v>46043</v>
      </c>
      <c r="B1505" s="112" t="s">
        <v>48</v>
      </c>
      <c r="C1505" s="113" t="s">
        <v>396</v>
      </c>
      <c r="D1505" s="112" t="s">
        <v>341</v>
      </c>
      <c r="E1505" s="122">
        <v>1.489583333333333</v>
      </c>
      <c r="F1505" s="112" t="s">
        <v>53</v>
      </c>
      <c r="G1505" s="114">
        <v>4</v>
      </c>
      <c r="H1505" s="115" t="s">
        <v>481</v>
      </c>
    </row>
    <row r="1506" spans="1:8" ht="19.899999999999999" customHeight="1">
      <c r="A1506" s="121">
        <v>46043</v>
      </c>
      <c r="B1506" s="112" t="s">
        <v>48</v>
      </c>
      <c r="C1506" s="113" t="s">
        <v>398</v>
      </c>
      <c r="D1506" s="112" t="s">
        <v>341</v>
      </c>
      <c r="E1506" s="122">
        <v>1.399305555555556</v>
      </c>
      <c r="F1506" s="112" t="s">
        <v>53</v>
      </c>
      <c r="G1506" s="114">
        <v>4</v>
      </c>
      <c r="H1506" s="115" t="s">
        <v>438</v>
      </c>
    </row>
    <row r="1507" spans="1:8" ht="19.899999999999999" customHeight="1">
      <c r="A1507" s="121">
        <v>46043</v>
      </c>
      <c r="B1507" s="112" t="s">
        <v>48</v>
      </c>
      <c r="C1507" s="113" t="s">
        <v>397</v>
      </c>
      <c r="D1507" s="112" t="s">
        <v>341</v>
      </c>
      <c r="E1507" s="122">
        <v>1.8888888888888891</v>
      </c>
      <c r="F1507" s="112" t="s">
        <v>53</v>
      </c>
      <c r="G1507" s="114">
        <v>4</v>
      </c>
      <c r="H1507" s="115" t="s">
        <v>438</v>
      </c>
    </row>
    <row r="1508" spans="1:8" ht="19.899999999999999" customHeight="1">
      <c r="A1508" s="121">
        <v>46043</v>
      </c>
      <c r="B1508" s="112" t="s">
        <v>26</v>
      </c>
      <c r="C1508" s="113" t="s">
        <v>356</v>
      </c>
      <c r="D1508" s="112" t="s">
        <v>341</v>
      </c>
      <c r="E1508" s="122">
        <v>1.4861111111111109</v>
      </c>
      <c r="F1508" s="112" t="s">
        <v>34</v>
      </c>
      <c r="G1508" s="114">
        <v>5</v>
      </c>
      <c r="H1508" s="115" t="s">
        <v>457</v>
      </c>
    </row>
    <row r="1509" spans="1:8" ht="19.899999999999999" customHeight="1">
      <c r="A1509" s="121">
        <v>46043</v>
      </c>
      <c r="B1509" s="112" t="s">
        <v>48</v>
      </c>
      <c r="C1509" s="113" t="s">
        <v>394</v>
      </c>
      <c r="D1509" s="112" t="s">
        <v>341</v>
      </c>
      <c r="E1509" s="122">
        <v>1.989583333333333</v>
      </c>
      <c r="F1509" s="112" t="s">
        <v>53</v>
      </c>
      <c r="G1509" s="114">
        <v>4</v>
      </c>
      <c r="H1509" s="115" t="s">
        <v>399</v>
      </c>
    </row>
    <row r="1510" spans="1:8" ht="19.899999999999999" customHeight="1">
      <c r="A1510" s="121">
        <v>46043</v>
      </c>
      <c r="B1510" s="112" t="s">
        <v>26</v>
      </c>
      <c r="C1510" s="113" t="s">
        <v>350</v>
      </c>
      <c r="D1510" s="112" t="s">
        <v>341</v>
      </c>
      <c r="E1510" s="122">
        <v>1.7361111111111109</v>
      </c>
      <c r="F1510" s="112" t="s">
        <v>34</v>
      </c>
      <c r="G1510" s="114">
        <v>2</v>
      </c>
      <c r="H1510" s="115" t="s">
        <v>500</v>
      </c>
    </row>
    <row r="1511" spans="1:8" ht="19.899999999999999" customHeight="1">
      <c r="A1511" s="121">
        <v>46043</v>
      </c>
      <c r="B1511" s="112" t="s">
        <v>68</v>
      </c>
      <c r="C1511" s="113" t="s">
        <v>409</v>
      </c>
      <c r="D1511" s="112" t="s">
        <v>341</v>
      </c>
      <c r="E1511" s="122">
        <v>1.3402777777777779</v>
      </c>
      <c r="F1511" s="112" t="s">
        <v>70</v>
      </c>
      <c r="G1511" s="114">
        <v>9</v>
      </c>
      <c r="H1511" s="115" t="s">
        <v>529</v>
      </c>
    </row>
    <row r="1512" spans="1:8" ht="19.899999999999999" customHeight="1">
      <c r="A1512" s="121">
        <v>46043</v>
      </c>
      <c r="B1512" s="112" t="s">
        <v>415</v>
      </c>
      <c r="C1512" s="113" t="s">
        <v>418</v>
      </c>
      <c r="D1512" s="112" t="s">
        <v>341</v>
      </c>
      <c r="E1512" s="122">
        <v>1.6875</v>
      </c>
      <c r="F1512" s="112" t="s">
        <v>63</v>
      </c>
      <c r="G1512" s="114">
        <v>9</v>
      </c>
      <c r="H1512" s="115" t="s">
        <v>417</v>
      </c>
    </row>
    <row r="1513" spans="1:8" ht="19.899999999999999" customHeight="1">
      <c r="A1513" s="121">
        <v>46043</v>
      </c>
      <c r="B1513" s="112" t="s">
        <v>415</v>
      </c>
      <c r="C1513" s="113" t="s">
        <v>480</v>
      </c>
      <c r="D1513" s="112" t="s">
        <v>341</v>
      </c>
      <c r="E1513" s="122">
        <v>1.805555555555556</v>
      </c>
      <c r="F1513" s="112" t="s">
        <v>63</v>
      </c>
      <c r="G1513" s="114">
        <v>9</v>
      </c>
      <c r="H1513" s="115" t="s">
        <v>417</v>
      </c>
    </row>
    <row r="1514" spans="1:8" ht="19.899999999999999" customHeight="1">
      <c r="A1514" s="121">
        <v>46043</v>
      </c>
      <c r="B1514" s="112" t="s">
        <v>68</v>
      </c>
      <c r="C1514" s="113" t="s">
        <v>405</v>
      </c>
      <c r="D1514" s="112" t="s">
        <v>341</v>
      </c>
      <c r="E1514" s="122">
        <v>1.836805555555556</v>
      </c>
      <c r="F1514" s="112" t="s">
        <v>70</v>
      </c>
      <c r="G1514" s="114">
        <v>9</v>
      </c>
      <c r="H1514" s="115" t="s">
        <v>524</v>
      </c>
    </row>
    <row r="1515" spans="1:8" ht="19.899999999999999" customHeight="1">
      <c r="A1515" s="121">
        <v>46043</v>
      </c>
      <c r="B1515" s="112" t="s">
        <v>68</v>
      </c>
      <c r="C1515" s="113" t="s">
        <v>407</v>
      </c>
      <c r="D1515" s="112" t="s">
        <v>341</v>
      </c>
      <c r="E1515" s="122">
        <v>1.3125</v>
      </c>
      <c r="F1515" s="112" t="s">
        <v>70</v>
      </c>
      <c r="G1515" s="114">
        <v>9</v>
      </c>
      <c r="H1515" s="115" t="s">
        <v>524</v>
      </c>
    </row>
    <row r="1516" spans="1:8" ht="19.899999999999999" customHeight="1">
      <c r="A1516" s="121">
        <v>46043</v>
      </c>
      <c r="B1516" s="112" t="s">
        <v>68</v>
      </c>
      <c r="C1516" s="113" t="s">
        <v>408</v>
      </c>
      <c r="D1516" s="112" t="s">
        <v>341</v>
      </c>
      <c r="E1516" s="122">
        <v>1.9722222222222221</v>
      </c>
      <c r="F1516" s="112" t="s">
        <v>70</v>
      </c>
      <c r="G1516" s="114">
        <v>7</v>
      </c>
      <c r="H1516" s="115" t="s">
        <v>524</v>
      </c>
    </row>
    <row r="1517" spans="1:8" ht="19.899999999999999" customHeight="1">
      <c r="A1517" s="121">
        <v>46043</v>
      </c>
      <c r="B1517" s="112" t="s">
        <v>68</v>
      </c>
      <c r="C1517" s="113" t="s">
        <v>437</v>
      </c>
      <c r="D1517" s="112" t="s">
        <v>341</v>
      </c>
      <c r="E1517" s="122">
        <v>1.104166666666667</v>
      </c>
      <c r="F1517" s="112" t="s">
        <v>70</v>
      </c>
      <c r="G1517" s="114">
        <v>9</v>
      </c>
      <c r="H1517" s="115" t="s">
        <v>524</v>
      </c>
    </row>
    <row r="1518" spans="1:8" ht="19.899999999999999" customHeight="1">
      <c r="A1518" s="121">
        <v>46043</v>
      </c>
      <c r="B1518" s="112" t="s">
        <v>68</v>
      </c>
      <c r="C1518" s="113" t="s">
        <v>411</v>
      </c>
      <c r="D1518" s="112" t="s">
        <v>341</v>
      </c>
      <c r="E1518" s="122">
        <v>1.7847222222222221</v>
      </c>
      <c r="F1518" s="112" t="s">
        <v>70</v>
      </c>
      <c r="G1518" s="114">
        <v>9</v>
      </c>
      <c r="H1518" s="115" t="s">
        <v>524</v>
      </c>
    </row>
    <row r="1519" spans="1:8" ht="19.899999999999999" customHeight="1">
      <c r="A1519" s="121">
        <v>46043</v>
      </c>
      <c r="B1519" s="112" t="s">
        <v>68</v>
      </c>
      <c r="C1519" s="113" t="s">
        <v>410</v>
      </c>
      <c r="D1519" s="112" t="s">
        <v>341</v>
      </c>
      <c r="E1519" s="122">
        <v>1.5972222222222221</v>
      </c>
      <c r="F1519" s="112" t="s">
        <v>70</v>
      </c>
      <c r="G1519" s="114">
        <v>9</v>
      </c>
      <c r="H1519" s="115" t="s">
        <v>524</v>
      </c>
    </row>
    <row r="1520" spans="1:8" ht="19.899999999999999" customHeight="1">
      <c r="A1520" s="121">
        <v>46043</v>
      </c>
      <c r="B1520" s="112" t="s">
        <v>26</v>
      </c>
      <c r="C1520" s="113" t="s">
        <v>350</v>
      </c>
      <c r="D1520" s="112" t="s">
        <v>341</v>
      </c>
      <c r="E1520" s="122">
        <v>1.7361111111111109</v>
      </c>
      <c r="F1520" s="112" t="s">
        <v>28</v>
      </c>
      <c r="G1520" s="114">
        <v>2</v>
      </c>
      <c r="H1520" s="115" t="s">
        <v>501</v>
      </c>
    </row>
    <row r="1521" spans="1:8" ht="19.899999999999999" customHeight="1">
      <c r="A1521" s="123">
        <v>46043</v>
      </c>
      <c r="B1521" s="124" t="s">
        <v>26</v>
      </c>
      <c r="C1521" s="125" t="s">
        <v>350</v>
      </c>
      <c r="D1521" s="124" t="s">
        <v>341</v>
      </c>
      <c r="E1521" s="126">
        <v>1.7361111111111109</v>
      </c>
      <c r="F1521" s="124" t="s">
        <v>31</v>
      </c>
      <c r="G1521" s="127">
        <v>2</v>
      </c>
      <c r="H1521" s="128" t="s">
        <v>502</v>
      </c>
    </row>
    <row r="1522" spans="1:8" ht="19.899999999999999" customHeight="1">
      <c r="A1522" s="121">
        <v>46044</v>
      </c>
      <c r="B1522" s="112" t="s">
        <v>38</v>
      </c>
      <c r="C1522" s="113" t="s">
        <v>342</v>
      </c>
      <c r="D1522" s="112" t="s">
        <v>341</v>
      </c>
      <c r="E1522" s="122">
        <v>1.489583333333333</v>
      </c>
      <c r="F1522" s="112" t="s">
        <v>40</v>
      </c>
      <c r="G1522" s="114">
        <v>20</v>
      </c>
      <c r="H1522" s="115" t="s">
        <v>347</v>
      </c>
    </row>
    <row r="1523" spans="1:8" ht="19.899999999999999" customHeight="1">
      <c r="A1523" s="121">
        <v>46044</v>
      </c>
      <c r="B1523" s="112" t="s">
        <v>38</v>
      </c>
      <c r="C1523" s="113" t="s">
        <v>344</v>
      </c>
      <c r="D1523" s="112" t="s">
        <v>341</v>
      </c>
      <c r="E1523" s="122">
        <v>1.8888888888888891</v>
      </c>
      <c r="F1523" s="112" t="s">
        <v>40</v>
      </c>
      <c r="G1523" s="114">
        <v>12</v>
      </c>
      <c r="H1523" s="115" t="s">
        <v>347</v>
      </c>
    </row>
    <row r="1524" spans="1:8" ht="19.899999999999999" customHeight="1">
      <c r="A1524" s="121">
        <v>46044</v>
      </c>
      <c r="B1524" s="112" t="s">
        <v>38</v>
      </c>
      <c r="C1524" s="113" t="s">
        <v>345</v>
      </c>
      <c r="D1524" s="112" t="s">
        <v>341</v>
      </c>
      <c r="E1524" s="122">
        <v>1.989583333333333</v>
      </c>
      <c r="F1524" s="112" t="s">
        <v>40</v>
      </c>
      <c r="G1524" s="114">
        <v>16</v>
      </c>
      <c r="H1524" s="115" t="s">
        <v>347</v>
      </c>
    </row>
    <row r="1525" spans="1:8" ht="19.899999999999999" customHeight="1">
      <c r="A1525" s="121">
        <v>46044</v>
      </c>
      <c r="B1525" s="112" t="s">
        <v>359</v>
      </c>
      <c r="C1525" s="113" t="s">
        <v>360</v>
      </c>
      <c r="D1525" s="112" t="s">
        <v>341</v>
      </c>
      <c r="E1525" s="122">
        <v>1.1701388888888891</v>
      </c>
      <c r="F1525" s="112" t="s">
        <v>361</v>
      </c>
      <c r="G1525" s="114">
        <v>9</v>
      </c>
      <c r="H1525" s="115" t="s">
        <v>525</v>
      </c>
    </row>
    <row r="1526" spans="1:8" ht="19.899999999999999" customHeight="1">
      <c r="A1526" s="121">
        <v>46044</v>
      </c>
      <c r="B1526" s="112" t="s">
        <v>38</v>
      </c>
      <c r="C1526" s="113" t="s">
        <v>346</v>
      </c>
      <c r="D1526" s="112" t="s">
        <v>341</v>
      </c>
      <c r="E1526" s="122">
        <v>1.399305555555556</v>
      </c>
      <c r="F1526" s="112" t="s">
        <v>40</v>
      </c>
      <c r="G1526" s="114">
        <v>20</v>
      </c>
      <c r="H1526" s="115" t="s">
        <v>121</v>
      </c>
    </row>
    <row r="1527" spans="1:8" ht="19.899999999999999" customHeight="1">
      <c r="A1527" s="121">
        <v>46044</v>
      </c>
      <c r="B1527" s="112" t="s">
        <v>402</v>
      </c>
      <c r="C1527" s="113" t="s">
        <v>403</v>
      </c>
      <c r="D1527" s="112" t="s">
        <v>341</v>
      </c>
      <c r="E1527" s="122">
        <v>1.493055555555556</v>
      </c>
      <c r="F1527" s="112" t="s">
        <v>63</v>
      </c>
      <c r="G1527" s="114">
        <v>5</v>
      </c>
      <c r="H1527" s="115" t="s">
        <v>404</v>
      </c>
    </row>
    <row r="1528" spans="1:8" ht="19.899999999999999" customHeight="1">
      <c r="A1528" s="129">
        <v>46044</v>
      </c>
      <c r="B1528" s="117" t="s">
        <v>61</v>
      </c>
      <c r="C1528" s="118" t="s">
        <v>369</v>
      </c>
      <c r="D1528" s="117" t="s">
        <v>341</v>
      </c>
      <c r="E1528" s="130">
        <v>1.1875</v>
      </c>
      <c r="F1528" s="117" t="s">
        <v>63</v>
      </c>
      <c r="G1528" s="119">
        <v>7</v>
      </c>
      <c r="H1528" s="120" t="s">
        <v>79</v>
      </c>
    </row>
    <row r="1529" spans="1:8" ht="19.899999999999999" customHeight="1">
      <c r="A1529" s="129">
        <v>46044</v>
      </c>
      <c r="B1529" s="117" t="s">
        <v>61</v>
      </c>
      <c r="C1529" s="118" t="s">
        <v>371</v>
      </c>
      <c r="D1529" s="117" t="s">
        <v>341</v>
      </c>
      <c r="E1529" s="130">
        <v>1.0659722222222221</v>
      </c>
      <c r="F1529" s="117" t="s">
        <v>63</v>
      </c>
      <c r="G1529" s="119">
        <v>3</v>
      </c>
      <c r="H1529" s="120" t="s">
        <v>79</v>
      </c>
    </row>
    <row r="1530" spans="1:8" ht="19.899999999999999" customHeight="1">
      <c r="A1530" s="129">
        <v>46044</v>
      </c>
      <c r="B1530" s="117" t="s">
        <v>61</v>
      </c>
      <c r="C1530" s="118" t="s">
        <v>375</v>
      </c>
      <c r="D1530" s="117" t="s">
        <v>341</v>
      </c>
      <c r="E1530" s="130">
        <v>1.15625</v>
      </c>
      <c r="F1530" s="117" t="s">
        <v>63</v>
      </c>
      <c r="G1530" s="119">
        <v>3</v>
      </c>
      <c r="H1530" s="120" t="s">
        <v>79</v>
      </c>
    </row>
    <row r="1531" spans="1:8" ht="19.899999999999999" customHeight="1">
      <c r="A1531" s="129">
        <v>46044</v>
      </c>
      <c r="B1531" s="117" t="s">
        <v>61</v>
      </c>
      <c r="C1531" s="118" t="s">
        <v>377</v>
      </c>
      <c r="D1531" s="117" t="s">
        <v>341</v>
      </c>
      <c r="E1531" s="130">
        <v>1.40625</v>
      </c>
      <c r="F1531" s="117" t="s">
        <v>63</v>
      </c>
      <c r="G1531" s="119">
        <v>2</v>
      </c>
      <c r="H1531" s="120" t="s">
        <v>79</v>
      </c>
    </row>
    <row r="1532" spans="1:8" ht="19.899999999999999" customHeight="1">
      <c r="A1532" s="121">
        <v>46044</v>
      </c>
      <c r="B1532" s="112" t="s">
        <v>26</v>
      </c>
      <c r="C1532" s="113" t="s">
        <v>354</v>
      </c>
      <c r="D1532" s="112" t="s">
        <v>341</v>
      </c>
      <c r="E1532" s="122">
        <v>1.3472222222222221</v>
      </c>
      <c r="F1532" s="112" t="s">
        <v>28</v>
      </c>
      <c r="G1532" s="114">
        <v>7</v>
      </c>
      <c r="H1532" s="115" t="s">
        <v>79</v>
      </c>
    </row>
    <row r="1533" spans="1:8" ht="19.899999999999999" customHeight="1">
      <c r="A1533" s="121">
        <v>46044</v>
      </c>
      <c r="B1533" s="112" t="s">
        <v>26</v>
      </c>
      <c r="C1533" s="113" t="s">
        <v>348</v>
      </c>
      <c r="D1533" s="112" t="s">
        <v>341</v>
      </c>
      <c r="E1533" s="122">
        <v>1.993055555555556</v>
      </c>
      <c r="F1533" s="112" t="s">
        <v>28</v>
      </c>
      <c r="G1533" s="114">
        <v>2</v>
      </c>
      <c r="H1533" s="115" t="s">
        <v>79</v>
      </c>
    </row>
    <row r="1534" spans="1:8" ht="19.899999999999999" customHeight="1">
      <c r="A1534" s="121">
        <v>46044</v>
      </c>
      <c r="B1534" s="112" t="s">
        <v>26</v>
      </c>
      <c r="C1534" s="113" t="s">
        <v>356</v>
      </c>
      <c r="D1534" s="112" t="s">
        <v>341</v>
      </c>
      <c r="E1534" s="122">
        <v>1.4861111111111109</v>
      </c>
      <c r="F1534" s="112" t="s">
        <v>28</v>
      </c>
      <c r="G1534" s="114">
        <v>1</v>
      </c>
      <c r="H1534" s="115" t="s">
        <v>79</v>
      </c>
    </row>
    <row r="1535" spans="1:8" ht="19.899999999999999" customHeight="1">
      <c r="A1535" s="121">
        <v>46044</v>
      </c>
      <c r="B1535" s="112" t="s">
        <v>26</v>
      </c>
      <c r="C1535" s="113" t="s">
        <v>350</v>
      </c>
      <c r="D1535" s="112" t="s">
        <v>341</v>
      </c>
      <c r="E1535" s="122">
        <v>1.7361111111111109</v>
      </c>
      <c r="F1535" s="112" t="s">
        <v>28</v>
      </c>
      <c r="G1535" s="114">
        <v>9</v>
      </c>
      <c r="H1535" s="115" t="s">
        <v>45</v>
      </c>
    </row>
    <row r="1536" spans="1:8" ht="19.899999999999999" customHeight="1">
      <c r="A1536" s="121">
        <v>46044</v>
      </c>
      <c r="B1536" s="112" t="s">
        <v>26</v>
      </c>
      <c r="C1536" s="113" t="s">
        <v>352</v>
      </c>
      <c r="D1536" s="112" t="s">
        <v>341</v>
      </c>
      <c r="E1536" s="122">
        <v>1.944444444444444</v>
      </c>
      <c r="F1536" s="112" t="s">
        <v>28</v>
      </c>
      <c r="G1536" s="114">
        <v>2</v>
      </c>
      <c r="H1536" s="115" t="s">
        <v>45</v>
      </c>
    </row>
    <row r="1537" spans="1:8" ht="19.899999999999999" customHeight="1">
      <c r="A1537" s="121">
        <v>46044</v>
      </c>
      <c r="B1537" s="112" t="s">
        <v>26</v>
      </c>
      <c r="C1537" s="113" t="s">
        <v>357</v>
      </c>
      <c r="D1537" s="112" t="s">
        <v>341</v>
      </c>
      <c r="E1537" s="122">
        <v>1.3923611111111109</v>
      </c>
      <c r="F1537" s="112" t="s">
        <v>28</v>
      </c>
      <c r="G1537" s="114">
        <v>3</v>
      </c>
      <c r="H1537" s="115" t="s">
        <v>45</v>
      </c>
    </row>
    <row r="1538" spans="1:8" ht="19.899999999999999" customHeight="1">
      <c r="A1538" s="121">
        <v>46044</v>
      </c>
      <c r="B1538" s="112" t="s">
        <v>26</v>
      </c>
      <c r="C1538" s="113" t="s">
        <v>353</v>
      </c>
      <c r="D1538" s="112" t="s">
        <v>341</v>
      </c>
      <c r="E1538" s="122">
        <v>1.8888888888888891</v>
      </c>
      <c r="F1538" s="112" t="s">
        <v>28</v>
      </c>
      <c r="G1538" s="114">
        <v>8</v>
      </c>
      <c r="H1538" s="115" t="s">
        <v>45</v>
      </c>
    </row>
    <row r="1539" spans="1:8" ht="19.899999999999999" customHeight="1">
      <c r="A1539" s="129">
        <v>46044</v>
      </c>
      <c r="B1539" s="117" t="s">
        <v>61</v>
      </c>
      <c r="C1539" s="118" t="s">
        <v>364</v>
      </c>
      <c r="D1539" s="117" t="s">
        <v>341</v>
      </c>
      <c r="E1539" s="130">
        <v>1.9375</v>
      </c>
      <c r="F1539" s="117" t="s">
        <v>63</v>
      </c>
      <c r="G1539" s="119">
        <v>9</v>
      </c>
      <c r="H1539" s="120" t="s">
        <v>449</v>
      </c>
    </row>
    <row r="1540" spans="1:8" ht="19.899999999999999" customHeight="1">
      <c r="A1540" s="129">
        <v>46044</v>
      </c>
      <c r="B1540" s="117" t="s">
        <v>61</v>
      </c>
      <c r="C1540" s="118" t="s">
        <v>379</v>
      </c>
      <c r="D1540" s="117" t="s">
        <v>341</v>
      </c>
      <c r="E1540" s="130">
        <v>1.5625</v>
      </c>
      <c r="F1540" s="117" t="s">
        <v>63</v>
      </c>
      <c r="G1540" s="119">
        <v>9</v>
      </c>
      <c r="H1540" s="120" t="s">
        <v>449</v>
      </c>
    </row>
    <row r="1541" spans="1:8" ht="19.899999999999999" customHeight="1">
      <c r="A1541" s="121">
        <v>46044</v>
      </c>
      <c r="B1541" s="112" t="s">
        <v>38</v>
      </c>
      <c r="C1541" s="113" t="s">
        <v>342</v>
      </c>
      <c r="D1541" s="112" t="s">
        <v>341</v>
      </c>
      <c r="E1541" s="122">
        <v>1.489583333333333</v>
      </c>
      <c r="F1541" s="112" t="s">
        <v>43</v>
      </c>
      <c r="G1541" s="114">
        <v>20</v>
      </c>
      <c r="H1541" s="115" t="s">
        <v>138</v>
      </c>
    </row>
    <row r="1542" spans="1:8" ht="19.899999999999999" customHeight="1">
      <c r="A1542" s="121">
        <v>46044</v>
      </c>
      <c r="B1542" s="112" t="s">
        <v>38</v>
      </c>
      <c r="C1542" s="113" t="s">
        <v>344</v>
      </c>
      <c r="D1542" s="112" t="s">
        <v>341</v>
      </c>
      <c r="E1542" s="122">
        <v>1.8888888888888891</v>
      </c>
      <c r="F1542" s="112" t="s">
        <v>43</v>
      </c>
      <c r="G1542" s="114">
        <v>12</v>
      </c>
      <c r="H1542" s="115" t="s">
        <v>138</v>
      </c>
    </row>
    <row r="1543" spans="1:8" ht="19.899999999999999" customHeight="1">
      <c r="A1543" s="121">
        <v>46044</v>
      </c>
      <c r="B1543" s="112" t="s">
        <v>38</v>
      </c>
      <c r="C1543" s="113" t="s">
        <v>345</v>
      </c>
      <c r="D1543" s="112" t="s">
        <v>341</v>
      </c>
      <c r="E1543" s="122">
        <v>1.989583333333333</v>
      </c>
      <c r="F1543" s="112" t="s">
        <v>43</v>
      </c>
      <c r="G1543" s="114">
        <v>16</v>
      </c>
      <c r="H1543" s="115" t="s">
        <v>138</v>
      </c>
    </row>
    <row r="1544" spans="1:8" ht="19.899999999999999" customHeight="1">
      <c r="A1544" s="121">
        <v>46044</v>
      </c>
      <c r="B1544" s="112" t="s">
        <v>38</v>
      </c>
      <c r="C1544" s="113" t="s">
        <v>346</v>
      </c>
      <c r="D1544" s="112" t="s">
        <v>341</v>
      </c>
      <c r="E1544" s="122">
        <v>1.399305555555556</v>
      </c>
      <c r="F1544" s="112" t="s">
        <v>43</v>
      </c>
      <c r="G1544" s="114">
        <v>20</v>
      </c>
      <c r="H1544" s="115" t="s">
        <v>123</v>
      </c>
    </row>
    <row r="1545" spans="1:8" ht="19.899999999999999" customHeight="1">
      <c r="A1545" s="121">
        <v>46044</v>
      </c>
      <c r="B1545" s="112" t="s">
        <v>26</v>
      </c>
      <c r="C1545" s="113" t="s">
        <v>354</v>
      </c>
      <c r="D1545" s="112" t="s">
        <v>341</v>
      </c>
      <c r="E1545" s="122">
        <v>1.3472222222222221</v>
      </c>
      <c r="F1545" s="112" t="s">
        <v>31</v>
      </c>
      <c r="G1545" s="114">
        <v>7</v>
      </c>
      <c r="H1545" s="115" t="s">
        <v>123</v>
      </c>
    </row>
    <row r="1546" spans="1:8" ht="19.899999999999999" customHeight="1">
      <c r="A1546" s="121">
        <v>46044</v>
      </c>
      <c r="B1546" s="112" t="s">
        <v>26</v>
      </c>
      <c r="C1546" s="113" t="s">
        <v>348</v>
      </c>
      <c r="D1546" s="112" t="s">
        <v>341</v>
      </c>
      <c r="E1546" s="122">
        <v>1.993055555555556</v>
      </c>
      <c r="F1546" s="112" t="s">
        <v>31</v>
      </c>
      <c r="G1546" s="114">
        <v>2</v>
      </c>
      <c r="H1546" s="115" t="s">
        <v>123</v>
      </c>
    </row>
    <row r="1547" spans="1:8" ht="19.899999999999999" customHeight="1">
      <c r="A1547" s="121">
        <v>46044</v>
      </c>
      <c r="B1547" s="112" t="s">
        <v>26</v>
      </c>
      <c r="C1547" s="113" t="s">
        <v>351</v>
      </c>
      <c r="D1547" s="112" t="s">
        <v>341</v>
      </c>
      <c r="E1547" s="122">
        <v>1.836805555555556</v>
      </c>
      <c r="F1547" s="112" t="s">
        <v>28</v>
      </c>
      <c r="G1547" s="114">
        <v>9</v>
      </c>
      <c r="H1547" s="115" t="s">
        <v>123</v>
      </c>
    </row>
    <row r="1548" spans="1:8" ht="19.899999999999999" customHeight="1">
      <c r="A1548" s="121">
        <v>46044</v>
      </c>
      <c r="B1548" s="112" t="s">
        <v>26</v>
      </c>
      <c r="C1548" s="113" t="s">
        <v>356</v>
      </c>
      <c r="D1548" s="112" t="s">
        <v>341</v>
      </c>
      <c r="E1548" s="122">
        <v>1.4861111111111109</v>
      </c>
      <c r="F1548" s="112" t="s">
        <v>31</v>
      </c>
      <c r="G1548" s="114">
        <v>1</v>
      </c>
      <c r="H1548" s="115" t="s">
        <v>123</v>
      </c>
    </row>
    <row r="1549" spans="1:8" ht="19.899999999999999" customHeight="1">
      <c r="A1549" s="121">
        <v>46044</v>
      </c>
      <c r="B1549" s="112" t="s">
        <v>359</v>
      </c>
      <c r="C1549" s="113" t="s">
        <v>360</v>
      </c>
      <c r="D1549" s="112" t="s">
        <v>341</v>
      </c>
      <c r="E1549" s="122">
        <v>1.1701388888888891</v>
      </c>
      <c r="F1549" s="112" t="s">
        <v>46</v>
      </c>
      <c r="G1549" s="114">
        <v>9</v>
      </c>
      <c r="H1549" s="115" t="s">
        <v>526</v>
      </c>
    </row>
    <row r="1550" spans="1:8" ht="19.899999999999999" customHeight="1">
      <c r="A1550" s="121">
        <v>46044</v>
      </c>
      <c r="B1550" s="112" t="s">
        <v>26</v>
      </c>
      <c r="C1550" s="113" t="s">
        <v>350</v>
      </c>
      <c r="D1550" s="112" t="s">
        <v>341</v>
      </c>
      <c r="E1550" s="122">
        <v>1.7361111111111109</v>
      </c>
      <c r="F1550" s="112" t="s">
        <v>31</v>
      </c>
      <c r="G1550" s="114">
        <v>9</v>
      </c>
      <c r="H1550" s="115" t="s">
        <v>355</v>
      </c>
    </row>
    <row r="1551" spans="1:8" ht="19.899999999999999" customHeight="1">
      <c r="A1551" s="121">
        <v>46044</v>
      </c>
      <c r="B1551" s="112" t="s">
        <v>26</v>
      </c>
      <c r="C1551" s="113" t="s">
        <v>352</v>
      </c>
      <c r="D1551" s="112" t="s">
        <v>341</v>
      </c>
      <c r="E1551" s="122">
        <v>1.944444444444444</v>
      </c>
      <c r="F1551" s="112" t="s">
        <v>31</v>
      </c>
      <c r="G1551" s="114">
        <v>2</v>
      </c>
      <c r="H1551" s="115" t="s">
        <v>355</v>
      </c>
    </row>
    <row r="1552" spans="1:8" ht="19.899999999999999" customHeight="1">
      <c r="A1552" s="121">
        <v>46044</v>
      </c>
      <c r="B1552" s="112" t="s">
        <v>26</v>
      </c>
      <c r="C1552" s="113" t="s">
        <v>357</v>
      </c>
      <c r="D1552" s="112" t="s">
        <v>341</v>
      </c>
      <c r="E1552" s="122">
        <v>1.3923611111111109</v>
      </c>
      <c r="F1552" s="112" t="s">
        <v>31</v>
      </c>
      <c r="G1552" s="114">
        <v>3</v>
      </c>
      <c r="H1552" s="115" t="s">
        <v>355</v>
      </c>
    </row>
    <row r="1553" spans="1:8" ht="19.899999999999999" customHeight="1">
      <c r="A1553" s="121">
        <v>46044</v>
      </c>
      <c r="B1553" s="112" t="s">
        <v>26</v>
      </c>
      <c r="C1553" s="113" t="s">
        <v>353</v>
      </c>
      <c r="D1553" s="112" t="s">
        <v>341</v>
      </c>
      <c r="E1553" s="122">
        <v>1.8888888888888891</v>
      </c>
      <c r="F1553" s="112" t="s">
        <v>31</v>
      </c>
      <c r="G1553" s="114">
        <v>8</v>
      </c>
      <c r="H1553" s="115" t="s">
        <v>355</v>
      </c>
    </row>
    <row r="1554" spans="1:8" ht="19.899999999999999" customHeight="1">
      <c r="A1554" s="121">
        <v>46044</v>
      </c>
      <c r="B1554" s="112" t="s">
        <v>26</v>
      </c>
      <c r="C1554" s="113" t="s">
        <v>354</v>
      </c>
      <c r="D1554" s="112" t="s">
        <v>341</v>
      </c>
      <c r="E1554" s="122">
        <v>1.3472222222222221</v>
      </c>
      <c r="F1554" s="112" t="s">
        <v>34</v>
      </c>
      <c r="G1554" s="114">
        <v>7</v>
      </c>
      <c r="H1554" s="115" t="s">
        <v>118</v>
      </c>
    </row>
    <row r="1555" spans="1:8" ht="19.899999999999999" customHeight="1">
      <c r="A1555" s="121">
        <v>46044</v>
      </c>
      <c r="B1555" s="112" t="s">
        <v>26</v>
      </c>
      <c r="C1555" s="113" t="s">
        <v>348</v>
      </c>
      <c r="D1555" s="112" t="s">
        <v>341</v>
      </c>
      <c r="E1555" s="122">
        <v>1.993055555555556</v>
      </c>
      <c r="F1555" s="112" t="s">
        <v>34</v>
      </c>
      <c r="G1555" s="114">
        <v>2</v>
      </c>
      <c r="H1555" s="115" t="s">
        <v>118</v>
      </c>
    </row>
    <row r="1556" spans="1:8" ht="19.899999999999999" customHeight="1">
      <c r="A1556" s="121">
        <v>46044</v>
      </c>
      <c r="B1556" s="112" t="s">
        <v>26</v>
      </c>
      <c r="C1556" s="113" t="s">
        <v>356</v>
      </c>
      <c r="D1556" s="112" t="s">
        <v>341</v>
      </c>
      <c r="E1556" s="122">
        <v>1.4861111111111109</v>
      </c>
      <c r="F1556" s="112" t="s">
        <v>34</v>
      </c>
      <c r="G1556" s="114">
        <v>1</v>
      </c>
      <c r="H1556" s="115" t="s">
        <v>118</v>
      </c>
    </row>
    <row r="1557" spans="1:8" ht="19.899999999999999" customHeight="1">
      <c r="A1557" s="121">
        <v>46044</v>
      </c>
      <c r="B1557" s="112" t="s">
        <v>26</v>
      </c>
      <c r="C1557" s="113" t="s">
        <v>351</v>
      </c>
      <c r="D1557" s="112" t="s">
        <v>341</v>
      </c>
      <c r="E1557" s="122">
        <v>1.836805555555556</v>
      </c>
      <c r="F1557" s="112" t="s">
        <v>31</v>
      </c>
      <c r="G1557" s="114">
        <v>9</v>
      </c>
      <c r="H1557" s="115" t="s">
        <v>163</v>
      </c>
    </row>
    <row r="1558" spans="1:8" ht="19.899999999999999" customHeight="1">
      <c r="A1558" s="121">
        <v>46044</v>
      </c>
      <c r="B1558" s="112" t="s">
        <v>26</v>
      </c>
      <c r="C1558" s="113" t="s">
        <v>350</v>
      </c>
      <c r="D1558" s="112" t="s">
        <v>341</v>
      </c>
      <c r="E1558" s="122">
        <v>1.7361111111111109</v>
      </c>
      <c r="F1558" s="112" t="s">
        <v>34</v>
      </c>
      <c r="G1558" s="114">
        <v>9</v>
      </c>
      <c r="H1558" s="115" t="s">
        <v>358</v>
      </c>
    </row>
    <row r="1559" spans="1:8" ht="19.899999999999999" customHeight="1">
      <c r="A1559" s="121">
        <v>46044</v>
      </c>
      <c r="B1559" s="112" t="s">
        <v>26</v>
      </c>
      <c r="C1559" s="113" t="s">
        <v>352</v>
      </c>
      <c r="D1559" s="112" t="s">
        <v>341</v>
      </c>
      <c r="E1559" s="122">
        <v>1.944444444444444</v>
      </c>
      <c r="F1559" s="112" t="s">
        <v>34</v>
      </c>
      <c r="G1559" s="114">
        <v>2</v>
      </c>
      <c r="H1559" s="115" t="s">
        <v>358</v>
      </c>
    </row>
    <row r="1560" spans="1:8" ht="19.899999999999999" customHeight="1">
      <c r="A1560" s="121">
        <v>46044</v>
      </c>
      <c r="B1560" s="112" t="s">
        <v>26</v>
      </c>
      <c r="C1560" s="113" t="s">
        <v>357</v>
      </c>
      <c r="D1560" s="112" t="s">
        <v>341</v>
      </c>
      <c r="E1560" s="122">
        <v>1.3923611111111109</v>
      </c>
      <c r="F1560" s="112" t="s">
        <v>34</v>
      </c>
      <c r="G1560" s="114">
        <v>3</v>
      </c>
      <c r="H1560" s="115" t="s">
        <v>358</v>
      </c>
    </row>
    <row r="1561" spans="1:8" ht="19.899999999999999" customHeight="1">
      <c r="A1561" s="121">
        <v>46044</v>
      </c>
      <c r="B1561" s="112" t="s">
        <v>26</v>
      </c>
      <c r="C1561" s="113" t="s">
        <v>353</v>
      </c>
      <c r="D1561" s="112" t="s">
        <v>341</v>
      </c>
      <c r="E1561" s="122">
        <v>1.8888888888888891</v>
      </c>
      <c r="F1561" s="112" t="s">
        <v>34</v>
      </c>
      <c r="G1561" s="114">
        <v>8</v>
      </c>
      <c r="H1561" s="115" t="s">
        <v>358</v>
      </c>
    </row>
    <row r="1562" spans="1:8" ht="19.899999999999999" customHeight="1">
      <c r="A1562" s="121">
        <v>46044</v>
      </c>
      <c r="B1562" s="112" t="s">
        <v>26</v>
      </c>
      <c r="C1562" s="113" t="s">
        <v>351</v>
      </c>
      <c r="D1562" s="112" t="s">
        <v>341</v>
      </c>
      <c r="E1562" s="122">
        <v>1.836805555555556</v>
      </c>
      <c r="F1562" s="112" t="s">
        <v>34</v>
      </c>
      <c r="G1562" s="114">
        <v>9</v>
      </c>
      <c r="H1562" s="115" t="s">
        <v>119</v>
      </c>
    </row>
    <row r="1563" spans="1:8" ht="19.899999999999999" customHeight="1">
      <c r="A1563" s="121">
        <v>46044</v>
      </c>
      <c r="B1563" s="112" t="s">
        <v>38</v>
      </c>
      <c r="C1563" s="113" t="s">
        <v>346</v>
      </c>
      <c r="D1563" s="112" t="s">
        <v>341</v>
      </c>
      <c r="E1563" s="122">
        <v>1.399305555555556</v>
      </c>
      <c r="F1563" s="112" t="s">
        <v>46</v>
      </c>
      <c r="G1563" s="114">
        <v>20</v>
      </c>
      <c r="H1563" s="115" t="s">
        <v>47</v>
      </c>
    </row>
    <row r="1564" spans="1:8" ht="19.899999999999999" customHeight="1">
      <c r="A1564" s="121">
        <v>46044</v>
      </c>
      <c r="B1564" s="112" t="s">
        <v>38</v>
      </c>
      <c r="C1564" s="113" t="s">
        <v>342</v>
      </c>
      <c r="D1564" s="112" t="s">
        <v>341</v>
      </c>
      <c r="E1564" s="122">
        <v>1.489583333333333</v>
      </c>
      <c r="F1564" s="112" t="s">
        <v>46</v>
      </c>
      <c r="G1564" s="114">
        <v>20</v>
      </c>
      <c r="H1564" s="115" t="s">
        <v>47</v>
      </c>
    </row>
    <row r="1565" spans="1:8" ht="19.899999999999999" customHeight="1">
      <c r="A1565" s="121">
        <v>46044</v>
      </c>
      <c r="B1565" s="112" t="s">
        <v>38</v>
      </c>
      <c r="C1565" s="113" t="s">
        <v>345</v>
      </c>
      <c r="D1565" s="112" t="s">
        <v>341</v>
      </c>
      <c r="E1565" s="122">
        <v>1.989583333333333</v>
      </c>
      <c r="F1565" s="112" t="s">
        <v>46</v>
      </c>
      <c r="G1565" s="114">
        <v>16</v>
      </c>
      <c r="H1565" s="115" t="s">
        <v>47</v>
      </c>
    </row>
    <row r="1566" spans="1:8" ht="19.899999999999999" customHeight="1">
      <c r="A1566" s="121">
        <v>46044</v>
      </c>
      <c r="B1566" s="112" t="s">
        <v>48</v>
      </c>
      <c r="C1566" s="113" t="s">
        <v>394</v>
      </c>
      <c r="D1566" s="112" t="s">
        <v>341</v>
      </c>
      <c r="E1566" s="122">
        <v>1.989583333333333</v>
      </c>
      <c r="F1566" s="112" t="s">
        <v>53</v>
      </c>
      <c r="G1566" s="114">
        <v>4</v>
      </c>
      <c r="H1566" s="115" t="s">
        <v>399</v>
      </c>
    </row>
    <row r="1567" spans="1:8" ht="19.899999999999999" customHeight="1">
      <c r="A1567" s="121">
        <v>46044</v>
      </c>
      <c r="B1567" s="112" t="s">
        <v>48</v>
      </c>
      <c r="C1567" s="113" t="s">
        <v>396</v>
      </c>
      <c r="D1567" s="112" t="s">
        <v>341</v>
      </c>
      <c r="E1567" s="122">
        <v>1.489583333333333</v>
      </c>
      <c r="F1567" s="112" t="s">
        <v>53</v>
      </c>
      <c r="G1567" s="114">
        <v>4</v>
      </c>
      <c r="H1567" s="115" t="s">
        <v>399</v>
      </c>
    </row>
    <row r="1568" spans="1:8" ht="19.899999999999999" customHeight="1">
      <c r="A1568" s="121">
        <v>46044</v>
      </c>
      <c r="B1568" s="112" t="s">
        <v>48</v>
      </c>
      <c r="C1568" s="113" t="s">
        <v>398</v>
      </c>
      <c r="D1568" s="112" t="s">
        <v>341</v>
      </c>
      <c r="E1568" s="122">
        <v>1.399305555555556</v>
      </c>
      <c r="F1568" s="112" t="s">
        <v>53</v>
      </c>
      <c r="G1568" s="114">
        <v>4</v>
      </c>
      <c r="H1568" s="115" t="s">
        <v>464</v>
      </c>
    </row>
    <row r="1569" spans="1:8" ht="19.899999999999999" customHeight="1">
      <c r="A1569" s="121">
        <v>46044</v>
      </c>
      <c r="B1569" s="112" t="s">
        <v>48</v>
      </c>
      <c r="C1569" s="113" t="s">
        <v>397</v>
      </c>
      <c r="D1569" s="112" t="s">
        <v>341</v>
      </c>
      <c r="E1569" s="122">
        <v>1.8888888888888891</v>
      </c>
      <c r="F1569" s="112" t="s">
        <v>53</v>
      </c>
      <c r="G1569" s="114">
        <v>4</v>
      </c>
      <c r="H1569" s="115" t="s">
        <v>464</v>
      </c>
    </row>
    <row r="1570" spans="1:8" ht="19.899999999999999" customHeight="1">
      <c r="A1570" s="121">
        <v>46044</v>
      </c>
      <c r="B1570" s="112" t="s">
        <v>38</v>
      </c>
      <c r="C1570" s="113" t="s">
        <v>344</v>
      </c>
      <c r="D1570" s="112" t="s">
        <v>341</v>
      </c>
      <c r="E1570" s="122">
        <v>1.8888888888888891</v>
      </c>
      <c r="F1570" s="112" t="s">
        <v>46</v>
      </c>
      <c r="G1570" s="114">
        <v>12</v>
      </c>
      <c r="H1570" s="115" t="s">
        <v>419</v>
      </c>
    </row>
    <row r="1571" spans="1:8" ht="19.899999999999999" customHeight="1">
      <c r="A1571" s="121">
        <v>46044</v>
      </c>
      <c r="B1571" s="112" t="s">
        <v>48</v>
      </c>
      <c r="C1571" s="113" t="s">
        <v>391</v>
      </c>
      <c r="D1571" s="112" t="s">
        <v>341</v>
      </c>
      <c r="E1571" s="122">
        <v>1.489583333333333</v>
      </c>
      <c r="F1571" s="112" t="s">
        <v>53</v>
      </c>
      <c r="G1571" s="114">
        <v>9</v>
      </c>
      <c r="H1571" s="115" t="s">
        <v>490</v>
      </c>
    </row>
    <row r="1572" spans="1:8" ht="19.899999999999999" customHeight="1">
      <c r="A1572" s="121">
        <v>46044</v>
      </c>
      <c r="B1572" s="112" t="s">
        <v>48</v>
      </c>
      <c r="C1572" s="113" t="s">
        <v>386</v>
      </c>
      <c r="D1572" s="112" t="s">
        <v>341</v>
      </c>
      <c r="E1572" s="122">
        <v>1.8298611111111109</v>
      </c>
      <c r="F1572" s="112" t="s">
        <v>53</v>
      </c>
      <c r="G1572" s="114">
        <v>9</v>
      </c>
      <c r="H1572" s="115" t="s">
        <v>490</v>
      </c>
    </row>
    <row r="1573" spans="1:8" ht="19.899999999999999" customHeight="1">
      <c r="A1573" s="121">
        <v>46044</v>
      </c>
      <c r="B1573" s="112" t="s">
        <v>48</v>
      </c>
      <c r="C1573" s="113" t="s">
        <v>388</v>
      </c>
      <c r="D1573" s="112" t="s">
        <v>341</v>
      </c>
      <c r="E1573" s="122">
        <v>1.7222222222222221</v>
      </c>
      <c r="F1573" s="112" t="s">
        <v>53</v>
      </c>
      <c r="G1573" s="114">
        <v>9</v>
      </c>
      <c r="H1573" s="115" t="s">
        <v>490</v>
      </c>
    </row>
    <row r="1574" spans="1:8" ht="19.899999999999999" customHeight="1">
      <c r="A1574" s="121">
        <v>46044</v>
      </c>
      <c r="B1574" s="112" t="s">
        <v>48</v>
      </c>
      <c r="C1574" s="113" t="s">
        <v>382</v>
      </c>
      <c r="D1574" s="112" t="s">
        <v>341</v>
      </c>
      <c r="E1574" s="122">
        <v>1.118055555555556</v>
      </c>
      <c r="F1574" s="112" t="s">
        <v>53</v>
      </c>
      <c r="G1574" s="114">
        <v>9</v>
      </c>
      <c r="H1574" s="115" t="s">
        <v>490</v>
      </c>
    </row>
    <row r="1575" spans="1:8" ht="19.899999999999999" customHeight="1">
      <c r="A1575" s="121">
        <v>46044</v>
      </c>
      <c r="B1575" s="112" t="s">
        <v>48</v>
      </c>
      <c r="C1575" s="113" t="s">
        <v>389</v>
      </c>
      <c r="D1575" s="112" t="s">
        <v>341</v>
      </c>
      <c r="E1575" s="122">
        <v>1.7048611111111109</v>
      </c>
      <c r="F1575" s="112" t="s">
        <v>53</v>
      </c>
      <c r="G1575" s="114">
        <v>9</v>
      </c>
      <c r="H1575" s="115" t="s">
        <v>490</v>
      </c>
    </row>
    <row r="1576" spans="1:8" ht="19.899999999999999" customHeight="1">
      <c r="A1576" s="121">
        <v>46044</v>
      </c>
      <c r="B1576" s="112" t="s">
        <v>48</v>
      </c>
      <c r="C1576" s="113" t="s">
        <v>400</v>
      </c>
      <c r="D1576" s="112" t="s">
        <v>341</v>
      </c>
      <c r="E1576" s="122">
        <v>1.2534722222222221</v>
      </c>
      <c r="F1576" s="112" t="s">
        <v>53</v>
      </c>
      <c r="G1576" s="114">
        <v>9</v>
      </c>
      <c r="H1576" s="115" t="s">
        <v>490</v>
      </c>
    </row>
    <row r="1577" spans="1:8" ht="19.899999999999999" customHeight="1">
      <c r="A1577" s="121">
        <v>46044</v>
      </c>
      <c r="B1577" s="112" t="s">
        <v>48</v>
      </c>
      <c r="C1577" s="113" t="s">
        <v>390</v>
      </c>
      <c r="D1577" s="112" t="s">
        <v>341</v>
      </c>
      <c r="E1577" s="122">
        <v>1.041666666666667</v>
      </c>
      <c r="F1577" s="112" t="s">
        <v>53</v>
      </c>
      <c r="G1577" s="114">
        <v>9</v>
      </c>
      <c r="H1577" s="115" t="s">
        <v>490</v>
      </c>
    </row>
    <row r="1578" spans="1:8" ht="19.899999999999999" customHeight="1">
      <c r="A1578" s="121">
        <v>46044</v>
      </c>
      <c r="B1578" s="112" t="s">
        <v>48</v>
      </c>
      <c r="C1578" s="113" t="s">
        <v>385</v>
      </c>
      <c r="D1578" s="112" t="s">
        <v>341</v>
      </c>
      <c r="E1578" s="122">
        <v>1.9409722222222221</v>
      </c>
      <c r="F1578" s="112" t="s">
        <v>53</v>
      </c>
      <c r="G1578" s="114">
        <v>9</v>
      </c>
      <c r="H1578" s="115" t="s">
        <v>490</v>
      </c>
    </row>
    <row r="1579" spans="1:8" ht="19.899999999999999" customHeight="1">
      <c r="A1579" s="121">
        <v>46044</v>
      </c>
      <c r="B1579" s="112" t="s">
        <v>415</v>
      </c>
      <c r="C1579" s="113" t="s">
        <v>416</v>
      </c>
      <c r="D1579" s="112" t="s">
        <v>341</v>
      </c>
      <c r="E1579" s="122">
        <v>1.118055555555556</v>
      </c>
      <c r="F1579" s="112" t="s">
        <v>63</v>
      </c>
      <c r="G1579" s="114">
        <v>9</v>
      </c>
      <c r="H1579" s="115" t="s">
        <v>417</v>
      </c>
    </row>
    <row r="1580" spans="1:8" ht="19.899999999999999" customHeight="1">
      <c r="A1580" s="121">
        <v>46044</v>
      </c>
      <c r="B1580" s="112" t="s">
        <v>415</v>
      </c>
      <c r="C1580" s="113" t="s">
        <v>418</v>
      </c>
      <c r="D1580" s="112" t="s">
        <v>341</v>
      </c>
      <c r="E1580" s="122">
        <v>1.4201388888888891</v>
      </c>
      <c r="F1580" s="112" t="s">
        <v>63</v>
      </c>
      <c r="G1580" s="114">
        <v>9</v>
      </c>
      <c r="H1580" s="115" t="s">
        <v>417</v>
      </c>
    </row>
    <row r="1581" spans="1:8" ht="19.899999999999999" customHeight="1">
      <c r="A1581" s="121">
        <v>46044</v>
      </c>
      <c r="B1581" s="112" t="s">
        <v>68</v>
      </c>
      <c r="C1581" s="113" t="s">
        <v>405</v>
      </c>
      <c r="D1581" s="112" t="s">
        <v>341</v>
      </c>
      <c r="E1581" s="122">
        <v>1.836805555555556</v>
      </c>
      <c r="F1581" s="112" t="s">
        <v>70</v>
      </c>
      <c r="G1581" s="114">
        <v>9</v>
      </c>
      <c r="H1581" s="115" t="s">
        <v>524</v>
      </c>
    </row>
    <row r="1582" spans="1:8" ht="19.899999999999999" customHeight="1">
      <c r="A1582" s="121">
        <v>46044</v>
      </c>
      <c r="B1582" s="112" t="s">
        <v>68</v>
      </c>
      <c r="C1582" s="113" t="s">
        <v>407</v>
      </c>
      <c r="D1582" s="112" t="s">
        <v>341</v>
      </c>
      <c r="E1582" s="122">
        <v>1.3125</v>
      </c>
      <c r="F1582" s="112" t="s">
        <v>70</v>
      </c>
      <c r="G1582" s="114">
        <v>9</v>
      </c>
      <c r="H1582" s="115" t="s">
        <v>524</v>
      </c>
    </row>
    <row r="1583" spans="1:8" ht="19.899999999999999" customHeight="1">
      <c r="A1583" s="121">
        <v>46044</v>
      </c>
      <c r="B1583" s="112" t="s">
        <v>68</v>
      </c>
      <c r="C1583" s="113" t="s">
        <v>408</v>
      </c>
      <c r="D1583" s="112" t="s">
        <v>341</v>
      </c>
      <c r="E1583" s="122">
        <v>1.9722222222222221</v>
      </c>
      <c r="F1583" s="112" t="s">
        <v>70</v>
      </c>
      <c r="G1583" s="114">
        <v>9</v>
      </c>
      <c r="H1583" s="115" t="s">
        <v>524</v>
      </c>
    </row>
    <row r="1584" spans="1:8" ht="19.899999999999999" customHeight="1">
      <c r="A1584" s="121">
        <v>46044</v>
      </c>
      <c r="B1584" s="112" t="s">
        <v>68</v>
      </c>
      <c r="C1584" s="113" t="s">
        <v>409</v>
      </c>
      <c r="D1584" s="112" t="s">
        <v>341</v>
      </c>
      <c r="E1584" s="122">
        <v>1.3402777777777779</v>
      </c>
      <c r="F1584" s="112" t="s">
        <v>70</v>
      </c>
      <c r="G1584" s="114">
        <v>9</v>
      </c>
      <c r="H1584" s="115" t="s">
        <v>524</v>
      </c>
    </row>
    <row r="1585" spans="1:8" ht="19.899999999999999" customHeight="1">
      <c r="A1585" s="121">
        <v>46044</v>
      </c>
      <c r="B1585" s="112" t="s">
        <v>68</v>
      </c>
      <c r="C1585" s="113" t="s">
        <v>411</v>
      </c>
      <c r="D1585" s="112" t="s">
        <v>341</v>
      </c>
      <c r="E1585" s="122">
        <v>1.7847222222222221</v>
      </c>
      <c r="F1585" s="112" t="s">
        <v>70</v>
      </c>
      <c r="G1585" s="114">
        <v>9</v>
      </c>
      <c r="H1585" s="115" t="s">
        <v>524</v>
      </c>
    </row>
    <row r="1586" spans="1:8" ht="19.899999999999999" customHeight="1">
      <c r="A1586" s="121">
        <v>46044</v>
      </c>
      <c r="B1586" s="112" t="s">
        <v>68</v>
      </c>
      <c r="C1586" s="113" t="s">
        <v>410</v>
      </c>
      <c r="D1586" s="112" t="s">
        <v>341</v>
      </c>
      <c r="E1586" s="122">
        <v>1.5972222222222221</v>
      </c>
      <c r="F1586" s="112" t="s">
        <v>70</v>
      </c>
      <c r="G1586" s="114">
        <v>9</v>
      </c>
      <c r="H1586" s="115" t="s">
        <v>524</v>
      </c>
    </row>
    <row r="1587" spans="1:8" ht="19.899999999999999" customHeight="1">
      <c r="A1587" s="123">
        <v>46044</v>
      </c>
      <c r="B1587" s="124" t="s">
        <v>68</v>
      </c>
      <c r="C1587" s="125" t="s">
        <v>413</v>
      </c>
      <c r="D1587" s="124" t="s">
        <v>341</v>
      </c>
      <c r="E1587" s="126">
        <v>1.0486111111111109</v>
      </c>
      <c r="F1587" s="124" t="s">
        <v>70</v>
      </c>
      <c r="G1587" s="127">
        <v>9</v>
      </c>
      <c r="H1587" s="128" t="s">
        <v>524</v>
      </c>
    </row>
    <row r="1588" spans="1:8" ht="19.899999999999999" customHeight="1">
      <c r="A1588" s="121">
        <v>46045</v>
      </c>
      <c r="B1588" s="112" t="s">
        <v>38</v>
      </c>
      <c r="C1588" s="113" t="s">
        <v>342</v>
      </c>
      <c r="D1588" s="112" t="s">
        <v>341</v>
      </c>
      <c r="E1588" s="122">
        <v>1.489583333333333</v>
      </c>
      <c r="F1588" s="112" t="s">
        <v>40</v>
      </c>
      <c r="G1588" s="114">
        <v>13</v>
      </c>
      <c r="H1588" s="115" t="s">
        <v>347</v>
      </c>
    </row>
    <row r="1589" spans="1:8" ht="19.899999999999999" customHeight="1">
      <c r="A1589" s="121">
        <v>46045</v>
      </c>
      <c r="B1589" s="112" t="s">
        <v>359</v>
      </c>
      <c r="C1589" s="113" t="s">
        <v>422</v>
      </c>
      <c r="D1589" s="112" t="s">
        <v>341</v>
      </c>
      <c r="E1589" s="122">
        <v>1.8090277777777779</v>
      </c>
      <c r="F1589" s="112" t="s">
        <v>361</v>
      </c>
      <c r="G1589" s="114">
        <v>9</v>
      </c>
      <c r="H1589" s="115" t="s">
        <v>534</v>
      </c>
    </row>
    <row r="1590" spans="1:8" ht="19.899999999999999" customHeight="1">
      <c r="A1590" s="121">
        <v>46045</v>
      </c>
      <c r="B1590" s="112" t="s">
        <v>359</v>
      </c>
      <c r="C1590" s="113" t="s">
        <v>360</v>
      </c>
      <c r="D1590" s="112" t="s">
        <v>341</v>
      </c>
      <c r="E1590" s="122">
        <v>1.225694444444444</v>
      </c>
      <c r="F1590" s="112" t="s">
        <v>361</v>
      </c>
      <c r="G1590" s="114">
        <v>9</v>
      </c>
      <c r="H1590" s="115" t="s">
        <v>534</v>
      </c>
    </row>
    <row r="1591" spans="1:8" ht="19.899999999999999" customHeight="1">
      <c r="A1591" s="121">
        <v>46045</v>
      </c>
      <c r="B1591" s="112" t="s">
        <v>38</v>
      </c>
      <c r="C1591" s="113" t="s">
        <v>346</v>
      </c>
      <c r="D1591" s="112" t="s">
        <v>341</v>
      </c>
      <c r="E1591" s="122">
        <v>1.399305555555556</v>
      </c>
      <c r="F1591" s="112" t="s">
        <v>40</v>
      </c>
      <c r="G1591" s="114">
        <v>20</v>
      </c>
      <c r="H1591" s="115" t="s">
        <v>121</v>
      </c>
    </row>
    <row r="1592" spans="1:8" ht="19.899999999999999" customHeight="1">
      <c r="A1592" s="121">
        <v>46045</v>
      </c>
      <c r="B1592" s="112" t="s">
        <v>38</v>
      </c>
      <c r="C1592" s="113" t="s">
        <v>344</v>
      </c>
      <c r="D1592" s="112" t="s">
        <v>341</v>
      </c>
      <c r="E1592" s="122">
        <v>1.8888888888888891</v>
      </c>
      <c r="F1592" s="112" t="s">
        <v>40</v>
      </c>
      <c r="G1592" s="114">
        <v>17</v>
      </c>
      <c r="H1592" s="115" t="s">
        <v>121</v>
      </c>
    </row>
    <row r="1593" spans="1:8" ht="19.899999999999999" customHeight="1">
      <c r="A1593" s="121">
        <v>46045</v>
      </c>
      <c r="B1593" s="112" t="s">
        <v>38</v>
      </c>
      <c r="C1593" s="113" t="s">
        <v>345</v>
      </c>
      <c r="D1593" s="112" t="s">
        <v>341</v>
      </c>
      <c r="E1593" s="122">
        <v>1.989583333333333</v>
      </c>
      <c r="F1593" s="112" t="s">
        <v>40</v>
      </c>
      <c r="G1593" s="114">
        <v>18</v>
      </c>
      <c r="H1593" s="115" t="s">
        <v>121</v>
      </c>
    </row>
    <row r="1594" spans="1:8" ht="19.899999999999999" customHeight="1">
      <c r="A1594" s="121">
        <v>46045</v>
      </c>
      <c r="B1594" s="112" t="s">
        <v>26</v>
      </c>
      <c r="C1594" s="113" t="s">
        <v>348</v>
      </c>
      <c r="D1594" s="112" t="s">
        <v>341</v>
      </c>
      <c r="E1594" s="122">
        <v>1.993055555555556</v>
      </c>
      <c r="F1594" s="112" t="s">
        <v>28</v>
      </c>
      <c r="G1594" s="114">
        <v>1</v>
      </c>
      <c r="H1594" s="115" t="s">
        <v>83</v>
      </c>
    </row>
    <row r="1595" spans="1:8" ht="19.899999999999999" customHeight="1">
      <c r="A1595" s="121">
        <v>46045</v>
      </c>
      <c r="B1595" s="112" t="s">
        <v>359</v>
      </c>
      <c r="C1595" s="113" t="s">
        <v>425</v>
      </c>
      <c r="D1595" s="112" t="s">
        <v>341</v>
      </c>
      <c r="E1595" s="122">
        <v>1.510416666666667</v>
      </c>
      <c r="F1595" s="112" t="s">
        <v>361</v>
      </c>
      <c r="G1595" s="114">
        <v>9</v>
      </c>
      <c r="H1595" s="115" t="s">
        <v>504</v>
      </c>
    </row>
    <row r="1596" spans="1:8" ht="19.899999999999999" customHeight="1">
      <c r="A1596" s="121">
        <v>46045</v>
      </c>
      <c r="B1596" s="112" t="s">
        <v>402</v>
      </c>
      <c r="C1596" s="113" t="s">
        <v>403</v>
      </c>
      <c r="D1596" s="112" t="s">
        <v>341</v>
      </c>
      <c r="E1596" s="122">
        <v>1.493055555555556</v>
      </c>
      <c r="F1596" s="112" t="s">
        <v>63</v>
      </c>
      <c r="G1596" s="114">
        <v>4</v>
      </c>
      <c r="H1596" s="115" t="s">
        <v>404</v>
      </c>
    </row>
    <row r="1597" spans="1:8" ht="19.899999999999999" customHeight="1">
      <c r="A1597" s="129">
        <v>46045</v>
      </c>
      <c r="B1597" s="117" t="s">
        <v>61</v>
      </c>
      <c r="C1597" s="118" t="s">
        <v>377</v>
      </c>
      <c r="D1597" s="117" t="s">
        <v>341</v>
      </c>
      <c r="E1597" s="130">
        <v>1.28125</v>
      </c>
      <c r="F1597" s="117" t="s">
        <v>63</v>
      </c>
      <c r="G1597" s="119">
        <v>5</v>
      </c>
      <c r="H1597" s="120" t="s">
        <v>79</v>
      </c>
    </row>
    <row r="1598" spans="1:8" ht="19.899999999999999" customHeight="1">
      <c r="A1598" s="129">
        <v>46045</v>
      </c>
      <c r="B1598" s="117" t="s">
        <v>61</v>
      </c>
      <c r="C1598" s="118" t="s">
        <v>379</v>
      </c>
      <c r="D1598" s="117" t="s">
        <v>341</v>
      </c>
      <c r="E1598" s="130">
        <v>1.4375</v>
      </c>
      <c r="F1598" s="117" t="s">
        <v>63</v>
      </c>
      <c r="G1598" s="119">
        <v>1</v>
      </c>
      <c r="H1598" s="120" t="s">
        <v>79</v>
      </c>
    </row>
    <row r="1599" spans="1:8" ht="19.899999999999999" customHeight="1">
      <c r="A1599" s="121">
        <v>46045</v>
      </c>
      <c r="B1599" s="112" t="s">
        <v>26</v>
      </c>
      <c r="C1599" s="113" t="s">
        <v>351</v>
      </c>
      <c r="D1599" s="112" t="s">
        <v>341</v>
      </c>
      <c r="E1599" s="122">
        <v>1.836805555555556</v>
      </c>
      <c r="F1599" s="112" t="s">
        <v>28</v>
      </c>
      <c r="G1599" s="114">
        <v>3</v>
      </c>
      <c r="H1599" s="115" t="s">
        <v>79</v>
      </c>
    </row>
    <row r="1600" spans="1:8" ht="19.899999999999999" customHeight="1">
      <c r="A1600" s="121">
        <v>46045</v>
      </c>
      <c r="B1600" s="112" t="s">
        <v>26</v>
      </c>
      <c r="C1600" s="113" t="s">
        <v>353</v>
      </c>
      <c r="D1600" s="112" t="s">
        <v>341</v>
      </c>
      <c r="E1600" s="122">
        <v>1.8888888888888891</v>
      </c>
      <c r="F1600" s="112" t="s">
        <v>28</v>
      </c>
      <c r="G1600" s="114">
        <v>5</v>
      </c>
      <c r="H1600" s="115" t="s">
        <v>79</v>
      </c>
    </row>
    <row r="1601" spans="1:8" ht="19.899999999999999" customHeight="1">
      <c r="A1601" s="121">
        <v>46045</v>
      </c>
      <c r="B1601" s="112" t="s">
        <v>26</v>
      </c>
      <c r="C1601" s="113" t="s">
        <v>352</v>
      </c>
      <c r="D1601" s="112" t="s">
        <v>341</v>
      </c>
      <c r="E1601" s="122">
        <v>1.944444444444444</v>
      </c>
      <c r="F1601" s="112" t="s">
        <v>28</v>
      </c>
      <c r="G1601" s="114">
        <v>4</v>
      </c>
      <c r="H1601" s="115" t="s">
        <v>45</v>
      </c>
    </row>
    <row r="1602" spans="1:8" ht="19.899999999999999" customHeight="1">
      <c r="A1602" s="121">
        <v>46045</v>
      </c>
      <c r="B1602" s="112" t="s">
        <v>26</v>
      </c>
      <c r="C1602" s="113" t="s">
        <v>356</v>
      </c>
      <c r="D1602" s="112" t="s">
        <v>341</v>
      </c>
      <c r="E1602" s="122">
        <v>1.4861111111111109</v>
      </c>
      <c r="F1602" s="112" t="s">
        <v>28</v>
      </c>
      <c r="G1602" s="114">
        <v>7</v>
      </c>
      <c r="H1602" s="115" t="s">
        <v>45</v>
      </c>
    </row>
    <row r="1603" spans="1:8" ht="19.899999999999999" customHeight="1">
      <c r="A1603" s="121">
        <v>46045</v>
      </c>
      <c r="B1603" s="112" t="s">
        <v>26</v>
      </c>
      <c r="C1603" s="113" t="s">
        <v>357</v>
      </c>
      <c r="D1603" s="112" t="s">
        <v>341</v>
      </c>
      <c r="E1603" s="122">
        <v>1.5590277777777779</v>
      </c>
      <c r="F1603" s="112" t="s">
        <v>28</v>
      </c>
      <c r="G1603" s="114">
        <v>4</v>
      </c>
      <c r="H1603" s="115" t="s">
        <v>45</v>
      </c>
    </row>
    <row r="1604" spans="1:8" ht="19.899999999999999" customHeight="1">
      <c r="A1604" s="129">
        <v>46045</v>
      </c>
      <c r="B1604" s="117" t="s">
        <v>61</v>
      </c>
      <c r="C1604" s="118" t="s">
        <v>432</v>
      </c>
      <c r="D1604" s="117" t="s">
        <v>341</v>
      </c>
      <c r="E1604" s="130">
        <v>1.760416666666667</v>
      </c>
      <c r="F1604" s="117" t="s">
        <v>63</v>
      </c>
      <c r="G1604" s="119">
        <v>9</v>
      </c>
      <c r="H1604" s="120" t="s">
        <v>449</v>
      </c>
    </row>
    <row r="1605" spans="1:8" ht="19.899999999999999" customHeight="1">
      <c r="A1605" s="129">
        <v>46045</v>
      </c>
      <c r="B1605" s="117" t="s">
        <v>61</v>
      </c>
      <c r="C1605" s="118" t="s">
        <v>428</v>
      </c>
      <c r="D1605" s="117" t="s">
        <v>341</v>
      </c>
      <c r="E1605" s="130">
        <v>1.5590277777777779</v>
      </c>
      <c r="F1605" s="117" t="s">
        <v>63</v>
      </c>
      <c r="G1605" s="119">
        <v>9</v>
      </c>
      <c r="H1605" s="120" t="s">
        <v>449</v>
      </c>
    </row>
    <row r="1606" spans="1:8" ht="19.899999999999999" customHeight="1">
      <c r="A1606" s="129">
        <v>46045</v>
      </c>
      <c r="B1606" s="117" t="s">
        <v>61</v>
      </c>
      <c r="C1606" s="118" t="s">
        <v>375</v>
      </c>
      <c r="D1606" s="117" t="s">
        <v>341</v>
      </c>
      <c r="E1606" s="130">
        <v>1.1423611111111109</v>
      </c>
      <c r="F1606" s="117" t="s">
        <v>63</v>
      </c>
      <c r="G1606" s="119">
        <v>9</v>
      </c>
      <c r="H1606" s="120" t="s">
        <v>449</v>
      </c>
    </row>
    <row r="1607" spans="1:8" ht="19.899999999999999" customHeight="1">
      <c r="A1607" s="121">
        <v>46045</v>
      </c>
      <c r="B1607" s="112" t="s">
        <v>26</v>
      </c>
      <c r="C1607" s="113" t="s">
        <v>348</v>
      </c>
      <c r="D1607" s="112" t="s">
        <v>341</v>
      </c>
      <c r="E1607" s="122">
        <v>1.993055555555556</v>
      </c>
      <c r="F1607" s="112" t="s">
        <v>31</v>
      </c>
      <c r="G1607" s="114">
        <v>1</v>
      </c>
      <c r="H1607" s="115" t="s">
        <v>159</v>
      </c>
    </row>
    <row r="1608" spans="1:8" ht="19.899999999999999" customHeight="1">
      <c r="A1608" s="121">
        <v>46045</v>
      </c>
      <c r="B1608" s="112" t="s">
        <v>38</v>
      </c>
      <c r="C1608" s="113" t="s">
        <v>342</v>
      </c>
      <c r="D1608" s="112" t="s">
        <v>341</v>
      </c>
      <c r="E1608" s="122">
        <v>1.489583333333333</v>
      </c>
      <c r="F1608" s="112" t="s">
        <v>43</v>
      </c>
      <c r="G1608" s="114">
        <v>13</v>
      </c>
      <c r="H1608" s="115" t="s">
        <v>138</v>
      </c>
    </row>
    <row r="1609" spans="1:8" ht="19.899999999999999" customHeight="1">
      <c r="A1609" s="121">
        <v>46045</v>
      </c>
      <c r="B1609" s="112" t="s">
        <v>68</v>
      </c>
      <c r="C1609" s="113" t="s">
        <v>405</v>
      </c>
      <c r="D1609" s="112" t="s">
        <v>341</v>
      </c>
      <c r="E1609" s="122">
        <v>1.836805555555556</v>
      </c>
      <c r="F1609" s="112" t="s">
        <v>70</v>
      </c>
      <c r="G1609" s="114">
        <v>9</v>
      </c>
      <c r="H1609" s="115" t="s">
        <v>406</v>
      </c>
    </row>
    <row r="1610" spans="1:8" ht="19.899999999999999" customHeight="1">
      <c r="A1610" s="121">
        <v>46045</v>
      </c>
      <c r="B1610" s="112" t="s">
        <v>68</v>
      </c>
      <c r="C1610" s="113" t="s">
        <v>407</v>
      </c>
      <c r="D1610" s="112" t="s">
        <v>341</v>
      </c>
      <c r="E1610" s="122">
        <v>1.3125</v>
      </c>
      <c r="F1610" s="112" t="s">
        <v>70</v>
      </c>
      <c r="G1610" s="114">
        <v>2</v>
      </c>
      <c r="H1610" s="115" t="s">
        <v>406</v>
      </c>
    </row>
    <row r="1611" spans="1:8" ht="19.899999999999999" customHeight="1">
      <c r="A1611" s="121">
        <v>46045</v>
      </c>
      <c r="B1611" s="112" t="s">
        <v>68</v>
      </c>
      <c r="C1611" s="113" t="s">
        <v>408</v>
      </c>
      <c r="D1611" s="112" t="s">
        <v>341</v>
      </c>
      <c r="E1611" s="122">
        <v>1.9722222222222221</v>
      </c>
      <c r="F1611" s="112" t="s">
        <v>70</v>
      </c>
      <c r="G1611" s="114">
        <v>9</v>
      </c>
      <c r="H1611" s="115" t="s">
        <v>406</v>
      </c>
    </row>
    <row r="1612" spans="1:8" ht="19.899999999999999" customHeight="1">
      <c r="A1612" s="121">
        <v>46045</v>
      </c>
      <c r="B1612" s="112" t="s">
        <v>68</v>
      </c>
      <c r="C1612" s="113" t="s">
        <v>411</v>
      </c>
      <c r="D1612" s="112" t="s">
        <v>341</v>
      </c>
      <c r="E1612" s="122">
        <v>1.7847222222222221</v>
      </c>
      <c r="F1612" s="112" t="s">
        <v>70</v>
      </c>
      <c r="G1612" s="114">
        <v>9</v>
      </c>
      <c r="H1612" s="115" t="s">
        <v>406</v>
      </c>
    </row>
    <row r="1613" spans="1:8" ht="19.899999999999999" customHeight="1">
      <c r="A1613" s="121">
        <v>46045</v>
      </c>
      <c r="B1613" s="112" t="s">
        <v>38</v>
      </c>
      <c r="C1613" s="113" t="s">
        <v>346</v>
      </c>
      <c r="D1613" s="112" t="s">
        <v>341</v>
      </c>
      <c r="E1613" s="122">
        <v>1.399305555555556</v>
      </c>
      <c r="F1613" s="112" t="s">
        <v>43</v>
      </c>
      <c r="G1613" s="114">
        <v>20</v>
      </c>
      <c r="H1613" s="115" t="s">
        <v>123</v>
      </c>
    </row>
    <row r="1614" spans="1:8" ht="19.899999999999999" customHeight="1">
      <c r="A1614" s="121">
        <v>46045</v>
      </c>
      <c r="B1614" s="112" t="s">
        <v>38</v>
      </c>
      <c r="C1614" s="113" t="s">
        <v>344</v>
      </c>
      <c r="D1614" s="112" t="s">
        <v>341</v>
      </c>
      <c r="E1614" s="122">
        <v>1.8888888888888891</v>
      </c>
      <c r="F1614" s="112" t="s">
        <v>43</v>
      </c>
      <c r="G1614" s="114">
        <v>17</v>
      </c>
      <c r="H1614" s="115" t="s">
        <v>123</v>
      </c>
    </row>
    <row r="1615" spans="1:8" ht="19.899999999999999" customHeight="1">
      <c r="A1615" s="121">
        <v>46045</v>
      </c>
      <c r="B1615" s="112" t="s">
        <v>38</v>
      </c>
      <c r="C1615" s="113" t="s">
        <v>345</v>
      </c>
      <c r="D1615" s="112" t="s">
        <v>341</v>
      </c>
      <c r="E1615" s="122">
        <v>1.989583333333333</v>
      </c>
      <c r="F1615" s="112" t="s">
        <v>43</v>
      </c>
      <c r="G1615" s="114">
        <v>18</v>
      </c>
      <c r="H1615" s="115" t="s">
        <v>123</v>
      </c>
    </row>
    <row r="1616" spans="1:8" ht="19.899999999999999" customHeight="1">
      <c r="A1616" s="121">
        <v>46045</v>
      </c>
      <c r="B1616" s="112" t="s">
        <v>26</v>
      </c>
      <c r="C1616" s="113" t="s">
        <v>351</v>
      </c>
      <c r="D1616" s="112" t="s">
        <v>341</v>
      </c>
      <c r="E1616" s="122">
        <v>1.836805555555556</v>
      </c>
      <c r="F1616" s="112" t="s">
        <v>31</v>
      </c>
      <c r="G1616" s="114">
        <v>3</v>
      </c>
      <c r="H1616" s="115" t="s">
        <v>123</v>
      </c>
    </row>
    <row r="1617" spans="1:8" ht="19.899999999999999" customHeight="1">
      <c r="A1617" s="121">
        <v>46045</v>
      </c>
      <c r="B1617" s="112" t="s">
        <v>26</v>
      </c>
      <c r="C1617" s="113" t="s">
        <v>353</v>
      </c>
      <c r="D1617" s="112" t="s">
        <v>341</v>
      </c>
      <c r="E1617" s="122">
        <v>1.8888888888888891</v>
      </c>
      <c r="F1617" s="112" t="s">
        <v>31</v>
      </c>
      <c r="G1617" s="114">
        <v>5</v>
      </c>
      <c r="H1617" s="115" t="s">
        <v>123</v>
      </c>
    </row>
    <row r="1618" spans="1:8" ht="19.899999999999999" customHeight="1">
      <c r="A1618" s="121">
        <v>46045</v>
      </c>
      <c r="B1618" s="112" t="s">
        <v>26</v>
      </c>
      <c r="C1618" s="113" t="s">
        <v>348</v>
      </c>
      <c r="D1618" s="112" t="s">
        <v>341</v>
      </c>
      <c r="E1618" s="122">
        <v>1.993055555555556</v>
      </c>
      <c r="F1618" s="112" t="s">
        <v>34</v>
      </c>
      <c r="G1618" s="114">
        <v>1</v>
      </c>
      <c r="H1618" s="115" t="s">
        <v>355</v>
      </c>
    </row>
    <row r="1619" spans="1:8" ht="19.899999999999999" customHeight="1">
      <c r="A1619" s="121">
        <v>46045</v>
      </c>
      <c r="B1619" s="112" t="s">
        <v>26</v>
      </c>
      <c r="C1619" s="113" t="s">
        <v>352</v>
      </c>
      <c r="D1619" s="112" t="s">
        <v>341</v>
      </c>
      <c r="E1619" s="122">
        <v>1.944444444444444</v>
      </c>
      <c r="F1619" s="112" t="s">
        <v>31</v>
      </c>
      <c r="G1619" s="114">
        <v>4</v>
      </c>
      <c r="H1619" s="115" t="s">
        <v>355</v>
      </c>
    </row>
    <row r="1620" spans="1:8" ht="19.899999999999999" customHeight="1">
      <c r="A1620" s="121">
        <v>46045</v>
      </c>
      <c r="B1620" s="112" t="s">
        <v>26</v>
      </c>
      <c r="C1620" s="113" t="s">
        <v>356</v>
      </c>
      <c r="D1620" s="112" t="s">
        <v>341</v>
      </c>
      <c r="E1620" s="122">
        <v>1.4861111111111109</v>
      </c>
      <c r="F1620" s="112" t="s">
        <v>31</v>
      </c>
      <c r="G1620" s="114">
        <v>7</v>
      </c>
      <c r="H1620" s="115" t="s">
        <v>355</v>
      </c>
    </row>
    <row r="1621" spans="1:8" ht="19.899999999999999" customHeight="1">
      <c r="A1621" s="121">
        <v>46045</v>
      </c>
      <c r="B1621" s="112" t="s">
        <v>26</v>
      </c>
      <c r="C1621" s="113" t="s">
        <v>357</v>
      </c>
      <c r="D1621" s="112" t="s">
        <v>341</v>
      </c>
      <c r="E1621" s="122">
        <v>1.5590277777777779</v>
      </c>
      <c r="F1621" s="112" t="s">
        <v>31</v>
      </c>
      <c r="G1621" s="114">
        <v>4</v>
      </c>
      <c r="H1621" s="115" t="s">
        <v>355</v>
      </c>
    </row>
    <row r="1622" spans="1:8" ht="19.899999999999999" customHeight="1">
      <c r="A1622" s="121">
        <v>46045</v>
      </c>
      <c r="B1622" s="112" t="s">
        <v>359</v>
      </c>
      <c r="C1622" s="113" t="s">
        <v>422</v>
      </c>
      <c r="D1622" s="112" t="s">
        <v>341</v>
      </c>
      <c r="E1622" s="122">
        <v>1.8090277777777779</v>
      </c>
      <c r="F1622" s="112" t="s">
        <v>46</v>
      </c>
      <c r="G1622" s="114">
        <v>9</v>
      </c>
      <c r="H1622" s="115" t="s">
        <v>535</v>
      </c>
    </row>
    <row r="1623" spans="1:8" ht="19.899999999999999" customHeight="1">
      <c r="A1623" s="121">
        <v>46045</v>
      </c>
      <c r="B1623" s="112" t="s">
        <v>359</v>
      </c>
      <c r="C1623" s="113" t="s">
        <v>360</v>
      </c>
      <c r="D1623" s="112" t="s">
        <v>341</v>
      </c>
      <c r="E1623" s="122">
        <v>1.225694444444444</v>
      </c>
      <c r="F1623" s="112" t="s">
        <v>46</v>
      </c>
      <c r="G1623" s="114">
        <v>9</v>
      </c>
      <c r="H1623" s="115" t="s">
        <v>535</v>
      </c>
    </row>
    <row r="1624" spans="1:8" ht="19.899999999999999" customHeight="1">
      <c r="A1624" s="121">
        <v>46045</v>
      </c>
      <c r="B1624" s="112" t="s">
        <v>26</v>
      </c>
      <c r="C1624" s="113" t="s">
        <v>351</v>
      </c>
      <c r="D1624" s="112" t="s">
        <v>341</v>
      </c>
      <c r="E1624" s="122">
        <v>1.836805555555556</v>
      </c>
      <c r="F1624" s="112" t="s">
        <v>34</v>
      </c>
      <c r="G1624" s="114">
        <v>3</v>
      </c>
      <c r="H1624" s="115" t="s">
        <v>118</v>
      </c>
    </row>
    <row r="1625" spans="1:8" ht="19.899999999999999" customHeight="1">
      <c r="A1625" s="121">
        <v>46045</v>
      </c>
      <c r="B1625" s="112" t="s">
        <v>26</v>
      </c>
      <c r="C1625" s="113" t="s">
        <v>353</v>
      </c>
      <c r="D1625" s="112" t="s">
        <v>341</v>
      </c>
      <c r="E1625" s="122">
        <v>1.8888888888888891</v>
      </c>
      <c r="F1625" s="112" t="s">
        <v>34</v>
      </c>
      <c r="G1625" s="114">
        <v>5</v>
      </c>
      <c r="H1625" s="115" t="s">
        <v>118</v>
      </c>
    </row>
    <row r="1626" spans="1:8" ht="19.899999999999999" customHeight="1">
      <c r="A1626" s="121">
        <v>46045</v>
      </c>
      <c r="B1626" s="112" t="s">
        <v>359</v>
      </c>
      <c r="C1626" s="113" t="s">
        <v>425</v>
      </c>
      <c r="D1626" s="112" t="s">
        <v>341</v>
      </c>
      <c r="E1626" s="122">
        <v>1.510416666666667</v>
      </c>
      <c r="F1626" s="112" t="s">
        <v>46</v>
      </c>
      <c r="G1626" s="114">
        <v>9</v>
      </c>
      <c r="H1626" s="115" t="s">
        <v>505</v>
      </c>
    </row>
    <row r="1627" spans="1:8" ht="19.899999999999999" customHeight="1">
      <c r="A1627" s="121">
        <v>46045</v>
      </c>
      <c r="B1627" s="112" t="s">
        <v>68</v>
      </c>
      <c r="C1627" s="113" t="s">
        <v>410</v>
      </c>
      <c r="D1627" s="112" t="s">
        <v>341</v>
      </c>
      <c r="E1627" s="122">
        <v>1.5972222222222221</v>
      </c>
      <c r="F1627" s="112" t="s">
        <v>70</v>
      </c>
      <c r="G1627" s="114">
        <v>9</v>
      </c>
      <c r="H1627" s="115" t="s">
        <v>466</v>
      </c>
    </row>
    <row r="1628" spans="1:8" ht="19.899999999999999" customHeight="1">
      <c r="A1628" s="121">
        <v>46045</v>
      </c>
      <c r="B1628" s="112" t="s">
        <v>26</v>
      </c>
      <c r="C1628" s="113" t="s">
        <v>352</v>
      </c>
      <c r="D1628" s="112" t="s">
        <v>341</v>
      </c>
      <c r="E1628" s="122">
        <v>1.944444444444444</v>
      </c>
      <c r="F1628" s="112" t="s">
        <v>34</v>
      </c>
      <c r="G1628" s="114">
        <v>4</v>
      </c>
      <c r="H1628" s="115" t="s">
        <v>358</v>
      </c>
    </row>
    <row r="1629" spans="1:8" ht="19.899999999999999" customHeight="1">
      <c r="A1629" s="121">
        <v>46045</v>
      </c>
      <c r="B1629" s="112" t="s">
        <v>26</v>
      </c>
      <c r="C1629" s="113" t="s">
        <v>356</v>
      </c>
      <c r="D1629" s="112" t="s">
        <v>341</v>
      </c>
      <c r="E1629" s="122">
        <v>1.4861111111111109</v>
      </c>
      <c r="F1629" s="112" t="s">
        <v>34</v>
      </c>
      <c r="G1629" s="114">
        <v>7</v>
      </c>
      <c r="H1629" s="115" t="s">
        <v>358</v>
      </c>
    </row>
    <row r="1630" spans="1:8" ht="19.899999999999999" customHeight="1">
      <c r="A1630" s="121">
        <v>46045</v>
      </c>
      <c r="B1630" s="112" t="s">
        <v>26</v>
      </c>
      <c r="C1630" s="113" t="s">
        <v>357</v>
      </c>
      <c r="D1630" s="112" t="s">
        <v>341</v>
      </c>
      <c r="E1630" s="122">
        <v>1.5590277777777779</v>
      </c>
      <c r="F1630" s="112" t="s">
        <v>34</v>
      </c>
      <c r="G1630" s="114">
        <v>4</v>
      </c>
      <c r="H1630" s="115" t="s">
        <v>358</v>
      </c>
    </row>
    <row r="1631" spans="1:8" ht="19.899999999999999" customHeight="1">
      <c r="A1631" s="121">
        <v>46045</v>
      </c>
      <c r="B1631" s="112" t="s">
        <v>38</v>
      </c>
      <c r="C1631" s="113" t="s">
        <v>346</v>
      </c>
      <c r="D1631" s="112" t="s">
        <v>341</v>
      </c>
      <c r="E1631" s="122">
        <v>1.399305555555556</v>
      </c>
      <c r="F1631" s="112" t="s">
        <v>46</v>
      </c>
      <c r="G1631" s="114">
        <v>20</v>
      </c>
      <c r="H1631" s="115" t="s">
        <v>47</v>
      </c>
    </row>
    <row r="1632" spans="1:8" ht="19.899999999999999" customHeight="1">
      <c r="A1632" s="121">
        <v>46045</v>
      </c>
      <c r="B1632" s="112" t="s">
        <v>38</v>
      </c>
      <c r="C1632" s="113" t="s">
        <v>342</v>
      </c>
      <c r="D1632" s="112" t="s">
        <v>341</v>
      </c>
      <c r="E1632" s="122">
        <v>1.489583333333333</v>
      </c>
      <c r="F1632" s="112" t="s">
        <v>46</v>
      </c>
      <c r="G1632" s="114">
        <v>13</v>
      </c>
      <c r="H1632" s="115" t="s">
        <v>47</v>
      </c>
    </row>
    <row r="1633" spans="1:8" ht="19.899999999999999" customHeight="1">
      <c r="A1633" s="121">
        <v>46045</v>
      </c>
      <c r="B1633" s="112" t="s">
        <v>38</v>
      </c>
      <c r="C1633" s="113" t="s">
        <v>344</v>
      </c>
      <c r="D1633" s="112" t="s">
        <v>341</v>
      </c>
      <c r="E1633" s="122">
        <v>1.8888888888888891</v>
      </c>
      <c r="F1633" s="112" t="s">
        <v>46</v>
      </c>
      <c r="G1633" s="114">
        <v>17</v>
      </c>
      <c r="H1633" s="115" t="s">
        <v>47</v>
      </c>
    </row>
    <row r="1634" spans="1:8" ht="19.899999999999999" customHeight="1">
      <c r="A1634" s="121">
        <v>46045</v>
      </c>
      <c r="B1634" s="112" t="s">
        <v>38</v>
      </c>
      <c r="C1634" s="113" t="s">
        <v>345</v>
      </c>
      <c r="D1634" s="112" t="s">
        <v>341</v>
      </c>
      <c r="E1634" s="122">
        <v>1.989583333333333</v>
      </c>
      <c r="F1634" s="112" t="s">
        <v>46</v>
      </c>
      <c r="G1634" s="114">
        <v>18</v>
      </c>
      <c r="H1634" s="115" t="s">
        <v>47</v>
      </c>
    </row>
    <row r="1635" spans="1:8" ht="19.899999999999999" customHeight="1">
      <c r="A1635" s="121">
        <v>46045</v>
      </c>
      <c r="B1635" s="112" t="s">
        <v>26</v>
      </c>
      <c r="C1635" s="113" t="s">
        <v>354</v>
      </c>
      <c r="D1635" s="112" t="s">
        <v>341</v>
      </c>
      <c r="E1635" s="122">
        <v>1.3472222222222221</v>
      </c>
      <c r="F1635" s="112" t="s">
        <v>28</v>
      </c>
      <c r="G1635" s="114">
        <v>9</v>
      </c>
      <c r="H1635" s="115" t="s">
        <v>456</v>
      </c>
    </row>
    <row r="1636" spans="1:8" ht="19.899999999999999" customHeight="1">
      <c r="A1636" s="121">
        <v>46045</v>
      </c>
      <c r="B1636" s="112" t="s">
        <v>26</v>
      </c>
      <c r="C1636" s="113" t="s">
        <v>350</v>
      </c>
      <c r="D1636" s="112" t="s">
        <v>341</v>
      </c>
      <c r="E1636" s="122">
        <v>1.7361111111111109</v>
      </c>
      <c r="F1636" s="112" t="s">
        <v>28</v>
      </c>
      <c r="G1636" s="114">
        <v>8</v>
      </c>
      <c r="H1636" s="115" t="s">
        <v>456</v>
      </c>
    </row>
    <row r="1637" spans="1:8" ht="19.899999999999999" customHeight="1">
      <c r="A1637" s="121">
        <v>46045</v>
      </c>
      <c r="B1637" s="112" t="s">
        <v>26</v>
      </c>
      <c r="C1637" s="113" t="s">
        <v>354</v>
      </c>
      <c r="D1637" s="112" t="s">
        <v>341</v>
      </c>
      <c r="E1637" s="122">
        <v>1.3472222222222221</v>
      </c>
      <c r="F1637" s="112" t="s">
        <v>31</v>
      </c>
      <c r="G1637" s="114">
        <v>9</v>
      </c>
      <c r="H1637" s="115" t="s">
        <v>106</v>
      </c>
    </row>
    <row r="1638" spans="1:8" ht="19.899999999999999" customHeight="1">
      <c r="A1638" s="121">
        <v>46045</v>
      </c>
      <c r="B1638" s="112" t="s">
        <v>26</v>
      </c>
      <c r="C1638" s="113" t="s">
        <v>350</v>
      </c>
      <c r="D1638" s="112" t="s">
        <v>341</v>
      </c>
      <c r="E1638" s="122">
        <v>1.7361111111111109</v>
      </c>
      <c r="F1638" s="112" t="s">
        <v>31</v>
      </c>
      <c r="G1638" s="114">
        <v>8</v>
      </c>
      <c r="H1638" s="115" t="s">
        <v>106</v>
      </c>
    </row>
    <row r="1639" spans="1:8" ht="19.899999999999999" customHeight="1">
      <c r="A1639" s="121">
        <v>46045</v>
      </c>
      <c r="B1639" s="112" t="s">
        <v>48</v>
      </c>
      <c r="C1639" s="113" t="s">
        <v>396</v>
      </c>
      <c r="D1639" s="112" t="s">
        <v>341</v>
      </c>
      <c r="E1639" s="122">
        <v>1.489583333333333</v>
      </c>
      <c r="F1639" s="112" t="s">
        <v>53</v>
      </c>
      <c r="G1639" s="114">
        <v>4</v>
      </c>
      <c r="H1639" s="115" t="s">
        <v>399</v>
      </c>
    </row>
    <row r="1640" spans="1:8" ht="19.899999999999999" customHeight="1">
      <c r="A1640" s="121">
        <v>46045</v>
      </c>
      <c r="B1640" s="112" t="s">
        <v>48</v>
      </c>
      <c r="C1640" s="113" t="s">
        <v>394</v>
      </c>
      <c r="D1640" s="112" t="s">
        <v>341</v>
      </c>
      <c r="E1640" s="122">
        <v>1.989583333333333</v>
      </c>
      <c r="F1640" s="112" t="s">
        <v>53</v>
      </c>
      <c r="G1640" s="114">
        <v>4</v>
      </c>
      <c r="H1640" s="115" t="s">
        <v>464</v>
      </c>
    </row>
    <row r="1641" spans="1:8" ht="19.899999999999999" customHeight="1">
      <c r="A1641" s="121">
        <v>46045</v>
      </c>
      <c r="B1641" s="112" t="s">
        <v>48</v>
      </c>
      <c r="C1641" s="113" t="s">
        <v>398</v>
      </c>
      <c r="D1641" s="112" t="s">
        <v>341</v>
      </c>
      <c r="E1641" s="122">
        <v>1.399305555555556</v>
      </c>
      <c r="F1641" s="112" t="s">
        <v>53</v>
      </c>
      <c r="G1641" s="114">
        <v>4</v>
      </c>
      <c r="H1641" s="115" t="s">
        <v>464</v>
      </c>
    </row>
    <row r="1642" spans="1:8" ht="19.899999999999999" customHeight="1">
      <c r="A1642" s="121">
        <v>46045</v>
      </c>
      <c r="B1642" s="112" t="s">
        <v>48</v>
      </c>
      <c r="C1642" s="113" t="s">
        <v>397</v>
      </c>
      <c r="D1642" s="112" t="s">
        <v>341</v>
      </c>
      <c r="E1642" s="122">
        <v>1.8888888888888891</v>
      </c>
      <c r="F1642" s="112" t="s">
        <v>53</v>
      </c>
      <c r="G1642" s="114">
        <v>4</v>
      </c>
      <c r="H1642" s="115" t="s">
        <v>464</v>
      </c>
    </row>
    <row r="1643" spans="1:8" ht="19.899999999999999" customHeight="1">
      <c r="A1643" s="121">
        <v>46045</v>
      </c>
      <c r="B1643" s="112" t="s">
        <v>26</v>
      </c>
      <c r="C1643" s="113" t="s">
        <v>354</v>
      </c>
      <c r="D1643" s="112" t="s">
        <v>341</v>
      </c>
      <c r="E1643" s="122">
        <v>1.3472222222222221</v>
      </c>
      <c r="F1643" s="112" t="s">
        <v>34</v>
      </c>
      <c r="G1643" s="114">
        <v>9</v>
      </c>
      <c r="H1643" s="115" t="s">
        <v>478</v>
      </c>
    </row>
    <row r="1644" spans="1:8" ht="19.899999999999999" customHeight="1">
      <c r="A1644" s="121">
        <v>46045</v>
      </c>
      <c r="B1644" s="112" t="s">
        <v>26</v>
      </c>
      <c r="C1644" s="113" t="s">
        <v>350</v>
      </c>
      <c r="D1644" s="112" t="s">
        <v>341</v>
      </c>
      <c r="E1644" s="122">
        <v>1.7361111111111109</v>
      </c>
      <c r="F1644" s="112" t="s">
        <v>34</v>
      </c>
      <c r="G1644" s="114">
        <v>8</v>
      </c>
      <c r="H1644" s="115" t="s">
        <v>478</v>
      </c>
    </row>
    <row r="1645" spans="1:8" ht="19.899999999999999" customHeight="1">
      <c r="A1645" s="121">
        <v>46045</v>
      </c>
      <c r="B1645" s="112" t="s">
        <v>48</v>
      </c>
      <c r="C1645" s="113" t="s">
        <v>386</v>
      </c>
      <c r="D1645" s="112" t="s">
        <v>341</v>
      </c>
      <c r="E1645" s="122">
        <v>1.8298611111111109</v>
      </c>
      <c r="F1645" s="112" t="s">
        <v>53</v>
      </c>
      <c r="G1645" s="114">
        <v>9</v>
      </c>
      <c r="H1645" s="115" t="s">
        <v>490</v>
      </c>
    </row>
    <row r="1646" spans="1:8" ht="19.899999999999999" customHeight="1">
      <c r="A1646" s="121">
        <v>46045</v>
      </c>
      <c r="B1646" s="112" t="s">
        <v>48</v>
      </c>
      <c r="C1646" s="113" t="s">
        <v>388</v>
      </c>
      <c r="D1646" s="112" t="s">
        <v>341</v>
      </c>
      <c r="E1646" s="122">
        <v>1.7222222222222221</v>
      </c>
      <c r="F1646" s="112" t="s">
        <v>53</v>
      </c>
      <c r="G1646" s="114">
        <v>9</v>
      </c>
      <c r="H1646" s="115" t="s">
        <v>490</v>
      </c>
    </row>
    <row r="1647" spans="1:8" ht="19.899999999999999" customHeight="1">
      <c r="A1647" s="121">
        <v>46045</v>
      </c>
      <c r="B1647" s="112" t="s">
        <v>48</v>
      </c>
      <c r="C1647" s="113" t="s">
        <v>382</v>
      </c>
      <c r="D1647" s="112" t="s">
        <v>341</v>
      </c>
      <c r="E1647" s="122">
        <v>1.118055555555556</v>
      </c>
      <c r="F1647" s="112" t="s">
        <v>53</v>
      </c>
      <c r="G1647" s="114">
        <v>9</v>
      </c>
      <c r="H1647" s="115" t="s">
        <v>490</v>
      </c>
    </row>
    <row r="1648" spans="1:8" ht="19.899999999999999" customHeight="1">
      <c r="A1648" s="121">
        <v>46045</v>
      </c>
      <c r="B1648" s="112" t="s">
        <v>48</v>
      </c>
      <c r="C1648" s="113" t="s">
        <v>389</v>
      </c>
      <c r="D1648" s="112" t="s">
        <v>341</v>
      </c>
      <c r="E1648" s="122">
        <v>1.7013888888888891</v>
      </c>
      <c r="F1648" s="112" t="s">
        <v>53</v>
      </c>
      <c r="G1648" s="114">
        <v>9</v>
      </c>
      <c r="H1648" s="115" t="s">
        <v>490</v>
      </c>
    </row>
    <row r="1649" spans="1:8" ht="19.899999999999999" customHeight="1">
      <c r="A1649" s="121">
        <v>46045</v>
      </c>
      <c r="B1649" s="112" t="s">
        <v>48</v>
      </c>
      <c r="C1649" s="113" t="s">
        <v>400</v>
      </c>
      <c r="D1649" s="112" t="s">
        <v>341</v>
      </c>
      <c r="E1649" s="122">
        <v>1.2534722222222221</v>
      </c>
      <c r="F1649" s="112" t="s">
        <v>53</v>
      </c>
      <c r="G1649" s="114">
        <v>9</v>
      </c>
      <c r="H1649" s="115" t="s">
        <v>490</v>
      </c>
    </row>
    <row r="1650" spans="1:8" ht="19.899999999999999" customHeight="1">
      <c r="A1650" s="121">
        <v>46045</v>
      </c>
      <c r="B1650" s="112" t="s">
        <v>48</v>
      </c>
      <c r="C1650" s="113" t="s">
        <v>390</v>
      </c>
      <c r="D1650" s="112" t="s">
        <v>341</v>
      </c>
      <c r="E1650" s="122">
        <v>1.041666666666667</v>
      </c>
      <c r="F1650" s="112" t="s">
        <v>53</v>
      </c>
      <c r="G1650" s="114">
        <v>9</v>
      </c>
      <c r="H1650" s="115" t="s">
        <v>490</v>
      </c>
    </row>
    <row r="1651" spans="1:8" ht="19.899999999999999" customHeight="1">
      <c r="A1651" s="121">
        <v>46045</v>
      </c>
      <c r="B1651" s="112" t="s">
        <v>48</v>
      </c>
      <c r="C1651" s="113" t="s">
        <v>385</v>
      </c>
      <c r="D1651" s="112" t="s">
        <v>341</v>
      </c>
      <c r="E1651" s="122">
        <v>1.9409722222222221</v>
      </c>
      <c r="F1651" s="112" t="s">
        <v>53</v>
      </c>
      <c r="G1651" s="114">
        <v>9</v>
      </c>
      <c r="H1651" s="115" t="s">
        <v>490</v>
      </c>
    </row>
    <row r="1652" spans="1:8" ht="19.899999999999999" customHeight="1">
      <c r="A1652" s="121">
        <v>46045</v>
      </c>
      <c r="B1652" s="112" t="s">
        <v>415</v>
      </c>
      <c r="C1652" s="113" t="s">
        <v>416</v>
      </c>
      <c r="D1652" s="112" t="s">
        <v>341</v>
      </c>
      <c r="E1652" s="122">
        <v>1.0972222222222221</v>
      </c>
      <c r="F1652" s="112" t="s">
        <v>63</v>
      </c>
      <c r="G1652" s="114">
        <v>9</v>
      </c>
      <c r="H1652" s="115" t="s">
        <v>417</v>
      </c>
    </row>
    <row r="1653" spans="1:8" ht="19.899999999999999" customHeight="1">
      <c r="A1653" s="121">
        <v>46045</v>
      </c>
      <c r="B1653" s="112" t="s">
        <v>68</v>
      </c>
      <c r="C1653" s="113" t="s">
        <v>437</v>
      </c>
      <c r="D1653" s="112" t="s">
        <v>341</v>
      </c>
      <c r="E1653" s="122">
        <v>1.104166666666667</v>
      </c>
      <c r="F1653" s="112" t="s">
        <v>70</v>
      </c>
      <c r="G1653" s="114">
        <v>9</v>
      </c>
      <c r="H1653" s="115" t="s">
        <v>524</v>
      </c>
    </row>
    <row r="1654" spans="1:8" ht="19.899999999999999" customHeight="1">
      <c r="A1654" s="121">
        <v>46045</v>
      </c>
      <c r="B1654" s="112" t="s">
        <v>68</v>
      </c>
      <c r="C1654" s="113" t="s">
        <v>413</v>
      </c>
      <c r="D1654" s="112" t="s">
        <v>341</v>
      </c>
      <c r="E1654" s="122">
        <v>1.0486111111111109</v>
      </c>
      <c r="F1654" s="112" t="s">
        <v>70</v>
      </c>
      <c r="G1654" s="114">
        <v>9</v>
      </c>
      <c r="H1654" s="115" t="s">
        <v>524</v>
      </c>
    </row>
    <row r="1655" spans="1:8" ht="19.899999999999999" customHeight="1">
      <c r="A1655" s="123">
        <v>46045</v>
      </c>
      <c r="B1655" s="124" t="s">
        <v>48</v>
      </c>
      <c r="C1655" s="125" t="s">
        <v>391</v>
      </c>
      <c r="D1655" s="124" t="s">
        <v>341</v>
      </c>
      <c r="E1655" s="126">
        <v>1.489583333333333</v>
      </c>
      <c r="F1655" s="124" t="s">
        <v>53</v>
      </c>
      <c r="G1655" s="127">
        <v>9</v>
      </c>
      <c r="H1655" s="128" t="s">
        <v>540</v>
      </c>
    </row>
    <row r="1656" spans="1:8" ht="19.899999999999999" customHeight="1">
      <c r="A1656" s="121">
        <v>46046</v>
      </c>
      <c r="B1656" s="112" t="s">
        <v>38</v>
      </c>
      <c r="C1656" s="113" t="s">
        <v>346</v>
      </c>
      <c r="D1656" s="112" t="s">
        <v>341</v>
      </c>
      <c r="E1656" s="122">
        <v>1.399305555555556</v>
      </c>
      <c r="F1656" s="112" t="s">
        <v>40</v>
      </c>
      <c r="G1656" s="114">
        <v>11</v>
      </c>
      <c r="H1656" s="115" t="s">
        <v>347</v>
      </c>
    </row>
    <row r="1657" spans="1:8" ht="19.899999999999999" customHeight="1">
      <c r="A1657" s="121">
        <v>46046</v>
      </c>
      <c r="B1657" s="112" t="s">
        <v>38</v>
      </c>
      <c r="C1657" s="113" t="s">
        <v>344</v>
      </c>
      <c r="D1657" s="112" t="s">
        <v>341</v>
      </c>
      <c r="E1657" s="122">
        <v>1.8888888888888891</v>
      </c>
      <c r="F1657" s="112" t="s">
        <v>40</v>
      </c>
      <c r="G1657" s="114">
        <v>16</v>
      </c>
      <c r="H1657" s="115" t="s">
        <v>347</v>
      </c>
    </row>
    <row r="1658" spans="1:8" ht="19.899999999999999" customHeight="1">
      <c r="A1658" s="121">
        <v>46046</v>
      </c>
      <c r="B1658" s="112" t="s">
        <v>38</v>
      </c>
      <c r="C1658" s="113" t="s">
        <v>345</v>
      </c>
      <c r="D1658" s="112" t="s">
        <v>341</v>
      </c>
      <c r="E1658" s="122">
        <v>1.989583333333333</v>
      </c>
      <c r="F1658" s="112" t="s">
        <v>40</v>
      </c>
      <c r="G1658" s="114">
        <v>18</v>
      </c>
      <c r="H1658" s="115" t="s">
        <v>347</v>
      </c>
    </row>
    <row r="1659" spans="1:8" ht="19.899999999999999" customHeight="1">
      <c r="A1659" s="121">
        <v>46046</v>
      </c>
      <c r="B1659" s="112" t="s">
        <v>359</v>
      </c>
      <c r="C1659" s="113" t="s">
        <v>360</v>
      </c>
      <c r="D1659" s="112" t="s">
        <v>341</v>
      </c>
      <c r="E1659" s="122">
        <v>1.1701388888888891</v>
      </c>
      <c r="F1659" s="112" t="s">
        <v>361</v>
      </c>
      <c r="G1659" s="114">
        <v>9</v>
      </c>
      <c r="H1659" s="115" t="s">
        <v>534</v>
      </c>
    </row>
    <row r="1660" spans="1:8" ht="19.899999999999999" customHeight="1">
      <c r="A1660" s="121">
        <v>46046</v>
      </c>
      <c r="B1660" s="112" t="s">
        <v>359</v>
      </c>
      <c r="C1660" s="113" t="s">
        <v>445</v>
      </c>
      <c r="D1660" s="112" t="s">
        <v>341</v>
      </c>
      <c r="E1660" s="122">
        <v>1.055555555555556</v>
      </c>
      <c r="F1660" s="112" t="s">
        <v>361</v>
      </c>
      <c r="G1660" s="114">
        <v>9</v>
      </c>
      <c r="H1660" s="115" t="s">
        <v>534</v>
      </c>
    </row>
    <row r="1661" spans="1:8" ht="19.899999999999999" customHeight="1">
      <c r="A1661" s="121">
        <v>46046</v>
      </c>
      <c r="B1661" s="112" t="s">
        <v>38</v>
      </c>
      <c r="C1661" s="113" t="s">
        <v>342</v>
      </c>
      <c r="D1661" s="112" t="s">
        <v>341</v>
      </c>
      <c r="E1661" s="122">
        <v>1.489583333333333</v>
      </c>
      <c r="F1661" s="112" t="s">
        <v>40</v>
      </c>
      <c r="G1661" s="114">
        <v>17</v>
      </c>
      <c r="H1661" s="115" t="s">
        <v>121</v>
      </c>
    </row>
    <row r="1662" spans="1:8" ht="19.899999999999999" customHeight="1">
      <c r="A1662" s="121">
        <v>46046</v>
      </c>
      <c r="B1662" s="112" t="s">
        <v>26</v>
      </c>
      <c r="C1662" s="113" t="s">
        <v>348</v>
      </c>
      <c r="D1662" s="112" t="s">
        <v>341</v>
      </c>
      <c r="E1662" s="122">
        <v>1.993055555555556</v>
      </c>
      <c r="F1662" s="112" t="s">
        <v>28</v>
      </c>
      <c r="G1662" s="114">
        <v>2</v>
      </c>
      <c r="H1662" s="115" t="s">
        <v>83</v>
      </c>
    </row>
    <row r="1663" spans="1:8" ht="19.899999999999999" customHeight="1">
      <c r="A1663" s="121">
        <v>46046</v>
      </c>
      <c r="B1663" s="112" t="s">
        <v>26</v>
      </c>
      <c r="C1663" s="113" t="s">
        <v>351</v>
      </c>
      <c r="D1663" s="112" t="s">
        <v>341</v>
      </c>
      <c r="E1663" s="122">
        <v>1.836805555555556</v>
      </c>
      <c r="F1663" s="112" t="s">
        <v>28</v>
      </c>
      <c r="G1663" s="114">
        <v>3</v>
      </c>
      <c r="H1663" s="115" t="s">
        <v>83</v>
      </c>
    </row>
    <row r="1664" spans="1:8" ht="19.899999999999999" customHeight="1">
      <c r="A1664" s="121">
        <v>46046</v>
      </c>
      <c r="B1664" s="112" t="s">
        <v>402</v>
      </c>
      <c r="C1664" s="113" t="s">
        <v>403</v>
      </c>
      <c r="D1664" s="112" t="s">
        <v>341</v>
      </c>
      <c r="E1664" s="122">
        <v>1.493055555555556</v>
      </c>
      <c r="F1664" s="112" t="s">
        <v>63</v>
      </c>
      <c r="G1664" s="114">
        <v>5</v>
      </c>
      <c r="H1664" s="115" t="s">
        <v>404</v>
      </c>
    </row>
    <row r="1665" spans="1:8" ht="19.899999999999999" customHeight="1">
      <c r="A1665" s="129">
        <v>46046</v>
      </c>
      <c r="B1665" s="117" t="s">
        <v>61</v>
      </c>
      <c r="C1665" s="118" t="s">
        <v>364</v>
      </c>
      <c r="D1665" s="117" t="s">
        <v>341</v>
      </c>
      <c r="E1665" s="130">
        <v>1.90625</v>
      </c>
      <c r="F1665" s="117" t="s">
        <v>63</v>
      </c>
      <c r="G1665" s="119">
        <v>4</v>
      </c>
      <c r="H1665" s="120" t="s">
        <v>79</v>
      </c>
    </row>
    <row r="1666" spans="1:8" ht="19.899999999999999" customHeight="1">
      <c r="A1666" s="129">
        <v>46046</v>
      </c>
      <c r="B1666" s="117" t="s">
        <v>61</v>
      </c>
      <c r="C1666" s="118" t="s">
        <v>371</v>
      </c>
      <c r="D1666" s="117" t="s">
        <v>341</v>
      </c>
      <c r="E1666" s="130">
        <v>1.0486111111111109</v>
      </c>
      <c r="F1666" s="117" t="s">
        <v>63</v>
      </c>
      <c r="G1666" s="119">
        <v>5</v>
      </c>
      <c r="H1666" s="120" t="s">
        <v>79</v>
      </c>
    </row>
    <row r="1667" spans="1:8" ht="19.899999999999999" customHeight="1">
      <c r="A1667" s="121">
        <v>46046</v>
      </c>
      <c r="B1667" s="112" t="s">
        <v>26</v>
      </c>
      <c r="C1667" s="113" t="s">
        <v>354</v>
      </c>
      <c r="D1667" s="112" t="s">
        <v>341</v>
      </c>
      <c r="E1667" s="122">
        <v>1.3472222222222221</v>
      </c>
      <c r="F1667" s="112" t="s">
        <v>28</v>
      </c>
      <c r="G1667" s="114">
        <v>2</v>
      </c>
      <c r="H1667" s="115" t="s">
        <v>79</v>
      </c>
    </row>
    <row r="1668" spans="1:8" ht="19.899999999999999" customHeight="1">
      <c r="A1668" s="121">
        <v>46046</v>
      </c>
      <c r="B1668" s="112" t="s">
        <v>26</v>
      </c>
      <c r="C1668" s="113" t="s">
        <v>350</v>
      </c>
      <c r="D1668" s="112" t="s">
        <v>341</v>
      </c>
      <c r="E1668" s="122">
        <v>1.7361111111111109</v>
      </c>
      <c r="F1668" s="112" t="s">
        <v>28</v>
      </c>
      <c r="G1668" s="114">
        <v>4</v>
      </c>
      <c r="H1668" s="115" t="s">
        <v>79</v>
      </c>
    </row>
    <row r="1669" spans="1:8" ht="19.899999999999999" customHeight="1">
      <c r="A1669" s="121">
        <v>46046</v>
      </c>
      <c r="B1669" s="112" t="s">
        <v>26</v>
      </c>
      <c r="C1669" s="113" t="s">
        <v>356</v>
      </c>
      <c r="D1669" s="112" t="s">
        <v>341</v>
      </c>
      <c r="E1669" s="122">
        <v>1.4861111111111109</v>
      </c>
      <c r="F1669" s="112" t="s">
        <v>28</v>
      </c>
      <c r="G1669" s="114">
        <v>3</v>
      </c>
      <c r="H1669" s="115" t="s">
        <v>79</v>
      </c>
    </row>
    <row r="1670" spans="1:8" ht="19.899999999999999" customHeight="1">
      <c r="A1670" s="121">
        <v>46046</v>
      </c>
      <c r="B1670" s="112" t="s">
        <v>26</v>
      </c>
      <c r="C1670" s="113" t="s">
        <v>353</v>
      </c>
      <c r="D1670" s="112" t="s">
        <v>341</v>
      </c>
      <c r="E1670" s="122">
        <v>1.8888888888888891</v>
      </c>
      <c r="F1670" s="112" t="s">
        <v>28</v>
      </c>
      <c r="G1670" s="114">
        <v>4</v>
      </c>
      <c r="H1670" s="115" t="s">
        <v>79</v>
      </c>
    </row>
    <row r="1671" spans="1:8" ht="19.899999999999999" customHeight="1">
      <c r="A1671" s="121">
        <v>46046</v>
      </c>
      <c r="B1671" s="112" t="s">
        <v>26</v>
      </c>
      <c r="C1671" s="113" t="s">
        <v>352</v>
      </c>
      <c r="D1671" s="112" t="s">
        <v>341</v>
      </c>
      <c r="E1671" s="122">
        <v>1.944444444444444</v>
      </c>
      <c r="F1671" s="112" t="s">
        <v>28</v>
      </c>
      <c r="G1671" s="114">
        <v>5</v>
      </c>
      <c r="H1671" s="115" t="s">
        <v>45</v>
      </c>
    </row>
    <row r="1672" spans="1:8" ht="19.899999999999999" customHeight="1">
      <c r="A1672" s="129">
        <v>46046</v>
      </c>
      <c r="B1672" s="117" t="s">
        <v>61</v>
      </c>
      <c r="C1672" s="118" t="s">
        <v>375</v>
      </c>
      <c r="D1672" s="117" t="s">
        <v>341</v>
      </c>
      <c r="E1672" s="130">
        <v>1.15625</v>
      </c>
      <c r="F1672" s="117" t="s">
        <v>63</v>
      </c>
      <c r="G1672" s="119">
        <v>9</v>
      </c>
      <c r="H1672" s="120" t="s">
        <v>449</v>
      </c>
    </row>
    <row r="1673" spans="1:8" ht="19.899999999999999" customHeight="1">
      <c r="A1673" s="129">
        <v>46046</v>
      </c>
      <c r="B1673" s="117" t="s">
        <v>61</v>
      </c>
      <c r="C1673" s="118" t="s">
        <v>377</v>
      </c>
      <c r="D1673" s="117" t="s">
        <v>341</v>
      </c>
      <c r="E1673" s="130">
        <v>1.5034722222222221</v>
      </c>
      <c r="F1673" s="117" t="s">
        <v>63</v>
      </c>
      <c r="G1673" s="119">
        <v>9</v>
      </c>
      <c r="H1673" s="120" t="s">
        <v>449</v>
      </c>
    </row>
    <row r="1674" spans="1:8" ht="19.899999999999999" customHeight="1">
      <c r="A1674" s="121">
        <v>46046</v>
      </c>
      <c r="B1674" s="112" t="s">
        <v>26</v>
      </c>
      <c r="C1674" s="113" t="s">
        <v>348</v>
      </c>
      <c r="D1674" s="112" t="s">
        <v>341</v>
      </c>
      <c r="E1674" s="122">
        <v>1.993055555555556</v>
      </c>
      <c r="F1674" s="112" t="s">
        <v>31</v>
      </c>
      <c r="G1674" s="114">
        <v>2</v>
      </c>
      <c r="H1674" s="115" t="s">
        <v>159</v>
      </c>
    </row>
    <row r="1675" spans="1:8" ht="19.899999999999999" customHeight="1">
      <c r="A1675" s="121">
        <v>46046</v>
      </c>
      <c r="B1675" s="112" t="s">
        <v>26</v>
      </c>
      <c r="C1675" s="113" t="s">
        <v>351</v>
      </c>
      <c r="D1675" s="112" t="s">
        <v>341</v>
      </c>
      <c r="E1675" s="122">
        <v>1.836805555555556</v>
      </c>
      <c r="F1675" s="112" t="s">
        <v>31</v>
      </c>
      <c r="G1675" s="114">
        <v>3</v>
      </c>
      <c r="H1675" s="115" t="s">
        <v>159</v>
      </c>
    </row>
    <row r="1676" spans="1:8" ht="19.899999999999999" customHeight="1">
      <c r="A1676" s="121">
        <v>46046</v>
      </c>
      <c r="B1676" s="112" t="s">
        <v>38</v>
      </c>
      <c r="C1676" s="113" t="s">
        <v>346</v>
      </c>
      <c r="D1676" s="112" t="s">
        <v>341</v>
      </c>
      <c r="E1676" s="122">
        <v>1.399305555555556</v>
      </c>
      <c r="F1676" s="112" t="s">
        <v>43</v>
      </c>
      <c r="G1676" s="114">
        <v>11</v>
      </c>
      <c r="H1676" s="115" t="s">
        <v>138</v>
      </c>
    </row>
    <row r="1677" spans="1:8" ht="19.899999999999999" customHeight="1">
      <c r="A1677" s="121">
        <v>46046</v>
      </c>
      <c r="B1677" s="112" t="s">
        <v>38</v>
      </c>
      <c r="C1677" s="113" t="s">
        <v>344</v>
      </c>
      <c r="D1677" s="112" t="s">
        <v>341</v>
      </c>
      <c r="E1677" s="122">
        <v>1.8888888888888891</v>
      </c>
      <c r="F1677" s="112" t="s">
        <v>43</v>
      </c>
      <c r="G1677" s="114">
        <v>16</v>
      </c>
      <c r="H1677" s="115" t="s">
        <v>138</v>
      </c>
    </row>
    <row r="1678" spans="1:8" ht="19.899999999999999" customHeight="1">
      <c r="A1678" s="121">
        <v>46046</v>
      </c>
      <c r="B1678" s="112" t="s">
        <v>38</v>
      </c>
      <c r="C1678" s="113" t="s">
        <v>345</v>
      </c>
      <c r="D1678" s="112" t="s">
        <v>341</v>
      </c>
      <c r="E1678" s="122">
        <v>1.989583333333333</v>
      </c>
      <c r="F1678" s="112" t="s">
        <v>43</v>
      </c>
      <c r="G1678" s="114">
        <v>18</v>
      </c>
      <c r="H1678" s="115" t="s">
        <v>138</v>
      </c>
    </row>
    <row r="1679" spans="1:8" ht="19.899999999999999" customHeight="1">
      <c r="A1679" s="121">
        <v>46046</v>
      </c>
      <c r="B1679" s="112" t="s">
        <v>38</v>
      </c>
      <c r="C1679" s="113" t="s">
        <v>342</v>
      </c>
      <c r="D1679" s="112" t="s">
        <v>341</v>
      </c>
      <c r="E1679" s="122">
        <v>1.489583333333333</v>
      </c>
      <c r="F1679" s="112" t="s">
        <v>43</v>
      </c>
      <c r="G1679" s="114">
        <v>17</v>
      </c>
      <c r="H1679" s="115" t="s">
        <v>123</v>
      </c>
    </row>
    <row r="1680" spans="1:8" ht="19.899999999999999" customHeight="1">
      <c r="A1680" s="121">
        <v>46046</v>
      </c>
      <c r="B1680" s="112" t="s">
        <v>26</v>
      </c>
      <c r="C1680" s="113" t="s">
        <v>354</v>
      </c>
      <c r="D1680" s="112" t="s">
        <v>341</v>
      </c>
      <c r="E1680" s="122">
        <v>1.3472222222222221</v>
      </c>
      <c r="F1680" s="112" t="s">
        <v>31</v>
      </c>
      <c r="G1680" s="114">
        <v>2</v>
      </c>
      <c r="H1680" s="115" t="s">
        <v>123</v>
      </c>
    </row>
    <row r="1681" spans="1:8" ht="19.899999999999999" customHeight="1">
      <c r="A1681" s="121">
        <v>46046</v>
      </c>
      <c r="B1681" s="112" t="s">
        <v>26</v>
      </c>
      <c r="C1681" s="113" t="s">
        <v>350</v>
      </c>
      <c r="D1681" s="112" t="s">
        <v>341</v>
      </c>
      <c r="E1681" s="122">
        <v>1.7361111111111109</v>
      </c>
      <c r="F1681" s="112" t="s">
        <v>31</v>
      </c>
      <c r="G1681" s="114">
        <v>4</v>
      </c>
      <c r="H1681" s="115" t="s">
        <v>123</v>
      </c>
    </row>
    <row r="1682" spans="1:8" ht="19.899999999999999" customHeight="1">
      <c r="A1682" s="121">
        <v>46046</v>
      </c>
      <c r="B1682" s="112" t="s">
        <v>26</v>
      </c>
      <c r="C1682" s="113" t="s">
        <v>356</v>
      </c>
      <c r="D1682" s="112" t="s">
        <v>341</v>
      </c>
      <c r="E1682" s="122">
        <v>1.4861111111111109</v>
      </c>
      <c r="F1682" s="112" t="s">
        <v>31</v>
      </c>
      <c r="G1682" s="114">
        <v>3</v>
      </c>
      <c r="H1682" s="115" t="s">
        <v>123</v>
      </c>
    </row>
    <row r="1683" spans="1:8" ht="19.899999999999999" customHeight="1">
      <c r="A1683" s="121">
        <v>46046</v>
      </c>
      <c r="B1683" s="112" t="s">
        <v>26</v>
      </c>
      <c r="C1683" s="113" t="s">
        <v>353</v>
      </c>
      <c r="D1683" s="112" t="s">
        <v>341</v>
      </c>
      <c r="E1683" s="122">
        <v>1.8888888888888891</v>
      </c>
      <c r="F1683" s="112" t="s">
        <v>31</v>
      </c>
      <c r="G1683" s="114">
        <v>4</v>
      </c>
      <c r="H1683" s="115" t="s">
        <v>123</v>
      </c>
    </row>
    <row r="1684" spans="1:8" ht="19.899999999999999" customHeight="1">
      <c r="A1684" s="121">
        <v>46046</v>
      </c>
      <c r="B1684" s="112" t="s">
        <v>26</v>
      </c>
      <c r="C1684" s="113" t="s">
        <v>348</v>
      </c>
      <c r="D1684" s="112" t="s">
        <v>341</v>
      </c>
      <c r="E1684" s="122">
        <v>1.993055555555556</v>
      </c>
      <c r="F1684" s="112" t="s">
        <v>34</v>
      </c>
      <c r="G1684" s="114">
        <v>2</v>
      </c>
      <c r="H1684" s="115" t="s">
        <v>355</v>
      </c>
    </row>
    <row r="1685" spans="1:8" ht="19.899999999999999" customHeight="1">
      <c r="A1685" s="121">
        <v>46046</v>
      </c>
      <c r="B1685" s="112" t="s">
        <v>26</v>
      </c>
      <c r="C1685" s="113" t="s">
        <v>351</v>
      </c>
      <c r="D1685" s="112" t="s">
        <v>341</v>
      </c>
      <c r="E1685" s="122">
        <v>1.836805555555556</v>
      </c>
      <c r="F1685" s="112" t="s">
        <v>34</v>
      </c>
      <c r="G1685" s="114">
        <v>3</v>
      </c>
      <c r="H1685" s="115" t="s">
        <v>355</v>
      </c>
    </row>
    <row r="1686" spans="1:8" ht="19.899999999999999" customHeight="1">
      <c r="A1686" s="121">
        <v>46046</v>
      </c>
      <c r="B1686" s="112" t="s">
        <v>26</v>
      </c>
      <c r="C1686" s="113" t="s">
        <v>352</v>
      </c>
      <c r="D1686" s="112" t="s">
        <v>341</v>
      </c>
      <c r="E1686" s="122">
        <v>1.944444444444444</v>
      </c>
      <c r="F1686" s="112" t="s">
        <v>31</v>
      </c>
      <c r="G1686" s="114">
        <v>5</v>
      </c>
      <c r="H1686" s="115" t="s">
        <v>355</v>
      </c>
    </row>
    <row r="1687" spans="1:8" ht="19.899999999999999" customHeight="1">
      <c r="A1687" s="121">
        <v>46046</v>
      </c>
      <c r="B1687" s="112" t="s">
        <v>359</v>
      </c>
      <c r="C1687" s="113" t="s">
        <v>360</v>
      </c>
      <c r="D1687" s="112" t="s">
        <v>341</v>
      </c>
      <c r="E1687" s="122">
        <v>1.1701388888888891</v>
      </c>
      <c r="F1687" s="112" t="s">
        <v>46</v>
      </c>
      <c r="G1687" s="114">
        <v>9</v>
      </c>
      <c r="H1687" s="115" t="s">
        <v>535</v>
      </c>
    </row>
    <row r="1688" spans="1:8" ht="19.899999999999999" customHeight="1">
      <c r="A1688" s="121">
        <v>46046</v>
      </c>
      <c r="B1688" s="112" t="s">
        <v>359</v>
      </c>
      <c r="C1688" s="113" t="s">
        <v>445</v>
      </c>
      <c r="D1688" s="112" t="s">
        <v>341</v>
      </c>
      <c r="E1688" s="122">
        <v>1.055555555555556</v>
      </c>
      <c r="F1688" s="112" t="s">
        <v>46</v>
      </c>
      <c r="G1688" s="114">
        <v>9</v>
      </c>
      <c r="H1688" s="115" t="s">
        <v>535</v>
      </c>
    </row>
    <row r="1689" spans="1:8" ht="19.899999999999999" customHeight="1">
      <c r="A1689" s="121">
        <v>46046</v>
      </c>
      <c r="B1689" s="112" t="s">
        <v>26</v>
      </c>
      <c r="C1689" s="113" t="s">
        <v>354</v>
      </c>
      <c r="D1689" s="112" t="s">
        <v>341</v>
      </c>
      <c r="E1689" s="122">
        <v>1.3472222222222221</v>
      </c>
      <c r="F1689" s="112" t="s">
        <v>34</v>
      </c>
      <c r="G1689" s="114">
        <v>2</v>
      </c>
      <c r="H1689" s="115" t="s">
        <v>118</v>
      </c>
    </row>
    <row r="1690" spans="1:8" ht="19.899999999999999" customHeight="1">
      <c r="A1690" s="121">
        <v>46046</v>
      </c>
      <c r="B1690" s="112" t="s">
        <v>26</v>
      </c>
      <c r="C1690" s="113" t="s">
        <v>350</v>
      </c>
      <c r="D1690" s="112" t="s">
        <v>341</v>
      </c>
      <c r="E1690" s="122">
        <v>1.7361111111111109</v>
      </c>
      <c r="F1690" s="112" t="s">
        <v>34</v>
      </c>
      <c r="G1690" s="114">
        <v>4</v>
      </c>
      <c r="H1690" s="115" t="s">
        <v>118</v>
      </c>
    </row>
    <row r="1691" spans="1:8" ht="19.899999999999999" customHeight="1">
      <c r="A1691" s="121">
        <v>46046</v>
      </c>
      <c r="B1691" s="112" t="s">
        <v>26</v>
      </c>
      <c r="C1691" s="113" t="s">
        <v>356</v>
      </c>
      <c r="D1691" s="112" t="s">
        <v>341</v>
      </c>
      <c r="E1691" s="122">
        <v>1.4861111111111109</v>
      </c>
      <c r="F1691" s="112" t="s">
        <v>34</v>
      </c>
      <c r="G1691" s="114">
        <v>3</v>
      </c>
      <c r="H1691" s="115" t="s">
        <v>118</v>
      </c>
    </row>
    <row r="1692" spans="1:8" ht="19.899999999999999" customHeight="1">
      <c r="A1692" s="121">
        <v>46046</v>
      </c>
      <c r="B1692" s="112" t="s">
        <v>26</v>
      </c>
      <c r="C1692" s="113" t="s">
        <v>353</v>
      </c>
      <c r="D1692" s="112" t="s">
        <v>341</v>
      </c>
      <c r="E1692" s="122">
        <v>1.8888888888888891</v>
      </c>
      <c r="F1692" s="112" t="s">
        <v>34</v>
      </c>
      <c r="G1692" s="114">
        <v>4</v>
      </c>
      <c r="H1692" s="115" t="s">
        <v>118</v>
      </c>
    </row>
    <row r="1693" spans="1:8" ht="19.899999999999999" customHeight="1">
      <c r="A1693" s="121">
        <v>46046</v>
      </c>
      <c r="B1693" s="112" t="s">
        <v>26</v>
      </c>
      <c r="C1693" s="113" t="s">
        <v>352</v>
      </c>
      <c r="D1693" s="112" t="s">
        <v>341</v>
      </c>
      <c r="E1693" s="122">
        <v>1.944444444444444</v>
      </c>
      <c r="F1693" s="112" t="s">
        <v>34</v>
      </c>
      <c r="G1693" s="114">
        <v>5</v>
      </c>
      <c r="H1693" s="115" t="s">
        <v>358</v>
      </c>
    </row>
    <row r="1694" spans="1:8" ht="19.899999999999999" customHeight="1">
      <c r="A1694" s="121">
        <v>46046</v>
      </c>
      <c r="B1694" s="112" t="s">
        <v>38</v>
      </c>
      <c r="C1694" s="113" t="s">
        <v>346</v>
      </c>
      <c r="D1694" s="112" t="s">
        <v>341</v>
      </c>
      <c r="E1694" s="122">
        <v>1.399305555555556</v>
      </c>
      <c r="F1694" s="112" t="s">
        <v>46</v>
      </c>
      <c r="G1694" s="114">
        <v>11</v>
      </c>
      <c r="H1694" s="115" t="s">
        <v>47</v>
      </c>
    </row>
    <row r="1695" spans="1:8" ht="19.899999999999999" customHeight="1">
      <c r="A1695" s="121">
        <v>46046</v>
      </c>
      <c r="B1695" s="112" t="s">
        <v>38</v>
      </c>
      <c r="C1695" s="113" t="s">
        <v>342</v>
      </c>
      <c r="D1695" s="112" t="s">
        <v>341</v>
      </c>
      <c r="E1695" s="122">
        <v>1.489583333333333</v>
      </c>
      <c r="F1695" s="112" t="s">
        <v>46</v>
      </c>
      <c r="G1695" s="114">
        <v>17</v>
      </c>
      <c r="H1695" s="115" t="s">
        <v>47</v>
      </c>
    </row>
    <row r="1696" spans="1:8" ht="19.899999999999999" customHeight="1">
      <c r="A1696" s="121">
        <v>46046</v>
      </c>
      <c r="B1696" s="112" t="s">
        <v>38</v>
      </c>
      <c r="C1696" s="113" t="s">
        <v>344</v>
      </c>
      <c r="D1696" s="112" t="s">
        <v>341</v>
      </c>
      <c r="E1696" s="122">
        <v>1.8888888888888891</v>
      </c>
      <c r="F1696" s="112" t="s">
        <v>46</v>
      </c>
      <c r="G1696" s="114">
        <v>16</v>
      </c>
      <c r="H1696" s="115" t="s">
        <v>47</v>
      </c>
    </row>
    <row r="1697" spans="1:8" ht="19.899999999999999" customHeight="1">
      <c r="A1697" s="121">
        <v>46046</v>
      </c>
      <c r="B1697" s="112" t="s">
        <v>38</v>
      </c>
      <c r="C1697" s="113" t="s">
        <v>345</v>
      </c>
      <c r="D1697" s="112" t="s">
        <v>341</v>
      </c>
      <c r="E1697" s="122">
        <v>1.989583333333333</v>
      </c>
      <c r="F1697" s="112" t="s">
        <v>46</v>
      </c>
      <c r="G1697" s="114">
        <v>18</v>
      </c>
      <c r="H1697" s="115" t="s">
        <v>47</v>
      </c>
    </row>
    <row r="1698" spans="1:8" ht="19.899999999999999" customHeight="1">
      <c r="A1698" s="121">
        <v>46046</v>
      </c>
      <c r="B1698" s="112" t="s">
        <v>48</v>
      </c>
      <c r="C1698" s="113" t="s">
        <v>394</v>
      </c>
      <c r="D1698" s="112" t="s">
        <v>341</v>
      </c>
      <c r="E1698" s="122">
        <v>1.989583333333333</v>
      </c>
      <c r="F1698" s="112" t="s">
        <v>53</v>
      </c>
      <c r="G1698" s="114">
        <v>4</v>
      </c>
      <c r="H1698" s="115" t="s">
        <v>399</v>
      </c>
    </row>
    <row r="1699" spans="1:8" ht="19.899999999999999" customHeight="1">
      <c r="A1699" s="121">
        <v>46046</v>
      </c>
      <c r="B1699" s="112" t="s">
        <v>48</v>
      </c>
      <c r="C1699" s="113" t="s">
        <v>398</v>
      </c>
      <c r="D1699" s="112" t="s">
        <v>341</v>
      </c>
      <c r="E1699" s="122">
        <v>1.399305555555556</v>
      </c>
      <c r="F1699" s="112" t="s">
        <v>53</v>
      </c>
      <c r="G1699" s="114">
        <v>4</v>
      </c>
      <c r="H1699" s="115" t="s">
        <v>399</v>
      </c>
    </row>
    <row r="1700" spans="1:8" ht="19.899999999999999" customHeight="1">
      <c r="A1700" s="121">
        <v>46046</v>
      </c>
      <c r="B1700" s="112" t="s">
        <v>48</v>
      </c>
      <c r="C1700" s="113" t="s">
        <v>397</v>
      </c>
      <c r="D1700" s="112" t="s">
        <v>341</v>
      </c>
      <c r="E1700" s="122">
        <v>1.8888888888888891</v>
      </c>
      <c r="F1700" s="112" t="s">
        <v>53</v>
      </c>
      <c r="G1700" s="114">
        <v>4</v>
      </c>
      <c r="H1700" s="115" t="s">
        <v>399</v>
      </c>
    </row>
    <row r="1701" spans="1:8" ht="19.899999999999999" customHeight="1">
      <c r="A1701" s="121">
        <v>46046</v>
      </c>
      <c r="B1701" s="112" t="s">
        <v>48</v>
      </c>
      <c r="C1701" s="113" t="s">
        <v>396</v>
      </c>
      <c r="D1701" s="112" t="s">
        <v>341</v>
      </c>
      <c r="E1701" s="122">
        <v>1.489583333333333</v>
      </c>
      <c r="F1701" s="112" t="s">
        <v>53</v>
      </c>
      <c r="G1701" s="114">
        <v>4</v>
      </c>
      <c r="H1701" s="115" t="s">
        <v>464</v>
      </c>
    </row>
    <row r="1702" spans="1:8" ht="19.899999999999999" customHeight="1">
      <c r="A1702" s="121">
        <v>46046</v>
      </c>
      <c r="B1702" s="112" t="s">
        <v>26</v>
      </c>
      <c r="C1702" s="113" t="s">
        <v>357</v>
      </c>
      <c r="D1702" s="112" t="s">
        <v>341</v>
      </c>
      <c r="E1702" s="122">
        <v>1.3923611111111109</v>
      </c>
      <c r="F1702" s="112" t="s">
        <v>28</v>
      </c>
      <c r="G1702" s="114">
        <v>2</v>
      </c>
      <c r="H1702" s="115" t="s">
        <v>191</v>
      </c>
    </row>
    <row r="1703" spans="1:8" ht="19.899999999999999" customHeight="1">
      <c r="A1703" s="121">
        <v>46046</v>
      </c>
      <c r="B1703" s="112" t="s">
        <v>26</v>
      </c>
      <c r="C1703" s="113" t="s">
        <v>357</v>
      </c>
      <c r="D1703" s="112" t="s">
        <v>341</v>
      </c>
      <c r="E1703" s="122">
        <v>1.3923611111111109</v>
      </c>
      <c r="F1703" s="112" t="s">
        <v>31</v>
      </c>
      <c r="G1703" s="114">
        <v>2</v>
      </c>
      <c r="H1703" s="115" t="s">
        <v>541</v>
      </c>
    </row>
    <row r="1704" spans="1:8" ht="19.899999999999999" customHeight="1">
      <c r="A1704" s="121">
        <v>46046</v>
      </c>
      <c r="B1704" s="112" t="s">
        <v>26</v>
      </c>
      <c r="C1704" s="113" t="s">
        <v>357</v>
      </c>
      <c r="D1704" s="112" t="s">
        <v>341</v>
      </c>
      <c r="E1704" s="122">
        <v>1.3923611111111109</v>
      </c>
      <c r="F1704" s="112" t="s">
        <v>34</v>
      </c>
      <c r="G1704" s="114">
        <v>2</v>
      </c>
      <c r="H1704" s="115" t="s">
        <v>542</v>
      </c>
    </row>
    <row r="1705" spans="1:8" ht="19.899999999999999" customHeight="1">
      <c r="A1705" s="121">
        <v>46046</v>
      </c>
      <c r="B1705" s="112" t="s">
        <v>48</v>
      </c>
      <c r="C1705" s="113" t="s">
        <v>382</v>
      </c>
      <c r="D1705" s="112" t="s">
        <v>341</v>
      </c>
      <c r="E1705" s="122">
        <v>1.118055555555556</v>
      </c>
      <c r="F1705" s="112" t="s">
        <v>53</v>
      </c>
      <c r="G1705" s="114">
        <v>9</v>
      </c>
      <c r="H1705" s="115" t="s">
        <v>490</v>
      </c>
    </row>
    <row r="1706" spans="1:8" ht="19.899999999999999" customHeight="1">
      <c r="A1706" s="121">
        <v>46046</v>
      </c>
      <c r="B1706" s="112" t="s">
        <v>48</v>
      </c>
      <c r="C1706" s="113" t="s">
        <v>389</v>
      </c>
      <c r="D1706" s="112" t="s">
        <v>341</v>
      </c>
      <c r="E1706" s="122">
        <v>1.7048611111111109</v>
      </c>
      <c r="F1706" s="112" t="s">
        <v>53</v>
      </c>
      <c r="G1706" s="114">
        <v>9</v>
      </c>
      <c r="H1706" s="115" t="s">
        <v>490</v>
      </c>
    </row>
    <row r="1707" spans="1:8" ht="19.899999999999999" customHeight="1">
      <c r="A1707" s="121">
        <v>46046</v>
      </c>
      <c r="B1707" s="112" t="s">
        <v>48</v>
      </c>
      <c r="C1707" s="113" t="s">
        <v>400</v>
      </c>
      <c r="D1707" s="112" t="s">
        <v>341</v>
      </c>
      <c r="E1707" s="122">
        <v>1.2534722222222221</v>
      </c>
      <c r="F1707" s="112" t="s">
        <v>53</v>
      </c>
      <c r="G1707" s="114">
        <v>9</v>
      </c>
      <c r="H1707" s="115" t="s">
        <v>490</v>
      </c>
    </row>
    <row r="1708" spans="1:8" ht="19.899999999999999" customHeight="1">
      <c r="A1708" s="121">
        <v>46046</v>
      </c>
      <c r="B1708" s="112" t="s">
        <v>48</v>
      </c>
      <c r="C1708" s="113" t="s">
        <v>390</v>
      </c>
      <c r="D1708" s="112" t="s">
        <v>341</v>
      </c>
      <c r="E1708" s="122">
        <v>1.041666666666667</v>
      </c>
      <c r="F1708" s="112" t="s">
        <v>53</v>
      </c>
      <c r="G1708" s="114">
        <v>9</v>
      </c>
      <c r="H1708" s="115" t="s">
        <v>490</v>
      </c>
    </row>
    <row r="1709" spans="1:8" ht="19.899999999999999" customHeight="1">
      <c r="A1709" s="121">
        <v>46046</v>
      </c>
      <c r="B1709" s="112" t="s">
        <v>48</v>
      </c>
      <c r="C1709" s="113" t="s">
        <v>385</v>
      </c>
      <c r="D1709" s="112" t="s">
        <v>341</v>
      </c>
      <c r="E1709" s="122">
        <v>1.9409722222222221</v>
      </c>
      <c r="F1709" s="112" t="s">
        <v>53</v>
      </c>
      <c r="G1709" s="114">
        <v>9</v>
      </c>
      <c r="H1709" s="115" t="s">
        <v>490</v>
      </c>
    </row>
    <row r="1710" spans="1:8" ht="19.899999999999999" customHeight="1">
      <c r="A1710" s="121">
        <v>46046</v>
      </c>
      <c r="B1710" s="112" t="s">
        <v>415</v>
      </c>
      <c r="C1710" s="113" t="s">
        <v>416</v>
      </c>
      <c r="D1710" s="112" t="s">
        <v>341</v>
      </c>
      <c r="E1710" s="122">
        <v>1.0972222222222221</v>
      </c>
      <c r="F1710" s="112" t="s">
        <v>63</v>
      </c>
      <c r="G1710" s="114">
        <v>9</v>
      </c>
      <c r="H1710" s="115" t="s">
        <v>417</v>
      </c>
    </row>
    <row r="1711" spans="1:8" ht="19.899999999999999" customHeight="1">
      <c r="A1711" s="121">
        <v>46046</v>
      </c>
      <c r="B1711" s="112" t="s">
        <v>68</v>
      </c>
      <c r="C1711" s="113" t="s">
        <v>405</v>
      </c>
      <c r="D1711" s="112" t="s">
        <v>341</v>
      </c>
      <c r="E1711" s="122">
        <v>1.836805555555556</v>
      </c>
      <c r="F1711" s="112" t="s">
        <v>70</v>
      </c>
      <c r="G1711" s="114">
        <v>9</v>
      </c>
      <c r="H1711" s="115" t="s">
        <v>524</v>
      </c>
    </row>
    <row r="1712" spans="1:8" ht="19.899999999999999" customHeight="1">
      <c r="A1712" s="121">
        <v>46046</v>
      </c>
      <c r="B1712" s="112" t="s">
        <v>68</v>
      </c>
      <c r="C1712" s="113" t="s">
        <v>407</v>
      </c>
      <c r="D1712" s="112" t="s">
        <v>341</v>
      </c>
      <c r="E1712" s="122">
        <v>1.3125</v>
      </c>
      <c r="F1712" s="112" t="s">
        <v>70</v>
      </c>
      <c r="G1712" s="114">
        <v>9</v>
      </c>
      <c r="H1712" s="115" t="s">
        <v>524</v>
      </c>
    </row>
    <row r="1713" spans="1:8" ht="19.899999999999999" customHeight="1">
      <c r="A1713" s="121">
        <v>46046</v>
      </c>
      <c r="B1713" s="112" t="s">
        <v>68</v>
      </c>
      <c r="C1713" s="113" t="s">
        <v>408</v>
      </c>
      <c r="D1713" s="112" t="s">
        <v>341</v>
      </c>
      <c r="E1713" s="122">
        <v>1.9722222222222221</v>
      </c>
      <c r="F1713" s="112" t="s">
        <v>70</v>
      </c>
      <c r="G1713" s="114">
        <v>9</v>
      </c>
      <c r="H1713" s="115" t="s">
        <v>524</v>
      </c>
    </row>
    <row r="1714" spans="1:8" ht="19.899999999999999" customHeight="1">
      <c r="A1714" s="121">
        <v>46046</v>
      </c>
      <c r="B1714" s="112" t="s">
        <v>68</v>
      </c>
      <c r="C1714" s="113" t="s">
        <v>437</v>
      </c>
      <c r="D1714" s="112" t="s">
        <v>341</v>
      </c>
      <c r="E1714" s="122">
        <v>1.104166666666667</v>
      </c>
      <c r="F1714" s="112" t="s">
        <v>70</v>
      </c>
      <c r="G1714" s="114">
        <v>9</v>
      </c>
      <c r="H1714" s="115" t="s">
        <v>524</v>
      </c>
    </row>
    <row r="1715" spans="1:8" ht="19.899999999999999" customHeight="1">
      <c r="A1715" s="121">
        <v>46046</v>
      </c>
      <c r="B1715" s="112" t="s">
        <v>68</v>
      </c>
      <c r="C1715" s="113" t="s">
        <v>409</v>
      </c>
      <c r="D1715" s="112" t="s">
        <v>341</v>
      </c>
      <c r="E1715" s="122">
        <v>1.3402777777777779</v>
      </c>
      <c r="F1715" s="112" t="s">
        <v>70</v>
      </c>
      <c r="G1715" s="114">
        <v>9</v>
      </c>
      <c r="H1715" s="115" t="s">
        <v>524</v>
      </c>
    </row>
    <row r="1716" spans="1:8" ht="19.899999999999999" customHeight="1">
      <c r="A1716" s="121">
        <v>46046</v>
      </c>
      <c r="B1716" s="112" t="s">
        <v>68</v>
      </c>
      <c r="C1716" s="113" t="s">
        <v>411</v>
      </c>
      <c r="D1716" s="112" t="s">
        <v>341</v>
      </c>
      <c r="E1716" s="122">
        <v>1.7847222222222221</v>
      </c>
      <c r="F1716" s="112" t="s">
        <v>70</v>
      </c>
      <c r="G1716" s="114">
        <v>9</v>
      </c>
      <c r="H1716" s="115" t="s">
        <v>524</v>
      </c>
    </row>
    <row r="1717" spans="1:8" ht="19.899999999999999" customHeight="1">
      <c r="A1717" s="121">
        <v>46046</v>
      </c>
      <c r="B1717" s="112" t="s">
        <v>68</v>
      </c>
      <c r="C1717" s="113" t="s">
        <v>410</v>
      </c>
      <c r="D1717" s="112" t="s">
        <v>341</v>
      </c>
      <c r="E1717" s="122">
        <v>1.5972222222222221</v>
      </c>
      <c r="F1717" s="112" t="s">
        <v>70</v>
      </c>
      <c r="G1717" s="114">
        <v>9</v>
      </c>
      <c r="H1717" s="115" t="s">
        <v>524</v>
      </c>
    </row>
    <row r="1718" spans="1:8" ht="19.899999999999999" customHeight="1">
      <c r="A1718" s="121">
        <v>46046</v>
      </c>
      <c r="B1718" s="112" t="s">
        <v>68</v>
      </c>
      <c r="C1718" s="113" t="s">
        <v>413</v>
      </c>
      <c r="D1718" s="112" t="s">
        <v>341</v>
      </c>
      <c r="E1718" s="122">
        <v>1.0486111111111109</v>
      </c>
      <c r="F1718" s="112" t="s">
        <v>70</v>
      </c>
      <c r="G1718" s="114">
        <v>9</v>
      </c>
      <c r="H1718" s="115" t="s">
        <v>524</v>
      </c>
    </row>
    <row r="1719" spans="1:8" ht="19.899999999999999" customHeight="1">
      <c r="A1719" s="121">
        <v>46046</v>
      </c>
      <c r="B1719" s="112" t="s">
        <v>48</v>
      </c>
      <c r="C1719" s="113" t="s">
        <v>386</v>
      </c>
      <c r="D1719" s="112" t="s">
        <v>341</v>
      </c>
      <c r="E1719" s="122">
        <v>1.8298611111111109</v>
      </c>
      <c r="F1719" s="112" t="s">
        <v>53</v>
      </c>
      <c r="G1719" s="114">
        <v>9</v>
      </c>
      <c r="H1719" s="115" t="s">
        <v>544</v>
      </c>
    </row>
    <row r="1720" spans="1:8" ht="19.899999999999999" customHeight="1">
      <c r="A1720" s="123">
        <v>46046</v>
      </c>
      <c r="B1720" s="124" t="s">
        <v>48</v>
      </c>
      <c r="C1720" s="125" t="s">
        <v>388</v>
      </c>
      <c r="D1720" s="124" t="s">
        <v>341</v>
      </c>
      <c r="E1720" s="126">
        <v>1.7222222222222221</v>
      </c>
      <c r="F1720" s="124" t="s">
        <v>53</v>
      </c>
      <c r="G1720" s="127">
        <v>9</v>
      </c>
      <c r="H1720" s="128" t="s">
        <v>544</v>
      </c>
    </row>
    <row r="1721" spans="1:8" ht="19.899999999999999" customHeight="1">
      <c r="A1721" s="121">
        <v>46047</v>
      </c>
      <c r="B1721" s="112" t="s">
        <v>38</v>
      </c>
      <c r="C1721" s="113" t="s">
        <v>342</v>
      </c>
      <c r="D1721" s="112" t="s">
        <v>341</v>
      </c>
      <c r="E1721" s="122">
        <v>1.489583333333333</v>
      </c>
      <c r="F1721" s="112" t="s">
        <v>40</v>
      </c>
      <c r="G1721" s="114">
        <v>14</v>
      </c>
      <c r="H1721" s="115" t="s">
        <v>81</v>
      </c>
    </row>
    <row r="1722" spans="1:8" ht="19.899999999999999" customHeight="1">
      <c r="A1722" s="121">
        <v>46047</v>
      </c>
      <c r="B1722" s="112" t="s">
        <v>38</v>
      </c>
      <c r="C1722" s="113" t="s">
        <v>346</v>
      </c>
      <c r="D1722" s="112" t="s">
        <v>341</v>
      </c>
      <c r="E1722" s="122">
        <v>1.399305555555556</v>
      </c>
      <c r="F1722" s="112" t="s">
        <v>40</v>
      </c>
      <c r="G1722" s="114">
        <v>20</v>
      </c>
      <c r="H1722" s="115" t="s">
        <v>347</v>
      </c>
    </row>
    <row r="1723" spans="1:8" ht="19.899999999999999" customHeight="1">
      <c r="A1723" s="121">
        <v>46047</v>
      </c>
      <c r="B1723" s="112" t="s">
        <v>38</v>
      </c>
      <c r="C1723" s="113" t="s">
        <v>344</v>
      </c>
      <c r="D1723" s="112" t="s">
        <v>341</v>
      </c>
      <c r="E1723" s="122">
        <v>1.8888888888888891</v>
      </c>
      <c r="F1723" s="112" t="s">
        <v>40</v>
      </c>
      <c r="G1723" s="114">
        <v>20</v>
      </c>
      <c r="H1723" s="115" t="s">
        <v>347</v>
      </c>
    </row>
    <row r="1724" spans="1:8" ht="19.899999999999999" customHeight="1">
      <c r="A1724" s="121">
        <v>46047</v>
      </c>
      <c r="B1724" s="112" t="s">
        <v>38</v>
      </c>
      <c r="C1724" s="113" t="s">
        <v>345</v>
      </c>
      <c r="D1724" s="112" t="s">
        <v>341</v>
      </c>
      <c r="E1724" s="122">
        <v>1.989583333333333</v>
      </c>
      <c r="F1724" s="112" t="s">
        <v>40</v>
      </c>
      <c r="G1724" s="114">
        <v>19</v>
      </c>
      <c r="H1724" s="115" t="s">
        <v>347</v>
      </c>
    </row>
    <row r="1725" spans="1:8" ht="19.899999999999999" customHeight="1">
      <c r="A1725" s="121">
        <v>46047</v>
      </c>
      <c r="B1725" s="112" t="s">
        <v>359</v>
      </c>
      <c r="C1725" s="113" t="s">
        <v>360</v>
      </c>
      <c r="D1725" s="112" t="s">
        <v>341</v>
      </c>
      <c r="E1725" s="122">
        <v>1.229166666666667</v>
      </c>
      <c r="F1725" s="112" t="s">
        <v>361</v>
      </c>
      <c r="G1725" s="114">
        <v>9</v>
      </c>
      <c r="H1725" s="115" t="s">
        <v>534</v>
      </c>
    </row>
    <row r="1726" spans="1:8" ht="19.899999999999999" customHeight="1">
      <c r="A1726" s="129">
        <v>46047</v>
      </c>
      <c r="B1726" s="117" t="s">
        <v>61</v>
      </c>
      <c r="C1726" s="118" t="s">
        <v>432</v>
      </c>
      <c r="D1726" s="117" t="s">
        <v>341</v>
      </c>
      <c r="E1726" s="130">
        <v>1.333333333333333</v>
      </c>
      <c r="F1726" s="117" t="s">
        <v>63</v>
      </c>
      <c r="G1726" s="119">
        <v>1</v>
      </c>
      <c r="H1726" s="120" t="s">
        <v>365</v>
      </c>
    </row>
    <row r="1727" spans="1:8" ht="19.899999999999999" customHeight="1">
      <c r="A1727" s="121">
        <v>46047</v>
      </c>
      <c r="B1727" s="112" t="s">
        <v>26</v>
      </c>
      <c r="C1727" s="113" t="s">
        <v>354</v>
      </c>
      <c r="D1727" s="112" t="s">
        <v>341</v>
      </c>
      <c r="E1727" s="122">
        <v>1.3472222222222221</v>
      </c>
      <c r="F1727" s="112" t="s">
        <v>28</v>
      </c>
      <c r="G1727" s="114">
        <v>1</v>
      </c>
      <c r="H1727" s="115" t="s">
        <v>83</v>
      </c>
    </row>
    <row r="1728" spans="1:8" ht="19.899999999999999" customHeight="1">
      <c r="A1728" s="121">
        <v>46047</v>
      </c>
      <c r="B1728" s="112" t="s">
        <v>26</v>
      </c>
      <c r="C1728" s="113" t="s">
        <v>348</v>
      </c>
      <c r="D1728" s="112" t="s">
        <v>341</v>
      </c>
      <c r="E1728" s="122">
        <v>1.993055555555556</v>
      </c>
      <c r="F1728" s="112" t="s">
        <v>28</v>
      </c>
      <c r="G1728" s="114">
        <v>2</v>
      </c>
      <c r="H1728" s="115" t="s">
        <v>83</v>
      </c>
    </row>
    <row r="1729" spans="1:8" ht="19.899999999999999" customHeight="1">
      <c r="A1729" s="121">
        <v>46047</v>
      </c>
      <c r="B1729" s="112" t="s">
        <v>26</v>
      </c>
      <c r="C1729" s="113" t="s">
        <v>350</v>
      </c>
      <c r="D1729" s="112" t="s">
        <v>341</v>
      </c>
      <c r="E1729" s="122">
        <v>1.7361111111111109</v>
      </c>
      <c r="F1729" s="112" t="s">
        <v>28</v>
      </c>
      <c r="G1729" s="114">
        <v>1</v>
      </c>
      <c r="H1729" s="115" t="s">
        <v>83</v>
      </c>
    </row>
    <row r="1730" spans="1:8" ht="19.899999999999999" customHeight="1">
      <c r="A1730" s="121">
        <v>46047</v>
      </c>
      <c r="B1730" s="112" t="s">
        <v>26</v>
      </c>
      <c r="C1730" s="113" t="s">
        <v>353</v>
      </c>
      <c r="D1730" s="112" t="s">
        <v>341</v>
      </c>
      <c r="E1730" s="122">
        <v>1.8888888888888891</v>
      </c>
      <c r="F1730" s="112" t="s">
        <v>28</v>
      </c>
      <c r="G1730" s="114">
        <v>3</v>
      </c>
      <c r="H1730" s="115" t="s">
        <v>83</v>
      </c>
    </row>
    <row r="1731" spans="1:8" ht="19.899999999999999" customHeight="1">
      <c r="A1731" s="121">
        <v>46047</v>
      </c>
      <c r="B1731" s="112" t="s">
        <v>402</v>
      </c>
      <c r="C1731" s="113" t="s">
        <v>403</v>
      </c>
      <c r="D1731" s="112" t="s">
        <v>341</v>
      </c>
      <c r="E1731" s="122">
        <v>1.493055555555556</v>
      </c>
      <c r="F1731" s="112" t="s">
        <v>63</v>
      </c>
      <c r="G1731" s="114">
        <v>5</v>
      </c>
      <c r="H1731" s="115" t="s">
        <v>404</v>
      </c>
    </row>
    <row r="1732" spans="1:8" ht="19.899999999999999" customHeight="1">
      <c r="A1732" s="121">
        <v>46047</v>
      </c>
      <c r="B1732" s="112" t="s">
        <v>402</v>
      </c>
      <c r="C1732" s="113" t="s">
        <v>465</v>
      </c>
      <c r="D1732" s="112" t="s">
        <v>341</v>
      </c>
      <c r="E1732" s="122">
        <v>1.2048611111111109</v>
      </c>
      <c r="F1732" s="112" t="s">
        <v>63</v>
      </c>
      <c r="G1732" s="114">
        <v>5</v>
      </c>
      <c r="H1732" s="115" t="s">
        <v>404</v>
      </c>
    </row>
    <row r="1733" spans="1:8" ht="19.899999999999999" customHeight="1">
      <c r="A1733" s="129">
        <v>46047</v>
      </c>
      <c r="B1733" s="117" t="s">
        <v>61</v>
      </c>
      <c r="C1733" s="118" t="s">
        <v>369</v>
      </c>
      <c r="D1733" s="117" t="s">
        <v>341</v>
      </c>
      <c r="E1733" s="130">
        <v>1.15625</v>
      </c>
      <c r="F1733" s="117" t="s">
        <v>63</v>
      </c>
      <c r="G1733" s="119">
        <v>9</v>
      </c>
      <c r="H1733" s="120" t="s">
        <v>79</v>
      </c>
    </row>
    <row r="1734" spans="1:8" ht="19.899999999999999" customHeight="1">
      <c r="A1734" s="129">
        <v>46047</v>
      </c>
      <c r="B1734" s="117" t="s">
        <v>61</v>
      </c>
      <c r="C1734" s="118" t="s">
        <v>375</v>
      </c>
      <c r="D1734" s="117" t="s">
        <v>341</v>
      </c>
      <c r="E1734" s="130">
        <v>1.1423611111111109</v>
      </c>
      <c r="F1734" s="117" t="s">
        <v>63</v>
      </c>
      <c r="G1734" s="119">
        <v>1</v>
      </c>
      <c r="H1734" s="120" t="s">
        <v>79</v>
      </c>
    </row>
    <row r="1735" spans="1:8" ht="19.899999999999999" customHeight="1">
      <c r="A1735" s="129">
        <v>46047</v>
      </c>
      <c r="B1735" s="117" t="s">
        <v>61</v>
      </c>
      <c r="C1735" s="118" t="s">
        <v>377</v>
      </c>
      <c r="D1735" s="117" t="s">
        <v>341</v>
      </c>
      <c r="E1735" s="130">
        <v>1.4548611111111109</v>
      </c>
      <c r="F1735" s="117" t="s">
        <v>63</v>
      </c>
      <c r="G1735" s="119">
        <v>5</v>
      </c>
      <c r="H1735" s="120" t="s">
        <v>79</v>
      </c>
    </row>
    <row r="1736" spans="1:8" ht="19.899999999999999" customHeight="1">
      <c r="A1736" s="129">
        <v>46047</v>
      </c>
      <c r="B1736" s="117" t="s">
        <v>61</v>
      </c>
      <c r="C1736" s="118" t="s">
        <v>379</v>
      </c>
      <c r="D1736" s="117" t="s">
        <v>341</v>
      </c>
      <c r="E1736" s="130">
        <v>1.8298611111111109</v>
      </c>
      <c r="F1736" s="117" t="s">
        <v>63</v>
      </c>
      <c r="G1736" s="119">
        <v>7</v>
      </c>
      <c r="H1736" s="120" t="s">
        <v>79</v>
      </c>
    </row>
    <row r="1737" spans="1:8" ht="19.899999999999999" customHeight="1">
      <c r="A1737" s="121">
        <v>46047</v>
      </c>
      <c r="B1737" s="112" t="s">
        <v>26</v>
      </c>
      <c r="C1737" s="113" t="s">
        <v>356</v>
      </c>
      <c r="D1737" s="112" t="s">
        <v>341</v>
      </c>
      <c r="E1737" s="122">
        <v>1.4861111111111109</v>
      </c>
      <c r="F1737" s="112" t="s">
        <v>28</v>
      </c>
      <c r="G1737" s="114">
        <v>5</v>
      </c>
      <c r="H1737" s="115" t="s">
        <v>79</v>
      </c>
    </row>
    <row r="1738" spans="1:8" ht="19.899999999999999" customHeight="1">
      <c r="A1738" s="121">
        <v>46047</v>
      </c>
      <c r="B1738" s="112" t="s">
        <v>38</v>
      </c>
      <c r="C1738" s="113" t="s">
        <v>342</v>
      </c>
      <c r="D1738" s="112" t="s">
        <v>341</v>
      </c>
      <c r="E1738" s="122">
        <v>1.489583333333333</v>
      </c>
      <c r="F1738" s="112" t="s">
        <v>43</v>
      </c>
      <c r="G1738" s="114">
        <v>14</v>
      </c>
      <c r="H1738" s="115" t="s">
        <v>161</v>
      </c>
    </row>
    <row r="1739" spans="1:8" ht="19.899999999999999" customHeight="1">
      <c r="A1739" s="121">
        <v>46047</v>
      </c>
      <c r="B1739" s="112" t="s">
        <v>26</v>
      </c>
      <c r="C1739" s="113" t="s">
        <v>352</v>
      </c>
      <c r="D1739" s="112" t="s">
        <v>341</v>
      </c>
      <c r="E1739" s="122">
        <v>1.944444444444444</v>
      </c>
      <c r="F1739" s="112" t="s">
        <v>28</v>
      </c>
      <c r="G1739" s="114">
        <v>5</v>
      </c>
      <c r="H1739" s="115" t="s">
        <v>45</v>
      </c>
    </row>
    <row r="1740" spans="1:8" ht="19.899999999999999" customHeight="1">
      <c r="A1740" s="121">
        <v>46047</v>
      </c>
      <c r="B1740" s="112" t="s">
        <v>26</v>
      </c>
      <c r="C1740" s="113" t="s">
        <v>357</v>
      </c>
      <c r="D1740" s="112" t="s">
        <v>341</v>
      </c>
      <c r="E1740" s="122">
        <v>1.3923611111111109</v>
      </c>
      <c r="F1740" s="112" t="s">
        <v>28</v>
      </c>
      <c r="G1740" s="114">
        <v>1</v>
      </c>
      <c r="H1740" s="115" t="s">
        <v>45</v>
      </c>
    </row>
    <row r="1741" spans="1:8" ht="19.899999999999999" customHeight="1">
      <c r="A1741" s="121">
        <v>46047</v>
      </c>
      <c r="B1741" s="112" t="s">
        <v>26</v>
      </c>
      <c r="C1741" s="113" t="s">
        <v>354</v>
      </c>
      <c r="D1741" s="112" t="s">
        <v>341</v>
      </c>
      <c r="E1741" s="122">
        <v>1.3472222222222221</v>
      </c>
      <c r="F1741" s="112" t="s">
        <v>31</v>
      </c>
      <c r="G1741" s="114">
        <v>1</v>
      </c>
      <c r="H1741" s="115" t="s">
        <v>159</v>
      </c>
    </row>
    <row r="1742" spans="1:8" ht="19.899999999999999" customHeight="1">
      <c r="A1742" s="121">
        <v>46047</v>
      </c>
      <c r="B1742" s="112" t="s">
        <v>26</v>
      </c>
      <c r="C1742" s="113" t="s">
        <v>348</v>
      </c>
      <c r="D1742" s="112" t="s">
        <v>341</v>
      </c>
      <c r="E1742" s="122">
        <v>1.993055555555556</v>
      </c>
      <c r="F1742" s="112" t="s">
        <v>31</v>
      </c>
      <c r="G1742" s="114">
        <v>2</v>
      </c>
      <c r="H1742" s="115" t="s">
        <v>159</v>
      </c>
    </row>
    <row r="1743" spans="1:8" ht="19.899999999999999" customHeight="1">
      <c r="A1743" s="121">
        <v>46047</v>
      </c>
      <c r="B1743" s="112" t="s">
        <v>26</v>
      </c>
      <c r="C1743" s="113" t="s">
        <v>350</v>
      </c>
      <c r="D1743" s="112" t="s">
        <v>341</v>
      </c>
      <c r="E1743" s="122">
        <v>1.7361111111111109</v>
      </c>
      <c r="F1743" s="112" t="s">
        <v>31</v>
      </c>
      <c r="G1743" s="114">
        <v>1</v>
      </c>
      <c r="H1743" s="115" t="s">
        <v>159</v>
      </c>
    </row>
    <row r="1744" spans="1:8" ht="19.899999999999999" customHeight="1">
      <c r="A1744" s="121">
        <v>46047</v>
      </c>
      <c r="B1744" s="112" t="s">
        <v>26</v>
      </c>
      <c r="C1744" s="113" t="s">
        <v>353</v>
      </c>
      <c r="D1744" s="112" t="s">
        <v>341</v>
      </c>
      <c r="E1744" s="122">
        <v>1.8888888888888891</v>
      </c>
      <c r="F1744" s="112" t="s">
        <v>31</v>
      </c>
      <c r="G1744" s="114">
        <v>3</v>
      </c>
      <c r="H1744" s="115" t="s">
        <v>159</v>
      </c>
    </row>
    <row r="1745" spans="1:8" ht="19.899999999999999" customHeight="1">
      <c r="A1745" s="121">
        <v>46047</v>
      </c>
      <c r="B1745" s="112" t="s">
        <v>38</v>
      </c>
      <c r="C1745" s="113" t="s">
        <v>346</v>
      </c>
      <c r="D1745" s="112" t="s">
        <v>341</v>
      </c>
      <c r="E1745" s="122">
        <v>1.399305555555556</v>
      </c>
      <c r="F1745" s="112" t="s">
        <v>43</v>
      </c>
      <c r="G1745" s="114">
        <v>20</v>
      </c>
      <c r="H1745" s="115" t="s">
        <v>138</v>
      </c>
    </row>
    <row r="1746" spans="1:8" ht="19.899999999999999" customHeight="1">
      <c r="A1746" s="121">
        <v>46047</v>
      </c>
      <c r="B1746" s="112" t="s">
        <v>38</v>
      </c>
      <c r="C1746" s="113" t="s">
        <v>344</v>
      </c>
      <c r="D1746" s="112" t="s">
        <v>341</v>
      </c>
      <c r="E1746" s="122">
        <v>1.8888888888888891</v>
      </c>
      <c r="F1746" s="112" t="s">
        <v>43</v>
      </c>
      <c r="G1746" s="114">
        <v>20</v>
      </c>
      <c r="H1746" s="115" t="s">
        <v>138</v>
      </c>
    </row>
    <row r="1747" spans="1:8" ht="19.899999999999999" customHeight="1">
      <c r="A1747" s="121">
        <v>46047</v>
      </c>
      <c r="B1747" s="112" t="s">
        <v>38</v>
      </c>
      <c r="C1747" s="113" t="s">
        <v>345</v>
      </c>
      <c r="D1747" s="112" t="s">
        <v>341</v>
      </c>
      <c r="E1747" s="122">
        <v>1.989583333333333</v>
      </c>
      <c r="F1747" s="112" t="s">
        <v>43</v>
      </c>
      <c r="G1747" s="114">
        <v>19</v>
      </c>
      <c r="H1747" s="115" t="s">
        <v>138</v>
      </c>
    </row>
    <row r="1748" spans="1:8" ht="19.899999999999999" customHeight="1">
      <c r="A1748" s="121">
        <v>46047</v>
      </c>
      <c r="B1748" s="112" t="s">
        <v>26</v>
      </c>
      <c r="C1748" s="113" t="s">
        <v>356</v>
      </c>
      <c r="D1748" s="112" t="s">
        <v>341</v>
      </c>
      <c r="E1748" s="122">
        <v>1.4861111111111109</v>
      </c>
      <c r="F1748" s="112" t="s">
        <v>31</v>
      </c>
      <c r="G1748" s="114">
        <v>5</v>
      </c>
      <c r="H1748" s="115" t="s">
        <v>123</v>
      </c>
    </row>
    <row r="1749" spans="1:8" ht="19.899999999999999" customHeight="1">
      <c r="A1749" s="121">
        <v>46047</v>
      </c>
      <c r="B1749" s="112" t="s">
        <v>26</v>
      </c>
      <c r="C1749" s="113" t="s">
        <v>354</v>
      </c>
      <c r="D1749" s="112" t="s">
        <v>341</v>
      </c>
      <c r="E1749" s="122">
        <v>1.3472222222222221</v>
      </c>
      <c r="F1749" s="112" t="s">
        <v>34</v>
      </c>
      <c r="G1749" s="114">
        <v>1</v>
      </c>
      <c r="H1749" s="115" t="s">
        <v>355</v>
      </c>
    </row>
    <row r="1750" spans="1:8" ht="19.899999999999999" customHeight="1">
      <c r="A1750" s="121">
        <v>46047</v>
      </c>
      <c r="B1750" s="112" t="s">
        <v>26</v>
      </c>
      <c r="C1750" s="113" t="s">
        <v>348</v>
      </c>
      <c r="D1750" s="112" t="s">
        <v>341</v>
      </c>
      <c r="E1750" s="122">
        <v>1.993055555555556</v>
      </c>
      <c r="F1750" s="112" t="s">
        <v>34</v>
      </c>
      <c r="G1750" s="114">
        <v>2</v>
      </c>
      <c r="H1750" s="115" t="s">
        <v>355</v>
      </c>
    </row>
    <row r="1751" spans="1:8" ht="19.899999999999999" customHeight="1">
      <c r="A1751" s="121">
        <v>46047</v>
      </c>
      <c r="B1751" s="112" t="s">
        <v>26</v>
      </c>
      <c r="C1751" s="113" t="s">
        <v>350</v>
      </c>
      <c r="D1751" s="112" t="s">
        <v>341</v>
      </c>
      <c r="E1751" s="122">
        <v>1.7361111111111109</v>
      </c>
      <c r="F1751" s="112" t="s">
        <v>34</v>
      </c>
      <c r="G1751" s="114">
        <v>1</v>
      </c>
      <c r="H1751" s="115" t="s">
        <v>355</v>
      </c>
    </row>
    <row r="1752" spans="1:8" ht="19.899999999999999" customHeight="1">
      <c r="A1752" s="121">
        <v>46047</v>
      </c>
      <c r="B1752" s="112" t="s">
        <v>26</v>
      </c>
      <c r="C1752" s="113" t="s">
        <v>352</v>
      </c>
      <c r="D1752" s="112" t="s">
        <v>341</v>
      </c>
      <c r="E1752" s="122">
        <v>1.944444444444444</v>
      </c>
      <c r="F1752" s="112" t="s">
        <v>31</v>
      </c>
      <c r="G1752" s="114">
        <v>5</v>
      </c>
      <c r="H1752" s="115" t="s">
        <v>355</v>
      </c>
    </row>
    <row r="1753" spans="1:8" ht="19.899999999999999" customHeight="1">
      <c r="A1753" s="121">
        <v>46047</v>
      </c>
      <c r="B1753" s="112" t="s">
        <v>26</v>
      </c>
      <c r="C1753" s="113" t="s">
        <v>357</v>
      </c>
      <c r="D1753" s="112" t="s">
        <v>341</v>
      </c>
      <c r="E1753" s="122">
        <v>1.3923611111111109</v>
      </c>
      <c r="F1753" s="112" t="s">
        <v>31</v>
      </c>
      <c r="G1753" s="114">
        <v>1</v>
      </c>
      <c r="H1753" s="115" t="s">
        <v>355</v>
      </c>
    </row>
    <row r="1754" spans="1:8" ht="19.899999999999999" customHeight="1">
      <c r="A1754" s="121">
        <v>46047</v>
      </c>
      <c r="B1754" s="112" t="s">
        <v>26</v>
      </c>
      <c r="C1754" s="113" t="s">
        <v>353</v>
      </c>
      <c r="D1754" s="112" t="s">
        <v>341</v>
      </c>
      <c r="E1754" s="122">
        <v>1.8888888888888891</v>
      </c>
      <c r="F1754" s="112" t="s">
        <v>34</v>
      </c>
      <c r="G1754" s="114">
        <v>3</v>
      </c>
      <c r="H1754" s="115" t="s">
        <v>355</v>
      </c>
    </row>
    <row r="1755" spans="1:8" ht="19.899999999999999" customHeight="1">
      <c r="A1755" s="121">
        <v>46047</v>
      </c>
      <c r="B1755" s="112" t="s">
        <v>359</v>
      </c>
      <c r="C1755" s="113" t="s">
        <v>360</v>
      </c>
      <c r="D1755" s="112" t="s">
        <v>341</v>
      </c>
      <c r="E1755" s="122">
        <v>1.229166666666667</v>
      </c>
      <c r="F1755" s="112" t="s">
        <v>46</v>
      </c>
      <c r="G1755" s="114">
        <v>9</v>
      </c>
      <c r="H1755" s="115" t="s">
        <v>535</v>
      </c>
    </row>
    <row r="1756" spans="1:8" ht="19.899999999999999" customHeight="1">
      <c r="A1756" s="121">
        <v>46047</v>
      </c>
      <c r="B1756" s="112" t="s">
        <v>26</v>
      </c>
      <c r="C1756" s="113" t="s">
        <v>356</v>
      </c>
      <c r="D1756" s="112" t="s">
        <v>341</v>
      </c>
      <c r="E1756" s="122">
        <v>1.4861111111111109</v>
      </c>
      <c r="F1756" s="112" t="s">
        <v>34</v>
      </c>
      <c r="G1756" s="114">
        <v>5</v>
      </c>
      <c r="H1756" s="115" t="s">
        <v>118</v>
      </c>
    </row>
    <row r="1757" spans="1:8" ht="19.899999999999999" customHeight="1">
      <c r="A1757" s="121">
        <v>46047</v>
      </c>
      <c r="B1757" s="112" t="s">
        <v>26</v>
      </c>
      <c r="C1757" s="113" t="s">
        <v>352</v>
      </c>
      <c r="D1757" s="112" t="s">
        <v>341</v>
      </c>
      <c r="E1757" s="122">
        <v>1.944444444444444</v>
      </c>
      <c r="F1757" s="112" t="s">
        <v>34</v>
      </c>
      <c r="G1757" s="114">
        <v>5</v>
      </c>
      <c r="H1757" s="115" t="s">
        <v>358</v>
      </c>
    </row>
    <row r="1758" spans="1:8" ht="19.899999999999999" customHeight="1">
      <c r="A1758" s="121">
        <v>46047</v>
      </c>
      <c r="B1758" s="112" t="s">
        <v>26</v>
      </c>
      <c r="C1758" s="113" t="s">
        <v>357</v>
      </c>
      <c r="D1758" s="112" t="s">
        <v>341</v>
      </c>
      <c r="E1758" s="122">
        <v>1.3923611111111109</v>
      </c>
      <c r="F1758" s="112" t="s">
        <v>34</v>
      </c>
      <c r="G1758" s="114">
        <v>1</v>
      </c>
      <c r="H1758" s="115" t="s">
        <v>358</v>
      </c>
    </row>
    <row r="1759" spans="1:8" ht="19.899999999999999" customHeight="1">
      <c r="A1759" s="121">
        <v>46047</v>
      </c>
      <c r="B1759" s="112" t="s">
        <v>26</v>
      </c>
      <c r="C1759" s="113" t="s">
        <v>351</v>
      </c>
      <c r="D1759" s="112" t="s">
        <v>341</v>
      </c>
      <c r="E1759" s="122">
        <v>1.836805555555556</v>
      </c>
      <c r="F1759" s="112" t="s">
        <v>28</v>
      </c>
      <c r="G1759" s="114">
        <v>3</v>
      </c>
      <c r="H1759" s="115" t="s">
        <v>455</v>
      </c>
    </row>
    <row r="1760" spans="1:8" ht="19.899999999999999" customHeight="1">
      <c r="A1760" s="121">
        <v>46047</v>
      </c>
      <c r="B1760" s="112" t="s">
        <v>38</v>
      </c>
      <c r="C1760" s="113" t="s">
        <v>346</v>
      </c>
      <c r="D1760" s="112" t="s">
        <v>341</v>
      </c>
      <c r="E1760" s="122">
        <v>1.399305555555556</v>
      </c>
      <c r="F1760" s="112" t="s">
        <v>46</v>
      </c>
      <c r="G1760" s="114">
        <v>20</v>
      </c>
      <c r="H1760" s="115" t="s">
        <v>47</v>
      </c>
    </row>
    <row r="1761" spans="1:8" ht="19.899999999999999" customHeight="1">
      <c r="A1761" s="121">
        <v>46047</v>
      </c>
      <c r="B1761" s="112" t="s">
        <v>38</v>
      </c>
      <c r="C1761" s="113" t="s">
        <v>342</v>
      </c>
      <c r="D1761" s="112" t="s">
        <v>341</v>
      </c>
      <c r="E1761" s="122">
        <v>1.489583333333333</v>
      </c>
      <c r="F1761" s="112" t="s">
        <v>46</v>
      </c>
      <c r="G1761" s="114">
        <v>14</v>
      </c>
      <c r="H1761" s="115" t="s">
        <v>47</v>
      </c>
    </row>
    <row r="1762" spans="1:8" ht="19.899999999999999" customHeight="1">
      <c r="A1762" s="121">
        <v>46047</v>
      </c>
      <c r="B1762" s="112" t="s">
        <v>38</v>
      </c>
      <c r="C1762" s="113" t="s">
        <v>344</v>
      </c>
      <c r="D1762" s="112" t="s">
        <v>341</v>
      </c>
      <c r="E1762" s="122">
        <v>1.8888888888888891</v>
      </c>
      <c r="F1762" s="112" t="s">
        <v>46</v>
      </c>
      <c r="G1762" s="114">
        <v>20</v>
      </c>
      <c r="H1762" s="115" t="s">
        <v>47</v>
      </c>
    </row>
    <row r="1763" spans="1:8" ht="19.899999999999999" customHeight="1">
      <c r="A1763" s="121">
        <v>46047</v>
      </c>
      <c r="B1763" s="112" t="s">
        <v>38</v>
      </c>
      <c r="C1763" s="113" t="s">
        <v>345</v>
      </c>
      <c r="D1763" s="112" t="s">
        <v>341</v>
      </c>
      <c r="E1763" s="122">
        <v>1.989583333333333</v>
      </c>
      <c r="F1763" s="112" t="s">
        <v>46</v>
      </c>
      <c r="G1763" s="114">
        <v>19</v>
      </c>
      <c r="H1763" s="115" t="s">
        <v>47</v>
      </c>
    </row>
    <row r="1764" spans="1:8" ht="19.899999999999999" customHeight="1">
      <c r="A1764" s="121">
        <v>46047</v>
      </c>
      <c r="B1764" s="112" t="s">
        <v>26</v>
      </c>
      <c r="C1764" s="113" t="s">
        <v>351</v>
      </c>
      <c r="D1764" s="112" t="s">
        <v>341</v>
      </c>
      <c r="E1764" s="122">
        <v>1.836805555555556</v>
      </c>
      <c r="F1764" s="112" t="s">
        <v>31</v>
      </c>
      <c r="G1764" s="114">
        <v>3</v>
      </c>
      <c r="H1764" s="115" t="s">
        <v>456</v>
      </c>
    </row>
    <row r="1765" spans="1:8" ht="19.899999999999999" customHeight="1">
      <c r="A1765" s="121">
        <v>46047</v>
      </c>
      <c r="B1765" s="112" t="s">
        <v>48</v>
      </c>
      <c r="C1765" s="113" t="s">
        <v>396</v>
      </c>
      <c r="D1765" s="112" t="s">
        <v>341</v>
      </c>
      <c r="E1765" s="122">
        <v>1.489583333333333</v>
      </c>
      <c r="F1765" s="112" t="s">
        <v>53</v>
      </c>
      <c r="G1765" s="114">
        <v>4</v>
      </c>
      <c r="H1765" s="115" t="s">
        <v>481</v>
      </c>
    </row>
    <row r="1766" spans="1:8" ht="19.899999999999999" customHeight="1">
      <c r="A1766" s="121">
        <v>46047</v>
      </c>
      <c r="B1766" s="112" t="s">
        <v>26</v>
      </c>
      <c r="C1766" s="113" t="s">
        <v>351</v>
      </c>
      <c r="D1766" s="112" t="s">
        <v>341</v>
      </c>
      <c r="E1766" s="122">
        <v>1.836805555555556</v>
      </c>
      <c r="F1766" s="112" t="s">
        <v>34</v>
      </c>
      <c r="G1766" s="114">
        <v>3</v>
      </c>
      <c r="H1766" s="115" t="s">
        <v>457</v>
      </c>
    </row>
    <row r="1767" spans="1:8" ht="19.899999999999999" customHeight="1">
      <c r="A1767" s="121">
        <v>46047</v>
      </c>
      <c r="B1767" s="112" t="s">
        <v>48</v>
      </c>
      <c r="C1767" s="113" t="s">
        <v>394</v>
      </c>
      <c r="D1767" s="112" t="s">
        <v>341</v>
      </c>
      <c r="E1767" s="122">
        <v>1.989583333333333</v>
      </c>
      <c r="F1767" s="112" t="s">
        <v>53</v>
      </c>
      <c r="G1767" s="114">
        <v>4</v>
      </c>
      <c r="H1767" s="115" t="s">
        <v>399</v>
      </c>
    </row>
    <row r="1768" spans="1:8" ht="19.899999999999999" customHeight="1">
      <c r="A1768" s="121">
        <v>46047</v>
      </c>
      <c r="B1768" s="112" t="s">
        <v>48</v>
      </c>
      <c r="C1768" s="113" t="s">
        <v>398</v>
      </c>
      <c r="D1768" s="112" t="s">
        <v>341</v>
      </c>
      <c r="E1768" s="122">
        <v>1.399305555555556</v>
      </c>
      <c r="F1768" s="112" t="s">
        <v>53</v>
      </c>
      <c r="G1768" s="114">
        <v>4</v>
      </c>
      <c r="H1768" s="115" t="s">
        <v>399</v>
      </c>
    </row>
    <row r="1769" spans="1:8" ht="19.899999999999999" customHeight="1">
      <c r="A1769" s="121">
        <v>46047</v>
      </c>
      <c r="B1769" s="112" t="s">
        <v>48</v>
      </c>
      <c r="C1769" s="113" t="s">
        <v>397</v>
      </c>
      <c r="D1769" s="112" t="s">
        <v>341</v>
      </c>
      <c r="E1769" s="122">
        <v>1.8888888888888891</v>
      </c>
      <c r="F1769" s="112" t="s">
        <v>53</v>
      </c>
      <c r="G1769" s="114">
        <v>4</v>
      </c>
      <c r="H1769" s="115" t="s">
        <v>399</v>
      </c>
    </row>
    <row r="1770" spans="1:8" ht="19.899999999999999" customHeight="1">
      <c r="A1770" s="121">
        <v>46047</v>
      </c>
      <c r="B1770" s="112" t="s">
        <v>48</v>
      </c>
      <c r="C1770" s="113" t="s">
        <v>391</v>
      </c>
      <c r="D1770" s="112" t="s">
        <v>341</v>
      </c>
      <c r="E1770" s="122">
        <v>1.489583333333333</v>
      </c>
      <c r="F1770" s="112" t="s">
        <v>53</v>
      </c>
      <c r="G1770" s="114">
        <v>9</v>
      </c>
      <c r="H1770" s="115" t="s">
        <v>490</v>
      </c>
    </row>
    <row r="1771" spans="1:8" ht="19.899999999999999" customHeight="1">
      <c r="A1771" s="121">
        <v>46047</v>
      </c>
      <c r="B1771" s="112" t="s">
        <v>48</v>
      </c>
      <c r="C1771" s="113" t="s">
        <v>386</v>
      </c>
      <c r="D1771" s="112" t="s">
        <v>341</v>
      </c>
      <c r="E1771" s="122">
        <v>1.8298611111111109</v>
      </c>
      <c r="F1771" s="112" t="s">
        <v>53</v>
      </c>
      <c r="G1771" s="114">
        <v>9</v>
      </c>
      <c r="H1771" s="115" t="s">
        <v>490</v>
      </c>
    </row>
    <row r="1772" spans="1:8" ht="19.899999999999999" customHeight="1">
      <c r="A1772" s="121">
        <v>46047</v>
      </c>
      <c r="B1772" s="112" t="s">
        <v>48</v>
      </c>
      <c r="C1772" s="113" t="s">
        <v>388</v>
      </c>
      <c r="D1772" s="112" t="s">
        <v>341</v>
      </c>
      <c r="E1772" s="122">
        <v>1.7222222222222221</v>
      </c>
      <c r="F1772" s="112" t="s">
        <v>53</v>
      </c>
      <c r="G1772" s="114">
        <v>9</v>
      </c>
      <c r="H1772" s="115" t="s">
        <v>490</v>
      </c>
    </row>
    <row r="1773" spans="1:8" ht="19.899999999999999" customHeight="1">
      <c r="A1773" s="121">
        <v>46047</v>
      </c>
      <c r="B1773" s="112" t="s">
        <v>48</v>
      </c>
      <c r="C1773" s="113" t="s">
        <v>382</v>
      </c>
      <c r="D1773" s="112" t="s">
        <v>341</v>
      </c>
      <c r="E1773" s="122">
        <v>1.118055555555556</v>
      </c>
      <c r="F1773" s="112" t="s">
        <v>53</v>
      </c>
      <c r="G1773" s="114">
        <v>9</v>
      </c>
      <c r="H1773" s="115" t="s">
        <v>490</v>
      </c>
    </row>
    <row r="1774" spans="1:8" ht="19.899999999999999" customHeight="1">
      <c r="A1774" s="121">
        <v>46047</v>
      </c>
      <c r="B1774" s="112" t="s">
        <v>48</v>
      </c>
      <c r="C1774" s="113" t="s">
        <v>389</v>
      </c>
      <c r="D1774" s="112" t="s">
        <v>341</v>
      </c>
      <c r="E1774" s="122">
        <v>1.7013888888888891</v>
      </c>
      <c r="F1774" s="112" t="s">
        <v>53</v>
      </c>
      <c r="G1774" s="114">
        <v>9</v>
      </c>
      <c r="H1774" s="115" t="s">
        <v>490</v>
      </c>
    </row>
    <row r="1775" spans="1:8" ht="19.899999999999999" customHeight="1">
      <c r="A1775" s="121">
        <v>46047</v>
      </c>
      <c r="B1775" s="112" t="s">
        <v>48</v>
      </c>
      <c r="C1775" s="113" t="s">
        <v>400</v>
      </c>
      <c r="D1775" s="112" t="s">
        <v>341</v>
      </c>
      <c r="E1775" s="122">
        <v>1.2534722222222221</v>
      </c>
      <c r="F1775" s="112" t="s">
        <v>53</v>
      </c>
      <c r="G1775" s="114">
        <v>9</v>
      </c>
      <c r="H1775" s="115" t="s">
        <v>490</v>
      </c>
    </row>
    <row r="1776" spans="1:8" ht="19.899999999999999" customHeight="1">
      <c r="A1776" s="121">
        <v>46047</v>
      </c>
      <c r="B1776" s="112" t="s">
        <v>48</v>
      </c>
      <c r="C1776" s="113" t="s">
        <v>390</v>
      </c>
      <c r="D1776" s="112" t="s">
        <v>341</v>
      </c>
      <c r="E1776" s="122">
        <v>1.041666666666667</v>
      </c>
      <c r="F1776" s="112" t="s">
        <v>53</v>
      </c>
      <c r="G1776" s="114">
        <v>9</v>
      </c>
      <c r="H1776" s="115" t="s">
        <v>490</v>
      </c>
    </row>
    <row r="1777" spans="1:8" ht="19.899999999999999" customHeight="1">
      <c r="A1777" s="121">
        <v>46047</v>
      </c>
      <c r="B1777" s="112" t="s">
        <v>48</v>
      </c>
      <c r="C1777" s="113" t="s">
        <v>385</v>
      </c>
      <c r="D1777" s="112" t="s">
        <v>341</v>
      </c>
      <c r="E1777" s="122">
        <v>1.9409722222222221</v>
      </c>
      <c r="F1777" s="112" t="s">
        <v>53</v>
      </c>
      <c r="G1777" s="114">
        <v>9</v>
      </c>
      <c r="H1777" s="115" t="s">
        <v>490</v>
      </c>
    </row>
    <row r="1778" spans="1:8" ht="19.899999999999999" customHeight="1">
      <c r="A1778" s="121">
        <v>46047</v>
      </c>
      <c r="B1778" s="112" t="s">
        <v>415</v>
      </c>
      <c r="C1778" s="113" t="s">
        <v>416</v>
      </c>
      <c r="D1778" s="112" t="s">
        <v>341</v>
      </c>
      <c r="E1778" s="122">
        <v>1.100694444444444</v>
      </c>
      <c r="F1778" s="112" t="s">
        <v>63</v>
      </c>
      <c r="G1778" s="114">
        <v>9</v>
      </c>
      <c r="H1778" s="115" t="s">
        <v>417</v>
      </c>
    </row>
    <row r="1779" spans="1:8" ht="19.899999999999999" customHeight="1">
      <c r="A1779" s="121">
        <v>46047</v>
      </c>
      <c r="B1779" s="112" t="s">
        <v>68</v>
      </c>
      <c r="C1779" s="113" t="s">
        <v>405</v>
      </c>
      <c r="D1779" s="112" t="s">
        <v>341</v>
      </c>
      <c r="E1779" s="122">
        <v>1.836805555555556</v>
      </c>
      <c r="F1779" s="112" t="s">
        <v>70</v>
      </c>
      <c r="G1779" s="114">
        <v>9</v>
      </c>
      <c r="H1779" s="115" t="s">
        <v>524</v>
      </c>
    </row>
    <row r="1780" spans="1:8" ht="19.899999999999999" customHeight="1">
      <c r="A1780" s="121">
        <v>46047</v>
      </c>
      <c r="B1780" s="112" t="s">
        <v>68</v>
      </c>
      <c r="C1780" s="113" t="s">
        <v>407</v>
      </c>
      <c r="D1780" s="112" t="s">
        <v>341</v>
      </c>
      <c r="E1780" s="122">
        <v>1.3125</v>
      </c>
      <c r="F1780" s="112" t="s">
        <v>70</v>
      </c>
      <c r="G1780" s="114">
        <v>9</v>
      </c>
      <c r="H1780" s="115" t="s">
        <v>524</v>
      </c>
    </row>
    <row r="1781" spans="1:8" ht="19.899999999999999" customHeight="1">
      <c r="A1781" s="121">
        <v>46047</v>
      </c>
      <c r="B1781" s="112" t="s">
        <v>68</v>
      </c>
      <c r="C1781" s="113" t="s">
        <v>408</v>
      </c>
      <c r="D1781" s="112" t="s">
        <v>341</v>
      </c>
      <c r="E1781" s="122">
        <v>1.9722222222222221</v>
      </c>
      <c r="F1781" s="112" t="s">
        <v>70</v>
      </c>
      <c r="G1781" s="114">
        <v>9</v>
      </c>
      <c r="H1781" s="115" t="s">
        <v>524</v>
      </c>
    </row>
    <row r="1782" spans="1:8" ht="19.899999999999999" customHeight="1">
      <c r="A1782" s="121">
        <v>46047</v>
      </c>
      <c r="B1782" s="112" t="s">
        <v>68</v>
      </c>
      <c r="C1782" s="113" t="s">
        <v>437</v>
      </c>
      <c r="D1782" s="112" t="s">
        <v>341</v>
      </c>
      <c r="E1782" s="122">
        <v>1.104166666666667</v>
      </c>
      <c r="F1782" s="112" t="s">
        <v>70</v>
      </c>
      <c r="G1782" s="114">
        <v>9</v>
      </c>
      <c r="H1782" s="115" t="s">
        <v>524</v>
      </c>
    </row>
    <row r="1783" spans="1:8" ht="19.899999999999999" customHeight="1">
      <c r="A1783" s="121">
        <v>46047</v>
      </c>
      <c r="B1783" s="112" t="s">
        <v>68</v>
      </c>
      <c r="C1783" s="113" t="s">
        <v>411</v>
      </c>
      <c r="D1783" s="112" t="s">
        <v>341</v>
      </c>
      <c r="E1783" s="122">
        <v>1.7847222222222221</v>
      </c>
      <c r="F1783" s="112" t="s">
        <v>70</v>
      </c>
      <c r="G1783" s="114">
        <v>9</v>
      </c>
      <c r="H1783" s="115" t="s">
        <v>524</v>
      </c>
    </row>
    <row r="1784" spans="1:8" ht="19.899999999999999" customHeight="1">
      <c r="A1784" s="121">
        <v>46047</v>
      </c>
      <c r="B1784" s="112" t="s">
        <v>68</v>
      </c>
      <c r="C1784" s="113" t="s">
        <v>410</v>
      </c>
      <c r="D1784" s="112" t="s">
        <v>341</v>
      </c>
      <c r="E1784" s="122">
        <v>1.5972222222222221</v>
      </c>
      <c r="F1784" s="112" t="s">
        <v>70</v>
      </c>
      <c r="G1784" s="114">
        <v>9</v>
      </c>
      <c r="H1784" s="115" t="s">
        <v>524</v>
      </c>
    </row>
    <row r="1785" spans="1:8" ht="19.899999999999999" customHeight="1">
      <c r="A1785" s="123">
        <v>46047</v>
      </c>
      <c r="B1785" s="124" t="s">
        <v>68</v>
      </c>
      <c r="C1785" s="125" t="s">
        <v>413</v>
      </c>
      <c r="D1785" s="124" t="s">
        <v>341</v>
      </c>
      <c r="E1785" s="126">
        <v>1.0486111111111109</v>
      </c>
      <c r="F1785" s="124" t="s">
        <v>70</v>
      </c>
      <c r="G1785" s="127">
        <v>9</v>
      </c>
      <c r="H1785" s="128" t="s">
        <v>524</v>
      </c>
    </row>
    <row r="1786" spans="1:8" ht="19.899999999999999" customHeight="1">
      <c r="A1786" s="121">
        <v>46048</v>
      </c>
      <c r="B1786" s="112" t="s">
        <v>38</v>
      </c>
      <c r="C1786" s="113" t="s">
        <v>342</v>
      </c>
      <c r="D1786" s="112" t="s">
        <v>341</v>
      </c>
      <c r="E1786" s="122">
        <v>1.489583333333333</v>
      </c>
      <c r="F1786" s="112" t="s">
        <v>40</v>
      </c>
      <c r="G1786" s="114">
        <v>16</v>
      </c>
      <c r="H1786" s="115" t="s">
        <v>81</v>
      </c>
    </row>
    <row r="1787" spans="1:8" ht="19.899999999999999" customHeight="1">
      <c r="A1787" s="121">
        <v>46048</v>
      </c>
      <c r="B1787" s="112" t="s">
        <v>38</v>
      </c>
      <c r="C1787" s="113" t="s">
        <v>346</v>
      </c>
      <c r="D1787" s="112" t="s">
        <v>341</v>
      </c>
      <c r="E1787" s="122">
        <v>1.399305555555556</v>
      </c>
      <c r="F1787" s="112" t="s">
        <v>40</v>
      </c>
      <c r="G1787" s="114">
        <v>20</v>
      </c>
      <c r="H1787" s="115" t="s">
        <v>347</v>
      </c>
    </row>
    <row r="1788" spans="1:8" ht="19.899999999999999" customHeight="1">
      <c r="A1788" s="121">
        <v>46048</v>
      </c>
      <c r="B1788" s="112" t="s">
        <v>38</v>
      </c>
      <c r="C1788" s="113" t="s">
        <v>344</v>
      </c>
      <c r="D1788" s="112" t="s">
        <v>341</v>
      </c>
      <c r="E1788" s="122">
        <v>1.8888888888888891</v>
      </c>
      <c r="F1788" s="112" t="s">
        <v>40</v>
      </c>
      <c r="G1788" s="114">
        <v>20</v>
      </c>
      <c r="H1788" s="115" t="s">
        <v>347</v>
      </c>
    </row>
    <row r="1789" spans="1:8" ht="19.899999999999999" customHeight="1">
      <c r="A1789" s="121">
        <v>46048</v>
      </c>
      <c r="B1789" s="112" t="s">
        <v>38</v>
      </c>
      <c r="C1789" s="113" t="s">
        <v>345</v>
      </c>
      <c r="D1789" s="112" t="s">
        <v>341</v>
      </c>
      <c r="E1789" s="122">
        <v>1.989583333333333</v>
      </c>
      <c r="F1789" s="112" t="s">
        <v>40</v>
      </c>
      <c r="G1789" s="114">
        <v>20</v>
      </c>
      <c r="H1789" s="115" t="s">
        <v>347</v>
      </c>
    </row>
    <row r="1790" spans="1:8" ht="19.899999999999999" customHeight="1">
      <c r="A1790" s="121">
        <v>46048</v>
      </c>
      <c r="B1790" s="112" t="s">
        <v>359</v>
      </c>
      <c r="C1790" s="113" t="s">
        <v>360</v>
      </c>
      <c r="D1790" s="112" t="s">
        <v>341</v>
      </c>
      <c r="E1790" s="122">
        <v>1.225694444444444</v>
      </c>
      <c r="F1790" s="112" t="s">
        <v>361</v>
      </c>
      <c r="G1790" s="114">
        <v>9</v>
      </c>
      <c r="H1790" s="115" t="s">
        <v>525</v>
      </c>
    </row>
    <row r="1791" spans="1:8" ht="19.899999999999999" customHeight="1">
      <c r="A1791" s="121">
        <v>46048</v>
      </c>
      <c r="B1791" s="112" t="s">
        <v>359</v>
      </c>
      <c r="C1791" s="113" t="s">
        <v>445</v>
      </c>
      <c r="D1791" s="112" t="s">
        <v>341</v>
      </c>
      <c r="E1791" s="122">
        <v>1.0138888888888891</v>
      </c>
      <c r="F1791" s="112" t="s">
        <v>361</v>
      </c>
      <c r="G1791" s="114">
        <v>9</v>
      </c>
      <c r="H1791" s="115" t="s">
        <v>525</v>
      </c>
    </row>
    <row r="1792" spans="1:8" ht="19.899999999999999" customHeight="1">
      <c r="A1792" s="121">
        <v>46048</v>
      </c>
      <c r="B1792" s="112" t="s">
        <v>26</v>
      </c>
      <c r="C1792" s="113" t="s">
        <v>348</v>
      </c>
      <c r="D1792" s="112" t="s">
        <v>341</v>
      </c>
      <c r="E1792" s="122">
        <v>1.993055555555556</v>
      </c>
      <c r="F1792" s="112" t="s">
        <v>28</v>
      </c>
      <c r="G1792" s="114">
        <v>4</v>
      </c>
      <c r="H1792" s="115" t="s">
        <v>83</v>
      </c>
    </row>
    <row r="1793" spans="1:8" ht="19.899999999999999" customHeight="1">
      <c r="A1793" s="121">
        <v>46048</v>
      </c>
      <c r="B1793" s="112" t="s">
        <v>26</v>
      </c>
      <c r="C1793" s="113" t="s">
        <v>351</v>
      </c>
      <c r="D1793" s="112" t="s">
        <v>341</v>
      </c>
      <c r="E1793" s="122">
        <v>1.836805555555556</v>
      </c>
      <c r="F1793" s="112" t="s">
        <v>28</v>
      </c>
      <c r="G1793" s="114">
        <v>2</v>
      </c>
      <c r="H1793" s="115" t="s">
        <v>83</v>
      </c>
    </row>
    <row r="1794" spans="1:8" ht="19.899999999999999" customHeight="1">
      <c r="A1794" s="121">
        <v>46048</v>
      </c>
      <c r="B1794" s="112" t="s">
        <v>26</v>
      </c>
      <c r="C1794" s="113" t="s">
        <v>353</v>
      </c>
      <c r="D1794" s="112" t="s">
        <v>341</v>
      </c>
      <c r="E1794" s="122">
        <v>1.8888888888888891</v>
      </c>
      <c r="F1794" s="112" t="s">
        <v>28</v>
      </c>
      <c r="G1794" s="114">
        <v>4</v>
      </c>
      <c r="H1794" s="115" t="s">
        <v>83</v>
      </c>
    </row>
    <row r="1795" spans="1:8" ht="19.899999999999999" customHeight="1">
      <c r="A1795" s="121">
        <v>46048</v>
      </c>
      <c r="B1795" s="112" t="s">
        <v>402</v>
      </c>
      <c r="C1795" s="113" t="s">
        <v>403</v>
      </c>
      <c r="D1795" s="112" t="s">
        <v>341</v>
      </c>
      <c r="E1795" s="122">
        <v>1.493055555555556</v>
      </c>
      <c r="F1795" s="112" t="s">
        <v>63</v>
      </c>
      <c r="G1795" s="114">
        <v>5</v>
      </c>
      <c r="H1795" s="115" t="s">
        <v>404</v>
      </c>
    </row>
    <row r="1796" spans="1:8" ht="19.899999999999999" customHeight="1">
      <c r="A1796" s="121">
        <v>46048</v>
      </c>
      <c r="B1796" s="112" t="s">
        <v>402</v>
      </c>
      <c r="C1796" s="113" t="s">
        <v>465</v>
      </c>
      <c r="D1796" s="112" t="s">
        <v>341</v>
      </c>
      <c r="E1796" s="122">
        <v>1.135416666666667</v>
      </c>
      <c r="F1796" s="112" t="s">
        <v>63</v>
      </c>
      <c r="G1796" s="114">
        <v>5</v>
      </c>
      <c r="H1796" s="115" t="s">
        <v>404</v>
      </c>
    </row>
    <row r="1797" spans="1:8" ht="19.899999999999999" customHeight="1">
      <c r="A1797" s="121">
        <v>46048</v>
      </c>
      <c r="B1797" s="112" t="s">
        <v>402</v>
      </c>
      <c r="C1797" s="113" t="s">
        <v>473</v>
      </c>
      <c r="D1797" s="112" t="s">
        <v>341</v>
      </c>
      <c r="E1797" s="122">
        <v>1.868055555555556</v>
      </c>
      <c r="F1797" s="112" t="s">
        <v>63</v>
      </c>
      <c r="G1797" s="114">
        <v>5</v>
      </c>
      <c r="H1797" s="115" t="s">
        <v>404</v>
      </c>
    </row>
    <row r="1798" spans="1:8" ht="19.899999999999999" customHeight="1">
      <c r="A1798" s="129">
        <v>46048</v>
      </c>
      <c r="B1798" s="117" t="s">
        <v>61</v>
      </c>
      <c r="C1798" s="118" t="s">
        <v>432</v>
      </c>
      <c r="D1798" s="117" t="s">
        <v>341</v>
      </c>
      <c r="E1798" s="130">
        <v>1.802083333333333</v>
      </c>
      <c r="F1798" s="117" t="s">
        <v>63</v>
      </c>
      <c r="G1798" s="119">
        <v>6</v>
      </c>
      <c r="H1798" s="120" t="s">
        <v>79</v>
      </c>
    </row>
    <row r="1799" spans="1:8" ht="19.899999999999999" customHeight="1">
      <c r="A1799" s="129">
        <v>46048</v>
      </c>
      <c r="B1799" s="117" t="s">
        <v>61</v>
      </c>
      <c r="C1799" s="118" t="s">
        <v>375</v>
      </c>
      <c r="D1799" s="117" t="s">
        <v>341</v>
      </c>
      <c r="E1799" s="130">
        <v>1.2465277777777779</v>
      </c>
      <c r="F1799" s="117" t="s">
        <v>63</v>
      </c>
      <c r="G1799" s="119">
        <v>2</v>
      </c>
      <c r="H1799" s="120" t="s">
        <v>79</v>
      </c>
    </row>
    <row r="1800" spans="1:8" ht="19.899999999999999" customHeight="1">
      <c r="A1800" s="129">
        <v>46048</v>
      </c>
      <c r="B1800" s="117" t="s">
        <v>61</v>
      </c>
      <c r="C1800" s="118" t="s">
        <v>377</v>
      </c>
      <c r="D1800" s="117" t="s">
        <v>341</v>
      </c>
      <c r="E1800" s="130">
        <v>1.4375</v>
      </c>
      <c r="F1800" s="117" t="s">
        <v>63</v>
      </c>
      <c r="G1800" s="119">
        <v>4</v>
      </c>
      <c r="H1800" s="120" t="s">
        <v>79</v>
      </c>
    </row>
    <row r="1801" spans="1:8" ht="19.899999999999999" customHeight="1">
      <c r="A1801" s="121">
        <v>46048</v>
      </c>
      <c r="B1801" s="112" t="s">
        <v>26</v>
      </c>
      <c r="C1801" s="113" t="s">
        <v>354</v>
      </c>
      <c r="D1801" s="112" t="s">
        <v>341</v>
      </c>
      <c r="E1801" s="122">
        <v>1.3472222222222221</v>
      </c>
      <c r="F1801" s="112" t="s">
        <v>28</v>
      </c>
      <c r="G1801" s="114">
        <v>3</v>
      </c>
      <c r="H1801" s="115" t="s">
        <v>79</v>
      </c>
    </row>
    <row r="1802" spans="1:8" ht="19.899999999999999" customHeight="1">
      <c r="A1802" s="121">
        <v>46048</v>
      </c>
      <c r="B1802" s="112" t="s">
        <v>26</v>
      </c>
      <c r="C1802" s="113" t="s">
        <v>356</v>
      </c>
      <c r="D1802" s="112" t="s">
        <v>341</v>
      </c>
      <c r="E1802" s="122">
        <v>1.4861111111111109</v>
      </c>
      <c r="F1802" s="112" t="s">
        <v>28</v>
      </c>
      <c r="G1802" s="114">
        <v>3</v>
      </c>
      <c r="H1802" s="115" t="s">
        <v>79</v>
      </c>
    </row>
    <row r="1803" spans="1:8" ht="19.899999999999999" customHeight="1">
      <c r="A1803" s="121">
        <v>46048</v>
      </c>
      <c r="B1803" s="112" t="s">
        <v>38</v>
      </c>
      <c r="C1803" s="113" t="s">
        <v>342</v>
      </c>
      <c r="D1803" s="112" t="s">
        <v>341</v>
      </c>
      <c r="E1803" s="122">
        <v>1.489583333333333</v>
      </c>
      <c r="F1803" s="112" t="s">
        <v>43</v>
      </c>
      <c r="G1803" s="114">
        <v>16</v>
      </c>
      <c r="H1803" s="115" t="s">
        <v>161</v>
      </c>
    </row>
    <row r="1804" spans="1:8" ht="19.899999999999999" customHeight="1">
      <c r="A1804" s="121">
        <v>46048</v>
      </c>
      <c r="B1804" s="112" t="s">
        <v>26</v>
      </c>
      <c r="C1804" s="113" t="s">
        <v>352</v>
      </c>
      <c r="D1804" s="112" t="s">
        <v>341</v>
      </c>
      <c r="E1804" s="122">
        <v>1.944444444444444</v>
      </c>
      <c r="F1804" s="112" t="s">
        <v>28</v>
      </c>
      <c r="G1804" s="114">
        <v>5</v>
      </c>
      <c r="H1804" s="115" t="s">
        <v>45</v>
      </c>
    </row>
    <row r="1805" spans="1:8" ht="19.899999999999999" customHeight="1">
      <c r="A1805" s="121">
        <v>46048</v>
      </c>
      <c r="B1805" s="112" t="s">
        <v>26</v>
      </c>
      <c r="C1805" s="113" t="s">
        <v>348</v>
      </c>
      <c r="D1805" s="112" t="s">
        <v>341</v>
      </c>
      <c r="E1805" s="122">
        <v>1.993055555555556</v>
      </c>
      <c r="F1805" s="112" t="s">
        <v>31</v>
      </c>
      <c r="G1805" s="114">
        <v>4</v>
      </c>
      <c r="H1805" s="115" t="s">
        <v>159</v>
      </c>
    </row>
    <row r="1806" spans="1:8" ht="19.899999999999999" customHeight="1">
      <c r="A1806" s="121">
        <v>46048</v>
      </c>
      <c r="B1806" s="112" t="s">
        <v>26</v>
      </c>
      <c r="C1806" s="113" t="s">
        <v>351</v>
      </c>
      <c r="D1806" s="112" t="s">
        <v>341</v>
      </c>
      <c r="E1806" s="122">
        <v>1.836805555555556</v>
      </c>
      <c r="F1806" s="112" t="s">
        <v>31</v>
      </c>
      <c r="G1806" s="114">
        <v>2</v>
      </c>
      <c r="H1806" s="115" t="s">
        <v>159</v>
      </c>
    </row>
    <row r="1807" spans="1:8" ht="19.899999999999999" customHeight="1">
      <c r="A1807" s="121">
        <v>46048</v>
      </c>
      <c r="B1807" s="112" t="s">
        <v>26</v>
      </c>
      <c r="C1807" s="113" t="s">
        <v>353</v>
      </c>
      <c r="D1807" s="112" t="s">
        <v>341</v>
      </c>
      <c r="E1807" s="122">
        <v>1.8888888888888891</v>
      </c>
      <c r="F1807" s="112" t="s">
        <v>31</v>
      </c>
      <c r="G1807" s="114">
        <v>4</v>
      </c>
      <c r="H1807" s="115" t="s">
        <v>159</v>
      </c>
    </row>
    <row r="1808" spans="1:8" ht="19.899999999999999" customHeight="1">
      <c r="A1808" s="121">
        <v>46048</v>
      </c>
      <c r="B1808" s="112" t="s">
        <v>38</v>
      </c>
      <c r="C1808" s="113" t="s">
        <v>346</v>
      </c>
      <c r="D1808" s="112" t="s">
        <v>341</v>
      </c>
      <c r="E1808" s="122">
        <v>1.399305555555556</v>
      </c>
      <c r="F1808" s="112" t="s">
        <v>43</v>
      </c>
      <c r="G1808" s="114">
        <v>20</v>
      </c>
      <c r="H1808" s="115" t="s">
        <v>138</v>
      </c>
    </row>
    <row r="1809" spans="1:8" ht="19.899999999999999" customHeight="1">
      <c r="A1809" s="121">
        <v>46048</v>
      </c>
      <c r="B1809" s="112" t="s">
        <v>38</v>
      </c>
      <c r="C1809" s="113" t="s">
        <v>344</v>
      </c>
      <c r="D1809" s="112" t="s">
        <v>341</v>
      </c>
      <c r="E1809" s="122">
        <v>1.8888888888888891</v>
      </c>
      <c r="F1809" s="112" t="s">
        <v>43</v>
      </c>
      <c r="G1809" s="114">
        <v>20</v>
      </c>
      <c r="H1809" s="115" t="s">
        <v>138</v>
      </c>
    </row>
    <row r="1810" spans="1:8" ht="19.899999999999999" customHeight="1">
      <c r="A1810" s="121">
        <v>46048</v>
      </c>
      <c r="B1810" s="112" t="s">
        <v>38</v>
      </c>
      <c r="C1810" s="113" t="s">
        <v>345</v>
      </c>
      <c r="D1810" s="112" t="s">
        <v>341</v>
      </c>
      <c r="E1810" s="122">
        <v>1.989583333333333</v>
      </c>
      <c r="F1810" s="112" t="s">
        <v>43</v>
      </c>
      <c r="G1810" s="114">
        <v>20</v>
      </c>
      <c r="H1810" s="115" t="s">
        <v>138</v>
      </c>
    </row>
    <row r="1811" spans="1:8" ht="19.899999999999999" customHeight="1">
      <c r="A1811" s="121">
        <v>46048</v>
      </c>
      <c r="B1811" s="112" t="s">
        <v>26</v>
      </c>
      <c r="C1811" s="113" t="s">
        <v>354</v>
      </c>
      <c r="D1811" s="112" t="s">
        <v>341</v>
      </c>
      <c r="E1811" s="122">
        <v>1.3472222222222221</v>
      </c>
      <c r="F1811" s="112" t="s">
        <v>31</v>
      </c>
      <c r="G1811" s="114">
        <v>3</v>
      </c>
      <c r="H1811" s="115" t="s">
        <v>123</v>
      </c>
    </row>
    <row r="1812" spans="1:8" ht="19.899999999999999" customHeight="1">
      <c r="A1812" s="121">
        <v>46048</v>
      </c>
      <c r="B1812" s="112" t="s">
        <v>26</v>
      </c>
      <c r="C1812" s="113" t="s">
        <v>356</v>
      </c>
      <c r="D1812" s="112" t="s">
        <v>341</v>
      </c>
      <c r="E1812" s="122">
        <v>1.4861111111111109</v>
      </c>
      <c r="F1812" s="112" t="s">
        <v>31</v>
      </c>
      <c r="G1812" s="114">
        <v>3</v>
      </c>
      <c r="H1812" s="115" t="s">
        <v>123</v>
      </c>
    </row>
    <row r="1813" spans="1:8" ht="19.899999999999999" customHeight="1">
      <c r="A1813" s="121">
        <v>46048</v>
      </c>
      <c r="B1813" s="112" t="s">
        <v>359</v>
      </c>
      <c r="C1813" s="113" t="s">
        <v>360</v>
      </c>
      <c r="D1813" s="112" t="s">
        <v>341</v>
      </c>
      <c r="E1813" s="122">
        <v>1.225694444444444</v>
      </c>
      <c r="F1813" s="112" t="s">
        <v>46</v>
      </c>
      <c r="G1813" s="114">
        <v>9</v>
      </c>
      <c r="H1813" s="115" t="s">
        <v>526</v>
      </c>
    </row>
    <row r="1814" spans="1:8" ht="19.899999999999999" customHeight="1">
      <c r="A1814" s="121">
        <v>46048</v>
      </c>
      <c r="B1814" s="112" t="s">
        <v>359</v>
      </c>
      <c r="C1814" s="113" t="s">
        <v>445</v>
      </c>
      <c r="D1814" s="112" t="s">
        <v>341</v>
      </c>
      <c r="E1814" s="122">
        <v>1.0138888888888891</v>
      </c>
      <c r="F1814" s="112" t="s">
        <v>46</v>
      </c>
      <c r="G1814" s="114">
        <v>9</v>
      </c>
      <c r="H1814" s="115" t="s">
        <v>526</v>
      </c>
    </row>
    <row r="1815" spans="1:8" ht="19.899999999999999" customHeight="1">
      <c r="A1815" s="121">
        <v>46048</v>
      </c>
      <c r="B1815" s="112" t="s">
        <v>26</v>
      </c>
      <c r="C1815" s="113" t="s">
        <v>348</v>
      </c>
      <c r="D1815" s="112" t="s">
        <v>341</v>
      </c>
      <c r="E1815" s="122">
        <v>1.993055555555556</v>
      </c>
      <c r="F1815" s="112" t="s">
        <v>34</v>
      </c>
      <c r="G1815" s="114">
        <v>4</v>
      </c>
      <c r="H1815" s="115" t="s">
        <v>355</v>
      </c>
    </row>
    <row r="1816" spans="1:8" ht="19.899999999999999" customHeight="1">
      <c r="A1816" s="121">
        <v>46048</v>
      </c>
      <c r="B1816" s="112" t="s">
        <v>26</v>
      </c>
      <c r="C1816" s="113" t="s">
        <v>351</v>
      </c>
      <c r="D1816" s="112" t="s">
        <v>341</v>
      </c>
      <c r="E1816" s="122">
        <v>1.836805555555556</v>
      </c>
      <c r="F1816" s="112" t="s">
        <v>34</v>
      </c>
      <c r="G1816" s="114">
        <v>2</v>
      </c>
      <c r="H1816" s="115" t="s">
        <v>355</v>
      </c>
    </row>
    <row r="1817" spans="1:8" ht="19.899999999999999" customHeight="1">
      <c r="A1817" s="121">
        <v>46048</v>
      </c>
      <c r="B1817" s="112" t="s">
        <v>26</v>
      </c>
      <c r="C1817" s="113" t="s">
        <v>352</v>
      </c>
      <c r="D1817" s="112" t="s">
        <v>341</v>
      </c>
      <c r="E1817" s="122">
        <v>1.944444444444444</v>
      </c>
      <c r="F1817" s="112" t="s">
        <v>31</v>
      </c>
      <c r="G1817" s="114">
        <v>5</v>
      </c>
      <c r="H1817" s="115" t="s">
        <v>355</v>
      </c>
    </row>
    <row r="1818" spans="1:8" ht="19.899999999999999" customHeight="1">
      <c r="A1818" s="121">
        <v>46048</v>
      </c>
      <c r="B1818" s="112" t="s">
        <v>26</v>
      </c>
      <c r="C1818" s="113" t="s">
        <v>353</v>
      </c>
      <c r="D1818" s="112" t="s">
        <v>341</v>
      </c>
      <c r="E1818" s="122">
        <v>1.8888888888888891</v>
      </c>
      <c r="F1818" s="112" t="s">
        <v>34</v>
      </c>
      <c r="G1818" s="114">
        <v>4</v>
      </c>
      <c r="H1818" s="115" t="s">
        <v>355</v>
      </c>
    </row>
    <row r="1819" spans="1:8" ht="19.899999999999999" customHeight="1">
      <c r="A1819" s="121">
        <v>46048</v>
      </c>
      <c r="B1819" s="112" t="s">
        <v>26</v>
      </c>
      <c r="C1819" s="113" t="s">
        <v>354</v>
      </c>
      <c r="D1819" s="112" t="s">
        <v>341</v>
      </c>
      <c r="E1819" s="122">
        <v>1.3472222222222221</v>
      </c>
      <c r="F1819" s="112" t="s">
        <v>34</v>
      </c>
      <c r="G1819" s="114">
        <v>3</v>
      </c>
      <c r="H1819" s="115" t="s">
        <v>118</v>
      </c>
    </row>
    <row r="1820" spans="1:8" ht="19.899999999999999" customHeight="1">
      <c r="A1820" s="121">
        <v>46048</v>
      </c>
      <c r="B1820" s="112" t="s">
        <v>26</v>
      </c>
      <c r="C1820" s="113" t="s">
        <v>356</v>
      </c>
      <c r="D1820" s="112" t="s">
        <v>341</v>
      </c>
      <c r="E1820" s="122">
        <v>1.4861111111111109</v>
      </c>
      <c r="F1820" s="112" t="s">
        <v>34</v>
      </c>
      <c r="G1820" s="114">
        <v>3</v>
      </c>
      <c r="H1820" s="115" t="s">
        <v>118</v>
      </c>
    </row>
    <row r="1821" spans="1:8" ht="19.899999999999999" customHeight="1">
      <c r="A1821" s="121">
        <v>46048</v>
      </c>
      <c r="B1821" s="112" t="s">
        <v>26</v>
      </c>
      <c r="C1821" s="113" t="s">
        <v>352</v>
      </c>
      <c r="D1821" s="112" t="s">
        <v>341</v>
      </c>
      <c r="E1821" s="122">
        <v>1.944444444444444</v>
      </c>
      <c r="F1821" s="112" t="s">
        <v>34</v>
      </c>
      <c r="G1821" s="114">
        <v>5</v>
      </c>
      <c r="H1821" s="115" t="s">
        <v>358</v>
      </c>
    </row>
    <row r="1822" spans="1:8" ht="19.899999999999999" customHeight="1">
      <c r="A1822" s="121">
        <v>46048</v>
      </c>
      <c r="B1822" s="112" t="s">
        <v>26</v>
      </c>
      <c r="C1822" s="113" t="s">
        <v>350</v>
      </c>
      <c r="D1822" s="112" t="s">
        <v>341</v>
      </c>
      <c r="E1822" s="122">
        <v>1.7361111111111109</v>
      </c>
      <c r="F1822" s="112" t="s">
        <v>28</v>
      </c>
      <c r="G1822" s="114">
        <v>4</v>
      </c>
      <c r="H1822" s="115" t="s">
        <v>455</v>
      </c>
    </row>
    <row r="1823" spans="1:8" ht="19.899999999999999" customHeight="1">
      <c r="A1823" s="121">
        <v>46048</v>
      </c>
      <c r="B1823" s="112" t="s">
        <v>26</v>
      </c>
      <c r="C1823" s="113" t="s">
        <v>357</v>
      </c>
      <c r="D1823" s="112" t="s">
        <v>341</v>
      </c>
      <c r="E1823" s="122">
        <v>1.5590277777777779</v>
      </c>
      <c r="F1823" s="112" t="s">
        <v>28</v>
      </c>
      <c r="G1823" s="114">
        <v>3</v>
      </c>
      <c r="H1823" s="115" t="s">
        <v>455</v>
      </c>
    </row>
    <row r="1824" spans="1:8" ht="19.899999999999999" customHeight="1">
      <c r="A1824" s="121">
        <v>46048</v>
      </c>
      <c r="B1824" s="112" t="s">
        <v>38</v>
      </c>
      <c r="C1824" s="113" t="s">
        <v>346</v>
      </c>
      <c r="D1824" s="112" t="s">
        <v>341</v>
      </c>
      <c r="E1824" s="122">
        <v>1.399305555555556</v>
      </c>
      <c r="F1824" s="112" t="s">
        <v>46</v>
      </c>
      <c r="G1824" s="114">
        <v>20</v>
      </c>
      <c r="H1824" s="115" t="s">
        <v>47</v>
      </c>
    </row>
    <row r="1825" spans="1:8" ht="19.899999999999999" customHeight="1">
      <c r="A1825" s="121">
        <v>46048</v>
      </c>
      <c r="B1825" s="112" t="s">
        <v>38</v>
      </c>
      <c r="C1825" s="113" t="s">
        <v>342</v>
      </c>
      <c r="D1825" s="112" t="s">
        <v>341</v>
      </c>
      <c r="E1825" s="122">
        <v>1.489583333333333</v>
      </c>
      <c r="F1825" s="112" t="s">
        <v>46</v>
      </c>
      <c r="G1825" s="114">
        <v>16</v>
      </c>
      <c r="H1825" s="115" t="s">
        <v>47</v>
      </c>
    </row>
    <row r="1826" spans="1:8" ht="19.899999999999999" customHeight="1">
      <c r="A1826" s="121">
        <v>46048</v>
      </c>
      <c r="B1826" s="112" t="s">
        <v>38</v>
      </c>
      <c r="C1826" s="113" t="s">
        <v>344</v>
      </c>
      <c r="D1826" s="112" t="s">
        <v>341</v>
      </c>
      <c r="E1826" s="122">
        <v>1.8888888888888891</v>
      </c>
      <c r="F1826" s="112" t="s">
        <v>46</v>
      </c>
      <c r="G1826" s="114">
        <v>20</v>
      </c>
      <c r="H1826" s="115" t="s">
        <v>47</v>
      </c>
    </row>
    <row r="1827" spans="1:8" ht="19.899999999999999" customHeight="1">
      <c r="A1827" s="121">
        <v>46048</v>
      </c>
      <c r="B1827" s="112" t="s">
        <v>38</v>
      </c>
      <c r="C1827" s="113" t="s">
        <v>345</v>
      </c>
      <c r="D1827" s="112" t="s">
        <v>341</v>
      </c>
      <c r="E1827" s="122">
        <v>1.989583333333333</v>
      </c>
      <c r="F1827" s="112" t="s">
        <v>46</v>
      </c>
      <c r="G1827" s="114">
        <v>20</v>
      </c>
      <c r="H1827" s="115" t="s">
        <v>47</v>
      </c>
    </row>
    <row r="1828" spans="1:8" ht="19.899999999999999" customHeight="1">
      <c r="A1828" s="121">
        <v>46048</v>
      </c>
      <c r="B1828" s="112" t="s">
        <v>26</v>
      </c>
      <c r="C1828" s="113" t="s">
        <v>350</v>
      </c>
      <c r="D1828" s="112" t="s">
        <v>341</v>
      </c>
      <c r="E1828" s="122">
        <v>1.7361111111111109</v>
      </c>
      <c r="F1828" s="112" t="s">
        <v>31</v>
      </c>
      <c r="G1828" s="114">
        <v>4</v>
      </c>
      <c r="H1828" s="115" t="s">
        <v>456</v>
      </c>
    </row>
    <row r="1829" spans="1:8" ht="19.899999999999999" customHeight="1">
      <c r="A1829" s="121">
        <v>46048</v>
      </c>
      <c r="B1829" s="112" t="s">
        <v>26</v>
      </c>
      <c r="C1829" s="113" t="s">
        <v>357</v>
      </c>
      <c r="D1829" s="112" t="s">
        <v>341</v>
      </c>
      <c r="E1829" s="122">
        <v>1.5590277777777779</v>
      </c>
      <c r="F1829" s="112" t="s">
        <v>31</v>
      </c>
      <c r="G1829" s="114">
        <v>3</v>
      </c>
      <c r="H1829" s="115" t="s">
        <v>456</v>
      </c>
    </row>
    <row r="1830" spans="1:8" ht="19.899999999999999" customHeight="1">
      <c r="A1830" s="121">
        <v>46048</v>
      </c>
      <c r="B1830" s="112" t="s">
        <v>48</v>
      </c>
      <c r="C1830" s="113" t="s">
        <v>396</v>
      </c>
      <c r="D1830" s="112" t="s">
        <v>341</v>
      </c>
      <c r="E1830" s="122">
        <v>1.489583333333333</v>
      </c>
      <c r="F1830" s="112" t="s">
        <v>53</v>
      </c>
      <c r="G1830" s="114">
        <v>4</v>
      </c>
      <c r="H1830" s="115" t="s">
        <v>481</v>
      </c>
    </row>
    <row r="1831" spans="1:8" ht="19.899999999999999" customHeight="1">
      <c r="A1831" s="121">
        <v>46048</v>
      </c>
      <c r="B1831" s="112" t="s">
        <v>26</v>
      </c>
      <c r="C1831" s="113" t="s">
        <v>350</v>
      </c>
      <c r="D1831" s="112" t="s">
        <v>341</v>
      </c>
      <c r="E1831" s="122">
        <v>1.7361111111111109</v>
      </c>
      <c r="F1831" s="112" t="s">
        <v>34</v>
      </c>
      <c r="G1831" s="114">
        <v>4</v>
      </c>
      <c r="H1831" s="115" t="s">
        <v>457</v>
      </c>
    </row>
    <row r="1832" spans="1:8" ht="19.899999999999999" customHeight="1">
      <c r="A1832" s="121">
        <v>46048</v>
      </c>
      <c r="B1832" s="112" t="s">
        <v>26</v>
      </c>
      <c r="C1832" s="113" t="s">
        <v>357</v>
      </c>
      <c r="D1832" s="112" t="s">
        <v>341</v>
      </c>
      <c r="E1832" s="122">
        <v>1.5590277777777779</v>
      </c>
      <c r="F1832" s="112" t="s">
        <v>34</v>
      </c>
      <c r="G1832" s="114">
        <v>3</v>
      </c>
      <c r="H1832" s="115" t="s">
        <v>457</v>
      </c>
    </row>
    <row r="1833" spans="1:8" ht="19.899999999999999" customHeight="1">
      <c r="A1833" s="121">
        <v>46048</v>
      </c>
      <c r="B1833" s="112" t="s">
        <v>48</v>
      </c>
      <c r="C1833" s="113" t="s">
        <v>394</v>
      </c>
      <c r="D1833" s="112" t="s">
        <v>341</v>
      </c>
      <c r="E1833" s="122">
        <v>1.989583333333333</v>
      </c>
      <c r="F1833" s="112" t="s">
        <v>53</v>
      </c>
      <c r="G1833" s="114">
        <v>4</v>
      </c>
      <c r="H1833" s="115" t="s">
        <v>399</v>
      </c>
    </row>
    <row r="1834" spans="1:8" ht="19.899999999999999" customHeight="1">
      <c r="A1834" s="121">
        <v>46048</v>
      </c>
      <c r="B1834" s="112" t="s">
        <v>48</v>
      </c>
      <c r="C1834" s="113" t="s">
        <v>398</v>
      </c>
      <c r="D1834" s="112" t="s">
        <v>341</v>
      </c>
      <c r="E1834" s="122">
        <v>1.399305555555556</v>
      </c>
      <c r="F1834" s="112" t="s">
        <v>53</v>
      </c>
      <c r="G1834" s="114">
        <v>4</v>
      </c>
      <c r="H1834" s="115" t="s">
        <v>399</v>
      </c>
    </row>
    <row r="1835" spans="1:8" ht="19.899999999999999" customHeight="1">
      <c r="A1835" s="121">
        <v>46048</v>
      </c>
      <c r="B1835" s="112" t="s">
        <v>48</v>
      </c>
      <c r="C1835" s="113" t="s">
        <v>397</v>
      </c>
      <c r="D1835" s="112" t="s">
        <v>341</v>
      </c>
      <c r="E1835" s="122">
        <v>1.8888888888888891</v>
      </c>
      <c r="F1835" s="112" t="s">
        <v>53</v>
      </c>
      <c r="G1835" s="114">
        <v>4</v>
      </c>
      <c r="H1835" s="115" t="s">
        <v>399</v>
      </c>
    </row>
    <row r="1836" spans="1:8" ht="19.899999999999999" customHeight="1">
      <c r="A1836" s="121">
        <v>46048</v>
      </c>
      <c r="B1836" s="112" t="s">
        <v>48</v>
      </c>
      <c r="C1836" s="113" t="s">
        <v>391</v>
      </c>
      <c r="D1836" s="112" t="s">
        <v>341</v>
      </c>
      <c r="E1836" s="122">
        <v>1.489583333333333</v>
      </c>
      <c r="F1836" s="112" t="s">
        <v>53</v>
      </c>
      <c r="G1836" s="114">
        <v>9</v>
      </c>
      <c r="H1836" s="115" t="s">
        <v>490</v>
      </c>
    </row>
    <row r="1837" spans="1:8" ht="19.899999999999999" customHeight="1">
      <c r="A1837" s="121">
        <v>46048</v>
      </c>
      <c r="B1837" s="112" t="s">
        <v>48</v>
      </c>
      <c r="C1837" s="113" t="s">
        <v>386</v>
      </c>
      <c r="D1837" s="112" t="s">
        <v>341</v>
      </c>
      <c r="E1837" s="122">
        <v>1.8298611111111109</v>
      </c>
      <c r="F1837" s="112" t="s">
        <v>53</v>
      </c>
      <c r="G1837" s="114">
        <v>9</v>
      </c>
      <c r="H1837" s="115" t="s">
        <v>490</v>
      </c>
    </row>
    <row r="1838" spans="1:8" ht="19.899999999999999" customHeight="1">
      <c r="A1838" s="121">
        <v>46048</v>
      </c>
      <c r="B1838" s="112" t="s">
        <v>48</v>
      </c>
      <c r="C1838" s="113" t="s">
        <v>388</v>
      </c>
      <c r="D1838" s="112" t="s">
        <v>341</v>
      </c>
      <c r="E1838" s="122">
        <v>1.7222222222222221</v>
      </c>
      <c r="F1838" s="112" t="s">
        <v>53</v>
      </c>
      <c r="G1838" s="114">
        <v>9</v>
      </c>
      <c r="H1838" s="115" t="s">
        <v>490</v>
      </c>
    </row>
    <row r="1839" spans="1:8" ht="19.899999999999999" customHeight="1">
      <c r="A1839" s="121">
        <v>46048</v>
      </c>
      <c r="B1839" s="112" t="s">
        <v>48</v>
      </c>
      <c r="C1839" s="113" t="s">
        <v>382</v>
      </c>
      <c r="D1839" s="112" t="s">
        <v>341</v>
      </c>
      <c r="E1839" s="122">
        <v>1.118055555555556</v>
      </c>
      <c r="F1839" s="112" t="s">
        <v>53</v>
      </c>
      <c r="G1839" s="114">
        <v>9</v>
      </c>
      <c r="H1839" s="115" t="s">
        <v>490</v>
      </c>
    </row>
    <row r="1840" spans="1:8" ht="19.899999999999999" customHeight="1">
      <c r="A1840" s="121">
        <v>46048</v>
      </c>
      <c r="B1840" s="112" t="s">
        <v>48</v>
      </c>
      <c r="C1840" s="113" t="s">
        <v>382</v>
      </c>
      <c r="D1840" s="112" t="s">
        <v>341</v>
      </c>
      <c r="E1840" s="122">
        <v>1.118055555555556</v>
      </c>
      <c r="F1840" s="112" t="s">
        <v>70</v>
      </c>
      <c r="G1840" s="114">
        <v>9</v>
      </c>
      <c r="H1840" s="115" t="s">
        <v>490</v>
      </c>
    </row>
    <row r="1841" spans="1:8" ht="19.899999999999999" customHeight="1">
      <c r="A1841" s="121">
        <v>46048</v>
      </c>
      <c r="B1841" s="112" t="s">
        <v>48</v>
      </c>
      <c r="C1841" s="113" t="s">
        <v>389</v>
      </c>
      <c r="D1841" s="112" t="s">
        <v>341</v>
      </c>
      <c r="E1841" s="122">
        <v>1.7013888888888891</v>
      </c>
      <c r="F1841" s="112" t="s">
        <v>53</v>
      </c>
      <c r="G1841" s="114">
        <v>9</v>
      </c>
      <c r="H1841" s="115" t="s">
        <v>490</v>
      </c>
    </row>
    <row r="1842" spans="1:8" ht="19.899999999999999" customHeight="1">
      <c r="A1842" s="121">
        <v>46048</v>
      </c>
      <c r="B1842" s="112" t="s">
        <v>48</v>
      </c>
      <c r="C1842" s="113" t="s">
        <v>400</v>
      </c>
      <c r="D1842" s="112" t="s">
        <v>341</v>
      </c>
      <c r="E1842" s="122">
        <v>1.2534722222222221</v>
      </c>
      <c r="F1842" s="112" t="s">
        <v>53</v>
      </c>
      <c r="G1842" s="114">
        <v>9</v>
      </c>
      <c r="H1842" s="115" t="s">
        <v>490</v>
      </c>
    </row>
    <row r="1843" spans="1:8" ht="19.899999999999999" customHeight="1">
      <c r="A1843" s="121">
        <v>46048</v>
      </c>
      <c r="B1843" s="112" t="s">
        <v>48</v>
      </c>
      <c r="C1843" s="113" t="s">
        <v>390</v>
      </c>
      <c r="D1843" s="112" t="s">
        <v>341</v>
      </c>
      <c r="E1843" s="122">
        <v>1.041666666666667</v>
      </c>
      <c r="F1843" s="112" t="s">
        <v>53</v>
      </c>
      <c r="G1843" s="114">
        <v>9</v>
      </c>
      <c r="H1843" s="115" t="s">
        <v>490</v>
      </c>
    </row>
    <row r="1844" spans="1:8" ht="19.899999999999999" customHeight="1">
      <c r="A1844" s="121">
        <v>46048</v>
      </c>
      <c r="B1844" s="112" t="s">
        <v>48</v>
      </c>
      <c r="C1844" s="113" t="s">
        <v>385</v>
      </c>
      <c r="D1844" s="112" t="s">
        <v>341</v>
      </c>
      <c r="E1844" s="122">
        <v>1.9409722222222221</v>
      </c>
      <c r="F1844" s="112" t="s">
        <v>53</v>
      </c>
      <c r="G1844" s="114">
        <v>9</v>
      </c>
      <c r="H1844" s="115" t="s">
        <v>490</v>
      </c>
    </row>
    <row r="1845" spans="1:8" ht="19.899999999999999" customHeight="1">
      <c r="A1845" s="121">
        <v>46048</v>
      </c>
      <c r="B1845" s="112" t="s">
        <v>415</v>
      </c>
      <c r="C1845" s="113" t="s">
        <v>480</v>
      </c>
      <c r="D1845" s="112" t="s">
        <v>341</v>
      </c>
      <c r="E1845" s="122">
        <v>1.7222222222222221</v>
      </c>
      <c r="F1845" s="112" t="s">
        <v>63</v>
      </c>
      <c r="G1845" s="114">
        <v>9</v>
      </c>
      <c r="H1845" s="115" t="s">
        <v>417</v>
      </c>
    </row>
    <row r="1846" spans="1:8" ht="19.899999999999999" customHeight="1">
      <c r="A1846" s="121">
        <v>46048</v>
      </c>
      <c r="B1846" s="112" t="s">
        <v>68</v>
      </c>
      <c r="C1846" s="113" t="s">
        <v>405</v>
      </c>
      <c r="D1846" s="112" t="s">
        <v>341</v>
      </c>
      <c r="E1846" s="122">
        <v>1.836805555555556</v>
      </c>
      <c r="F1846" s="112" t="s">
        <v>70</v>
      </c>
      <c r="G1846" s="114">
        <v>9</v>
      </c>
      <c r="H1846" s="115" t="s">
        <v>524</v>
      </c>
    </row>
    <row r="1847" spans="1:8" ht="19.899999999999999" customHeight="1">
      <c r="A1847" s="121">
        <v>46048</v>
      </c>
      <c r="B1847" s="112" t="s">
        <v>68</v>
      </c>
      <c r="C1847" s="113" t="s">
        <v>407</v>
      </c>
      <c r="D1847" s="112" t="s">
        <v>341</v>
      </c>
      <c r="E1847" s="122">
        <v>1.3125</v>
      </c>
      <c r="F1847" s="112" t="s">
        <v>70</v>
      </c>
      <c r="G1847" s="114">
        <v>9</v>
      </c>
      <c r="H1847" s="115" t="s">
        <v>524</v>
      </c>
    </row>
    <row r="1848" spans="1:8" ht="19.899999999999999" customHeight="1">
      <c r="A1848" s="121">
        <v>46048</v>
      </c>
      <c r="B1848" s="112" t="s">
        <v>68</v>
      </c>
      <c r="C1848" s="113" t="s">
        <v>408</v>
      </c>
      <c r="D1848" s="112" t="s">
        <v>341</v>
      </c>
      <c r="E1848" s="122">
        <v>1.9722222222222221</v>
      </c>
      <c r="F1848" s="112" t="s">
        <v>70</v>
      </c>
      <c r="G1848" s="114">
        <v>9</v>
      </c>
      <c r="H1848" s="115" t="s">
        <v>524</v>
      </c>
    </row>
    <row r="1849" spans="1:8" ht="19.899999999999999" customHeight="1">
      <c r="A1849" s="121">
        <v>46048</v>
      </c>
      <c r="B1849" s="112" t="s">
        <v>68</v>
      </c>
      <c r="C1849" s="113" t="s">
        <v>409</v>
      </c>
      <c r="D1849" s="112" t="s">
        <v>341</v>
      </c>
      <c r="E1849" s="122">
        <v>1.3402777777777779</v>
      </c>
      <c r="F1849" s="112" t="s">
        <v>70</v>
      </c>
      <c r="G1849" s="114">
        <v>4</v>
      </c>
      <c r="H1849" s="115" t="s">
        <v>524</v>
      </c>
    </row>
    <row r="1850" spans="1:8" ht="19.899999999999999" customHeight="1">
      <c r="A1850" s="121">
        <v>46048</v>
      </c>
      <c r="B1850" s="112" t="s">
        <v>68</v>
      </c>
      <c r="C1850" s="113" t="s">
        <v>411</v>
      </c>
      <c r="D1850" s="112" t="s">
        <v>341</v>
      </c>
      <c r="E1850" s="122">
        <v>1.7847222222222221</v>
      </c>
      <c r="F1850" s="112" t="s">
        <v>70</v>
      </c>
      <c r="G1850" s="114">
        <v>9</v>
      </c>
      <c r="H1850" s="115" t="s">
        <v>524</v>
      </c>
    </row>
    <row r="1851" spans="1:8" ht="19.899999999999999" customHeight="1">
      <c r="A1851" s="121">
        <v>46048</v>
      </c>
      <c r="B1851" s="112" t="s">
        <v>68</v>
      </c>
      <c r="C1851" s="113" t="s">
        <v>410</v>
      </c>
      <c r="D1851" s="112" t="s">
        <v>341</v>
      </c>
      <c r="E1851" s="122">
        <v>1.5972222222222221</v>
      </c>
      <c r="F1851" s="112" t="s">
        <v>70</v>
      </c>
      <c r="G1851" s="114">
        <v>9</v>
      </c>
      <c r="H1851" s="115" t="s">
        <v>524</v>
      </c>
    </row>
    <row r="1852" spans="1:8" ht="19.899999999999999" customHeight="1">
      <c r="A1852" s="123">
        <v>46048</v>
      </c>
      <c r="B1852" s="124" t="s">
        <v>68</v>
      </c>
      <c r="C1852" s="125" t="s">
        <v>413</v>
      </c>
      <c r="D1852" s="124" t="s">
        <v>341</v>
      </c>
      <c r="E1852" s="126">
        <v>1.0486111111111109</v>
      </c>
      <c r="F1852" s="124" t="s">
        <v>70</v>
      </c>
      <c r="G1852" s="127">
        <v>9</v>
      </c>
      <c r="H1852" s="128" t="s">
        <v>524</v>
      </c>
    </row>
    <row r="1853" spans="1:8" ht="19.899999999999999" customHeight="1">
      <c r="A1853" s="121">
        <v>46049</v>
      </c>
      <c r="B1853" s="112" t="s">
        <v>38</v>
      </c>
      <c r="C1853" s="113" t="s">
        <v>342</v>
      </c>
      <c r="D1853" s="112" t="s">
        <v>341</v>
      </c>
      <c r="E1853" s="122">
        <v>1.489583333333333</v>
      </c>
      <c r="F1853" s="112" t="s">
        <v>40</v>
      </c>
      <c r="G1853" s="114">
        <v>14</v>
      </c>
      <c r="H1853" s="115" t="s">
        <v>81</v>
      </c>
    </row>
    <row r="1854" spans="1:8" ht="19.899999999999999" customHeight="1">
      <c r="A1854" s="121">
        <v>46049</v>
      </c>
      <c r="B1854" s="112" t="s">
        <v>38</v>
      </c>
      <c r="C1854" s="113" t="s">
        <v>346</v>
      </c>
      <c r="D1854" s="112" t="s">
        <v>341</v>
      </c>
      <c r="E1854" s="122">
        <v>1.399305555555556</v>
      </c>
      <c r="F1854" s="112" t="s">
        <v>40</v>
      </c>
      <c r="G1854" s="114">
        <v>20</v>
      </c>
      <c r="H1854" s="115" t="s">
        <v>347</v>
      </c>
    </row>
    <row r="1855" spans="1:8" ht="19.899999999999999" customHeight="1">
      <c r="A1855" s="121">
        <v>46049</v>
      </c>
      <c r="B1855" s="112" t="s">
        <v>38</v>
      </c>
      <c r="C1855" s="113" t="s">
        <v>344</v>
      </c>
      <c r="D1855" s="112" t="s">
        <v>341</v>
      </c>
      <c r="E1855" s="122">
        <v>1.8888888888888891</v>
      </c>
      <c r="F1855" s="112" t="s">
        <v>40</v>
      </c>
      <c r="G1855" s="114">
        <v>20</v>
      </c>
      <c r="H1855" s="115" t="s">
        <v>347</v>
      </c>
    </row>
    <row r="1856" spans="1:8" ht="19.899999999999999" customHeight="1">
      <c r="A1856" s="121">
        <v>46049</v>
      </c>
      <c r="B1856" s="112" t="s">
        <v>38</v>
      </c>
      <c r="C1856" s="113" t="s">
        <v>345</v>
      </c>
      <c r="D1856" s="112" t="s">
        <v>341</v>
      </c>
      <c r="E1856" s="122">
        <v>1.989583333333333</v>
      </c>
      <c r="F1856" s="112" t="s">
        <v>40</v>
      </c>
      <c r="G1856" s="114">
        <v>20</v>
      </c>
      <c r="H1856" s="115" t="s">
        <v>347</v>
      </c>
    </row>
    <row r="1857" spans="1:8" ht="19.899999999999999" customHeight="1">
      <c r="A1857" s="121">
        <v>46049</v>
      </c>
      <c r="B1857" s="112" t="s">
        <v>359</v>
      </c>
      <c r="C1857" s="113" t="s">
        <v>445</v>
      </c>
      <c r="D1857" s="112" t="s">
        <v>341</v>
      </c>
      <c r="E1857" s="122">
        <v>1.055555555555556</v>
      </c>
      <c r="F1857" s="112" t="s">
        <v>361</v>
      </c>
      <c r="G1857" s="114">
        <v>9</v>
      </c>
      <c r="H1857" s="115" t="s">
        <v>525</v>
      </c>
    </row>
    <row r="1858" spans="1:8" ht="19.899999999999999" customHeight="1">
      <c r="A1858" s="129">
        <v>46049</v>
      </c>
      <c r="B1858" s="117" t="s">
        <v>61</v>
      </c>
      <c r="C1858" s="118" t="s">
        <v>432</v>
      </c>
      <c r="D1858" s="117" t="s">
        <v>341</v>
      </c>
      <c r="E1858" s="130">
        <v>1.552083333333333</v>
      </c>
      <c r="F1858" s="117" t="s">
        <v>63</v>
      </c>
      <c r="G1858" s="119">
        <v>6</v>
      </c>
      <c r="H1858" s="120" t="s">
        <v>365</v>
      </c>
    </row>
    <row r="1859" spans="1:8" ht="19.899999999999999" customHeight="1">
      <c r="A1859" s="129">
        <v>46049</v>
      </c>
      <c r="B1859" s="117" t="s">
        <v>61</v>
      </c>
      <c r="C1859" s="118" t="s">
        <v>428</v>
      </c>
      <c r="D1859" s="117" t="s">
        <v>341</v>
      </c>
      <c r="E1859" s="130">
        <v>1.052083333333333</v>
      </c>
      <c r="F1859" s="117" t="s">
        <v>63</v>
      </c>
      <c r="G1859" s="119">
        <v>4</v>
      </c>
      <c r="H1859" s="120" t="s">
        <v>365</v>
      </c>
    </row>
    <row r="1860" spans="1:8" ht="19.899999999999999" customHeight="1">
      <c r="A1860" s="129">
        <v>46049</v>
      </c>
      <c r="B1860" s="117" t="s">
        <v>61</v>
      </c>
      <c r="C1860" s="118" t="s">
        <v>377</v>
      </c>
      <c r="D1860" s="117" t="s">
        <v>341</v>
      </c>
      <c r="E1860" s="130">
        <v>1.4375</v>
      </c>
      <c r="F1860" s="117" t="s">
        <v>63</v>
      </c>
      <c r="G1860" s="119">
        <v>1</v>
      </c>
      <c r="H1860" s="120" t="s">
        <v>365</v>
      </c>
    </row>
    <row r="1861" spans="1:8" ht="19.899999999999999" customHeight="1">
      <c r="A1861" s="129">
        <v>46049</v>
      </c>
      <c r="B1861" s="117" t="s">
        <v>61</v>
      </c>
      <c r="C1861" s="118" t="s">
        <v>379</v>
      </c>
      <c r="D1861" s="117" t="s">
        <v>341</v>
      </c>
      <c r="E1861" s="130">
        <v>1.381944444444444</v>
      </c>
      <c r="F1861" s="117" t="s">
        <v>63</v>
      </c>
      <c r="G1861" s="119">
        <v>3</v>
      </c>
      <c r="H1861" s="120" t="s">
        <v>365</v>
      </c>
    </row>
    <row r="1862" spans="1:8" ht="19.899999999999999" customHeight="1">
      <c r="A1862" s="121">
        <v>46049</v>
      </c>
      <c r="B1862" s="112" t="s">
        <v>26</v>
      </c>
      <c r="C1862" s="113" t="s">
        <v>348</v>
      </c>
      <c r="D1862" s="112" t="s">
        <v>341</v>
      </c>
      <c r="E1862" s="122">
        <v>1.993055555555556</v>
      </c>
      <c r="F1862" s="112" t="s">
        <v>28</v>
      </c>
      <c r="G1862" s="114">
        <v>4</v>
      </c>
      <c r="H1862" s="115" t="s">
        <v>83</v>
      </c>
    </row>
    <row r="1863" spans="1:8" ht="19.899999999999999" customHeight="1">
      <c r="A1863" s="121">
        <v>46049</v>
      </c>
      <c r="B1863" s="112" t="s">
        <v>26</v>
      </c>
      <c r="C1863" s="113" t="s">
        <v>350</v>
      </c>
      <c r="D1863" s="112" t="s">
        <v>341</v>
      </c>
      <c r="E1863" s="122">
        <v>1.7361111111111109</v>
      </c>
      <c r="F1863" s="112" t="s">
        <v>28</v>
      </c>
      <c r="G1863" s="114">
        <v>4</v>
      </c>
      <c r="H1863" s="115" t="s">
        <v>83</v>
      </c>
    </row>
    <row r="1864" spans="1:8" ht="19.899999999999999" customHeight="1">
      <c r="A1864" s="121">
        <v>46049</v>
      </c>
      <c r="B1864" s="112" t="s">
        <v>26</v>
      </c>
      <c r="C1864" s="113" t="s">
        <v>351</v>
      </c>
      <c r="D1864" s="112" t="s">
        <v>341</v>
      </c>
      <c r="E1864" s="122">
        <v>1.836805555555556</v>
      </c>
      <c r="F1864" s="112" t="s">
        <v>28</v>
      </c>
      <c r="G1864" s="114">
        <v>4</v>
      </c>
      <c r="H1864" s="115" t="s">
        <v>83</v>
      </c>
    </row>
    <row r="1865" spans="1:8" ht="19.899999999999999" customHeight="1">
      <c r="A1865" s="121">
        <v>46049</v>
      </c>
      <c r="B1865" s="112" t="s">
        <v>26</v>
      </c>
      <c r="C1865" s="113" t="s">
        <v>353</v>
      </c>
      <c r="D1865" s="112" t="s">
        <v>341</v>
      </c>
      <c r="E1865" s="122">
        <v>1.8888888888888891</v>
      </c>
      <c r="F1865" s="112" t="s">
        <v>28</v>
      </c>
      <c r="G1865" s="114">
        <v>5</v>
      </c>
      <c r="H1865" s="115" t="s">
        <v>83</v>
      </c>
    </row>
    <row r="1866" spans="1:8" ht="19.899999999999999" customHeight="1">
      <c r="A1866" s="121">
        <v>46049</v>
      </c>
      <c r="B1866" s="112" t="s">
        <v>402</v>
      </c>
      <c r="C1866" s="113" t="s">
        <v>403</v>
      </c>
      <c r="D1866" s="112" t="s">
        <v>341</v>
      </c>
      <c r="E1866" s="122">
        <v>1.493055555555556</v>
      </c>
      <c r="F1866" s="112" t="s">
        <v>63</v>
      </c>
      <c r="G1866" s="114">
        <v>4</v>
      </c>
      <c r="H1866" s="115" t="s">
        <v>404</v>
      </c>
    </row>
    <row r="1867" spans="1:8" ht="19.899999999999999" customHeight="1">
      <c r="A1867" s="129">
        <v>46049</v>
      </c>
      <c r="B1867" s="117" t="s">
        <v>61</v>
      </c>
      <c r="C1867" s="118" t="s">
        <v>364</v>
      </c>
      <c r="D1867" s="117" t="s">
        <v>341</v>
      </c>
      <c r="E1867" s="130">
        <v>1.756944444444444</v>
      </c>
      <c r="F1867" s="117" t="s">
        <v>63</v>
      </c>
      <c r="G1867" s="119">
        <v>6</v>
      </c>
      <c r="H1867" s="120" t="s">
        <v>79</v>
      </c>
    </row>
    <row r="1868" spans="1:8" ht="19.899999999999999" customHeight="1">
      <c r="A1868" s="129">
        <v>46049</v>
      </c>
      <c r="B1868" s="117" t="s">
        <v>61</v>
      </c>
      <c r="C1868" s="118" t="s">
        <v>375</v>
      </c>
      <c r="D1868" s="117" t="s">
        <v>341</v>
      </c>
      <c r="E1868" s="130">
        <v>1.791666666666667</v>
      </c>
      <c r="F1868" s="117" t="s">
        <v>63</v>
      </c>
      <c r="G1868" s="119">
        <v>7</v>
      </c>
      <c r="H1868" s="120" t="s">
        <v>79</v>
      </c>
    </row>
    <row r="1869" spans="1:8" ht="19.899999999999999" customHeight="1">
      <c r="A1869" s="121">
        <v>46049</v>
      </c>
      <c r="B1869" s="112" t="s">
        <v>26</v>
      </c>
      <c r="C1869" s="113" t="s">
        <v>354</v>
      </c>
      <c r="D1869" s="112" t="s">
        <v>341</v>
      </c>
      <c r="E1869" s="122">
        <v>1.3472222222222221</v>
      </c>
      <c r="F1869" s="112" t="s">
        <v>28</v>
      </c>
      <c r="G1869" s="114">
        <v>5</v>
      </c>
      <c r="H1869" s="115" t="s">
        <v>79</v>
      </c>
    </row>
    <row r="1870" spans="1:8" ht="19.899999999999999" customHeight="1">
      <c r="A1870" s="121">
        <v>46049</v>
      </c>
      <c r="B1870" s="112" t="s">
        <v>38</v>
      </c>
      <c r="C1870" s="113" t="s">
        <v>342</v>
      </c>
      <c r="D1870" s="112" t="s">
        <v>341</v>
      </c>
      <c r="E1870" s="122">
        <v>1.489583333333333</v>
      </c>
      <c r="F1870" s="112" t="s">
        <v>43</v>
      </c>
      <c r="G1870" s="114">
        <v>14</v>
      </c>
      <c r="H1870" s="115" t="s">
        <v>161</v>
      </c>
    </row>
    <row r="1871" spans="1:8" ht="19.899999999999999" customHeight="1">
      <c r="A1871" s="121">
        <v>46049</v>
      </c>
      <c r="B1871" s="112" t="s">
        <v>26</v>
      </c>
      <c r="C1871" s="113" t="s">
        <v>352</v>
      </c>
      <c r="D1871" s="112" t="s">
        <v>341</v>
      </c>
      <c r="E1871" s="122">
        <v>1.944444444444444</v>
      </c>
      <c r="F1871" s="112" t="s">
        <v>28</v>
      </c>
      <c r="G1871" s="114">
        <v>5</v>
      </c>
      <c r="H1871" s="115" t="s">
        <v>45</v>
      </c>
    </row>
    <row r="1872" spans="1:8" ht="19.899999999999999" customHeight="1">
      <c r="A1872" s="121">
        <v>46049</v>
      </c>
      <c r="B1872" s="112" t="s">
        <v>26</v>
      </c>
      <c r="C1872" s="113" t="s">
        <v>357</v>
      </c>
      <c r="D1872" s="112" t="s">
        <v>341</v>
      </c>
      <c r="E1872" s="122">
        <v>1.3923611111111109</v>
      </c>
      <c r="F1872" s="112" t="s">
        <v>28</v>
      </c>
      <c r="G1872" s="114">
        <v>5</v>
      </c>
      <c r="H1872" s="115" t="s">
        <v>45</v>
      </c>
    </row>
    <row r="1873" spans="1:8" ht="19.899999999999999" customHeight="1">
      <c r="A1873" s="121">
        <v>46049</v>
      </c>
      <c r="B1873" s="112" t="s">
        <v>26</v>
      </c>
      <c r="C1873" s="113" t="s">
        <v>348</v>
      </c>
      <c r="D1873" s="112" t="s">
        <v>341</v>
      </c>
      <c r="E1873" s="122">
        <v>1.993055555555556</v>
      </c>
      <c r="F1873" s="112" t="s">
        <v>31</v>
      </c>
      <c r="G1873" s="114">
        <v>4</v>
      </c>
      <c r="H1873" s="115" t="s">
        <v>159</v>
      </c>
    </row>
    <row r="1874" spans="1:8" ht="19.899999999999999" customHeight="1">
      <c r="A1874" s="121">
        <v>46049</v>
      </c>
      <c r="B1874" s="112" t="s">
        <v>26</v>
      </c>
      <c r="C1874" s="113" t="s">
        <v>350</v>
      </c>
      <c r="D1874" s="112" t="s">
        <v>341</v>
      </c>
      <c r="E1874" s="122">
        <v>1.7361111111111109</v>
      </c>
      <c r="F1874" s="112" t="s">
        <v>31</v>
      </c>
      <c r="G1874" s="114">
        <v>4</v>
      </c>
      <c r="H1874" s="115" t="s">
        <v>159</v>
      </c>
    </row>
    <row r="1875" spans="1:8" ht="19.899999999999999" customHeight="1">
      <c r="A1875" s="121">
        <v>46049</v>
      </c>
      <c r="B1875" s="112" t="s">
        <v>26</v>
      </c>
      <c r="C1875" s="113" t="s">
        <v>351</v>
      </c>
      <c r="D1875" s="112" t="s">
        <v>341</v>
      </c>
      <c r="E1875" s="122">
        <v>1.836805555555556</v>
      </c>
      <c r="F1875" s="112" t="s">
        <v>31</v>
      </c>
      <c r="G1875" s="114">
        <v>4</v>
      </c>
      <c r="H1875" s="115" t="s">
        <v>159</v>
      </c>
    </row>
    <row r="1876" spans="1:8" ht="19.899999999999999" customHeight="1">
      <c r="A1876" s="121">
        <v>46049</v>
      </c>
      <c r="B1876" s="112" t="s">
        <v>26</v>
      </c>
      <c r="C1876" s="113" t="s">
        <v>353</v>
      </c>
      <c r="D1876" s="112" t="s">
        <v>341</v>
      </c>
      <c r="E1876" s="122">
        <v>1.8888888888888891</v>
      </c>
      <c r="F1876" s="112" t="s">
        <v>31</v>
      </c>
      <c r="G1876" s="114">
        <v>5</v>
      </c>
      <c r="H1876" s="115" t="s">
        <v>159</v>
      </c>
    </row>
    <row r="1877" spans="1:8" ht="19.899999999999999" customHeight="1">
      <c r="A1877" s="121">
        <v>46049</v>
      </c>
      <c r="B1877" s="112" t="s">
        <v>38</v>
      </c>
      <c r="C1877" s="113" t="s">
        <v>346</v>
      </c>
      <c r="D1877" s="112" t="s">
        <v>341</v>
      </c>
      <c r="E1877" s="122">
        <v>1.399305555555556</v>
      </c>
      <c r="F1877" s="112" t="s">
        <v>43</v>
      </c>
      <c r="G1877" s="114">
        <v>20</v>
      </c>
      <c r="H1877" s="115" t="s">
        <v>138</v>
      </c>
    </row>
    <row r="1878" spans="1:8" ht="19.899999999999999" customHeight="1">
      <c r="A1878" s="121">
        <v>46049</v>
      </c>
      <c r="B1878" s="112" t="s">
        <v>38</v>
      </c>
      <c r="C1878" s="113" t="s">
        <v>344</v>
      </c>
      <c r="D1878" s="112" t="s">
        <v>341</v>
      </c>
      <c r="E1878" s="122">
        <v>1.8888888888888891</v>
      </c>
      <c r="F1878" s="112" t="s">
        <v>43</v>
      </c>
      <c r="G1878" s="114">
        <v>20</v>
      </c>
      <c r="H1878" s="115" t="s">
        <v>138</v>
      </c>
    </row>
    <row r="1879" spans="1:8" ht="19.899999999999999" customHeight="1">
      <c r="A1879" s="121">
        <v>46049</v>
      </c>
      <c r="B1879" s="112" t="s">
        <v>38</v>
      </c>
      <c r="C1879" s="113" t="s">
        <v>345</v>
      </c>
      <c r="D1879" s="112" t="s">
        <v>341</v>
      </c>
      <c r="E1879" s="122">
        <v>1.989583333333333</v>
      </c>
      <c r="F1879" s="112" t="s">
        <v>43</v>
      </c>
      <c r="G1879" s="114">
        <v>20</v>
      </c>
      <c r="H1879" s="115" t="s">
        <v>138</v>
      </c>
    </row>
    <row r="1880" spans="1:8" ht="19.899999999999999" customHeight="1">
      <c r="A1880" s="121">
        <v>46049</v>
      </c>
      <c r="B1880" s="112" t="s">
        <v>26</v>
      </c>
      <c r="C1880" s="113" t="s">
        <v>354</v>
      </c>
      <c r="D1880" s="112" t="s">
        <v>341</v>
      </c>
      <c r="E1880" s="122">
        <v>1.3472222222222221</v>
      </c>
      <c r="F1880" s="112" t="s">
        <v>31</v>
      </c>
      <c r="G1880" s="114">
        <v>5</v>
      </c>
      <c r="H1880" s="115" t="s">
        <v>123</v>
      </c>
    </row>
    <row r="1881" spans="1:8" ht="19.899999999999999" customHeight="1">
      <c r="A1881" s="121">
        <v>46049</v>
      </c>
      <c r="B1881" s="112" t="s">
        <v>359</v>
      </c>
      <c r="C1881" s="113" t="s">
        <v>445</v>
      </c>
      <c r="D1881" s="112" t="s">
        <v>341</v>
      </c>
      <c r="E1881" s="122">
        <v>1.055555555555556</v>
      </c>
      <c r="F1881" s="112" t="s">
        <v>46</v>
      </c>
      <c r="G1881" s="114">
        <v>9</v>
      </c>
      <c r="H1881" s="115" t="s">
        <v>526</v>
      </c>
    </row>
    <row r="1882" spans="1:8" ht="19.899999999999999" customHeight="1">
      <c r="A1882" s="121">
        <v>46049</v>
      </c>
      <c r="B1882" s="112" t="s">
        <v>26</v>
      </c>
      <c r="C1882" s="113" t="s">
        <v>348</v>
      </c>
      <c r="D1882" s="112" t="s">
        <v>341</v>
      </c>
      <c r="E1882" s="122">
        <v>1.993055555555556</v>
      </c>
      <c r="F1882" s="112" t="s">
        <v>34</v>
      </c>
      <c r="G1882" s="114">
        <v>4</v>
      </c>
      <c r="H1882" s="115" t="s">
        <v>355</v>
      </c>
    </row>
    <row r="1883" spans="1:8" ht="19.899999999999999" customHeight="1">
      <c r="A1883" s="121">
        <v>46049</v>
      </c>
      <c r="B1883" s="112" t="s">
        <v>26</v>
      </c>
      <c r="C1883" s="113" t="s">
        <v>350</v>
      </c>
      <c r="D1883" s="112" t="s">
        <v>341</v>
      </c>
      <c r="E1883" s="122">
        <v>1.7361111111111109</v>
      </c>
      <c r="F1883" s="112" t="s">
        <v>34</v>
      </c>
      <c r="G1883" s="114">
        <v>4</v>
      </c>
      <c r="H1883" s="115" t="s">
        <v>355</v>
      </c>
    </row>
    <row r="1884" spans="1:8" ht="19.899999999999999" customHeight="1">
      <c r="A1884" s="121">
        <v>46049</v>
      </c>
      <c r="B1884" s="112" t="s">
        <v>26</v>
      </c>
      <c r="C1884" s="113" t="s">
        <v>351</v>
      </c>
      <c r="D1884" s="112" t="s">
        <v>341</v>
      </c>
      <c r="E1884" s="122">
        <v>1.836805555555556</v>
      </c>
      <c r="F1884" s="112" t="s">
        <v>34</v>
      </c>
      <c r="G1884" s="114">
        <v>4</v>
      </c>
      <c r="H1884" s="115" t="s">
        <v>355</v>
      </c>
    </row>
    <row r="1885" spans="1:8" ht="19.899999999999999" customHeight="1">
      <c r="A1885" s="121">
        <v>46049</v>
      </c>
      <c r="B1885" s="112" t="s">
        <v>26</v>
      </c>
      <c r="C1885" s="113" t="s">
        <v>352</v>
      </c>
      <c r="D1885" s="112" t="s">
        <v>341</v>
      </c>
      <c r="E1885" s="122">
        <v>1.944444444444444</v>
      </c>
      <c r="F1885" s="112" t="s">
        <v>31</v>
      </c>
      <c r="G1885" s="114">
        <v>5</v>
      </c>
      <c r="H1885" s="115" t="s">
        <v>355</v>
      </c>
    </row>
    <row r="1886" spans="1:8" ht="19.899999999999999" customHeight="1">
      <c r="A1886" s="121">
        <v>46049</v>
      </c>
      <c r="B1886" s="112" t="s">
        <v>26</v>
      </c>
      <c r="C1886" s="113" t="s">
        <v>357</v>
      </c>
      <c r="D1886" s="112" t="s">
        <v>341</v>
      </c>
      <c r="E1886" s="122">
        <v>1.3923611111111109</v>
      </c>
      <c r="F1886" s="112" t="s">
        <v>31</v>
      </c>
      <c r="G1886" s="114">
        <v>5</v>
      </c>
      <c r="H1886" s="115" t="s">
        <v>355</v>
      </c>
    </row>
    <row r="1887" spans="1:8" ht="19.899999999999999" customHeight="1">
      <c r="A1887" s="121">
        <v>46049</v>
      </c>
      <c r="B1887" s="112" t="s">
        <v>26</v>
      </c>
      <c r="C1887" s="113" t="s">
        <v>353</v>
      </c>
      <c r="D1887" s="112" t="s">
        <v>341</v>
      </c>
      <c r="E1887" s="122">
        <v>1.8888888888888891</v>
      </c>
      <c r="F1887" s="112" t="s">
        <v>34</v>
      </c>
      <c r="G1887" s="114">
        <v>5</v>
      </c>
      <c r="H1887" s="115" t="s">
        <v>355</v>
      </c>
    </row>
    <row r="1888" spans="1:8" ht="19.899999999999999" customHeight="1">
      <c r="A1888" s="121">
        <v>46049</v>
      </c>
      <c r="B1888" s="112" t="s">
        <v>26</v>
      </c>
      <c r="C1888" s="113" t="s">
        <v>354</v>
      </c>
      <c r="D1888" s="112" t="s">
        <v>341</v>
      </c>
      <c r="E1888" s="122">
        <v>1.3472222222222221</v>
      </c>
      <c r="F1888" s="112" t="s">
        <v>34</v>
      </c>
      <c r="G1888" s="114">
        <v>5</v>
      </c>
      <c r="H1888" s="115" t="s">
        <v>118</v>
      </c>
    </row>
    <row r="1889" spans="1:8" ht="19.899999999999999" customHeight="1">
      <c r="A1889" s="121">
        <v>46049</v>
      </c>
      <c r="B1889" s="112" t="s">
        <v>26</v>
      </c>
      <c r="C1889" s="113" t="s">
        <v>352</v>
      </c>
      <c r="D1889" s="112" t="s">
        <v>341</v>
      </c>
      <c r="E1889" s="122">
        <v>1.944444444444444</v>
      </c>
      <c r="F1889" s="112" t="s">
        <v>34</v>
      </c>
      <c r="G1889" s="114">
        <v>5</v>
      </c>
      <c r="H1889" s="115" t="s">
        <v>358</v>
      </c>
    </row>
    <row r="1890" spans="1:8" ht="19.899999999999999" customHeight="1">
      <c r="A1890" s="121">
        <v>46049</v>
      </c>
      <c r="B1890" s="112" t="s">
        <v>26</v>
      </c>
      <c r="C1890" s="113" t="s">
        <v>357</v>
      </c>
      <c r="D1890" s="112" t="s">
        <v>341</v>
      </c>
      <c r="E1890" s="122">
        <v>1.3923611111111109</v>
      </c>
      <c r="F1890" s="112" t="s">
        <v>34</v>
      </c>
      <c r="G1890" s="114">
        <v>5</v>
      </c>
      <c r="H1890" s="115" t="s">
        <v>358</v>
      </c>
    </row>
    <row r="1891" spans="1:8" ht="19.899999999999999" customHeight="1">
      <c r="A1891" s="121">
        <v>46049</v>
      </c>
      <c r="B1891" s="112" t="s">
        <v>26</v>
      </c>
      <c r="C1891" s="113" t="s">
        <v>356</v>
      </c>
      <c r="D1891" s="112" t="s">
        <v>341</v>
      </c>
      <c r="E1891" s="122">
        <v>1.4861111111111109</v>
      </c>
      <c r="F1891" s="112" t="s">
        <v>28</v>
      </c>
      <c r="G1891" s="114">
        <v>1</v>
      </c>
      <c r="H1891" s="115" t="s">
        <v>455</v>
      </c>
    </row>
    <row r="1892" spans="1:8" ht="19.899999999999999" customHeight="1">
      <c r="A1892" s="121">
        <v>46049</v>
      </c>
      <c r="B1892" s="112" t="s">
        <v>38</v>
      </c>
      <c r="C1892" s="113" t="s">
        <v>346</v>
      </c>
      <c r="D1892" s="112" t="s">
        <v>341</v>
      </c>
      <c r="E1892" s="122">
        <v>1.399305555555556</v>
      </c>
      <c r="F1892" s="112" t="s">
        <v>46</v>
      </c>
      <c r="G1892" s="114">
        <v>20</v>
      </c>
      <c r="H1892" s="115" t="s">
        <v>47</v>
      </c>
    </row>
    <row r="1893" spans="1:8" ht="19.899999999999999" customHeight="1">
      <c r="A1893" s="121">
        <v>46049</v>
      </c>
      <c r="B1893" s="112" t="s">
        <v>38</v>
      </c>
      <c r="C1893" s="113" t="s">
        <v>342</v>
      </c>
      <c r="D1893" s="112" t="s">
        <v>341</v>
      </c>
      <c r="E1893" s="122">
        <v>1.489583333333333</v>
      </c>
      <c r="F1893" s="112" t="s">
        <v>46</v>
      </c>
      <c r="G1893" s="114">
        <v>14</v>
      </c>
      <c r="H1893" s="115" t="s">
        <v>47</v>
      </c>
    </row>
    <row r="1894" spans="1:8" ht="19.899999999999999" customHeight="1">
      <c r="A1894" s="121">
        <v>46049</v>
      </c>
      <c r="B1894" s="112" t="s">
        <v>38</v>
      </c>
      <c r="C1894" s="113" t="s">
        <v>344</v>
      </c>
      <c r="D1894" s="112" t="s">
        <v>341</v>
      </c>
      <c r="E1894" s="122">
        <v>1.8888888888888891</v>
      </c>
      <c r="F1894" s="112" t="s">
        <v>46</v>
      </c>
      <c r="G1894" s="114">
        <v>20</v>
      </c>
      <c r="H1894" s="115" t="s">
        <v>47</v>
      </c>
    </row>
    <row r="1895" spans="1:8" ht="19.899999999999999" customHeight="1">
      <c r="A1895" s="121">
        <v>46049</v>
      </c>
      <c r="B1895" s="112" t="s">
        <v>38</v>
      </c>
      <c r="C1895" s="113" t="s">
        <v>345</v>
      </c>
      <c r="D1895" s="112" t="s">
        <v>341</v>
      </c>
      <c r="E1895" s="122">
        <v>1.989583333333333</v>
      </c>
      <c r="F1895" s="112" t="s">
        <v>46</v>
      </c>
      <c r="G1895" s="114">
        <v>20</v>
      </c>
      <c r="H1895" s="115" t="s">
        <v>47</v>
      </c>
    </row>
    <row r="1896" spans="1:8" ht="19.899999999999999" customHeight="1">
      <c r="A1896" s="121">
        <v>46049</v>
      </c>
      <c r="B1896" s="112" t="s">
        <v>26</v>
      </c>
      <c r="C1896" s="113" t="s">
        <v>356</v>
      </c>
      <c r="D1896" s="112" t="s">
        <v>341</v>
      </c>
      <c r="E1896" s="122">
        <v>1.4861111111111109</v>
      </c>
      <c r="F1896" s="112" t="s">
        <v>31</v>
      </c>
      <c r="G1896" s="114">
        <v>1</v>
      </c>
      <c r="H1896" s="115" t="s">
        <v>456</v>
      </c>
    </row>
    <row r="1897" spans="1:8" ht="19.899999999999999" customHeight="1">
      <c r="A1897" s="121">
        <v>46049</v>
      </c>
      <c r="B1897" s="112" t="s">
        <v>48</v>
      </c>
      <c r="C1897" s="113" t="s">
        <v>396</v>
      </c>
      <c r="D1897" s="112" t="s">
        <v>341</v>
      </c>
      <c r="E1897" s="122">
        <v>1.489583333333333</v>
      </c>
      <c r="F1897" s="112" t="s">
        <v>53</v>
      </c>
      <c r="G1897" s="114">
        <v>4</v>
      </c>
      <c r="H1897" s="115" t="s">
        <v>481</v>
      </c>
    </row>
    <row r="1898" spans="1:8" ht="19.899999999999999" customHeight="1">
      <c r="A1898" s="121">
        <v>46049</v>
      </c>
      <c r="B1898" s="112" t="s">
        <v>26</v>
      </c>
      <c r="C1898" s="113" t="s">
        <v>356</v>
      </c>
      <c r="D1898" s="112" t="s">
        <v>341</v>
      </c>
      <c r="E1898" s="122">
        <v>1.4861111111111109</v>
      </c>
      <c r="F1898" s="112" t="s">
        <v>34</v>
      </c>
      <c r="G1898" s="114">
        <v>1</v>
      </c>
      <c r="H1898" s="115" t="s">
        <v>457</v>
      </c>
    </row>
    <row r="1899" spans="1:8" ht="19.899999999999999" customHeight="1">
      <c r="A1899" s="121">
        <v>46049</v>
      </c>
      <c r="B1899" s="112" t="s">
        <v>48</v>
      </c>
      <c r="C1899" s="113" t="s">
        <v>394</v>
      </c>
      <c r="D1899" s="112" t="s">
        <v>341</v>
      </c>
      <c r="E1899" s="122">
        <v>1.989583333333333</v>
      </c>
      <c r="F1899" s="112" t="s">
        <v>53</v>
      </c>
      <c r="G1899" s="114">
        <v>4</v>
      </c>
      <c r="H1899" s="115" t="s">
        <v>399</v>
      </c>
    </row>
    <row r="1900" spans="1:8" ht="19.899999999999999" customHeight="1">
      <c r="A1900" s="121">
        <v>46049</v>
      </c>
      <c r="B1900" s="112" t="s">
        <v>48</v>
      </c>
      <c r="C1900" s="113" t="s">
        <v>398</v>
      </c>
      <c r="D1900" s="112" t="s">
        <v>341</v>
      </c>
      <c r="E1900" s="122">
        <v>1.399305555555556</v>
      </c>
      <c r="F1900" s="112" t="s">
        <v>53</v>
      </c>
      <c r="G1900" s="114">
        <v>4</v>
      </c>
      <c r="H1900" s="115" t="s">
        <v>399</v>
      </c>
    </row>
    <row r="1901" spans="1:8" ht="19.899999999999999" customHeight="1">
      <c r="A1901" s="121">
        <v>46049</v>
      </c>
      <c r="B1901" s="112" t="s">
        <v>48</v>
      </c>
      <c r="C1901" s="113" t="s">
        <v>397</v>
      </c>
      <c r="D1901" s="112" t="s">
        <v>341</v>
      </c>
      <c r="E1901" s="122">
        <v>1.8888888888888891</v>
      </c>
      <c r="F1901" s="112" t="s">
        <v>53</v>
      </c>
      <c r="G1901" s="114">
        <v>4</v>
      </c>
      <c r="H1901" s="115" t="s">
        <v>399</v>
      </c>
    </row>
    <row r="1902" spans="1:8" ht="19.899999999999999" customHeight="1">
      <c r="A1902" s="121">
        <v>46049</v>
      </c>
      <c r="B1902" s="112" t="s">
        <v>48</v>
      </c>
      <c r="C1902" s="113" t="s">
        <v>391</v>
      </c>
      <c r="D1902" s="112" t="s">
        <v>341</v>
      </c>
      <c r="E1902" s="122">
        <v>1.489583333333333</v>
      </c>
      <c r="F1902" s="112" t="s">
        <v>53</v>
      </c>
      <c r="G1902" s="114">
        <v>9</v>
      </c>
      <c r="H1902" s="115" t="s">
        <v>490</v>
      </c>
    </row>
    <row r="1903" spans="1:8" ht="19.899999999999999" customHeight="1">
      <c r="A1903" s="121">
        <v>46049</v>
      </c>
      <c r="B1903" s="112" t="s">
        <v>48</v>
      </c>
      <c r="C1903" s="113" t="s">
        <v>386</v>
      </c>
      <c r="D1903" s="112" t="s">
        <v>341</v>
      </c>
      <c r="E1903" s="122">
        <v>1.8298611111111109</v>
      </c>
      <c r="F1903" s="112" t="s">
        <v>53</v>
      </c>
      <c r="G1903" s="114">
        <v>9</v>
      </c>
      <c r="H1903" s="115" t="s">
        <v>490</v>
      </c>
    </row>
    <row r="1904" spans="1:8" ht="19.899999999999999" customHeight="1">
      <c r="A1904" s="121">
        <v>46049</v>
      </c>
      <c r="B1904" s="112" t="s">
        <v>48</v>
      </c>
      <c r="C1904" s="113" t="s">
        <v>388</v>
      </c>
      <c r="D1904" s="112" t="s">
        <v>341</v>
      </c>
      <c r="E1904" s="122">
        <v>1.7222222222222221</v>
      </c>
      <c r="F1904" s="112" t="s">
        <v>53</v>
      </c>
      <c r="G1904" s="114">
        <v>9</v>
      </c>
      <c r="H1904" s="115" t="s">
        <v>490</v>
      </c>
    </row>
    <row r="1905" spans="1:8" ht="19.899999999999999" customHeight="1">
      <c r="A1905" s="121">
        <v>46049</v>
      </c>
      <c r="B1905" s="112" t="s">
        <v>48</v>
      </c>
      <c r="C1905" s="113" t="s">
        <v>382</v>
      </c>
      <c r="D1905" s="112" t="s">
        <v>341</v>
      </c>
      <c r="E1905" s="122">
        <v>1.118055555555556</v>
      </c>
      <c r="F1905" s="112" t="s">
        <v>53</v>
      </c>
      <c r="G1905" s="114">
        <v>9</v>
      </c>
      <c r="H1905" s="115" t="s">
        <v>490</v>
      </c>
    </row>
    <row r="1906" spans="1:8" ht="19.899999999999999" customHeight="1">
      <c r="A1906" s="121">
        <v>46049</v>
      </c>
      <c r="B1906" s="112" t="s">
        <v>48</v>
      </c>
      <c r="C1906" s="113" t="s">
        <v>389</v>
      </c>
      <c r="D1906" s="112" t="s">
        <v>341</v>
      </c>
      <c r="E1906" s="122">
        <v>1.7013888888888891</v>
      </c>
      <c r="F1906" s="112" t="s">
        <v>53</v>
      </c>
      <c r="G1906" s="114">
        <v>9</v>
      </c>
      <c r="H1906" s="115" t="s">
        <v>490</v>
      </c>
    </row>
    <row r="1907" spans="1:8" ht="19.899999999999999" customHeight="1">
      <c r="A1907" s="121">
        <v>46049</v>
      </c>
      <c r="B1907" s="112" t="s">
        <v>48</v>
      </c>
      <c r="C1907" s="113" t="s">
        <v>400</v>
      </c>
      <c r="D1907" s="112" t="s">
        <v>341</v>
      </c>
      <c r="E1907" s="122">
        <v>1.2534722222222221</v>
      </c>
      <c r="F1907" s="112" t="s">
        <v>53</v>
      </c>
      <c r="G1907" s="114">
        <v>9</v>
      </c>
      <c r="H1907" s="115" t="s">
        <v>490</v>
      </c>
    </row>
    <row r="1908" spans="1:8" ht="19.899999999999999" customHeight="1">
      <c r="A1908" s="121">
        <v>46049</v>
      </c>
      <c r="B1908" s="112" t="s">
        <v>48</v>
      </c>
      <c r="C1908" s="113" t="s">
        <v>390</v>
      </c>
      <c r="D1908" s="112" t="s">
        <v>341</v>
      </c>
      <c r="E1908" s="122">
        <v>1.041666666666667</v>
      </c>
      <c r="F1908" s="112" t="s">
        <v>53</v>
      </c>
      <c r="G1908" s="114">
        <v>9</v>
      </c>
      <c r="H1908" s="115" t="s">
        <v>490</v>
      </c>
    </row>
    <row r="1909" spans="1:8" ht="19.899999999999999" customHeight="1">
      <c r="A1909" s="121">
        <v>46049</v>
      </c>
      <c r="B1909" s="112" t="s">
        <v>48</v>
      </c>
      <c r="C1909" s="113" t="s">
        <v>385</v>
      </c>
      <c r="D1909" s="112" t="s">
        <v>341</v>
      </c>
      <c r="E1909" s="122">
        <v>1.9409722222222221</v>
      </c>
      <c r="F1909" s="112" t="s">
        <v>53</v>
      </c>
      <c r="G1909" s="114">
        <v>9</v>
      </c>
      <c r="H1909" s="115" t="s">
        <v>490</v>
      </c>
    </row>
    <row r="1910" spans="1:8" ht="19.899999999999999" customHeight="1">
      <c r="A1910" s="121">
        <v>46049</v>
      </c>
      <c r="B1910" s="112" t="s">
        <v>415</v>
      </c>
      <c r="C1910" s="113" t="s">
        <v>416</v>
      </c>
      <c r="D1910" s="112" t="s">
        <v>341</v>
      </c>
      <c r="E1910" s="122">
        <v>1.100694444444444</v>
      </c>
      <c r="F1910" s="112" t="s">
        <v>63</v>
      </c>
      <c r="G1910" s="114">
        <v>9</v>
      </c>
      <c r="H1910" s="115" t="s">
        <v>417</v>
      </c>
    </row>
    <row r="1911" spans="1:8" ht="19.899999999999999" customHeight="1">
      <c r="A1911" s="121">
        <v>46049</v>
      </c>
      <c r="B1911" s="112" t="s">
        <v>415</v>
      </c>
      <c r="C1911" s="113" t="s">
        <v>418</v>
      </c>
      <c r="D1911" s="112" t="s">
        <v>341</v>
      </c>
      <c r="E1911" s="122">
        <v>1.270833333333333</v>
      </c>
      <c r="F1911" s="112" t="s">
        <v>63</v>
      </c>
      <c r="G1911" s="114">
        <v>9</v>
      </c>
      <c r="H1911" s="115" t="s">
        <v>417</v>
      </c>
    </row>
    <row r="1912" spans="1:8" ht="19.899999999999999" customHeight="1">
      <c r="A1912" s="121">
        <v>46049</v>
      </c>
      <c r="B1912" s="112" t="s">
        <v>68</v>
      </c>
      <c r="C1912" s="113" t="s">
        <v>405</v>
      </c>
      <c r="D1912" s="112" t="s">
        <v>341</v>
      </c>
      <c r="E1912" s="122">
        <v>1.836805555555556</v>
      </c>
      <c r="F1912" s="112" t="s">
        <v>70</v>
      </c>
      <c r="G1912" s="114">
        <v>9</v>
      </c>
      <c r="H1912" s="115" t="s">
        <v>524</v>
      </c>
    </row>
    <row r="1913" spans="1:8" ht="19.899999999999999" customHeight="1">
      <c r="A1913" s="121">
        <v>46049</v>
      </c>
      <c r="B1913" s="112" t="s">
        <v>68</v>
      </c>
      <c r="C1913" s="113" t="s">
        <v>408</v>
      </c>
      <c r="D1913" s="112" t="s">
        <v>341</v>
      </c>
      <c r="E1913" s="122">
        <v>1.9722222222222221</v>
      </c>
      <c r="F1913" s="112" t="s">
        <v>70</v>
      </c>
      <c r="G1913" s="114">
        <v>9</v>
      </c>
      <c r="H1913" s="115" t="s">
        <v>524</v>
      </c>
    </row>
    <row r="1914" spans="1:8" ht="19.899999999999999" customHeight="1">
      <c r="A1914" s="121">
        <v>46049</v>
      </c>
      <c r="B1914" s="112" t="s">
        <v>68</v>
      </c>
      <c r="C1914" s="113" t="s">
        <v>437</v>
      </c>
      <c r="D1914" s="112" t="s">
        <v>341</v>
      </c>
      <c r="E1914" s="122">
        <v>1.104166666666667</v>
      </c>
      <c r="F1914" s="112" t="s">
        <v>70</v>
      </c>
      <c r="G1914" s="114">
        <v>9</v>
      </c>
      <c r="H1914" s="115" t="s">
        <v>524</v>
      </c>
    </row>
    <row r="1915" spans="1:8" ht="19.899999999999999" customHeight="1">
      <c r="A1915" s="121">
        <v>46049</v>
      </c>
      <c r="B1915" s="112" t="s">
        <v>68</v>
      </c>
      <c r="C1915" s="113" t="s">
        <v>409</v>
      </c>
      <c r="D1915" s="112" t="s">
        <v>341</v>
      </c>
      <c r="E1915" s="122">
        <v>1.3402777777777779</v>
      </c>
      <c r="F1915" s="112" t="s">
        <v>70</v>
      </c>
      <c r="G1915" s="114">
        <v>9</v>
      </c>
      <c r="H1915" s="115" t="s">
        <v>524</v>
      </c>
    </row>
    <row r="1916" spans="1:8" ht="19.899999999999999" customHeight="1">
      <c r="A1916" s="121">
        <v>46049</v>
      </c>
      <c r="B1916" s="112" t="s">
        <v>68</v>
      </c>
      <c r="C1916" s="113" t="s">
        <v>411</v>
      </c>
      <c r="D1916" s="112" t="s">
        <v>341</v>
      </c>
      <c r="E1916" s="122">
        <v>1.7847222222222221</v>
      </c>
      <c r="F1916" s="112" t="s">
        <v>70</v>
      </c>
      <c r="G1916" s="114">
        <v>9</v>
      </c>
      <c r="H1916" s="115" t="s">
        <v>524</v>
      </c>
    </row>
    <row r="1917" spans="1:8" ht="19.899999999999999" customHeight="1">
      <c r="A1917" s="123">
        <v>46049</v>
      </c>
      <c r="B1917" s="124" t="s">
        <v>68</v>
      </c>
      <c r="C1917" s="125" t="s">
        <v>413</v>
      </c>
      <c r="D1917" s="124" t="s">
        <v>341</v>
      </c>
      <c r="E1917" s="126">
        <v>1.0486111111111109</v>
      </c>
      <c r="F1917" s="124" t="s">
        <v>70</v>
      </c>
      <c r="G1917" s="127">
        <v>9</v>
      </c>
      <c r="H1917" s="128" t="s">
        <v>524</v>
      </c>
    </row>
    <row r="1918" spans="1:8" ht="19.899999999999999" customHeight="1">
      <c r="A1918" s="121">
        <v>46050</v>
      </c>
      <c r="B1918" s="112" t="s">
        <v>38</v>
      </c>
      <c r="C1918" s="113" t="s">
        <v>342</v>
      </c>
      <c r="D1918" s="112" t="s">
        <v>341</v>
      </c>
      <c r="E1918" s="122">
        <v>1.489583333333333</v>
      </c>
      <c r="F1918" s="112" t="s">
        <v>40</v>
      </c>
      <c r="G1918" s="114">
        <v>9</v>
      </c>
      <c r="H1918" s="115" t="s">
        <v>343</v>
      </c>
    </row>
    <row r="1919" spans="1:8" ht="19.899999999999999" customHeight="1">
      <c r="A1919" s="121">
        <v>46050</v>
      </c>
      <c r="B1919" s="112" t="s">
        <v>38</v>
      </c>
      <c r="C1919" s="113" t="s">
        <v>346</v>
      </c>
      <c r="D1919" s="112" t="s">
        <v>341</v>
      </c>
      <c r="E1919" s="122">
        <v>1.399305555555556</v>
      </c>
      <c r="F1919" s="112" t="s">
        <v>40</v>
      </c>
      <c r="G1919" s="114">
        <v>20</v>
      </c>
      <c r="H1919" s="115" t="s">
        <v>347</v>
      </c>
    </row>
    <row r="1920" spans="1:8" ht="19.899999999999999" customHeight="1">
      <c r="A1920" s="121">
        <v>46050</v>
      </c>
      <c r="B1920" s="112" t="s">
        <v>38</v>
      </c>
      <c r="C1920" s="113" t="s">
        <v>344</v>
      </c>
      <c r="D1920" s="112" t="s">
        <v>341</v>
      </c>
      <c r="E1920" s="122">
        <v>1.8888888888888891</v>
      </c>
      <c r="F1920" s="112" t="s">
        <v>40</v>
      </c>
      <c r="G1920" s="114">
        <v>20</v>
      </c>
      <c r="H1920" s="115" t="s">
        <v>347</v>
      </c>
    </row>
    <row r="1921" spans="1:8" ht="19.899999999999999" customHeight="1">
      <c r="A1921" s="121">
        <v>46050</v>
      </c>
      <c r="B1921" s="112" t="s">
        <v>38</v>
      </c>
      <c r="C1921" s="113" t="s">
        <v>345</v>
      </c>
      <c r="D1921" s="112" t="s">
        <v>341</v>
      </c>
      <c r="E1921" s="122">
        <v>1.989583333333333</v>
      </c>
      <c r="F1921" s="112" t="s">
        <v>40</v>
      </c>
      <c r="G1921" s="114">
        <v>20</v>
      </c>
      <c r="H1921" s="115" t="s">
        <v>347</v>
      </c>
    </row>
    <row r="1922" spans="1:8" ht="19.899999999999999" customHeight="1">
      <c r="A1922" s="121">
        <v>46050</v>
      </c>
      <c r="B1922" s="112" t="s">
        <v>359</v>
      </c>
      <c r="C1922" s="113" t="s">
        <v>360</v>
      </c>
      <c r="D1922" s="112" t="s">
        <v>341</v>
      </c>
      <c r="E1922" s="122">
        <v>1.225694444444444</v>
      </c>
      <c r="F1922" s="112" t="s">
        <v>361</v>
      </c>
      <c r="G1922" s="114">
        <v>9</v>
      </c>
      <c r="H1922" s="115" t="s">
        <v>525</v>
      </c>
    </row>
    <row r="1923" spans="1:8" ht="19.899999999999999" customHeight="1">
      <c r="A1923" s="129">
        <v>46050</v>
      </c>
      <c r="B1923" s="117" t="s">
        <v>61</v>
      </c>
      <c r="C1923" s="118" t="s">
        <v>364</v>
      </c>
      <c r="D1923" s="117" t="s">
        <v>341</v>
      </c>
      <c r="E1923" s="130">
        <v>1.2326388888888891</v>
      </c>
      <c r="F1923" s="117" t="s">
        <v>63</v>
      </c>
      <c r="G1923" s="119">
        <v>1</v>
      </c>
      <c r="H1923" s="120" t="s">
        <v>365</v>
      </c>
    </row>
    <row r="1924" spans="1:8" ht="19.899999999999999" customHeight="1">
      <c r="A1924" s="129">
        <v>46050</v>
      </c>
      <c r="B1924" s="117" t="s">
        <v>61</v>
      </c>
      <c r="C1924" s="118" t="s">
        <v>432</v>
      </c>
      <c r="D1924" s="117" t="s">
        <v>341</v>
      </c>
      <c r="E1924" s="130">
        <v>1.34375</v>
      </c>
      <c r="F1924" s="117" t="s">
        <v>63</v>
      </c>
      <c r="G1924" s="119">
        <v>6</v>
      </c>
      <c r="H1924" s="120" t="s">
        <v>365</v>
      </c>
    </row>
    <row r="1925" spans="1:8" ht="19.899999999999999" customHeight="1">
      <c r="A1925" s="129">
        <v>46050</v>
      </c>
      <c r="B1925" s="117" t="s">
        <v>61</v>
      </c>
      <c r="C1925" s="118" t="s">
        <v>375</v>
      </c>
      <c r="D1925" s="117" t="s">
        <v>341</v>
      </c>
      <c r="E1925" s="130">
        <v>1.3402777777777779</v>
      </c>
      <c r="F1925" s="117" t="s">
        <v>63</v>
      </c>
      <c r="G1925" s="119">
        <v>6</v>
      </c>
      <c r="H1925" s="120" t="s">
        <v>365</v>
      </c>
    </row>
    <row r="1926" spans="1:8" ht="19.899999999999999" customHeight="1">
      <c r="A1926" s="129">
        <v>46050</v>
      </c>
      <c r="B1926" s="117" t="s">
        <v>61</v>
      </c>
      <c r="C1926" s="118" t="s">
        <v>377</v>
      </c>
      <c r="D1926" s="117" t="s">
        <v>341</v>
      </c>
      <c r="E1926" s="130">
        <v>1.4375</v>
      </c>
      <c r="F1926" s="117" t="s">
        <v>63</v>
      </c>
      <c r="G1926" s="119">
        <v>2</v>
      </c>
      <c r="H1926" s="120" t="s">
        <v>365</v>
      </c>
    </row>
    <row r="1927" spans="1:8" ht="19.899999999999999" customHeight="1">
      <c r="A1927" s="121">
        <v>46050</v>
      </c>
      <c r="B1927" s="112" t="s">
        <v>26</v>
      </c>
      <c r="C1927" s="113" t="s">
        <v>348</v>
      </c>
      <c r="D1927" s="112" t="s">
        <v>341</v>
      </c>
      <c r="E1927" s="122">
        <v>1.993055555555556</v>
      </c>
      <c r="F1927" s="112" t="s">
        <v>28</v>
      </c>
      <c r="G1927" s="114">
        <v>4</v>
      </c>
      <c r="H1927" s="115" t="s">
        <v>83</v>
      </c>
    </row>
    <row r="1928" spans="1:8" ht="19.899999999999999" customHeight="1">
      <c r="A1928" s="121">
        <v>46050</v>
      </c>
      <c r="B1928" s="112" t="s">
        <v>26</v>
      </c>
      <c r="C1928" s="113" t="s">
        <v>351</v>
      </c>
      <c r="D1928" s="112" t="s">
        <v>341</v>
      </c>
      <c r="E1928" s="122">
        <v>1.836805555555556</v>
      </c>
      <c r="F1928" s="112" t="s">
        <v>28</v>
      </c>
      <c r="G1928" s="114">
        <v>1</v>
      </c>
      <c r="H1928" s="115" t="s">
        <v>83</v>
      </c>
    </row>
    <row r="1929" spans="1:8" ht="19.899999999999999" customHeight="1">
      <c r="A1929" s="121">
        <v>46050</v>
      </c>
      <c r="B1929" s="112" t="s">
        <v>26</v>
      </c>
      <c r="C1929" s="113" t="s">
        <v>353</v>
      </c>
      <c r="D1929" s="112" t="s">
        <v>341</v>
      </c>
      <c r="E1929" s="122">
        <v>1.8888888888888891</v>
      </c>
      <c r="F1929" s="112" t="s">
        <v>28</v>
      </c>
      <c r="G1929" s="114">
        <v>5</v>
      </c>
      <c r="H1929" s="115" t="s">
        <v>83</v>
      </c>
    </row>
    <row r="1930" spans="1:8" ht="19.899999999999999" customHeight="1">
      <c r="A1930" s="121">
        <v>46050</v>
      </c>
      <c r="B1930" s="112" t="s">
        <v>38</v>
      </c>
      <c r="C1930" s="113" t="s">
        <v>342</v>
      </c>
      <c r="D1930" s="112" t="s">
        <v>341</v>
      </c>
      <c r="E1930" s="122">
        <v>1.489583333333333</v>
      </c>
      <c r="F1930" s="112" t="s">
        <v>43</v>
      </c>
      <c r="G1930" s="114">
        <v>9</v>
      </c>
      <c r="H1930" s="115" t="s">
        <v>33</v>
      </c>
    </row>
    <row r="1931" spans="1:8" ht="19.899999999999999" customHeight="1">
      <c r="A1931" s="121">
        <v>46050</v>
      </c>
      <c r="B1931" s="112" t="s">
        <v>402</v>
      </c>
      <c r="C1931" s="113" t="s">
        <v>403</v>
      </c>
      <c r="D1931" s="112" t="s">
        <v>341</v>
      </c>
      <c r="E1931" s="122">
        <v>1.493055555555556</v>
      </c>
      <c r="F1931" s="112" t="s">
        <v>63</v>
      </c>
      <c r="G1931" s="114">
        <v>5</v>
      </c>
      <c r="H1931" s="115" t="s">
        <v>404</v>
      </c>
    </row>
    <row r="1932" spans="1:8" ht="19.899999999999999" customHeight="1">
      <c r="A1932" s="121">
        <v>46050</v>
      </c>
      <c r="B1932" s="112" t="s">
        <v>402</v>
      </c>
      <c r="C1932" s="113" t="s">
        <v>465</v>
      </c>
      <c r="D1932" s="112" t="s">
        <v>341</v>
      </c>
      <c r="E1932" s="122">
        <v>1.194444444444444</v>
      </c>
      <c r="F1932" s="112" t="s">
        <v>63</v>
      </c>
      <c r="G1932" s="114">
        <v>5</v>
      </c>
      <c r="H1932" s="115" t="s">
        <v>404</v>
      </c>
    </row>
    <row r="1933" spans="1:8" ht="19.899999999999999" customHeight="1">
      <c r="A1933" s="129">
        <v>46050</v>
      </c>
      <c r="B1933" s="117" t="s">
        <v>61</v>
      </c>
      <c r="C1933" s="118" t="s">
        <v>428</v>
      </c>
      <c r="D1933" s="117" t="s">
        <v>341</v>
      </c>
      <c r="E1933" s="130">
        <v>1.9375</v>
      </c>
      <c r="F1933" s="117" t="s">
        <v>63</v>
      </c>
      <c r="G1933" s="119">
        <v>7</v>
      </c>
      <c r="H1933" s="120" t="s">
        <v>79</v>
      </c>
    </row>
    <row r="1934" spans="1:8" ht="19.899999999999999" customHeight="1">
      <c r="A1934" s="121">
        <v>46050</v>
      </c>
      <c r="B1934" s="112" t="s">
        <v>26</v>
      </c>
      <c r="C1934" s="113" t="s">
        <v>354</v>
      </c>
      <c r="D1934" s="112" t="s">
        <v>341</v>
      </c>
      <c r="E1934" s="122">
        <v>1.3472222222222221</v>
      </c>
      <c r="F1934" s="112" t="s">
        <v>28</v>
      </c>
      <c r="G1934" s="114">
        <v>7</v>
      </c>
      <c r="H1934" s="115" t="s">
        <v>45</v>
      </c>
    </row>
    <row r="1935" spans="1:8" ht="19.899999999999999" customHeight="1">
      <c r="A1935" s="121">
        <v>46050</v>
      </c>
      <c r="B1935" s="112" t="s">
        <v>26</v>
      </c>
      <c r="C1935" s="113" t="s">
        <v>352</v>
      </c>
      <c r="D1935" s="112" t="s">
        <v>341</v>
      </c>
      <c r="E1935" s="122">
        <v>1.944444444444444</v>
      </c>
      <c r="F1935" s="112" t="s">
        <v>28</v>
      </c>
      <c r="G1935" s="114">
        <v>5</v>
      </c>
      <c r="H1935" s="115" t="s">
        <v>45</v>
      </c>
    </row>
    <row r="1936" spans="1:8" ht="19.899999999999999" customHeight="1">
      <c r="A1936" s="121">
        <v>46050</v>
      </c>
      <c r="B1936" s="112" t="s">
        <v>26</v>
      </c>
      <c r="C1936" s="113" t="s">
        <v>356</v>
      </c>
      <c r="D1936" s="112" t="s">
        <v>341</v>
      </c>
      <c r="E1936" s="122">
        <v>1.4861111111111109</v>
      </c>
      <c r="F1936" s="112" t="s">
        <v>28</v>
      </c>
      <c r="G1936" s="114">
        <v>9</v>
      </c>
      <c r="H1936" s="115" t="s">
        <v>45</v>
      </c>
    </row>
    <row r="1937" spans="1:8" ht="19.899999999999999" customHeight="1">
      <c r="A1937" s="121">
        <v>46050</v>
      </c>
      <c r="B1937" s="112" t="s">
        <v>26</v>
      </c>
      <c r="C1937" s="113" t="s">
        <v>357</v>
      </c>
      <c r="D1937" s="112" t="s">
        <v>341</v>
      </c>
      <c r="E1937" s="122">
        <v>1.3923611111111109</v>
      </c>
      <c r="F1937" s="112" t="s">
        <v>28</v>
      </c>
      <c r="G1937" s="114">
        <v>5</v>
      </c>
      <c r="H1937" s="115" t="s">
        <v>45</v>
      </c>
    </row>
    <row r="1938" spans="1:8" ht="19.899999999999999" customHeight="1">
      <c r="A1938" s="121">
        <v>46050</v>
      </c>
      <c r="B1938" s="112" t="s">
        <v>26</v>
      </c>
      <c r="C1938" s="113" t="s">
        <v>348</v>
      </c>
      <c r="D1938" s="112" t="s">
        <v>341</v>
      </c>
      <c r="E1938" s="122">
        <v>1.993055555555556</v>
      </c>
      <c r="F1938" s="112" t="s">
        <v>31</v>
      </c>
      <c r="G1938" s="114">
        <v>4</v>
      </c>
      <c r="H1938" s="115" t="s">
        <v>159</v>
      </c>
    </row>
    <row r="1939" spans="1:8" ht="19.899999999999999" customHeight="1">
      <c r="A1939" s="121">
        <v>46050</v>
      </c>
      <c r="B1939" s="112" t="s">
        <v>26</v>
      </c>
      <c r="C1939" s="113" t="s">
        <v>351</v>
      </c>
      <c r="D1939" s="112" t="s">
        <v>341</v>
      </c>
      <c r="E1939" s="122">
        <v>1.836805555555556</v>
      </c>
      <c r="F1939" s="112" t="s">
        <v>31</v>
      </c>
      <c r="G1939" s="114">
        <v>1</v>
      </c>
      <c r="H1939" s="115" t="s">
        <v>159</v>
      </c>
    </row>
    <row r="1940" spans="1:8" ht="19.899999999999999" customHeight="1">
      <c r="A1940" s="121">
        <v>46050</v>
      </c>
      <c r="B1940" s="112" t="s">
        <v>26</v>
      </c>
      <c r="C1940" s="113" t="s">
        <v>353</v>
      </c>
      <c r="D1940" s="112" t="s">
        <v>341</v>
      </c>
      <c r="E1940" s="122">
        <v>1.8888888888888891</v>
      </c>
      <c r="F1940" s="112" t="s">
        <v>31</v>
      </c>
      <c r="G1940" s="114">
        <v>5</v>
      </c>
      <c r="H1940" s="115" t="s">
        <v>159</v>
      </c>
    </row>
    <row r="1941" spans="1:8" ht="19.899999999999999" customHeight="1">
      <c r="A1941" s="121">
        <v>46050</v>
      </c>
      <c r="B1941" s="112" t="s">
        <v>38</v>
      </c>
      <c r="C1941" s="113" t="s">
        <v>346</v>
      </c>
      <c r="D1941" s="112" t="s">
        <v>341</v>
      </c>
      <c r="E1941" s="122">
        <v>1.399305555555556</v>
      </c>
      <c r="F1941" s="112" t="s">
        <v>43</v>
      </c>
      <c r="G1941" s="114">
        <v>20</v>
      </c>
      <c r="H1941" s="115" t="s">
        <v>138</v>
      </c>
    </row>
    <row r="1942" spans="1:8" ht="19.899999999999999" customHeight="1">
      <c r="A1942" s="121">
        <v>46050</v>
      </c>
      <c r="B1942" s="112" t="s">
        <v>38</v>
      </c>
      <c r="C1942" s="113" t="s">
        <v>344</v>
      </c>
      <c r="D1942" s="112" t="s">
        <v>341</v>
      </c>
      <c r="E1942" s="122">
        <v>1.8888888888888891</v>
      </c>
      <c r="F1942" s="112" t="s">
        <v>43</v>
      </c>
      <c r="G1942" s="114">
        <v>20</v>
      </c>
      <c r="H1942" s="115" t="s">
        <v>138</v>
      </c>
    </row>
    <row r="1943" spans="1:8" ht="19.899999999999999" customHeight="1">
      <c r="A1943" s="121">
        <v>46050</v>
      </c>
      <c r="B1943" s="112" t="s">
        <v>38</v>
      </c>
      <c r="C1943" s="113" t="s">
        <v>345</v>
      </c>
      <c r="D1943" s="112" t="s">
        <v>341</v>
      </c>
      <c r="E1943" s="122">
        <v>1.989583333333333</v>
      </c>
      <c r="F1943" s="112" t="s">
        <v>43</v>
      </c>
      <c r="G1943" s="114">
        <v>20</v>
      </c>
      <c r="H1943" s="115" t="s">
        <v>138</v>
      </c>
    </row>
    <row r="1944" spans="1:8" ht="19.899999999999999" customHeight="1">
      <c r="A1944" s="121">
        <v>46050</v>
      </c>
      <c r="B1944" s="112" t="s">
        <v>359</v>
      </c>
      <c r="C1944" s="113" t="s">
        <v>360</v>
      </c>
      <c r="D1944" s="112" t="s">
        <v>341</v>
      </c>
      <c r="E1944" s="122">
        <v>1.225694444444444</v>
      </c>
      <c r="F1944" s="112" t="s">
        <v>46</v>
      </c>
      <c r="G1944" s="114">
        <v>9</v>
      </c>
      <c r="H1944" s="115" t="s">
        <v>526</v>
      </c>
    </row>
    <row r="1945" spans="1:8" ht="19.899999999999999" customHeight="1">
      <c r="A1945" s="121">
        <v>46050</v>
      </c>
      <c r="B1945" s="112" t="s">
        <v>26</v>
      </c>
      <c r="C1945" s="113" t="s">
        <v>354</v>
      </c>
      <c r="D1945" s="112" t="s">
        <v>341</v>
      </c>
      <c r="E1945" s="122">
        <v>1.3472222222222221</v>
      </c>
      <c r="F1945" s="112" t="s">
        <v>31</v>
      </c>
      <c r="G1945" s="114">
        <v>7</v>
      </c>
      <c r="H1945" s="115" t="s">
        <v>355</v>
      </c>
    </row>
    <row r="1946" spans="1:8" ht="19.899999999999999" customHeight="1">
      <c r="A1946" s="121">
        <v>46050</v>
      </c>
      <c r="B1946" s="112" t="s">
        <v>26</v>
      </c>
      <c r="C1946" s="113" t="s">
        <v>348</v>
      </c>
      <c r="D1946" s="112" t="s">
        <v>341</v>
      </c>
      <c r="E1946" s="122">
        <v>1.993055555555556</v>
      </c>
      <c r="F1946" s="112" t="s">
        <v>34</v>
      </c>
      <c r="G1946" s="114">
        <v>4</v>
      </c>
      <c r="H1946" s="115" t="s">
        <v>355</v>
      </c>
    </row>
    <row r="1947" spans="1:8" ht="19.899999999999999" customHeight="1">
      <c r="A1947" s="121">
        <v>46050</v>
      </c>
      <c r="B1947" s="112" t="s">
        <v>26</v>
      </c>
      <c r="C1947" s="113" t="s">
        <v>351</v>
      </c>
      <c r="D1947" s="112" t="s">
        <v>341</v>
      </c>
      <c r="E1947" s="122">
        <v>1.836805555555556</v>
      </c>
      <c r="F1947" s="112" t="s">
        <v>34</v>
      </c>
      <c r="G1947" s="114">
        <v>1</v>
      </c>
      <c r="H1947" s="115" t="s">
        <v>355</v>
      </c>
    </row>
    <row r="1948" spans="1:8" ht="19.899999999999999" customHeight="1">
      <c r="A1948" s="121">
        <v>46050</v>
      </c>
      <c r="B1948" s="112" t="s">
        <v>26</v>
      </c>
      <c r="C1948" s="113" t="s">
        <v>352</v>
      </c>
      <c r="D1948" s="112" t="s">
        <v>341</v>
      </c>
      <c r="E1948" s="122">
        <v>1.944444444444444</v>
      </c>
      <c r="F1948" s="112" t="s">
        <v>31</v>
      </c>
      <c r="G1948" s="114">
        <v>5</v>
      </c>
      <c r="H1948" s="115" t="s">
        <v>355</v>
      </c>
    </row>
    <row r="1949" spans="1:8" ht="19.899999999999999" customHeight="1">
      <c r="A1949" s="121">
        <v>46050</v>
      </c>
      <c r="B1949" s="112" t="s">
        <v>26</v>
      </c>
      <c r="C1949" s="113" t="s">
        <v>356</v>
      </c>
      <c r="D1949" s="112" t="s">
        <v>341</v>
      </c>
      <c r="E1949" s="122">
        <v>1.4861111111111109</v>
      </c>
      <c r="F1949" s="112" t="s">
        <v>31</v>
      </c>
      <c r="G1949" s="114">
        <v>9</v>
      </c>
      <c r="H1949" s="115" t="s">
        <v>355</v>
      </c>
    </row>
    <row r="1950" spans="1:8" ht="19.899999999999999" customHeight="1">
      <c r="A1950" s="121">
        <v>46050</v>
      </c>
      <c r="B1950" s="112" t="s">
        <v>26</v>
      </c>
      <c r="C1950" s="113" t="s">
        <v>357</v>
      </c>
      <c r="D1950" s="112" t="s">
        <v>341</v>
      </c>
      <c r="E1950" s="122">
        <v>1.3923611111111109</v>
      </c>
      <c r="F1950" s="112" t="s">
        <v>31</v>
      </c>
      <c r="G1950" s="114">
        <v>5</v>
      </c>
      <c r="H1950" s="115" t="s">
        <v>355</v>
      </c>
    </row>
    <row r="1951" spans="1:8" ht="19.899999999999999" customHeight="1">
      <c r="A1951" s="121">
        <v>46050</v>
      </c>
      <c r="B1951" s="112" t="s">
        <v>26</v>
      </c>
      <c r="C1951" s="113" t="s">
        <v>353</v>
      </c>
      <c r="D1951" s="112" t="s">
        <v>341</v>
      </c>
      <c r="E1951" s="122">
        <v>1.8888888888888891</v>
      </c>
      <c r="F1951" s="112" t="s">
        <v>34</v>
      </c>
      <c r="G1951" s="114">
        <v>5</v>
      </c>
      <c r="H1951" s="115" t="s">
        <v>355</v>
      </c>
    </row>
    <row r="1952" spans="1:8" ht="19.899999999999999" customHeight="1">
      <c r="A1952" s="121">
        <v>46050</v>
      </c>
      <c r="B1952" s="112" t="s">
        <v>26</v>
      </c>
      <c r="C1952" s="113" t="s">
        <v>354</v>
      </c>
      <c r="D1952" s="112" t="s">
        <v>341</v>
      </c>
      <c r="E1952" s="122">
        <v>1.3472222222222221</v>
      </c>
      <c r="F1952" s="112" t="s">
        <v>34</v>
      </c>
      <c r="G1952" s="114">
        <v>7</v>
      </c>
      <c r="H1952" s="115" t="s">
        <v>358</v>
      </c>
    </row>
    <row r="1953" spans="1:8" ht="19.899999999999999" customHeight="1">
      <c r="A1953" s="121">
        <v>46050</v>
      </c>
      <c r="B1953" s="112" t="s">
        <v>26</v>
      </c>
      <c r="C1953" s="113" t="s">
        <v>352</v>
      </c>
      <c r="D1953" s="112" t="s">
        <v>341</v>
      </c>
      <c r="E1953" s="122">
        <v>1.944444444444444</v>
      </c>
      <c r="F1953" s="112" t="s">
        <v>34</v>
      </c>
      <c r="G1953" s="114">
        <v>5</v>
      </c>
      <c r="H1953" s="115" t="s">
        <v>358</v>
      </c>
    </row>
    <row r="1954" spans="1:8" ht="19.899999999999999" customHeight="1">
      <c r="A1954" s="121">
        <v>46050</v>
      </c>
      <c r="B1954" s="112" t="s">
        <v>26</v>
      </c>
      <c r="C1954" s="113" t="s">
        <v>356</v>
      </c>
      <c r="D1954" s="112" t="s">
        <v>341</v>
      </c>
      <c r="E1954" s="122">
        <v>1.4861111111111109</v>
      </c>
      <c r="F1954" s="112" t="s">
        <v>34</v>
      </c>
      <c r="G1954" s="114">
        <v>9</v>
      </c>
      <c r="H1954" s="115" t="s">
        <v>358</v>
      </c>
    </row>
    <row r="1955" spans="1:8" ht="19.899999999999999" customHeight="1">
      <c r="A1955" s="121">
        <v>46050</v>
      </c>
      <c r="B1955" s="112" t="s">
        <v>26</v>
      </c>
      <c r="C1955" s="113" t="s">
        <v>357</v>
      </c>
      <c r="D1955" s="112" t="s">
        <v>341</v>
      </c>
      <c r="E1955" s="122">
        <v>1.3923611111111109</v>
      </c>
      <c r="F1955" s="112" t="s">
        <v>34</v>
      </c>
      <c r="G1955" s="114">
        <v>5</v>
      </c>
      <c r="H1955" s="115" t="s">
        <v>358</v>
      </c>
    </row>
    <row r="1956" spans="1:8" ht="19.899999999999999" customHeight="1">
      <c r="A1956" s="121">
        <v>46050</v>
      </c>
      <c r="B1956" s="112" t="s">
        <v>26</v>
      </c>
      <c r="C1956" s="113" t="s">
        <v>350</v>
      </c>
      <c r="D1956" s="112" t="s">
        <v>341</v>
      </c>
      <c r="E1956" s="122">
        <v>1.7361111111111109</v>
      </c>
      <c r="F1956" s="112" t="s">
        <v>28</v>
      </c>
      <c r="G1956" s="114">
        <v>2</v>
      </c>
      <c r="H1956" s="115" t="s">
        <v>455</v>
      </c>
    </row>
    <row r="1957" spans="1:8" ht="19.899999999999999" customHeight="1">
      <c r="A1957" s="121">
        <v>46050</v>
      </c>
      <c r="B1957" s="112" t="s">
        <v>38</v>
      </c>
      <c r="C1957" s="113" t="s">
        <v>346</v>
      </c>
      <c r="D1957" s="112" t="s">
        <v>341</v>
      </c>
      <c r="E1957" s="122">
        <v>1.399305555555556</v>
      </c>
      <c r="F1957" s="112" t="s">
        <v>46</v>
      </c>
      <c r="G1957" s="114">
        <v>20</v>
      </c>
      <c r="H1957" s="115" t="s">
        <v>47</v>
      </c>
    </row>
    <row r="1958" spans="1:8" ht="19.899999999999999" customHeight="1">
      <c r="A1958" s="121">
        <v>46050</v>
      </c>
      <c r="B1958" s="112" t="s">
        <v>38</v>
      </c>
      <c r="C1958" s="113" t="s">
        <v>342</v>
      </c>
      <c r="D1958" s="112" t="s">
        <v>341</v>
      </c>
      <c r="E1958" s="122">
        <v>1.489583333333333</v>
      </c>
      <c r="F1958" s="112" t="s">
        <v>46</v>
      </c>
      <c r="G1958" s="114">
        <v>9</v>
      </c>
      <c r="H1958" s="115" t="s">
        <v>47</v>
      </c>
    </row>
    <row r="1959" spans="1:8" ht="19.899999999999999" customHeight="1">
      <c r="A1959" s="121">
        <v>46050</v>
      </c>
      <c r="B1959" s="112" t="s">
        <v>38</v>
      </c>
      <c r="C1959" s="113" t="s">
        <v>344</v>
      </c>
      <c r="D1959" s="112" t="s">
        <v>341</v>
      </c>
      <c r="E1959" s="122">
        <v>1.8888888888888891</v>
      </c>
      <c r="F1959" s="112" t="s">
        <v>46</v>
      </c>
      <c r="G1959" s="114">
        <v>20</v>
      </c>
      <c r="H1959" s="115" t="s">
        <v>47</v>
      </c>
    </row>
    <row r="1960" spans="1:8" ht="19.899999999999999" customHeight="1">
      <c r="A1960" s="121">
        <v>46050</v>
      </c>
      <c r="B1960" s="112" t="s">
        <v>38</v>
      </c>
      <c r="C1960" s="113" t="s">
        <v>345</v>
      </c>
      <c r="D1960" s="112" t="s">
        <v>341</v>
      </c>
      <c r="E1960" s="122">
        <v>1.989583333333333</v>
      </c>
      <c r="F1960" s="112" t="s">
        <v>46</v>
      </c>
      <c r="G1960" s="114">
        <v>20</v>
      </c>
      <c r="H1960" s="115" t="s">
        <v>47</v>
      </c>
    </row>
    <row r="1961" spans="1:8" ht="19.899999999999999" customHeight="1">
      <c r="A1961" s="121">
        <v>46050</v>
      </c>
      <c r="B1961" s="112" t="s">
        <v>48</v>
      </c>
      <c r="C1961" s="113" t="s">
        <v>396</v>
      </c>
      <c r="D1961" s="112" t="s">
        <v>341</v>
      </c>
      <c r="E1961" s="122">
        <v>1.489583333333333</v>
      </c>
      <c r="F1961" s="112" t="s">
        <v>53</v>
      </c>
      <c r="G1961" s="114">
        <v>4</v>
      </c>
      <c r="H1961" s="115" t="s">
        <v>395</v>
      </c>
    </row>
    <row r="1962" spans="1:8" ht="19.899999999999999" customHeight="1">
      <c r="A1962" s="121">
        <v>46050</v>
      </c>
      <c r="B1962" s="112" t="s">
        <v>26</v>
      </c>
      <c r="C1962" s="113" t="s">
        <v>350</v>
      </c>
      <c r="D1962" s="112" t="s">
        <v>341</v>
      </c>
      <c r="E1962" s="122">
        <v>1.7361111111111109</v>
      </c>
      <c r="F1962" s="112" t="s">
        <v>31</v>
      </c>
      <c r="G1962" s="114">
        <v>2</v>
      </c>
      <c r="H1962" s="115" t="s">
        <v>456</v>
      </c>
    </row>
    <row r="1963" spans="1:8" ht="19.899999999999999" customHeight="1">
      <c r="A1963" s="121">
        <v>46050</v>
      </c>
      <c r="B1963" s="112" t="s">
        <v>26</v>
      </c>
      <c r="C1963" s="113" t="s">
        <v>350</v>
      </c>
      <c r="D1963" s="112" t="s">
        <v>341</v>
      </c>
      <c r="E1963" s="122">
        <v>1.7361111111111109</v>
      </c>
      <c r="F1963" s="112" t="s">
        <v>34</v>
      </c>
      <c r="G1963" s="114">
        <v>2</v>
      </c>
      <c r="H1963" s="115" t="s">
        <v>457</v>
      </c>
    </row>
    <row r="1964" spans="1:8" ht="19.899999999999999" customHeight="1">
      <c r="A1964" s="121">
        <v>46050</v>
      </c>
      <c r="B1964" s="112" t="s">
        <v>48</v>
      </c>
      <c r="C1964" s="113" t="s">
        <v>394</v>
      </c>
      <c r="D1964" s="112" t="s">
        <v>341</v>
      </c>
      <c r="E1964" s="122">
        <v>1.989583333333333</v>
      </c>
      <c r="F1964" s="112" t="s">
        <v>53</v>
      </c>
      <c r="G1964" s="114">
        <v>4</v>
      </c>
      <c r="H1964" s="115" t="s">
        <v>399</v>
      </c>
    </row>
    <row r="1965" spans="1:8" ht="19.899999999999999" customHeight="1">
      <c r="A1965" s="121">
        <v>46050</v>
      </c>
      <c r="B1965" s="112" t="s">
        <v>48</v>
      </c>
      <c r="C1965" s="113" t="s">
        <v>398</v>
      </c>
      <c r="D1965" s="112" t="s">
        <v>341</v>
      </c>
      <c r="E1965" s="122">
        <v>1.399305555555556</v>
      </c>
      <c r="F1965" s="112" t="s">
        <v>53</v>
      </c>
      <c r="G1965" s="114">
        <v>4</v>
      </c>
      <c r="H1965" s="115" t="s">
        <v>399</v>
      </c>
    </row>
    <row r="1966" spans="1:8" ht="19.899999999999999" customHeight="1">
      <c r="A1966" s="121">
        <v>46050</v>
      </c>
      <c r="B1966" s="112" t="s">
        <v>48</v>
      </c>
      <c r="C1966" s="113" t="s">
        <v>397</v>
      </c>
      <c r="D1966" s="112" t="s">
        <v>341</v>
      </c>
      <c r="E1966" s="122">
        <v>1.8888888888888891</v>
      </c>
      <c r="F1966" s="112" t="s">
        <v>53</v>
      </c>
      <c r="G1966" s="114">
        <v>4</v>
      </c>
      <c r="H1966" s="115" t="s">
        <v>399</v>
      </c>
    </row>
    <row r="1967" spans="1:8" ht="19.899999999999999" customHeight="1">
      <c r="A1967" s="121">
        <v>46050</v>
      </c>
      <c r="B1967" s="112" t="s">
        <v>48</v>
      </c>
      <c r="C1967" s="113" t="s">
        <v>391</v>
      </c>
      <c r="D1967" s="112" t="s">
        <v>341</v>
      </c>
      <c r="E1967" s="122">
        <v>1.489583333333333</v>
      </c>
      <c r="F1967" s="112" t="s">
        <v>53</v>
      </c>
      <c r="G1967" s="114">
        <v>9</v>
      </c>
      <c r="H1967" s="115" t="s">
        <v>490</v>
      </c>
    </row>
    <row r="1968" spans="1:8" ht="19.899999999999999" customHeight="1">
      <c r="A1968" s="121">
        <v>46050</v>
      </c>
      <c r="B1968" s="112" t="s">
        <v>48</v>
      </c>
      <c r="C1968" s="113" t="s">
        <v>386</v>
      </c>
      <c r="D1968" s="112" t="s">
        <v>341</v>
      </c>
      <c r="E1968" s="122">
        <v>1.8298611111111109</v>
      </c>
      <c r="F1968" s="112" t="s">
        <v>53</v>
      </c>
      <c r="G1968" s="114">
        <v>9</v>
      </c>
      <c r="H1968" s="115" t="s">
        <v>490</v>
      </c>
    </row>
    <row r="1969" spans="1:8" ht="19.899999999999999" customHeight="1">
      <c r="A1969" s="121">
        <v>46050</v>
      </c>
      <c r="B1969" s="112" t="s">
        <v>48</v>
      </c>
      <c r="C1969" s="113" t="s">
        <v>388</v>
      </c>
      <c r="D1969" s="112" t="s">
        <v>341</v>
      </c>
      <c r="E1969" s="122">
        <v>1.7222222222222221</v>
      </c>
      <c r="F1969" s="112" t="s">
        <v>53</v>
      </c>
      <c r="G1969" s="114">
        <v>9</v>
      </c>
      <c r="H1969" s="115" t="s">
        <v>490</v>
      </c>
    </row>
    <row r="1970" spans="1:8" ht="19.899999999999999" customHeight="1">
      <c r="A1970" s="121">
        <v>46050</v>
      </c>
      <c r="B1970" s="112" t="s">
        <v>48</v>
      </c>
      <c r="C1970" s="113" t="s">
        <v>382</v>
      </c>
      <c r="D1970" s="112" t="s">
        <v>341</v>
      </c>
      <c r="E1970" s="122">
        <v>1.118055555555556</v>
      </c>
      <c r="F1970" s="112" t="s">
        <v>53</v>
      </c>
      <c r="G1970" s="114">
        <v>9</v>
      </c>
      <c r="H1970" s="115" t="s">
        <v>490</v>
      </c>
    </row>
    <row r="1971" spans="1:8" ht="19.899999999999999" customHeight="1">
      <c r="A1971" s="121">
        <v>46050</v>
      </c>
      <c r="B1971" s="112" t="s">
        <v>48</v>
      </c>
      <c r="C1971" s="113" t="s">
        <v>389</v>
      </c>
      <c r="D1971" s="112" t="s">
        <v>341</v>
      </c>
      <c r="E1971" s="122">
        <v>1.7013888888888891</v>
      </c>
      <c r="F1971" s="112" t="s">
        <v>53</v>
      </c>
      <c r="G1971" s="114">
        <v>9</v>
      </c>
      <c r="H1971" s="115" t="s">
        <v>490</v>
      </c>
    </row>
    <row r="1972" spans="1:8" ht="19.899999999999999" customHeight="1">
      <c r="A1972" s="121">
        <v>46050</v>
      </c>
      <c r="B1972" s="112" t="s">
        <v>48</v>
      </c>
      <c r="C1972" s="113" t="s">
        <v>400</v>
      </c>
      <c r="D1972" s="112" t="s">
        <v>341</v>
      </c>
      <c r="E1972" s="122">
        <v>1.2534722222222221</v>
      </c>
      <c r="F1972" s="112" t="s">
        <v>53</v>
      </c>
      <c r="G1972" s="114">
        <v>9</v>
      </c>
      <c r="H1972" s="115" t="s">
        <v>490</v>
      </c>
    </row>
    <row r="1973" spans="1:8" ht="19.899999999999999" customHeight="1">
      <c r="A1973" s="121">
        <v>46050</v>
      </c>
      <c r="B1973" s="112" t="s">
        <v>48</v>
      </c>
      <c r="C1973" s="113" t="s">
        <v>390</v>
      </c>
      <c r="D1973" s="112" t="s">
        <v>341</v>
      </c>
      <c r="E1973" s="122">
        <v>1.041666666666667</v>
      </c>
      <c r="F1973" s="112" t="s">
        <v>53</v>
      </c>
      <c r="G1973" s="114">
        <v>9</v>
      </c>
      <c r="H1973" s="115" t="s">
        <v>490</v>
      </c>
    </row>
    <row r="1974" spans="1:8" ht="19.899999999999999" customHeight="1">
      <c r="A1974" s="121">
        <v>46050</v>
      </c>
      <c r="B1974" s="112" t="s">
        <v>48</v>
      </c>
      <c r="C1974" s="113" t="s">
        <v>385</v>
      </c>
      <c r="D1974" s="112" t="s">
        <v>341</v>
      </c>
      <c r="E1974" s="122">
        <v>1.9409722222222221</v>
      </c>
      <c r="F1974" s="112" t="s">
        <v>53</v>
      </c>
      <c r="G1974" s="114">
        <v>9</v>
      </c>
      <c r="H1974" s="115" t="s">
        <v>490</v>
      </c>
    </row>
    <row r="1975" spans="1:8" ht="19.899999999999999" customHeight="1">
      <c r="A1975" s="121">
        <v>46050</v>
      </c>
      <c r="B1975" s="112" t="s">
        <v>48</v>
      </c>
      <c r="C1975" s="113" t="s">
        <v>385</v>
      </c>
      <c r="D1975" s="112" t="s">
        <v>341</v>
      </c>
      <c r="E1975" s="122">
        <v>1.9409722222222221</v>
      </c>
      <c r="F1975" s="112" t="s">
        <v>70</v>
      </c>
      <c r="G1975" s="114">
        <v>9</v>
      </c>
      <c r="H1975" s="115" t="s">
        <v>490</v>
      </c>
    </row>
    <row r="1976" spans="1:8" ht="19.899999999999999" customHeight="1">
      <c r="A1976" s="121">
        <v>46050</v>
      </c>
      <c r="B1976" s="112" t="s">
        <v>415</v>
      </c>
      <c r="C1976" s="113" t="s">
        <v>418</v>
      </c>
      <c r="D1976" s="112" t="s">
        <v>341</v>
      </c>
      <c r="E1976" s="122">
        <v>1.6875</v>
      </c>
      <c r="F1976" s="112" t="s">
        <v>63</v>
      </c>
      <c r="G1976" s="114">
        <v>9</v>
      </c>
      <c r="H1976" s="115" t="s">
        <v>417</v>
      </c>
    </row>
    <row r="1977" spans="1:8" ht="19.899999999999999" customHeight="1">
      <c r="A1977" s="121">
        <v>46050</v>
      </c>
      <c r="B1977" s="112" t="s">
        <v>415</v>
      </c>
      <c r="C1977" s="113" t="s">
        <v>480</v>
      </c>
      <c r="D1977" s="112" t="s">
        <v>341</v>
      </c>
      <c r="E1977" s="122">
        <v>1.805555555555556</v>
      </c>
      <c r="F1977" s="112" t="s">
        <v>63</v>
      </c>
      <c r="G1977" s="114">
        <v>9</v>
      </c>
      <c r="H1977" s="115" t="s">
        <v>417</v>
      </c>
    </row>
    <row r="1978" spans="1:8" ht="19.899999999999999" customHeight="1">
      <c r="A1978" s="121">
        <v>46050</v>
      </c>
      <c r="B1978" s="112" t="s">
        <v>68</v>
      </c>
      <c r="C1978" s="113" t="s">
        <v>405</v>
      </c>
      <c r="D1978" s="112" t="s">
        <v>341</v>
      </c>
      <c r="E1978" s="122">
        <v>1.836805555555556</v>
      </c>
      <c r="F1978" s="112" t="s">
        <v>70</v>
      </c>
      <c r="G1978" s="114">
        <v>9</v>
      </c>
      <c r="H1978" s="115" t="s">
        <v>524</v>
      </c>
    </row>
    <row r="1979" spans="1:8" ht="19.899999999999999" customHeight="1">
      <c r="A1979" s="121">
        <v>46050</v>
      </c>
      <c r="B1979" s="112" t="s">
        <v>68</v>
      </c>
      <c r="C1979" s="113" t="s">
        <v>408</v>
      </c>
      <c r="D1979" s="112" t="s">
        <v>341</v>
      </c>
      <c r="E1979" s="122">
        <v>1.9722222222222221</v>
      </c>
      <c r="F1979" s="112" t="s">
        <v>70</v>
      </c>
      <c r="G1979" s="114">
        <v>9</v>
      </c>
      <c r="H1979" s="115" t="s">
        <v>524</v>
      </c>
    </row>
    <row r="1980" spans="1:8" ht="19.899999999999999" customHeight="1">
      <c r="A1980" s="121">
        <v>46050</v>
      </c>
      <c r="B1980" s="112" t="s">
        <v>68</v>
      </c>
      <c r="C1980" s="113" t="s">
        <v>437</v>
      </c>
      <c r="D1980" s="112" t="s">
        <v>341</v>
      </c>
      <c r="E1980" s="122">
        <v>1.104166666666667</v>
      </c>
      <c r="F1980" s="112" t="s">
        <v>70</v>
      </c>
      <c r="G1980" s="114">
        <v>9</v>
      </c>
      <c r="H1980" s="115" t="s">
        <v>524</v>
      </c>
    </row>
    <row r="1981" spans="1:8" ht="19.899999999999999" customHeight="1">
      <c r="A1981" s="121">
        <v>46050</v>
      </c>
      <c r="B1981" s="112" t="s">
        <v>68</v>
      </c>
      <c r="C1981" s="113" t="s">
        <v>409</v>
      </c>
      <c r="D1981" s="112" t="s">
        <v>341</v>
      </c>
      <c r="E1981" s="122">
        <v>1.3402777777777779</v>
      </c>
      <c r="F1981" s="112" t="s">
        <v>70</v>
      </c>
      <c r="G1981" s="114">
        <v>9</v>
      </c>
      <c r="H1981" s="115" t="s">
        <v>524</v>
      </c>
    </row>
    <row r="1982" spans="1:8" ht="19.899999999999999" customHeight="1">
      <c r="A1982" s="121">
        <v>46050</v>
      </c>
      <c r="B1982" s="112" t="s">
        <v>68</v>
      </c>
      <c r="C1982" s="113" t="s">
        <v>411</v>
      </c>
      <c r="D1982" s="112" t="s">
        <v>341</v>
      </c>
      <c r="E1982" s="122">
        <v>1.7847222222222221</v>
      </c>
      <c r="F1982" s="112" t="s">
        <v>70</v>
      </c>
      <c r="G1982" s="114">
        <v>9</v>
      </c>
      <c r="H1982" s="115" t="s">
        <v>524</v>
      </c>
    </row>
    <row r="1983" spans="1:8" ht="19.899999999999999" customHeight="1">
      <c r="A1983" s="123">
        <v>46050</v>
      </c>
      <c r="B1983" s="124" t="s">
        <v>68</v>
      </c>
      <c r="C1983" s="125" t="s">
        <v>410</v>
      </c>
      <c r="D1983" s="124" t="s">
        <v>341</v>
      </c>
      <c r="E1983" s="126">
        <v>1.5972222222222221</v>
      </c>
      <c r="F1983" s="124" t="s">
        <v>70</v>
      </c>
      <c r="G1983" s="127">
        <v>9</v>
      </c>
      <c r="H1983" s="128" t="s">
        <v>524</v>
      </c>
    </row>
    <row r="1984" spans="1:8" ht="19.899999999999999" customHeight="1">
      <c r="A1984" s="121">
        <v>46051</v>
      </c>
      <c r="B1984" s="112" t="s">
        <v>38</v>
      </c>
      <c r="C1984" s="113" t="s">
        <v>342</v>
      </c>
      <c r="D1984" s="112" t="s">
        <v>341</v>
      </c>
      <c r="E1984" s="122">
        <v>1.489583333333333</v>
      </c>
      <c r="F1984" s="112" t="s">
        <v>40</v>
      </c>
      <c r="G1984" s="114">
        <v>14</v>
      </c>
      <c r="H1984" s="115" t="s">
        <v>30</v>
      </c>
    </row>
    <row r="1985" spans="1:8" ht="19.899999999999999" customHeight="1">
      <c r="A1985" s="121">
        <v>46051</v>
      </c>
      <c r="B1985" s="112" t="s">
        <v>38</v>
      </c>
      <c r="C1985" s="113" t="s">
        <v>346</v>
      </c>
      <c r="D1985" s="112" t="s">
        <v>341</v>
      </c>
      <c r="E1985" s="122">
        <v>1.399305555555556</v>
      </c>
      <c r="F1985" s="112" t="s">
        <v>40</v>
      </c>
      <c r="G1985" s="114">
        <v>20</v>
      </c>
      <c r="H1985" s="115" t="s">
        <v>347</v>
      </c>
    </row>
    <row r="1986" spans="1:8" ht="19.899999999999999" customHeight="1">
      <c r="A1986" s="121">
        <v>46051</v>
      </c>
      <c r="B1986" s="112" t="s">
        <v>38</v>
      </c>
      <c r="C1986" s="113" t="s">
        <v>344</v>
      </c>
      <c r="D1986" s="112" t="s">
        <v>341</v>
      </c>
      <c r="E1986" s="122">
        <v>1.8888888888888891</v>
      </c>
      <c r="F1986" s="112" t="s">
        <v>40</v>
      </c>
      <c r="G1986" s="114">
        <v>17</v>
      </c>
      <c r="H1986" s="115" t="s">
        <v>347</v>
      </c>
    </row>
    <row r="1987" spans="1:8" ht="19.899999999999999" customHeight="1">
      <c r="A1987" s="121">
        <v>46051</v>
      </c>
      <c r="B1987" s="112" t="s">
        <v>38</v>
      </c>
      <c r="C1987" s="113" t="s">
        <v>345</v>
      </c>
      <c r="D1987" s="112" t="s">
        <v>341</v>
      </c>
      <c r="E1987" s="122">
        <v>1.989583333333333</v>
      </c>
      <c r="F1987" s="112" t="s">
        <v>40</v>
      </c>
      <c r="G1987" s="114">
        <v>20</v>
      </c>
      <c r="H1987" s="115" t="s">
        <v>347</v>
      </c>
    </row>
    <row r="1988" spans="1:8" ht="19.899999999999999" customHeight="1">
      <c r="A1988" s="121">
        <v>46051</v>
      </c>
      <c r="B1988" s="112" t="s">
        <v>359</v>
      </c>
      <c r="C1988" s="113" t="s">
        <v>360</v>
      </c>
      <c r="D1988" s="112" t="s">
        <v>341</v>
      </c>
      <c r="E1988" s="122">
        <v>1.1701388888888891</v>
      </c>
      <c r="F1988" s="112" t="s">
        <v>361</v>
      </c>
      <c r="G1988" s="114">
        <v>9</v>
      </c>
      <c r="H1988" s="115" t="s">
        <v>525</v>
      </c>
    </row>
    <row r="1989" spans="1:8" ht="19.899999999999999" customHeight="1">
      <c r="A1989" s="129">
        <v>46051</v>
      </c>
      <c r="B1989" s="117" t="s">
        <v>61</v>
      </c>
      <c r="C1989" s="118" t="s">
        <v>371</v>
      </c>
      <c r="D1989" s="117" t="s">
        <v>341</v>
      </c>
      <c r="E1989" s="130">
        <v>1.0659722222222221</v>
      </c>
      <c r="F1989" s="117" t="s">
        <v>63</v>
      </c>
      <c r="G1989" s="119">
        <v>4</v>
      </c>
      <c r="H1989" s="120" t="s">
        <v>365</v>
      </c>
    </row>
    <row r="1990" spans="1:8" ht="19.899999999999999" customHeight="1">
      <c r="A1990" s="129">
        <v>46051</v>
      </c>
      <c r="B1990" s="117" t="s">
        <v>61</v>
      </c>
      <c r="C1990" s="118" t="s">
        <v>375</v>
      </c>
      <c r="D1990" s="117" t="s">
        <v>341</v>
      </c>
      <c r="E1990" s="130">
        <v>1.15625</v>
      </c>
      <c r="F1990" s="117" t="s">
        <v>63</v>
      </c>
      <c r="G1990" s="119">
        <v>6</v>
      </c>
      <c r="H1990" s="120" t="s">
        <v>365</v>
      </c>
    </row>
    <row r="1991" spans="1:8" ht="19.899999999999999" customHeight="1">
      <c r="A1991" s="129">
        <v>46051</v>
      </c>
      <c r="B1991" s="117" t="s">
        <v>61</v>
      </c>
      <c r="C1991" s="118" t="s">
        <v>379</v>
      </c>
      <c r="D1991" s="117" t="s">
        <v>341</v>
      </c>
      <c r="E1991" s="130">
        <v>1.5625</v>
      </c>
      <c r="F1991" s="117" t="s">
        <v>63</v>
      </c>
      <c r="G1991" s="119">
        <v>4</v>
      </c>
      <c r="H1991" s="120" t="s">
        <v>365</v>
      </c>
    </row>
    <row r="1992" spans="1:8" ht="19.899999999999999" customHeight="1">
      <c r="A1992" s="121">
        <v>46051</v>
      </c>
      <c r="B1992" s="112" t="s">
        <v>26</v>
      </c>
      <c r="C1992" s="113" t="s">
        <v>348</v>
      </c>
      <c r="D1992" s="112" t="s">
        <v>341</v>
      </c>
      <c r="E1992" s="122">
        <v>1.993055555555556</v>
      </c>
      <c r="F1992" s="112" t="s">
        <v>28</v>
      </c>
      <c r="G1992" s="114">
        <v>5</v>
      </c>
      <c r="H1992" s="115" t="s">
        <v>83</v>
      </c>
    </row>
    <row r="1993" spans="1:8" ht="19.899999999999999" customHeight="1">
      <c r="A1993" s="121">
        <v>46051</v>
      </c>
      <c r="B1993" s="112" t="s">
        <v>26</v>
      </c>
      <c r="C1993" s="113" t="s">
        <v>350</v>
      </c>
      <c r="D1993" s="112" t="s">
        <v>341</v>
      </c>
      <c r="E1993" s="122">
        <v>1.7361111111111109</v>
      </c>
      <c r="F1993" s="112" t="s">
        <v>28</v>
      </c>
      <c r="G1993" s="114">
        <v>3</v>
      </c>
      <c r="H1993" s="115" t="s">
        <v>83</v>
      </c>
    </row>
    <row r="1994" spans="1:8" ht="19.899999999999999" customHeight="1">
      <c r="A1994" s="121">
        <v>46051</v>
      </c>
      <c r="B1994" s="112" t="s">
        <v>26</v>
      </c>
      <c r="C1994" s="113" t="s">
        <v>353</v>
      </c>
      <c r="D1994" s="112" t="s">
        <v>341</v>
      </c>
      <c r="E1994" s="122">
        <v>1.8888888888888891</v>
      </c>
      <c r="F1994" s="112" t="s">
        <v>28</v>
      </c>
      <c r="G1994" s="114">
        <v>4</v>
      </c>
      <c r="H1994" s="115" t="s">
        <v>83</v>
      </c>
    </row>
    <row r="1995" spans="1:8" ht="19.899999999999999" customHeight="1">
      <c r="A1995" s="121">
        <v>46051</v>
      </c>
      <c r="B1995" s="112" t="s">
        <v>402</v>
      </c>
      <c r="C1995" s="113" t="s">
        <v>403</v>
      </c>
      <c r="D1995" s="112" t="s">
        <v>341</v>
      </c>
      <c r="E1995" s="122">
        <v>1.493055555555556</v>
      </c>
      <c r="F1995" s="112" t="s">
        <v>63</v>
      </c>
      <c r="G1995" s="114">
        <v>5</v>
      </c>
      <c r="H1995" s="115" t="s">
        <v>404</v>
      </c>
    </row>
    <row r="1996" spans="1:8" ht="19.899999999999999" customHeight="1">
      <c r="A1996" s="129">
        <v>46051</v>
      </c>
      <c r="B1996" s="117" t="s">
        <v>61</v>
      </c>
      <c r="C1996" s="118" t="s">
        <v>364</v>
      </c>
      <c r="D1996" s="117" t="s">
        <v>341</v>
      </c>
      <c r="E1996" s="130">
        <v>1.9375</v>
      </c>
      <c r="F1996" s="117" t="s">
        <v>63</v>
      </c>
      <c r="G1996" s="119">
        <v>2</v>
      </c>
      <c r="H1996" s="120" t="s">
        <v>79</v>
      </c>
    </row>
    <row r="1997" spans="1:8" ht="19.899999999999999" customHeight="1">
      <c r="A1997" s="129">
        <v>46051</v>
      </c>
      <c r="B1997" s="117" t="s">
        <v>61</v>
      </c>
      <c r="C1997" s="118" t="s">
        <v>369</v>
      </c>
      <c r="D1997" s="117" t="s">
        <v>341</v>
      </c>
      <c r="E1997" s="130">
        <v>1.1875</v>
      </c>
      <c r="F1997" s="117" t="s">
        <v>63</v>
      </c>
      <c r="G1997" s="119">
        <v>9</v>
      </c>
      <c r="H1997" s="120" t="s">
        <v>79</v>
      </c>
    </row>
    <row r="1998" spans="1:8" ht="19.899999999999999" customHeight="1">
      <c r="A1998" s="129">
        <v>46051</v>
      </c>
      <c r="B1998" s="117" t="s">
        <v>61</v>
      </c>
      <c r="C1998" s="118" t="s">
        <v>377</v>
      </c>
      <c r="D1998" s="117" t="s">
        <v>341</v>
      </c>
      <c r="E1998" s="130">
        <v>1.40625</v>
      </c>
      <c r="F1998" s="117" t="s">
        <v>63</v>
      </c>
      <c r="G1998" s="119">
        <v>7</v>
      </c>
      <c r="H1998" s="120" t="s">
        <v>79</v>
      </c>
    </row>
    <row r="1999" spans="1:8" ht="19.899999999999999" customHeight="1">
      <c r="A1999" s="121">
        <v>46051</v>
      </c>
      <c r="B1999" s="112" t="s">
        <v>26</v>
      </c>
      <c r="C1999" s="113" t="s">
        <v>351</v>
      </c>
      <c r="D1999" s="112" t="s">
        <v>341</v>
      </c>
      <c r="E1999" s="122">
        <v>1.836805555555556</v>
      </c>
      <c r="F1999" s="112" t="s">
        <v>28</v>
      </c>
      <c r="G1999" s="114">
        <v>1</v>
      </c>
      <c r="H1999" s="115" t="s">
        <v>79</v>
      </c>
    </row>
    <row r="2000" spans="1:8" ht="19.899999999999999" customHeight="1">
      <c r="A2000" s="121">
        <v>46051</v>
      </c>
      <c r="B2000" s="112" t="s">
        <v>38</v>
      </c>
      <c r="C2000" s="113" t="s">
        <v>342</v>
      </c>
      <c r="D2000" s="112" t="s">
        <v>341</v>
      </c>
      <c r="E2000" s="122">
        <v>1.489583333333333</v>
      </c>
      <c r="F2000" s="112" t="s">
        <v>43</v>
      </c>
      <c r="G2000" s="114">
        <v>14</v>
      </c>
      <c r="H2000" s="115" t="s">
        <v>420</v>
      </c>
    </row>
    <row r="2001" spans="1:8" ht="19.899999999999999" customHeight="1">
      <c r="A2001" s="121">
        <v>46051</v>
      </c>
      <c r="B2001" s="112" t="s">
        <v>26</v>
      </c>
      <c r="C2001" s="113" t="s">
        <v>352</v>
      </c>
      <c r="D2001" s="112" t="s">
        <v>341</v>
      </c>
      <c r="E2001" s="122">
        <v>1.944444444444444</v>
      </c>
      <c r="F2001" s="112" t="s">
        <v>28</v>
      </c>
      <c r="G2001" s="114">
        <v>5</v>
      </c>
      <c r="H2001" s="115" t="s">
        <v>45</v>
      </c>
    </row>
    <row r="2002" spans="1:8" ht="19.899999999999999" customHeight="1">
      <c r="A2002" s="121">
        <v>46051</v>
      </c>
      <c r="B2002" s="112" t="s">
        <v>26</v>
      </c>
      <c r="C2002" s="113" t="s">
        <v>357</v>
      </c>
      <c r="D2002" s="112" t="s">
        <v>341</v>
      </c>
      <c r="E2002" s="122">
        <v>1.3923611111111109</v>
      </c>
      <c r="F2002" s="112" t="s">
        <v>28</v>
      </c>
      <c r="G2002" s="114">
        <v>5</v>
      </c>
      <c r="H2002" s="115" t="s">
        <v>45</v>
      </c>
    </row>
    <row r="2003" spans="1:8" ht="19.899999999999999" customHeight="1">
      <c r="A2003" s="121">
        <v>46051</v>
      </c>
      <c r="B2003" s="112" t="s">
        <v>26</v>
      </c>
      <c r="C2003" s="113" t="s">
        <v>348</v>
      </c>
      <c r="D2003" s="112" t="s">
        <v>341</v>
      </c>
      <c r="E2003" s="122">
        <v>1.993055555555556</v>
      </c>
      <c r="F2003" s="112" t="s">
        <v>31</v>
      </c>
      <c r="G2003" s="114">
        <v>5</v>
      </c>
      <c r="H2003" s="115" t="s">
        <v>159</v>
      </c>
    </row>
    <row r="2004" spans="1:8" ht="19.899999999999999" customHeight="1">
      <c r="A2004" s="121">
        <v>46051</v>
      </c>
      <c r="B2004" s="112" t="s">
        <v>26</v>
      </c>
      <c r="C2004" s="113" t="s">
        <v>350</v>
      </c>
      <c r="D2004" s="112" t="s">
        <v>341</v>
      </c>
      <c r="E2004" s="122">
        <v>1.7361111111111109</v>
      </c>
      <c r="F2004" s="112" t="s">
        <v>31</v>
      </c>
      <c r="G2004" s="114">
        <v>3</v>
      </c>
      <c r="H2004" s="115" t="s">
        <v>159</v>
      </c>
    </row>
    <row r="2005" spans="1:8" ht="19.899999999999999" customHeight="1">
      <c r="A2005" s="121">
        <v>46051</v>
      </c>
      <c r="B2005" s="112" t="s">
        <v>26</v>
      </c>
      <c r="C2005" s="113" t="s">
        <v>353</v>
      </c>
      <c r="D2005" s="112" t="s">
        <v>341</v>
      </c>
      <c r="E2005" s="122">
        <v>1.8888888888888891</v>
      </c>
      <c r="F2005" s="112" t="s">
        <v>31</v>
      </c>
      <c r="G2005" s="114">
        <v>4</v>
      </c>
      <c r="H2005" s="115" t="s">
        <v>159</v>
      </c>
    </row>
    <row r="2006" spans="1:8" ht="19.899999999999999" customHeight="1">
      <c r="A2006" s="121">
        <v>46051</v>
      </c>
      <c r="B2006" s="112" t="s">
        <v>38</v>
      </c>
      <c r="C2006" s="113" t="s">
        <v>346</v>
      </c>
      <c r="D2006" s="112" t="s">
        <v>341</v>
      </c>
      <c r="E2006" s="122">
        <v>1.399305555555556</v>
      </c>
      <c r="F2006" s="112" t="s">
        <v>43</v>
      </c>
      <c r="G2006" s="114">
        <v>20</v>
      </c>
      <c r="H2006" s="115" t="s">
        <v>138</v>
      </c>
    </row>
    <row r="2007" spans="1:8" ht="19.899999999999999" customHeight="1">
      <c r="A2007" s="121">
        <v>46051</v>
      </c>
      <c r="B2007" s="112" t="s">
        <v>38</v>
      </c>
      <c r="C2007" s="113" t="s">
        <v>344</v>
      </c>
      <c r="D2007" s="112" t="s">
        <v>341</v>
      </c>
      <c r="E2007" s="122">
        <v>1.8888888888888891</v>
      </c>
      <c r="F2007" s="112" t="s">
        <v>43</v>
      </c>
      <c r="G2007" s="114">
        <v>17</v>
      </c>
      <c r="H2007" s="115" t="s">
        <v>138</v>
      </c>
    </row>
    <row r="2008" spans="1:8" ht="19.899999999999999" customHeight="1">
      <c r="A2008" s="121">
        <v>46051</v>
      </c>
      <c r="B2008" s="112" t="s">
        <v>38</v>
      </c>
      <c r="C2008" s="113" t="s">
        <v>345</v>
      </c>
      <c r="D2008" s="112" t="s">
        <v>341</v>
      </c>
      <c r="E2008" s="122">
        <v>1.989583333333333</v>
      </c>
      <c r="F2008" s="112" t="s">
        <v>43</v>
      </c>
      <c r="G2008" s="114">
        <v>20</v>
      </c>
      <c r="H2008" s="115" t="s">
        <v>138</v>
      </c>
    </row>
    <row r="2009" spans="1:8" ht="19.899999999999999" customHeight="1">
      <c r="A2009" s="121">
        <v>46051</v>
      </c>
      <c r="B2009" s="112" t="s">
        <v>26</v>
      </c>
      <c r="C2009" s="113" t="s">
        <v>351</v>
      </c>
      <c r="D2009" s="112" t="s">
        <v>341</v>
      </c>
      <c r="E2009" s="122">
        <v>1.836805555555556</v>
      </c>
      <c r="F2009" s="112" t="s">
        <v>31</v>
      </c>
      <c r="G2009" s="114">
        <v>1</v>
      </c>
      <c r="H2009" s="115" t="s">
        <v>123</v>
      </c>
    </row>
    <row r="2010" spans="1:8" ht="19.899999999999999" customHeight="1">
      <c r="A2010" s="121">
        <v>46051</v>
      </c>
      <c r="B2010" s="112" t="s">
        <v>359</v>
      </c>
      <c r="C2010" s="113" t="s">
        <v>360</v>
      </c>
      <c r="D2010" s="112" t="s">
        <v>341</v>
      </c>
      <c r="E2010" s="122">
        <v>1.1701388888888891</v>
      </c>
      <c r="F2010" s="112" t="s">
        <v>46</v>
      </c>
      <c r="G2010" s="114">
        <v>9</v>
      </c>
      <c r="H2010" s="115" t="s">
        <v>526</v>
      </c>
    </row>
    <row r="2011" spans="1:8" ht="19.899999999999999" customHeight="1">
      <c r="A2011" s="121">
        <v>46051</v>
      </c>
      <c r="B2011" s="112" t="s">
        <v>26</v>
      </c>
      <c r="C2011" s="113" t="s">
        <v>348</v>
      </c>
      <c r="D2011" s="112" t="s">
        <v>341</v>
      </c>
      <c r="E2011" s="122">
        <v>1.993055555555556</v>
      </c>
      <c r="F2011" s="112" t="s">
        <v>34</v>
      </c>
      <c r="G2011" s="114">
        <v>5</v>
      </c>
      <c r="H2011" s="115" t="s">
        <v>355</v>
      </c>
    </row>
    <row r="2012" spans="1:8" ht="19.899999999999999" customHeight="1">
      <c r="A2012" s="121">
        <v>46051</v>
      </c>
      <c r="B2012" s="112" t="s">
        <v>26</v>
      </c>
      <c r="C2012" s="113" t="s">
        <v>350</v>
      </c>
      <c r="D2012" s="112" t="s">
        <v>341</v>
      </c>
      <c r="E2012" s="122">
        <v>1.7361111111111109</v>
      </c>
      <c r="F2012" s="112" t="s">
        <v>34</v>
      </c>
      <c r="G2012" s="114">
        <v>3</v>
      </c>
      <c r="H2012" s="115" t="s">
        <v>355</v>
      </c>
    </row>
    <row r="2013" spans="1:8" ht="19.899999999999999" customHeight="1">
      <c r="A2013" s="121">
        <v>46051</v>
      </c>
      <c r="B2013" s="112" t="s">
        <v>26</v>
      </c>
      <c r="C2013" s="113" t="s">
        <v>352</v>
      </c>
      <c r="D2013" s="112" t="s">
        <v>341</v>
      </c>
      <c r="E2013" s="122">
        <v>1.944444444444444</v>
      </c>
      <c r="F2013" s="112" t="s">
        <v>31</v>
      </c>
      <c r="G2013" s="114">
        <v>5</v>
      </c>
      <c r="H2013" s="115" t="s">
        <v>355</v>
      </c>
    </row>
    <row r="2014" spans="1:8" ht="19.899999999999999" customHeight="1">
      <c r="A2014" s="121">
        <v>46051</v>
      </c>
      <c r="B2014" s="112" t="s">
        <v>26</v>
      </c>
      <c r="C2014" s="113" t="s">
        <v>357</v>
      </c>
      <c r="D2014" s="112" t="s">
        <v>341</v>
      </c>
      <c r="E2014" s="122">
        <v>1.3923611111111109</v>
      </c>
      <c r="F2014" s="112" t="s">
        <v>31</v>
      </c>
      <c r="G2014" s="114">
        <v>5</v>
      </c>
      <c r="H2014" s="115" t="s">
        <v>355</v>
      </c>
    </row>
    <row r="2015" spans="1:8" ht="19.899999999999999" customHeight="1">
      <c r="A2015" s="121">
        <v>46051</v>
      </c>
      <c r="B2015" s="112" t="s">
        <v>26</v>
      </c>
      <c r="C2015" s="113" t="s">
        <v>353</v>
      </c>
      <c r="D2015" s="112" t="s">
        <v>341</v>
      </c>
      <c r="E2015" s="122">
        <v>1.8888888888888891</v>
      </c>
      <c r="F2015" s="112" t="s">
        <v>34</v>
      </c>
      <c r="G2015" s="114">
        <v>4</v>
      </c>
      <c r="H2015" s="115" t="s">
        <v>355</v>
      </c>
    </row>
    <row r="2016" spans="1:8" ht="19.899999999999999" customHeight="1">
      <c r="A2016" s="121">
        <v>46051</v>
      </c>
      <c r="B2016" s="112" t="s">
        <v>26</v>
      </c>
      <c r="C2016" s="113" t="s">
        <v>351</v>
      </c>
      <c r="D2016" s="112" t="s">
        <v>341</v>
      </c>
      <c r="E2016" s="122">
        <v>1.836805555555556</v>
      </c>
      <c r="F2016" s="112" t="s">
        <v>34</v>
      </c>
      <c r="G2016" s="114">
        <v>1</v>
      </c>
      <c r="H2016" s="115" t="s">
        <v>118</v>
      </c>
    </row>
    <row r="2017" spans="1:8" ht="19.899999999999999" customHeight="1">
      <c r="A2017" s="121">
        <v>46051</v>
      </c>
      <c r="B2017" s="112" t="s">
        <v>26</v>
      </c>
      <c r="C2017" s="113" t="s">
        <v>352</v>
      </c>
      <c r="D2017" s="112" t="s">
        <v>341</v>
      </c>
      <c r="E2017" s="122">
        <v>1.944444444444444</v>
      </c>
      <c r="F2017" s="112" t="s">
        <v>34</v>
      </c>
      <c r="G2017" s="114">
        <v>5</v>
      </c>
      <c r="H2017" s="115" t="s">
        <v>358</v>
      </c>
    </row>
    <row r="2018" spans="1:8" ht="19.899999999999999" customHeight="1">
      <c r="A2018" s="121">
        <v>46051</v>
      </c>
      <c r="B2018" s="112" t="s">
        <v>26</v>
      </c>
      <c r="C2018" s="113" t="s">
        <v>357</v>
      </c>
      <c r="D2018" s="112" t="s">
        <v>341</v>
      </c>
      <c r="E2018" s="122">
        <v>1.3923611111111109</v>
      </c>
      <c r="F2018" s="112" t="s">
        <v>34</v>
      </c>
      <c r="G2018" s="114">
        <v>5</v>
      </c>
      <c r="H2018" s="115" t="s">
        <v>358</v>
      </c>
    </row>
    <row r="2019" spans="1:8" ht="19.899999999999999" customHeight="1">
      <c r="A2019" s="121">
        <v>46051</v>
      </c>
      <c r="B2019" s="112" t="s">
        <v>26</v>
      </c>
      <c r="C2019" s="113" t="s">
        <v>356</v>
      </c>
      <c r="D2019" s="112" t="s">
        <v>341</v>
      </c>
      <c r="E2019" s="122">
        <v>1.4861111111111109</v>
      </c>
      <c r="F2019" s="112" t="s">
        <v>28</v>
      </c>
      <c r="G2019" s="114">
        <v>3</v>
      </c>
      <c r="H2019" s="115" t="s">
        <v>455</v>
      </c>
    </row>
    <row r="2020" spans="1:8" ht="19.899999999999999" customHeight="1">
      <c r="A2020" s="121">
        <v>46051</v>
      </c>
      <c r="B2020" s="112" t="s">
        <v>38</v>
      </c>
      <c r="C2020" s="113" t="s">
        <v>346</v>
      </c>
      <c r="D2020" s="112" t="s">
        <v>341</v>
      </c>
      <c r="E2020" s="122">
        <v>1.399305555555556</v>
      </c>
      <c r="F2020" s="112" t="s">
        <v>46</v>
      </c>
      <c r="G2020" s="114">
        <v>20</v>
      </c>
      <c r="H2020" s="115" t="s">
        <v>47</v>
      </c>
    </row>
    <row r="2021" spans="1:8" ht="19.899999999999999" customHeight="1">
      <c r="A2021" s="121">
        <v>46051</v>
      </c>
      <c r="B2021" s="112" t="s">
        <v>38</v>
      </c>
      <c r="C2021" s="113" t="s">
        <v>342</v>
      </c>
      <c r="D2021" s="112" t="s">
        <v>341</v>
      </c>
      <c r="E2021" s="122">
        <v>1.489583333333333</v>
      </c>
      <c r="F2021" s="112" t="s">
        <v>46</v>
      </c>
      <c r="G2021" s="114">
        <v>14</v>
      </c>
      <c r="H2021" s="115" t="s">
        <v>47</v>
      </c>
    </row>
    <row r="2022" spans="1:8" ht="19.899999999999999" customHeight="1">
      <c r="A2022" s="121">
        <v>46051</v>
      </c>
      <c r="B2022" s="112" t="s">
        <v>38</v>
      </c>
      <c r="C2022" s="113" t="s">
        <v>344</v>
      </c>
      <c r="D2022" s="112" t="s">
        <v>341</v>
      </c>
      <c r="E2022" s="122">
        <v>1.8888888888888891</v>
      </c>
      <c r="F2022" s="112" t="s">
        <v>46</v>
      </c>
      <c r="G2022" s="114">
        <v>17</v>
      </c>
      <c r="H2022" s="115" t="s">
        <v>47</v>
      </c>
    </row>
    <row r="2023" spans="1:8" ht="19.899999999999999" customHeight="1">
      <c r="A2023" s="121">
        <v>46051</v>
      </c>
      <c r="B2023" s="112" t="s">
        <v>38</v>
      </c>
      <c r="C2023" s="113" t="s">
        <v>345</v>
      </c>
      <c r="D2023" s="112" t="s">
        <v>341</v>
      </c>
      <c r="E2023" s="122">
        <v>1.989583333333333</v>
      </c>
      <c r="F2023" s="112" t="s">
        <v>46</v>
      </c>
      <c r="G2023" s="114">
        <v>20</v>
      </c>
      <c r="H2023" s="115" t="s">
        <v>47</v>
      </c>
    </row>
    <row r="2024" spans="1:8" ht="19.899999999999999" customHeight="1">
      <c r="A2024" s="121">
        <v>46051</v>
      </c>
      <c r="B2024" s="112" t="s">
        <v>26</v>
      </c>
      <c r="C2024" s="113" t="s">
        <v>354</v>
      </c>
      <c r="D2024" s="112" t="s">
        <v>341</v>
      </c>
      <c r="E2024" s="122">
        <v>1.3472222222222221</v>
      </c>
      <c r="F2024" s="112" t="s">
        <v>28</v>
      </c>
      <c r="G2024" s="114">
        <v>9</v>
      </c>
      <c r="H2024" s="115" t="s">
        <v>456</v>
      </c>
    </row>
    <row r="2025" spans="1:8" ht="19.899999999999999" customHeight="1">
      <c r="A2025" s="121">
        <v>46051</v>
      </c>
      <c r="B2025" s="112" t="s">
        <v>26</v>
      </c>
      <c r="C2025" s="113" t="s">
        <v>356</v>
      </c>
      <c r="D2025" s="112" t="s">
        <v>341</v>
      </c>
      <c r="E2025" s="122">
        <v>1.4861111111111109</v>
      </c>
      <c r="F2025" s="112" t="s">
        <v>31</v>
      </c>
      <c r="G2025" s="114">
        <v>3</v>
      </c>
      <c r="H2025" s="115" t="s">
        <v>456</v>
      </c>
    </row>
    <row r="2026" spans="1:8" ht="19.899999999999999" customHeight="1">
      <c r="A2026" s="121">
        <v>46051</v>
      </c>
      <c r="B2026" s="112" t="s">
        <v>48</v>
      </c>
      <c r="C2026" s="113" t="s">
        <v>396</v>
      </c>
      <c r="D2026" s="112" t="s">
        <v>341</v>
      </c>
      <c r="E2026" s="122">
        <v>1.489583333333333</v>
      </c>
      <c r="F2026" s="112" t="s">
        <v>53</v>
      </c>
      <c r="G2026" s="114">
        <v>4</v>
      </c>
      <c r="H2026" s="115" t="s">
        <v>438</v>
      </c>
    </row>
    <row r="2027" spans="1:8" ht="19.899999999999999" customHeight="1">
      <c r="A2027" s="121">
        <v>46051</v>
      </c>
      <c r="B2027" s="112" t="s">
        <v>26</v>
      </c>
      <c r="C2027" s="113" t="s">
        <v>356</v>
      </c>
      <c r="D2027" s="112" t="s">
        <v>341</v>
      </c>
      <c r="E2027" s="122">
        <v>1.4861111111111109</v>
      </c>
      <c r="F2027" s="112" t="s">
        <v>34</v>
      </c>
      <c r="G2027" s="114">
        <v>3</v>
      </c>
      <c r="H2027" s="115" t="s">
        <v>457</v>
      </c>
    </row>
    <row r="2028" spans="1:8" ht="19.899999999999999" customHeight="1">
      <c r="A2028" s="121">
        <v>46051</v>
      </c>
      <c r="B2028" s="112" t="s">
        <v>26</v>
      </c>
      <c r="C2028" s="113" t="s">
        <v>354</v>
      </c>
      <c r="D2028" s="112" t="s">
        <v>341</v>
      </c>
      <c r="E2028" s="122">
        <v>1.3472222222222221</v>
      </c>
      <c r="F2028" s="112" t="s">
        <v>31</v>
      </c>
      <c r="G2028" s="114">
        <v>9</v>
      </c>
      <c r="H2028" s="115" t="s">
        <v>106</v>
      </c>
    </row>
    <row r="2029" spans="1:8" ht="19.899999999999999" customHeight="1">
      <c r="A2029" s="121">
        <v>46051</v>
      </c>
      <c r="B2029" s="112" t="s">
        <v>48</v>
      </c>
      <c r="C2029" s="113" t="s">
        <v>394</v>
      </c>
      <c r="D2029" s="112" t="s">
        <v>341</v>
      </c>
      <c r="E2029" s="122">
        <v>1.989583333333333</v>
      </c>
      <c r="F2029" s="112" t="s">
        <v>53</v>
      </c>
      <c r="G2029" s="114">
        <v>4</v>
      </c>
      <c r="H2029" s="115" t="s">
        <v>399</v>
      </c>
    </row>
    <row r="2030" spans="1:8" ht="19.899999999999999" customHeight="1">
      <c r="A2030" s="121">
        <v>46051</v>
      </c>
      <c r="B2030" s="112" t="s">
        <v>48</v>
      </c>
      <c r="C2030" s="113" t="s">
        <v>398</v>
      </c>
      <c r="D2030" s="112" t="s">
        <v>341</v>
      </c>
      <c r="E2030" s="122">
        <v>1.399305555555556</v>
      </c>
      <c r="F2030" s="112" t="s">
        <v>53</v>
      </c>
      <c r="G2030" s="114">
        <v>4</v>
      </c>
      <c r="H2030" s="115" t="s">
        <v>399</v>
      </c>
    </row>
    <row r="2031" spans="1:8" ht="19.899999999999999" customHeight="1">
      <c r="A2031" s="121">
        <v>46051</v>
      </c>
      <c r="B2031" s="112" t="s">
        <v>48</v>
      </c>
      <c r="C2031" s="113" t="s">
        <v>397</v>
      </c>
      <c r="D2031" s="112" t="s">
        <v>341</v>
      </c>
      <c r="E2031" s="122">
        <v>1.8888888888888891</v>
      </c>
      <c r="F2031" s="112" t="s">
        <v>53</v>
      </c>
      <c r="G2031" s="114">
        <v>4</v>
      </c>
      <c r="H2031" s="115" t="s">
        <v>399</v>
      </c>
    </row>
    <row r="2032" spans="1:8" ht="19.899999999999999" customHeight="1">
      <c r="A2032" s="121">
        <v>46051</v>
      </c>
      <c r="B2032" s="112" t="s">
        <v>26</v>
      </c>
      <c r="C2032" s="113" t="s">
        <v>354</v>
      </c>
      <c r="D2032" s="112" t="s">
        <v>341</v>
      </c>
      <c r="E2032" s="122">
        <v>1.3472222222222221</v>
      </c>
      <c r="F2032" s="112" t="s">
        <v>34</v>
      </c>
      <c r="G2032" s="114">
        <v>9</v>
      </c>
      <c r="H2032" s="115" t="s">
        <v>478</v>
      </c>
    </row>
    <row r="2033" spans="1:8" ht="19.899999999999999" customHeight="1">
      <c r="A2033" s="121">
        <v>46051</v>
      </c>
      <c r="B2033" s="112" t="s">
        <v>48</v>
      </c>
      <c r="C2033" s="113" t="s">
        <v>391</v>
      </c>
      <c r="D2033" s="112" t="s">
        <v>341</v>
      </c>
      <c r="E2033" s="122">
        <v>1.489583333333333</v>
      </c>
      <c r="F2033" s="112" t="s">
        <v>53</v>
      </c>
      <c r="G2033" s="114">
        <v>9</v>
      </c>
      <c r="H2033" s="115" t="s">
        <v>490</v>
      </c>
    </row>
    <row r="2034" spans="1:8" ht="19.899999999999999" customHeight="1">
      <c r="A2034" s="121">
        <v>46051</v>
      </c>
      <c r="B2034" s="112" t="s">
        <v>48</v>
      </c>
      <c r="C2034" s="113" t="s">
        <v>386</v>
      </c>
      <c r="D2034" s="112" t="s">
        <v>341</v>
      </c>
      <c r="E2034" s="122">
        <v>1.8298611111111109</v>
      </c>
      <c r="F2034" s="112" t="s">
        <v>53</v>
      </c>
      <c r="G2034" s="114">
        <v>9</v>
      </c>
      <c r="H2034" s="115" t="s">
        <v>490</v>
      </c>
    </row>
    <row r="2035" spans="1:8" ht="19.899999999999999" customHeight="1">
      <c r="A2035" s="121">
        <v>46051</v>
      </c>
      <c r="B2035" s="112" t="s">
        <v>48</v>
      </c>
      <c r="C2035" s="113" t="s">
        <v>388</v>
      </c>
      <c r="D2035" s="112" t="s">
        <v>341</v>
      </c>
      <c r="E2035" s="122">
        <v>1.7222222222222221</v>
      </c>
      <c r="F2035" s="112" t="s">
        <v>53</v>
      </c>
      <c r="G2035" s="114">
        <v>9</v>
      </c>
      <c r="H2035" s="115" t="s">
        <v>490</v>
      </c>
    </row>
    <row r="2036" spans="1:8" ht="19.899999999999999" customHeight="1">
      <c r="A2036" s="121">
        <v>46051</v>
      </c>
      <c r="B2036" s="112" t="s">
        <v>48</v>
      </c>
      <c r="C2036" s="113" t="s">
        <v>382</v>
      </c>
      <c r="D2036" s="112" t="s">
        <v>341</v>
      </c>
      <c r="E2036" s="122">
        <v>1.118055555555556</v>
      </c>
      <c r="F2036" s="112" t="s">
        <v>53</v>
      </c>
      <c r="G2036" s="114">
        <v>9</v>
      </c>
      <c r="H2036" s="115" t="s">
        <v>490</v>
      </c>
    </row>
    <row r="2037" spans="1:8" ht="19.899999999999999" customHeight="1">
      <c r="A2037" s="121">
        <v>46051</v>
      </c>
      <c r="B2037" s="112" t="s">
        <v>48</v>
      </c>
      <c r="C2037" s="113" t="s">
        <v>389</v>
      </c>
      <c r="D2037" s="112" t="s">
        <v>341</v>
      </c>
      <c r="E2037" s="122">
        <v>1.7048611111111109</v>
      </c>
      <c r="F2037" s="112" t="s">
        <v>53</v>
      </c>
      <c r="G2037" s="114">
        <v>9</v>
      </c>
      <c r="H2037" s="115" t="s">
        <v>490</v>
      </c>
    </row>
    <row r="2038" spans="1:8" ht="19.899999999999999" customHeight="1">
      <c r="A2038" s="121">
        <v>46051</v>
      </c>
      <c r="B2038" s="112" t="s">
        <v>48</v>
      </c>
      <c r="C2038" s="113" t="s">
        <v>400</v>
      </c>
      <c r="D2038" s="112" t="s">
        <v>341</v>
      </c>
      <c r="E2038" s="122">
        <v>1.2534722222222221</v>
      </c>
      <c r="F2038" s="112" t="s">
        <v>53</v>
      </c>
      <c r="G2038" s="114">
        <v>9</v>
      </c>
      <c r="H2038" s="115" t="s">
        <v>490</v>
      </c>
    </row>
    <row r="2039" spans="1:8" ht="19.899999999999999" customHeight="1">
      <c r="A2039" s="121">
        <v>46051</v>
      </c>
      <c r="B2039" s="112" t="s">
        <v>48</v>
      </c>
      <c r="C2039" s="113" t="s">
        <v>390</v>
      </c>
      <c r="D2039" s="112" t="s">
        <v>341</v>
      </c>
      <c r="E2039" s="122">
        <v>1.041666666666667</v>
      </c>
      <c r="F2039" s="112" t="s">
        <v>53</v>
      </c>
      <c r="G2039" s="114">
        <v>9</v>
      </c>
      <c r="H2039" s="115" t="s">
        <v>490</v>
      </c>
    </row>
    <row r="2040" spans="1:8" ht="19.899999999999999" customHeight="1">
      <c r="A2040" s="121">
        <v>46051</v>
      </c>
      <c r="B2040" s="112" t="s">
        <v>48</v>
      </c>
      <c r="C2040" s="113" t="s">
        <v>385</v>
      </c>
      <c r="D2040" s="112" t="s">
        <v>341</v>
      </c>
      <c r="E2040" s="122">
        <v>1.9409722222222221</v>
      </c>
      <c r="F2040" s="112" t="s">
        <v>53</v>
      </c>
      <c r="G2040" s="114">
        <v>9</v>
      </c>
      <c r="H2040" s="115" t="s">
        <v>490</v>
      </c>
    </row>
    <row r="2041" spans="1:8" ht="19.899999999999999" customHeight="1">
      <c r="A2041" s="121">
        <v>46051</v>
      </c>
      <c r="B2041" s="112" t="s">
        <v>415</v>
      </c>
      <c r="C2041" s="113" t="s">
        <v>416</v>
      </c>
      <c r="D2041" s="112" t="s">
        <v>341</v>
      </c>
      <c r="E2041" s="122">
        <v>1.118055555555556</v>
      </c>
      <c r="F2041" s="112" t="s">
        <v>63</v>
      </c>
      <c r="G2041" s="114">
        <v>9</v>
      </c>
      <c r="H2041" s="115" t="s">
        <v>417</v>
      </c>
    </row>
    <row r="2042" spans="1:8" ht="19.899999999999999" customHeight="1">
      <c r="A2042" s="121">
        <v>46051</v>
      </c>
      <c r="B2042" s="112" t="s">
        <v>415</v>
      </c>
      <c r="C2042" s="113" t="s">
        <v>418</v>
      </c>
      <c r="D2042" s="112" t="s">
        <v>341</v>
      </c>
      <c r="E2042" s="122">
        <v>1.4201388888888891</v>
      </c>
      <c r="F2042" s="112" t="s">
        <v>63</v>
      </c>
      <c r="G2042" s="114">
        <v>9</v>
      </c>
      <c r="H2042" s="115" t="s">
        <v>417</v>
      </c>
    </row>
    <row r="2043" spans="1:8" ht="19.899999999999999" customHeight="1">
      <c r="A2043" s="121">
        <v>46051</v>
      </c>
      <c r="B2043" s="112" t="s">
        <v>68</v>
      </c>
      <c r="C2043" s="113" t="s">
        <v>405</v>
      </c>
      <c r="D2043" s="112" t="s">
        <v>341</v>
      </c>
      <c r="E2043" s="122">
        <v>1.836805555555556</v>
      </c>
      <c r="F2043" s="112" t="s">
        <v>70</v>
      </c>
      <c r="G2043" s="114">
        <v>9</v>
      </c>
      <c r="H2043" s="115" t="s">
        <v>524</v>
      </c>
    </row>
    <row r="2044" spans="1:8" ht="19.899999999999999" customHeight="1">
      <c r="A2044" s="121">
        <v>46051</v>
      </c>
      <c r="B2044" s="112" t="s">
        <v>68</v>
      </c>
      <c r="C2044" s="113" t="s">
        <v>407</v>
      </c>
      <c r="D2044" s="112" t="s">
        <v>341</v>
      </c>
      <c r="E2044" s="122">
        <v>1.3125</v>
      </c>
      <c r="F2044" s="112" t="s">
        <v>70</v>
      </c>
      <c r="G2044" s="114">
        <v>9</v>
      </c>
      <c r="H2044" s="115" t="s">
        <v>524</v>
      </c>
    </row>
    <row r="2045" spans="1:8" ht="19.899999999999999" customHeight="1">
      <c r="A2045" s="121">
        <v>46051</v>
      </c>
      <c r="B2045" s="112" t="s">
        <v>68</v>
      </c>
      <c r="C2045" s="113" t="s">
        <v>408</v>
      </c>
      <c r="D2045" s="112" t="s">
        <v>341</v>
      </c>
      <c r="E2045" s="122">
        <v>1.9722222222222221</v>
      </c>
      <c r="F2045" s="112" t="s">
        <v>70</v>
      </c>
      <c r="G2045" s="114">
        <v>9</v>
      </c>
      <c r="H2045" s="115" t="s">
        <v>524</v>
      </c>
    </row>
    <row r="2046" spans="1:8" ht="19.899999999999999" customHeight="1">
      <c r="A2046" s="121">
        <v>46051</v>
      </c>
      <c r="B2046" s="112" t="s">
        <v>68</v>
      </c>
      <c r="C2046" s="113" t="s">
        <v>409</v>
      </c>
      <c r="D2046" s="112" t="s">
        <v>341</v>
      </c>
      <c r="E2046" s="122">
        <v>1.3402777777777779</v>
      </c>
      <c r="F2046" s="112" t="s">
        <v>70</v>
      </c>
      <c r="G2046" s="114">
        <v>9</v>
      </c>
      <c r="H2046" s="115" t="s">
        <v>524</v>
      </c>
    </row>
    <row r="2047" spans="1:8" ht="19.899999999999999" customHeight="1">
      <c r="A2047" s="121">
        <v>46051</v>
      </c>
      <c r="B2047" s="112" t="s">
        <v>68</v>
      </c>
      <c r="C2047" s="113" t="s">
        <v>411</v>
      </c>
      <c r="D2047" s="112" t="s">
        <v>341</v>
      </c>
      <c r="E2047" s="122">
        <v>1.7847222222222221</v>
      </c>
      <c r="F2047" s="112" t="s">
        <v>70</v>
      </c>
      <c r="G2047" s="114">
        <v>9</v>
      </c>
      <c r="H2047" s="115" t="s">
        <v>524</v>
      </c>
    </row>
    <row r="2048" spans="1:8" ht="19.899999999999999" customHeight="1">
      <c r="A2048" s="123">
        <v>46051</v>
      </c>
      <c r="B2048" s="124" t="s">
        <v>68</v>
      </c>
      <c r="C2048" s="125" t="s">
        <v>413</v>
      </c>
      <c r="D2048" s="124" t="s">
        <v>341</v>
      </c>
      <c r="E2048" s="126">
        <v>1.0486111111111109</v>
      </c>
      <c r="F2048" s="124" t="s">
        <v>70</v>
      </c>
      <c r="G2048" s="127">
        <v>9</v>
      </c>
      <c r="H2048" s="128" t="s">
        <v>524</v>
      </c>
    </row>
    <row r="2049" spans="1:8" ht="19.899999999999999" customHeight="1">
      <c r="A2049" s="121">
        <v>46052</v>
      </c>
      <c r="B2049" s="112" t="s">
        <v>38</v>
      </c>
      <c r="C2049" s="113" t="s">
        <v>342</v>
      </c>
      <c r="D2049" s="112" t="s">
        <v>341</v>
      </c>
      <c r="E2049" s="122">
        <v>1.489583333333333</v>
      </c>
      <c r="F2049" s="112" t="s">
        <v>40</v>
      </c>
      <c r="G2049" s="114">
        <v>16</v>
      </c>
      <c r="H2049" s="115" t="s">
        <v>81</v>
      </c>
    </row>
    <row r="2050" spans="1:8" ht="19.899999999999999" customHeight="1">
      <c r="A2050" s="121">
        <v>46052</v>
      </c>
      <c r="B2050" s="112" t="s">
        <v>38</v>
      </c>
      <c r="C2050" s="113" t="s">
        <v>346</v>
      </c>
      <c r="D2050" s="112" t="s">
        <v>341</v>
      </c>
      <c r="E2050" s="122">
        <v>1.399305555555556</v>
      </c>
      <c r="F2050" s="112" t="s">
        <v>40</v>
      </c>
      <c r="G2050" s="114">
        <v>20</v>
      </c>
      <c r="H2050" s="115" t="s">
        <v>347</v>
      </c>
    </row>
    <row r="2051" spans="1:8" ht="19.899999999999999" customHeight="1">
      <c r="A2051" s="121">
        <v>46052</v>
      </c>
      <c r="B2051" s="112" t="s">
        <v>38</v>
      </c>
      <c r="C2051" s="113" t="s">
        <v>344</v>
      </c>
      <c r="D2051" s="112" t="s">
        <v>341</v>
      </c>
      <c r="E2051" s="122">
        <v>1.8888888888888891</v>
      </c>
      <c r="F2051" s="112" t="s">
        <v>40</v>
      </c>
      <c r="G2051" s="114">
        <v>20</v>
      </c>
      <c r="H2051" s="115" t="s">
        <v>347</v>
      </c>
    </row>
    <row r="2052" spans="1:8" ht="19.899999999999999" customHeight="1">
      <c r="A2052" s="121">
        <v>46052</v>
      </c>
      <c r="B2052" s="112" t="s">
        <v>38</v>
      </c>
      <c r="C2052" s="113" t="s">
        <v>345</v>
      </c>
      <c r="D2052" s="112" t="s">
        <v>341</v>
      </c>
      <c r="E2052" s="122">
        <v>1.989583333333333</v>
      </c>
      <c r="F2052" s="112" t="s">
        <v>40</v>
      </c>
      <c r="G2052" s="114">
        <v>20</v>
      </c>
      <c r="H2052" s="115" t="s">
        <v>347</v>
      </c>
    </row>
    <row r="2053" spans="1:8" ht="19.899999999999999" customHeight="1">
      <c r="A2053" s="121">
        <v>46052</v>
      </c>
      <c r="B2053" s="112" t="s">
        <v>359</v>
      </c>
      <c r="C2053" s="113" t="s">
        <v>422</v>
      </c>
      <c r="D2053" s="112" t="s">
        <v>341</v>
      </c>
      <c r="E2053" s="122">
        <v>1.8090277777777779</v>
      </c>
      <c r="F2053" s="112" t="s">
        <v>361</v>
      </c>
      <c r="G2053" s="114">
        <v>9</v>
      </c>
      <c r="H2053" s="115" t="s">
        <v>534</v>
      </c>
    </row>
    <row r="2054" spans="1:8" ht="19.899999999999999" customHeight="1">
      <c r="A2054" s="121">
        <v>46052</v>
      </c>
      <c r="B2054" s="112" t="s">
        <v>359</v>
      </c>
      <c r="C2054" s="113" t="s">
        <v>360</v>
      </c>
      <c r="D2054" s="112" t="s">
        <v>341</v>
      </c>
      <c r="E2054" s="122">
        <v>1.225694444444444</v>
      </c>
      <c r="F2054" s="112" t="s">
        <v>361</v>
      </c>
      <c r="G2054" s="114">
        <v>9</v>
      </c>
      <c r="H2054" s="115" t="s">
        <v>534</v>
      </c>
    </row>
    <row r="2055" spans="1:8" ht="19.899999999999999" customHeight="1">
      <c r="A2055" s="121">
        <v>46052</v>
      </c>
      <c r="B2055" s="112" t="s">
        <v>359</v>
      </c>
      <c r="C2055" s="113" t="s">
        <v>425</v>
      </c>
      <c r="D2055" s="112" t="s">
        <v>341</v>
      </c>
      <c r="E2055" s="122">
        <v>1.510416666666667</v>
      </c>
      <c r="F2055" s="112" t="s">
        <v>361</v>
      </c>
      <c r="G2055" s="114">
        <v>9</v>
      </c>
      <c r="H2055" s="115" t="s">
        <v>534</v>
      </c>
    </row>
    <row r="2056" spans="1:8" ht="19.899999999999999" customHeight="1">
      <c r="A2056" s="129">
        <v>46052</v>
      </c>
      <c r="B2056" s="117" t="s">
        <v>61</v>
      </c>
      <c r="C2056" s="118" t="s">
        <v>428</v>
      </c>
      <c r="D2056" s="117" t="s">
        <v>341</v>
      </c>
      <c r="E2056" s="130">
        <v>1.5590277777777779</v>
      </c>
      <c r="F2056" s="117" t="s">
        <v>63</v>
      </c>
      <c r="G2056" s="119">
        <v>2</v>
      </c>
      <c r="H2056" s="120" t="s">
        <v>365</v>
      </c>
    </row>
    <row r="2057" spans="1:8" ht="19.899999999999999" customHeight="1">
      <c r="A2057" s="129">
        <v>46052</v>
      </c>
      <c r="B2057" s="117" t="s">
        <v>61</v>
      </c>
      <c r="C2057" s="118" t="s">
        <v>377</v>
      </c>
      <c r="D2057" s="117" t="s">
        <v>341</v>
      </c>
      <c r="E2057" s="130">
        <v>1.28125</v>
      </c>
      <c r="F2057" s="117" t="s">
        <v>63</v>
      </c>
      <c r="G2057" s="119">
        <v>1</v>
      </c>
      <c r="H2057" s="120" t="s">
        <v>365</v>
      </c>
    </row>
    <row r="2058" spans="1:8" ht="19.899999999999999" customHeight="1">
      <c r="A2058" s="129">
        <v>46052</v>
      </c>
      <c r="B2058" s="117" t="s">
        <v>61</v>
      </c>
      <c r="C2058" s="118" t="s">
        <v>379</v>
      </c>
      <c r="D2058" s="117" t="s">
        <v>341</v>
      </c>
      <c r="E2058" s="130">
        <v>1.4375</v>
      </c>
      <c r="F2058" s="117" t="s">
        <v>63</v>
      </c>
      <c r="G2058" s="119">
        <v>1</v>
      </c>
      <c r="H2058" s="120" t="s">
        <v>365</v>
      </c>
    </row>
    <row r="2059" spans="1:8" ht="19.899999999999999" customHeight="1">
      <c r="A2059" s="121">
        <v>46052</v>
      </c>
      <c r="B2059" s="112" t="s">
        <v>26</v>
      </c>
      <c r="C2059" s="113" t="s">
        <v>348</v>
      </c>
      <c r="D2059" s="112" t="s">
        <v>341</v>
      </c>
      <c r="E2059" s="122">
        <v>1.993055555555556</v>
      </c>
      <c r="F2059" s="112" t="s">
        <v>28</v>
      </c>
      <c r="G2059" s="114">
        <v>3</v>
      </c>
      <c r="H2059" s="115" t="s">
        <v>83</v>
      </c>
    </row>
    <row r="2060" spans="1:8" ht="19.899999999999999" customHeight="1">
      <c r="A2060" s="121">
        <v>46052</v>
      </c>
      <c r="B2060" s="112" t="s">
        <v>26</v>
      </c>
      <c r="C2060" s="113" t="s">
        <v>351</v>
      </c>
      <c r="D2060" s="112" t="s">
        <v>341</v>
      </c>
      <c r="E2060" s="122">
        <v>1.836805555555556</v>
      </c>
      <c r="F2060" s="112" t="s">
        <v>28</v>
      </c>
      <c r="G2060" s="114">
        <v>2</v>
      </c>
      <c r="H2060" s="115" t="s">
        <v>83</v>
      </c>
    </row>
    <row r="2061" spans="1:8" ht="19.899999999999999" customHeight="1">
      <c r="A2061" s="121">
        <v>46052</v>
      </c>
      <c r="B2061" s="112" t="s">
        <v>26</v>
      </c>
      <c r="C2061" s="113" t="s">
        <v>353</v>
      </c>
      <c r="D2061" s="112" t="s">
        <v>341</v>
      </c>
      <c r="E2061" s="122">
        <v>1.8888888888888891</v>
      </c>
      <c r="F2061" s="112" t="s">
        <v>28</v>
      </c>
      <c r="G2061" s="114">
        <v>5</v>
      </c>
      <c r="H2061" s="115" t="s">
        <v>83</v>
      </c>
    </row>
    <row r="2062" spans="1:8" ht="19.899999999999999" customHeight="1">
      <c r="A2062" s="121">
        <v>46052</v>
      </c>
      <c r="B2062" s="112" t="s">
        <v>402</v>
      </c>
      <c r="C2062" s="113" t="s">
        <v>403</v>
      </c>
      <c r="D2062" s="112" t="s">
        <v>341</v>
      </c>
      <c r="E2062" s="122">
        <v>1.493055555555556</v>
      </c>
      <c r="F2062" s="112" t="s">
        <v>63</v>
      </c>
      <c r="G2062" s="114">
        <v>5</v>
      </c>
      <c r="H2062" s="115" t="s">
        <v>404</v>
      </c>
    </row>
    <row r="2063" spans="1:8" ht="19.899999999999999" customHeight="1">
      <c r="A2063" s="129">
        <v>46052</v>
      </c>
      <c r="B2063" s="117" t="s">
        <v>61</v>
      </c>
      <c r="C2063" s="118" t="s">
        <v>432</v>
      </c>
      <c r="D2063" s="117" t="s">
        <v>341</v>
      </c>
      <c r="E2063" s="130">
        <v>1.760416666666667</v>
      </c>
      <c r="F2063" s="117" t="s">
        <v>63</v>
      </c>
      <c r="G2063" s="119">
        <v>5</v>
      </c>
      <c r="H2063" s="120" t="s">
        <v>79</v>
      </c>
    </row>
    <row r="2064" spans="1:8" ht="19.899999999999999" customHeight="1">
      <c r="A2064" s="129">
        <v>46052</v>
      </c>
      <c r="B2064" s="117" t="s">
        <v>61</v>
      </c>
      <c r="C2064" s="118" t="s">
        <v>375</v>
      </c>
      <c r="D2064" s="117" t="s">
        <v>341</v>
      </c>
      <c r="E2064" s="130">
        <v>1.1423611111111109</v>
      </c>
      <c r="F2064" s="117" t="s">
        <v>63</v>
      </c>
      <c r="G2064" s="119">
        <v>6</v>
      </c>
      <c r="H2064" s="120" t="s">
        <v>79</v>
      </c>
    </row>
    <row r="2065" spans="1:8" ht="19.899999999999999" customHeight="1">
      <c r="A2065" s="121">
        <v>46052</v>
      </c>
      <c r="B2065" s="112" t="s">
        <v>26</v>
      </c>
      <c r="C2065" s="113" t="s">
        <v>350</v>
      </c>
      <c r="D2065" s="112" t="s">
        <v>341</v>
      </c>
      <c r="E2065" s="122">
        <v>1.7361111111111109</v>
      </c>
      <c r="F2065" s="112" t="s">
        <v>28</v>
      </c>
      <c r="G2065" s="114">
        <v>5</v>
      </c>
      <c r="H2065" s="115" t="s">
        <v>79</v>
      </c>
    </row>
    <row r="2066" spans="1:8" ht="19.899999999999999" customHeight="1">
      <c r="A2066" s="121">
        <v>46052</v>
      </c>
      <c r="B2066" s="112" t="s">
        <v>38</v>
      </c>
      <c r="C2066" s="113" t="s">
        <v>342</v>
      </c>
      <c r="D2066" s="112" t="s">
        <v>341</v>
      </c>
      <c r="E2066" s="122">
        <v>1.489583333333333</v>
      </c>
      <c r="F2066" s="112" t="s">
        <v>43</v>
      </c>
      <c r="G2066" s="114">
        <v>16</v>
      </c>
      <c r="H2066" s="115" t="s">
        <v>161</v>
      </c>
    </row>
    <row r="2067" spans="1:8" ht="19.899999999999999" customHeight="1">
      <c r="A2067" s="121">
        <v>46052</v>
      </c>
      <c r="B2067" s="112" t="s">
        <v>26</v>
      </c>
      <c r="C2067" s="113" t="s">
        <v>354</v>
      </c>
      <c r="D2067" s="112" t="s">
        <v>341</v>
      </c>
      <c r="E2067" s="122">
        <v>1.3472222222222221</v>
      </c>
      <c r="F2067" s="112" t="s">
        <v>28</v>
      </c>
      <c r="G2067" s="114">
        <v>9</v>
      </c>
      <c r="H2067" s="115" t="s">
        <v>45</v>
      </c>
    </row>
    <row r="2068" spans="1:8" ht="19.899999999999999" customHeight="1">
      <c r="A2068" s="121">
        <v>46052</v>
      </c>
      <c r="B2068" s="112" t="s">
        <v>26</v>
      </c>
      <c r="C2068" s="113" t="s">
        <v>352</v>
      </c>
      <c r="D2068" s="112" t="s">
        <v>341</v>
      </c>
      <c r="E2068" s="122">
        <v>1.944444444444444</v>
      </c>
      <c r="F2068" s="112" t="s">
        <v>28</v>
      </c>
      <c r="G2068" s="114">
        <v>4</v>
      </c>
      <c r="H2068" s="115" t="s">
        <v>45</v>
      </c>
    </row>
    <row r="2069" spans="1:8" ht="19.899999999999999" customHeight="1">
      <c r="A2069" s="121">
        <v>46052</v>
      </c>
      <c r="B2069" s="112" t="s">
        <v>26</v>
      </c>
      <c r="C2069" s="113" t="s">
        <v>356</v>
      </c>
      <c r="D2069" s="112" t="s">
        <v>341</v>
      </c>
      <c r="E2069" s="122">
        <v>1.4861111111111109</v>
      </c>
      <c r="F2069" s="112" t="s">
        <v>28</v>
      </c>
      <c r="G2069" s="114">
        <v>9</v>
      </c>
      <c r="H2069" s="115" t="s">
        <v>45</v>
      </c>
    </row>
    <row r="2070" spans="1:8" ht="19.899999999999999" customHeight="1">
      <c r="A2070" s="121">
        <v>46052</v>
      </c>
      <c r="B2070" s="112" t="s">
        <v>26</v>
      </c>
      <c r="C2070" s="113" t="s">
        <v>357</v>
      </c>
      <c r="D2070" s="112" t="s">
        <v>341</v>
      </c>
      <c r="E2070" s="122">
        <v>1.5590277777777779</v>
      </c>
      <c r="F2070" s="112" t="s">
        <v>28</v>
      </c>
      <c r="G2070" s="114">
        <v>5</v>
      </c>
      <c r="H2070" s="115" t="s">
        <v>45</v>
      </c>
    </row>
    <row r="2071" spans="1:8" ht="19.899999999999999" customHeight="1">
      <c r="A2071" s="121">
        <v>46052</v>
      </c>
      <c r="B2071" s="112" t="s">
        <v>26</v>
      </c>
      <c r="C2071" s="113" t="s">
        <v>348</v>
      </c>
      <c r="D2071" s="112" t="s">
        <v>341</v>
      </c>
      <c r="E2071" s="122">
        <v>1.993055555555556</v>
      </c>
      <c r="F2071" s="112" t="s">
        <v>31</v>
      </c>
      <c r="G2071" s="114">
        <v>3</v>
      </c>
      <c r="H2071" s="115" t="s">
        <v>159</v>
      </c>
    </row>
    <row r="2072" spans="1:8" ht="19.899999999999999" customHeight="1">
      <c r="A2072" s="121">
        <v>46052</v>
      </c>
      <c r="B2072" s="112" t="s">
        <v>26</v>
      </c>
      <c r="C2072" s="113" t="s">
        <v>351</v>
      </c>
      <c r="D2072" s="112" t="s">
        <v>341</v>
      </c>
      <c r="E2072" s="122">
        <v>1.836805555555556</v>
      </c>
      <c r="F2072" s="112" t="s">
        <v>31</v>
      </c>
      <c r="G2072" s="114">
        <v>2</v>
      </c>
      <c r="H2072" s="115" t="s">
        <v>159</v>
      </c>
    </row>
    <row r="2073" spans="1:8" ht="19.899999999999999" customHeight="1">
      <c r="A2073" s="121">
        <v>46052</v>
      </c>
      <c r="B2073" s="112" t="s">
        <v>26</v>
      </c>
      <c r="C2073" s="113" t="s">
        <v>353</v>
      </c>
      <c r="D2073" s="112" t="s">
        <v>341</v>
      </c>
      <c r="E2073" s="122">
        <v>1.8888888888888891</v>
      </c>
      <c r="F2073" s="112" t="s">
        <v>31</v>
      </c>
      <c r="G2073" s="114">
        <v>5</v>
      </c>
      <c r="H2073" s="115" t="s">
        <v>159</v>
      </c>
    </row>
    <row r="2074" spans="1:8" ht="19.899999999999999" customHeight="1">
      <c r="A2074" s="121">
        <v>46052</v>
      </c>
      <c r="B2074" s="112" t="s">
        <v>38</v>
      </c>
      <c r="C2074" s="113" t="s">
        <v>346</v>
      </c>
      <c r="D2074" s="112" t="s">
        <v>341</v>
      </c>
      <c r="E2074" s="122">
        <v>1.399305555555556</v>
      </c>
      <c r="F2074" s="112" t="s">
        <v>43</v>
      </c>
      <c r="G2074" s="114">
        <v>20</v>
      </c>
      <c r="H2074" s="115" t="s">
        <v>138</v>
      </c>
    </row>
    <row r="2075" spans="1:8" ht="19.899999999999999" customHeight="1">
      <c r="A2075" s="121">
        <v>46052</v>
      </c>
      <c r="B2075" s="112" t="s">
        <v>38</v>
      </c>
      <c r="C2075" s="113" t="s">
        <v>344</v>
      </c>
      <c r="D2075" s="112" t="s">
        <v>341</v>
      </c>
      <c r="E2075" s="122">
        <v>1.8888888888888891</v>
      </c>
      <c r="F2075" s="112" t="s">
        <v>43</v>
      </c>
      <c r="G2075" s="114">
        <v>20</v>
      </c>
      <c r="H2075" s="115" t="s">
        <v>138</v>
      </c>
    </row>
    <row r="2076" spans="1:8" ht="19.899999999999999" customHeight="1">
      <c r="A2076" s="121">
        <v>46052</v>
      </c>
      <c r="B2076" s="112" t="s">
        <v>38</v>
      </c>
      <c r="C2076" s="113" t="s">
        <v>345</v>
      </c>
      <c r="D2076" s="112" t="s">
        <v>341</v>
      </c>
      <c r="E2076" s="122">
        <v>1.989583333333333</v>
      </c>
      <c r="F2076" s="112" t="s">
        <v>43</v>
      </c>
      <c r="G2076" s="114">
        <v>20</v>
      </c>
      <c r="H2076" s="115" t="s">
        <v>138</v>
      </c>
    </row>
    <row r="2077" spans="1:8" ht="19.899999999999999" customHeight="1">
      <c r="A2077" s="121">
        <v>46052</v>
      </c>
      <c r="B2077" s="112" t="s">
        <v>68</v>
      </c>
      <c r="C2077" s="113" t="s">
        <v>405</v>
      </c>
      <c r="D2077" s="112" t="s">
        <v>341</v>
      </c>
      <c r="E2077" s="122">
        <v>1.836805555555556</v>
      </c>
      <c r="F2077" s="112" t="s">
        <v>70</v>
      </c>
      <c r="G2077" s="114">
        <v>9</v>
      </c>
      <c r="H2077" s="115" t="s">
        <v>406</v>
      </c>
    </row>
    <row r="2078" spans="1:8" ht="19.899999999999999" customHeight="1">
      <c r="A2078" s="121">
        <v>46052</v>
      </c>
      <c r="B2078" s="112" t="s">
        <v>68</v>
      </c>
      <c r="C2078" s="113" t="s">
        <v>408</v>
      </c>
      <c r="D2078" s="112" t="s">
        <v>341</v>
      </c>
      <c r="E2078" s="122">
        <v>1.9722222222222221</v>
      </c>
      <c r="F2078" s="112" t="s">
        <v>70</v>
      </c>
      <c r="G2078" s="114">
        <v>9</v>
      </c>
      <c r="H2078" s="115" t="s">
        <v>406</v>
      </c>
    </row>
    <row r="2079" spans="1:8" ht="19.899999999999999" customHeight="1">
      <c r="A2079" s="121">
        <v>46052</v>
      </c>
      <c r="B2079" s="112" t="s">
        <v>68</v>
      </c>
      <c r="C2079" s="113" t="s">
        <v>411</v>
      </c>
      <c r="D2079" s="112" t="s">
        <v>341</v>
      </c>
      <c r="E2079" s="122">
        <v>1.7847222222222221</v>
      </c>
      <c r="F2079" s="112" t="s">
        <v>70</v>
      </c>
      <c r="G2079" s="114">
        <v>9</v>
      </c>
      <c r="H2079" s="115" t="s">
        <v>406</v>
      </c>
    </row>
    <row r="2080" spans="1:8" ht="19.899999999999999" customHeight="1">
      <c r="A2080" s="121">
        <v>46052</v>
      </c>
      <c r="B2080" s="112" t="s">
        <v>26</v>
      </c>
      <c r="C2080" s="113" t="s">
        <v>350</v>
      </c>
      <c r="D2080" s="112" t="s">
        <v>341</v>
      </c>
      <c r="E2080" s="122">
        <v>1.7361111111111109</v>
      </c>
      <c r="F2080" s="112" t="s">
        <v>31</v>
      </c>
      <c r="G2080" s="114">
        <v>5</v>
      </c>
      <c r="H2080" s="115" t="s">
        <v>123</v>
      </c>
    </row>
    <row r="2081" spans="1:8" ht="19.899999999999999" customHeight="1">
      <c r="A2081" s="121">
        <v>46052</v>
      </c>
      <c r="B2081" s="112" t="s">
        <v>68</v>
      </c>
      <c r="C2081" s="113" t="s">
        <v>410</v>
      </c>
      <c r="D2081" s="112" t="s">
        <v>341</v>
      </c>
      <c r="E2081" s="122">
        <v>1.5972222222222221</v>
      </c>
      <c r="F2081" s="112" t="s">
        <v>70</v>
      </c>
      <c r="G2081" s="114">
        <v>9</v>
      </c>
      <c r="H2081" s="115" t="s">
        <v>412</v>
      </c>
    </row>
    <row r="2082" spans="1:8" ht="19.899999999999999" customHeight="1">
      <c r="A2082" s="121">
        <v>46052</v>
      </c>
      <c r="B2082" s="112" t="s">
        <v>26</v>
      </c>
      <c r="C2082" s="113" t="s">
        <v>354</v>
      </c>
      <c r="D2082" s="112" t="s">
        <v>341</v>
      </c>
      <c r="E2082" s="122">
        <v>1.3472222222222221</v>
      </c>
      <c r="F2082" s="112" t="s">
        <v>31</v>
      </c>
      <c r="G2082" s="114">
        <v>9</v>
      </c>
      <c r="H2082" s="115" t="s">
        <v>355</v>
      </c>
    </row>
    <row r="2083" spans="1:8" ht="19.899999999999999" customHeight="1">
      <c r="A2083" s="121">
        <v>46052</v>
      </c>
      <c r="B2083" s="112" t="s">
        <v>26</v>
      </c>
      <c r="C2083" s="113" t="s">
        <v>348</v>
      </c>
      <c r="D2083" s="112" t="s">
        <v>341</v>
      </c>
      <c r="E2083" s="122">
        <v>1.993055555555556</v>
      </c>
      <c r="F2083" s="112" t="s">
        <v>34</v>
      </c>
      <c r="G2083" s="114">
        <v>3</v>
      </c>
      <c r="H2083" s="115" t="s">
        <v>355</v>
      </c>
    </row>
    <row r="2084" spans="1:8" ht="19.899999999999999" customHeight="1">
      <c r="A2084" s="121">
        <v>46052</v>
      </c>
      <c r="B2084" s="112" t="s">
        <v>26</v>
      </c>
      <c r="C2084" s="113" t="s">
        <v>351</v>
      </c>
      <c r="D2084" s="112" t="s">
        <v>341</v>
      </c>
      <c r="E2084" s="122">
        <v>1.836805555555556</v>
      </c>
      <c r="F2084" s="112" t="s">
        <v>34</v>
      </c>
      <c r="G2084" s="114">
        <v>2</v>
      </c>
      <c r="H2084" s="115" t="s">
        <v>355</v>
      </c>
    </row>
    <row r="2085" spans="1:8" ht="19.899999999999999" customHeight="1">
      <c r="A2085" s="121">
        <v>46052</v>
      </c>
      <c r="B2085" s="112" t="s">
        <v>26</v>
      </c>
      <c r="C2085" s="113" t="s">
        <v>352</v>
      </c>
      <c r="D2085" s="112" t="s">
        <v>341</v>
      </c>
      <c r="E2085" s="122">
        <v>1.944444444444444</v>
      </c>
      <c r="F2085" s="112" t="s">
        <v>31</v>
      </c>
      <c r="G2085" s="114">
        <v>4</v>
      </c>
      <c r="H2085" s="115" t="s">
        <v>355</v>
      </c>
    </row>
    <row r="2086" spans="1:8" ht="19.899999999999999" customHeight="1">
      <c r="A2086" s="121">
        <v>46052</v>
      </c>
      <c r="B2086" s="112" t="s">
        <v>26</v>
      </c>
      <c r="C2086" s="113" t="s">
        <v>356</v>
      </c>
      <c r="D2086" s="112" t="s">
        <v>341</v>
      </c>
      <c r="E2086" s="122">
        <v>1.4861111111111109</v>
      </c>
      <c r="F2086" s="112" t="s">
        <v>31</v>
      </c>
      <c r="G2086" s="114">
        <v>9</v>
      </c>
      <c r="H2086" s="115" t="s">
        <v>355</v>
      </c>
    </row>
    <row r="2087" spans="1:8" ht="19.899999999999999" customHeight="1">
      <c r="A2087" s="121">
        <v>46052</v>
      </c>
      <c r="B2087" s="112" t="s">
        <v>26</v>
      </c>
      <c r="C2087" s="113" t="s">
        <v>357</v>
      </c>
      <c r="D2087" s="112" t="s">
        <v>341</v>
      </c>
      <c r="E2087" s="122">
        <v>1.5590277777777779</v>
      </c>
      <c r="F2087" s="112" t="s">
        <v>31</v>
      </c>
      <c r="G2087" s="114">
        <v>5</v>
      </c>
      <c r="H2087" s="115" t="s">
        <v>355</v>
      </c>
    </row>
    <row r="2088" spans="1:8" ht="19.899999999999999" customHeight="1">
      <c r="A2088" s="121">
        <v>46052</v>
      </c>
      <c r="B2088" s="112" t="s">
        <v>26</v>
      </c>
      <c r="C2088" s="113" t="s">
        <v>353</v>
      </c>
      <c r="D2088" s="112" t="s">
        <v>341</v>
      </c>
      <c r="E2088" s="122">
        <v>1.8888888888888891</v>
      </c>
      <c r="F2088" s="112" t="s">
        <v>34</v>
      </c>
      <c r="G2088" s="114">
        <v>5</v>
      </c>
      <c r="H2088" s="115" t="s">
        <v>355</v>
      </c>
    </row>
    <row r="2089" spans="1:8" ht="19.899999999999999" customHeight="1">
      <c r="A2089" s="121">
        <v>46052</v>
      </c>
      <c r="B2089" s="112" t="s">
        <v>359</v>
      </c>
      <c r="C2089" s="113" t="s">
        <v>422</v>
      </c>
      <c r="D2089" s="112" t="s">
        <v>341</v>
      </c>
      <c r="E2089" s="122">
        <v>1.8090277777777779</v>
      </c>
      <c r="F2089" s="112" t="s">
        <v>46</v>
      </c>
      <c r="G2089" s="114">
        <v>9</v>
      </c>
      <c r="H2089" s="115" t="s">
        <v>535</v>
      </c>
    </row>
    <row r="2090" spans="1:8" ht="19.899999999999999" customHeight="1">
      <c r="A2090" s="121">
        <v>46052</v>
      </c>
      <c r="B2090" s="112" t="s">
        <v>359</v>
      </c>
      <c r="C2090" s="113" t="s">
        <v>360</v>
      </c>
      <c r="D2090" s="112" t="s">
        <v>341</v>
      </c>
      <c r="E2090" s="122">
        <v>1.225694444444444</v>
      </c>
      <c r="F2090" s="112" t="s">
        <v>46</v>
      </c>
      <c r="G2090" s="114">
        <v>9</v>
      </c>
      <c r="H2090" s="115" t="s">
        <v>535</v>
      </c>
    </row>
    <row r="2091" spans="1:8" ht="19.899999999999999" customHeight="1">
      <c r="A2091" s="121">
        <v>46052</v>
      </c>
      <c r="B2091" s="112" t="s">
        <v>359</v>
      </c>
      <c r="C2091" s="113" t="s">
        <v>425</v>
      </c>
      <c r="D2091" s="112" t="s">
        <v>341</v>
      </c>
      <c r="E2091" s="122">
        <v>1.510416666666667</v>
      </c>
      <c r="F2091" s="112" t="s">
        <v>46</v>
      </c>
      <c r="G2091" s="114">
        <v>9</v>
      </c>
      <c r="H2091" s="115" t="s">
        <v>535</v>
      </c>
    </row>
    <row r="2092" spans="1:8" ht="19.899999999999999" customHeight="1">
      <c r="A2092" s="121">
        <v>46052</v>
      </c>
      <c r="B2092" s="112" t="s">
        <v>26</v>
      </c>
      <c r="C2092" s="113" t="s">
        <v>350</v>
      </c>
      <c r="D2092" s="112" t="s">
        <v>341</v>
      </c>
      <c r="E2092" s="122">
        <v>1.7361111111111109</v>
      </c>
      <c r="F2092" s="112" t="s">
        <v>34</v>
      </c>
      <c r="G2092" s="114">
        <v>5</v>
      </c>
      <c r="H2092" s="115" t="s">
        <v>118</v>
      </c>
    </row>
    <row r="2093" spans="1:8" ht="19.899999999999999" customHeight="1">
      <c r="A2093" s="121">
        <v>46052</v>
      </c>
      <c r="B2093" s="112" t="s">
        <v>26</v>
      </c>
      <c r="C2093" s="113" t="s">
        <v>354</v>
      </c>
      <c r="D2093" s="112" t="s">
        <v>341</v>
      </c>
      <c r="E2093" s="122">
        <v>1.3472222222222221</v>
      </c>
      <c r="F2093" s="112" t="s">
        <v>34</v>
      </c>
      <c r="G2093" s="114">
        <v>9</v>
      </c>
      <c r="H2093" s="115" t="s">
        <v>358</v>
      </c>
    </row>
    <row r="2094" spans="1:8" ht="19.899999999999999" customHeight="1">
      <c r="A2094" s="121">
        <v>46052</v>
      </c>
      <c r="B2094" s="112" t="s">
        <v>26</v>
      </c>
      <c r="C2094" s="113" t="s">
        <v>352</v>
      </c>
      <c r="D2094" s="112" t="s">
        <v>341</v>
      </c>
      <c r="E2094" s="122">
        <v>1.944444444444444</v>
      </c>
      <c r="F2094" s="112" t="s">
        <v>34</v>
      </c>
      <c r="G2094" s="114">
        <v>4</v>
      </c>
      <c r="H2094" s="115" t="s">
        <v>358</v>
      </c>
    </row>
    <row r="2095" spans="1:8" ht="19.899999999999999" customHeight="1">
      <c r="A2095" s="121">
        <v>46052</v>
      </c>
      <c r="B2095" s="112" t="s">
        <v>26</v>
      </c>
      <c r="C2095" s="113" t="s">
        <v>356</v>
      </c>
      <c r="D2095" s="112" t="s">
        <v>341</v>
      </c>
      <c r="E2095" s="122">
        <v>1.4861111111111109</v>
      </c>
      <c r="F2095" s="112" t="s">
        <v>34</v>
      </c>
      <c r="G2095" s="114">
        <v>9</v>
      </c>
      <c r="H2095" s="115" t="s">
        <v>358</v>
      </c>
    </row>
    <row r="2096" spans="1:8" ht="19.899999999999999" customHeight="1">
      <c r="A2096" s="121">
        <v>46052</v>
      </c>
      <c r="B2096" s="112" t="s">
        <v>26</v>
      </c>
      <c r="C2096" s="113" t="s">
        <v>357</v>
      </c>
      <c r="D2096" s="112" t="s">
        <v>341</v>
      </c>
      <c r="E2096" s="122">
        <v>1.5590277777777779</v>
      </c>
      <c r="F2096" s="112" t="s">
        <v>34</v>
      </c>
      <c r="G2096" s="114">
        <v>5</v>
      </c>
      <c r="H2096" s="115" t="s">
        <v>358</v>
      </c>
    </row>
    <row r="2097" spans="1:8" ht="19.899999999999999" customHeight="1">
      <c r="A2097" s="121">
        <v>46052</v>
      </c>
      <c r="B2097" s="112" t="s">
        <v>38</v>
      </c>
      <c r="C2097" s="113" t="s">
        <v>346</v>
      </c>
      <c r="D2097" s="112" t="s">
        <v>341</v>
      </c>
      <c r="E2097" s="122">
        <v>1.399305555555556</v>
      </c>
      <c r="F2097" s="112" t="s">
        <v>46</v>
      </c>
      <c r="G2097" s="114">
        <v>20</v>
      </c>
      <c r="H2097" s="115" t="s">
        <v>47</v>
      </c>
    </row>
    <row r="2098" spans="1:8" ht="19.899999999999999" customHeight="1">
      <c r="A2098" s="121">
        <v>46052</v>
      </c>
      <c r="B2098" s="112" t="s">
        <v>38</v>
      </c>
      <c r="C2098" s="113" t="s">
        <v>342</v>
      </c>
      <c r="D2098" s="112" t="s">
        <v>341</v>
      </c>
      <c r="E2098" s="122">
        <v>1.489583333333333</v>
      </c>
      <c r="F2098" s="112" t="s">
        <v>46</v>
      </c>
      <c r="G2098" s="114">
        <v>16</v>
      </c>
      <c r="H2098" s="115" t="s">
        <v>47</v>
      </c>
    </row>
    <row r="2099" spans="1:8" ht="19.899999999999999" customHeight="1">
      <c r="A2099" s="121">
        <v>46052</v>
      </c>
      <c r="B2099" s="112" t="s">
        <v>38</v>
      </c>
      <c r="C2099" s="113" t="s">
        <v>344</v>
      </c>
      <c r="D2099" s="112" t="s">
        <v>341</v>
      </c>
      <c r="E2099" s="122">
        <v>1.8888888888888891</v>
      </c>
      <c r="F2099" s="112" t="s">
        <v>46</v>
      </c>
      <c r="G2099" s="114">
        <v>20</v>
      </c>
      <c r="H2099" s="115" t="s">
        <v>47</v>
      </c>
    </row>
    <row r="2100" spans="1:8" ht="19.899999999999999" customHeight="1">
      <c r="A2100" s="121">
        <v>46052</v>
      </c>
      <c r="B2100" s="112" t="s">
        <v>38</v>
      </c>
      <c r="C2100" s="113" t="s">
        <v>345</v>
      </c>
      <c r="D2100" s="112" t="s">
        <v>341</v>
      </c>
      <c r="E2100" s="122">
        <v>1.989583333333333</v>
      </c>
      <c r="F2100" s="112" t="s">
        <v>46</v>
      </c>
      <c r="G2100" s="114">
        <v>20</v>
      </c>
      <c r="H2100" s="115" t="s">
        <v>47</v>
      </c>
    </row>
    <row r="2101" spans="1:8" ht="19.899999999999999" customHeight="1">
      <c r="A2101" s="121">
        <v>46052</v>
      </c>
      <c r="B2101" s="112" t="s">
        <v>68</v>
      </c>
      <c r="C2101" s="113" t="s">
        <v>437</v>
      </c>
      <c r="D2101" s="112" t="s">
        <v>341</v>
      </c>
      <c r="E2101" s="122">
        <v>1.104166666666667</v>
      </c>
      <c r="F2101" s="112" t="s">
        <v>70</v>
      </c>
      <c r="G2101" s="114">
        <v>9</v>
      </c>
      <c r="H2101" s="115" t="s">
        <v>523</v>
      </c>
    </row>
    <row r="2102" spans="1:8" ht="19.899999999999999" customHeight="1">
      <c r="A2102" s="121">
        <v>46052</v>
      </c>
      <c r="B2102" s="112" t="s">
        <v>68</v>
      </c>
      <c r="C2102" s="113" t="s">
        <v>413</v>
      </c>
      <c r="D2102" s="112" t="s">
        <v>341</v>
      </c>
      <c r="E2102" s="122">
        <v>1.0486111111111109</v>
      </c>
      <c r="F2102" s="112" t="s">
        <v>70</v>
      </c>
      <c r="G2102" s="114">
        <v>9</v>
      </c>
      <c r="H2102" s="115" t="s">
        <v>523</v>
      </c>
    </row>
    <row r="2103" spans="1:8" ht="19.899999999999999" customHeight="1">
      <c r="A2103" s="121">
        <v>46052</v>
      </c>
      <c r="B2103" s="112" t="s">
        <v>48</v>
      </c>
      <c r="C2103" s="113" t="s">
        <v>396</v>
      </c>
      <c r="D2103" s="112" t="s">
        <v>341</v>
      </c>
      <c r="E2103" s="122">
        <v>1.489583333333333</v>
      </c>
      <c r="F2103" s="112" t="s">
        <v>53</v>
      </c>
      <c r="G2103" s="114">
        <v>4</v>
      </c>
      <c r="H2103" s="115" t="s">
        <v>481</v>
      </c>
    </row>
    <row r="2104" spans="1:8" ht="19.899999999999999" customHeight="1">
      <c r="A2104" s="121">
        <v>46052</v>
      </c>
      <c r="B2104" s="112" t="s">
        <v>48</v>
      </c>
      <c r="C2104" s="113" t="s">
        <v>394</v>
      </c>
      <c r="D2104" s="112" t="s">
        <v>341</v>
      </c>
      <c r="E2104" s="122">
        <v>1.989583333333333</v>
      </c>
      <c r="F2104" s="112" t="s">
        <v>53</v>
      </c>
      <c r="G2104" s="114">
        <v>4</v>
      </c>
      <c r="H2104" s="115" t="s">
        <v>399</v>
      </c>
    </row>
    <row r="2105" spans="1:8" ht="19.899999999999999" customHeight="1">
      <c r="A2105" s="121">
        <v>46052</v>
      </c>
      <c r="B2105" s="112" t="s">
        <v>48</v>
      </c>
      <c r="C2105" s="113" t="s">
        <v>398</v>
      </c>
      <c r="D2105" s="112" t="s">
        <v>341</v>
      </c>
      <c r="E2105" s="122">
        <v>1.399305555555556</v>
      </c>
      <c r="F2105" s="112" t="s">
        <v>53</v>
      </c>
      <c r="G2105" s="114">
        <v>4</v>
      </c>
      <c r="H2105" s="115" t="s">
        <v>399</v>
      </c>
    </row>
    <row r="2106" spans="1:8" ht="19.899999999999999" customHeight="1">
      <c r="A2106" s="121">
        <v>46052</v>
      </c>
      <c r="B2106" s="112" t="s">
        <v>48</v>
      </c>
      <c r="C2106" s="113" t="s">
        <v>397</v>
      </c>
      <c r="D2106" s="112" t="s">
        <v>341</v>
      </c>
      <c r="E2106" s="122">
        <v>1.8888888888888891</v>
      </c>
      <c r="F2106" s="112" t="s">
        <v>53</v>
      </c>
      <c r="G2106" s="114">
        <v>4</v>
      </c>
      <c r="H2106" s="115" t="s">
        <v>399</v>
      </c>
    </row>
    <row r="2107" spans="1:8" ht="19.899999999999999" customHeight="1">
      <c r="A2107" s="121">
        <v>46052</v>
      </c>
      <c r="B2107" s="112" t="s">
        <v>68</v>
      </c>
      <c r="C2107" s="113" t="s">
        <v>407</v>
      </c>
      <c r="D2107" s="112" t="s">
        <v>341</v>
      </c>
      <c r="E2107" s="122">
        <v>1.3125</v>
      </c>
      <c r="F2107" s="112" t="s">
        <v>70</v>
      </c>
      <c r="G2107" s="114">
        <v>9</v>
      </c>
      <c r="H2107" s="115" t="s">
        <v>492</v>
      </c>
    </row>
    <row r="2108" spans="1:8" ht="19.899999999999999" customHeight="1">
      <c r="A2108" s="121">
        <v>46052</v>
      </c>
      <c r="B2108" s="112" t="s">
        <v>48</v>
      </c>
      <c r="C2108" s="113" t="s">
        <v>391</v>
      </c>
      <c r="D2108" s="112" t="s">
        <v>341</v>
      </c>
      <c r="E2108" s="122">
        <v>1.489583333333333</v>
      </c>
      <c r="F2108" s="112" t="s">
        <v>53</v>
      </c>
      <c r="G2108" s="114">
        <v>9</v>
      </c>
      <c r="H2108" s="115" t="s">
        <v>490</v>
      </c>
    </row>
    <row r="2109" spans="1:8" ht="19.899999999999999" customHeight="1">
      <c r="A2109" s="121">
        <v>46052</v>
      </c>
      <c r="B2109" s="112" t="s">
        <v>48</v>
      </c>
      <c r="C2109" s="113" t="s">
        <v>386</v>
      </c>
      <c r="D2109" s="112" t="s">
        <v>341</v>
      </c>
      <c r="E2109" s="122">
        <v>1.8298611111111109</v>
      </c>
      <c r="F2109" s="112" t="s">
        <v>53</v>
      </c>
      <c r="G2109" s="114">
        <v>9</v>
      </c>
      <c r="H2109" s="115" t="s">
        <v>490</v>
      </c>
    </row>
    <row r="2110" spans="1:8" ht="19.899999999999999" customHeight="1">
      <c r="A2110" s="121">
        <v>46052</v>
      </c>
      <c r="B2110" s="112" t="s">
        <v>48</v>
      </c>
      <c r="C2110" s="113" t="s">
        <v>388</v>
      </c>
      <c r="D2110" s="112" t="s">
        <v>341</v>
      </c>
      <c r="E2110" s="122">
        <v>1.7222222222222221</v>
      </c>
      <c r="F2110" s="112" t="s">
        <v>53</v>
      </c>
      <c r="G2110" s="114">
        <v>9</v>
      </c>
      <c r="H2110" s="115" t="s">
        <v>490</v>
      </c>
    </row>
    <row r="2111" spans="1:8" ht="19.899999999999999" customHeight="1">
      <c r="A2111" s="121">
        <v>46052</v>
      </c>
      <c r="B2111" s="112" t="s">
        <v>48</v>
      </c>
      <c r="C2111" s="113" t="s">
        <v>382</v>
      </c>
      <c r="D2111" s="112" t="s">
        <v>341</v>
      </c>
      <c r="E2111" s="122">
        <v>1.118055555555556</v>
      </c>
      <c r="F2111" s="112" t="s">
        <v>53</v>
      </c>
      <c r="G2111" s="114">
        <v>9</v>
      </c>
      <c r="H2111" s="115" t="s">
        <v>490</v>
      </c>
    </row>
    <row r="2112" spans="1:8" ht="19.899999999999999" customHeight="1">
      <c r="A2112" s="121">
        <v>46052</v>
      </c>
      <c r="B2112" s="112" t="s">
        <v>48</v>
      </c>
      <c r="C2112" s="113" t="s">
        <v>389</v>
      </c>
      <c r="D2112" s="112" t="s">
        <v>341</v>
      </c>
      <c r="E2112" s="122">
        <v>1.7013888888888891</v>
      </c>
      <c r="F2112" s="112" t="s">
        <v>53</v>
      </c>
      <c r="G2112" s="114">
        <v>9</v>
      </c>
      <c r="H2112" s="115" t="s">
        <v>490</v>
      </c>
    </row>
    <row r="2113" spans="1:8" ht="19.899999999999999" customHeight="1">
      <c r="A2113" s="121">
        <v>46052</v>
      </c>
      <c r="B2113" s="112" t="s">
        <v>48</v>
      </c>
      <c r="C2113" s="113" t="s">
        <v>400</v>
      </c>
      <c r="D2113" s="112" t="s">
        <v>341</v>
      </c>
      <c r="E2113" s="122">
        <v>1.2534722222222221</v>
      </c>
      <c r="F2113" s="112" t="s">
        <v>53</v>
      </c>
      <c r="G2113" s="114">
        <v>9</v>
      </c>
      <c r="H2113" s="115" t="s">
        <v>490</v>
      </c>
    </row>
    <row r="2114" spans="1:8" ht="19.899999999999999" customHeight="1">
      <c r="A2114" s="121">
        <v>46052</v>
      </c>
      <c r="B2114" s="112" t="s">
        <v>48</v>
      </c>
      <c r="C2114" s="113" t="s">
        <v>390</v>
      </c>
      <c r="D2114" s="112" t="s">
        <v>341</v>
      </c>
      <c r="E2114" s="122">
        <v>1.041666666666667</v>
      </c>
      <c r="F2114" s="112" t="s">
        <v>53</v>
      </c>
      <c r="G2114" s="114">
        <v>9</v>
      </c>
      <c r="H2114" s="115" t="s">
        <v>490</v>
      </c>
    </row>
    <row r="2115" spans="1:8" ht="19.899999999999999" customHeight="1">
      <c r="A2115" s="121">
        <v>46052</v>
      </c>
      <c r="B2115" s="112" t="s">
        <v>48</v>
      </c>
      <c r="C2115" s="113" t="s">
        <v>385</v>
      </c>
      <c r="D2115" s="112" t="s">
        <v>341</v>
      </c>
      <c r="E2115" s="122">
        <v>1.9409722222222221</v>
      </c>
      <c r="F2115" s="112" t="s">
        <v>53</v>
      </c>
      <c r="G2115" s="114">
        <v>9</v>
      </c>
      <c r="H2115" s="115" t="s">
        <v>490</v>
      </c>
    </row>
    <row r="2116" spans="1:8" ht="19.899999999999999" customHeight="1">
      <c r="A2116" s="123">
        <v>46052</v>
      </c>
      <c r="B2116" s="124" t="s">
        <v>415</v>
      </c>
      <c r="C2116" s="125" t="s">
        <v>416</v>
      </c>
      <c r="D2116" s="124" t="s">
        <v>341</v>
      </c>
      <c r="E2116" s="126">
        <v>1.0972222222222221</v>
      </c>
      <c r="F2116" s="124" t="s">
        <v>63</v>
      </c>
      <c r="G2116" s="127">
        <v>9</v>
      </c>
      <c r="H2116" s="128" t="s">
        <v>417</v>
      </c>
    </row>
    <row r="2117" spans="1:8" ht="19.899999999999999" customHeight="1">
      <c r="A2117" s="121">
        <v>46053</v>
      </c>
      <c r="B2117" s="112" t="s">
        <v>38</v>
      </c>
      <c r="C2117" s="113" t="s">
        <v>342</v>
      </c>
      <c r="D2117" s="112" t="s">
        <v>341</v>
      </c>
      <c r="E2117" s="122">
        <v>1.489583333333333</v>
      </c>
      <c r="F2117" s="112" t="s">
        <v>40</v>
      </c>
      <c r="G2117" s="114">
        <v>17</v>
      </c>
      <c r="H2117" s="115" t="s">
        <v>30</v>
      </c>
    </row>
    <row r="2118" spans="1:8" ht="19.899999999999999" customHeight="1">
      <c r="A2118" s="121">
        <v>46053</v>
      </c>
      <c r="B2118" s="112" t="s">
        <v>38</v>
      </c>
      <c r="C2118" s="113" t="s">
        <v>346</v>
      </c>
      <c r="D2118" s="112" t="s">
        <v>341</v>
      </c>
      <c r="E2118" s="122">
        <v>1.399305555555556</v>
      </c>
      <c r="F2118" s="112" t="s">
        <v>40</v>
      </c>
      <c r="G2118" s="114">
        <v>18</v>
      </c>
      <c r="H2118" s="115" t="s">
        <v>347</v>
      </c>
    </row>
    <row r="2119" spans="1:8" ht="19.899999999999999" customHeight="1">
      <c r="A2119" s="121">
        <v>46053</v>
      </c>
      <c r="B2119" s="112" t="s">
        <v>38</v>
      </c>
      <c r="C2119" s="113" t="s">
        <v>344</v>
      </c>
      <c r="D2119" s="112" t="s">
        <v>341</v>
      </c>
      <c r="E2119" s="122">
        <v>1.8888888888888891</v>
      </c>
      <c r="F2119" s="112" t="s">
        <v>40</v>
      </c>
      <c r="G2119" s="114">
        <v>20</v>
      </c>
      <c r="H2119" s="115" t="s">
        <v>347</v>
      </c>
    </row>
    <row r="2120" spans="1:8" ht="19.899999999999999" customHeight="1">
      <c r="A2120" s="121">
        <v>46053</v>
      </c>
      <c r="B2120" s="112" t="s">
        <v>38</v>
      </c>
      <c r="C2120" s="113" t="s">
        <v>345</v>
      </c>
      <c r="D2120" s="112" t="s">
        <v>341</v>
      </c>
      <c r="E2120" s="122">
        <v>1.989583333333333</v>
      </c>
      <c r="F2120" s="112" t="s">
        <v>40</v>
      </c>
      <c r="G2120" s="114">
        <v>19</v>
      </c>
      <c r="H2120" s="115" t="s">
        <v>347</v>
      </c>
    </row>
    <row r="2121" spans="1:8" ht="19.899999999999999" customHeight="1">
      <c r="A2121" s="121">
        <v>46053</v>
      </c>
      <c r="B2121" s="112" t="s">
        <v>359</v>
      </c>
      <c r="C2121" s="113" t="s">
        <v>360</v>
      </c>
      <c r="D2121" s="112" t="s">
        <v>341</v>
      </c>
      <c r="E2121" s="122">
        <v>1.1701388888888891</v>
      </c>
      <c r="F2121" s="112" t="s">
        <v>361</v>
      </c>
      <c r="G2121" s="114">
        <v>9</v>
      </c>
      <c r="H2121" s="115" t="s">
        <v>534</v>
      </c>
    </row>
    <row r="2122" spans="1:8" ht="19.899999999999999" customHeight="1">
      <c r="A2122" s="121">
        <v>46053</v>
      </c>
      <c r="B2122" s="112" t="s">
        <v>359</v>
      </c>
      <c r="C2122" s="113" t="s">
        <v>445</v>
      </c>
      <c r="D2122" s="112" t="s">
        <v>341</v>
      </c>
      <c r="E2122" s="122">
        <v>1.055555555555556</v>
      </c>
      <c r="F2122" s="112" t="s">
        <v>361</v>
      </c>
      <c r="G2122" s="114">
        <v>9</v>
      </c>
      <c r="H2122" s="115" t="s">
        <v>534</v>
      </c>
    </row>
    <row r="2123" spans="1:8" ht="19.899999999999999" customHeight="1">
      <c r="A2123" s="129">
        <v>46053</v>
      </c>
      <c r="B2123" s="117" t="s">
        <v>61</v>
      </c>
      <c r="C2123" s="118" t="s">
        <v>371</v>
      </c>
      <c r="D2123" s="117" t="s">
        <v>341</v>
      </c>
      <c r="E2123" s="130">
        <v>1.0486111111111109</v>
      </c>
      <c r="F2123" s="117" t="s">
        <v>63</v>
      </c>
      <c r="G2123" s="119">
        <v>5</v>
      </c>
      <c r="H2123" s="120" t="s">
        <v>365</v>
      </c>
    </row>
    <row r="2124" spans="1:8" ht="19.899999999999999" customHeight="1">
      <c r="A2124" s="129">
        <v>46053</v>
      </c>
      <c r="B2124" s="117" t="s">
        <v>61</v>
      </c>
      <c r="C2124" s="118" t="s">
        <v>377</v>
      </c>
      <c r="D2124" s="117" t="s">
        <v>341</v>
      </c>
      <c r="E2124" s="130">
        <v>1.5034722222222221</v>
      </c>
      <c r="F2124" s="117" t="s">
        <v>63</v>
      </c>
      <c r="G2124" s="119">
        <v>3</v>
      </c>
      <c r="H2124" s="120" t="s">
        <v>365</v>
      </c>
    </row>
    <row r="2125" spans="1:8" ht="19.899999999999999" customHeight="1">
      <c r="A2125" s="121">
        <v>46053</v>
      </c>
      <c r="B2125" s="112" t="s">
        <v>26</v>
      </c>
      <c r="C2125" s="113" t="s">
        <v>354</v>
      </c>
      <c r="D2125" s="112" t="s">
        <v>341</v>
      </c>
      <c r="E2125" s="122">
        <v>1.3472222222222221</v>
      </c>
      <c r="F2125" s="112" t="s">
        <v>28</v>
      </c>
      <c r="G2125" s="114">
        <v>2</v>
      </c>
      <c r="H2125" s="115" t="s">
        <v>83</v>
      </c>
    </row>
    <row r="2126" spans="1:8" ht="19.899999999999999" customHeight="1">
      <c r="A2126" s="121">
        <v>46053</v>
      </c>
      <c r="B2126" s="112" t="s">
        <v>26</v>
      </c>
      <c r="C2126" s="113" t="s">
        <v>351</v>
      </c>
      <c r="D2126" s="112" t="s">
        <v>341</v>
      </c>
      <c r="E2126" s="122">
        <v>1.836805555555556</v>
      </c>
      <c r="F2126" s="112" t="s">
        <v>28</v>
      </c>
      <c r="G2126" s="114">
        <v>4</v>
      </c>
      <c r="H2126" s="115" t="s">
        <v>83</v>
      </c>
    </row>
    <row r="2127" spans="1:8" ht="19.899999999999999" customHeight="1">
      <c r="A2127" s="121">
        <v>46053</v>
      </c>
      <c r="B2127" s="112" t="s">
        <v>26</v>
      </c>
      <c r="C2127" s="113" t="s">
        <v>353</v>
      </c>
      <c r="D2127" s="112" t="s">
        <v>341</v>
      </c>
      <c r="E2127" s="122">
        <v>1.8888888888888891</v>
      </c>
      <c r="F2127" s="112" t="s">
        <v>28</v>
      </c>
      <c r="G2127" s="114">
        <v>3</v>
      </c>
      <c r="H2127" s="115" t="s">
        <v>83</v>
      </c>
    </row>
    <row r="2128" spans="1:8" ht="19.899999999999999" customHeight="1">
      <c r="A2128" s="121">
        <v>46053</v>
      </c>
      <c r="B2128" s="112" t="s">
        <v>402</v>
      </c>
      <c r="C2128" s="113" t="s">
        <v>403</v>
      </c>
      <c r="D2128" s="112" t="s">
        <v>341</v>
      </c>
      <c r="E2128" s="122">
        <v>1.493055555555556</v>
      </c>
      <c r="F2128" s="112" t="s">
        <v>63</v>
      </c>
      <c r="G2128" s="114">
        <v>4</v>
      </c>
      <c r="H2128" s="115" t="s">
        <v>404</v>
      </c>
    </row>
    <row r="2129" spans="1:8" ht="19.899999999999999" customHeight="1">
      <c r="A2129" s="129">
        <v>46053</v>
      </c>
      <c r="B2129" s="117" t="s">
        <v>61</v>
      </c>
      <c r="C2129" s="118" t="s">
        <v>364</v>
      </c>
      <c r="D2129" s="117" t="s">
        <v>341</v>
      </c>
      <c r="E2129" s="130">
        <v>1.90625</v>
      </c>
      <c r="F2129" s="117" t="s">
        <v>63</v>
      </c>
      <c r="G2129" s="119">
        <v>7</v>
      </c>
      <c r="H2129" s="120" t="s">
        <v>79</v>
      </c>
    </row>
    <row r="2130" spans="1:8" ht="19.899999999999999" customHeight="1">
      <c r="A2130" s="129">
        <v>46053</v>
      </c>
      <c r="B2130" s="117" t="s">
        <v>61</v>
      </c>
      <c r="C2130" s="118" t="s">
        <v>375</v>
      </c>
      <c r="D2130" s="117" t="s">
        <v>341</v>
      </c>
      <c r="E2130" s="130">
        <v>1.15625</v>
      </c>
      <c r="F2130" s="117" t="s">
        <v>63</v>
      </c>
      <c r="G2130" s="119">
        <v>7</v>
      </c>
      <c r="H2130" s="120" t="s">
        <v>79</v>
      </c>
    </row>
    <row r="2131" spans="1:8" ht="19.899999999999999" customHeight="1">
      <c r="A2131" s="121">
        <v>46053</v>
      </c>
      <c r="B2131" s="112" t="s">
        <v>26</v>
      </c>
      <c r="C2131" s="113" t="s">
        <v>348</v>
      </c>
      <c r="D2131" s="112" t="s">
        <v>341</v>
      </c>
      <c r="E2131" s="122">
        <v>1.993055555555556</v>
      </c>
      <c r="F2131" s="112" t="s">
        <v>28</v>
      </c>
      <c r="G2131" s="114">
        <v>5</v>
      </c>
      <c r="H2131" s="115" t="s">
        <v>79</v>
      </c>
    </row>
    <row r="2132" spans="1:8" ht="19.899999999999999" customHeight="1">
      <c r="A2132" s="121">
        <v>46053</v>
      </c>
      <c r="B2132" s="112" t="s">
        <v>26</v>
      </c>
      <c r="C2132" s="113" t="s">
        <v>350</v>
      </c>
      <c r="D2132" s="112" t="s">
        <v>341</v>
      </c>
      <c r="E2132" s="122">
        <v>1.7361111111111109</v>
      </c>
      <c r="F2132" s="112" t="s">
        <v>28</v>
      </c>
      <c r="G2132" s="114">
        <v>4</v>
      </c>
      <c r="H2132" s="115" t="s">
        <v>79</v>
      </c>
    </row>
    <row r="2133" spans="1:8" ht="19.899999999999999" customHeight="1">
      <c r="A2133" s="121">
        <v>46053</v>
      </c>
      <c r="B2133" s="112" t="s">
        <v>38</v>
      </c>
      <c r="C2133" s="113" t="s">
        <v>342</v>
      </c>
      <c r="D2133" s="112" t="s">
        <v>341</v>
      </c>
      <c r="E2133" s="122">
        <v>1.489583333333333</v>
      </c>
      <c r="F2133" s="112" t="s">
        <v>43</v>
      </c>
      <c r="G2133" s="114">
        <v>17</v>
      </c>
      <c r="H2133" s="115" t="s">
        <v>420</v>
      </c>
    </row>
    <row r="2134" spans="1:8" ht="19.899999999999999" customHeight="1">
      <c r="A2134" s="121">
        <v>46053</v>
      </c>
      <c r="B2134" s="112" t="s">
        <v>26</v>
      </c>
      <c r="C2134" s="113" t="s">
        <v>352</v>
      </c>
      <c r="D2134" s="112" t="s">
        <v>341</v>
      </c>
      <c r="E2134" s="122">
        <v>1.944444444444444</v>
      </c>
      <c r="F2134" s="112" t="s">
        <v>28</v>
      </c>
      <c r="G2134" s="114">
        <v>5</v>
      </c>
      <c r="H2134" s="115" t="s">
        <v>45</v>
      </c>
    </row>
    <row r="2135" spans="1:8" ht="19.899999999999999" customHeight="1">
      <c r="A2135" s="121">
        <v>46053</v>
      </c>
      <c r="B2135" s="112" t="s">
        <v>26</v>
      </c>
      <c r="C2135" s="113" t="s">
        <v>357</v>
      </c>
      <c r="D2135" s="112" t="s">
        <v>341</v>
      </c>
      <c r="E2135" s="122">
        <v>1.3923611111111109</v>
      </c>
      <c r="F2135" s="112" t="s">
        <v>28</v>
      </c>
      <c r="G2135" s="114">
        <v>5</v>
      </c>
      <c r="H2135" s="115" t="s">
        <v>45</v>
      </c>
    </row>
    <row r="2136" spans="1:8" ht="19.899999999999999" customHeight="1">
      <c r="A2136" s="121">
        <v>46053</v>
      </c>
      <c r="B2136" s="112" t="s">
        <v>26</v>
      </c>
      <c r="C2136" s="113" t="s">
        <v>354</v>
      </c>
      <c r="D2136" s="112" t="s">
        <v>341</v>
      </c>
      <c r="E2136" s="122">
        <v>1.3472222222222221</v>
      </c>
      <c r="F2136" s="112" t="s">
        <v>31</v>
      </c>
      <c r="G2136" s="114">
        <v>2</v>
      </c>
      <c r="H2136" s="115" t="s">
        <v>159</v>
      </c>
    </row>
    <row r="2137" spans="1:8" ht="19.899999999999999" customHeight="1">
      <c r="A2137" s="121">
        <v>46053</v>
      </c>
      <c r="B2137" s="112" t="s">
        <v>26</v>
      </c>
      <c r="C2137" s="113" t="s">
        <v>351</v>
      </c>
      <c r="D2137" s="112" t="s">
        <v>341</v>
      </c>
      <c r="E2137" s="122">
        <v>1.836805555555556</v>
      </c>
      <c r="F2137" s="112" t="s">
        <v>31</v>
      </c>
      <c r="G2137" s="114">
        <v>4</v>
      </c>
      <c r="H2137" s="115" t="s">
        <v>159</v>
      </c>
    </row>
    <row r="2138" spans="1:8" ht="19.899999999999999" customHeight="1">
      <c r="A2138" s="121">
        <v>46053</v>
      </c>
      <c r="B2138" s="112" t="s">
        <v>26</v>
      </c>
      <c r="C2138" s="113" t="s">
        <v>353</v>
      </c>
      <c r="D2138" s="112" t="s">
        <v>341</v>
      </c>
      <c r="E2138" s="122">
        <v>1.8888888888888891</v>
      </c>
      <c r="F2138" s="112" t="s">
        <v>31</v>
      </c>
      <c r="G2138" s="114">
        <v>3</v>
      </c>
      <c r="H2138" s="115" t="s">
        <v>159</v>
      </c>
    </row>
    <row r="2139" spans="1:8" ht="19.899999999999999" customHeight="1">
      <c r="A2139" s="121">
        <v>46053</v>
      </c>
      <c r="B2139" s="112" t="s">
        <v>38</v>
      </c>
      <c r="C2139" s="113" t="s">
        <v>346</v>
      </c>
      <c r="D2139" s="112" t="s">
        <v>341</v>
      </c>
      <c r="E2139" s="122">
        <v>1.399305555555556</v>
      </c>
      <c r="F2139" s="112" t="s">
        <v>43</v>
      </c>
      <c r="G2139" s="114">
        <v>18</v>
      </c>
      <c r="H2139" s="115" t="s">
        <v>138</v>
      </c>
    </row>
    <row r="2140" spans="1:8" ht="19.899999999999999" customHeight="1">
      <c r="A2140" s="121">
        <v>46053</v>
      </c>
      <c r="B2140" s="112" t="s">
        <v>38</v>
      </c>
      <c r="C2140" s="113" t="s">
        <v>344</v>
      </c>
      <c r="D2140" s="112" t="s">
        <v>341</v>
      </c>
      <c r="E2140" s="122">
        <v>1.8888888888888891</v>
      </c>
      <c r="F2140" s="112" t="s">
        <v>43</v>
      </c>
      <c r="G2140" s="114">
        <v>20</v>
      </c>
      <c r="H2140" s="115" t="s">
        <v>138</v>
      </c>
    </row>
    <row r="2141" spans="1:8" ht="19.899999999999999" customHeight="1">
      <c r="A2141" s="121">
        <v>46053</v>
      </c>
      <c r="B2141" s="112" t="s">
        <v>38</v>
      </c>
      <c r="C2141" s="113" t="s">
        <v>345</v>
      </c>
      <c r="D2141" s="112" t="s">
        <v>341</v>
      </c>
      <c r="E2141" s="122">
        <v>1.989583333333333</v>
      </c>
      <c r="F2141" s="112" t="s">
        <v>43</v>
      </c>
      <c r="G2141" s="114">
        <v>19</v>
      </c>
      <c r="H2141" s="115" t="s">
        <v>138</v>
      </c>
    </row>
    <row r="2142" spans="1:8" ht="19.899999999999999" customHeight="1">
      <c r="A2142" s="121">
        <v>46053</v>
      </c>
      <c r="B2142" s="112" t="s">
        <v>68</v>
      </c>
      <c r="C2142" s="113" t="s">
        <v>405</v>
      </c>
      <c r="D2142" s="112" t="s">
        <v>341</v>
      </c>
      <c r="E2142" s="122">
        <v>1.836805555555556</v>
      </c>
      <c r="F2142" s="112" t="s">
        <v>70</v>
      </c>
      <c r="G2142" s="114">
        <v>9</v>
      </c>
      <c r="H2142" s="115" t="s">
        <v>406</v>
      </c>
    </row>
    <row r="2143" spans="1:8" ht="19.899999999999999" customHeight="1">
      <c r="A2143" s="121">
        <v>46053</v>
      </c>
      <c r="B2143" s="112" t="s">
        <v>68</v>
      </c>
      <c r="C2143" s="113" t="s">
        <v>408</v>
      </c>
      <c r="D2143" s="112" t="s">
        <v>341</v>
      </c>
      <c r="E2143" s="122">
        <v>1.9722222222222221</v>
      </c>
      <c r="F2143" s="112" t="s">
        <v>70</v>
      </c>
      <c r="G2143" s="114">
        <v>9</v>
      </c>
      <c r="H2143" s="115" t="s">
        <v>406</v>
      </c>
    </row>
    <row r="2144" spans="1:8" ht="19.899999999999999" customHeight="1">
      <c r="A2144" s="121">
        <v>46053</v>
      </c>
      <c r="B2144" s="112" t="s">
        <v>68</v>
      </c>
      <c r="C2144" s="113" t="s">
        <v>437</v>
      </c>
      <c r="D2144" s="112" t="s">
        <v>341</v>
      </c>
      <c r="E2144" s="122">
        <v>1.104166666666667</v>
      </c>
      <c r="F2144" s="112" t="s">
        <v>70</v>
      </c>
      <c r="G2144" s="114">
        <v>9</v>
      </c>
      <c r="H2144" s="115" t="s">
        <v>406</v>
      </c>
    </row>
    <row r="2145" spans="1:8" ht="19.899999999999999" customHeight="1">
      <c r="A2145" s="121">
        <v>46053</v>
      </c>
      <c r="B2145" s="112" t="s">
        <v>68</v>
      </c>
      <c r="C2145" s="113" t="s">
        <v>409</v>
      </c>
      <c r="D2145" s="112" t="s">
        <v>341</v>
      </c>
      <c r="E2145" s="122">
        <v>1.3402777777777779</v>
      </c>
      <c r="F2145" s="112" t="s">
        <v>70</v>
      </c>
      <c r="G2145" s="114">
        <v>9</v>
      </c>
      <c r="H2145" s="115" t="s">
        <v>406</v>
      </c>
    </row>
    <row r="2146" spans="1:8" ht="19.899999999999999" customHeight="1">
      <c r="A2146" s="121">
        <v>46053</v>
      </c>
      <c r="B2146" s="112" t="s">
        <v>68</v>
      </c>
      <c r="C2146" s="113" t="s">
        <v>411</v>
      </c>
      <c r="D2146" s="112" t="s">
        <v>341</v>
      </c>
      <c r="E2146" s="122">
        <v>1.7847222222222221</v>
      </c>
      <c r="F2146" s="112" t="s">
        <v>70</v>
      </c>
      <c r="G2146" s="114">
        <v>9</v>
      </c>
      <c r="H2146" s="115" t="s">
        <v>406</v>
      </c>
    </row>
    <row r="2147" spans="1:8" ht="19.899999999999999" customHeight="1">
      <c r="A2147" s="121">
        <v>46053</v>
      </c>
      <c r="B2147" s="112" t="s">
        <v>68</v>
      </c>
      <c r="C2147" s="113" t="s">
        <v>410</v>
      </c>
      <c r="D2147" s="112" t="s">
        <v>341</v>
      </c>
      <c r="E2147" s="122">
        <v>1.5972222222222221</v>
      </c>
      <c r="F2147" s="112" t="s">
        <v>70</v>
      </c>
      <c r="G2147" s="114">
        <v>9</v>
      </c>
      <c r="H2147" s="115" t="s">
        <v>406</v>
      </c>
    </row>
    <row r="2148" spans="1:8" ht="19.899999999999999" customHeight="1">
      <c r="A2148" s="121">
        <v>46053</v>
      </c>
      <c r="B2148" s="112" t="s">
        <v>68</v>
      </c>
      <c r="C2148" s="113" t="s">
        <v>413</v>
      </c>
      <c r="D2148" s="112" t="s">
        <v>341</v>
      </c>
      <c r="E2148" s="122">
        <v>1.0486111111111109</v>
      </c>
      <c r="F2148" s="112" t="s">
        <v>70</v>
      </c>
      <c r="G2148" s="114">
        <v>9</v>
      </c>
      <c r="H2148" s="115" t="s">
        <v>406</v>
      </c>
    </row>
    <row r="2149" spans="1:8" ht="19.899999999999999" customHeight="1">
      <c r="A2149" s="121">
        <v>46053</v>
      </c>
      <c r="B2149" s="112" t="s">
        <v>26</v>
      </c>
      <c r="C2149" s="113" t="s">
        <v>348</v>
      </c>
      <c r="D2149" s="112" t="s">
        <v>341</v>
      </c>
      <c r="E2149" s="122">
        <v>1.993055555555556</v>
      </c>
      <c r="F2149" s="112" t="s">
        <v>31</v>
      </c>
      <c r="G2149" s="114">
        <v>5</v>
      </c>
      <c r="H2149" s="115" t="s">
        <v>123</v>
      </c>
    </row>
    <row r="2150" spans="1:8" ht="19.899999999999999" customHeight="1">
      <c r="A2150" s="121">
        <v>46053</v>
      </c>
      <c r="B2150" s="112" t="s">
        <v>26</v>
      </c>
      <c r="C2150" s="113" t="s">
        <v>350</v>
      </c>
      <c r="D2150" s="112" t="s">
        <v>341</v>
      </c>
      <c r="E2150" s="122">
        <v>1.7361111111111109</v>
      </c>
      <c r="F2150" s="112" t="s">
        <v>31</v>
      </c>
      <c r="G2150" s="114">
        <v>4</v>
      </c>
      <c r="H2150" s="115" t="s">
        <v>123</v>
      </c>
    </row>
    <row r="2151" spans="1:8" ht="19.899999999999999" customHeight="1">
      <c r="A2151" s="121">
        <v>46053</v>
      </c>
      <c r="B2151" s="112" t="s">
        <v>68</v>
      </c>
      <c r="C2151" s="113" t="s">
        <v>407</v>
      </c>
      <c r="D2151" s="112" t="s">
        <v>341</v>
      </c>
      <c r="E2151" s="122">
        <v>1.3125</v>
      </c>
      <c r="F2151" s="112" t="s">
        <v>70</v>
      </c>
      <c r="G2151" s="114">
        <v>9</v>
      </c>
      <c r="H2151" s="115" t="s">
        <v>412</v>
      </c>
    </row>
    <row r="2152" spans="1:8" ht="19.899999999999999" customHeight="1">
      <c r="A2152" s="121">
        <v>46053</v>
      </c>
      <c r="B2152" s="112" t="s">
        <v>26</v>
      </c>
      <c r="C2152" s="113" t="s">
        <v>354</v>
      </c>
      <c r="D2152" s="112" t="s">
        <v>341</v>
      </c>
      <c r="E2152" s="122">
        <v>1.3472222222222221</v>
      </c>
      <c r="F2152" s="112" t="s">
        <v>34</v>
      </c>
      <c r="G2152" s="114">
        <v>2</v>
      </c>
      <c r="H2152" s="115" t="s">
        <v>355</v>
      </c>
    </row>
    <row r="2153" spans="1:8" ht="19.899999999999999" customHeight="1">
      <c r="A2153" s="121">
        <v>46053</v>
      </c>
      <c r="B2153" s="112" t="s">
        <v>26</v>
      </c>
      <c r="C2153" s="113" t="s">
        <v>351</v>
      </c>
      <c r="D2153" s="112" t="s">
        <v>341</v>
      </c>
      <c r="E2153" s="122">
        <v>1.836805555555556</v>
      </c>
      <c r="F2153" s="112" t="s">
        <v>34</v>
      </c>
      <c r="G2153" s="114">
        <v>4</v>
      </c>
      <c r="H2153" s="115" t="s">
        <v>355</v>
      </c>
    </row>
    <row r="2154" spans="1:8" ht="19.899999999999999" customHeight="1">
      <c r="A2154" s="121">
        <v>46053</v>
      </c>
      <c r="B2154" s="112" t="s">
        <v>26</v>
      </c>
      <c r="C2154" s="113" t="s">
        <v>352</v>
      </c>
      <c r="D2154" s="112" t="s">
        <v>341</v>
      </c>
      <c r="E2154" s="122">
        <v>1.944444444444444</v>
      </c>
      <c r="F2154" s="112" t="s">
        <v>31</v>
      </c>
      <c r="G2154" s="114">
        <v>5</v>
      </c>
      <c r="H2154" s="115" t="s">
        <v>355</v>
      </c>
    </row>
    <row r="2155" spans="1:8" ht="19.899999999999999" customHeight="1">
      <c r="A2155" s="121">
        <v>46053</v>
      </c>
      <c r="B2155" s="112" t="s">
        <v>26</v>
      </c>
      <c r="C2155" s="113" t="s">
        <v>357</v>
      </c>
      <c r="D2155" s="112" t="s">
        <v>341</v>
      </c>
      <c r="E2155" s="122">
        <v>1.3923611111111109</v>
      </c>
      <c r="F2155" s="112" t="s">
        <v>31</v>
      </c>
      <c r="G2155" s="114">
        <v>5</v>
      </c>
      <c r="H2155" s="115" t="s">
        <v>355</v>
      </c>
    </row>
    <row r="2156" spans="1:8" ht="19.899999999999999" customHeight="1">
      <c r="A2156" s="121">
        <v>46053</v>
      </c>
      <c r="B2156" s="112" t="s">
        <v>26</v>
      </c>
      <c r="C2156" s="113" t="s">
        <v>353</v>
      </c>
      <c r="D2156" s="112" t="s">
        <v>341</v>
      </c>
      <c r="E2156" s="122">
        <v>1.8888888888888891</v>
      </c>
      <c r="F2156" s="112" t="s">
        <v>34</v>
      </c>
      <c r="G2156" s="114">
        <v>3</v>
      </c>
      <c r="H2156" s="115" t="s">
        <v>355</v>
      </c>
    </row>
    <row r="2157" spans="1:8" ht="19.899999999999999" customHeight="1">
      <c r="A2157" s="121">
        <v>46053</v>
      </c>
      <c r="B2157" s="112" t="s">
        <v>359</v>
      </c>
      <c r="C2157" s="113" t="s">
        <v>360</v>
      </c>
      <c r="D2157" s="112" t="s">
        <v>341</v>
      </c>
      <c r="E2157" s="122">
        <v>1.1701388888888891</v>
      </c>
      <c r="F2157" s="112" t="s">
        <v>46</v>
      </c>
      <c r="G2157" s="114">
        <v>9</v>
      </c>
      <c r="H2157" s="115" t="s">
        <v>535</v>
      </c>
    </row>
    <row r="2158" spans="1:8" ht="19.899999999999999" customHeight="1">
      <c r="A2158" s="121">
        <v>46053</v>
      </c>
      <c r="B2158" s="112" t="s">
        <v>359</v>
      </c>
      <c r="C2158" s="113" t="s">
        <v>445</v>
      </c>
      <c r="D2158" s="112" t="s">
        <v>341</v>
      </c>
      <c r="E2158" s="122">
        <v>1.055555555555556</v>
      </c>
      <c r="F2158" s="112" t="s">
        <v>46</v>
      </c>
      <c r="G2158" s="114">
        <v>9</v>
      </c>
      <c r="H2158" s="115" t="s">
        <v>535</v>
      </c>
    </row>
    <row r="2159" spans="1:8" ht="19.899999999999999" customHeight="1">
      <c r="A2159" s="121">
        <v>46053</v>
      </c>
      <c r="B2159" s="112" t="s">
        <v>26</v>
      </c>
      <c r="C2159" s="113" t="s">
        <v>348</v>
      </c>
      <c r="D2159" s="112" t="s">
        <v>341</v>
      </c>
      <c r="E2159" s="122">
        <v>1.993055555555556</v>
      </c>
      <c r="F2159" s="112" t="s">
        <v>34</v>
      </c>
      <c r="G2159" s="114">
        <v>5</v>
      </c>
      <c r="H2159" s="115" t="s">
        <v>118</v>
      </c>
    </row>
    <row r="2160" spans="1:8" ht="19.899999999999999" customHeight="1">
      <c r="A2160" s="121">
        <v>46053</v>
      </c>
      <c r="B2160" s="112" t="s">
        <v>26</v>
      </c>
      <c r="C2160" s="113" t="s">
        <v>350</v>
      </c>
      <c r="D2160" s="112" t="s">
        <v>341</v>
      </c>
      <c r="E2160" s="122">
        <v>1.7361111111111109</v>
      </c>
      <c r="F2160" s="112" t="s">
        <v>34</v>
      </c>
      <c r="G2160" s="114">
        <v>4</v>
      </c>
      <c r="H2160" s="115" t="s">
        <v>118</v>
      </c>
    </row>
    <row r="2161" spans="1:8" ht="19.899999999999999" customHeight="1">
      <c r="A2161" s="121">
        <v>46053</v>
      </c>
      <c r="B2161" s="112" t="s">
        <v>26</v>
      </c>
      <c r="C2161" s="113" t="s">
        <v>352</v>
      </c>
      <c r="D2161" s="112" t="s">
        <v>341</v>
      </c>
      <c r="E2161" s="122">
        <v>1.944444444444444</v>
      </c>
      <c r="F2161" s="112" t="s">
        <v>34</v>
      </c>
      <c r="G2161" s="114">
        <v>5</v>
      </c>
      <c r="H2161" s="115" t="s">
        <v>358</v>
      </c>
    </row>
    <row r="2162" spans="1:8" ht="19.899999999999999" customHeight="1">
      <c r="A2162" s="121">
        <v>46053</v>
      </c>
      <c r="B2162" s="112" t="s">
        <v>26</v>
      </c>
      <c r="C2162" s="113" t="s">
        <v>357</v>
      </c>
      <c r="D2162" s="112" t="s">
        <v>341</v>
      </c>
      <c r="E2162" s="122">
        <v>1.3923611111111109</v>
      </c>
      <c r="F2162" s="112" t="s">
        <v>34</v>
      </c>
      <c r="G2162" s="114">
        <v>5</v>
      </c>
      <c r="H2162" s="115" t="s">
        <v>358</v>
      </c>
    </row>
    <row r="2163" spans="1:8" ht="19.899999999999999" customHeight="1">
      <c r="A2163" s="121">
        <v>46053</v>
      </c>
      <c r="B2163" s="112" t="s">
        <v>26</v>
      </c>
      <c r="C2163" s="113" t="s">
        <v>356</v>
      </c>
      <c r="D2163" s="112" t="s">
        <v>341</v>
      </c>
      <c r="E2163" s="122">
        <v>1.4861111111111109</v>
      </c>
      <c r="F2163" s="112" t="s">
        <v>28</v>
      </c>
      <c r="G2163" s="114">
        <v>1</v>
      </c>
      <c r="H2163" s="115" t="s">
        <v>455</v>
      </c>
    </row>
    <row r="2164" spans="1:8" ht="19.899999999999999" customHeight="1">
      <c r="A2164" s="121">
        <v>46053</v>
      </c>
      <c r="B2164" s="112" t="s">
        <v>38</v>
      </c>
      <c r="C2164" s="113" t="s">
        <v>346</v>
      </c>
      <c r="D2164" s="112" t="s">
        <v>341</v>
      </c>
      <c r="E2164" s="122">
        <v>1.399305555555556</v>
      </c>
      <c r="F2164" s="112" t="s">
        <v>46</v>
      </c>
      <c r="G2164" s="114">
        <v>18</v>
      </c>
      <c r="H2164" s="115" t="s">
        <v>47</v>
      </c>
    </row>
    <row r="2165" spans="1:8" ht="19.899999999999999" customHeight="1">
      <c r="A2165" s="121">
        <v>46053</v>
      </c>
      <c r="B2165" s="112" t="s">
        <v>38</v>
      </c>
      <c r="C2165" s="113" t="s">
        <v>342</v>
      </c>
      <c r="D2165" s="112" t="s">
        <v>341</v>
      </c>
      <c r="E2165" s="122">
        <v>1.489583333333333</v>
      </c>
      <c r="F2165" s="112" t="s">
        <v>46</v>
      </c>
      <c r="G2165" s="114">
        <v>17</v>
      </c>
      <c r="H2165" s="115" t="s">
        <v>47</v>
      </c>
    </row>
    <row r="2166" spans="1:8" ht="19.899999999999999" customHeight="1">
      <c r="A2166" s="121">
        <v>46053</v>
      </c>
      <c r="B2166" s="112" t="s">
        <v>38</v>
      </c>
      <c r="C2166" s="113" t="s">
        <v>344</v>
      </c>
      <c r="D2166" s="112" t="s">
        <v>341</v>
      </c>
      <c r="E2166" s="122">
        <v>1.8888888888888891</v>
      </c>
      <c r="F2166" s="112" t="s">
        <v>46</v>
      </c>
      <c r="G2166" s="114">
        <v>20</v>
      </c>
      <c r="H2166" s="115" t="s">
        <v>47</v>
      </c>
    </row>
    <row r="2167" spans="1:8" ht="19.899999999999999" customHeight="1">
      <c r="A2167" s="121">
        <v>46053</v>
      </c>
      <c r="B2167" s="112" t="s">
        <v>38</v>
      </c>
      <c r="C2167" s="113" t="s">
        <v>345</v>
      </c>
      <c r="D2167" s="112" t="s">
        <v>341</v>
      </c>
      <c r="E2167" s="122">
        <v>1.989583333333333</v>
      </c>
      <c r="F2167" s="112" t="s">
        <v>46</v>
      </c>
      <c r="G2167" s="114">
        <v>19</v>
      </c>
      <c r="H2167" s="115" t="s">
        <v>47</v>
      </c>
    </row>
    <row r="2168" spans="1:8" ht="19.899999999999999" customHeight="1">
      <c r="A2168" s="121">
        <v>46053</v>
      </c>
      <c r="B2168" s="112" t="s">
        <v>26</v>
      </c>
      <c r="C2168" s="113" t="s">
        <v>356</v>
      </c>
      <c r="D2168" s="112" t="s">
        <v>341</v>
      </c>
      <c r="E2168" s="122">
        <v>1.4861111111111109</v>
      </c>
      <c r="F2168" s="112" t="s">
        <v>31</v>
      </c>
      <c r="G2168" s="114">
        <v>1</v>
      </c>
      <c r="H2168" s="115" t="s">
        <v>456</v>
      </c>
    </row>
    <row r="2169" spans="1:8" ht="19.899999999999999" customHeight="1">
      <c r="A2169" s="121">
        <v>46053</v>
      </c>
      <c r="B2169" s="112" t="s">
        <v>48</v>
      </c>
      <c r="C2169" s="113" t="s">
        <v>396</v>
      </c>
      <c r="D2169" s="112" t="s">
        <v>341</v>
      </c>
      <c r="E2169" s="122">
        <v>1.489583333333333</v>
      </c>
      <c r="F2169" s="112" t="s">
        <v>53</v>
      </c>
      <c r="G2169" s="114">
        <v>4</v>
      </c>
      <c r="H2169" s="115" t="s">
        <v>438</v>
      </c>
    </row>
    <row r="2170" spans="1:8" ht="19.899999999999999" customHeight="1">
      <c r="A2170" s="121">
        <v>46053</v>
      </c>
      <c r="B2170" s="112" t="s">
        <v>26</v>
      </c>
      <c r="C2170" s="113" t="s">
        <v>356</v>
      </c>
      <c r="D2170" s="112" t="s">
        <v>341</v>
      </c>
      <c r="E2170" s="122">
        <v>1.4861111111111109</v>
      </c>
      <c r="F2170" s="112" t="s">
        <v>34</v>
      </c>
      <c r="G2170" s="114">
        <v>1</v>
      </c>
      <c r="H2170" s="115" t="s">
        <v>457</v>
      </c>
    </row>
    <row r="2171" spans="1:8" ht="19.899999999999999" customHeight="1">
      <c r="A2171" s="121">
        <v>46053</v>
      </c>
      <c r="B2171" s="112" t="s">
        <v>48</v>
      </c>
      <c r="C2171" s="113" t="s">
        <v>394</v>
      </c>
      <c r="D2171" s="112" t="s">
        <v>341</v>
      </c>
      <c r="E2171" s="122">
        <v>1.989583333333333</v>
      </c>
      <c r="F2171" s="112" t="s">
        <v>53</v>
      </c>
      <c r="G2171" s="114">
        <v>4</v>
      </c>
      <c r="H2171" s="115" t="s">
        <v>399</v>
      </c>
    </row>
    <row r="2172" spans="1:8" ht="19.899999999999999" customHeight="1">
      <c r="A2172" s="121">
        <v>46053</v>
      </c>
      <c r="B2172" s="112" t="s">
        <v>48</v>
      </c>
      <c r="C2172" s="113" t="s">
        <v>398</v>
      </c>
      <c r="D2172" s="112" t="s">
        <v>341</v>
      </c>
      <c r="E2172" s="122">
        <v>1.399305555555556</v>
      </c>
      <c r="F2172" s="112" t="s">
        <v>53</v>
      </c>
      <c r="G2172" s="114">
        <v>4</v>
      </c>
      <c r="H2172" s="115" t="s">
        <v>399</v>
      </c>
    </row>
    <row r="2173" spans="1:8" ht="19.899999999999999" customHeight="1">
      <c r="A2173" s="121">
        <v>46053</v>
      </c>
      <c r="B2173" s="112" t="s">
        <v>48</v>
      </c>
      <c r="C2173" s="113" t="s">
        <v>397</v>
      </c>
      <c r="D2173" s="112" t="s">
        <v>341</v>
      </c>
      <c r="E2173" s="122">
        <v>1.8888888888888891</v>
      </c>
      <c r="F2173" s="112" t="s">
        <v>53</v>
      </c>
      <c r="G2173" s="114">
        <v>4</v>
      </c>
      <c r="H2173" s="115" t="s">
        <v>399</v>
      </c>
    </row>
    <row r="2174" spans="1:8" ht="19.899999999999999" customHeight="1">
      <c r="A2174" s="121">
        <v>46053</v>
      </c>
      <c r="B2174" s="112" t="s">
        <v>48</v>
      </c>
      <c r="C2174" s="113" t="s">
        <v>391</v>
      </c>
      <c r="D2174" s="112" t="s">
        <v>341</v>
      </c>
      <c r="E2174" s="122">
        <v>1.489583333333333</v>
      </c>
      <c r="F2174" s="112" t="s">
        <v>53</v>
      </c>
      <c r="G2174" s="114">
        <v>9</v>
      </c>
      <c r="H2174" s="115" t="s">
        <v>490</v>
      </c>
    </row>
    <row r="2175" spans="1:8" ht="19.899999999999999" customHeight="1">
      <c r="A2175" s="121">
        <v>46053</v>
      </c>
      <c r="B2175" s="112" t="s">
        <v>48</v>
      </c>
      <c r="C2175" s="113" t="s">
        <v>382</v>
      </c>
      <c r="D2175" s="112" t="s">
        <v>341</v>
      </c>
      <c r="E2175" s="122">
        <v>1.118055555555556</v>
      </c>
      <c r="F2175" s="112" t="s">
        <v>53</v>
      </c>
      <c r="G2175" s="114">
        <v>9</v>
      </c>
      <c r="H2175" s="115" t="s">
        <v>490</v>
      </c>
    </row>
    <row r="2176" spans="1:8" ht="19.899999999999999" customHeight="1">
      <c r="A2176" s="121">
        <v>46053</v>
      </c>
      <c r="B2176" s="112" t="s">
        <v>48</v>
      </c>
      <c r="C2176" s="113" t="s">
        <v>389</v>
      </c>
      <c r="D2176" s="112" t="s">
        <v>341</v>
      </c>
      <c r="E2176" s="122">
        <v>1.7048611111111109</v>
      </c>
      <c r="F2176" s="112" t="s">
        <v>53</v>
      </c>
      <c r="G2176" s="114">
        <v>9</v>
      </c>
      <c r="H2176" s="115" t="s">
        <v>490</v>
      </c>
    </row>
    <row r="2177" spans="1:8" ht="19.899999999999999" customHeight="1">
      <c r="A2177" s="121">
        <v>46053</v>
      </c>
      <c r="B2177" s="112" t="s">
        <v>48</v>
      </c>
      <c r="C2177" s="113" t="s">
        <v>400</v>
      </c>
      <c r="D2177" s="112" t="s">
        <v>341</v>
      </c>
      <c r="E2177" s="122">
        <v>1.2534722222222221</v>
      </c>
      <c r="F2177" s="112" t="s">
        <v>53</v>
      </c>
      <c r="G2177" s="114">
        <v>9</v>
      </c>
      <c r="H2177" s="115" t="s">
        <v>490</v>
      </c>
    </row>
    <row r="2178" spans="1:8" ht="19.899999999999999" customHeight="1">
      <c r="A2178" s="121">
        <v>46053</v>
      </c>
      <c r="B2178" s="112" t="s">
        <v>48</v>
      </c>
      <c r="C2178" s="113" t="s">
        <v>390</v>
      </c>
      <c r="D2178" s="112" t="s">
        <v>341</v>
      </c>
      <c r="E2178" s="122">
        <v>1.041666666666667</v>
      </c>
      <c r="F2178" s="112" t="s">
        <v>53</v>
      </c>
      <c r="G2178" s="114">
        <v>9</v>
      </c>
      <c r="H2178" s="115" t="s">
        <v>490</v>
      </c>
    </row>
    <row r="2179" spans="1:8" ht="19.899999999999999" customHeight="1">
      <c r="A2179" s="121">
        <v>46053</v>
      </c>
      <c r="B2179" s="112" t="s">
        <v>48</v>
      </c>
      <c r="C2179" s="113" t="s">
        <v>385</v>
      </c>
      <c r="D2179" s="112" t="s">
        <v>341</v>
      </c>
      <c r="E2179" s="122">
        <v>1.9409722222222221</v>
      </c>
      <c r="F2179" s="112" t="s">
        <v>53</v>
      </c>
      <c r="G2179" s="114">
        <v>9</v>
      </c>
      <c r="H2179" s="115" t="s">
        <v>490</v>
      </c>
    </row>
    <row r="2180" spans="1:8" ht="19.899999999999999" customHeight="1">
      <c r="A2180" s="121">
        <v>46053</v>
      </c>
      <c r="B2180" s="112" t="s">
        <v>415</v>
      </c>
      <c r="C2180" s="113" t="s">
        <v>416</v>
      </c>
      <c r="D2180" s="112" t="s">
        <v>341</v>
      </c>
      <c r="E2180" s="122">
        <v>1.0972222222222221</v>
      </c>
      <c r="F2180" s="112" t="s">
        <v>63</v>
      </c>
      <c r="G2180" s="114">
        <v>9</v>
      </c>
      <c r="H2180" s="115" t="s">
        <v>417</v>
      </c>
    </row>
    <row r="2181" spans="1:8" ht="19.899999999999999" customHeight="1">
      <c r="A2181" s="121">
        <v>46053</v>
      </c>
      <c r="B2181" s="112" t="s">
        <v>48</v>
      </c>
      <c r="C2181" s="113" t="s">
        <v>386</v>
      </c>
      <c r="D2181" s="112" t="s">
        <v>341</v>
      </c>
      <c r="E2181" s="122">
        <v>1.8298611111111109</v>
      </c>
      <c r="F2181" s="112" t="s">
        <v>53</v>
      </c>
      <c r="G2181" s="114">
        <v>9</v>
      </c>
      <c r="H2181" s="115" t="s">
        <v>544</v>
      </c>
    </row>
    <row r="2182" spans="1:8" ht="19.899999999999999" customHeight="1">
      <c r="A2182" s="123">
        <v>46053</v>
      </c>
      <c r="B2182" s="124" t="s">
        <v>48</v>
      </c>
      <c r="C2182" s="125" t="s">
        <v>388</v>
      </c>
      <c r="D2182" s="124" t="s">
        <v>341</v>
      </c>
      <c r="E2182" s="126">
        <v>1.7222222222222221</v>
      </c>
      <c r="F2182" s="124" t="s">
        <v>53</v>
      </c>
      <c r="G2182" s="127">
        <v>9</v>
      </c>
      <c r="H2182" s="128" t="s">
        <v>544</v>
      </c>
    </row>
  </sheetData>
  <pageMargins left="0.75" right="0.75" top="1" bottom="1" header="0.5" footer="0.5"/>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01"/>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29.5703125" bestFit="1" customWidth="1"/>
    <col min="7" max="7" width="20" bestFit="1" customWidth="1"/>
    <col min="8" max="8" width="23.7109375" bestFit="1" customWidth="1"/>
    <col min="9" max="9" width="169.710937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6" t="s">
        <v>254</v>
      </c>
      <c r="B2" s="117" t="s">
        <v>61</v>
      </c>
      <c r="C2" s="118" t="s">
        <v>364</v>
      </c>
      <c r="D2" s="117" t="s">
        <v>341</v>
      </c>
      <c r="E2" s="117" t="s">
        <v>559</v>
      </c>
      <c r="F2" s="117" t="s">
        <v>63</v>
      </c>
      <c r="G2" s="119">
        <v>2</v>
      </c>
      <c r="H2" s="120" t="s">
        <v>365</v>
      </c>
    </row>
    <row r="3" spans="1:8" ht="19.899999999999999" customHeight="1">
      <c r="A3" s="121">
        <v>46023</v>
      </c>
      <c r="B3" s="112" t="s">
        <v>402</v>
      </c>
      <c r="C3" s="113" t="s">
        <v>403</v>
      </c>
      <c r="D3" s="112" t="s">
        <v>341</v>
      </c>
      <c r="E3" s="122">
        <v>1.493055555555556</v>
      </c>
      <c r="F3" s="112" t="s">
        <v>63</v>
      </c>
      <c r="G3" s="114">
        <v>5</v>
      </c>
      <c r="H3" s="115" t="s">
        <v>404</v>
      </c>
    </row>
    <row r="4" spans="1:8" ht="19.899999999999999" customHeight="1">
      <c r="A4" s="129">
        <v>46023</v>
      </c>
      <c r="B4" s="117" t="s">
        <v>61</v>
      </c>
      <c r="C4" s="118" t="s">
        <v>369</v>
      </c>
      <c r="D4" s="117" t="s">
        <v>341</v>
      </c>
      <c r="E4" s="130">
        <v>1.1875</v>
      </c>
      <c r="F4" s="117" t="s">
        <v>63</v>
      </c>
      <c r="G4" s="119">
        <v>9</v>
      </c>
      <c r="H4" s="120" t="s">
        <v>79</v>
      </c>
    </row>
    <row r="5" spans="1:8" ht="19.899999999999999" customHeight="1">
      <c r="A5" s="129">
        <v>46023</v>
      </c>
      <c r="B5" s="117" t="s">
        <v>61</v>
      </c>
      <c r="C5" s="118" t="s">
        <v>371</v>
      </c>
      <c r="D5" s="117" t="s">
        <v>341</v>
      </c>
      <c r="E5" s="130">
        <v>1.0659722222222221</v>
      </c>
      <c r="F5" s="117" t="s">
        <v>63</v>
      </c>
      <c r="G5" s="119">
        <v>6</v>
      </c>
      <c r="H5" s="120" t="s">
        <v>79</v>
      </c>
    </row>
    <row r="6" spans="1:8" ht="19.899999999999999" customHeight="1">
      <c r="A6" s="129">
        <v>46023</v>
      </c>
      <c r="B6" s="117" t="s">
        <v>61</v>
      </c>
      <c r="C6" s="118" t="s">
        <v>375</v>
      </c>
      <c r="D6" s="117" t="s">
        <v>341</v>
      </c>
      <c r="E6" s="130">
        <v>1.15625</v>
      </c>
      <c r="F6" s="117" t="s">
        <v>63</v>
      </c>
      <c r="G6" s="119">
        <v>4</v>
      </c>
      <c r="H6" s="120" t="s">
        <v>79</v>
      </c>
    </row>
    <row r="7" spans="1:8" ht="19.899999999999999" customHeight="1">
      <c r="A7" s="129">
        <v>46023</v>
      </c>
      <c r="B7" s="117" t="s">
        <v>61</v>
      </c>
      <c r="C7" s="118" t="s">
        <v>377</v>
      </c>
      <c r="D7" s="117" t="s">
        <v>341</v>
      </c>
      <c r="E7" s="130">
        <v>1.40625</v>
      </c>
      <c r="F7" s="117" t="s">
        <v>63</v>
      </c>
      <c r="G7" s="119">
        <v>4</v>
      </c>
      <c r="H7" s="120" t="s">
        <v>79</v>
      </c>
    </row>
    <row r="8" spans="1:8" ht="19.899999999999999" customHeight="1">
      <c r="A8" s="129">
        <v>46023</v>
      </c>
      <c r="B8" s="117" t="s">
        <v>61</v>
      </c>
      <c r="C8" s="118" t="s">
        <v>379</v>
      </c>
      <c r="D8" s="117" t="s">
        <v>341</v>
      </c>
      <c r="E8" s="130">
        <v>1.5625</v>
      </c>
      <c r="F8" s="117" t="s">
        <v>63</v>
      </c>
      <c r="G8" s="119">
        <v>3</v>
      </c>
      <c r="H8" s="120" t="s">
        <v>79</v>
      </c>
    </row>
    <row r="9" spans="1:8" ht="19.899999999999999" customHeight="1">
      <c r="A9" s="121">
        <v>46023</v>
      </c>
      <c r="B9" s="112" t="s">
        <v>48</v>
      </c>
      <c r="C9" s="113" t="s">
        <v>386</v>
      </c>
      <c r="D9" s="112" t="s">
        <v>341</v>
      </c>
      <c r="E9" s="122">
        <v>1.8298611111111109</v>
      </c>
      <c r="F9" s="112" t="s">
        <v>50</v>
      </c>
      <c r="G9" s="114">
        <v>9</v>
      </c>
      <c r="H9" s="115" t="s">
        <v>79</v>
      </c>
    </row>
    <row r="10" spans="1:8" ht="19.899999999999999" customHeight="1">
      <c r="A10" s="121">
        <v>46023</v>
      </c>
      <c r="B10" s="112" t="s">
        <v>48</v>
      </c>
      <c r="C10" s="113" t="s">
        <v>388</v>
      </c>
      <c r="D10" s="112" t="s">
        <v>341</v>
      </c>
      <c r="E10" s="122">
        <v>1.7222222222222221</v>
      </c>
      <c r="F10" s="112" t="s">
        <v>50</v>
      </c>
      <c r="G10" s="114">
        <v>9</v>
      </c>
      <c r="H10" s="115" t="s">
        <v>79</v>
      </c>
    </row>
    <row r="11" spans="1:8" ht="19.899999999999999" customHeight="1">
      <c r="A11" s="121">
        <v>46023</v>
      </c>
      <c r="B11" s="112" t="s">
        <v>48</v>
      </c>
      <c r="C11" s="113" t="s">
        <v>389</v>
      </c>
      <c r="D11" s="112" t="s">
        <v>341</v>
      </c>
      <c r="E11" s="122">
        <v>1.7048611111111109</v>
      </c>
      <c r="F11" s="112" t="s">
        <v>50</v>
      </c>
      <c r="G11" s="114">
        <v>9</v>
      </c>
      <c r="H11" s="115" t="s">
        <v>79</v>
      </c>
    </row>
    <row r="12" spans="1:8" ht="19.899999999999999" customHeight="1">
      <c r="A12" s="123">
        <v>46023</v>
      </c>
      <c r="B12" s="124" t="s">
        <v>48</v>
      </c>
      <c r="C12" s="125" t="s">
        <v>390</v>
      </c>
      <c r="D12" s="124" t="s">
        <v>341</v>
      </c>
      <c r="E12" s="126">
        <v>1.041666666666667</v>
      </c>
      <c r="F12" s="124" t="s">
        <v>50</v>
      </c>
      <c r="G12" s="127">
        <v>9</v>
      </c>
      <c r="H12" s="128" t="s">
        <v>79</v>
      </c>
    </row>
    <row r="13" spans="1:8" ht="19.899999999999999" customHeight="1">
      <c r="A13" s="129">
        <v>46024</v>
      </c>
      <c r="B13" s="117" t="s">
        <v>61</v>
      </c>
      <c r="C13" s="118" t="s">
        <v>428</v>
      </c>
      <c r="D13" s="117" t="s">
        <v>341</v>
      </c>
      <c r="E13" s="130">
        <v>1.5590277777777779</v>
      </c>
      <c r="F13" s="117" t="s">
        <v>63</v>
      </c>
      <c r="G13" s="119">
        <v>1</v>
      </c>
      <c r="H13" s="120" t="s">
        <v>365</v>
      </c>
    </row>
    <row r="14" spans="1:8" ht="19.899999999999999" customHeight="1">
      <c r="A14" s="129">
        <v>46024</v>
      </c>
      <c r="B14" s="117" t="s">
        <v>61</v>
      </c>
      <c r="C14" s="118" t="s">
        <v>377</v>
      </c>
      <c r="D14" s="117" t="s">
        <v>341</v>
      </c>
      <c r="E14" s="130">
        <v>1.28125</v>
      </c>
      <c r="F14" s="117" t="s">
        <v>63</v>
      </c>
      <c r="G14" s="119">
        <v>5</v>
      </c>
      <c r="H14" s="120" t="s">
        <v>365</v>
      </c>
    </row>
    <row r="15" spans="1:8" ht="19.899999999999999" customHeight="1">
      <c r="A15" s="129">
        <v>46024</v>
      </c>
      <c r="B15" s="117" t="s">
        <v>61</v>
      </c>
      <c r="C15" s="118" t="s">
        <v>379</v>
      </c>
      <c r="D15" s="117" t="s">
        <v>341</v>
      </c>
      <c r="E15" s="130">
        <v>1.4375</v>
      </c>
      <c r="F15" s="117" t="s">
        <v>63</v>
      </c>
      <c r="G15" s="119">
        <v>1</v>
      </c>
      <c r="H15" s="120" t="s">
        <v>365</v>
      </c>
    </row>
    <row r="16" spans="1:8" ht="19.899999999999999" customHeight="1">
      <c r="A16" s="121">
        <v>46024</v>
      </c>
      <c r="B16" s="112" t="s">
        <v>402</v>
      </c>
      <c r="C16" s="113" t="s">
        <v>403</v>
      </c>
      <c r="D16" s="112" t="s">
        <v>341</v>
      </c>
      <c r="E16" s="122">
        <v>1.493055555555556</v>
      </c>
      <c r="F16" s="112" t="s">
        <v>63</v>
      </c>
      <c r="G16" s="114">
        <v>5</v>
      </c>
      <c r="H16" s="115" t="s">
        <v>404</v>
      </c>
    </row>
    <row r="17" spans="1:8" ht="19.899999999999999" customHeight="1">
      <c r="A17" s="129">
        <v>46024</v>
      </c>
      <c r="B17" s="117" t="s">
        <v>61</v>
      </c>
      <c r="C17" s="118" t="s">
        <v>432</v>
      </c>
      <c r="D17" s="117" t="s">
        <v>341</v>
      </c>
      <c r="E17" s="130">
        <v>1.760416666666667</v>
      </c>
      <c r="F17" s="117" t="s">
        <v>63</v>
      </c>
      <c r="G17" s="119">
        <v>3</v>
      </c>
      <c r="H17" s="120" t="s">
        <v>79</v>
      </c>
    </row>
    <row r="18" spans="1:8" ht="19.899999999999999" customHeight="1">
      <c r="A18" s="136">
        <v>46024</v>
      </c>
      <c r="B18" s="132" t="s">
        <v>61</v>
      </c>
      <c r="C18" s="133" t="s">
        <v>375</v>
      </c>
      <c r="D18" s="132" t="s">
        <v>341</v>
      </c>
      <c r="E18" s="137">
        <v>1.1423611111111109</v>
      </c>
      <c r="F18" s="132" t="s">
        <v>63</v>
      </c>
      <c r="G18" s="134">
        <v>7</v>
      </c>
      <c r="H18" s="135" t="s">
        <v>79</v>
      </c>
    </row>
    <row r="19" spans="1:8" ht="19.899999999999999" customHeight="1">
      <c r="A19" s="129">
        <v>46025</v>
      </c>
      <c r="B19" s="117" t="s">
        <v>61</v>
      </c>
      <c r="C19" s="118" t="s">
        <v>371</v>
      </c>
      <c r="D19" s="117" t="s">
        <v>341</v>
      </c>
      <c r="E19" s="130">
        <v>1.0486111111111109</v>
      </c>
      <c r="F19" s="117" t="s">
        <v>63</v>
      </c>
      <c r="G19" s="119">
        <v>3</v>
      </c>
      <c r="H19" s="120" t="s">
        <v>365</v>
      </c>
    </row>
    <row r="20" spans="1:8" ht="19.899999999999999" customHeight="1">
      <c r="A20" s="121">
        <v>46025</v>
      </c>
      <c r="B20" s="112" t="s">
        <v>402</v>
      </c>
      <c r="C20" s="113" t="s">
        <v>403</v>
      </c>
      <c r="D20" s="112" t="s">
        <v>341</v>
      </c>
      <c r="E20" s="122">
        <v>1.493055555555556</v>
      </c>
      <c r="F20" s="112" t="s">
        <v>63</v>
      </c>
      <c r="G20" s="114">
        <v>2</v>
      </c>
      <c r="H20" s="115" t="s">
        <v>404</v>
      </c>
    </row>
    <row r="21" spans="1:8" ht="19.899999999999999" customHeight="1">
      <c r="A21" s="129">
        <v>46025</v>
      </c>
      <c r="B21" s="117" t="s">
        <v>61</v>
      </c>
      <c r="C21" s="118" t="s">
        <v>364</v>
      </c>
      <c r="D21" s="117" t="s">
        <v>341</v>
      </c>
      <c r="E21" s="130">
        <v>1.90625</v>
      </c>
      <c r="F21" s="117" t="s">
        <v>63</v>
      </c>
      <c r="G21" s="119">
        <v>3</v>
      </c>
      <c r="H21" s="120" t="s">
        <v>79</v>
      </c>
    </row>
    <row r="22" spans="1:8" ht="19.899999999999999" customHeight="1">
      <c r="A22" s="129">
        <v>46025</v>
      </c>
      <c r="B22" s="117" t="s">
        <v>61</v>
      </c>
      <c r="C22" s="118" t="s">
        <v>375</v>
      </c>
      <c r="D22" s="117" t="s">
        <v>341</v>
      </c>
      <c r="E22" s="130">
        <v>1.15625</v>
      </c>
      <c r="F22" s="117" t="s">
        <v>63</v>
      </c>
      <c r="G22" s="119">
        <v>7</v>
      </c>
      <c r="H22" s="120" t="s">
        <v>79</v>
      </c>
    </row>
    <row r="23" spans="1:8" ht="19.899999999999999" customHeight="1">
      <c r="A23" s="121">
        <v>46025</v>
      </c>
      <c r="B23" s="112" t="s">
        <v>26</v>
      </c>
      <c r="C23" s="113" t="s">
        <v>354</v>
      </c>
      <c r="D23" s="112" t="s">
        <v>341</v>
      </c>
      <c r="E23" s="122">
        <v>1.3472222222222221</v>
      </c>
      <c r="F23" s="112" t="s">
        <v>451</v>
      </c>
      <c r="G23" s="114">
        <v>3</v>
      </c>
      <c r="H23" s="115" t="s">
        <v>79</v>
      </c>
    </row>
    <row r="24" spans="1:8" ht="19.899999999999999" customHeight="1">
      <c r="A24" s="121">
        <v>46025</v>
      </c>
      <c r="B24" s="112" t="s">
        <v>26</v>
      </c>
      <c r="C24" s="113" t="s">
        <v>354</v>
      </c>
      <c r="D24" s="112" t="s">
        <v>341</v>
      </c>
      <c r="E24" s="122">
        <v>1.3472222222222221</v>
      </c>
      <c r="F24" s="112" t="s">
        <v>28</v>
      </c>
      <c r="G24" s="114">
        <v>3</v>
      </c>
      <c r="H24" s="115" t="s">
        <v>79</v>
      </c>
    </row>
    <row r="25" spans="1:8" ht="19.899999999999999" customHeight="1">
      <c r="A25" s="121">
        <v>46025</v>
      </c>
      <c r="B25" s="112" t="s">
        <v>26</v>
      </c>
      <c r="C25" s="113" t="s">
        <v>348</v>
      </c>
      <c r="D25" s="112" t="s">
        <v>341</v>
      </c>
      <c r="E25" s="122">
        <v>1.993055555555556</v>
      </c>
      <c r="F25" s="112" t="s">
        <v>451</v>
      </c>
      <c r="G25" s="114">
        <v>2</v>
      </c>
      <c r="H25" s="115" t="s">
        <v>79</v>
      </c>
    </row>
    <row r="26" spans="1:8" ht="19.899999999999999" customHeight="1">
      <c r="A26" s="121">
        <v>46025</v>
      </c>
      <c r="B26" s="112" t="s">
        <v>26</v>
      </c>
      <c r="C26" s="113" t="s">
        <v>348</v>
      </c>
      <c r="D26" s="112" t="s">
        <v>341</v>
      </c>
      <c r="E26" s="122">
        <v>1.993055555555556</v>
      </c>
      <c r="F26" s="112" t="s">
        <v>28</v>
      </c>
      <c r="G26" s="114">
        <v>2</v>
      </c>
      <c r="H26" s="115" t="s">
        <v>79</v>
      </c>
    </row>
    <row r="27" spans="1:8" ht="19.899999999999999" customHeight="1">
      <c r="A27" s="121">
        <v>46025</v>
      </c>
      <c r="B27" s="112" t="s">
        <v>26</v>
      </c>
      <c r="C27" s="113" t="s">
        <v>352</v>
      </c>
      <c r="D27" s="112" t="s">
        <v>341</v>
      </c>
      <c r="E27" s="122">
        <v>1.944444444444444</v>
      </c>
      <c r="F27" s="112" t="s">
        <v>451</v>
      </c>
      <c r="G27" s="114">
        <v>3</v>
      </c>
      <c r="H27" s="115" t="s">
        <v>79</v>
      </c>
    </row>
    <row r="28" spans="1:8" ht="19.899999999999999" customHeight="1">
      <c r="A28" s="121">
        <v>46025</v>
      </c>
      <c r="B28" s="112" t="s">
        <v>26</v>
      </c>
      <c r="C28" s="113" t="s">
        <v>352</v>
      </c>
      <c r="D28" s="112" t="s">
        <v>341</v>
      </c>
      <c r="E28" s="122">
        <v>1.944444444444444</v>
      </c>
      <c r="F28" s="112" t="s">
        <v>28</v>
      </c>
      <c r="G28" s="114">
        <v>3</v>
      </c>
      <c r="H28" s="115" t="s">
        <v>79</v>
      </c>
    </row>
    <row r="29" spans="1:8" ht="19.899999999999999" customHeight="1">
      <c r="A29" s="121">
        <v>46025</v>
      </c>
      <c r="B29" s="112" t="s">
        <v>26</v>
      </c>
      <c r="C29" s="113" t="s">
        <v>353</v>
      </c>
      <c r="D29" s="112" t="s">
        <v>341</v>
      </c>
      <c r="E29" s="122">
        <v>1.8888888888888891</v>
      </c>
      <c r="F29" s="112" t="s">
        <v>451</v>
      </c>
      <c r="G29" s="114">
        <v>5</v>
      </c>
      <c r="H29" s="115" t="s">
        <v>79</v>
      </c>
    </row>
    <row r="30" spans="1:8" ht="19.899999999999999" customHeight="1">
      <c r="A30" s="121">
        <v>46025</v>
      </c>
      <c r="B30" s="112" t="s">
        <v>26</v>
      </c>
      <c r="C30" s="113" t="s">
        <v>353</v>
      </c>
      <c r="D30" s="112" t="s">
        <v>341</v>
      </c>
      <c r="E30" s="122">
        <v>1.8888888888888891</v>
      </c>
      <c r="F30" s="112" t="s">
        <v>28</v>
      </c>
      <c r="G30" s="114">
        <v>5</v>
      </c>
      <c r="H30" s="115" t="s">
        <v>79</v>
      </c>
    </row>
    <row r="31" spans="1:8" ht="19.899999999999999" customHeight="1">
      <c r="A31" s="121">
        <v>46025</v>
      </c>
      <c r="B31" s="112" t="s">
        <v>26</v>
      </c>
      <c r="C31" s="113" t="s">
        <v>350</v>
      </c>
      <c r="D31" s="112" t="s">
        <v>341</v>
      </c>
      <c r="E31" s="122">
        <v>1.7361111111111109</v>
      </c>
      <c r="F31" s="112" t="s">
        <v>451</v>
      </c>
      <c r="G31" s="114">
        <v>5</v>
      </c>
      <c r="H31" s="115" t="s">
        <v>45</v>
      </c>
    </row>
    <row r="32" spans="1:8" ht="19.899999999999999" customHeight="1">
      <c r="A32" s="121">
        <v>46025</v>
      </c>
      <c r="B32" s="112" t="s">
        <v>26</v>
      </c>
      <c r="C32" s="113" t="s">
        <v>350</v>
      </c>
      <c r="D32" s="112" t="s">
        <v>341</v>
      </c>
      <c r="E32" s="122">
        <v>1.7361111111111109</v>
      </c>
      <c r="F32" s="112" t="s">
        <v>28</v>
      </c>
      <c r="G32" s="114">
        <v>5</v>
      </c>
      <c r="H32" s="115" t="s">
        <v>45</v>
      </c>
    </row>
    <row r="33" spans="1:8" ht="19.899999999999999" customHeight="1">
      <c r="A33" s="121">
        <v>46025</v>
      </c>
      <c r="B33" s="112" t="s">
        <v>26</v>
      </c>
      <c r="C33" s="113" t="s">
        <v>351</v>
      </c>
      <c r="D33" s="112" t="s">
        <v>341</v>
      </c>
      <c r="E33" s="122">
        <v>1.836805555555556</v>
      </c>
      <c r="F33" s="112" t="s">
        <v>451</v>
      </c>
      <c r="G33" s="114">
        <v>7</v>
      </c>
      <c r="H33" s="115" t="s">
        <v>45</v>
      </c>
    </row>
    <row r="34" spans="1:8" ht="19.899999999999999" customHeight="1">
      <c r="A34" s="121">
        <v>46025</v>
      </c>
      <c r="B34" s="112" t="s">
        <v>26</v>
      </c>
      <c r="C34" s="113" t="s">
        <v>351</v>
      </c>
      <c r="D34" s="112" t="s">
        <v>341</v>
      </c>
      <c r="E34" s="122">
        <v>1.836805555555556</v>
      </c>
      <c r="F34" s="112" t="s">
        <v>28</v>
      </c>
      <c r="G34" s="114">
        <v>7</v>
      </c>
      <c r="H34" s="115" t="s">
        <v>45</v>
      </c>
    </row>
    <row r="35" spans="1:8" ht="19.899999999999999" customHeight="1">
      <c r="A35" s="121">
        <v>46025</v>
      </c>
      <c r="B35" s="112" t="s">
        <v>26</v>
      </c>
      <c r="C35" s="113" t="s">
        <v>356</v>
      </c>
      <c r="D35" s="112" t="s">
        <v>341</v>
      </c>
      <c r="E35" s="122">
        <v>1.4861111111111109</v>
      </c>
      <c r="F35" s="112" t="s">
        <v>451</v>
      </c>
      <c r="G35" s="114">
        <v>7</v>
      </c>
      <c r="H35" s="115" t="s">
        <v>45</v>
      </c>
    </row>
    <row r="36" spans="1:8" ht="19.899999999999999" customHeight="1">
      <c r="A36" s="121">
        <v>46025</v>
      </c>
      <c r="B36" s="112" t="s">
        <v>26</v>
      </c>
      <c r="C36" s="113" t="s">
        <v>356</v>
      </c>
      <c r="D36" s="112" t="s">
        <v>341</v>
      </c>
      <c r="E36" s="122">
        <v>1.4861111111111109</v>
      </c>
      <c r="F36" s="112" t="s">
        <v>28</v>
      </c>
      <c r="G36" s="114">
        <v>7</v>
      </c>
      <c r="H36" s="115" t="s">
        <v>45</v>
      </c>
    </row>
    <row r="37" spans="1:8" ht="19.899999999999999" customHeight="1">
      <c r="A37" s="121">
        <v>46025</v>
      </c>
      <c r="B37" s="112" t="s">
        <v>26</v>
      </c>
      <c r="C37" s="113" t="s">
        <v>357</v>
      </c>
      <c r="D37" s="112" t="s">
        <v>341</v>
      </c>
      <c r="E37" s="122">
        <v>1.3923611111111109</v>
      </c>
      <c r="F37" s="112" t="s">
        <v>451</v>
      </c>
      <c r="G37" s="114">
        <v>7</v>
      </c>
      <c r="H37" s="115" t="s">
        <v>45</v>
      </c>
    </row>
    <row r="38" spans="1:8" ht="19.899999999999999" customHeight="1">
      <c r="A38" s="121">
        <v>46025</v>
      </c>
      <c r="B38" s="112" t="s">
        <v>26</v>
      </c>
      <c r="C38" s="113" t="s">
        <v>357</v>
      </c>
      <c r="D38" s="112" t="s">
        <v>341</v>
      </c>
      <c r="E38" s="122">
        <v>1.3923611111111109</v>
      </c>
      <c r="F38" s="112" t="s">
        <v>28</v>
      </c>
      <c r="G38" s="114">
        <v>7</v>
      </c>
      <c r="H38" s="115" t="s">
        <v>45</v>
      </c>
    </row>
    <row r="39" spans="1:8" ht="19.899999999999999" customHeight="1">
      <c r="A39" s="136">
        <v>46025</v>
      </c>
      <c r="B39" s="132" t="s">
        <v>61</v>
      </c>
      <c r="C39" s="133" t="s">
        <v>377</v>
      </c>
      <c r="D39" s="132" t="s">
        <v>341</v>
      </c>
      <c r="E39" s="137">
        <v>1.5034722222222221</v>
      </c>
      <c r="F39" s="132" t="s">
        <v>63</v>
      </c>
      <c r="G39" s="134">
        <v>9</v>
      </c>
      <c r="H39" s="135" t="s">
        <v>449</v>
      </c>
    </row>
    <row r="40" spans="1:8" ht="19.899999999999999" customHeight="1">
      <c r="A40" s="129">
        <v>46026</v>
      </c>
      <c r="B40" s="117" t="s">
        <v>61</v>
      </c>
      <c r="C40" s="118" t="s">
        <v>432</v>
      </c>
      <c r="D40" s="117" t="s">
        <v>341</v>
      </c>
      <c r="E40" s="130">
        <v>1.333333333333333</v>
      </c>
      <c r="F40" s="117" t="s">
        <v>63</v>
      </c>
      <c r="G40" s="119">
        <v>6</v>
      </c>
      <c r="H40" s="120" t="s">
        <v>365</v>
      </c>
    </row>
    <row r="41" spans="1:8" ht="19.899999999999999" customHeight="1">
      <c r="A41" s="129">
        <v>46026</v>
      </c>
      <c r="B41" s="117" t="s">
        <v>61</v>
      </c>
      <c r="C41" s="118" t="s">
        <v>375</v>
      </c>
      <c r="D41" s="117" t="s">
        <v>341</v>
      </c>
      <c r="E41" s="130">
        <v>1.1423611111111109</v>
      </c>
      <c r="F41" s="117" t="s">
        <v>63</v>
      </c>
      <c r="G41" s="119">
        <v>4</v>
      </c>
      <c r="H41" s="120" t="s">
        <v>365</v>
      </c>
    </row>
    <row r="42" spans="1:8" ht="19.899999999999999" customHeight="1">
      <c r="A42" s="129">
        <v>46026</v>
      </c>
      <c r="B42" s="117" t="s">
        <v>61</v>
      </c>
      <c r="C42" s="118" t="s">
        <v>377</v>
      </c>
      <c r="D42" s="117" t="s">
        <v>341</v>
      </c>
      <c r="E42" s="130">
        <v>1.4548611111111109</v>
      </c>
      <c r="F42" s="117" t="s">
        <v>63</v>
      </c>
      <c r="G42" s="119">
        <v>5</v>
      </c>
      <c r="H42" s="120" t="s">
        <v>365</v>
      </c>
    </row>
    <row r="43" spans="1:8" ht="19.899999999999999" customHeight="1">
      <c r="A43" s="129">
        <v>46026</v>
      </c>
      <c r="B43" s="117" t="s">
        <v>61</v>
      </c>
      <c r="C43" s="118" t="s">
        <v>379</v>
      </c>
      <c r="D43" s="117" t="s">
        <v>341</v>
      </c>
      <c r="E43" s="130">
        <v>1.8298611111111109</v>
      </c>
      <c r="F43" s="117" t="s">
        <v>63</v>
      </c>
      <c r="G43" s="119">
        <v>2</v>
      </c>
      <c r="H43" s="120" t="s">
        <v>365</v>
      </c>
    </row>
    <row r="44" spans="1:8" ht="19.899999999999999" customHeight="1">
      <c r="A44" s="121">
        <v>46026</v>
      </c>
      <c r="B44" s="112" t="s">
        <v>402</v>
      </c>
      <c r="C44" s="113" t="s">
        <v>403</v>
      </c>
      <c r="D44" s="112" t="s">
        <v>341</v>
      </c>
      <c r="E44" s="122">
        <v>1.493055555555556</v>
      </c>
      <c r="F44" s="112" t="s">
        <v>63</v>
      </c>
      <c r="G44" s="114">
        <v>5</v>
      </c>
      <c r="H44" s="115" t="s">
        <v>404</v>
      </c>
    </row>
    <row r="45" spans="1:8" ht="19.899999999999999" customHeight="1">
      <c r="A45" s="121">
        <v>46026</v>
      </c>
      <c r="B45" s="112" t="s">
        <v>402</v>
      </c>
      <c r="C45" s="113" t="s">
        <v>465</v>
      </c>
      <c r="D45" s="112" t="s">
        <v>341</v>
      </c>
      <c r="E45" s="122">
        <v>1.2048611111111109</v>
      </c>
      <c r="F45" s="112" t="s">
        <v>63</v>
      </c>
      <c r="G45" s="114">
        <v>5</v>
      </c>
      <c r="H45" s="115" t="s">
        <v>404</v>
      </c>
    </row>
    <row r="46" spans="1:8" ht="19.899999999999999" customHeight="1">
      <c r="A46" s="129">
        <v>46026</v>
      </c>
      <c r="B46" s="117" t="s">
        <v>61</v>
      </c>
      <c r="C46" s="118" t="s">
        <v>369</v>
      </c>
      <c r="D46" s="117" t="s">
        <v>341</v>
      </c>
      <c r="E46" s="130">
        <v>1.15625</v>
      </c>
      <c r="F46" s="117" t="s">
        <v>63</v>
      </c>
      <c r="G46" s="119">
        <v>9</v>
      </c>
      <c r="H46" s="120" t="s">
        <v>79</v>
      </c>
    </row>
    <row r="47" spans="1:8" ht="19.899999999999999" customHeight="1">
      <c r="A47" s="121">
        <v>46026</v>
      </c>
      <c r="B47" s="112" t="s">
        <v>48</v>
      </c>
      <c r="C47" s="113" t="s">
        <v>388</v>
      </c>
      <c r="D47" s="112" t="s">
        <v>341</v>
      </c>
      <c r="E47" s="122">
        <v>1.7222222222222221</v>
      </c>
      <c r="F47" s="112" t="s">
        <v>50</v>
      </c>
      <c r="G47" s="114">
        <v>9</v>
      </c>
      <c r="H47" s="115" t="s">
        <v>79</v>
      </c>
    </row>
    <row r="48" spans="1:8" ht="19.899999999999999" customHeight="1">
      <c r="A48" s="123">
        <v>46026</v>
      </c>
      <c r="B48" s="124" t="s">
        <v>48</v>
      </c>
      <c r="C48" s="125" t="s">
        <v>385</v>
      </c>
      <c r="D48" s="124" t="s">
        <v>341</v>
      </c>
      <c r="E48" s="126">
        <v>1.9409722222222221</v>
      </c>
      <c r="F48" s="124" t="s">
        <v>50</v>
      </c>
      <c r="G48" s="127">
        <v>9</v>
      </c>
      <c r="H48" s="128" t="s">
        <v>79</v>
      </c>
    </row>
    <row r="49" spans="1:8" ht="19.899999999999999" customHeight="1">
      <c r="A49" s="129">
        <v>46027</v>
      </c>
      <c r="B49" s="117" t="s">
        <v>61</v>
      </c>
      <c r="C49" s="118" t="s">
        <v>432</v>
      </c>
      <c r="D49" s="117" t="s">
        <v>341</v>
      </c>
      <c r="E49" s="130">
        <v>1.802083333333333</v>
      </c>
      <c r="F49" s="117" t="s">
        <v>63</v>
      </c>
      <c r="G49" s="119">
        <v>1</v>
      </c>
      <c r="H49" s="120" t="s">
        <v>365</v>
      </c>
    </row>
    <row r="50" spans="1:8" ht="19.899999999999999" customHeight="1">
      <c r="A50" s="129">
        <v>46027</v>
      </c>
      <c r="B50" s="117" t="s">
        <v>61</v>
      </c>
      <c r="C50" s="118" t="s">
        <v>377</v>
      </c>
      <c r="D50" s="117" t="s">
        <v>341</v>
      </c>
      <c r="E50" s="130">
        <v>1.4375</v>
      </c>
      <c r="F50" s="117" t="s">
        <v>63</v>
      </c>
      <c r="G50" s="119">
        <v>1</v>
      </c>
      <c r="H50" s="120" t="s">
        <v>365</v>
      </c>
    </row>
    <row r="51" spans="1:8" ht="19.899999999999999" customHeight="1">
      <c r="A51" s="129">
        <v>46027</v>
      </c>
      <c r="B51" s="117" t="s">
        <v>61</v>
      </c>
      <c r="C51" s="118" t="s">
        <v>375</v>
      </c>
      <c r="D51" s="117" t="s">
        <v>341</v>
      </c>
      <c r="E51" s="130">
        <v>1.2465277777777779</v>
      </c>
      <c r="F51" s="117" t="s">
        <v>63</v>
      </c>
      <c r="G51" s="119">
        <v>5</v>
      </c>
      <c r="H51" s="120" t="s">
        <v>449</v>
      </c>
    </row>
    <row r="52" spans="1:8" ht="19.899999999999999" customHeight="1">
      <c r="A52" s="123">
        <v>46027</v>
      </c>
      <c r="B52" s="124" t="s">
        <v>26</v>
      </c>
      <c r="C52" s="125" t="s">
        <v>356</v>
      </c>
      <c r="D52" s="124" t="s">
        <v>341</v>
      </c>
      <c r="E52" s="126">
        <v>1.4861111111111109</v>
      </c>
      <c r="F52" s="124" t="s">
        <v>31</v>
      </c>
      <c r="G52" s="127">
        <v>3</v>
      </c>
      <c r="H52" s="128" t="s">
        <v>159</v>
      </c>
    </row>
    <row r="53" spans="1:8" ht="19.899999999999999" customHeight="1">
      <c r="A53" s="129">
        <v>46028</v>
      </c>
      <c r="B53" s="117" t="s">
        <v>61</v>
      </c>
      <c r="C53" s="118" t="s">
        <v>364</v>
      </c>
      <c r="D53" s="117" t="s">
        <v>341</v>
      </c>
      <c r="E53" s="130">
        <v>1.756944444444444</v>
      </c>
      <c r="F53" s="117" t="s">
        <v>63</v>
      </c>
      <c r="G53" s="119">
        <v>4</v>
      </c>
      <c r="H53" s="120" t="s">
        <v>365</v>
      </c>
    </row>
    <row r="54" spans="1:8" ht="19.899999999999999" customHeight="1">
      <c r="A54" s="129">
        <v>46028</v>
      </c>
      <c r="B54" s="117" t="s">
        <v>61</v>
      </c>
      <c r="C54" s="118" t="s">
        <v>432</v>
      </c>
      <c r="D54" s="117" t="s">
        <v>341</v>
      </c>
      <c r="E54" s="130">
        <v>1.552083333333333</v>
      </c>
      <c r="F54" s="117" t="s">
        <v>63</v>
      </c>
      <c r="G54" s="119">
        <v>6</v>
      </c>
      <c r="H54" s="120" t="s">
        <v>365</v>
      </c>
    </row>
    <row r="55" spans="1:8" ht="19.899999999999999" customHeight="1">
      <c r="A55" s="129">
        <v>46028</v>
      </c>
      <c r="B55" s="117" t="s">
        <v>61</v>
      </c>
      <c r="C55" s="118" t="s">
        <v>428</v>
      </c>
      <c r="D55" s="117" t="s">
        <v>341</v>
      </c>
      <c r="E55" s="130">
        <v>1.052083333333333</v>
      </c>
      <c r="F55" s="117" t="s">
        <v>63</v>
      </c>
      <c r="G55" s="119">
        <v>5</v>
      </c>
      <c r="H55" s="120" t="s">
        <v>365</v>
      </c>
    </row>
    <row r="56" spans="1:8" ht="19.899999999999999" customHeight="1">
      <c r="A56" s="129">
        <v>46028</v>
      </c>
      <c r="B56" s="117" t="s">
        <v>61</v>
      </c>
      <c r="C56" s="118" t="s">
        <v>375</v>
      </c>
      <c r="D56" s="117" t="s">
        <v>341</v>
      </c>
      <c r="E56" s="130">
        <v>1.791666666666667</v>
      </c>
      <c r="F56" s="117" t="s">
        <v>63</v>
      </c>
      <c r="G56" s="119">
        <v>6</v>
      </c>
      <c r="H56" s="120" t="s">
        <v>365</v>
      </c>
    </row>
    <row r="57" spans="1:8" ht="19.899999999999999" customHeight="1">
      <c r="A57" s="129">
        <v>46028</v>
      </c>
      <c r="B57" s="117" t="s">
        <v>61</v>
      </c>
      <c r="C57" s="118" t="s">
        <v>377</v>
      </c>
      <c r="D57" s="117" t="s">
        <v>341</v>
      </c>
      <c r="E57" s="130">
        <v>1.4375</v>
      </c>
      <c r="F57" s="117" t="s">
        <v>63</v>
      </c>
      <c r="G57" s="119">
        <v>5</v>
      </c>
      <c r="H57" s="120" t="s">
        <v>365</v>
      </c>
    </row>
    <row r="58" spans="1:8" ht="19.899999999999999" customHeight="1">
      <c r="A58" s="121">
        <v>46028</v>
      </c>
      <c r="B58" s="112" t="s">
        <v>402</v>
      </c>
      <c r="C58" s="113" t="s">
        <v>403</v>
      </c>
      <c r="D58" s="112" t="s">
        <v>341</v>
      </c>
      <c r="E58" s="122">
        <v>1.493055555555556</v>
      </c>
      <c r="F58" s="112" t="s">
        <v>63</v>
      </c>
      <c r="G58" s="114">
        <v>5</v>
      </c>
      <c r="H58" s="115" t="s">
        <v>404</v>
      </c>
    </row>
    <row r="59" spans="1:8" ht="19.899999999999999" customHeight="1">
      <c r="A59" s="129">
        <v>46028</v>
      </c>
      <c r="B59" s="117" t="s">
        <v>61</v>
      </c>
      <c r="C59" s="118" t="s">
        <v>379</v>
      </c>
      <c r="D59" s="117" t="s">
        <v>341</v>
      </c>
      <c r="E59" s="130">
        <v>1.381944444444444</v>
      </c>
      <c r="F59" s="117" t="s">
        <v>63</v>
      </c>
      <c r="G59" s="119">
        <v>7</v>
      </c>
      <c r="H59" s="120" t="s">
        <v>79</v>
      </c>
    </row>
    <row r="60" spans="1:8" ht="19.899999999999999" customHeight="1">
      <c r="A60" s="121">
        <v>46028</v>
      </c>
      <c r="B60" s="112" t="s">
        <v>48</v>
      </c>
      <c r="C60" s="113" t="s">
        <v>388</v>
      </c>
      <c r="D60" s="112" t="s">
        <v>341</v>
      </c>
      <c r="E60" s="122">
        <v>1.7222222222222221</v>
      </c>
      <c r="F60" s="112" t="s">
        <v>50</v>
      </c>
      <c r="G60" s="114">
        <v>9</v>
      </c>
      <c r="H60" s="115" t="s">
        <v>79</v>
      </c>
    </row>
    <row r="61" spans="1:8" ht="19.899999999999999" customHeight="1">
      <c r="A61" s="123">
        <v>46028</v>
      </c>
      <c r="B61" s="124" t="s">
        <v>48</v>
      </c>
      <c r="C61" s="125" t="s">
        <v>390</v>
      </c>
      <c r="D61" s="124" t="s">
        <v>341</v>
      </c>
      <c r="E61" s="126">
        <v>1.041666666666667</v>
      </c>
      <c r="F61" s="124" t="s">
        <v>50</v>
      </c>
      <c r="G61" s="127">
        <v>9</v>
      </c>
      <c r="H61" s="128" t="s">
        <v>79</v>
      </c>
    </row>
    <row r="62" spans="1:8" ht="19.899999999999999" customHeight="1">
      <c r="A62" s="129">
        <v>46029</v>
      </c>
      <c r="B62" s="117" t="s">
        <v>61</v>
      </c>
      <c r="C62" s="118" t="s">
        <v>364</v>
      </c>
      <c r="D62" s="117" t="s">
        <v>341</v>
      </c>
      <c r="E62" s="130">
        <v>1.2326388888888891</v>
      </c>
      <c r="F62" s="117" t="s">
        <v>63</v>
      </c>
      <c r="G62" s="119">
        <v>1</v>
      </c>
      <c r="H62" s="120" t="s">
        <v>365</v>
      </c>
    </row>
    <row r="63" spans="1:8" ht="19.899999999999999" customHeight="1">
      <c r="A63" s="129">
        <v>46029</v>
      </c>
      <c r="B63" s="117" t="s">
        <v>61</v>
      </c>
      <c r="C63" s="118" t="s">
        <v>432</v>
      </c>
      <c r="D63" s="117" t="s">
        <v>341</v>
      </c>
      <c r="E63" s="130">
        <v>1.34375</v>
      </c>
      <c r="F63" s="117" t="s">
        <v>63</v>
      </c>
      <c r="G63" s="119">
        <v>5</v>
      </c>
      <c r="H63" s="120" t="s">
        <v>365</v>
      </c>
    </row>
    <row r="64" spans="1:8" ht="19.899999999999999" customHeight="1">
      <c r="A64" s="129">
        <v>46029</v>
      </c>
      <c r="B64" s="117" t="s">
        <v>61</v>
      </c>
      <c r="C64" s="118" t="s">
        <v>428</v>
      </c>
      <c r="D64" s="117" t="s">
        <v>341</v>
      </c>
      <c r="E64" s="130">
        <v>1.9375</v>
      </c>
      <c r="F64" s="117" t="s">
        <v>63</v>
      </c>
      <c r="G64" s="119">
        <v>4</v>
      </c>
      <c r="H64" s="120" t="s">
        <v>365</v>
      </c>
    </row>
    <row r="65" spans="1:8" ht="19.899999999999999" customHeight="1">
      <c r="A65" s="129">
        <v>46029</v>
      </c>
      <c r="B65" s="117" t="s">
        <v>61</v>
      </c>
      <c r="C65" s="118" t="s">
        <v>375</v>
      </c>
      <c r="D65" s="117" t="s">
        <v>341</v>
      </c>
      <c r="E65" s="130">
        <v>1.3402777777777779</v>
      </c>
      <c r="F65" s="117" t="s">
        <v>63</v>
      </c>
      <c r="G65" s="119">
        <v>4</v>
      </c>
      <c r="H65" s="120" t="s">
        <v>365</v>
      </c>
    </row>
    <row r="66" spans="1:8" ht="19.899999999999999" customHeight="1">
      <c r="A66" s="136">
        <v>46029</v>
      </c>
      <c r="B66" s="132" t="s">
        <v>61</v>
      </c>
      <c r="C66" s="133" t="s">
        <v>377</v>
      </c>
      <c r="D66" s="132" t="s">
        <v>341</v>
      </c>
      <c r="E66" s="137">
        <v>1.4375</v>
      </c>
      <c r="F66" s="132" t="s">
        <v>63</v>
      </c>
      <c r="G66" s="134">
        <v>3</v>
      </c>
      <c r="H66" s="135" t="s">
        <v>365</v>
      </c>
    </row>
    <row r="67" spans="1:8" ht="19.899999999999999" customHeight="1">
      <c r="A67" s="129">
        <v>46030</v>
      </c>
      <c r="B67" s="117" t="s">
        <v>61</v>
      </c>
      <c r="C67" s="118" t="s">
        <v>364</v>
      </c>
      <c r="D67" s="117" t="s">
        <v>341</v>
      </c>
      <c r="E67" s="130">
        <v>1.9375</v>
      </c>
      <c r="F67" s="117" t="s">
        <v>63</v>
      </c>
      <c r="G67" s="119">
        <v>6</v>
      </c>
      <c r="H67" s="120" t="s">
        <v>365</v>
      </c>
    </row>
    <row r="68" spans="1:8" ht="19.899999999999999" customHeight="1">
      <c r="A68" s="129">
        <v>46030</v>
      </c>
      <c r="B68" s="117" t="s">
        <v>61</v>
      </c>
      <c r="C68" s="118" t="s">
        <v>371</v>
      </c>
      <c r="D68" s="117" t="s">
        <v>341</v>
      </c>
      <c r="E68" s="130">
        <v>1.0659722222222221</v>
      </c>
      <c r="F68" s="117" t="s">
        <v>63</v>
      </c>
      <c r="G68" s="119">
        <v>6</v>
      </c>
      <c r="H68" s="120" t="s">
        <v>365</v>
      </c>
    </row>
    <row r="69" spans="1:8" ht="19.899999999999999" customHeight="1">
      <c r="A69" s="129">
        <v>46030</v>
      </c>
      <c r="B69" s="117" t="s">
        <v>61</v>
      </c>
      <c r="C69" s="118" t="s">
        <v>375</v>
      </c>
      <c r="D69" s="117" t="s">
        <v>341</v>
      </c>
      <c r="E69" s="130">
        <v>1.15625</v>
      </c>
      <c r="F69" s="117" t="s">
        <v>63</v>
      </c>
      <c r="G69" s="119">
        <v>6</v>
      </c>
      <c r="H69" s="120" t="s">
        <v>365</v>
      </c>
    </row>
    <row r="70" spans="1:8" ht="19.899999999999999" customHeight="1">
      <c r="A70" s="129">
        <v>46030</v>
      </c>
      <c r="B70" s="117" t="s">
        <v>61</v>
      </c>
      <c r="C70" s="118" t="s">
        <v>377</v>
      </c>
      <c r="D70" s="117" t="s">
        <v>341</v>
      </c>
      <c r="E70" s="130">
        <v>1.40625</v>
      </c>
      <c r="F70" s="117" t="s">
        <v>63</v>
      </c>
      <c r="G70" s="119">
        <v>3</v>
      </c>
      <c r="H70" s="120" t="s">
        <v>365</v>
      </c>
    </row>
    <row r="71" spans="1:8" ht="19.899999999999999" customHeight="1">
      <c r="A71" s="129">
        <v>46030</v>
      </c>
      <c r="B71" s="117" t="s">
        <v>61</v>
      </c>
      <c r="C71" s="118" t="s">
        <v>379</v>
      </c>
      <c r="D71" s="117" t="s">
        <v>341</v>
      </c>
      <c r="E71" s="130">
        <v>1.5625</v>
      </c>
      <c r="F71" s="117" t="s">
        <v>63</v>
      </c>
      <c r="G71" s="119">
        <v>1</v>
      </c>
      <c r="H71" s="120" t="s">
        <v>365</v>
      </c>
    </row>
    <row r="72" spans="1:8" ht="19.899999999999999" customHeight="1">
      <c r="A72" s="121">
        <v>46030</v>
      </c>
      <c r="B72" s="112" t="s">
        <v>402</v>
      </c>
      <c r="C72" s="113" t="s">
        <v>403</v>
      </c>
      <c r="D72" s="112" t="s">
        <v>341</v>
      </c>
      <c r="E72" s="122">
        <v>1.493055555555556</v>
      </c>
      <c r="F72" s="112" t="s">
        <v>63</v>
      </c>
      <c r="G72" s="114">
        <v>5</v>
      </c>
      <c r="H72" s="115" t="s">
        <v>404</v>
      </c>
    </row>
    <row r="73" spans="1:8" ht="19.899999999999999" customHeight="1">
      <c r="A73" s="136">
        <v>46030</v>
      </c>
      <c r="B73" s="132" t="s">
        <v>61</v>
      </c>
      <c r="C73" s="133" t="s">
        <v>369</v>
      </c>
      <c r="D73" s="132" t="s">
        <v>341</v>
      </c>
      <c r="E73" s="137">
        <v>1.1875</v>
      </c>
      <c r="F73" s="132" t="s">
        <v>63</v>
      </c>
      <c r="G73" s="134">
        <v>9</v>
      </c>
      <c r="H73" s="135" t="s">
        <v>79</v>
      </c>
    </row>
    <row r="74" spans="1:8" ht="19.899999999999999" customHeight="1">
      <c r="A74" s="129">
        <v>46031</v>
      </c>
      <c r="B74" s="117" t="s">
        <v>61</v>
      </c>
      <c r="C74" s="118" t="s">
        <v>428</v>
      </c>
      <c r="D74" s="117" t="s">
        <v>341</v>
      </c>
      <c r="E74" s="130">
        <v>1.5590277777777779</v>
      </c>
      <c r="F74" s="117" t="s">
        <v>63</v>
      </c>
      <c r="G74" s="119">
        <v>1</v>
      </c>
      <c r="H74" s="120" t="s">
        <v>365</v>
      </c>
    </row>
    <row r="75" spans="1:8" ht="19.899999999999999" customHeight="1">
      <c r="A75" s="129">
        <v>46031</v>
      </c>
      <c r="B75" s="117" t="s">
        <v>61</v>
      </c>
      <c r="C75" s="118" t="s">
        <v>375</v>
      </c>
      <c r="D75" s="117" t="s">
        <v>341</v>
      </c>
      <c r="E75" s="130">
        <v>1.1423611111111109</v>
      </c>
      <c r="F75" s="117" t="s">
        <v>63</v>
      </c>
      <c r="G75" s="119">
        <v>3</v>
      </c>
      <c r="H75" s="120" t="s">
        <v>365</v>
      </c>
    </row>
    <row r="76" spans="1:8" ht="19.899999999999999" customHeight="1">
      <c r="A76" s="129">
        <v>46031</v>
      </c>
      <c r="B76" s="117" t="s">
        <v>61</v>
      </c>
      <c r="C76" s="118" t="s">
        <v>377</v>
      </c>
      <c r="D76" s="117" t="s">
        <v>341</v>
      </c>
      <c r="E76" s="130">
        <v>1.28125</v>
      </c>
      <c r="F76" s="117" t="s">
        <v>63</v>
      </c>
      <c r="G76" s="119">
        <v>6</v>
      </c>
      <c r="H76" s="120" t="s">
        <v>365</v>
      </c>
    </row>
    <row r="77" spans="1:8" ht="19.899999999999999" customHeight="1">
      <c r="A77" s="129">
        <v>46031</v>
      </c>
      <c r="B77" s="117" t="s">
        <v>61</v>
      </c>
      <c r="C77" s="118" t="s">
        <v>379</v>
      </c>
      <c r="D77" s="117" t="s">
        <v>341</v>
      </c>
      <c r="E77" s="130">
        <v>1.4375</v>
      </c>
      <c r="F77" s="117" t="s">
        <v>63</v>
      </c>
      <c r="G77" s="119">
        <v>3</v>
      </c>
      <c r="H77" s="120" t="s">
        <v>365</v>
      </c>
    </row>
    <row r="78" spans="1:8" ht="19.899999999999999" customHeight="1">
      <c r="A78" s="121">
        <v>46031</v>
      </c>
      <c r="B78" s="112" t="s">
        <v>402</v>
      </c>
      <c r="C78" s="113" t="s">
        <v>403</v>
      </c>
      <c r="D78" s="112" t="s">
        <v>341</v>
      </c>
      <c r="E78" s="122">
        <v>1.493055555555556</v>
      </c>
      <c r="F78" s="112" t="s">
        <v>63</v>
      </c>
      <c r="G78" s="114">
        <v>5</v>
      </c>
      <c r="H78" s="115" t="s">
        <v>404</v>
      </c>
    </row>
    <row r="79" spans="1:8" ht="19.899999999999999" customHeight="1">
      <c r="A79" s="129">
        <v>46031</v>
      </c>
      <c r="B79" s="117" t="s">
        <v>61</v>
      </c>
      <c r="C79" s="118" t="s">
        <v>432</v>
      </c>
      <c r="D79" s="117" t="s">
        <v>341</v>
      </c>
      <c r="E79" s="130">
        <v>1.760416666666667</v>
      </c>
      <c r="F79" s="117" t="s">
        <v>63</v>
      </c>
      <c r="G79" s="119">
        <v>7</v>
      </c>
      <c r="H79" s="120" t="s">
        <v>79</v>
      </c>
    </row>
    <row r="80" spans="1:8" ht="19.899999999999999" customHeight="1">
      <c r="A80" s="121">
        <v>46031</v>
      </c>
      <c r="B80" s="112" t="s">
        <v>48</v>
      </c>
      <c r="C80" s="113" t="s">
        <v>391</v>
      </c>
      <c r="D80" s="112" t="s">
        <v>341</v>
      </c>
      <c r="E80" s="122">
        <v>1.489583333333333</v>
      </c>
      <c r="F80" s="112" t="s">
        <v>50</v>
      </c>
      <c r="G80" s="114">
        <v>9</v>
      </c>
      <c r="H80" s="115" t="s">
        <v>79</v>
      </c>
    </row>
    <row r="81" spans="1:8" ht="19.899999999999999" customHeight="1">
      <c r="A81" s="121">
        <v>46031</v>
      </c>
      <c r="B81" s="112" t="s">
        <v>48</v>
      </c>
      <c r="C81" s="113" t="s">
        <v>386</v>
      </c>
      <c r="D81" s="112" t="s">
        <v>341</v>
      </c>
      <c r="E81" s="122">
        <v>1.8298611111111109</v>
      </c>
      <c r="F81" s="112" t="s">
        <v>50</v>
      </c>
      <c r="G81" s="114">
        <v>9</v>
      </c>
      <c r="H81" s="115" t="s">
        <v>79</v>
      </c>
    </row>
    <row r="82" spans="1:8" ht="19.899999999999999" customHeight="1">
      <c r="A82" s="121">
        <v>46031</v>
      </c>
      <c r="B82" s="112" t="s">
        <v>48</v>
      </c>
      <c r="C82" s="113" t="s">
        <v>388</v>
      </c>
      <c r="D82" s="112" t="s">
        <v>341</v>
      </c>
      <c r="E82" s="122">
        <v>1.7222222222222221</v>
      </c>
      <c r="F82" s="112" t="s">
        <v>50</v>
      </c>
      <c r="G82" s="114">
        <v>9</v>
      </c>
      <c r="H82" s="115" t="s">
        <v>79</v>
      </c>
    </row>
    <row r="83" spans="1:8" ht="19.899999999999999" customHeight="1">
      <c r="A83" s="121">
        <v>46031</v>
      </c>
      <c r="B83" s="112" t="s">
        <v>48</v>
      </c>
      <c r="C83" s="113" t="s">
        <v>389</v>
      </c>
      <c r="D83" s="112" t="s">
        <v>341</v>
      </c>
      <c r="E83" s="122">
        <v>1.7013888888888891</v>
      </c>
      <c r="F83" s="112" t="s">
        <v>50</v>
      </c>
      <c r="G83" s="114">
        <v>8</v>
      </c>
      <c r="H83" s="115" t="s">
        <v>79</v>
      </c>
    </row>
    <row r="84" spans="1:8" ht="19.899999999999999" customHeight="1">
      <c r="A84" s="121">
        <v>46031</v>
      </c>
      <c r="B84" s="112" t="s">
        <v>48</v>
      </c>
      <c r="C84" s="113" t="s">
        <v>385</v>
      </c>
      <c r="D84" s="112" t="s">
        <v>341</v>
      </c>
      <c r="E84" s="122">
        <v>1.9409722222222221</v>
      </c>
      <c r="F84" s="112" t="s">
        <v>50</v>
      </c>
      <c r="G84" s="114">
        <v>9</v>
      </c>
      <c r="H84" s="115" t="s">
        <v>79</v>
      </c>
    </row>
    <row r="85" spans="1:8" ht="19.899999999999999" customHeight="1">
      <c r="A85" s="123">
        <v>46031</v>
      </c>
      <c r="B85" s="124" t="s">
        <v>26</v>
      </c>
      <c r="C85" s="125" t="s">
        <v>351</v>
      </c>
      <c r="D85" s="124" t="s">
        <v>341</v>
      </c>
      <c r="E85" s="126">
        <v>1.836805555555556</v>
      </c>
      <c r="F85" s="124" t="s">
        <v>28</v>
      </c>
      <c r="G85" s="127">
        <v>5</v>
      </c>
      <c r="H85" s="128" t="s">
        <v>79</v>
      </c>
    </row>
    <row r="86" spans="1:8" ht="19.899999999999999" customHeight="1">
      <c r="A86" s="129">
        <v>46032</v>
      </c>
      <c r="B86" s="117" t="s">
        <v>61</v>
      </c>
      <c r="C86" s="118" t="s">
        <v>371</v>
      </c>
      <c r="D86" s="117" t="s">
        <v>341</v>
      </c>
      <c r="E86" s="130">
        <v>1.0486111111111109</v>
      </c>
      <c r="F86" s="117" t="s">
        <v>63</v>
      </c>
      <c r="G86" s="119">
        <v>3</v>
      </c>
      <c r="H86" s="120" t="s">
        <v>365</v>
      </c>
    </row>
    <row r="87" spans="1:8" ht="19.899999999999999" customHeight="1">
      <c r="A87" s="129">
        <v>46032</v>
      </c>
      <c r="B87" s="117" t="s">
        <v>61</v>
      </c>
      <c r="C87" s="118" t="s">
        <v>375</v>
      </c>
      <c r="D87" s="117" t="s">
        <v>341</v>
      </c>
      <c r="E87" s="130">
        <v>1.15625</v>
      </c>
      <c r="F87" s="117" t="s">
        <v>63</v>
      </c>
      <c r="G87" s="119">
        <v>4</v>
      </c>
      <c r="H87" s="120" t="s">
        <v>365</v>
      </c>
    </row>
    <row r="88" spans="1:8" ht="19.899999999999999" customHeight="1">
      <c r="A88" s="129">
        <v>46032</v>
      </c>
      <c r="B88" s="117" t="s">
        <v>61</v>
      </c>
      <c r="C88" s="118" t="s">
        <v>377</v>
      </c>
      <c r="D88" s="117" t="s">
        <v>341</v>
      </c>
      <c r="E88" s="130">
        <v>1.5034722222222221</v>
      </c>
      <c r="F88" s="117" t="s">
        <v>63</v>
      </c>
      <c r="G88" s="119">
        <v>1</v>
      </c>
      <c r="H88" s="120" t="s">
        <v>365</v>
      </c>
    </row>
    <row r="89" spans="1:8" ht="19.899999999999999" customHeight="1">
      <c r="A89" s="121">
        <v>46032</v>
      </c>
      <c r="B89" s="112" t="s">
        <v>402</v>
      </c>
      <c r="C89" s="113" t="s">
        <v>403</v>
      </c>
      <c r="D89" s="112" t="s">
        <v>341</v>
      </c>
      <c r="E89" s="122">
        <v>1.493055555555556</v>
      </c>
      <c r="F89" s="112" t="s">
        <v>63</v>
      </c>
      <c r="G89" s="114">
        <v>5</v>
      </c>
      <c r="H89" s="115" t="s">
        <v>404</v>
      </c>
    </row>
    <row r="90" spans="1:8" ht="19.899999999999999" customHeight="1">
      <c r="A90" s="129">
        <v>46032</v>
      </c>
      <c r="B90" s="117" t="s">
        <v>61</v>
      </c>
      <c r="C90" s="118" t="s">
        <v>364</v>
      </c>
      <c r="D90" s="117" t="s">
        <v>341</v>
      </c>
      <c r="E90" s="130">
        <v>1.90625</v>
      </c>
      <c r="F90" s="117" t="s">
        <v>63</v>
      </c>
      <c r="G90" s="119">
        <v>7</v>
      </c>
      <c r="H90" s="120" t="s">
        <v>79</v>
      </c>
    </row>
    <row r="91" spans="1:8" ht="19.899999999999999" customHeight="1">
      <c r="A91" s="121">
        <v>46032</v>
      </c>
      <c r="B91" s="112" t="s">
        <v>48</v>
      </c>
      <c r="C91" s="113" t="s">
        <v>385</v>
      </c>
      <c r="D91" s="112" t="s">
        <v>341</v>
      </c>
      <c r="E91" s="122">
        <v>1.9409722222222221</v>
      </c>
      <c r="F91" s="112" t="s">
        <v>50</v>
      </c>
      <c r="G91" s="114">
        <v>8</v>
      </c>
      <c r="H91" s="115" t="s">
        <v>79</v>
      </c>
    </row>
    <row r="92" spans="1:8" ht="19.899999999999999" customHeight="1">
      <c r="A92" s="121">
        <v>46032</v>
      </c>
      <c r="B92" s="112" t="s">
        <v>26</v>
      </c>
      <c r="C92" s="113" t="s">
        <v>350</v>
      </c>
      <c r="D92" s="112" t="s">
        <v>341</v>
      </c>
      <c r="E92" s="122">
        <v>1.7361111111111109</v>
      </c>
      <c r="F92" s="112" t="s">
        <v>28</v>
      </c>
      <c r="G92" s="114">
        <v>5</v>
      </c>
      <c r="H92" s="115" t="s">
        <v>79</v>
      </c>
    </row>
    <row r="93" spans="1:8" ht="19.899999999999999" customHeight="1">
      <c r="A93" s="121">
        <v>46032</v>
      </c>
      <c r="B93" s="112" t="s">
        <v>26</v>
      </c>
      <c r="C93" s="113" t="s">
        <v>351</v>
      </c>
      <c r="D93" s="112" t="s">
        <v>341</v>
      </c>
      <c r="E93" s="122">
        <v>1.836805555555556</v>
      </c>
      <c r="F93" s="112" t="s">
        <v>28</v>
      </c>
      <c r="G93" s="114">
        <v>5</v>
      </c>
      <c r="H93" s="115" t="s">
        <v>79</v>
      </c>
    </row>
    <row r="94" spans="1:8" ht="19.899999999999999" customHeight="1">
      <c r="A94" s="123">
        <v>46032</v>
      </c>
      <c r="B94" s="124" t="s">
        <v>26</v>
      </c>
      <c r="C94" s="125" t="s">
        <v>356</v>
      </c>
      <c r="D94" s="124" t="s">
        <v>341</v>
      </c>
      <c r="E94" s="126">
        <v>1.4861111111111109</v>
      </c>
      <c r="F94" s="124" t="s">
        <v>28</v>
      </c>
      <c r="G94" s="127">
        <v>5</v>
      </c>
      <c r="H94" s="128" t="s">
        <v>79</v>
      </c>
    </row>
    <row r="95" spans="1:8" ht="19.899999999999999" customHeight="1">
      <c r="A95" s="129">
        <v>46033</v>
      </c>
      <c r="B95" s="117" t="s">
        <v>61</v>
      </c>
      <c r="C95" s="118" t="s">
        <v>432</v>
      </c>
      <c r="D95" s="117" t="s">
        <v>341</v>
      </c>
      <c r="E95" s="130">
        <v>1.333333333333333</v>
      </c>
      <c r="F95" s="117" t="s">
        <v>63</v>
      </c>
      <c r="G95" s="119">
        <v>5</v>
      </c>
      <c r="H95" s="120" t="s">
        <v>365</v>
      </c>
    </row>
    <row r="96" spans="1:8" ht="19.899999999999999" customHeight="1">
      <c r="A96" s="129">
        <v>46033</v>
      </c>
      <c r="B96" s="117" t="s">
        <v>61</v>
      </c>
      <c r="C96" s="118" t="s">
        <v>375</v>
      </c>
      <c r="D96" s="117" t="s">
        <v>341</v>
      </c>
      <c r="E96" s="130">
        <v>1.1423611111111109</v>
      </c>
      <c r="F96" s="117" t="s">
        <v>63</v>
      </c>
      <c r="G96" s="119">
        <v>3</v>
      </c>
      <c r="H96" s="120" t="s">
        <v>365</v>
      </c>
    </row>
    <row r="97" spans="1:8" ht="19.899999999999999" customHeight="1">
      <c r="A97" s="129">
        <v>46033</v>
      </c>
      <c r="B97" s="117" t="s">
        <v>61</v>
      </c>
      <c r="C97" s="118" t="s">
        <v>377</v>
      </c>
      <c r="D97" s="117" t="s">
        <v>341</v>
      </c>
      <c r="E97" s="130">
        <v>1.4548611111111109</v>
      </c>
      <c r="F97" s="117" t="s">
        <v>63</v>
      </c>
      <c r="G97" s="119">
        <v>5</v>
      </c>
      <c r="H97" s="120" t="s">
        <v>365</v>
      </c>
    </row>
    <row r="98" spans="1:8" ht="19.899999999999999" customHeight="1">
      <c r="A98" s="129">
        <v>46033</v>
      </c>
      <c r="B98" s="117" t="s">
        <v>61</v>
      </c>
      <c r="C98" s="118" t="s">
        <v>379</v>
      </c>
      <c r="D98" s="117" t="s">
        <v>341</v>
      </c>
      <c r="E98" s="130">
        <v>1.8298611111111109</v>
      </c>
      <c r="F98" s="117" t="s">
        <v>63</v>
      </c>
      <c r="G98" s="119">
        <v>3</v>
      </c>
      <c r="H98" s="120" t="s">
        <v>365</v>
      </c>
    </row>
    <row r="99" spans="1:8" ht="19.899999999999999" customHeight="1">
      <c r="A99" s="121">
        <v>46033</v>
      </c>
      <c r="B99" s="112" t="s">
        <v>402</v>
      </c>
      <c r="C99" s="113" t="s">
        <v>403</v>
      </c>
      <c r="D99" s="112" t="s">
        <v>341</v>
      </c>
      <c r="E99" s="122">
        <v>1.493055555555556</v>
      </c>
      <c r="F99" s="112" t="s">
        <v>63</v>
      </c>
      <c r="G99" s="114">
        <v>5</v>
      </c>
      <c r="H99" s="115" t="s">
        <v>404</v>
      </c>
    </row>
    <row r="100" spans="1:8" ht="19.899999999999999" customHeight="1">
      <c r="A100" s="121">
        <v>46033</v>
      </c>
      <c r="B100" s="112" t="s">
        <v>402</v>
      </c>
      <c r="C100" s="113" t="s">
        <v>465</v>
      </c>
      <c r="D100" s="112" t="s">
        <v>341</v>
      </c>
      <c r="E100" s="122">
        <v>1.2048611111111109</v>
      </c>
      <c r="F100" s="112" t="s">
        <v>63</v>
      </c>
      <c r="G100" s="114">
        <v>5</v>
      </c>
      <c r="H100" s="115" t="s">
        <v>404</v>
      </c>
    </row>
    <row r="101" spans="1:8" ht="19.899999999999999" customHeight="1">
      <c r="A101" s="129">
        <v>46033</v>
      </c>
      <c r="B101" s="117" t="s">
        <v>61</v>
      </c>
      <c r="C101" s="118" t="s">
        <v>369</v>
      </c>
      <c r="D101" s="117" t="s">
        <v>341</v>
      </c>
      <c r="E101" s="130">
        <v>1.15625</v>
      </c>
      <c r="F101" s="117" t="s">
        <v>63</v>
      </c>
      <c r="G101" s="119">
        <v>9</v>
      </c>
      <c r="H101" s="120" t="s">
        <v>79</v>
      </c>
    </row>
    <row r="102" spans="1:8" ht="19.899999999999999" customHeight="1">
      <c r="A102" s="121">
        <v>46033</v>
      </c>
      <c r="B102" s="112" t="s">
        <v>48</v>
      </c>
      <c r="C102" s="113" t="s">
        <v>388</v>
      </c>
      <c r="D102" s="112" t="s">
        <v>341</v>
      </c>
      <c r="E102" s="122">
        <v>1.7222222222222221</v>
      </c>
      <c r="F102" s="112" t="s">
        <v>50</v>
      </c>
      <c r="G102" s="114">
        <v>9</v>
      </c>
      <c r="H102" s="115" t="s">
        <v>79</v>
      </c>
    </row>
    <row r="103" spans="1:8" ht="19.899999999999999" customHeight="1">
      <c r="A103" s="121">
        <v>46033</v>
      </c>
      <c r="B103" s="112" t="s">
        <v>48</v>
      </c>
      <c r="C103" s="113" t="s">
        <v>390</v>
      </c>
      <c r="D103" s="112" t="s">
        <v>341</v>
      </c>
      <c r="E103" s="122">
        <v>1.041666666666667</v>
      </c>
      <c r="F103" s="112" t="s">
        <v>50</v>
      </c>
      <c r="G103" s="114">
        <v>9</v>
      </c>
      <c r="H103" s="115" t="s">
        <v>79</v>
      </c>
    </row>
    <row r="104" spans="1:8" ht="19.899999999999999" customHeight="1">
      <c r="A104" s="123">
        <v>46033</v>
      </c>
      <c r="B104" s="124" t="s">
        <v>26</v>
      </c>
      <c r="C104" s="125" t="s">
        <v>356</v>
      </c>
      <c r="D104" s="124" t="s">
        <v>341</v>
      </c>
      <c r="E104" s="126">
        <v>1.4861111111111109</v>
      </c>
      <c r="F104" s="124" t="s">
        <v>28</v>
      </c>
      <c r="G104" s="127">
        <v>3</v>
      </c>
      <c r="H104" s="128" t="s">
        <v>79</v>
      </c>
    </row>
    <row r="105" spans="1:8" ht="19.899999999999999" customHeight="1">
      <c r="A105" s="129">
        <v>46034</v>
      </c>
      <c r="B105" s="117" t="s">
        <v>61</v>
      </c>
      <c r="C105" s="118" t="s">
        <v>432</v>
      </c>
      <c r="D105" s="117" t="s">
        <v>341</v>
      </c>
      <c r="E105" s="130">
        <v>1.802083333333333</v>
      </c>
      <c r="F105" s="117" t="s">
        <v>63</v>
      </c>
      <c r="G105" s="119">
        <v>5</v>
      </c>
      <c r="H105" s="120" t="s">
        <v>365</v>
      </c>
    </row>
    <row r="106" spans="1:8" ht="19.899999999999999" customHeight="1">
      <c r="A106" s="129">
        <v>46034</v>
      </c>
      <c r="B106" s="117" t="s">
        <v>61</v>
      </c>
      <c r="C106" s="118" t="s">
        <v>375</v>
      </c>
      <c r="D106" s="117" t="s">
        <v>341</v>
      </c>
      <c r="E106" s="130">
        <v>1.2465277777777779</v>
      </c>
      <c r="F106" s="117" t="s">
        <v>63</v>
      </c>
      <c r="G106" s="119">
        <v>4</v>
      </c>
      <c r="H106" s="120" t="s">
        <v>365</v>
      </c>
    </row>
    <row r="107" spans="1:8" ht="19.899999999999999" customHeight="1">
      <c r="A107" s="136">
        <v>46034</v>
      </c>
      <c r="B107" s="132" t="s">
        <v>61</v>
      </c>
      <c r="C107" s="133" t="s">
        <v>377</v>
      </c>
      <c r="D107" s="132" t="s">
        <v>341</v>
      </c>
      <c r="E107" s="137">
        <v>1.4375</v>
      </c>
      <c r="F107" s="132" t="s">
        <v>63</v>
      </c>
      <c r="G107" s="134">
        <v>4</v>
      </c>
      <c r="H107" s="135" t="s">
        <v>365</v>
      </c>
    </row>
    <row r="108" spans="1:8" ht="19.899999999999999" customHeight="1">
      <c r="A108" s="129">
        <v>46035</v>
      </c>
      <c r="B108" s="117" t="s">
        <v>61</v>
      </c>
      <c r="C108" s="118" t="s">
        <v>432</v>
      </c>
      <c r="D108" s="117" t="s">
        <v>341</v>
      </c>
      <c r="E108" s="130">
        <v>1.552083333333333</v>
      </c>
      <c r="F108" s="117" t="s">
        <v>63</v>
      </c>
      <c r="G108" s="119">
        <v>6</v>
      </c>
      <c r="H108" s="120" t="s">
        <v>365</v>
      </c>
    </row>
    <row r="109" spans="1:8" ht="19.899999999999999" customHeight="1">
      <c r="A109" s="129">
        <v>46035</v>
      </c>
      <c r="B109" s="117" t="s">
        <v>61</v>
      </c>
      <c r="C109" s="118" t="s">
        <v>428</v>
      </c>
      <c r="D109" s="117" t="s">
        <v>341</v>
      </c>
      <c r="E109" s="130">
        <v>1.052083333333333</v>
      </c>
      <c r="F109" s="117" t="s">
        <v>63</v>
      </c>
      <c r="G109" s="119">
        <v>6</v>
      </c>
      <c r="H109" s="120" t="s">
        <v>365</v>
      </c>
    </row>
    <row r="110" spans="1:8" ht="19.899999999999999" customHeight="1">
      <c r="A110" s="129">
        <v>46035</v>
      </c>
      <c r="B110" s="117" t="s">
        <v>61</v>
      </c>
      <c r="C110" s="118" t="s">
        <v>375</v>
      </c>
      <c r="D110" s="117" t="s">
        <v>341</v>
      </c>
      <c r="E110" s="130">
        <v>1.791666666666667</v>
      </c>
      <c r="F110" s="117" t="s">
        <v>63</v>
      </c>
      <c r="G110" s="119">
        <v>3</v>
      </c>
      <c r="H110" s="120" t="s">
        <v>365</v>
      </c>
    </row>
    <row r="111" spans="1:8" ht="19.899999999999999" customHeight="1">
      <c r="A111" s="129">
        <v>46035</v>
      </c>
      <c r="B111" s="117" t="s">
        <v>61</v>
      </c>
      <c r="C111" s="118" t="s">
        <v>377</v>
      </c>
      <c r="D111" s="117" t="s">
        <v>341</v>
      </c>
      <c r="E111" s="130">
        <v>1.4375</v>
      </c>
      <c r="F111" s="117" t="s">
        <v>63</v>
      </c>
      <c r="G111" s="119">
        <v>2</v>
      </c>
      <c r="H111" s="120" t="s">
        <v>365</v>
      </c>
    </row>
    <row r="112" spans="1:8" ht="19.899999999999999" customHeight="1">
      <c r="A112" s="129">
        <v>46035</v>
      </c>
      <c r="B112" s="117" t="s">
        <v>61</v>
      </c>
      <c r="C112" s="118" t="s">
        <v>379</v>
      </c>
      <c r="D112" s="117" t="s">
        <v>341</v>
      </c>
      <c r="E112" s="130">
        <v>1.381944444444444</v>
      </c>
      <c r="F112" s="117" t="s">
        <v>63</v>
      </c>
      <c r="G112" s="119">
        <v>6</v>
      </c>
      <c r="H112" s="120" t="s">
        <v>365</v>
      </c>
    </row>
    <row r="113" spans="1:8" ht="19.899999999999999" customHeight="1">
      <c r="A113" s="121">
        <v>46035</v>
      </c>
      <c r="B113" s="112" t="s">
        <v>402</v>
      </c>
      <c r="C113" s="113" t="s">
        <v>403</v>
      </c>
      <c r="D113" s="112" t="s">
        <v>341</v>
      </c>
      <c r="E113" s="122">
        <v>1.493055555555556</v>
      </c>
      <c r="F113" s="112" t="s">
        <v>63</v>
      </c>
      <c r="G113" s="114">
        <v>5</v>
      </c>
      <c r="H113" s="115" t="s">
        <v>404</v>
      </c>
    </row>
    <row r="114" spans="1:8" ht="19.899999999999999" customHeight="1">
      <c r="A114" s="129">
        <v>46035</v>
      </c>
      <c r="B114" s="117" t="s">
        <v>61</v>
      </c>
      <c r="C114" s="118" t="s">
        <v>364</v>
      </c>
      <c r="D114" s="117" t="s">
        <v>341</v>
      </c>
      <c r="E114" s="130">
        <v>1.756944444444444</v>
      </c>
      <c r="F114" s="117" t="s">
        <v>63</v>
      </c>
      <c r="G114" s="119">
        <v>7</v>
      </c>
      <c r="H114" s="120" t="s">
        <v>79</v>
      </c>
    </row>
    <row r="115" spans="1:8" ht="19.899999999999999" customHeight="1">
      <c r="A115" s="123">
        <v>46035</v>
      </c>
      <c r="B115" s="124" t="s">
        <v>48</v>
      </c>
      <c r="C115" s="125" t="s">
        <v>388</v>
      </c>
      <c r="D115" s="124" t="s">
        <v>341</v>
      </c>
      <c r="E115" s="126">
        <v>1.7222222222222221</v>
      </c>
      <c r="F115" s="124" t="s">
        <v>50</v>
      </c>
      <c r="G115" s="127">
        <v>9</v>
      </c>
      <c r="H115" s="128" t="s">
        <v>79</v>
      </c>
    </row>
    <row r="116" spans="1:8" ht="19.899999999999999" customHeight="1">
      <c r="A116" s="129">
        <v>46036</v>
      </c>
      <c r="B116" s="117" t="s">
        <v>61</v>
      </c>
      <c r="C116" s="118" t="s">
        <v>364</v>
      </c>
      <c r="D116" s="117" t="s">
        <v>341</v>
      </c>
      <c r="E116" s="130">
        <v>1.2326388888888891</v>
      </c>
      <c r="F116" s="117" t="s">
        <v>63</v>
      </c>
      <c r="G116" s="119">
        <v>6</v>
      </c>
      <c r="H116" s="120" t="s">
        <v>365</v>
      </c>
    </row>
    <row r="117" spans="1:8" ht="19.899999999999999" customHeight="1">
      <c r="A117" s="129">
        <v>46036</v>
      </c>
      <c r="B117" s="117" t="s">
        <v>61</v>
      </c>
      <c r="C117" s="118" t="s">
        <v>432</v>
      </c>
      <c r="D117" s="117" t="s">
        <v>341</v>
      </c>
      <c r="E117" s="130">
        <v>1.34375</v>
      </c>
      <c r="F117" s="117" t="s">
        <v>63</v>
      </c>
      <c r="G117" s="119">
        <v>6</v>
      </c>
      <c r="H117" s="120" t="s">
        <v>365</v>
      </c>
    </row>
    <row r="118" spans="1:8" ht="19.899999999999999" customHeight="1">
      <c r="A118" s="129">
        <v>46036</v>
      </c>
      <c r="B118" s="117" t="s">
        <v>61</v>
      </c>
      <c r="C118" s="118" t="s">
        <v>428</v>
      </c>
      <c r="D118" s="117" t="s">
        <v>341</v>
      </c>
      <c r="E118" s="130">
        <v>1.9375</v>
      </c>
      <c r="F118" s="117" t="s">
        <v>63</v>
      </c>
      <c r="G118" s="119">
        <v>3</v>
      </c>
      <c r="H118" s="120" t="s">
        <v>365</v>
      </c>
    </row>
    <row r="119" spans="1:8" ht="19.899999999999999" customHeight="1">
      <c r="A119" s="129">
        <v>46036</v>
      </c>
      <c r="B119" s="117" t="s">
        <v>61</v>
      </c>
      <c r="C119" s="118" t="s">
        <v>375</v>
      </c>
      <c r="D119" s="117" t="s">
        <v>341</v>
      </c>
      <c r="E119" s="130">
        <v>1.3402777777777779</v>
      </c>
      <c r="F119" s="117" t="s">
        <v>63</v>
      </c>
      <c r="G119" s="119">
        <v>6</v>
      </c>
      <c r="H119" s="120" t="s">
        <v>365</v>
      </c>
    </row>
    <row r="120" spans="1:8" ht="19.899999999999999" customHeight="1">
      <c r="A120" s="121">
        <v>46036</v>
      </c>
      <c r="B120" s="112" t="s">
        <v>402</v>
      </c>
      <c r="C120" s="113" t="s">
        <v>403</v>
      </c>
      <c r="D120" s="112" t="s">
        <v>341</v>
      </c>
      <c r="E120" s="122">
        <v>1.493055555555556</v>
      </c>
      <c r="F120" s="112" t="s">
        <v>63</v>
      </c>
      <c r="G120" s="114">
        <v>5</v>
      </c>
      <c r="H120" s="115" t="s">
        <v>404</v>
      </c>
    </row>
    <row r="121" spans="1:8" ht="19.899999999999999" customHeight="1">
      <c r="A121" s="121">
        <v>46036</v>
      </c>
      <c r="B121" s="112" t="s">
        <v>402</v>
      </c>
      <c r="C121" s="113" t="s">
        <v>465</v>
      </c>
      <c r="D121" s="112" t="s">
        <v>341</v>
      </c>
      <c r="E121" s="122">
        <v>1.194444444444444</v>
      </c>
      <c r="F121" s="112" t="s">
        <v>63</v>
      </c>
      <c r="G121" s="114">
        <v>5</v>
      </c>
      <c r="H121" s="115" t="s">
        <v>404</v>
      </c>
    </row>
    <row r="122" spans="1:8" ht="19.899999999999999" customHeight="1">
      <c r="A122" s="129">
        <v>46036</v>
      </c>
      <c r="B122" s="117" t="s">
        <v>61</v>
      </c>
      <c r="C122" s="118" t="s">
        <v>377</v>
      </c>
      <c r="D122" s="117" t="s">
        <v>341</v>
      </c>
      <c r="E122" s="130">
        <v>1.4375</v>
      </c>
      <c r="F122" s="117" t="s">
        <v>63</v>
      </c>
      <c r="G122" s="119">
        <v>5</v>
      </c>
      <c r="H122" s="120" t="s">
        <v>79</v>
      </c>
    </row>
    <row r="123" spans="1:8" ht="19.899999999999999" customHeight="1">
      <c r="A123" s="121">
        <v>46036</v>
      </c>
      <c r="B123" s="112" t="s">
        <v>48</v>
      </c>
      <c r="C123" s="113" t="s">
        <v>385</v>
      </c>
      <c r="D123" s="112" t="s">
        <v>341</v>
      </c>
      <c r="E123" s="122">
        <v>1.9409722222222221</v>
      </c>
      <c r="F123" s="112" t="s">
        <v>50</v>
      </c>
      <c r="G123" s="114">
        <v>9</v>
      </c>
      <c r="H123" s="115" t="s">
        <v>79</v>
      </c>
    </row>
    <row r="124" spans="1:8" ht="19.899999999999999" customHeight="1">
      <c r="A124" s="123">
        <v>46036</v>
      </c>
      <c r="B124" s="124" t="s">
        <v>26</v>
      </c>
      <c r="C124" s="125" t="s">
        <v>350</v>
      </c>
      <c r="D124" s="124" t="s">
        <v>341</v>
      </c>
      <c r="E124" s="126">
        <v>1.7361111111111109</v>
      </c>
      <c r="F124" s="124" t="s">
        <v>28</v>
      </c>
      <c r="G124" s="127">
        <v>5</v>
      </c>
      <c r="H124" s="128" t="s">
        <v>79</v>
      </c>
    </row>
    <row r="125" spans="1:8" ht="19.899999999999999" customHeight="1">
      <c r="A125" s="129">
        <v>46037</v>
      </c>
      <c r="B125" s="117" t="s">
        <v>61</v>
      </c>
      <c r="C125" s="118" t="s">
        <v>371</v>
      </c>
      <c r="D125" s="117" t="s">
        <v>341</v>
      </c>
      <c r="E125" s="130">
        <v>1.0659722222222221</v>
      </c>
      <c r="F125" s="117" t="s">
        <v>63</v>
      </c>
      <c r="G125" s="119">
        <v>1</v>
      </c>
      <c r="H125" s="120" t="s">
        <v>365</v>
      </c>
    </row>
    <row r="126" spans="1:8" ht="19.899999999999999" customHeight="1">
      <c r="A126" s="121">
        <v>46037</v>
      </c>
      <c r="B126" s="112" t="s">
        <v>402</v>
      </c>
      <c r="C126" s="113" t="s">
        <v>403</v>
      </c>
      <c r="D126" s="112" t="s">
        <v>341</v>
      </c>
      <c r="E126" s="122">
        <v>1.493055555555556</v>
      </c>
      <c r="F126" s="112" t="s">
        <v>63</v>
      </c>
      <c r="G126" s="114">
        <v>5</v>
      </c>
      <c r="H126" s="115" t="s">
        <v>404</v>
      </c>
    </row>
    <row r="127" spans="1:8" ht="19.899999999999999" customHeight="1">
      <c r="A127" s="129">
        <v>46037</v>
      </c>
      <c r="B127" s="117" t="s">
        <v>61</v>
      </c>
      <c r="C127" s="118" t="s">
        <v>369</v>
      </c>
      <c r="D127" s="117" t="s">
        <v>341</v>
      </c>
      <c r="E127" s="130">
        <v>1.1875</v>
      </c>
      <c r="F127" s="117" t="s">
        <v>63</v>
      </c>
      <c r="G127" s="119">
        <v>9</v>
      </c>
      <c r="H127" s="120" t="s">
        <v>79</v>
      </c>
    </row>
    <row r="128" spans="1:8" ht="19.899999999999999" customHeight="1">
      <c r="A128" s="129">
        <v>46037</v>
      </c>
      <c r="B128" s="117" t="s">
        <v>61</v>
      </c>
      <c r="C128" s="118" t="s">
        <v>375</v>
      </c>
      <c r="D128" s="117" t="s">
        <v>341</v>
      </c>
      <c r="E128" s="130">
        <v>1.15625</v>
      </c>
      <c r="F128" s="117" t="s">
        <v>63</v>
      </c>
      <c r="G128" s="119">
        <v>7</v>
      </c>
      <c r="H128" s="120" t="s">
        <v>79</v>
      </c>
    </row>
    <row r="129" spans="1:8" ht="19.899999999999999" customHeight="1">
      <c r="A129" s="129">
        <v>46037</v>
      </c>
      <c r="B129" s="117" t="s">
        <v>61</v>
      </c>
      <c r="C129" s="118" t="s">
        <v>377</v>
      </c>
      <c r="D129" s="117" t="s">
        <v>341</v>
      </c>
      <c r="E129" s="130">
        <v>1.40625</v>
      </c>
      <c r="F129" s="117" t="s">
        <v>63</v>
      </c>
      <c r="G129" s="119">
        <v>7</v>
      </c>
      <c r="H129" s="120" t="s">
        <v>79</v>
      </c>
    </row>
    <row r="130" spans="1:8" ht="19.899999999999999" customHeight="1">
      <c r="A130" s="129">
        <v>46037</v>
      </c>
      <c r="B130" s="117" t="s">
        <v>61</v>
      </c>
      <c r="C130" s="118" t="s">
        <v>379</v>
      </c>
      <c r="D130" s="117" t="s">
        <v>341</v>
      </c>
      <c r="E130" s="130">
        <v>1.5625</v>
      </c>
      <c r="F130" s="117" t="s">
        <v>63</v>
      </c>
      <c r="G130" s="119">
        <v>4</v>
      </c>
      <c r="H130" s="120" t="s">
        <v>79</v>
      </c>
    </row>
    <row r="131" spans="1:8" ht="19.899999999999999" customHeight="1">
      <c r="A131" s="121">
        <v>46037</v>
      </c>
      <c r="B131" s="112" t="s">
        <v>48</v>
      </c>
      <c r="C131" s="113" t="s">
        <v>382</v>
      </c>
      <c r="D131" s="112" t="s">
        <v>341</v>
      </c>
      <c r="E131" s="122">
        <v>1.118055555555556</v>
      </c>
      <c r="F131" s="112" t="s">
        <v>50</v>
      </c>
      <c r="G131" s="114">
        <v>9</v>
      </c>
      <c r="H131" s="115" t="s">
        <v>79</v>
      </c>
    </row>
    <row r="132" spans="1:8" ht="19.899999999999999" customHeight="1">
      <c r="A132" s="121">
        <v>46037</v>
      </c>
      <c r="B132" s="112" t="s">
        <v>48</v>
      </c>
      <c r="C132" s="113" t="s">
        <v>390</v>
      </c>
      <c r="D132" s="112" t="s">
        <v>341</v>
      </c>
      <c r="E132" s="122">
        <v>1.041666666666667</v>
      </c>
      <c r="F132" s="112" t="s">
        <v>50</v>
      </c>
      <c r="G132" s="114">
        <v>9</v>
      </c>
      <c r="H132" s="115" t="s">
        <v>79</v>
      </c>
    </row>
    <row r="133" spans="1:8" ht="19.899999999999999" customHeight="1">
      <c r="A133" s="121">
        <v>46037</v>
      </c>
      <c r="B133" s="112" t="s">
        <v>26</v>
      </c>
      <c r="C133" s="113" t="s">
        <v>348</v>
      </c>
      <c r="D133" s="112" t="s">
        <v>341</v>
      </c>
      <c r="E133" s="122">
        <v>1.993055555555556</v>
      </c>
      <c r="F133" s="112" t="s">
        <v>28</v>
      </c>
      <c r="G133" s="114">
        <v>2</v>
      </c>
      <c r="H133" s="115" t="s">
        <v>79</v>
      </c>
    </row>
    <row r="134" spans="1:8" ht="19.899999999999999" customHeight="1">
      <c r="A134" s="121">
        <v>46037</v>
      </c>
      <c r="B134" s="112" t="s">
        <v>26</v>
      </c>
      <c r="C134" s="113" t="s">
        <v>350</v>
      </c>
      <c r="D134" s="112" t="s">
        <v>341</v>
      </c>
      <c r="E134" s="122">
        <v>1.7361111111111109</v>
      </c>
      <c r="F134" s="112" t="s">
        <v>28</v>
      </c>
      <c r="G134" s="114">
        <v>1</v>
      </c>
      <c r="H134" s="115" t="s">
        <v>79</v>
      </c>
    </row>
    <row r="135" spans="1:8" ht="19.899999999999999" customHeight="1">
      <c r="A135" s="121">
        <v>46037</v>
      </c>
      <c r="B135" s="112" t="s">
        <v>26</v>
      </c>
      <c r="C135" s="113" t="s">
        <v>356</v>
      </c>
      <c r="D135" s="112" t="s">
        <v>341</v>
      </c>
      <c r="E135" s="122">
        <v>1.4861111111111109</v>
      </c>
      <c r="F135" s="112" t="s">
        <v>28</v>
      </c>
      <c r="G135" s="114">
        <v>1</v>
      </c>
      <c r="H135" s="115" t="s">
        <v>79</v>
      </c>
    </row>
    <row r="136" spans="1:8" ht="19.899999999999999" customHeight="1">
      <c r="A136" s="121">
        <v>46037</v>
      </c>
      <c r="B136" s="112" t="s">
        <v>26</v>
      </c>
      <c r="C136" s="113" t="s">
        <v>353</v>
      </c>
      <c r="D136" s="112" t="s">
        <v>341</v>
      </c>
      <c r="E136" s="122">
        <v>1.8888888888888891</v>
      </c>
      <c r="F136" s="112" t="s">
        <v>28</v>
      </c>
      <c r="G136" s="114">
        <v>4</v>
      </c>
      <c r="H136" s="115" t="s">
        <v>79</v>
      </c>
    </row>
    <row r="137" spans="1:8" ht="19.899999999999999" customHeight="1">
      <c r="A137" s="121">
        <v>46037</v>
      </c>
      <c r="B137" s="112" t="s">
        <v>26</v>
      </c>
      <c r="C137" s="113" t="s">
        <v>351</v>
      </c>
      <c r="D137" s="112" t="s">
        <v>341</v>
      </c>
      <c r="E137" s="122">
        <v>1.836805555555556</v>
      </c>
      <c r="F137" s="112" t="s">
        <v>28</v>
      </c>
      <c r="G137" s="114">
        <v>9</v>
      </c>
      <c r="H137" s="115" t="s">
        <v>45</v>
      </c>
    </row>
    <row r="138" spans="1:8" ht="19.899999999999999" customHeight="1">
      <c r="A138" s="121">
        <v>46037</v>
      </c>
      <c r="B138" s="112" t="s">
        <v>26</v>
      </c>
      <c r="C138" s="113" t="s">
        <v>352</v>
      </c>
      <c r="D138" s="112" t="s">
        <v>341</v>
      </c>
      <c r="E138" s="122">
        <v>1.944444444444444</v>
      </c>
      <c r="F138" s="112" t="s">
        <v>28</v>
      </c>
      <c r="G138" s="114">
        <v>9</v>
      </c>
      <c r="H138" s="115" t="s">
        <v>45</v>
      </c>
    </row>
    <row r="139" spans="1:8" ht="19.899999999999999" customHeight="1">
      <c r="A139" s="121">
        <v>46037</v>
      </c>
      <c r="B139" s="112" t="s">
        <v>26</v>
      </c>
      <c r="C139" s="113" t="s">
        <v>357</v>
      </c>
      <c r="D139" s="112" t="s">
        <v>341</v>
      </c>
      <c r="E139" s="122">
        <v>1.3923611111111109</v>
      </c>
      <c r="F139" s="112" t="s">
        <v>28</v>
      </c>
      <c r="G139" s="114">
        <v>9</v>
      </c>
      <c r="H139" s="115" t="s">
        <v>45</v>
      </c>
    </row>
    <row r="140" spans="1:8" ht="19.899999999999999" customHeight="1">
      <c r="A140" s="136">
        <v>46037</v>
      </c>
      <c r="B140" s="132" t="s">
        <v>61</v>
      </c>
      <c r="C140" s="133" t="s">
        <v>364</v>
      </c>
      <c r="D140" s="132" t="s">
        <v>341</v>
      </c>
      <c r="E140" s="137">
        <v>1.9375</v>
      </c>
      <c r="F140" s="132" t="s">
        <v>63</v>
      </c>
      <c r="G140" s="134">
        <v>9</v>
      </c>
      <c r="H140" s="135" t="s">
        <v>449</v>
      </c>
    </row>
    <row r="141" spans="1:8" ht="19.899999999999999" customHeight="1">
      <c r="A141" s="121">
        <v>46038</v>
      </c>
      <c r="B141" s="112" t="s">
        <v>402</v>
      </c>
      <c r="C141" s="113" t="s">
        <v>403</v>
      </c>
      <c r="D141" s="112" t="s">
        <v>341</v>
      </c>
      <c r="E141" s="122">
        <v>1.493055555555556</v>
      </c>
      <c r="F141" s="112" t="s">
        <v>63</v>
      </c>
      <c r="G141" s="114">
        <v>5</v>
      </c>
      <c r="H141" s="115" t="s">
        <v>404</v>
      </c>
    </row>
    <row r="142" spans="1:8" ht="19.899999999999999" customHeight="1">
      <c r="A142" s="129">
        <v>46038</v>
      </c>
      <c r="B142" s="117" t="s">
        <v>61</v>
      </c>
      <c r="C142" s="118" t="s">
        <v>428</v>
      </c>
      <c r="D142" s="117" t="s">
        <v>341</v>
      </c>
      <c r="E142" s="130">
        <v>1.5590277777777779</v>
      </c>
      <c r="F142" s="117" t="s">
        <v>63</v>
      </c>
      <c r="G142" s="119">
        <v>2</v>
      </c>
      <c r="H142" s="120" t="s">
        <v>79</v>
      </c>
    </row>
    <row r="143" spans="1:8" ht="19.899999999999999" customHeight="1">
      <c r="A143" s="129">
        <v>46038</v>
      </c>
      <c r="B143" s="117" t="s">
        <v>61</v>
      </c>
      <c r="C143" s="118" t="s">
        <v>375</v>
      </c>
      <c r="D143" s="117" t="s">
        <v>341</v>
      </c>
      <c r="E143" s="130">
        <v>1.1423611111111109</v>
      </c>
      <c r="F143" s="117" t="s">
        <v>63</v>
      </c>
      <c r="G143" s="119">
        <v>1</v>
      </c>
      <c r="H143" s="120" t="s">
        <v>79</v>
      </c>
    </row>
    <row r="144" spans="1:8" ht="19.899999999999999" customHeight="1">
      <c r="A144" s="129">
        <v>46038</v>
      </c>
      <c r="B144" s="117" t="s">
        <v>61</v>
      </c>
      <c r="C144" s="118" t="s">
        <v>377</v>
      </c>
      <c r="D144" s="117" t="s">
        <v>341</v>
      </c>
      <c r="E144" s="130">
        <v>1.28125</v>
      </c>
      <c r="F144" s="117" t="s">
        <v>63</v>
      </c>
      <c r="G144" s="119">
        <v>5</v>
      </c>
      <c r="H144" s="120" t="s">
        <v>79</v>
      </c>
    </row>
    <row r="145" spans="1:8" ht="19.899999999999999" customHeight="1">
      <c r="A145" s="129">
        <v>46038</v>
      </c>
      <c r="B145" s="117" t="s">
        <v>61</v>
      </c>
      <c r="C145" s="118" t="s">
        <v>379</v>
      </c>
      <c r="D145" s="117" t="s">
        <v>341</v>
      </c>
      <c r="E145" s="130">
        <v>1.4375</v>
      </c>
      <c r="F145" s="117" t="s">
        <v>63</v>
      </c>
      <c r="G145" s="119">
        <v>2</v>
      </c>
      <c r="H145" s="120" t="s">
        <v>79</v>
      </c>
    </row>
    <row r="146" spans="1:8" ht="19.899999999999999" customHeight="1">
      <c r="A146" s="121">
        <v>46038</v>
      </c>
      <c r="B146" s="112" t="s">
        <v>26</v>
      </c>
      <c r="C146" s="113" t="s">
        <v>354</v>
      </c>
      <c r="D146" s="112" t="s">
        <v>341</v>
      </c>
      <c r="E146" s="122">
        <v>1.3472222222222221</v>
      </c>
      <c r="F146" s="112" t="s">
        <v>28</v>
      </c>
      <c r="G146" s="114">
        <v>4</v>
      </c>
      <c r="H146" s="115" t="s">
        <v>79</v>
      </c>
    </row>
    <row r="147" spans="1:8" ht="19.899999999999999" customHeight="1">
      <c r="A147" s="121">
        <v>46038</v>
      </c>
      <c r="B147" s="112" t="s">
        <v>26</v>
      </c>
      <c r="C147" s="113" t="s">
        <v>356</v>
      </c>
      <c r="D147" s="112" t="s">
        <v>341</v>
      </c>
      <c r="E147" s="122">
        <v>1.4861111111111109</v>
      </c>
      <c r="F147" s="112" t="s">
        <v>28</v>
      </c>
      <c r="G147" s="114">
        <v>4</v>
      </c>
      <c r="H147" s="115" t="s">
        <v>45</v>
      </c>
    </row>
    <row r="148" spans="1:8" ht="19.899999999999999" customHeight="1">
      <c r="A148" s="136">
        <v>46038</v>
      </c>
      <c r="B148" s="132" t="s">
        <v>61</v>
      </c>
      <c r="C148" s="133" t="s">
        <v>432</v>
      </c>
      <c r="D148" s="132" t="s">
        <v>341</v>
      </c>
      <c r="E148" s="137">
        <v>1.760416666666667</v>
      </c>
      <c r="F148" s="132" t="s">
        <v>63</v>
      </c>
      <c r="G148" s="134">
        <v>9</v>
      </c>
      <c r="H148" s="135" t="s">
        <v>449</v>
      </c>
    </row>
    <row r="149" spans="1:8" ht="19.899999999999999" customHeight="1">
      <c r="A149" s="121">
        <v>46039</v>
      </c>
      <c r="B149" s="112" t="s">
        <v>26</v>
      </c>
      <c r="C149" s="113" t="s">
        <v>357</v>
      </c>
      <c r="D149" s="112" t="s">
        <v>341</v>
      </c>
      <c r="E149" s="122">
        <v>1.3923611111111109</v>
      </c>
      <c r="F149" s="112" t="s">
        <v>28</v>
      </c>
      <c r="G149" s="114">
        <v>6</v>
      </c>
      <c r="H149" s="115" t="s">
        <v>45</v>
      </c>
    </row>
    <row r="150" spans="1:8" ht="19.899999999999999" customHeight="1">
      <c r="A150" s="129">
        <v>46039</v>
      </c>
      <c r="B150" s="117" t="s">
        <v>61</v>
      </c>
      <c r="C150" s="118" t="s">
        <v>371</v>
      </c>
      <c r="D150" s="117" t="s">
        <v>341</v>
      </c>
      <c r="E150" s="130">
        <v>1.0486111111111109</v>
      </c>
      <c r="F150" s="117" t="s">
        <v>63</v>
      </c>
      <c r="G150" s="119">
        <v>5</v>
      </c>
      <c r="H150" s="120" t="s">
        <v>449</v>
      </c>
    </row>
    <row r="151" spans="1:8" ht="19.899999999999999" customHeight="1">
      <c r="A151" s="129">
        <v>46039</v>
      </c>
      <c r="B151" s="117" t="s">
        <v>61</v>
      </c>
      <c r="C151" s="118" t="s">
        <v>375</v>
      </c>
      <c r="D151" s="117" t="s">
        <v>341</v>
      </c>
      <c r="E151" s="130">
        <v>1.15625</v>
      </c>
      <c r="F151" s="117" t="s">
        <v>63</v>
      </c>
      <c r="G151" s="119">
        <v>9</v>
      </c>
      <c r="H151" s="120" t="s">
        <v>449</v>
      </c>
    </row>
    <row r="152" spans="1:8" ht="19.899999999999999" customHeight="1">
      <c r="A152" s="129">
        <v>46039</v>
      </c>
      <c r="B152" s="117" t="s">
        <v>61</v>
      </c>
      <c r="C152" s="118" t="s">
        <v>364</v>
      </c>
      <c r="D152" s="117" t="s">
        <v>341</v>
      </c>
      <c r="E152" s="130">
        <v>1.90625</v>
      </c>
      <c r="F152" s="117" t="s">
        <v>63</v>
      </c>
      <c r="G152" s="119">
        <v>9</v>
      </c>
      <c r="H152" s="120" t="s">
        <v>513</v>
      </c>
    </row>
    <row r="153" spans="1:8" ht="19.899999999999999" customHeight="1">
      <c r="A153" s="136">
        <v>46039</v>
      </c>
      <c r="B153" s="132" t="s">
        <v>61</v>
      </c>
      <c r="C153" s="133" t="s">
        <v>377</v>
      </c>
      <c r="D153" s="132" t="s">
        <v>341</v>
      </c>
      <c r="E153" s="137">
        <v>1.5034722222222221</v>
      </c>
      <c r="F153" s="132" t="s">
        <v>63</v>
      </c>
      <c r="G153" s="134">
        <v>6</v>
      </c>
      <c r="H153" s="135" t="s">
        <v>513</v>
      </c>
    </row>
    <row r="154" spans="1:8" ht="19.899999999999999" customHeight="1">
      <c r="A154" s="121">
        <v>46040</v>
      </c>
      <c r="B154" s="112" t="s">
        <v>402</v>
      </c>
      <c r="C154" s="113" t="s">
        <v>403</v>
      </c>
      <c r="D154" s="112" t="s">
        <v>341</v>
      </c>
      <c r="E154" s="122">
        <v>1.493055555555556</v>
      </c>
      <c r="F154" s="112" t="s">
        <v>63</v>
      </c>
      <c r="G154" s="114">
        <v>5</v>
      </c>
      <c r="H154" s="115" t="s">
        <v>404</v>
      </c>
    </row>
    <row r="155" spans="1:8" ht="19.899999999999999" customHeight="1">
      <c r="A155" s="121">
        <v>46040</v>
      </c>
      <c r="B155" s="112" t="s">
        <v>402</v>
      </c>
      <c r="C155" s="113" t="s">
        <v>465</v>
      </c>
      <c r="D155" s="112" t="s">
        <v>341</v>
      </c>
      <c r="E155" s="122">
        <v>1.2048611111111109</v>
      </c>
      <c r="F155" s="112" t="s">
        <v>63</v>
      </c>
      <c r="G155" s="114">
        <v>5</v>
      </c>
      <c r="H155" s="115" t="s">
        <v>404</v>
      </c>
    </row>
    <row r="156" spans="1:8" ht="19.899999999999999" customHeight="1">
      <c r="A156" s="129">
        <v>46040</v>
      </c>
      <c r="B156" s="117" t="s">
        <v>61</v>
      </c>
      <c r="C156" s="118" t="s">
        <v>369</v>
      </c>
      <c r="D156" s="117" t="s">
        <v>341</v>
      </c>
      <c r="E156" s="130">
        <v>1.15625</v>
      </c>
      <c r="F156" s="117" t="s">
        <v>63</v>
      </c>
      <c r="G156" s="119">
        <v>9</v>
      </c>
      <c r="H156" s="120" t="s">
        <v>79</v>
      </c>
    </row>
    <row r="157" spans="1:8" ht="19.899999999999999" customHeight="1">
      <c r="A157" s="129">
        <v>46040</v>
      </c>
      <c r="B157" s="117" t="s">
        <v>61</v>
      </c>
      <c r="C157" s="118" t="s">
        <v>432</v>
      </c>
      <c r="D157" s="117" t="s">
        <v>341</v>
      </c>
      <c r="E157" s="130">
        <v>1.333333333333333</v>
      </c>
      <c r="F157" s="117" t="s">
        <v>63</v>
      </c>
      <c r="G157" s="119">
        <v>7</v>
      </c>
      <c r="H157" s="120" t="s">
        <v>79</v>
      </c>
    </row>
    <row r="158" spans="1:8" ht="19.899999999999999" customHeight="1">
      <c r="A158" s="129">
        <v>46040</v>
      </c>
      <c r="B158" s="117" t="s">
        <v>61</v>
      </c>
      <c r="C158" s="118" t="s">
        <v>377</v>
      </c>
      <c r="D158" s="117" t="s">
        <v>341</v>
      </c>
      <c r="E158" s="130">
        <v>1.4548611111111109</v>
      </c>
      <c r="F158" s="117" t="s">
        <v>63</v>
      </c>
      <c r="G158" s="119">
        <v>1</v>
      </c>
      <c r="H158" s="120" t="s">
        <v>79</v>
      </c>
    </row>
    <row r="159" spans="1:8" ht="19.899999999999999" customHeight="1">
      <c r="A159" s="129">
        <v>46040</v>
      </c>
      <c r="B159" s="117" t="s">
        <v>61</v>
      </c>
      <c r="C159" s="118" t="s">
        <v>379</v>
      </c>
      <c r="D159" s="117" t="s">
        <v>341</v>
      </c>
      <c r="E159" s="130">
        <v>1.8298611111111109</v>
      </c>
      <c r="F159" s="117" t="s">
        <v>63</v>
      </c>
      <c r="G159" s="119">
        <v>1</v>
      </c>
      <c r="H159" s="120" t="s">
        <v>79</v>
      </c>
    </row>
    <row r="160" spans="1:8" ht="19.899999999999999" customHeight="1">
      <c r="A160" s="121">
        <v>46040</v>
      </c>
      <c r="B160" s="112" t="s">
        <v>26</v>
      </c>
      <c r="C160" s="113" t="s">
        <v>353</v>
      </c>
      <c r="D160" s="112" t="s">
        <v>341</v>
      </c>
      <c r="E160" s="122">
        <v>1.8888888888888891</v>
      </c>
      <c r="F160" s="112" t="s">
        <v>28</v>
      </c>
      <c r="G160" s="114">
        <v>4</v>
      </c>
      <c r="H160" s="115" t="s">
        <v>79</v>
      </c>
    </row>
    <row r="161" spans="1:8" ht="19.899999999999999" customHeight="1">
      <c r="A161" s="121">
        <v>46040</v>
      </c>
      <c r="B161" s="112" t="s">
        <v>26</v>
      </c>
      <c r="C161" s="113" t="s">
        <v>354</v>
      </c>
      <c r="D161" s="112" t="s">
        <v>341</v>
      </c>
      <c r="E161" s="122">
        <v>1.3472222222222221</v>
      </c>
      <c r="F161" s="112" t="s">
        <v>28</v>
      </c>
      <c r="G161" s="114">
        <v>5</v>
      </c>
      <c r="H161" s="115" t="s">
        <v>45</v>
      </c>
    </row>
    <row r="162" spans="1:8" ht="19.899999999999999" customHeight="1">
      <c r="A162" s="121">
        <v>46040</v>
      </c>
      <c r="B162" s="112" t="s">
        <v>26</v>
      </c>
      <c r="C162" s="113" t="s">
        <v>348</v>
      </c>
      <c r="D162" s="112" t="s">
        <v>341</v>
      </c>
      <c r="E162" s="122">
        <v>1.993055555555556</v>
      </c>
      <c r="F162" s="112" t="s">
        <v>28</v>
      </c>
      <c r="G162" s="114">
        <v>5</v>
      </c>
      <c r="H162" s="115" t="s">
        <v>45</v>
      </c>
    </row>
    <row r="163" spans="1:8" ht="19.899999999999999" customHeight="1">
      <c r="A163" s="121">
        <v>46040</v>
      </c>
      <c r="B163" s="112" t="s">
        <v>26</v>
      </c>
      <c r="C163" s="113" t="s">
        <v>350</v>
      </c>
      <c r="D163" s="112" t="s">
        <v>341</v>
      </c>
      <c r="E163" s="122">
        <v>1.7361111111111109</v>
      </c>
      <c r="F163" s="112" t="s">
        <v>28</v>
      </c>
      <c r="G163" s="114">
        <v>5</v>
      </c>
      <c r="H163" s="115" t="s">
        <v>45</v>
      </c>
    </row>
    <row r="164" spans="1:8" ht="19.899999999999999" customHeight="1">
      <c r="A164" s="121">
        <v>46040</v>
      </c>
      <c r="B164" s="112" t="s">
        <v>26</v>
      </c>
      <c r="C164" s="113" t="s">
        <v>351</v>
      </c>
      <c r="D164" s="112" t="s">
        <v>341</v>
      </c>
      <c r="E164" s="122">
        <v>1.836805555555556</v>
      </c>
      <c r="F164" s="112" t="s">
        <v>28</v>
      </c>
      <c r="G164" s="114">
        <v>3</v>
      </c>
      <c r="H164" s="115" t="s">
        <v>45</v>
      </c>
    </row>
    <row r="165" spans="1:8" ht="19.899999999999999" customHeight="1">
      <c r="A165" s="121">
        <v>46040</v>
      </c>
      <c r="B165" s="112" t="s">
        <v>26</v>
      </c>
      <c r="C165" s="113" t="s">
        <v>352</v>
      </c>
      <c r="D165" s="112" t="s">
        <v>341</v>
      </c>
      <c r="E165" s="122">
        <v>1.944444444444444</v>
      </c>
      <c r="F165" s="112" t="s">
        <v>28</v>
      </c>
      <c r="G165" s="114">
        <v>6</v>
      </c>
      <c r="H165" s="115" t="s">
        <v>45</v>
      </c>
    </row>
    <row r="166" spans="1:8" ht="19.899999999999999" customHeight="1">
      <c r="A166" s="121">
        <v>46040</v>
      </c>
      <c r="B166" s="112" t="s">
        <v>26</v>
      </c>
      <c r="C166" s="113" t="s">
        <v>356</v>
      </c>
      <c r="D166" s="112" t="s">
        <v>341</v>
      </c>
      <c r="E166" s="122">
        <v>1.4861111111111109</v>
      </c>
      <c r="F166" s="112" t="s">
        <v>28</v>
      </c>
      <c r="G166" s="114">
        <v>4</v>
      </c>
      <c r="H166" s="115" t="s">
        <v>45</v>
      </c>
    </row>
    <row r="167" spans="1:8" ht="19.899999999999999" customHeight="1">
      <c r="A167" s="121">
        <v>46040</v>
      </c>
      <c r="B167" s="112" t="s">
        <v>26</v>
      </c>
      <c r="C167" s="113" t="s">
        <v>357</v>
      </c>
      <c r="D167" s="112" t="s">
        <v>341</v>
      </c>
      <c r="E167" s="122">
        <v>1.3923611111111109</v>
      </c>
      <c r="F167" s="112" t="s">
        <v>28</v>
      </c>
      <c r="G167" s="114">
        <v>9</v>
      </c>
      <c r="H167" s="115" t="s">
        <v>45</v>
      </c>
    </row>
    <row r="168" spans="1:8" ht="19.899999999999999" customHeight="1">
      <c r="A168" s="136">
        <v>46040</v>
      </c>
      <c r="B168" s="132" t="s">
        <v>61</v>
      </c>
      <c r="C168" s="133" t="s">
        <v>375</v>
      </c>
      <c r="D168" s="132" t="s">
        <v>341</v>
      </c>
      <c r="E168" s="137">
        <v>1.1423611111111109</v>
      </c>
      <c r="F168" s="132" t="s">
        <v>63</v>
      </c>
      <c r="G168" s="134">
        <v>9</v>
      </c>
      <c r="H168" s="135" t="s">
        <v>449</v>
      </c>
    </row>
    <row r="169" spans="1:8" ht="19.899999999999999" customHeight="1">
      <c r="A169" s="129">
        <v>46041</v>
      </c>
      <c r="B169" s="117" t="s">
        <v>61</v>
      </c>
      <c r="C169" s="118" t="s">
        <v>375</v>
      </c>
      <c r="D169" s="117" t="s">
        <v>341</v>
      </c>
      <c r="E169" s="130">
        <v>1.2465277777777779</v>
      </c>
      <c r="F169" s="117" t="s">
        <v>63</v>
      </c>
      <c r="G169" s="119">
        <v>3</v>
      </c>
      <c r="H169" s="120" t="s">
        <v>365</v>
      </c>
    </row>
    <row r="170" spans="1:8" ht="19.899999999999999" customHeight="1">
      <c r="A170" s="129">
        <v>46041</v>
      </c>
      <c r="B170" s="117" t="s">
        <v>61</v>
      </c>
      <c r="C170" s="118" t="s">
        <v>377</v>
      </c>
      <c r="D170" s="117" t="s">
        <v>341</v>
      </c>
      <c r="E170" s="130">
        <v>1.4375</v>
      </c>
      <c r="F170" s="117" t="s">
        <v>63</v>
      </c>
      <c r="G170" s="119">
        <v>2</v>
      </c>
      <c r="H170" s="120" t="s">
        <v>365</v>
      </c>
    </row>
    <row r="171" spans="1:8" ht="19.899999999999999" customHeight="1">
      <c r="A171" s="121">
        <v>46041</v>
      </c>
      <c r="B171" s="112" t="s">
        <v>402</v>
      </c>
      <c r="C171" s="113" t="s">
        <v>403</v>
      </c>
      <c r="D171" s="112" t="s">
        <v>341</v>
      </c>
      <c r="E171" s="122">
        <v>1.493055555555556</v>
      </c>
      <c r="F171" s="112" t="s">
        <v>63</v>
      </c>
      <c r="G171" s="114">
        <v>5</v>
      </c>
      <c r="H171" s="115" t="s">
        <v>404</v>
      </c>
    </row>
    <row r="172" spans="1:8" ht="19.899999999999999" customHeight="1">
      <c r="A172" s="121">
        <v>46041</v>
      </c>
      <c r="B172" s="112" t="s">
        <v>402</v>
      </c>
      <c r="C172" s="113" t="s">
        <v>465</v>
      </c>
      <c r="D172" s="112" t="s">
        <v>341</v>
      </c>
      <c r="E172" s="122">
        <v>1.135416666666667</v>
      </c>
      <c r="F172" s="112" t="s">
        <v>63</v>
      </c>
      <c r="G172" s="114">
        <v>5</v>
      </c>
      <c r="H172" s="115" t="s">
        <v>404</v>
      </c>
    </row>
    <row r="173" spans="1:8" ht="19.899999999999999" customHeight="1">
      <c r="A173" s="121">
        <v>46041</v>
      </c>
      <c r="B173" s="112" t="s">
        <v>402</v>
      </c>
      <c r="C173" s="113" t="s">
        <v>473</v>
      </c>
      <c r="D173" s="112" t="s">
        <v>341</v>
      </c>
      <c r="E173" s="122">
        <v>1.868055555555556</v>
      </c>
      <c r="F173" s="112" t="s">
        <v>63</v>
      </c>
      <c r="G173" s="114">
        <v>5</v>
      </c>
      <c r="H173" s="115" t="s">
        <v>404</v>
      </c>
    </row>
    <row r="174" spans="1:8" ht="19.899999999999999" customHeight="1">
      <c r="A174" s="129">
        <v>46041</v>
      </c>
      <c r="B174" s="117" t="s">
        <v>61</v>
      </c>
      <c r="C174" s="118" t="s">
        <v>432</v>
      </c>
      <c r="D174" s="117" t="s">
        <v>341</v>
      </c>
      <c r="E174" s="130">
        <v>1.802083333333333</v>
      </c>
      <c r="F174" s="117" t="s">
        <v>63</v>
      </c>
      <c r="G174" s="119">
        <v>3</v>
      </c>
      <c r="H174" s="120" t="s">
        <v>79</v>
      </c>
    </row>
    <row r="175" spans="1:8" ht="19.899999999999999" customHeight="1">
      <c r="A175" s="121">
        <v>46041</v>
      </c>
      <c r="B175" s="112" t="s">
        <v>48</v>
      </c>
      <c r="C175" s="113" t="s">
        <v>391</v>
      </c>
      <c r="D175" s="112" t="s">
        <v>341</v>
      </c>
      <c r="E175" s="122">
        <v>1.489583333333333</v>
      </c>
      <c r="F175" s="112" t="s">
        <v>50</v>
      </c>
      <c r="G175" s="114">
        <v>9</v>
      </c>
      <c r="H175" s="115" t="s">
        <v>79</v>
      </c>
    </row>
    <row r="176" spans="1:8" ht="19.899999999999999" customHeight="1">
      <c r="A176" s="121">
        <v>46041</v>
      </c>
      <c r="B176" s="112" t="s">
        <v>48</v>
      </c>
      <c r="C176" s="113" t="s">
        <v>389</v>
      </c>
      <c r="D176" s="112" t="s">
        <v>341</v>
      </c>
      <c r="E176" s="122">
        <v>1.7013888888888891</v>
      </c>
      <c r="F176" s="112" t="s">
        <v>50</v>
      </c>
      <c r="G176" s="114">
        <v>9</v>
      </c>
      <c r="H176" s="115" t="s">
        <v>79</v>
      </c>
    </row>
    <row r="177" spans="1:8" ht="19.899999999999999" customHeight="1">
      <c r="A177" s="121">
        <v>46041</v>
      </c>
      <c r="B177" s="112" t="s">
        <v>48</v>
      </c>
      <c r="C177" s="113" t="s">
        <v>400</v>
      </c>
      <c r="D177" s="112" t="s">
        <v>341</v>
      </c>
      <c r="E177" s="122">
        <v>1.2534722222222221</v>
      </c>
      <c r="F177" s="112" t="s">
        <v>50</v>
      </c>
      <c r="G177" s="114">
        <v>7</v>
      </c>
      <c r="H177" s="115" t="s">
        <v>79</v>
      </c>
    </row>
    <row r="178" spans="1:8" ht="19.899999999999999" customHeight="1">
      <c r="A178" s="121">
        <v>46041</v>
      </c>
      <c r="B178" s="112" t="s">
        <v>48</v>
      </c>
      <c r="C178" s="113" t="s">
        <v>385</v>
      </c>
      <c r="D178" s="112" t="s">
        <v>341</v>
      </c>
      <c r="E178" s="122">
        <v>1.9409722222222221</v>
      </c>
      <c r="F178" s="112" t="s">
        <v>50</v>
      </c>
      <c r="G178" s="114">
        <v>9</v>
      </c>
      <c r="H178" s="115" t="s">
        <v>79</v>
      </c>
    </row>
    <row r="179" spans="1:8" ht="19.899999999999999" customHeight="1">
      <c r="A179" s="121">
        <v>46041</v>
      </c>
      <c r="B179" s="112" t="s">
        <v>26</v>
      </c>
      <c r="C179" s="113" t="s">
        <v>354</v>
      </c>
      <c r="D179" s="112" t="s">
        <v>341</v>
      </c>
      <c r="E179" s="122">
        <v>1.3472222222222221</v>
      </c>
      <c r="F179" s="112" t="s">
        <v>28</v>
      </c>
      <c r="G179" s="114">
        <v>5</v>
      </c>
      <c r="H179" s="115" t="s">
        <v>79</v>
      </c>
    </row>
    <row r="180" spans="1:8" ht="19.899999999999999" customHeight="1">
      <c r="A180" s="121">
        <v>46041</v>
      </c>
      <c r="B180" s="112" t="s">
        <v>26</v>
      </c>
      <c r="C180" s="113" t="s">
        <v>348</v>
      </c>
      <c r="D180" s="112" t="s">
        <v>341</v>
      </c>
      <c r="E180" s="122">
        <v>1.993055555555556</v>
      </c>
      <c r="F180" s="112" t="s">
        <v>28</v>
      </c>
      <c r="G180" s="114">
        <v>5</v>
      </c>
      <c r="H180" s="115" t="s">
        <v>79</v>
      </c>
    </row>
    <row r="181" spans="1:8" ht="19.899999999999999" customHeight="1">
      <c r="A181" s="121">
        <v>46041</v>
      </c>
      <c r="B181" s="112" t="s">
        <v>26</v>
      </c>
      <c r="C181" s="113" t="s">
        <v>350</v>
      </c>
      <c r="D181" s="112" t="s">
        <v>341</v>
      </c>
      <c r="E181" s="122">
        <v>1.7361111111111109</v>
      </c>
      <c r="F181" s="112" t="s">
        <v>28</v>
      </c>
      <c r="G181" s="114">
        <v>5</v>
      </c>
      <c r="H181" s="115" t="s">
        <v>79</v>
      </c>
    </row>
    <row r="182" spans="1:8" ht="19.899999999999999" customHeight="1">
      <c r="A182" s="121">
        <v>46041</v>
      </c>
      <c r="B182" s="112" t="s">
        <v>26</v>
      </c>
      <c r="C182" s="113" t="s">
        <v>351</v>
      </c>
      <c r="D182" s="112" t="s">
        <v>341</v>
      </c>
      <c r="E182" s="122">
        <v>1.836805555555556</v>
      </c>
      <c r="F182" s="112" t="s">
        <v>28</v>
      </c>
      <c r="G182" s="114">
        <v>5</v>
      </c>
      <c r="H182" s="115" t="s">
        <v>79</v>
      </c>
    </row>
    <row r="183" spans="1:8" ht="19.899999999999999" customHeight="1">
      <c r="A183" s="123">
        <v>46041</v>
      </c>
      <c r="B183" s="124" t="s">
        <v>26</v>
      </c>
      <c r="C183" s="125" t="s">
        <v>353</v>
      </c>
      <c r="D183" s="124" t="s">
        <v>341</v>
      </c>
      <c r="E183" s="126">
        <v>1.8888888888888891</v>
      </c>
      <c r="F183" s="124" t="s">
        <v>28</v>
      </c>
      <c r="G183" s="127">
        <v>5</v>
      </c>
      <c r="H183" s="128" t="s">
        <v>79</v>
      </c>
    </row>
    <row r="184" spans="1:8" ht="19.899999999999999" customHeight="1">
      <c r="A184" s="129">
        <v>46042</v>
      </c>
      <c r="B184" s="117" t="s">
        <v>61</v>
      </c>
      <c r="C184" s="118" t="s">
        <v>364</v>
      </c>
      <c r="D184" s="117" t="s">
        <v>341</v>
      </c>
      <c r="E184" s="130">
        <v>1.756944444444444</v>
      </c>
      <c r="F184" s="117" t="s">
        <v>63</v>
      </c>
      <c r="G184" s="119">
        <v>5</v>
      </c>
      <c r="H184" s="120" t="s">
        <v>365</v>
      </c>
    </row>
    <row r="185" spans="1:8" ht="19.899999999999999" customHeight="1">
      <c r="A185" s="129">
        <v>46042</v>
      </c>
      <c r="B185" s="117" t="s">
        <v>61</v>
      </c>
      <c r="C185" s="118" t="s">
        <v>432</v>
      </c>
      <c r="D185" s="117" t="s">
        <v>341</v>
      </c>
      <c r="E185" s="130">
        <v>1.552083333333333</v>
      </c>
      <c r="F185" s="117" t="s">
        <v>63</v>
      </c>
      <c r="G185" s="119">
        <v>2</v>
      </c>
      <c r="H185" s="120" t="s">
        <v>365</v>
      </c>
    </row>
    <row r="186" spans="1:8" ht="19.899999999999999" customHeight="1">
      <c r="A186" s="129">
        <v>46042</v>
      </c>
      <c r="B186" s="117" t="s">
        <v>61</v>
      </c>
      <c r="C186" s="118" t="s">
        <v>428</v>
      </c>
      <c r="D186" s="117" t="s">
        <v>341</v>
      </c>
      <c r="E186" s="130">
        <v>1.052083333333333</v>
      </c>
      <c r="F186" s="117" t="s">
        <v>63</v>
      </c>
      <c r="G186" s="119">
        <v>5</v>
      </c>
      <c r="H186" s="120" t="s">
        <v>365</v>
      </c>
    </row>
    <row r="187" spans="1:8" ht="19.899999999999999" customHeight="1">
      <c r="A187" s="129">
        <v>46042</v>
      </c>
      <c r="B187" s="117" t="s">
        <v>61</v>
      </c>
      <c r="C187" s="118" t="s">
        <v>375</v>
      </c>
      <c r="D187" s="117" t="s">
        <v>341</v>
      </c>
      <c r="E187" s="130">
        <v>1.791666666666667</v>
      </c>
      <c r="F187" s="117" t="s">
        <v>63</v>
      </c>
      <c r="G187" s="119">
        <v>5</v>
      </c>
      <c r="H187" s="120" t="s">
        <v>365</v>
      </c>
    </row>
    <row r="188" spans="1:8" ht="19.899999999999999" customHeight="1">
      <c r="A188" s="129">
        <v>46042</v>
      </c>
      <c r="B188" s="117" t="s">
        <v>61</v>
      </c>
      <c r="C188" s="118" t="s">
        <v>377</v>
      </c>
      <c r="D188" s="117" t="s">
        <v>341</v>
      </c>
      <c r="E188" s="130">
        <v>1.4375</v>
      </c>
      <c r="F188" s="117" t="s">
        <v>63</v>
      </c>
      <c r="G188" s="119">
        <v>5</v>
      </c>
      <c r="H188" s="120" t="s">
        <v>365</v>
      </c>
    </row>
    <row r="189" spans="1:8" ht="19.899999999999999" customHeight="1">
      <c r="A189" s="136">
        <v>46042</v>
      </c>
      <c r="B189" s="132" t="s">
        <v>61</v>
      </c>
      <c r="C189" s="133" t="s">
        <v>379</v>
      </c>
      <c r="D189" s="132" t="s">
        <v>341</v>
      </c>
      <c r="E189" s="137">
        <v>1.381944444444444</v>
      </c>
      <c r="F189" s="132" t="s">
        <v>63</v>
      </c>
      <c r="G189" s="134">
        <v>4</v>
      </c>
      <c r="H189" s="135" t="s">
        <v>365</v>
      </c>
    </row>
    <row r="190" spans="1:8" ht="19.899999999999999" customHeight="1">
      <c r="A190" s="129">
        <v>46043</v>
      </c>
      <c r="B190" s="117" t="s">
        <v>61</v>
      </c>
      <c r="C190" s="118" t="s">
        <v>364</v>
      </c>
      <c r="D190" s="117" t="s">
        <v>341</v>
      </c>
      <c r="E190" s="130">
        <v>1.2326388888888891</v>
      </c>
      <c r="F190" s="117" t="s">
        <v>63</v>
      </c>
      <c r="G190" s="119">
        <v>6</v>
      </c>
      <c r="H190" s="120" t="s">
        <v>365</v>
      </c>
    </row>
    <row r="191" spans="1:8" ht="19.899999999999999" customHeight="1">
      <c r="A191" s="129">
        <v>46043</v>
      </c>
      <c r="B191" s="117" t="s">
        <v>61</v>
      </c>
      <c r="C191" s="118" t="s">
        <v>432</v>
      </c>
      <c r="D191" s="117" t="s">
        <v>341</v>
      </c>
      <c r="E191" s="130">
        <v>1.34375</v>
      </c>
      <c r="F191" s="117" t="s">
        <v>63</v>
      </c>
      <c r="G191" s="119">
        <v>6</v>
      </c>
      <c r="H191" s="120" t="s">
        <v>365</v>
      </c>
    </row>
    <row r="192" spans="1:8" ht="19.899999999999999" customHeight="1">
      <c r="A192" s="129">
        <v>46043</v>
      </c>
      <c r="B192" s="117" t="s">
        <v>61</v>
      </c>
      <c r="C192" s="118" t="s">
        <v>428</v>
      </c>
      <c r="D192" s="117" t="s">
        <v>341</v>
      </c>
      <c r="E192" s="130">
        <v>1.9375</v>
      </c>
      <c r="F192" s="117" t="s">
        <v>63</v>
      </c>
      <c r="G192" s="119">
        <v>1</v>
      </c>
      <c r="H192" s="120" t="s">
        <v>365</v>
      </c>
    </row>
    <row r="193" spans="1:8" ht="19.899999999999999" customHeight="1">
      <c r="A193" s="129">
        <v>46043</v>
      </c>
      <c r="B193" s="117" t="s">
        <v>61</v>
      </c>
      <c r="C193" s="118" t="s">
        <v>375</v>
      </c>
      <c r="D193" s="117" t="s">
        <v>341</v>
      </c>
      <c r="E193" s="130">
        <v>1.3402777777777779</v>
      </c>
      <c r="F193" s="117" t="s">
        <v>63</v>
      </c>
      <c r="G193" s="119">
        <v>6</v>
      </c>
      <c r="H193" s="120" t="s">
        <v>365</v>
      </c>
    </row>
    <row r="194" spans="1:8" ht="19.899999999999999" customHeight="1">
      <c r="A194" s="121">
        <v>46043</v>
      </c>
      <c r="B194" s="112" t="s">
        <v>402</v>
      </c>
      <c r="C194" s="113" t="s">
        <v>403</v>
      </c>
      <c r="D194" s="112" t="s">
        <v>341</v>
      </c>
      <c r="E194" s="122">
        <v>1.493055555555556</v>
      </c>
      <c r="F194" s="112" t="s">
        <v>63</v>
      </c>
      <c r="G194" s="114">
        <v>5</v>
      </c>
      <c r="H194" s="115" t="s">
        <v>404</v>
      </c>
    </row>
    <row r="195" spans="1:8" ht="19.899999999999999" customHeight="1">
      <c r="A195" s="121">
        <v>46043</v>
      </c>
      <c r="B195" s="112" t="s">
        <v>402</v>
      </c>
      <c r="C195" s="113" t="s">
        <v>465</v>
      </c>
      <c r="D195" s="112" t="s">
        <v>341</v>
      </c>
      <c r="E195" s="122">
        <v>1.194444444444444</v>
      </c>
      <c r="F195" s="112" t="s">
        <v>63</v>
      </c>
      <c r="G195" s="114">
        <v>5</v>
      </c>
      <c r="H195" s="115" t="s">
        <v>404</v>
      </c>
    </row>
    <row r="196" spans="1:8" ht="19.899999999999999" customHeight="1">
      <c r="A196" s="129">
        <v>46043</v>
      </c>
      <c r="B196" s="117" t="s">
        <v>61</v>
      </c>
      <c r="C196" s="118" t="s">
        <v>377</v>
      </c>
      <c r="D196" s="117" t="s">
        <v>341</v>
      </c>
      <c r="E196" s="130">
        <v>1.4375</v>
      </c>
      <c r="F196" s="117" t="s">
        <v>63</v>
      </c>
      <c r="G196" s="119">
        <v>3</v>
      </c>
      <c r="H196" s="120" t="s">
        <v>79</v>
      </c>
    </row>
    <row r="197" spans="1:8" ht="19.899999999999999" customHeight="1">
      <c r="A197" s="121">
        <v>46043</v>
      </c>
      <c r="B197" s="112" t="s">
        <v>48</v>
      </c>
      <c r="C197" s="113" t="s">
        <v>386</v>
      </c>
      <c r="D197" s="112" t="s">
        <v>341</v>
      </c>
      <c r="E197" s="122">
        <v>1.8298611111111109</v>
      </c>
      <c r="F197" s="112" t="s">
        <v>50</v>
      </c>
      <c r="G197" s="114">
        <v>9</v>
      </c>
      <c r="H197" s="115" t="s">
        <v>79</v>
      </c>
    </row>
    <row r="198" spans="1:8" ht="19.899999999999999" customHeight="1">
      <c r="A198" s="121">
        <v>46043</v>
      </c>
      <c r="B198" s="112" t="s">
        <v>48</v>
      </c>
      <c r="C198" s="113" t="s">
        <v>388</v>
      </c>
      <c r="D198" s="112" t="s">
        <v>341</v>
      </c>
      <c r="E198" s="122">
        <v>1.7222222222222221</v>
      </c>
      <c r="F198" s="112" t="s">
        <v>50</v>
      </c>
      <c r="G198" s="114">
        <v>9</v>
      </c>
      <c r="H198" s="115" t="s">
        <v>79</v>
      </c>
    </row>
    <row r="199" spans="1:8" ht="19.899999999999999" customHeight="1">
      <c r="A199" s="121">
        <v>46043</v>
      </c>
      <c r="B199" s="112" t="s">
        <v>48</v>
      </c>
      <c r="C199" s="113" t="s">
        <v>382</v>
      </c>
      <c r="D199" s="112" t="s">
        <v>341</v>
      </c>
      <c r="E199" s="122">
        <v>1.118055555555556</v>
      </c>
      <c r="F199" s="112" t="s">
        <v>50</v>
      </c>
      <c r="G199" s="114">
        <v>9</v>
      </c>
      <c r="H199" s="115" t="s">
        <v>79</v>
      </c>
    </row>
    <row r="200" spans="1:8" ht="19.899999999999999" customHeight="1">
      <c r="A200" s="121">
        <v>46043</v>
      </c>
      <c r="B200" s="112" t="s">
        <v>48</v>
      </c>
      <c r="C200" s="113" t="s">
        <v>389</v>
      </c>
      <c r="D200" s="112" t="s">
        <v>341</v>
      </c>
      <c r="E200" s="122">
        <v>1.7013888888888891</v>
      </c>
      <c r="F200" s="112" t="s">
        <v>50</v>
      </c>
      <c r="G200" s="114">
        <v>9</v>
      </c>
      <c r="H200" s="115" t="s">
        <v>79</v>
      </c>
    </row>
    <row r="201" spans="1:8" ht="19.899999999999999" customHeight="1">
      <c r="A201" s="121">
        <v>46043</v>
      </c>
      <c r="B201" s="112" t="s">
        <v>48</v>
      </c>
      <c r="C201" s="113" t="s">
        <v>400</v>
      </c>
      <c r="D201" s="112" t="s">
        <v>341</v>
      </c>
      <c r="E201" s="122">
        <v>1.2534722222222221</v>
      </c>
      <c r="F201" s="112" t="s">
        <v>50</v>
      </c>
      <c r="G201" s="114">
        <v>9</v>
      </c>
      <c r="H201" s="115" t="s">
        <v>79</v>
      </c>
    </row>
    <row r="202" spans="1:8" ht="19.899999999999999" customHeight="1">
      <c r="A202" s="121">
        <v>46043</v>
      </c>
      <c r="B202" s="112" t="s">
        <v>48</v>
      </c>
      <c r="C202" s="113" t="s">
        <v>390</v>
      </c>
      <c r="D202" s="112" t="s">
        <v>341</v>
      </c>
      <c r="E202" s="122">
        <v>1.041666666666667</v>
      </c>
      <c r="F202" s="112" t="s">
        <v>50</v>
      </c>
      <c r="G202" s="114">
        <v>9</v>
      </c>
      <c r="H202" s="115" t="s">
        <v>79</v>
      </c>
    </row>
    <row r="203" spans="1:8" ht="19.899999999999999" customHeight="1">
      <c r="A203" s="121">
        <v>46043</v>
      </c>
      <c r="B203" s="112" t="s">
        <v>48</v>
      </c>
      <c r="C203" s="113" t="s">
        <v>385</v>
      </c>
      <c r="D203" s="112" t="s">
        <v>341</v>
      </c>
      <c r="E203" s="122">
        <v>1.9409722222222221</v>
      </c>
      <c r="F203" s="112" t="s">
        <v>50</v>
      </c>
      <c r="G203" s="114">
        <v>9</v>
      </c>
      <c r="H203" s="115" t="s">
        <v>79</v>
      </c>
    </row>
    <row r="204" spans="1:8" ht="19.899999999999999" customHeight="1">
      <c r="A204" s="123">
        <v>46043</v>
      </c>
      <c r="B204" s="124" t="s">
        <v>26</v>
      </c>
      <c r="C204" s="125" t="s">
        <v>354</v>
      </c>
      <c r="D204" s="124" t="s">
        <v>341</v>
      </c>
      <c r="E204" s="126">
        <v>1.3472222222222221</v>
      </c>
      <c r="F204" s="124" t="s">
        <v>28</v>
      </c>
      <c r="G204" s="127">
        <v>9</v>
      </c>
      <c r="H204" s="128" t="s">
        <v>79</v>
      </c>
    </row>
    <row r="205" spans="1:8" ht="19.899999999999999" customHeight="1">
      <c r="A205" s="121">
        <v>46044</v>
      </c>
      <c r="B205" s="112" t="s">
        <v>402</v>
      </c>
      <c r="C205" s="113" t="s">
        <v>403</v>
      </c>
      <c r="D205" s="112" t="s">
        <v>341</v>
      </c>
      <c r="E205" s="122">
        <v>1.493055555555556</v>
      </c>
      <c r="F205" s="112" t="s">
        <v>63</v>
      </c>
      <c r="G205" s="114">
        <v>5</v>
      </c>
      <c r="H205" s="115" t="s">
        <v>404</v>
      </c>
    </row>
    <row r="206" spans="1:8" ht="19.899999999999999" customHeight="1">
      <c r="A206" s="129">
        <v>46044</v>
      </c>
      <c r="B206" s="117" t="s">
        <v>61</v>
      </c>
      <c r="C206" s="118" t="s">
        <v>369</v>
      </c>
      <c r="D206" s="117" t="s">
        <v>341</v>
      </c>
      <c r="E206" s="130">
        <v>1.1875</v>
      </c>
      <c r="F206" s="117" t="s">
        <v>63</v>
      </c>
      <c r="G206" s="119">
        <v>7</v>
      </c>
      <c r="H206" s="120" t="s">
        <v>79</v>
      </c>
    </row>
    <row r="207" spans="1:8" ht="19.899999999999999" customHeight="1">
      <c r="A207" s="129">
        <v>46044</v>
      </c>
      <c r="B207" s="117" t="s">
        <v>61</v>
      </c>
      <c r="C207" s="118" t="s">
        <v>371</v>
      </c>
      <c r="D207" s="117" t="s">
        <v>341</v>
      </c>
      <c r="E207" s="130">
        <v>1.0659722222222221</v>
      </c>
      <c r="F207" s="117" t="s">
        <v>63</v>
      </c>
      <c r="G207" s="119">
        <v>3</v>
      </c>
      <c r="H207" s="120" t="s">
        <v>79</v>
      </c>
    </row>
    <row r="208" spans="1:8" ht="19.899999999999999" customHeight="1">
      <c r="A208" s="129">
        <v>46044</v>
      </c>
      <c r="B208" s="117" t="s">
        <v>61</v>
      </c>
      <c r="C208" s="118" t="s">
        <v>375</v>
      </c>
      <c r="D208" s="117" t="s">
        <v>341</v>
      </c>
      <c r="E208" s="130">
        <v>1.15625</v>
      </c>
      <c r="F208" s="117" t="s">
        <v>63</v>
      </c>
      <c r="G208" s="119">
        <v>3</v>
      </c>
      <c r="H208" s="120" t="s">
        <v>79</v>
      </c>
    </row>
    <row r="209" spans="1:8" ht="19.899999999999999" customHeight="1">
      <c r="A209" s="129">
        <v>46044</v>
      </c>
      <c r="B209" s="117" t="s">
        <v>61</v>
      </c>
      <c r="C209" s="118" t="s">
        <v>377</v>
      </c>
      <c r="D209" s="117" t="s">
        <v>341</v>
      </c>
      <c r="E209" s="130">
        <v>1.40625</v>
      </c>
      <c r="F209" s="117" t="s">
        <v>63</v>
      </c>
      <c r="G209" s="119">
        <v>2</v>
      </c>
      <c r="H209" s="120" t="s">
        <v>79</v>
      </c>
    </row>
    <row r="210" spans="1:8" ht="19.899999999999999" customHeight="1">
      <c r="A210" s="121">
        <v>46044</v>
      </c>
      <c r="B210" s="112" t="s">
        <v>26</v>
      </c>
      <c r="C210" s="113" t="s">
        <v>354</v>
      </c>
      <c r="D210" s="112" t="s">
        <v>341</v>
      </c>
      <c r="E210" s="122">
        <v>1.3472222222222221</v>
      </c>
      <c r="F210" s="112" t="s">
        <v>28</v>
      </c>
      <c r="G210" s="114">
        <v>7</v>
      </c>
      <c r="H210" s="115" t="s">
        <v>79</v>
      </c>
    </row>
    <row r="211" spans="1:8" ht="19.899999999999999" customHeight="1">
      <c r="A211" s="121">
        <v>46044</v>
      </c>
      <c r="B211" s="112" t="s">
        <v>26</v>
      </c>
      <c r="C211" s="113" t="s">
        <v>348</v>
      </c>
      <c r="D211" s="112" t="s">
        <v>341</v>
      </c>
      <c r="E211" s="122">
        <v>1.993055555555556</v>
      </c>
      <c r="F211" s="112" t="s">
        <v>28</v>
      </c>
      <c r="G211" s="114">
        <v>2</v>
      </c>
      <c r="H211" s="115" t="s">
        <v>79</v>
      </c>
    </row>
    <row r="212" spans="1:8" ht="19.899999999999999" customHeight="1">
      <c r="A212" s="121">
        <v>46044</v>
      </c>
      <c r="B212" s="112" t="s">
        <v>26</v>
      </c>
      <c r="C212" s="113" t="s">
        <v>356</v>
      </c>
      <c r="D212" s="112" t="s">
        <v>341</v>
      </c>
      <c r="E212" s="122">
        <v>1.4861111111111109</v>
      </c>
      <c r="F212" s="112" t="s">
        <v>28</v>
      </c>
      <c r="G212" s="114">
        <v>1</v>
      </c>
      <c r="H212" s="115" t="s">
        <v>79</v>
      </c>
    </row>
    <row r="213" spans="1:8" ht="19.899999999999999" customHeight="1">
      <c r="A213" s="121">
        <v>46044</v>
      </c>
      <c r="B213" s="112" t="s">
        <v>26</v>
      </c>
      <c r="C213" s="113" t="s">
        <v>350</v>
      </c>
      <c r="D213" s="112" t="s">
        <v>341</v>
      </c>
      <c r="E213" s="122">
        <v>1.7361111111111109</v>
      </c>
      <c r="F213" s="112" t="s">
        <v>28</v>
      </c>
      <c r="G213" s="114">
        <v>9</v>
      </c>
      <c r="H213" s="115" t="s">
        <v>45</v>
      </c>
    </row>
    <row r="214" spans="1:8" ht="19.899999999999999" customHeight="1">
      <c r="A214" s="121">
        <v>46044</v>
      </c>
      <c r="B214" s="112" t="s">
        <v>26</v>
      </c>
      <c r="C214" s="113" t="s">
        <v>352</v>
      </c>
      <c r="D214" s="112" t="s">
        <v>341</v>
      </c>
      <c r="E214" s="122">
        <v>1.944444444444444</v>
      </c>
      <c r="F214" s="112" t="s">
        <v>28</v>
      </c>
      <c r="G214" s="114">
        <v>2</v>
      </c>
      <c r="H214" s="115" t="s">
        <v>45</v>
      </c>
    </row>
    <row r="215" spans="1:8" ht="19.899999999999999" customHeight="1">
      <c r="A215" s="121">
        <v>46044</v>
      </c>
      <c r="B215" s="112" t="s">
        <v>26</v>
      </c>
      <c r="C215" s="113" t="s">
        <v>357</v>
      </c>
      <c r="D215" s="112" t="s">
        <v>341</v>
      </c>
      <c r="E215" s="122">
        <v>1.3923611111111109</v>
      </c>
      <c r="F215" s="112" t="s">
        <v>28</v>
      </c>
      <c r="G215" s="114">
        <v>3</v>
      </c>
      <c r="H215" s="115" t="s">
        <v>45</v>
      </c>
    </row>
    <row r="216" spans="1:8" ht="19.899999999999999" customHeight="1">
      <c r="A216" s="121">
        <v>46044</v>
      </c>
      <c r="B216" s="112" t="s">
        <v>26</v>
      </c>
      <c r="C216" s="113" t="s">
        <v>353</v>
      </c>
      <c r="D216" s="112" t="s">
        <v>341</v>
      </c>
      <c r="E216" s="122">
        <v>1.8888888888888891</v>
      </c>
      <c r="F216" s="112" t="s">
        <v>28</v>
      </c>
      <c r="G216" s="114">
        <v>8</v>
      </c>
      <c r="H216" s="115" t="s">
        <v>45</v>
      </c>
    </row>
    <row r="217" spans="1:8" ht="19.899999999999999" customHeight="1">
      <c r="A217" s="129">
        <v>46044</v>
      </c>
      <c r="B217" s="117" t="s">
        <v>61</v>
      </c>
      <c r="C217" s="118" t="s">
        <v>364</v>
      </c>
      <c r="D217" s="117" t="s">
        <v>341</v>
      </c>
      <c r="E217" s="130">
        <v>1.9375</v>
      </c>
      <c r="F217" s="117" t="s">
        <v>63</v>
      </c>
      <c r="G217" s="119">
        <v>9</v>
      </c>
      <c r="H217" s="120" t="s">
        <v>449</v>
      </c>
    </row>
    <row r="218" spans="1:8" ht="19.899999999999999" customHeight="1">
      <c r="A218" s="136">
        <v>46044</v>
      </c>
      <c r="B218" s="132" t="s">
        <v>61</v>
      </c>
      <c r="C218" s="133" t="s">
        <v>379</v>
      </c>
      <c r="D218" s="132" t="s">
        <v>341</v>
      </c>
      <c r="E218" s="137">
        <v>1.5625</v>
      </c>
      <c r="F218" s="132" t="s">
        <v>63</v>
      </c>
      <c r="G218" s="134">
        <v>9</v>
      </c>
      <c r="H218" s="135" t="s">
        <v>449</v>
      </c>
    </row>
    <row r="219" spans="1:8" ht="19.899999999999999" customHeight="1">
      <c r="A219" s="121">
        <v>46045</v>
      </c>
      <c r="B219" s="112" t="s">
        <v>402</v>
      </c>
      <c r="C219" s="113" t="s">
        <v>403</v>
      </c>
      <c r="D219" s="112" t="s">
        <v>341</v>
      </c>
      <c r="E219" s="122">
        <v>1.493055555555556</v>
      </c>
      <c r="F219" s="112" t="s">
        <v>63</v>
      </c>
      <c r="G219" s="114">
        <v>4</v>
      </c>
      <c r="H219" s="115" t="s">
        <v>404</v>
      </c>
    </row>
    <row r="220" spans="1:8" ht="19.899999999999999" customHeight="1">
      <c r="A220" s="129">
        <v>46045</v>
      </c>
      <c r="B220" s="117" t="s">
        <v>61</v>
      </c>
      <c r="C220" s="118" t="s">
        <v>377</v>
      </c>
      <c r="D220" s="117" t="s">
        <v>341</v>
      </c>
      <c r="E220" s="130">
        <v>1.28125</v>
      </c>
      <c r="F220" s="117" t="s">
        <v>63</v>
      </c>
      <c r="G220" s="119">
        <v>5</v>
      </c>
      <c r="H220" s="120" t="s">
        <v>79</v>
      </c>
    </row>
    <row r="221" spans="1:8" ht="19.899999999999999" customHeight="1">
      <c r="A221" s="129">
        <v>46045</v>
      </c>
      <c r="B221" s="117" t="s">
        <v>61</v>
      </c>
      <c r="C221" s="118" t="s">
        <v>379</v>
      </c>
      <c r="D221" s="117" t="s">
        <v>341</v>
      </c>
      <c r="E221" s="130">
        <v>1.4375</v>
      </c>
      <c r="F221" s="117" t="s">
        <v>63</v>
      </c>
      <c r="G221" s="119">
        <v>1</v>
      </c>
      <c r="H221" s="120" t="s">
        <v>79</v>
      </c>
    </row>
    <row r="222" spans="1:8" ht="19.899999999999999" customHeight="1">
      <c r="A222" s="121">
        <v>46045</v>
      </c>
      <c r="B222" s="112" t="s">
        <v>26</v>
      </c>
      <c r="C222" s="113" t="s">
        <v>351</v>
      </c>
      <c r="D222" s="112" t="s">
        <v>341</v>
      </c>
      <c r="E222" s="122">
        <v>1.836805555555556</v>
      </c>
      <c r="F222" s="112" t="s">
        <v>28</v>
      </c>
      <c r="G222" s="114">
        <v>3</v>
      </c>
      <c r="H222" s="115" t="s">
        <v>79</v>
      </c>
    </row>
    <row r="223" spans="1:8" ht="19.899999999999999" customHeight="1">
      <c r="A223" s="121">
        <v>46045</v>
      </c>
      <c r="B223" s="112" t="s">
        <v>26</v>
      </c>
      <c r="C223" s="113" t="s">
        <v>353</v>
      </c>
      <c r="D223" s="112" t="s">
        <v>341</v>
      </c>
      <c r="E223" s="122">
        <v>1.8888888888888891</v>
      </c>
      <c r="F223" s="112" t="s">
        <v>28</v>
      </c>
      <c r="G223" s="114">
        <v>5</v>
      </c>
      <c r="H223" s="115" t="s">
        <v>79</v>
      </c>
    </row>
    <row r="224" spans="1:8" ht="19.899999999999999" customHeight="1">
      <c r="A224" s="121">
        <v>46045</v>
      </c>
      <c r="B224" s="112" t="s">
        <v>26</v>
      </c>
      <c r="C224" s="113" t="s">
        <v>352</v>
      </c>
      <c r="D224" s="112" t="s">
        <v>341</v>
      </c>
      <c r="E224" s="122">
        <v>1.944444444444444</v>
      </c>
      <c r="F224" s="112" t="s">
        <v>28</v>
      </c>
      <c r="G224" s="114">
        <v>4</v>
      </c>
      <c r="H224" s="115" t="s">
        <v>45</v>
      </c>
    </row>
    <row r="225" spans="1:8" ht="19.899999999999999" customHeight="1">
      <c r="A225" s="121">
        <v>46045</v>
      </c>
      <c r="B225" s="112" t="s">
        <v>26</v>
      </c>
      <c r="C225" s="113" t="s">
        <v>356</v>
      </c>
      <c r="D225" s="112" t="s">
        <v>341</v>
      </c>
      <c r="E225" s="122">
        <v>1.4861111111111109</v>
      </c>
      <c r="F225" s="112" t="s">
        <v>28</v>
      </c>
      <c r="G225" s="114">
        <v>7</v>
      </c>
      <c r="H225" s="115" t="s">
        <v>45</v>
      </c>
    </row>
    <row r="226" spans="1:8" ht="19.899999999999999" customHeight="1">
      <c r="A226" s="121">
        <v>46045</v>
      </c>
      <c r="B226" s="112" t="s">
        <v>26</v>
      </c>
      <c r="C226" s="113" t="s">
        <v>357</v>
      </c>
      <c r="D226" s="112" t="s">
        <v>341</v>
      </c>
      <c r="E226" s="122">
        <v>1.5590277777777779</v>
      </c>
      <c r="F226" s="112" t="s">
        <v>28</v>
      </c>
      <c r="G226" s="114">
        <v>4</v>
      </c>
      <c r="H226" s="115" t="s">
        <v>45</v>
      </c>
    </row>
    <row r="227" spans="1:8" ht="19.899999999999999" customHeight="1">
      <c r="A227" s="129">
        <v>46045</v>
      </c>
      <c r="B227" s="117" t="s">
        <v>61</v>
      </c>
      <c r="C227" s="118" t="s">
        <v>432</v>
      </c>
      <c r="D227" s="117" t="s">
        <v>341</v>
      </c>
      <c r="E227" s="130">
        <v>1.760416666666667</v>
      </c>
      <c r="F227" s="117" t="s">
        <v>63</v>
      </c>
      <c r="G227" s="119">
        <v>9</v>
      </c>
      <c r="H227" s="120" t="s">
        <v>449</v>
      </c>
    </row>
    <row r="228" spans="1:8" ht="19.899999999999999" customHeight="1">
      <c r="A228" s="129">
        <v>46045</v>
      </c>
      <c r="B228" s="117" t="s">
        <v>61</v>
      </c>
      <c r="C228" s="118" t="s">
        <v>428</v>
      </c>
      <c r="D228" s="117" t="s">
        <v>341</v>
      </c>
      <c r="E228" s="130">
        <v>1.5590277777777779</v>
      </c>
      <c r="F228" s="117" t="s">
        <v>63</v>
      </c>
      <c r="G228" s="119">
        <v>9</v>
      </c>
      <c r="H228" s="120" t="s">
        <v>449</v>
      </c>
    </row>
    <row r="229" spans="1:8" ht="19.899999999999999" customHeight="1">
      <c r="A229" s="129">
        <v>46045</v>
      </c>
      <c r="B229" s="117" t="s">
        <v>61</v>
      </c>
      <c r="C229" s="118" t="s">
        <v>375</v>
      </c>
      <c r="D229" s="117" t="s">
        <v>341</v>
      </c>
      <c r="E229" s="130">
        <v>1.1423611111111109</v>
      </c>
      <c r="F229" s="117" t="s">
        <v>63</v>
      </c>
      <c r="G229" s="119">
        <v>9</v>
      </c>
      <c r="H229" s="120" t="s">
        <v>449</v>
      </c>
    </row>
    <row r="230" spans="1:8" ht="19.899999999999999" customHeight="1">
      <c r="A230" s="123">
        <v>46045</v>
      </c>
      <c r="B230" s="124" t="s">
        <v>26</v>
      </c>
      <c r="C230" s="125" t="s">
        <v>348</v>
      </c>
      <c r="D230" s="124" t="s">
        <v>341</v>
      </c>
      <c r="E230" s="126">
        <v>1.993055555555556</v>
      </c>
      <c r="F230" s="124" t="s">
        <v>31</v>
      </c>
      <c r="G230" s="127">
        <v>1</v>
      </c>
      <c r="H230" s="128" t="s">
        <v>159</v>
      </c>
    </row>
    <row r="231" spans="1:8" ht="19.899999999999999" customHeight="1">
      <c r="A231" s="121">
        <v>46046</v>
      </c>
      <c r="B231" s="112" t="s">
        <v>402</v>
      </c>
      <c r="C231" s="113" t="s">
        <v>403</v>
      </c>
      <c r="D231" s="112" t="s">
        <v>341</v>
      </c>
      <c r="E231" s="122">
        <v>1.493055555555556</v>
      </c>
      <c r="F231" s="112" t="s">
        <v>63</v>
      </c>
      <c r="G231" s="114">
        <v>5</v>
      </c>
      <c r="H231" s="115" t="s">
        <v>404</v>
      </c>
    </row>
    <row r="232" spans="1:8" ht="19.899999999999999" customHeight="1">
      <c r="A232" s="129">
        <v>46046</v>
      </c>
      <c r="B232" s="117" t="s">
        <v>61</v>
      </c>
      <c r="C232" s="118" t="s">
        <v>364</v>
      </c>
      <c r="D232" s="117" t="s">
        <v>341</v>
      </c>
      <c r="E232" s="130">
        <v>1.90625</v>
      </c>
      <c r="F232" s="117" t="s">
        <v>63</v>
      </c>
      <c r="G232" s="119">
        <v>4</v>
      </c>
      <c r="H232" s="120" t="s">
        <v>79</v>
      </c>
    </row>
    <row r="233" spans="1:8" ht="19.899999999999999" customHeight="1">
      <c r="A233" s="129">
        <v>46046</v>
      </c>
      <c r="B233" s="117" t="s">
        <v>61</v>
      </c>
      <c r="C233" s="118" t="s">
        <v>371</v>
      </c>
      <c r="D233" s="117" t="s">
        <v>341</v>
      </c>
      <c r="E233" s="130">
        <v>1.0486111111111109</v>
      </c>
      <c r="F233" s="117" t="s">
        <v>63</v>
      </c>
      <c r="G233" s="119">
        <v>5</v>
      </c>
      <c r="H233" s="120" t="s">
        <v>79</v>
      </c>
    </row>
    <row r="234" spans="1:8" ht="19.899999999999999" customHeight="1">
      <c r="A234" s="121">
        <v>46046</v>
      </c>
      <c r="B234" s="112" t="s">
        <v>26</v>
      </c>
      <c r="C234" s="113" t="s">
        <v>354</v>
      </c>
      <c r="D234" s="112" t="s">
        <v>341</v>
      </c>
      <c r="E234" s="122">
        <v>1.3472222222222221</v>
      </c>
      <c r="F234" s="112" t="s">
        <v>28</v>
      </c>
      <c r="G234" s="114">
        <v>2</v>
      </c>
      <c r="H234" s="115" t="s">
        <v>79</v>
      </c>
    </row>
    <row r="235" spans="1:8" ht="19.899999999999999" customHeight="1">
      <c r="A235" s="121">
        <v>46046</v>
      </c>
      <c r="B235" s="112" t="s">
        <v>26</v>
      </c>
      <c r="C235" s="113" t="s">
        <v>350</v>
      </c>
      <c r="D235" s="112" t="s">
        <v>341</v>
      </c>
      <c r="E235" s="122">
        <v>1.7361111111111109</v>
      </c>
      <c r="F235" s="112" t="s">
        <v>28</v>
      </c>
      <c r="G235" s="114">
        <v>4</v>
      </c>
      <c r="H235" s="115" t="s">
        <v>79</v>
      </c>
    </row>
    <row r="236" spans="1:8" ht="19.899999999999999" customHeight="1">
      <c r="A236" s="121">
        <v>46046</v>
      </c>
      <c r="B236" s="112" t="s">
        <v>26</v>
      </c>
      <c r="C236" s="113" t="s">
        <v>356</v>
      </c>
      <c r="D236" s="112" t="s">
        <v>341</v>
      </c>
      <c r="E236" s="122">
        <v>1.4861111111111109</v>
      </c>
      <c r="F236" s="112" t="s">
        <v>28</v>
      </c>
      <c r="G236" s="114">
        <v>3</v>
      </c>
      <c r="H236" s="115" t="s">
        <v>79</v>
      </c>
    </row>
    <row r="237" spans="1:8" ht="19.899999999999999" customHeight="1">
      <c r="A237" s="121">
        <v>46046</v>
      </c>
      <c r="B237" s="112" t="s">
        <v>26</v>
      </c>
      <c r="C237" s="113" t="s">
        <v>353</v>
      </c>
      <c r="D237" s="112" t="s">
        <v>341</v>
      </c>
      <c r="E237" s="122">
        <v>1.8888888888888891</v>
      </c>
      <c r="F237" s="112" t="s">
        <v>28</v>
      </c>
      <c r="G237" s="114">
        <v>4</v>
      </c>
      <c r="H237" s="115" t="s">
        <v>79</v>
      </c>
    </row>
    <row r="238" spans="1:8" ht="19.899999999999999" customHeight="1">
      <c r="A238" s="121">
        <v>46046</v>
      </c>
      <c r="B238" s="112" t="s">
        <v>26</v>
      </c>
      <c r="C238" s="113" t="s">
        <v>352</v>
      </c>
      <c r="D238" s="112" t="s">
        <v>341</v>
      </c>
      <c r="E238" s="122">
        <v>1.944444444444444</v>
      </c>
      <c r="F238" s="112" t="s">
        <v>28</v>
      </c>
      <c r="G238" s="114">
        <v>5</v>
      </c>
      <c r="H238" s="115" t="s">
        <v>45</v>
      </c>
    </row>
    <row r="239" spans="1:8" ht="19.899999999999999" customHeight="1">
      <c r="A239" s="129">
        <v>46046</v>
      </c>
      <c r="B239" s="117" t="s">
        <v>61</v>
      </c>
      <c r="C239" s="118" t="s">
        <v>375</v>
      </c>
      <c r="D239" s="117" t="s">
        <v>341</v>
      </c>
      <c r="E239" s="130">
        <v>1.15625</v>
      </c>
      <c r="F239" s="117" t="s">
        <v>63</v>
      </c>
      <c r="G239" s="119">
        <v>9</v>
      </c>
      <c r="H239" s="120" t="s">
        <v>449</v>
      </c>
    </row>
    <row r="240" spans="1:8" ht="19.899999999999999" customHeight="1">
      <c r="A240" s="129">
        <v>46046</v>
      </c>
      <c r="B240" s="117" t="s">
        <v>61</v>
      </c>
      <c r="C240" s="118" t="s">
        <v>377</v>
      </c>
      <c r="D240" s="117" t="s">
        <v>341</v>
      </c>
      <c r="E240" s="130">
        <v>1.5034722222222221</v>
      </c>
      <c r="F240" s="117" t="s">
        <v>63</v>
      </c>
      <c r="G240" s="119">
        <v>9</v>
      </c>
      <c r="H240" s="120" t="s">
        <v>449</v>
      </c>
    </row>
    <row r="241" spans="1:8" ht="19.899999999999999" customHeight="1">
      <c r="A241" s="121">
        <v>46046</v>
      </c>
      <c r="B241" s="112" t="s">
        <v>26</v>
      </c>
      <c r="C241" s="113" t="s">
        <v>348</v>
      </c>
      <c r="D241" s="112" t="s">
        <v>341</v>
      </c>
      <c r="E241" s="122">
        <v>1.993055555555556</v>
      </c>
      <c r="F241" s="112" t="s">
        <v>31</v>
      </c>
      <c r="G241" s="114">
        <v>2</v>
      </c>
      <c r="H241" s="115" t="s">
        <v>159</v>
      </c>
    </row>
    <row r="242" spans="1:8" ht="19.899999999999999" customHeight="1">
      <c r="A242" s="123">
        <v>46046</v>
      </c>
      <c r="B242" s="124" t="s">
        <v>26</v>
      </c>
      <c r="C242" s="125" t="s">
        <v>351</v>
      </c>
      <c r="D242" s="124" t="s">
        <v>341</v>
      </c>
      <c r="E242" s="126">
        <v>1.836805555555556</v>
      </c>
      <c r="F242" s="124" t="s">
        <v>31</v>
      </c>
      <c r="G242" s="127">
        <v>3</v>
      </c>
      <c r="H242" s="128" t="s">
        <v>159</v>
      </c>
    </row>
    <row r="243" spans="1:8" ht="19.899999999999999" customHeight="1">
      <c r="A243" s="121">
        <v>46047</v>
      </c>
      <c r="B243" s="112" t="s">
        <v>359</v>
      </c>
      <c r="C243" s="113" t="s">
        <v>360</v>
      </c>
      <c r="D243" s="112" t="s">
        <v>341</v>
      </c>
      <c r="E243" s="122">
        <v>1.229166666666667</v>
      </c>
      <c r="F243" s="112" t="s">
        <v>361</v>
      </c>
      <c r="G243" s="114">
        <v>9</v>
      </c>
      <c r="H243" s="115" t="s">
        <v>534</v>
      </c>
    </row>
    <row r="244" spans="1:8" ht="19.899999999999999" customHeight="1">
      <c r="A244" s="129">
        <v>46047</v>
      </c>
      <c r="B244" s="117" t="s">
        <v>61</v>
      </c>
      <c r="C244" s="118" t="s">
        <v>432</v>
      </c>
      <c r="D244" s="117" t="s">
        <v>341</v>
      </c>
      <c r="E244" s="130">
        <v>1.333333333333333</v>
      </c>
      <c r="F244" s="117" t="s">
        <v>63</v>
      </c>
      <c r="G244" s="119">
        <v>1</v>
      </c>
      <c r="H244" s="120" t="s">
        <v>365</v>
      </c>
    </row>
    <row r="245" spans="1:8" ht="19.899999999999999" customHeight="1">
      <c r="A245" s="121">
        <v>46047</v>
      </c>
      <c r="B245" s="112" t="s">
        <v>402</v>
      </c>
      <c r="C245" s="113" t="s">
        <v>403</v>
      </c>
      <c r="D245" s="112" t="s">
        <v>341</v>
      </c>
      <c r="E245" s="122">
        <v>1.493055555555556</v>
      </c>
      <c r="F245" s="112" t="s">
        <v>63</v>
      </c>
      <c r="G245" s="114">
        <v>5</v>
      </c>
      <c r="H245" s="115" t="s">
        <v>404</v>
      </c>
    </row>
    <row r="246" spans="1:8" ht="19.899999999999999" customHeight="1">
      <c r="A246" s="121">
        <v>46047</v>
      </c>
      <c r="B246" s="112" t="s">
        <v>402</v>
      </c>
      <c r="C246" s="113" t="s">
        <v>465</v>
      </c>
      <c r="D246" s="112" t="s">
        <v>341</v>
      </c>
      <c r="E246" s="122">
        <v>1.2048611111111109</v>
      </c>
      <c r="F246" s="112" t="s">
        <v>63</v>
      </c>
      <c r="G246" s="114">
        <v>5</v>
      </c>
      <c r="H246" s="115" t="s">
        <v>404</v>
      </c>
    </row>
    <row r="247" spans="1:8" ht="19.899999999999999" customHeight="1">
      <c r="A247" s="129">
        <v>46047</v>
      </c>
      <c r="B247" s="117" t="s">
        <v>61</v>
      </c>
      <c r="C247" s="118" t="s">
        <v>369</v>
      </c>
      <c r="D247" s="117" t="s">
        <v>341</v>
      </c>
      <c r="E247" s="130">
        <v>1.15625</v>
      </c>
      <c r="F247" s="117" t="s">
        <v>63</v>
      </c>
      <c r="G247" s="119">
        <v>9</v>
      </c>
      <c r="H247" s="120" t="s">
        <v>79</v>
      </c>
    </row>
    <row r="248" spans="1:8" ht="19.899999999999999" customHeight="1">
      <c r="A248" s="129">
        <v>46047</v>
      </c>
      <c r="B248" s="117" t="s">
        <v>61</v>
      </c>
      <c r="C248" s="118" t="s">
        <v>375</v>
      </c>
      <c r="D248" s="117" t="s">
        <v>341</v>
      </c>
      <c r="E248" s="130">
        <v>1.1423611111111109</v>
      </c>
      <c r="F248" s="117" t="s">
        <v>63</v>
      </c>
      <c r="G248" s="119">
        <v>1</v>
      </c>
      <c r="H248" s="120" t="s">
        <v>79</v>
      </c>
    </row>
    <row r="249" spans="1:8" ht="19.899999999999999" customHeight="1">
      <c r="A249" s="129">
        <v>46047</v>
      </c>
      <c r="B249" s="117" t="s">
        <v>61</v>
      </c>
      <c r="C249" s="118" t="s">
        <v>377</v>
      </c>
      <c r="D249" s="117" t="s">
        <v>341</v>
      </c>
      <c r="E249" s="130">
        <v>1.4548611111111109</v>
      </c>
      <c r="F249" s="117" t="s">
        <v>63</v>
      </c>
      <c r="G249" s="119">
        <v>5</v>
      </c>
      <c r="H249" s="120" t="s">
        <v>79</v>
      </c>
    </row>
    <row r="250" spans="1:8" ht="19.899999999999999" customHeight="1">
      <c r="A250" s="129">
        <v>46047</v>
      </c>
      <c r="B250" s="117" t="s">
        <v>61</v>
      </c>
      <c r="C250" s="118" t="s">
        <v>379</v>
      </c>
      <c r="D250" s="117" t="s">
        <v>341</v>
      </c>
      <c r="E250" s="130">
        <v>1.8298611111111109</v>
      </c>
      <c r="F250" s="117" t="s">
        <v>63</v>
      </c>
      <c r="G250" s="119">
        <v>7</v>
      </c>
      <c r="H250" s="120" t="s">
        <v>79</v>
      </c>
    </row>
    <row r="251" spans="1:8" ht="19.899999999999999" customHeight="1">
      <c r="A251" s="123">
        <v>46047</v>
      </c>
      <c r="B251" s="124" t="s">
        <v>26</v>
      </c>
      <c r="C251" s="125" t="s">
        <v>356</v>
      </c>
      <c r="D251" s="124" t="s">
        <v>341</v>
      </c>
      <c r="E251" s="126">
        <v>1.4861111111111109</v>
      </c>
      <c r="F251" s="124" t="s">
        <v>28</v>
      </c>
      <c r="G251" s="127">
        <v>5</v>
      </c>
      <c r="H251" s="128" t="s">
        <v>79</v>
      </c>
    </row>
    <row r="252" spans="1:8" ht="19.899999999999999" customHeight="1">
      <c r="A252" s="121">
        <v>46048</v>
      </c>
      <c r="B252" s="112" t="s">
        <v>402</v>
      </c>
      <c r="C252" s="113" t="s">
        <v>403</v>
      </c>
      <c r="D252" s="112" t="s">
        <v>341</v>
      </c>
      <c r="E252" s="122">
        <v>1.493055555555556</v>
      </c>
      <c r="F252" s="112" t="s">
        <v>63</v>
      </c>
      <c r="G252" s="114">
        <v>5</v>
      </c>
      <c r="H252" s="115" t="s">
        <v>404</v>
      </c>
    </row>
    <row r="253" spans="1:8" ht="19.899999999999999" customHeight="1">
      <c r="A253" s="121">
        <v>46048</v>
      </c>
      <c r="B253" s="112" t="s">
        <v>402</v>
      </c>
      <c r="C253" s="113" t="s">
        <v>465</v>
      </c>
      <c r="D253" s="112" t="s">
        <v>341</v>
      </c>
      <c r="E253" s="122">
        <v>1.135416666666667</v>
      </c>
      <c r="F253" s="112" t="s">
        <v>63</v>
      </c>
      <c r="G253" s="114">
        <v>5</v>
      </c>
      <c r="H253" s="115" t="s">
        <v>404</v>
      </c>
    </row>
    <row r="254" spans="1:8" ht="19.899999999999999" customHeight="1">
      <c r="A254" s="121">
        <v>46048</v>
      </c>
      <c r="B254" s="112" t="s">
        <v>402</v>
      </c>
      <c r="C254" s="113" t="s">
        <v>473</v>
      </c>
      <c r="D254" s="112" t="s">
        <v>341</v>
      </c>
      <c r="E254" s="122">
        <v>1.868055555555556</v>
      </c>
      <c r="F254" s="112" t="s">
        <v>63</v>
      </c>
      <c r="G254" s="114">
        <v>5</v>
      </c>
      <c r="H254" s="115" t="s">
        <v>404</v>
      </c>
    </row>
    <row r="255" spans="1:8" ht="19.899999999999999" customHeight="1">
      <c r="A255" s="129">
        <v>46048</v>
      </c>
      <c r="B255" s="117" t="s">
        <v>61</v>
      </c>
      <c r="C255" s="118" t="s">
        <v>432</v>
      </c>
      <c r="D255" s="117" t="s">
        <v>341</v>
      </c>
      <c r="E255" s="130">
        <v>1.802083333333333</v>
      </c>
      <c r="F255" s="117" t="s">
        <v>63</v>
      </c>
      <c r="G255" s="119">
        <v>6</v>
      </c>
      <c r="H255" s="120" t="s">
        <v>79</v>
      </c>
    </row>
    <row r="256" spans="1:8" ht="19.899999999999999" customHeight="1">
      <c r="A256" s="129">
        <v>46048</v>
      </c>
      <c r="B256" s="117" t="s">
        <v>61</v>
      </c>
      <c r="C256" s="118" t="s">
        <v>375</v>
      </c>
      <c r="D256" s="117" t="s">
        <v>341</v>
      </c>
      <c r="E256" s="130">
        <v>1.2465277777777779</v>
      </c>
      <c r="F256" s="117" t="s">
        <v>63</v>
      </c>
      <c r="G256" s="119">
        <v>2</v>
      </c>
      <c r="H256" s="120" t="s">
        <v>79</v>
      </c>
    </row>
    <row r="257" spans="1:8" ht="19.899999999999999" customHeight="1">
      <c r="A257" s="129">
        <v>46048</v>
      </c>
      <c r="B257" s="117" t="s">
        <v>61</v>
      </c>
      <c r="C257" s="118" t="s">
        <v>377</v>
      </c>
      <c r="D257" s="117" t="s">
        <v>341</v>
      </c>
      <c r="E257" s="130">
        <v>1.4375</v>
      </c>
      <c r="F257" s="117" t="s">
        <v>63</v>
      </c>
      <c r="G257" s="119">
        <v>4</v>
      </c>
      <c r="H257" s="120" t="s">
        <v>79</v>
      </c>
    </row>
    <row r="258" spans="1:8" ht="19.899999999999999" customHeight="1">
      <c r="A258" s="121">
        <v>46048</v>
      </c>
      <c r="B258" s="112" t="s">
        <v>26</v>
      </c>
      <c r="C258" s="113" t="s">
        <v>354</v>
      </c>
      <c r="D258" s="112" t="s">
        <v>341</v>
      </c>
      <c r="E258" s="122">
        <v>1.3472222222222221</v>
      </c>
      <c r="F258" s="112" t="s">
        <v>28</v>
      </c>
      <c r="G258" s="114">
        <v>3</v>
      </c>
      <c r="H258" s="115" t="s">
        <v>79</v>
      </c>
    </row>
    <row r="259" spans="1:8" ht="19.899999999999999" customHeight="1">
      <c r="A259" s="123">
        <v>46048</v>
      </c>
      <c r="B259" s="124" t="s">
        <v>26</v>
      </c>
      <c r="C259" s="125" t="s">
        <v>356</v>
      </c>
      <c r="D259" s="124" t="s">
        <v>341</v>
      </c>
      <c r="E259" s="126">
        <v>1.4861111111111109</v>
      </c>
      <c r="F259" s="124" t="s">
        <v>28</v>
      </c>
      <c r="G259" s="127">
        <v>3</v>
      </c>
      <c r="H259" s="128" t="s">
        <v>79</v>
      </c>
    </row>
    <row r="260" spans="1:8" ht="19.899999999999999" customHeight="1">
      <c r="A260" s="129">
        <v>46049</v>
      </c>
      <c r="B260" s="117" t="s">
        <v>61</v>
      </c>
      <c r="C260" s="118" t="s">
        <v>432</v>
      </c>
      <c r="D260" s="117" t="s">
        <v>341</v>
      </c>
      <c r="E260" s="130">
        <v>1.552083333333333</v>
      </c>
      <c r="F260" s="117" t="s">
        <v>63</v>
      </c>
      <c r="G260" s="119">
        <v>6</v>
      </c>
      <c r="H260" s="120" t="s">
        <v>365</v>
      </c>
    </row>
    <row r="261" spans="1:8" ht="19.899999999999999" customHeight="1">
      <c r="A261" s="129">
        <v>46049</v>
      </c>
      <c r="B261" s="117" t="s">
        <v>61</v>
      </c>
      <c r="C261" s="118" t="s">
        <v>428</v>
      </c>
      <c r="D261" s="117" t="s">
        <v>341</v>
      </c>
      <c r="E261" s="130">
        <v>1.052083333333333</v>
      </c>
      <c r="F261" s="117" t="s">
        <v>63</v>
      </c>
      <c r="G261" s="119">
        <v>4</v>
      </c>
      <c r="H261" s="120" t="s">
        <v>365</v>
      </c>
    </row>
    <row r="262" spans="1:8" ht="19.899999999999999" customHeight="1">
      <c r="A262" s="129">
        <v>46049</v>
      </c>
      <c r="B262" s="117" t="s">
        <v>61</v>
      </c>
      <c r="C262" s="118" t="s">
        <v>377</v>
      </c>
      <c r="D262" s="117" t="s">
        <v>341</v>
      </c>
      <c r="E262" s="130">
        <v>1.4375</v>
      </c>
      <c r="F262" s="117" t="s">
        <v>63</v>
      </c>
      <c r="G262" s="119">
        <v>1</v>
      </c>
      <c r="H262" s="120" t="s">
        <v>365</v>
      </c>
    </row>
    <row r="263" spans="1:8" ht="19.899999999999999" customHeight="1">
      <c r="A263" s="129">
        <v>46049</v>
      </c>
      <c r="B263" s="117" t="s">
        <v>61</v>
      </c>
      <c r="C263" s="118" t="s">
        <v>379</v>
      </c>
      <c r="D263" s="117" t="s">
        <v>341</v>
      </c>
      <c r="E263" s="130">
        <v>1.381944444444444</v>
      </c>
      <c r="F263" s="117" t="s">
        <v>63</v>
      </c>
      <c r="G263" s="119">
        <v>3</v>
      </c>
      <c r="H263" s="120" t="s">
        <v>365</v>
      </c>
    </row>
    <row r="264" spans="1:8" ht="19.899999999999999" customHeight="1">
      <c r="A264" s="121">
        <v>46049</v>
      </c>
      <c r="B264" s="112" t="s">
        <v>402</v>
      </c>
      <c r="C264" s="113" t="s">
        <v>403</v>
      </c>
      <c r="D264" s="112" t="s">
        <v>341</v>
      </c>
      <c r="E264" s="122">
        <v>1.493055555555556</v>
      </c>
      <c r="F264" s="112" t="s">
        <v>63</v>
      </c>
      <c r="G264" s="114">
        <v>4</v>
      </c>
      <c r="H264" s="115" t="s">
        <v>404</v>
      </c>
    </row>
    <row r="265" spans="1:8" ht="19.899999999999999" customHeight="1">
      <c r="A265" s="129">
        <v>46049</v>
      </c>
      <c r="B265" s="117" t="s">
        <v>61</v>
      </c>
      <c r="C265" s="118" t="s">
        <v>364</v>
      </c>
      <c r="D265" s="117" t="s">
        <v>341</v>
      </c>
      <c r="E265" s="130">
        <v>1.756944444444444</v>
      </c>
      <c r="F265" s="117" t="s">
        <v>63</v>
      </c>
      <c r="G265" s="119">
        <v>6</v>
      </c>
      <c r="H265" s="120" t="s">
        <v>79</v>
      </c>
    </row>
    <row r="266" spans="1:8" ht="19.899999999999999" customHeight="1">
      <c r="A266" s="129">
        <v>46049</v>
      </c>
      <c r="B266" s="117" t="s">
        <v>61</v>
      </c>
      <c r="C266" s="118" t="s">
        <v>375</v>
      </c>
      <c r="D266" s="117" t="s">
        <v>341</v>
      </c>
      <c r="E266" s="130">
        <v>1.791666666666667</v>
      </c>
      <c r="F266" s="117" t="s">
        <v>63</v>
      </c>
      <c r="G266" s="119">
        <v>7</v>
      </c>
      <c r="H266" s="120" t="s">
        <v>79</v>
      </c>
    </row>
    <row r="267" spans="1:8" ht="19.899999999999999" customHeight="1">
      <c r="A267" s="123">
        <v>46049</v>
      </c>
      <c r="B267" s="124" t="s">
        <v>26</v>
      </c>
      <c r="C267" s="125" t="s">
        <v>354</v>
      </c>
      <c r="D267" s="124" t="s">
        <v>341</v>
      </c>
      <c r="E267" s="126">
        <v>1.3472222222222221</v>
      </c>
      <c r="F267" s="124" t="s">
        <v>28</v>
      </c>
      <c r="G267" s="127">
        <v>5</v>
      </c>
      <c r="H267" s="128" t="s">
        <v>79</v>
      </c>
    </row>
    <row r="268" spans="1:8" ht="19.899999999999999" customHeight="1">
      <c r="A268" s="129">
        <v>46050</v>
      </c>
      <c r="B268" s="117" t="s">
        <v>61</v>
      </c>
      <c r="C268" s="118" t="s">
        <v>364</v>
      </c>
      <c r="D268" s="117" t="s">
        <v>341</v>
      </c>
      <c r="E268" s="130">
        <v>1.2326388888888891</v>
      </c>
      <c r="F268" s="117" t="s">
        <v>63</v>
      </c>
      <c r="G268" s="119">
        <v>1</v>
      </c>
      <c r="H268" s="120" t="s">
        <v>365</v>
      </c>
    </row>
    <row r="269" spans="1:8" ht="19.899999999999999" customHeight="1">
      <c r="A269" s="129">
        <v>46050</v>
      </c>
      <c r="B269" s="117" t="s">
        <v>61</v>
      </c>
      <c r="C269" s="118" t="s">
        <v>432</v>
      </c>
      <c r="D269" s="117" t="s">
        <v>341</v>
      </c>
      <c r="E269" s="130">
        <v>1.34375</v>
      </c>
      <c r="F269" s="117" t="s">
        <v>63</v>
      </c>
      <c r="G269" s="119">
        <v>6</v>
      </c>
      <c r="H269" s="120" t="s">
        <v>365</v>
      </c>
    </row>
    <row r="270" spans="1:8" ht="19.899999999999999" customHeight="1">
      <c r="A270" s="129">
        <v>46050</v>
      </c>
      <c r="B270" s="117" t="s">
        <v>61</v>
      </c>
      <c r="C270" s="118" t="s">
        <v>375</v>
      </c>
      <c r="D270" s="117" t="s">
        <v>341</v>
      </c>
      <c r="E270" s="130">
        <v>1.3402777777777779</v>
      </c>
      <c r="F270" s="117" t="s">
        <v>63</v>
      </c>
      <c r="G270" s="119">
        <v>6</v>
      </c>
      <c r="H270" s="120" t="s">
        <v>365</v>
      </c>
    </row>
    <row r="271" spans="1:8" ht="19.899999999999999" customHeight="1">
      <c r="A271" s="129">
        <v>46050</v>
      </c>
      <c r="B271" s="117" t="s">
        <v>61</v>
      </c>
      <c r="C271" s="118" t="s">
        <v>377</v>
      </c>
      <c r="D271" s="117" t="s">
        <v>341</v>
      </c>
      <c r="E271" s="130">
        <v>1.4375</v>
      </c>
      <c r="F271" s="117" t="s">
        <v>63</v>
      </c>
      <c r="G271" s="119">
        <v>2</v>
      </c>
      <c r="H271" s="120" t="s">
        <v>365</v>
      </c>
    </row>
    <row r="272" spans="1:8" ht="19.899999999999999" customHeight="1">
      <c r="A272" s="121">
        <v>46050</v>
      </c>
      <c r="B272" s="112" t="s">
        <v>402</v>
      </c>
      <c r="C272" s="113" t="s">
        <v>403</v>
      </c>
      <c r="D272" s="112" t="s">
        <v>341</v>
      </c>
      <c r="E272" s="122">
        <v>1.493055555555556</v>
      </c>
      <c r="F272" s="112" t="s">
        <v>63</v>
      </c>
      <c r="G272" s="114">
        <v>5</v>
      </c>
      <c r="H272" s="115" t="s">
        <v>404</v>
      </c>
    </row>
    <row r="273" spans="1:8" ht="19.899999999999999" customHeight="1">
      <c r="A273" s="121">
        <v>46050</v>
      </c>
      <c r="B273" s="112" t="s">
        <v>402</v>
      </c>
      <c r="C273" s="113" t="s">
        <v>465</v>
      </c>
      <c r="D273" s="112" t="s">
        <v>341</v>
      </c>
      <c r="E273" s="122">
        <v>1.194444444444444</v>
      </c>
      <c r="F273" s="112" t="s">
        <v>63</v>
      </c>
      <c r="G273" s="114">
        <v>5</v>
      </c>
      <c r="H273" s="115" t="s">
        <v>404</v>
      </c>
    </row>
    <row r="274" spans="1:8" ht="19.899999999999999" customHeight="1">
      <c r="A274" s="136">
        <v>46050</v>
      </c>
      <c r="B274" s="132" t="s">
        <v>61</v>
      </c>
      <c r="C274" s="133" t="s">
        <v>428</v>
      </c>
      <c r="D274" s="132" t="s">
        <v>341</v>
      </c>
      <c r="E274" s="137">
        <v>1.9375</v>
      </c>
      <c r="F274" s="132" t="s">
        <v>63</v>
      </c>
      <c r="G274" s="134">
        <v>7</v>
      </c>
      <c r="H274" s="135" t="s">
        <v>79</v>
      </c>
    </row>
    <row r="275" spans="1:8" ht="19.899999999999999" customHeight="1">
      <c r="A275" s="129">
        <v>46051</v>
      </c>
      <c r="B275" s="117" t="s">
        <v>61</v>
      </c>
      <c r="C275" s="118" t="s">
        <v>371</v>
      </c>
      <c r="D275" s="117" t="s">
        <v>341</v>
      </c>
      <c r="E275" s="130">
        <v>1.0659722222222221</v>
      </c>
      <c r="F275" s="117" t="s">
        <v>63</v>
      </c>
      <c r="G275" s="119">
        <v>4</v>
      </c>
      <c r="H275" s="120" t="s">
        <v>365</v>
      </c>
    </row>
    <row r="276" spans="1:8" ht="19.899999999999999" customHeight="1">
      <c r="A276" s="129">
        <v>46051</v>
      </c>
      <c r="B276" s="117" t="s">
        <v>61</v>
      </c>
      <c r="C276" s="118" t="s">
        <v>375</v>
      </c>
      <c r="D276" s="117" t="s">
        <v>341</v>
      </c>
      <c r="E276" s="130">
        <v>1.15625</v>
      </c>
      <c r="F276" s="117" t="s">
        <v>63</v>
      </c>
      <c r="G276" s="119">
        <v>6</v>
      </c>
      <c r="H276" s="120" t="s">
        <v>365</v>
      </c>
    </row>
    <row r="277" spans="1:8" ht="19.899999999999999" customHeight="1">
      <c r="A277" s="129">
        <v>46051</v>
      </c>
      <c r="B277" s="117" t="s">
        <v>61</v>
      </c>
      <c r="C277" s="118" t="s">
        <v>379</v>
      </c>
      <c r="D277" s="117" t="s">
        <v>341</v>
      </c>
      <c r="E277" s="130">
        <v>1.5625</v>
      </c>
      <c r="F277" s="117" t="s">
        <v>63</v>
      </c>
      <c r="G277" s="119">
        <v>4</v>
      </c>
      <c r="H277" s="120" t="s">
        <v>365</v>
      </c>
    </row>
    <row r="278" spans="1:8" ht="19.899999999999999" customHeight="1">
      <c r="A278" s="121">
        <v>46051</v>
      </c>
      <c r="B278" s="112" t="s">
        <v>402</v>
      </c>
      <c r="C278" s="113" t="s">
        <v>403</v>
      </c>
      <c r="D278" s="112" t="s">
        <v>341</v>
      </c>
      <c r="E278" s="122">
        <v>1.493055555555556</v>
      </c>
      <c r="F278" s="112" t="s">
        <v>63</v>
      </c>
      <c r="G278" s="114">
        <v>5</v>
      </c>
      <c r="H278" s="115" t="s">
        <v>404</v>
      </c>
    </row>
    <row r="279" spans="1:8" ht="19.899999999999999" customHeight="1">
      <c r="A279" s="129">
        <v>46051</v>
      </c>
      <c r="B279" s="117" t="s">
        <v>61</v>
      </c>
      <c r="C279" s="118" t="s">
        <v>364</v>
      </c>
      <c r="D279" s="117" t="s">
        <v>341</v>
      </c>
      <c r="E279" s="130">
        <v>1.9375</v>
      </c>
      <c r="F279" s="117" t="s">
        <v>63</v>
      </c>
      <c r="G279" s="119">
        <v>2</v>
      </c>
      <c r="H279" s="120" t="s">
        <v>79</v>
      </c>
    </row>
    <row r="280" spans="1:8" ht="19.899999999999999" customHeight="1">
      <c r="A280" s="129">
        <v>46051</v>
      </c>
      <c r="B280" s="117" t="s">
        <v>61</v>
      </c>
      <c r="C280" s="118" t="s">
        <v>369</v>
      </c>
      <c r="D280" s="117" t="s">
        <v>341</v>
      </c>
      <c r="E280" s="130">
        <v>1.1875</v>
      </c>
      <c r="F280" s="117" t="s">
        <v>63</v>
      </c>
      <c r="G280" s="119">
        <v>9</v>
      </c>
      <c r="H280" s="120" t="s">
        <v>79</v>
      </c>
    </row>
    <row r="281" spans="1:8" ht="19.899999999999999" customHeight="1">
      <c r="A281" s="129">
        <v>46051</v>
      </c>
      <c r="B281" s="117" t="s">
        <v>61</v>
      </c>
      <c r="C281" s="118" t="s">
        <v>377</v>
      </c>
      <c r="D281" s="117" t="s">
        <v>341</v>
      </c>
      <c r="E281" s="130">
        <v>1.40625</v>
      </c>
      <c r="F281" s="117" t="s">
        <v>63</v>
      </c>
      <c r="G281" s="119">
        <v>7</v>
      </c>
      <c r="H281" s="120" t="s">
        <v>79</v>
      </c>
    </row>
    <row r="282" spans="1:8" ht="19.899999999999999" customHeight="1">
      <c r="A282" s="123">
        <v>46051</v>
      </c>
      <c r="B282" s="124" t="s">
        <v>26</v>
      </c>
      <c r="C282" s="125" t="s">
        <v>351</v>
      </c>
      <c r="D282" s="124" t="s">
        <v>341</v>
      </c>
      <c r="E282" s="126">
        <v>1.836805555555556</v>
      </c>
      <c r="F282" s="124" t="s">
        <v>28</v>
      </c>
      <c r="G282" s="127">
        <v>1</v>
      </c>
      <c r="H282" s="128" t="s">
        <v>79</v>
      </c>
    </row>
    <row r="283" spans="1:8" ht="19.899999999999999" customHeight="1">
      <c r="A283" s="121">
        <v>46052</v>
      </c>
      <c r="B283" s="112" t="s">
        <v>359</v>
      </c>
      <c r="C283" s="113" t="s">
        <v>422</v>
      </c>
      <c r="D283" s="112" t="s">
        <v>341</v>
      </c>
      <c r="E283" s="122">
        <v>1.8090277777777779</v>
      </c>
      <c r="F283" s="112" t="s">
        <v>361</v>
      </c>
      <c r="G283" s="114">
        <v>9</v>
      </c>
      <c r="H283" s="115" t="s">
        <v>534</v>
      </c>
    </row>
    <row r="284" spans="1:8" ht="19.899999999999999" customHeight="1">
      <c r="A284" s="121">
        <v>46052</v>
      </c>
      <c r="B284" s="112" t="s">
        <v>359</v>
      </c>
      <c r="C284" s="113" t="s">
        <v>360</v>
      </c>
      <c r="D284" s="112" t="s">
        <v>341</v>
      </c>
      <c r="E284" s="122">
        <v>1.225694444444444</v>
      </c>
      <c r="F284" s="112" t="s">
        <v>361</v>
      </c>
      <c r="G284" s="114">
        <v>9</v>
      </c>
      <c r="H284" s="115" t="s">
        <v>534</v>
      </c>
    </row>
    <row r="285" spans="1:8" ht="19.899999999999999" customHeight="1">
      <c r="A285" s="121">
        <v>46052</v>
      </c>
      <c r="B285" s="112" t="s">
        <v>359</v>
      </c>
      <c r="C285" s="113" t="s">
        <v>425</v>
      </c>
      <c r="D285" s="112" t="s">
        <v>341</v>
      </c>
      <c r="E285" s="122">
        <v>1.510416666666667</v>
      </c>
      <c r="F285" s="112" t="s">
        <v>361</v>
      </c>
      <c r="G285" s="114">
        <v>9</v>
      </c>
      <c r="H285" s="115" t="s">
        <v>534</v>
      </c>
    </row>
    <row r="286" spans="1:8" ht="19.899999999999999" customHeight="1">
      <c r="A286" s="129">
        <v>46052</v>
      </c>
      <c r="B286" s="117" t="s">
        <v>61</v>
      </c>
      <c r="C286" s="118" t="s">
        <v>428</v>
      </c>
      <c r="D286" s="117" t="s">
        <v>341</v>
      </c>
      <c r="E286" s="130">
        <v>1.5590277777777779</v>
      </c>
      <c r="F286" s="117" t="s">
        <v>63</v>
      </c>
      <c r="G286" s="119">
        <v>2</v>
      </c>
      <c r="H286" s="120" t="s">
        <v>365</v>
      </c>
    </row>
    <row r="287" spans="1:8" ht="19.899999999999999" customHeight="1">
      <c r="A287" s="129">
        <v>46052</v>
      </c>
      <c r="B287" s="117" t="s">
        <v>61</v>
      </c>
      <c r="C287" s="118" t="s">
        <v>377</v>
      </c>
      <c r="D287" s="117" t="s">
        <v>341</v>
      </c>
      <c r="E287" s="130">
        <v>1.28125</v>
      </c>
      <c r="F287" s="117" t="s">
        <v>63</v>
      </c>
      <c r="G287" s="119">
        <v>1</v>
      </c>
      <c r="H287" s="120" t="s">
        <v>365</v>
      </c>
    </row>
    <row r="288" spans="1:8" ht="19.899999999999999" customHeight="1">
      <c r="A288" s="129">
        <v>46052</v>
      </c>
      <c r="B288" s="117" t="s">
        <v>61</v>
      </c>
      <c r="C288" s="118" t="s">
        <v>379</v>
      </c>
      <c r="D288" s="117" t="s">
        <v>341</v>
      </c>
      <c r="E288" s="130">
        <v>1.4375</v>
      </c>
      <c r="F288" s="117" t="s">
        <v>63</v>
      </c>
      <c r="G288" s="119">
        <v>1</v>
      </c>
      <c r="H288" s="120" t="s">
        <v>365</v>
      </c>
    </row>
    <row r="289" spans="1:8" ht="19.899999999999999" customHeight="1">
      <c r="A289" s="121">
        <v>46052</v>
      </c>
      <c r="B289" s="112" t="s">
        <v>402</v>
      </c>
      <c r="C289" s="113" t="s">
        <v>403</v>
      </c>
      <c r="D289" s="112" t="s">
        <v>341</v>
      </c>
      <c r="E289" s="122">
        <v>1.493055555555556</v>
      </c>
      <c r="F289" s="112" t="s">
        <v>63</v>
      </c>
      <c r="G289" s="114">
        <v>5</v>
      </c>
      <c r="H289" s="115" t="s">
        <v>404</v>
      </c>
    </row>
    <row r="290" spans="1:8" ht="19.899999999999999" customHeight="1">
      <c r="A290" s="129">
        <v>46052</v>
      </c>
      <c r="B290" s="117" t="s">
        <v>61</v>
      </c>
      <c r="C290" s="118" t="s">
        <v>432</v>
      </c>
      <c r="D290" s="117" t="s">
        <v>341</v>
      </c>
      <c r="E290" s="130">
        <v>1.760416666666667</v>
      </c>
      <c r="F290" s="117" t="s">
        <v>63</v>
      </c>
      <c r="G290" s="119">
        <v>5</v>
      </c>
      <c r="H290" s="120" t="s">
        <v>79</v>
      </c>
    </row>
    <row r="291" spans="1:8" ht="19.899999999999999" customHeight="1">
      <c r="A291" s="129">
        <v>46052</v>
      </c>
      <c r="B291" s="117" t="s">
        <v>61</v>
      </c>
      <c r="C291" s="118" t="s">
        <v>375</v>
      </c>
      <c r="D291" s="117" t="s">
        <v>341</v>
      </c>
      <c r="E291" s="130">
        <v>1.1423611111111109</v>
      </c>
      <c r="F291" s="117" t="s">
        <v>63</v>
      </c>
      <c r="G291" s="119">
        <v>6</v>
      </c>
      <c r="H291" s="120" t="s">
        <v>79</v>
      </c>
    </row>
    <row r="292" spans="1:8" ht="19.899999999999999" customHeight="1">
      <c r="A292" s="123">
        <v>46052</v>
      </c>
      <c r="B292" s="124" t="s">
        <v>26</v>
      </c>
      <c r="C292" s="125" t="s">
        <v>350</v>
      </c>
      <c r="D292" s="124" t="s">
        <v>341</v>
      </c>
      <c r="E292" s="126">
        <v>1.7361111111111109</v>
      </c>
      <c r="F292" s="124" t="s">
        <v>28</v>
      </c>
      <c r="G292" s="127">
        <v>5</v>
      </c>
      <c r="H292" s="128" t="s">
        <v>79</v>
      </c>
    </row>
    <row r="293" spans="1:8" ht="19.899999999999999" customHeight="1">
      <c r="A293" s="121">
        <v>46053</v>
      </c>
      <c r="B293" s="112" t="s">
        <v>359</v>
      </c>
      <c r="C293" s="113" t="s">
        <v>360</v>
      </c>
      <c r="D293" s="112" t="s">
        <v>341</v>
      </c>
      <c r="E293" s="122">
        <v>1.1701388888888891</v>
      </c>
      <c r="F293" s="112" t="s">
        <v>361</v>
      </c>
      <c r="G293" s="114">
        <v>9</v>
      </c>
      <c r="H293" s="115" t="s">
        <v>534</v>
      </c>
    </row>
    <row r="294" spans="1:8" ht="19.899999999999999" customHeight="1">
      <c r="A294" s="121">
        <v>46053</v>
      </c>
      <c r="B294" s="112" t="s">
        <v>359</v>
      </c>
      <c r="C294" s="113" t="s">
        <v>445</v>
      </c>
      <c r="D294" s="112" t="s">
        <v>341</v>
      </c>
      <c r="E294" s="122">
        <v>1.055555555555556</v>
      </c>
      <c r="F294" s="112" t="s">
        <v>361</v>
      </c>
      <c r="G294" s="114">
        <v>9</v>
      </c>
      <c r="H294" s="115" t="s">
        <v>534</v>
      </c>
    </row>
    <row r="295" spans="1:8" ht="19.899999999999999" customHeight="1">
      <c r="A295" s="129">
        <v>46053</v>
      </c>
      <c r="B295" s="117" t="s">
        <v>61</v>
      </c>
      <c r="C295" s="118" t="s">
        <v>371</v>
      </c>
      <c r="D295" s="117" t="s">
        <v>341</v>
      </c>
      <c r="E295" s="130">
        <v>1.0486111111111109</v>
      </c>
      <c r="F295" s="117" t="s">
        <v>63</v>
      </c>
      <c r="G295" s="119">
        <v>5</v>
      </c>
      <c r="H295" s="120" t="s">
        <v>365</v>
      </c>
    </row>
    <row r="296" spans="1:8" ht="19.899999999999999" customHeight="1">
      <c r="A296" s="129">
        <v>46053</v>
      </c>
      <c r="B296" s="117" t="s">
        <v>61</v>
      </c>
      <c r="C296" s="118" t="s">
        <v>377</v>
      </c>
      <c r="D296" s="117" t="s">
        <v>341</v>
      </c>
      <c r="E296" s="130">
        <v>1.5034722222222221</v>
      </c>
      <c r="F296" s="117" t="s">
        <v>63</v>
      </c>
      <c r="G296" s="119">
        <v>3</v>
      </c>
      <c r="H296" s="120" t="s">
        <v>365</v>
      </c>
    </row>
    <row r="297" spans="1:8" ht="19.899999999999999" customHeight="1">
      <c r="A297" s="121">
        <v>46053</v>
      </c>
      <c r="B297" s="112" t="s">
        <v>402</v>
      </c>
      <c r="C297" s="113" t="s">
        <v>403</v>
      </c>
      <c r="D297" s="112" t="s">
        <v>341</v>
      </c>
      <c r="E297" s="122">
        <v>1.493055555555556</v>
      </c>
      <c r="F297" s="112" t="s">
        <v>63</v>
      </c>
      <c r="G297" s="114">
        <v>4</v>
      </c>
      <c r="H297" s="115" t="s">
        <v>404</v>
      </c>
    </row>
    <row r="298" spans="1:8" ht="19.899999999999999" customHeight="1">
      <c r="A298" s="129">
        <v>46053</v>
      </c>
      <c r="B298" s="117" t="s">
        <v>61</v>
      </c>
      <c r="C298" s="118" t="s">
        <v>364</v>
      </c>
      <c r="D298" s="117" t="s">
        <v>341</v>
      </c>
      <c r="E298" s="130">
        <v>1.90625</v>
      </c>
      <c r="F298" s="117" t="s">
        <v>63</v>
      </c>
      <c r="G298" s="119">
        <v>7</v>
      </c>
      <c r="H298" s="120" t="s">
        <v>79</v>
      </c>
    </row>
    <row r="299" spans="1:8" ht="19.899999999999999" customHeight="1">
      <c r="A299" s="129">
        <v>46053</v>
      </c>
      <c r="B299" s="117" t="s">
        <v>61</v>
      </c>
      <c r="C299" s="118" t="s">
        <v>375</v>
      </c>
      <c r="D299" s="117" t="s">
        <v>341</v>
      </c>
      <c r="E299" s="130">
        <v>1.15625</v>
      </c>
      <c r="F299" s="117" t="s">
        <v>63</v>
      </c>
      <c r="G299" s="119">
        <v>7</v>
      </c>
      <c r="H299" s="120" t="s">
        <v>79</v>
      </c>
    </row>
    <row r="300" spans="1:8" ht="19.899999999999999" customHeight="1">
      <c r="A300" s="121">
        <v>46053</v>
      </c>
      <c r="B300" s="112" t="s">
        <v>26</v>
      </c>
      <c r="C300" s="113" t="s">
        <v>348</v>
      </c>
      <c r="D300" s="112" t="s">
        <v>341</v>
      </c>
      <c r="E300" s="122">
        <v>1.993055555555556</v>
      </c>
      <c r="F300" s="112" t="s">
        <v>28</v>
      </c>
      <c r="G300" s="114">
        <v>5</v>
      </c>
      <c r="H300" s="115" t="s">
        <v>79</v>
      </c>
    </row>
    <row r="301" spans="1:8" ht="19.899999999999999" customHeight="1">
      <c r="A301" s="123">
        <v>46053</v>
      </c>
      <c r="B301" s="124" t="s">
        <v>26</v>
      </c>
      <c r="C301" s="125" t="s">
        <v>350</v>
      </c>
      <c r="D301" s="124" t="s">
        <v>341</v>
      </c>
      <c r="E301" s="126">
        <v>1.7361111111111109</v>
      </c>
      <c r="F301" s="124" t="s">
        <v>28</v>
      </c>
      <c r="G301" s="127">
        <v>4</v>
      </c>
      <c r="H301" s="128" t="s">
        <v>79</v>
      </c>
    </row>
  </sheetData>
  <pageMargins left="0.75" right="0.75" top="1" bottom="1" header="0.5" footer="0.5"/>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N731"/>
  <sheetViews>
    <sheetView workbookViewId="0"/>
  </sheetViews>
  <sheetFormatPr defaultRowHeight="14.45"/>
  <cols>
    <col min="1" max="1" width="17.28515625" bestFit="1" customWidth="1"/>
    <col min="2" max="2" width="15.7109375" bestFit="1" customWidth="1"/>
    <col min="3" max="3" width="14.7109375" bestFit="1" customWidth="1"/>
    <col min="4" max="4" width="33" bestFit="1" customWidth="1"/>
    <col min="5" max="5" width="20.140625" bestFit="1" customWidth="1"/>
    <col min="6" max="6" width="23.42578125" bestFit="1" customWidth="1"/>
    <col min="7" max="7" width="45.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17.85546875" bestFit="1" customWidth="1"/>
  </cols>
  <sheetData>
    <row r="1" spans="1:92" ht="28.9" customHeight="1">
      <c r="A1" s="291" t="s">
        <v>0</v>
      </c>
      <c r="B1" s="294"/>
      <c r="C1" s="294"/>
      <c r="D1" s="294"/>
      <c r="E1" s="294"/>
      <c r="F1" s="1" t="s">
        <v>601</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45980.609691511883</v>
      </c>
      <c r="H2" s="294"/>
      <c r="I2" s="294"/>
      <c r="J2" s="294"/>
      <c r="K2" s="287">
        <v>45980.609691512211</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46023</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359</v>
      </c>
      <c r="B6" s="8" t="s">
        <v>602</v>
      </c>
      <c r="C6" s="9">
        <v>0.3611111111111111</v>
      </c>
      <c r="D6" s="8" t="s">
        <v>603</v>
      </c>
      <c r="E6" s="8" t="s">
        <v>80</v>
      </c>
      <c r="F6" s="8" t="s">
        <v>604</v>
      </c>
      <c r="G6" s="297"/>
      <c r="H6" s="10"/>
      <c r="I6" s="11"/>
      <c r="J6" s="11"/>
      <c r="K6" s="11"/>
      <c r="L6" s="11"/>
      <c r="M6" s="11"/>
      <c r="N6" s="11"/>
      <c r="O6" s="12"/>
      <c r="P6" s="11"/>
      <c r="Q6" s="13"/>
      <c r="R6" s="14"/>
    </row>
    <row r="7" spans="1:92" ht="15" customHeight="1">
      <c r="A7" s="15" t="s">
        <v>359</v>
      </c>
      <c r="B7" s="15" t="s">
        <v>602</v>
      </c>
      <c r="C7" s="16">
        <v>0.3611111111111111</v>
      </c>
      <c r="D7" s="15" t="s">
        <v>605</v>
      </c>
      <c r="E7" s="15" t="s">
        <v>82</v>
      </c>
      <c r="F7" s="15" t="s">
        <v>606</v>
      </c>
      <c r="G7" s="298"/>
      <c r="H7" s="10"/>
      <c r="I7" s="11"/>
      <c r="J7" s="11"/>
      <c r="K7" s="11"/>
      <c r="L7" s="11"/>
      <c r="M7" s="11"/>
      <c r="N7" s="11"/>
      <c r="O7" s="12"/>
      <c r="P7" s="11"/>
      <c r="Q7" s="13"/>
      <c r="R7" s="14"/>
    </row>
    <row r="8" spans="1:92" ht="15" customHeight="1">
      <c r="A8" s="15" t="s">
        <v>359</v>
      </c>
      <c r="B8" s="15" t="s">
        <v>602</v>
      </c>
      <c r="C8" s="16">
        <v>0.3611111111111111</v>
      </c>
      <c r="D8" s="15" t="s">
        <v>46</v>
      </c>
      <c r="E8" s="15" t="s">
        <v>82</v>
      </c>
      <c r="F8" s="15" t="s">
        <v>607</v>
      </c>
      <c r="G8" s="298"/>
      <c r="H8" s="10"/>
      <c r="I8" s="11"/>
      <c r="J8" s="11"/>
      <c r="K8" s="11"/>
      <c r="L8" s="11"/>
      <c r="M8" s="11"/>
      <c r="N8" s="11"/>
      <c r="O8" s="12"/>
      <c r="P8" s="11"/>
      <c r="Q8" s="13"/>
      <c r="R8" s="14"/>
    </row>
    <row r="9" spans="1:92" ht="15" customHeight="1">
      <c r="A9" s="17" t="s">
        <v>359</v>
      </c>
      <c r="B9" s="17" t="s">
        <v>608</v>
      </c>
      <c r="C9" s="18">
        <v>0.63194444444444442</v>
      </c>
      <c r="D9" s="17" t="s">
        <v>603</v>
      </c>
      <c r="E9" s="17" t="s">
        <v>90</v>
      </c>
      <c r="F9" s="17" t="s">
        <v>604</v>
      </c>
      <c r="G9" s="298"/>
      <c r="H9" s="10"/>
      <c r="I9" s="11"/>
      <c r="J9" s="11"/>
      <c r="K9" s="11"/>
      <c r="L9" s="11"/>
      <c r="M9" s="11"/>
      <c r="N9" s="11"/>
      <c r="O9" s="12"/>
      <c r="P9" s="11"/>
      <c r="Q9" s="13"/>
      <c r="R9" s="14"/>
    </row>
    <row r="10" spans="1:92" ht="15" customHeight="1">
      <c r="A10" s="15" t="s">
        <v>359</v>
      </c>
      <c r="B10" s="15" t="s">
        <v>608</v>
      </c>
      <c r="C10" s="16">
        <v>0.63194444444444442</v>
      </c>
      <c r="D10" s="15" t="s">
        <v>605</v>
      </c>
      <c r="E10" s="15" t="s">
        <v>82</v>
      </c>
      <c r="F10" s="15" t="s">
        <v>606</v>
      </c>
      <c r="G10" s="298"/>
      <c r="H10" s="10"/>
      <c r="I10" s="11"/>
      <c r="J10" s="11"/>
      <c r="K10" s="11"/>
      <c r="L10" s="11"/>
      <c r="M10" s="11"/>
      <c r="N10" s="11"/>
      <c r="O10" s="12"/>
      <c r="P10" s="11"/>
      <c r="Q10" s="13"/>
      <c r="R10" s="14"/>
    </row>
    <row r="11" spans="1:92" ht="15" customHeight="1">
      <c r="A11" s="15" t="s">
        <v>359</v>
      </c>
      <c r="B11" s="15" t="s">
        <v>608</v>
      </c>
      <c r="C11" s="16">
        <v>0.63194444444444442</v>
      </c>
      <c r="D11" s="15" t="s">
        <v>46</v>
      </c>
      <c r="E11" s="15" t="s">
        <v>82</v>
      </c>
      <c r="F11" s="15" t="s">
        <v>607</v>
      </c>
      <c r="G11" s="298"/>
      <c r="H11" s="10"/>
      <c r="I11" s="11"/>
      <c r="J11" s="11"/>
      <c r="K11" s="11"/>
      <c r="L11" s="11"/>
      <c r="M11" s="11"/>
      <c r="N11" s="11"/>
      <c r="O11" s="12"/>
      <c r="P11" s="11"/>
      <c r="Q11" s="13"/>
      <c r="R11" s="14"/>
    </row>
    <row r="12" spans="1:92" ht="15" customHeight="1">
      <c r="A12" s="19" t="s">
        <v>48</v>
      </c>
      <c r="B12" s="19" t="s">
        <v>609</v>
      </c>
      <c r="C12" s="20">
        <v>0.4513888888888889</v>
      </c>
      <c r="D12" s="19" t="s">
        <v>50</v>
      </c>
      <c r="E12" s="19" t="s">
        <v>51</v>
      </c>
      <c r="F12" s="19" t="s">
        <v>133</v>
      </c>
      <c r="G12" s="298"/>
      <c r="H12" s="10"/>
      <c r="I12" s="11"/>
      <c r="J12" s="11"/>
      <c r="K12" s="11"/>
      <c r="L12" s="11"/>
      <c r="M12" s="11"/>
      <c r="N12" s="11"/>
      <c r="O12" s="12"/>
      <c r="P12" s="11"/>
      <c r="Q12" s="13"/>
      <c r="R12" s="14"/>
    </row>
    <row r="13" spans="1:92" ht="15" customHeight="1">
      <c r="A13" s="15" t="s">
        <v>48</v>
      </c>
      <c r="B13" s="15" t="s">
        <v>609</v>
      </c>
      <c r="C13" s="16">
        <v>0.4513888888888889</v>
      </c>
      <c r="D13" s="15" t="s">
        <v>53</v>
      </c>
      <c r="E13" s="15" t="s">
        <v>54</v>
      </c>
      <c r="F13" s="15" t="s">
        <v>610</v>
      </c>
      <c r="G13" s="298"/>
      <c r="H13" s="10"/>
      <c r="I13" s="11"/>
      <c r="J13" s="11"/>
      <c r="K13" s="11"/>
      <c r="L13" s="11"/>
      <c r="M13" s="11"/>
      <c r="N13" s="11"/>
      <c r="O13" s="12"/>
      <c r="P13" s="11"/>
      <c r="Q13" s="13"/>
      <c r="R13" s="14"/>
    </row>
    <row r="14" spans="1:92" ht="15" customHeight="1">
      <c r="A14" s="17" t="s">
        <v>48</v>
      </c>
      <c r="B14" s="17" t="s">
        <v>611</v>
      </c>
      <c r="C14" s="18">
        <v>0.81944444444444453</v>
      </c>
      <c r="D14" s="17" t="s">
        <v>50</v>
      </c>
      <c r="E14" s="17" t="s">
        <v>57</v>
      </c>
      <c r="F14" s="17" t="s">
        <v>133</v>
      </c>
      <c r="G14" s="298"/>
      <c r="H14" s="10"/>
      <c r="I14" s="11"/>
      <c r="J14" s="11"/>
      <c r="K14" s="11"/>
      <c r="L14" s="11"/>
      <c r="M14" s="11"/>
      <c r="N14" s="11"/>
      <c r="O14" s="12"/>
      <c r="P14" s="11"/>
      <c r="Q14" s="13"/>
      <c r="R14" s="14"/>
    </row>
    <row r="15" spans="1:92" ht="15" customHeight="1">
      <c r="A15" s="15" t="s">
        <v>48</v>
      </c>
      <c r="B15" s="15" t="s">
        <v>611</v>
      </c>
      <c r="C15" s="16">
        <v>0.81944444444444453</v>
      </c>
      <c r="D15" s="15" t="s">
        <v>53</v>
      </c>
      <c r="E15" s="15" t="s">
        <v>54</v>
      </c>
      <c r="F15" s="15" t="s">
        <v>610</v>
      </c>
      <c r="G15" s="298"/>
      <c r="H15" s="10"/>
      <c r="I15" s="11"/>
      <c r="J15" s="11"/>
      <c r="K15" s="11"/>
      <c r="L15" s="11"/>
      <c r="M15" s="11"/>
      <c r="N15" s="11"/>
      <c r="O15" s="12"/>
      <c r="P15" s="11"/>
      <c r="Q15" s="13"/>
      <c r="R15" s="14"/>
    </row>
    <row r="16" spans="1:92" ht="15" customHeight="1">
      <c r="A16" s="49" t="s">
        <v>61</v>
      </c>
      <c r="B16" s="49" t="s">
        <v>612</v>
      </c>
      <c r="C16" s="50">
        <v>8.6805555555555566E-2</v>
      </c>
      <c r="D16" s="49" t="s">
        <v>63</v>
      </c>
      <c r="E16" s="49" t="s">
        <v>177</v>
      </c>
      <c r="F16" s="49" t="s">
        <v>449</v>
      </c>
      <c r="G16" s="298"/>
      <c r="H16" s="51" t="s">
        <v>613</v>
      </c>
      <c r="I16" s="164">
        <v>0.72219999999999995</v>
      </c>
      <c r="J16" s="53">
        <v>130</v>
      </c>
      <c r="K16" s="54">
        <v>46341</v>
      </c>
      <c r="L16" s="53">
        <v>10</v>
      </c>
      <c r="M16" s="53">
        <v>0</v>
      </c>
      <c r="N16" s="53">
        <v>0</v>
      </c>
      <c r="O16" s="55" t="s">
        <v>589</v>
      </c>
      <c r="P16" s="56">
        <v>8.6805555555555566E-2</v>
      </c>
      <c r="Q16" s="53">
        <v>180</v>
      </c>
      <c r="R16" s="57" t="s">
        <v>614</v>
      </c>
    </row>
    <row r="17" spans="1:18" ht="18">
      <c r="A17" s="292" t="s">
        <v>615</v>
      </c>
      <c r="B17" s="303"/>
      <c r="C17" s="303"/>
      <c r="D17" s="303"/>
      <c r="E17" s="303"/>
      <c r="F17" s="304"/>
      <c r="G17" s="298"/>
      <c r="H17" s="138"/>
      <c r="I17" s="138"/>
      <c r="J17" s="138"/>
      <c r="K17" s="138"/>
      <c r="L17" s="138"/>
      <c r="M17" s="138"/>
      <c r="N17" s="138"/>
      <c r="O17" s="139"/>
      <c r="P17" s="138"/>
      <c r="Q17" s="107"/>
      <c r="R17" s="107"/>
    </row>
    <row r="18" spans="1:18" ht="15" customHeight="1">
      <c r="A18" s="17" t="s">
        <v>38</v>
      </c>
      <c r="B18" s="17" t="s">
        <v>342</v>
      </c>
      <c r="C18" s="18" t="s">
        <v>592</v>
      </c>
      <c r="D18" s="17" t="s">
        <v>40</v>
      </c>
      <c r="E18" s="17" t="s">
        <v>295</v>
      </c>
      <c r="F18" s="17" t="s">
        <v>343</v>
      </c>
      <c r="G18" s="298"/>
      <c r="H18" s="138"/>
      <c r="I18" s="138"/>
      <c r="J18" s="138"/>
      <c r="K18" s="138"/>
      <c r="L18" s="138"/>
      <c r="M18" s="138"/>
      <c r="N18" s="138"/>
      <c r="O18" s="139"/>
      <c r="P18" s="138"/>
      <c r="Q18" s="107"/>
      <c r="R18" s="107"/>
    </row>
    <row r="19" spans="1:18" ht="15" customHeight="1">
      <c r="A19" s="17" t="s">
        <v>38</v>
      </c>
      <c r="B19" s="17" t="s">
        <v>344</v>
      </c>
      <c r="C19" s="18" t="s">
        <v>593</v>
      </c>
      <c r="D19" s="17" t="s">
        <v>40</v>
      </c>
      <c r="E19" s="17" t="s">
        <v>293</v>
      </c>
      <c r="F19" s="17" t="s">
        <v>343</v>
      </c>
      <c r="G19" s="298"/>
      <c r="H19" s="138"/>
      <c r="I19" s="138"/>
      <c r="J19" s="138"/>
      <c r="K19" s="138"/>
      <c r="L19" s="138"/>
      <c r="M19" s="138"/>
      <c r="N19" s="138"/>
      <c r="O19" s="139"/>
      <c r="P19" s="138"/>
      <c r="Q19" s="107"/>
      <c r="R19" s="107"/>
    </row>
    <row r="20" spans="1:18" ht="15" customHeight="1">
      <c r="A20" s="17" t="s">
        <v>38</v>
      </c>
      <c r="B20" s="17" t="s">
        <v>345</v>
      </c>
      <c r="C20" s="18" t="s">
        <v>594</v>
      </c>
      <c r="D20" s="17" t="s">
        <v>40</v>
      </c>
      <c r="E20" s="17" t="s">
        <v>268</v>
      </c>
      <c r="F20" s="17" t="s">
        <v>343</v>
      </c>
      <c r="G20" s="298"/>
      <c r="H20" s="138"/>
      <c r="I20" s="138"/>
      <c r="J20" s="138"/>
      <c r="K20" s="138"/>
      <c r="L20" s="138"/>
      <c r="M20" s="138"/>
      <c r="N20" s="138"/>
      <c r="O20" s="139"/>
      <c r="P20" s="138"/>
      <c r="Q20" s="107"/>
      <c r="R20" s="107"/>
    </row>
    <row r="21" spans="1:18" ht="15" customHeight="1">
      <c r="A21" s="17" t="s">
        <v>26</v>
      </c>
      <c r="B21" s="17" t="s">
        <v>348</v>
      </c>
      <c r="C21" s="18" t="s">
        <v>595</v>
      </c>
      <c r="D21" s="17" t="s">
        <v>28</v>
      </c>
      <c r="E21" s="17" t="s">
        <v>277</v>
      </c>
      <c r="F21" s="17" t="s">
        <v>131</v>
      </c>
      <c r="G21" s="298"/>
      <c r="H21" s="138"/>
      <c r="I21" s="138"/>
      <c r="J21" s="138"/>
      <c r="K21" s="138"/>
      <c r="L21" s="138"/>
      <c r="M21" s="138"/>
      <c r="N21" s="138"/>
      <c r="O21" s="139"/>
      <c r="P21" s="138"/>
      <c r="Q21" s="107"/>
      <c r="R21" s="107"/>
    </row>
    <row r="22" spans="1:18" ht="15" customHeight="1">
      <c r="A22" s="17" t="s">
        <v>26</v>
      </c>
      <c r="B22" s="17" t="s">
        <v>350</v>
      </c>
      <c r="C22" s="18" t="s">
        <v>596</v>
      </c>
      <c r="D22" s="17" t="s">
        <v>28</v>
      </c>
      <c r="E22" s="17" t="s">
        <v>288</v>
      </c>
      <c r="F22" s="17" t="s">
        <v>131</v>
      </c>
      <c r="G22" s="298"/>
      <c r="H22" s="138"/>
      <c r="I22" s="138"/>
      <c r="J22" s="138"/>
      <c r="K22" s="138"/>
      <c r="L22" s="138"/>
      <c r="M22" s="138"/>
      <c r="N22" s="138"/>
      <c r="O22" s="139"/>
      <c r="P22" s="138"/>
      <c r="Q22" s="107"/>
      <c r="R22" s="107"/>
    </row>
    <row r="23" spans="1:18" ht="15" customHeight="1">
      <c r="A23" s="17" t="s">
        <v>26</v>
      </c>
      <c r="B23" s="17" t="s">
        <v>351</v>
      </c>
      <c r="C23" s="18" t="s">
        <v>597</v>
      </c>
      <c r="D23" s="17" t="s">
        <v>28</v>
      </c>
      <c r="E23" s="17" t="s">
        <v>294</v>
      </c>
      <c r="F23" s="17" t="s">
        <v>131</v>
      </c>
      <c r="G23" s="298"/>
      <c r="H23" s="138"/>
      <c r="I23" s="138"/>
      <c r="J23" s="138"/>
      <c r="K23" s="138"/>
      <c r="L23" s="138"/>
      <c r="M23" s="138"/>
      <c r="N23" s="138"/>
      <c r="O23" s="139"/>
      <c r="P23" s="138"/>
      <c r="Q23" s="107"/>
      <c r="R23" s="107"/>
    </row>
    <row r="24" spans="1:18" ht="15" customHeight="1">
      <c r="A24" s="17" t="s">
        <v>26</v>
      </c>
      <c r="B24" s="17" t="s">
        <v>352</v>
      </c>
      <c r="C24" s="18" t="s">
        <v>598</v>
      </c>
      <c r="D24" s="17" t="s">
        <v>28</v>
      </c>
      <c r="E24" s="17" t="s">
        <v>267</v>
      </c>
      <c r="F24" s="17" t="s">
        <v>131</v>
      </c>
      <c r="G24" s="298"/>
      <c r="H24" s="138"/>
      <c r="I24" s="138"/>
      <c r="J24" s="138"/>
      <c r="K24" s="138"/>
      <c r="L24" s="138"/>
      <c r="M24" s="138"/>
      <c r="N24" s="138"/>
      <c r="O24" s="139"/>
      <c r="P24" s="138"/>
      <c r="Q24" s="107"/>
      <c r="R24" s="107"/>
    </row>
    <row r="25" spans="1:18" ht="15" customHeight="1">
      <c r="A25" s="17" t="s">
        <v>26</v>
      </c>
      <c r="B25" s="17" t="s">
        <v>353</v>
      </c>
      <c r="C25" s="18" t="s">
        <v>593</v>
      </c>
      <c r="D25" s="17" t="s">
        <v>28</v>
      </c>
      <c r="E25" s="17" t="s">
        <v>277</v>
      </c>
      <c r="F25" s="17" t="s">
        <v>131</v>
      </c>
      <c r="G25" s="298"/>
      <c r="H25" s="138"/>
      <c r="I25" s="138"/>
      <c r="J25" s="138"/>
      <c r="K25" s="138"/>
      <c r="L25" s="138"/>
      <c r="M25" s="138"/>
      <c r="N25" s="138"/>
      <c r="O25" s="139"/>
      <c r="P25" s="138"/>
      <c r="Q25" s="107"/>
      <c r="R25" s="107"/>
    </row>
    <row r="26" spans="1:18" ht="15" customHeight="1">
      <c r="A26" s="17" t="s">
        <v>359</v>
      </c>
      <c r="B26" s="17" t="s">
        <v>360</v>
      </c>
      <c r="C26" s="18" t="s">
        <v>599</v>
      </c>
      <c r="D26" s="17" t="s">
        <v>361</v>
      </c>
      <c r="E26" s="17" t="s">
        <v>270</v>
      </c>
      <c r="F26" s="17" t="s">
        <v>362</v>
      </c>
      <c r="G26" s="298"/>
      <c r="H26" s="138"/>
      <c r="I26" s="138"/>
      <c r="J26" s="138"/>
      <c r="K26" s="138"/>
      <c r="L26" s="138"/>
      <c r="M26" s="138"/>
      <c r="N26" s="138"/>
      <c r="O26" s="139"/>
      <c r="P26" s="138"/>
      <c r="Q26" s="107"/>
      <c r="R26" s="107"/>
    </row>
    <row r="27" spans="1:18" ht="15" customHeight="1" thickBot="1">
      <c r="A27" s="30" t="s">
        <v>38</v>
      </c>
      <c r="B27" s="30" t="s">
        <v>346</v>
      </c>
      <c r="C27" s="31" t="s">
        <v>600</v>
      </c>
      <c r="D27" s="30" t="s">
        <v>40</v>
      </c>
      <c r="E27" s="30" t="s">
        <v>268</v>
      </c>
      <c r="F27" s="30" t="s">
        <v>347</v>
      </c>
      <c r="G27" s="299"/>
      <c r="H27" s="140"/>
      <c r="I27" s="140"/>
      <c r="J27" s="140"/>
      <c r="K27" s="140"/>
      <c r="L27" s="140"/>
      <c r="M27" s="140"/>
      <c r="N27" s="140"/>
      <c r="O27" s="141"/>
      <c r="P27" s="140"/>
      <c r="Q27" s="142"/>
      <c r="R27" s="142"/>
    </row>
    <row r="28" spans="1:18" ht="17.45" customHeight="1" thickBot="1">
      <c r="A28" s="283"/>
      <c r="B28" s="284"/>
      <c r="C28" s="284"/>
      <c r="D28" s="284"/>
      <c r="E28" s="284"/>
      <c r="F28" s="284"/>
      <c r="G28" s="284"/>
      <c r="H28" s="284"/>
      <c r="I28" s="284"/>
      <c r="J28" s="284"/>
      <c r="K28" s="284"/>
      <c r="L28" s="284"/>
      <c r="M28" s="284"/>
      <c r="N28" s="284"/>
      <c r="O28" s="284"/>
      <c r="P28" s="284"/>
      <c r="Q28" s="284"/>
      <c r="R28" s="285"/>
    </row>
    <row r="29" spans="1:18" ht="22.15" customHeight="1" thickTop="1" thickBot="1">
      <c r="A29" s="279" t="s">
        <v>6</v>
      </c>
      <c r="B29" s="295"/>
      <c r="C29" s="295"/>
      <c r="D29" s="295"/>
      <c r="E29" s="295"/>
      <c r="F29" s="296"/>
      <c r="G29" s="32">
        <v>46024</v>
      </c>
      <c r="H29" s="278" t="s">
        <v>7</v>
      </c>
      <c r="I29" s="295"/>
      <c r="J29" s="295"/>
      <c r="K29" s="295"/>
      <c r="L29" s="295"/>
      <c r="M29" s="295"/>
      <c r="N29" s="295"/>
      <c r="O29" s="295"/>
      <c r="P29" s="295"/>
      <c r="Q29" s="295"/>
      <c r="R29" s="296"/>
    </row>
    <row r="30" spans="1:18" ht="24" customHeight="1">
      <c r="A30" s="33" t="s">
        <v>8</v>
      </c>
      <c r="B30" s="33" t="s">
        <v>9</v>
      </c>
      <c r="C30" s="34" t="s">
        <v>10</v>
      </c>
      <c r="D30" s="33" t="s">
        <v>11</v>
      </c>
      <c r="E30" s="33" t="s">
        <v>12</v>
      </c>
      <c r="F30" s="35" t="s">
        <v>13</v>
      </c>
      <c r="G30" s="36" t="s">
        <v>14</v>
      </c>
      <c r="H30" s="33" t="s">
        <v>15</v>
      </c>
      <c r="I30" s="37" t="s">
        <v>16</v>
      </c>
      <c r="J30" s="38" t="s">
        <v>17</v>
      </c>
      <c r="K30" s="39" t="s">
        <v>18</v>
      </c>
      <c r="L30" s="38" t="s">
        <v>19</v>
      </c>
      <c r="M30" s="38" t="s">
        <v>20</v>
      </c>
      <c r="N30" s="38" t="s">
        <v>21</v>
      </c>
      <c r="O30" s="33" t="s">
        <v>22</v>
      </c>
      <c r="P30" s="34" t="s">
        <v>23</v>
      </c>
      <c r="Q30" s="38" t="s">
        <v>24</v>
      </c>
      <c r="R30" s="33" t="s">
        <v>25</v>
      </c>
    </row>
    <row r="31" spans="1:18" ht="15" customHeight="1">
      <c r="A31" s="8" t="s">
        <v>359</v>
      </c>
      <c r="B31" s="8" t="s">
        <v>616</v>
      </c>
      <c r="C31" s="9">
        <v>1.041666666666667E-2</v>
      </c>
      <c r="D31" s="8" t="s">
        <v>603</v>
      </c>
      <c r="E31" s="8" t="s">
        <v>80</v>
      </c>
      <c r="F31" s="8" t="s">
        <v>617</v>
      </c>
      <c r="G31" s="297"/>
      <c r="H31" s="10"/>
      <c r="I31" s="11"/>
      <c r="J31" s="11"/>
      <c r="K31" s="11"/>
      <c r="L31" s="11"/>
      <c r="M31" s="11"/>
      <c r="N31" s="11"/>
      <c r="O31" s="12"/>
      <c r="P31" s="11"/>
      <c r="Q31" s="13"/>
      <c r="R31" s="14"/>
    </row>
    <row r="32" spans="1:18" ht="15" customHeight="1">
      <c r="A32" s="49" t="s">
        <v>61</v>
      </c>
      <c r="B32" s="49" t="s">
        <v>612</v>
      </c>
      <c r="C32" s="50">
        <v>0.22916666666666671</v>
      </c>
      <c r="D32" s="49" t="s">
        <v>63</v>
      </c>
      <c r="E32" s="49" t="s">
        <v>29</v>
      </c>
      <c r="F32" s="49" t="s">
        <v>449</v>
      </c>
      <c r="G32" s="298"/>
      <c r="H32" s="51" t="s">
        <v>613</v>
      </c>
      <c r="I32" s="52">
        <v>3.3300000000000003E-2</v>
      </c>
      <c r="J32" s="53">
        <v>6</v>
      </c>
      <c r="K32" s="54">
        <v>46344</v>
      </c>
      <c r="L32" s="53">
        <v>6</v>
      </c>
      <c r="M32" s="53">
        <v>0</v>
      </c>
      <c r="N32" s="53">
        <v>0</v>
      </c>
      <c r="O32" s="55" t="s">
        <v>300</v>
      </c>
      <c r="P32" s="56">
        <v>0.22916666666666671</v>
      </c>
      <c r="Q32" s="53">
        <v>180</v>
      </c>
      <c r="R32" s="57" t="s">
        <v>589</v>
      </c>
    </row>
    <row r="33" spans="1:18" ht="15" customHeight="1">
      <c r="A33" s="19" t="s">
        <v>48</v>
      </c>
      <c r="B33" s="19" t="s">
        <v>611</v>
      </c>
      <c r="C33" s="20">
        <v>0.81944444444444453</v>
      </c>
      <c r="D33" s="19" t="s">
        <v>53</v>
      </c>
      <c r="E33" s="19" t="s">
        <v>51</v>
      </c>
      <c r="F33" s="19" t="s">
        <v>191</v>
      </c>
      <c r="G33" s="298"/>
      <c r="H33" s="10"/>
      <c r="I33" s="11"/>
      <c r="J33" s="11"/>
      <c r="K33" s="11"/>
      <c r="L33" s="11"/>
      <c r="M33" s="11"/>
      <c r="N33" s="11"/>
      <c r="O33" s="12"/>
      <c r="P33" s="11"/>
      <c r="Q33" s="13"/>
      <c r="R33" s="14"/>
    </row>
    <row r="34" spans="1:18" ht="18">
      <c r="A34" s="292" t="s">
        <v>615</v>
      </c>
      <c r="B34" s="303"/>
      <c r="C34" s="303"/>
      <c r="D34" s="303"/>
      <c r="E34" s="303"/>
      <c r="F34" s="304"/>
      <c r="G34" s="298"/>
      <c r="H34" s="138"/>
      <c r="I34" s="138"/>
      <c r="J34" s="138"/>
      <c r="K34" s="138"/>
      <c r="L34" s="138"/>
      <c r="M34" s="138"/>
      <c r="N34" s="138"/>
      <c r="O34" s="139"/>
      <c r="P34" s="138"/>
      <c r="Q34" s="107"/>
      <c r="R34" s="107"/>
    </row>
    <row r="35" spans="1:18" ht="15" customHeight="1">
      <c r="A35" s="17" t="s">
        <v>38</v>
      </c>
      <c r="B35" s="17" t="s">
        <v>346</v>
      </c>
      <c r="C35" s="18" t="s">
        <v>600</v>
      </c>
      <c r="D35" s="17" t="s">
        <v>40</v>
      </c>
      <c r="E35" s="17" t="s">
        <v>303</v>
      </c>
      <c r="F35" s="17" t="s">
        <v>343</v>
      </c>
      <c r="G35" s="298"/>
      <c r="H35" s="138"/>
      <c r="I35" s="138"/>
      <c r="J35" s="138"/>
      <c r="K35" s="138"/>
      <c r="L35" s="138"/>
      <c r="M35" s="138"/>
      <c r="N35" s="138"/>
      <c r="O35" s="139"/>
      <c r="P35" s="138"/>
      <c r="Q35" s="107"/>
      <c r="R35" s="107"/>
    </row>
    <row r="36" spans="1:18" ht="15" customHeight="1">
      <c r="A36" s="17" t="s">
        <v>38</v>
      </c>
      <c r="B36" s="17" t="s">
        <v>344</v>
      </c>
      <c r="C36" s="18" t="s">
        <v>593</v>
      </c>
      <c r="D36" s="17" t="s">
        <v>40</v>
      </c>
      <c r="E36" s="17" t="s">
        <v>293</v>
      </c>
      <c r="F36" s="17" t="s">
        <v>30</v>
      </c>
      <c r="G36" s="298"/>
      <c r="H36" s="138"/>
      <c r="I36" s="138"/>
      <c r="J36" s="138"/>
      <c r="K36" s="138"/>
      <c r="L36" s="138"/>
      <c r="M36" s="138"/>
      <c r="N36" s="138"/>
      <c r="O36" s="139"/>
      <c r="P36" s="138"/>
      <c r="Q36" s="107"/>
      <c r="R36" s="107"/>
    </row>
    <row r="37" spans="1:18" ht="15" customHeight="1">
      <c r="A37" s="17" t="s">
        <v>359</v>
      </c>
      <c r="B37" s="17" t="s">
        <v>422</v>
      </c>
      <c r="C37" s="18" t="s">
        <v>618</v>
      </c>
      <c r="D37" s="17" t="s">
        <v>361</v>
      </c>
      <c r="E37" s="17" t="s">
        <v>270</v>
      </c>
      <c r="F37" s="17" t="s">
        <v>423</v>
      </c>
      <c r="G37" s="298"/>
      <c r="H37" s="138"/>
      <c r="I37" s="138"/>
      <c r="J37" s="138"/>
      <c r="K37" s="138"/>
      <c r="L37" s="138"/>
      <c r="M37" s="138"/>
      <c r="N37" s="138"/>
      <c r="O37" s="139"/>
      <c r="P37" s="138"/>
      <c r="Q37" s="107"/>
      <c r="R37" s="107"/>
    </row>
    <row r="38" spans="1:18" ht="15" customHeight="1">
      <c r="A38" s="17" t="s">
        <v>359</v>
      </c>
      <c r="B38" s="17" t="s">
        <v>360</v>
      </c>
      <c r="C38" s="18" t="s">
        <v>619</v>
      </c>
      <c r="D38" s="17" t="s">
        <v>361</v>
      </c>
      <c r="E38" s="17" t="s">
        <v>270</v>
      </c>
      <c r="F38" s="17" t="s">
        <v>423</v>
      </c>
      <c r="G38" s="298"/>
      <c r="H38" s="138"/>
      <c r="I38" s="138"/>
      <c r="J38" s="138"/>
      <c r="K38" s="138"/>
      <c r="L38" s="138"/>
      <c r="M38" s="138"/>
      <c r="N38" s="138"/>
      <c r="O38" s="139"/>
      <c r="P38" s="138"/>
      <c r="Q38" s="107"/>
      <c r="R38" s="107"/>
    </row>
    <row r="39" spans="1:18" ht="15" customHeight="1">
      <c r="A39" s="17" t="s">
        <v>359</v>
      </c>
      <c r="B39" s="17" t="s">
        <v>425</v>
      </c>
      <c r="C39" s="18" t="s">
        <v>620</v>
      </c>
      <c r="D39" s="17" t="s">
        <v>361</v>
      </c>
      <c r="E39" s="17" t="s">
        <v>270</v>
      </c>
      <c r="F39" s="17" t="s">
        <v>423</v>
      </c>
      <c r="G39" s="298"/>
      <c r="H39" s="138"/>
      <c r="I39" s="138"/>
      <c r="J39" s="138"/>
      <c r="K39" s="138"/>
      <c r="L39" s="138"/>
      <c r="M39" s="138"/>
      <c r="N39" s="138"/>
      <c r="O39" s="139"/>
      <c r="P39" s="138"/>
      <c r="Q39" s="107"/>
      <c r="R39" s="107"/>
    </row>
    <row r="40" spans="1:18" ht="15" customHeight="1">
      <c r="A40" s="17" t="s">
        <v>38</v>
      </c>
      <c r="B40" s="17" t="s">
        <v>342</v>
      </c>
      <c r="C40" s="18" t="s">
        <v>592</v>
      </c>
      <c r="D40" s="17" t="s">
        <v>40</v>
      </c>
      <c r="E40" s="17" t="s">
        <v>293</v>
      </c>
      <c r="F40" s="17" t="s">
        <v>347</v>
      </c>
      <c r="G40" s="298"/>
      <c r="H40" s="138"/>
      <c r="I40" s="138"/>
      <c r="J40" s="138"/>
      <c r="K40" s="138"/>
      <c r="L40" s="138"/>
      <c r="M40" s="138"/>
      <c r="N40" s="138"/>
      <c r="O40" s="139"/>
      <c r="P40" s="138"/>
      <c r="Q40" s="107"/>
      <c r="R40" s="107"/>
    </row>
    <row r="41" spans="1:18" ht="15" customHeight="1">
      <c r="A41" s="17" t="s">
        <v>38</v>
      </c>
      <c r="B41" s="17" t="s">
        <v>345</v>
      </c>
      <c r="C41" s="18" t="s">
        <v>594</v>
      </c>
      <c r="D41" s="17" t="s">
        <v>40</v>
      </c>
      <c r="E41" s="17" t="s">
        <v>308</v>
      </c>
      <c r="F41" s="17" t="s">
        <v>347</v>
      </c>
      <c r="G41" s="298"/>
      <c r="H41" s="138"/>
      <c r="I41" s="138"/>
      <c r="J41" s="138"/>
      <c r="K41" s="138"/>
      <c r="L41" s="138"/>
      <c r="M41" s="138"/>
      <c r="N41" s="138"/>
      <c r="O41" s="139"/>
      <c r="P41" s="138"/>
      <c r="Q41" s="107"/>
      <c r="R41" s="107"/>
    </row>
    <row r="42" spans="1:18" ht="15" customHeight="1">
      <c r="A42" s="17" t="s">
        <v>26</v>
      </c>
      <c r="B42" s="17" t="s">
        <v>348</v>
      </c>
      <c r="C42" s="18" t="s">
        <v>595</v>
      </c>
      <c r="D42" s="17" t="s">
        <v>28</v>
      </c>
      <c r="E42" s="17" t="s">
        <v>288</v>
      </c>
      <c r="F42" s="17" t="s">
        <v>347</v>
      </c>
      <c r="G42" s="298"/>
      <c r="H42" s="138"/>
      <c r="I42" s="138"/>
      <c r="J42" s="138"/>
      <c r="K42" s="138"/>
      <c r="L42" s="138"/>
      <c r="M42" s="138"/>
      <c r="N42" s="138"/>
      <c r="O42" s="139"/>
      <c r="P42" s="138"/>
      <c r="Q42" s="107"/>
      <c r="R42" s="107"/>
    </row>
    <row r="43" spans="1:18" ht="15" customHeight="1">
      <c r="A43" s="17" t="s">
        <v>26</v>
      </c>
      <c r="B43" s="17" t="s">
        <v>350</v>
      </c>
      <c r="C43" s="18" t="s">
        <v>596</v>
      </c>
      <c r="D43" s="17" t="s">
        <v>28</v>
      </c>
      <c r="E43" s="17" t="s">
        <v>288</v>
      </c>
      <c r="F43" s="17" t="s">
        <v>347</v>
      </c>
      <c r="G43" s="298"/>
      <c r="H43" s="138"/>
      <c r="I43" s="138"/>
      <c r="J43" s="138"/>
      <c r="K43" s="138"/>
      <c r="L43" s="138"/>
      <c r="M43" s="138"/>
      <c r="N43" s="138"/>
      <c r="O43" s="139"/>
      <c r="P43" s="138"/>
      <c r="Q43" s="107"/>
      <c r="R43" s="107"/>
    </row>
    <row r="44" spans="1:18" ht="15" customHeight="1" thickBot="1">
      <c r="A44" s="30" t="s">
        <v>61</v>
      </c>
      <c r="B44" s="30" t="s">
        <v>428</v>
      </c>
      <c r="C44" s="31" t="s">
        <v>564</v>
      </c>
      <c r="D44" s="30" t="s">
        <v>63</v>
      </c>
      <c r="E44" s="30" t="s">
        <v>288</v>
      </c>
      <c r="F44" s="30" t="s">
        <v>365</v>
      </c>
      <c r="G44" s="299"/>
      <c r="H44" s="140"/>
      <c r="I44" s="140"/>
      <c r="J44" s="140"/>
      <c r="K44" s="140"/>
      <c r="L44" s="140"/>
      <c r="M44" s="140"/>
      <c r="N44" s="140"/>
      <c r="O44" s="141"/>
      <c r="P44" s="140"/>
      <c r="Q44" s="142"/>
      <c r="R44" s="142"/>
    </row>
    <row r="45" spans="1:18" ht="17.45" customHeight="1" thickBot="1">
      <c r="A45" s="283"/>
      <c r="B45" s="284"/>
      <c r="C45" s="284"/>
      <c r="D45" s="284"/>
      <c r="E45" s="284"/>
      <c r="F45" s="284"/>
      <c r="G45" s="284"/>
      <c r="H45" s="284"/>
      <c r="I45" s="284"/>
      <c r="J45" s="284"/>
      <c r="K45" s="284"/>
      <c r="L45" s="284"/>
      <c r="M45" s="284"/>
      <c r="N45" s="284"/>
      <c r="O45" s="284"/>
      <c r="P45" s="284"/>
      <c r="Q45" s="284"/>
      <c r="R45" s="285"/>
    </row>
    <row r="46" spans="1:18" ht="22.15" customHeight="1" thickTop="1" thickBot="1">
      <c r="A46" s="279" t="s">
        <v>6</v>
      </c>
      <c r="B46" s="295"/>
      <c r="C46" s="295"/>
      <c r="D46" s="295"/>
      <c r="E46" s="295"/>
      <c r="F46" s="296"/>
      <c r="G46" s="32">
        <v>46025</v>
      </c>
      <c r="H46" s="278" t="s">
        <v>7</v>
      </c>
      <c r="I46" s="295"/>
      <c r="J46" s="295"/>
      <c r="K46" s="295"/>
      <c r="L46" s="295"/>
      <c r="M46" s="295"/>
      <c r="N46" s="295"/>
      <c r="O46" s="295"/>
      <c r="P46" s="295"/>
      <c r="Q46" s="295"/>
      <c r="R46" s="296"/>
    </row>
    <row r="47" spans="1:18" ht="24" customHeight="1">
      <c r="A47" s="33" t="s">
        <v>8</v>
      </c>
      <c r="B47" s="33" t="s">
        <v>9</v>
      </c>
      <c r="C47" s="34" t="s">
        <v>10</v>
      </c>
      <c r="D47" s="33" t="s">
        <v>11</v>
      </c>
      <c r="E47" s="33" t="s">
        <v>12</v>
      </c>
      <c r="F47" s="35" t="s">
        <v>13</v>
      </c>
      <c r="G47" s="36" t="s">
        <v>14</v>
      </c>
      <c r="H47" s="33" t="s">
        <v>15</v>
      </c>
      <c r="I47" s="37" t="s">
        <v>16</v>
      </c>
      <c r="J47" s="38" t="s">
        <v>17</v>
      </c>
      <c r="K47" s="39" t="s">
        <v>18</v>
      </c>
      <c r="L47" s="38" t="s">
        <v>19</v>
      </c>
      <c r="M47" s="38" t="s">
        <v>20</v>
      </c>
      <c r="N47" s="38" t="s">
        <v>21</v>
      </c>
      <c r="O47" s="33" t="s">
        <v>22</v>
      </c>
      <c r="P47" s="34" t="s">
        <v>23</v>
      </c>
      <c r="Q47" s="38" t="s">
        <v>24</v>
      </c>
      <c r="R47" s="33" t="s">
        <v>25</v>
      </c>
    </row>
    <row r="48" spans="1:18" ht="15" customHeight="1">
      <c r="A48" s="8" t="s">
        <v>38</v>
      </c>
      <c r="B48" s="8" t="s">
        <v>621</v>
      </c>
      <c r="C48" s="9">
        <v>0.3611111111111111</v>
      </c>
      <c r="D48" s="8" t="s">
        <v>622</v>
      </c>
      <c r="E48" s="8" t="s">
        <v>151</v>
      </c>
      <c r="F48" s="8" t="s">
        <v>121</v>
      </c>
      <c r="G48" s="297"/>
      <c r="H48" s="10"/>
      <c r="I48" s="11"/>
      <c r="J48" s="11"/>
      <c r="K48" s="11"/>
      <c r="L48" s="11"/>
      <c r="M48" s="11"/>
      <c r="N48" s="11"/>
      <c r="O48" s="12"/>
      <c r="P48" s="11"/>
      <c r="Q48" s="13"/>
      <c r="R48" s="14"/>
    </row>
    <row r="49" spans="1:18" ht="15" customHeight="1">
      <c r="A49" s="15" t="s">
        <v>38</v>
      </c>
      <c r="B49" s="15" t="s">
        <v>621</v>
      </c>
      <c r="C49" s="16">
        <v>0.3611111111111111</v>
      </c>
      <c r="D49" s="15" t="s">
        <v>603</v>
      </c>
      <c r="E49" s="15" t="s">
        <v>152</v>
      </c>
      <c r="F49" s="15" t="s">
        <v>623</v>
      </c>
      <c r="G49" s="298"/>
      <c r="H49" s="10"/>
      <c r="I49" s="11"/>
      <c r="J49" s="11"/>
      <c r="K49" s="11"/>
      <c r="L49" s="11"/>
      <c r="M49" s="11"/>
      <c r="N49" s="11"/>
      <c r="O49" s="12"/>
      <c r="P49" s="11"/>
      <c r="Q49" s="13"/>
      <c r="R49" s="14"/>
    </row>
    <row r="50" spans="1:18" ht="15" customHeight="1">
      <c r="A50" s="15" t="s">
        <v>38</v>
      </c>
      <c r="B50" s="15" t="s">
        <v>621</v>
      </c>
      <c r="C50" s="16">
        <v>0.3611111111111111</v>
      </c>
      <c r="D50" s="15" t="s">
        <v>605</v>
      </c>
      <c r="E50" s="15" t="s">
        <v>152</v>
      </c>
      <c r="F50" s="15" t="s">
        <v>624</v>
      </c>
      <c r="G50" s="298"/>
      <c r="H50" s="10"/>
      <c r="I50" s="11"/>
      <c r="J50" s="11"/>
      <c r="K50" s="11"/>
      <c r="L50" s="11"/>
      <c r="M50" s="11"/>
      <c r="N50" s="11"/>
      <c r="O50" s="12"/>
      <c r="P50" s="11"/>
      <c r="Q50" s="13"/>
      <c r="R50" s="14"/>
    </row>
    <row r="51" spans="1:18" ht="15" customHeight="1">
      <c r="A51" s="15" t="s">
        <v>38</v>
      </c>
      <c r="B51" s="15" t="s">
        <v>621</v>
      </c>
      <c r="C51" s="16">
        <v>0.3611111111111111</v>
      </c>
      <c r="D51" s="15" t="s">
        <v>625</v>
      </c>
      <c r="E51" s="15" t="s">
        <v>152</v>
      </c>
      <c r="F51" s="15" t="s">
        <v>163</v>
      </c>
      <c r="G51" s="298"/>
      <c r="H51" s="10"/>
      <c r="I51" s="11"/>
      <c r="J51" s="11"/>
      <c r="K51" s="11"/>
      <c r="L51" s="11"/>
      <c r="M51" s="11"/>
      <c r="N51" s="11"/>
      <c r="O51" s="12"/>
      <c r="P51" s="11"/>
      <c r="Q51" s="13"/>
      <c r="R51" s="14"/>
    </row>
    <row r="52" spans="1:18" ht="15" customHeight="1">
      <c r="A52" s="19" t="s">
        <v>359</v>
      </c>
      <c r="B52" s="19" t="s">
        <v>602</v>
      </c>
      <c r="C52" s="20">
        <v>0.3611111111111111</v>
      </c>
      <c r="D52" s="19" t="s">
        <v>603</v>
      </c>
      <c r="E52" s="19" t="s">
        <v>80</v>
      </c>
      <c r="F52" s="19" t="s">
        <v>617</v>
      </c>
      <c r="G52" s="298"/>
      <c r="H52" s="10"/>
      <c r="I52" s="11"/>
      <c r="J52" s="11"/>
      <c r="K52" s="11"/>
      <c r="L52" s="11"/>
      <c r="M52" s="11"/>
      <c r="N52" s="11"/>
      <c r="O52" s="12"/>
      <c r="P52" s="11"/>
      <c r="Q52" s="13"/>
      <c r="R52" s="14"/>
    </row>
    <row r="53" spans="1:18" ht="15" customHeight="1">
      <c r="A53" s="15" t="s">
        <v>359</v>
      </c>
      <c r="B53" s="15" t="s">
        <v>602</v>
      </c>
      <c r="C53" s="16">
        <v>0.3611111111111111</v>
      </c>
      <c r="D53" s="15" t="s">
        <v>605</v>
      </c>
      <c r="E53" s="15" t="s">
        <v>82</v>
      </c>
      <c r="F53" s="15" t="s">
        <v>626</v>
      </c>
      <c r="G53" s="298"/>
      <c r="H53" s="10"/>
      <c r="I53" s="11"/>
      <c r="J53" s="11"/>
      <c r="K53" s="11"/>
      <c r="L53" s="11"/>
      <c r="M53" s="11"/>
      <c r="N53" s="11"/>
      <c r="O53" s="12"/>
      <c r="P53" s="11"/>
      <c r="Q53" s="13"/>
      <c r="R53" s="14"/>
    </row>
    <row r="54" spans="1:18" ht="15" customHeight="1">
      <c r="A54" s="15" t="s">
        <v>359</v>
      </c>
      <c r="B54" s="15" t="s">
        <v>602</v>
      </c>
      <c r="C54" s="16">
        <v>0.3611111111111111</v>
      </c>
      <c r="D54" s="15" t="s">
        <v>46</v>
      </c>
      <c r="E54" s="15" t="s">
        <v>82</v>
      </c>
      <c r="F54" s="15" t="s">
        <v>627</v>
      </c>
      <c r="G54" s="298"/>
      <c r="H54" s="10"/>
      <c r="I54" s="11"/>
      <c r="J54" s="11"/>
      <c r="K54" s="11"/>
      <c r="L54" s="11"/>
      <c r="M54" s="11"/>
      <c r="N54" s="11"/>
      <c r="O54" s="12"/>
      <c r="P54" s="11"/>
      <c r="Q54" s="13"/>
      <c r="R54" s="14"/>
    </row>
    <row r="55" spans="1:18" ht="15" customHeight="1">
      <c r="A55" s="17" t="s">
        <v>359</v>
      </c>
      <c r="B55" s="17" t="s">
        <v>628</v>
      </c>
      <c r="C55" s="18">
        <v>2.777777777777778E-2</v>
      </c>
      <c r="D55" s="17" t="s">
        <v>603</v>
      </c>
      <c r="E55" s="17" t="s">
        <v>90</v>
      </c>
      <c r="F55" s="17" t="s">
        <v>617</v>
      </c>
      <c r="G55" s="298"/>
      <c r="H55" s="10"/>
      <c r="I55" s="11"/>
      <c r="J55" s="11"/>
      <c r="K55" s="11"/>
      <c r="L55" s="11"/>
      <c r="M55" s="11"/>
      <c r="N55" s="11"/>
      <c r="O55" s="12"/>
      <c r="P55" s="11"/>
      <c r="Q55" s="13"/>
      <c r="R55" s="14"/>
    </row>
    <row r="56" spans="1:18" ht="15" customHeight="1">
      <c r="A56" s="15" t="s">
        <v>359</v>
      </c>
      <c r="B56" s="15" t="s">
        <v>628</v>
      </c>
      <c r="C56" s="16">
        <v>2.777777777777778E-2</v>
      </c>
      <c r="D56" s="15" t="s">
        <v>605</v>
      </c>
      <c r="E56" s="15" t="s">
        <v>82</v>
      </c>
      <c r="F56" s="15" t="s">
        <v>626</v>
      </c>
      <c r="G56" s="298"/>
      <c r="H56" s="10"/>
      <c r="I56" s="11"/>
      <c r="J56" s="11"/>
      <c r="K56" s="11"/>
      <c r="L56" s="11"/>
      <c r="M56" s="11"/>
      <c r="N56" s="11"/>
      <c r="O56" s="12"/>
      <c r="P56" s="11"/>
      <c r="Q56" s="13"/>
      <c r="R56" s="14"/>
    </row>
    <row r="57" spans="1:18" ht="15" customHeight="1">
      <c r="A57" s="15" t="s">
        <v>359</v>
      </c>
      <c r="B57" s="15" t="s">
        <v>628</v>
      </c>
      <c r="C57" s="16">
        <v>2.777777777777778E-2</v>
      </c>
      <c r="D57" s="15" t="s">
        <v>46</v>
      </c>
      <c r="E57" s="15" t="s">
        <v>82</v>
      </c>
      <c r="F57" s="15" t="s">
        <v>627</v>
      </c>
      <c r="G57" s="298"/>
      <c r="H57" s="10"/>
      <c r="I57" s="11"/>
      <c r="J57" s="11"/>
      <c r="K57" s="11"/>
      <c r="L57" s="11"/>
      <c r="M57" s="11"/>
      <c r="N57" s="11"/>
      <c r="O57" s="12"/>
      <c r="P57" s="11"/>
      <c r="Q57" s="13"/>
      <c r="R57" s="14"/>
    </row>
    <row r="58" spans="1:18" ht="15" customHeight="1">
      <c r="A58" s="98" t="s">
        <v>61</v>
      </c>
      <c r="B58" s="98" t="s">
        <v>629</v>
      </c>
      <c r="C58" s="99">
        <v>0.27083333333333331</v>
      </c>
      <c r="D58" s="98" t="s">
        <v>63</v>
      </c>
      <c r="E58" s="98" t="s">
        <v>143</v>
      </c>
      <c r="F58" s="98" t="s">
        <v>79</v>
      </c>
      <c r="G58" s="298"/>
      <c r="H58" s="100" t="s">
        <v>630</v>
      </c>
      <c r="I58" s="101">
        <v>0.05</v>
      </c>
      <c r="J58" s="102">
        <v>9</v>
      </c>
      <c r="K58" s="103">
        <v>46342</v>
      </c>
      <c r="L58" s="102">
        <v>10</v>
      </c>
      <c r="M58" s="102">
        <v>0</v>
      </c>
      <c r="N58" s="102">
        <v>0</v>
      </c>
      <c r="O58" s="104" t="s">
        <v>298</v>
      </c>
      <c r="P58" s="105">
        <v>0.27083333333333331</v>
      </c>
      <c r="Q58" s="102">
        <v>180</v>
      </c>
      <c r="R58" s="106" t="s">
        <v>631</v>
      </c>
    </row>
    <row r="59" spans="1:18" ht="15" customHeight="1">
      <c r="A59" s="148" t="s">
        <v>61</v>
      </c>
      <c r="B59" s="148" t="s">
        <v>612</v>
      </c>
      <c r="C59" s="149">
        <v>0.60416666666666663</v>
      </c>
      <c r="D59" s="148" t="s">
        <v>63</v>
      </c>
      <c r="E59" s="148" t="s">
        <v>427</v>
      </c>
      <c r="F59" s="148" t="s">
        <v>449</v>
      </c>
      <c r="G59" s="298"/>
      <c r="H59" s="51" t="s">
        <v>613</v>
      </c>
      <c r="I59" s="52">
        <v>7.22E-2</v>
      </c>
      <c r="J59" s="53">
        <v>13</v>
      </c>
      <c r="K59" s="54">
        <v>46338</v>
      </c>
      <c r="L59" s="53">
        <v>13</v>
      </c>
      <c r="M59" s="53">
        <v>0</v>
      </c>
      <c r="N59" s="53">
        <v>0</v>
      </c>
      <c r="O59" s="55" t="s">
        <v>101</v>
      </c>
      <c r="P59" s="56">
        <v>0.60416666666666663</v>
      </c>
      <c r="Q59" s="53">
        <v>180</v>
      </c>
      <c r="R59" s="57" t="s">
        <v>632</v>
      </c>
    </row>
    <row r="60" spans="1:18" ht="15" customHeight="1">
      <c r="A60" s="19" t="s">
        <v>68</v>
      </c>
      <c r="B60" s="19" t="s">
        <v>633</v>
      </c>
      <c r="C60" s="20">
        <v>0.45833333333333331</v>
      </c>
      <c r="D60" s="19" t="s">
        <v>70</v>
      </c>
      <c r="E60" s="19" t="s">
        <v>51</v>
      </c>
      <c r="F60" s="19" t="s">
        <v>634</v>
      </c>
      <c r="G60" s="298"/>
      <c r="H60" s="10"/>
      <c r="I60" s="11"/>
      <c r="J60" s="11"/>
      <c r="K60" s="11"/>
      <c r="L60" s="11"/>
      <c r="M60" s="11"/>
      <c r="N60" s="11"/>
      <c r="O60" s="12"/>
      <c r="P60" s="11"/>
      <c r="Q60" s="13"/>
      <c r="R60" s="14"/>
    </row>
    <row r="61" spans="1:18" ht="15" customHeight="1">
      <c r="A61" s="19" t="s">
        <v>48</v>
      </c>
      <c r="B61" s="19" t="s">
        <v>609</v>
      </c>
      <c r="C61" s="20">
        <v>0.4513888888888889</v>
      </c>
      <c r="D61" s="19" t="s">
        <v>53</v>
      </c>
      <c r="E61" s="19" t="s">
        <v>51</v>
      </c>
      <c r="F61" s="19" t="s">
        <v>191</v>
      </c>
      <c r="G61" s="298"/>
      <c r="H61" s="10"/>
      <c r="I61" s="11"/>
      <c r="J61" s="11"/>
      <c r="K61" s="11"/>
      <c r="L61" s="11"/>
      <c r="M61" s="11"/>
      <c r="N61" s="11"/>
      <c r="O61" s="12"/>
      <c r="P61" s="11"/>
      <c r="Q61" s="13"/>
      <c r="R61" s="14"/>
    </row>
    <row r="62" spans="1:18" ht="15" customHeight="1">
      <c r="A62" s="17" t="s">
        <v>48</v>
      </c>
      <c r="B62" s="17" t="s">
        <v>611</v>
      </c>
      <c r="C62" s="18">
        <v>0.81944444444444453</v>
      </c>
      <c r="D62" s="17" t="s">
        <v>53</v>
      </c>
      <c r="E62" s="17" t="s">
        <v>57</v>
      </c>
      <c r="F62" s="17" t="s">
        <v>191</v>
      </c>
      <c r="G62" s="298"/>
      <c r="H62" s="10"/>
      <c r="I62" s="11"/>
      <c r="J62" s="11"/>
      <c r="K62" s="11"/>
      <c r="L62" s="11"/>
      <c r="M62" s="11"/>
      <c r="N62" s="11"/>
      <c r="O62" s="12"/>
      <c r="P62" s="11"/>
      <c r="Q62" s="13"/>
      <c r="R62" s="14"/>
    </row>
    <row r="63" spans="1:18" ht="18">
      <c r="A63" s="292" t="s">
        <v>615</v>
      </c>
      <c r="B63" s="303"/>
      <c r="C63" s="303"/>
      <c r="D63" s="303"/>
      <c r="E63" s="303"/>
      <c r="F63" s="304"/>
      <c r="G63" s="298"/>
      <c r="H63" s="138"/>
      <c r="I63" s="138"/>
      <c r="J63" s="138"/>
      <c r="K63" s="138"/>
      <c r="L63" s="138"/>
      <c r="M63" s="138"/>
      <c r="N63" s="138"/>
      <c r="O63" s="139"/>
      <c r="P63" s="138"/>
      <c r="Q63" s="107"/>
      <c r="R63" s="107"/>
    </row>
    <row r="64" spans="1:18" ht="15" customHeight="1">
      <c r="A64" s="17" t="s">
        <v>38</v>
      </c>
      <c r="B64" s="17" t="s">
        <v>346</v>
      </c>
      <c r="C64" s="18" t="s">
        <v>600</v>
      </c>
      <c r="D64" s="17" t="s">
        <v>440</v>
      </c>
      <c r="E64" s="17" t="s">
        <v>295</v>
      </c>
      <c r="F64" s="17" t="s">
        <v>30</v>
      </c>
      <c r="G64" s="298"/>
      <c r="H64" s="138"/>
      <c r="I64" s="138"/>
      <c r="J64" s="138"/>
      <c r="K64" s="138"/>
      <c r="L64" s="138"/>
      <c r="M64" s="138"/>
      <c r="N64" s="138"/>
      <c r="O64" s="139"/>
      <c r="P64" s="138"/>
      <c r="Q64" s="107"/>
      <c r="R64" s="107"/>
    </row>
    <row r="65" spans="1:18" ht="15" customHeight="1">
      <c r="A65" s="17" t="s">
        <v>38</v>
      </c>
      <c r="B65" s="17" t="s">
        <v>346</v>
      </c>
      <c r="C65" s="18" t="s">
        <v>600</v>
      </c>
      <c r="D65" s="17" t="s">
        <v>40</v>
      </c>
      <c r="E65" s="17" t="s">
        <v>295</v>
      </c>
      <c r="F65" s="17" t="s">
        <v>30</v>
      </c>
      <c r="G65" s="298"/>
      <c r="H65" s="138"/>
      <c r="I65" s="138"/>
      <c r="J65" s="138"/>
      <c r="K65" s="138"/>
      <c r="L65" s="138"/>
      <c r="M65" s="138"/>
      <c r="N65" s="138"/>
      <c r="O65" s="139"/>
      <c r="P65" s="138"/>
      <c r="Q65" s="107"/>
      <c r="R65" s="107"/>
    </row>
    <row r="66" spans="1:18" ht="15" customHeight="1">
      <c r="A66" s="17" t="s">
        <v>38</v>
      </c>
      <c r="B66" s="17" t="s">
        <v>345</v>
      </c>
      <c r="C66" s="18" t="s">
        <v>594</v>
      </c>
      <c r="D66" s="17" t="s">
        <v>440</v>
      </c>
      <c r="E66" s="17" t="s">
        <v>287</v>
      </c>
      <c r="F66" s="17" t="s">
        <v>30</v>
      </c>
      <c r="G66" s="298"/>
      <c r="H66" s="138"/>
      <c r="I66" s="138"/>
      <c r="J66" s="138"/>
      <c r="K66" s="138"/>
      <c r="L66" s="138"/>
      <c r="M66" s="138"/>
      <c r="N66" s="138"/>
      <c r="O66" s="139"/>
      <c r="P66" s="138"/>
      <c r="Q66" s="107"/>
      <c r="R66" s="107"/>
    </row>
    <row r="67" spans="1:18" ht="15" customHeight="1">
      <c r="A67" s="17" t="s">
        <v>38</v>
      </c>
      <c r="B67" s="17" t="s">
        <v>345</v>
      </c>
      <c r="C67" s="18" t="s">
        <v>594</v>
      </c>
      <c r="D67" s="17" t="s">
        <v>40</v>
      </c>
      <c r="E67" s="17" t="s">
        <v>287</v>
      </c>
      <c r="F67" s="17" t="s">
        <v>30</v>
      </c>
      <c r="G67" s="298"/>
      <c r="H67" s="138"/>
      <c r="I67" s="138"/>
      <c r="J67" s="138"/>
      <c r="K67" s="138"/>
      <c r="L67" s="138"/>
      <c r="M67" s="138"/>
      <c r="N67" s="138"/>
      <c r="O67" s="139"/>
      <c r="P67" s="138"/>
      <c r="Q67" s="107"/>
      <c r="R67" s="107"/>
    </row>
    <row r="68" spans="1:18" ht="15" customHeight="1">
      <c r="A68" s="17" t="s">
        <v>359</v>
      </c>
      <c r="B68" s="17" t="s">
        <v>360</v>
      </c>
      <c r="C68" s="18" t="s">
        <v>599</v>
      </c>
      <c r="D68" s="17" t="s">
        <v>361</v>
      </c>
      <c r="E68" s="17" t="s">
        <v>270</v>
      </c>
      <c r="F68" s="17" t="s">
        <v>423</v>
      </c>
      <c r="G68" s="298"/>
      <c r="H68" s="138"/>
      <c r="I68" s="138"/>
      <c r="J68" s="138"/>
      <c r="K68" s="138"/>
      <c r="L68" s="138"/>
      <c r="M68" s="138"/>
      <c r="N68" s="138"/>
      <c r="O68" s="139"/>
      <c r="P68" s="138"/>
      <c r="Q68" s="107"/>
      <c r="R68" s="107"/>
    </row>
    <row r="69" spans="1:18" ht="15" customHeight="1">
      <c r="A69" s="17" t="s">
        <v>359</v>
      </c>
      <c r="B69" s="17" t="s">
        <v>445</v>
      </c>
      <c r="C69" s="18" t="s">
        <v>635</v>
      </c>
      <c r="D69" s="17" t="s">
        <v>361</v>
      </c>
      <c r="E69" s="17" t="s">
        <v>270</v>
      </c>
      <c r="F69" s="17" t="s">
        <v>423</v>
      </c>
      <c r="G69" s="298"/>
      <c r="H69" s="138"/>
      <c r="I69" s="138"/>
      <c r="J69" s="138"/>
      <c r="K69" s="138"/>
      <c r="L69" s="138"/>
      <c r="M69" s="138"/>
      <c r="N69" s="138"/>
      <c r="O69" s="139"/>
      <c r="P69" s="138"/>
      <c r="Q69" s="107"/>
      <c r="R69" s="107"/>
    </row>
    <row r="70" spans="1:18" ht="15" customHeight="1">
      <c r="A70" s="17" t="s">
        <v>61</v>
      </c>
      <c r="B70" s="17" t="s">
        <v>371</v>
      </c>
      <c r="C70" s="18" t="s">
        <v>566</v>
      </c>
      <c r="D70" s="17" t="s">
        <v>63</v>
      </c>
      <c r="E70" s="17" t="s">
        <v>286</v>
      </c>
      <c r="F70" s="17" t="s">
        <v>365</v>
      </c>
      <c r="G70" s="298"/>
      <c r="H70" s="138"/>
      <c r="I70" s="138"/>
      <c r="J70" s="138"/>
      <c r="K70" s="138"/>
      <c r="L70" s="138"/>
      <c r="M70" s="138"/>
      <c r="N70" s="138"/>
      <c r="O70" s="139"/>
      <c r="P70" s="138"/>
      <c r="Q70" s="107"/>
      <c r="R70" s="107"/>
    </row>
    <row r="71" spans="1:18" ht="15" customHeight="1">
      <c r="A71" s="17" t="s">
        <v>38</v>
      </c>
      <c r="B71" s="17" t="s">
        <v>342</v>
      </c>
      <c r="C71" s="18" t="s">
        <v>592</v>
      </c>
      <c r="D71" s="17" t="s">
        <v>40</v>
      </c>
      <c r="E71" s="17" t="s">
        <v>284</v>
      </c>
      <c r="F71" s="17" t="s">
        <v>349</v>
      </c>
      <c r="G71" s="298"/>
      <c r="H71" s="138"/>
      <c r="I71" s="138"/>
      <c r="J71" s="138"/>
      <c r="K71" s="138"/>
      <c r="L71" s="138"/>
      <c r="M71" s="138"/>
      <c r="N71" s="138"/>
      <c r="O71" s="139"/>
      <c r="P71" s="138"/>
      <c r="Q71" s="107"/>
      <c r="R71" s="107"/>
    </row>
    <row r="72" spans="1:18" ht="15" customHeight="1">
      <c r="A72" s="17" t="s">
        <v>38</v>
      </c>
      <c r="B72" s="17" t="s">
        <v>344</v>
      </c>
      <c r="C72" s="18" t="s">
        <v>593</v>
      </c>
      <c r="D72" s="17" t="s">
        <v>440</v>
      </c>
      <c r="E72" s="17" t="s">
        <v>275</v>
      </c>
      <c r="F72" s="17" t="s">
        <v>349</v>
      </c>
      <c r="G72" s="298"/>
      <c r="H72" s="138"/>
      <c r="I72" s="138"/>
      <c r="J72" s="138"/>
      <c r="K72" s="138"/>
      <c r="L72" s="138"/>
      <c r="M72" s="138"/>
      <c r="N72" s="138"/>
      <c r="O72" s="139"/>
      <c r="P72" s="138"/>
      <c r="Q72" s="107"/>
      <c r="R72" s="107"/>
    </row>
    <row r="73" spans="1:18" ht="15" customHeight="1" thickBot="1">
      <c r="A73" s="30" t="s">
        <v>38</v>
      </c>
      <c r="B73" s="30" t="s">
        <v>344</v>
      </c>
      <c r="C73" s="31" t="s">
        <v>593</v>
      </c>
      <c r="D73" s="30" t="s">
        <v>40</v>
      </c>
      <c r="E73" s="30" t="s">
        <v>275</v>
      </c>
      <c r="F73" s="30" t="s">
        <v>349</v>
      </c>
      <c r="G73" s="299"/>
      <c r="H73" s="140"/>
      <c r="I73" s="140"/>
      <c r="J73" s="140"/>
      <c r="K73" s="140"/>
      <c r="L73" s="140"/>
      <c r="M73" s="140"/>
      <c r="N73" s="140"/>
      <c r="O73" s="141"/>
      <c r="P73" s="140"/>
      <c r="Q73" s="142"/>
      <c r="R73" s="142"/>
    </row>
    <row r="74" spans="1:18" ht="17.45" customHeight="1" thickBot="1">
      <c r="A74" s="283"/>
      <c r="B74" s="284"/>
      <c r="C74" s="284"/>
      <c r="D74" s="284"/>
      <c r="E74" s="284"/>
      <c r="F74" s="284"/>
      <c r="G74" s="284"/>
      <c r="H74" s="284"/>
      <c r="I74" s="284"/>
      <c r="J74" s="284"/>
      <c r="K74" s="284"/>
      <c r="L74" s="284"/>
      <c r="M74" s="284"/>
      <c r="N74" s="284"/>
      <c r="O74" s="284"/>
      <c r="P74" s="284"/>
      <c r="Q74" s="284"/>
      <c r="R74" s="285"/>
    </row>
    <row r="75" spans="1:18" ht="22.15" customHeight="1" thickTop="1" thickBot="1">
      <c r="A75" s="279" t="s">
        <v>6</v>
      </c>
      <c r="B75" s="295"/>
      <c r="C75" s="295"/>
      <c r="D75" s="295"/>
      <c r="E75" s="295"/>
      <c r="F75" s="296"/>
      <c r="G75" s="32">
        <v>46026</v>
      </c>
      <c r="H75" s="278" t="s">
        <v>7</v>
      </c>
      <c r="I75" s="295"/>
      <c r="J75" s="295"/>
      <c r="K75" s="295"/>
      <c r="L75" s="295"/>
      <c r="M75" s="295"/>
      <c r="N75" s="295"/>
      <c r="O75" s="295"/>
      <c r="P75" s="295"/>
      <c r="Q75" s="295"/>
      <c r="R75" s="296"/>
    </row>
    <row r="76" spans="1:18" ht="24" customHeight="1">
      <c r="A76" s="33" t="s">
        <v>8</v>
      </c>
      <c r="B76" s="33" t="s">
        <v>9</v>
      </c>
      <c r="C76" s="34" t="s">
        <v>10</v>
      </c>
      <c r="D76" s="33" t="s">
        <v>11</v>
      </c>
      <c r="E76" s="33" t="s">
        <v>12</v>
      </c>
      <c r="F76" s="35" t="s">
        <v>13</v>
      </c>
      <c r="G76" s="36" t="s">
        <v>14</v>
      </c>
      <c r="H76" s="33" t="s">
        <v>15</v>
      </c>
      <c r="I76" s="37" t="s">
        <v>16</v>
      </c>
      <c r="J76" s="38" t="s">
        <v>17</v>
      </c>
      <c r="K76" s="39" t="s">
        <v>18</v>
      </c>
      <c r="L76" s="38" t="s">
        <v>19</v>
      </c>
      <c r="M76" s="38" t="s">
        <v>20</v>
      </c>
      <c r="N76" s="38" t="s">
        <v>21</v>
      </c>
      <c r="O76" s="33" t="s">
        <v>22</v>
      </c>
      <c r="P76" s="34" t="s">
        <v>23</v>
      </c>
      <c r="Q76" s="38" t="s">
        <v>24</v>
      </c>
      <c r="R76" s="33" t="s">
        <v>25</v>
      </c>
    </row>
    <row r="77" spans="1:18" ht="15" customHeight="1">
      <c r="A77" s="8" t="s">
        <v>359</v>
      </c>
      <c r="B77" s="8" t="s">
        <v>602</v>
      </c>
      <c r="C77" s="9">
        <v>0.3611111111111111</v>
      </c>
      <c r="D77" s="8" t="s">
        <v>603</v>
      </c>
      <c r="E77" s="8" t="s">
        <v>80</v>
      </c>
      <c r="F77" s="8" t="s">
        <v>617</v>
      </c>
      <c r="G77" s="297"/>
      <c r="H77" s="10"/>
      <c r="I77" s="11"/>
      <c r="J77" s="11"/>
      <c r="K77" s="11"/>
      <c r="L77" s="11"/>
      <c r="M77" s="11"/>
      <c r="N77" s="11"/>
      <c r="O77" s="12"/>
      <c r="P77" s="11"/>
      <c r="Q77" s="13"/>
      <c r="R77" s="14"/>
    </row>
    <row r="78" spans="1:18" ht="15" customHeight="1">
      <c r="A78" s="15" t="s">
        <v>359</v>
      </c>
      <c r="B78" s="15" t="s">
        <v>602</v>
      </c>
      <c r="C78" s="16">
        <v>0.3611111111111111</v>
      </c>
      <c r="D78" s="15" t="s">
        <v>605</v>
      </c>
      <c r="E78" s="15" t="s">
        <v>82</v>
      </c>
      <c r="F78" s="15" t="s">
        <v>626</v>
      </c>
      <c r="G78" s="298"/>
      <c r="H78" s="10"/>
      <c r="I78" s="11"/>
      <c r="J78" s="11"/>
      <c r="K78" s="11"/>
      <c r="L78" s="11"/>
      <c r="M78" s="11"/>
      <c r="N78" s="11"/>
      <c r="O78" s="12"/>
      <c r="P78" s="11"/>
      <c r="Q78" s="13"/>
      <c r="R78" s="14"/>
    </row>
    <row r="79" spans="1:18" ht="15" customHeight="1">
      <c r="A79" s="15" t="s">
        <v>359</v>
      </c>
      <c r="B79" s="15" t="s">
        <v>602</v>
      </c>
      <c r="C79" s="16">
        <v>0.3611111111111111</v>
      </c>
      <c r="D79" s="15" t="s">
        <v>46</v>
      </c>
      <c r="E79" s="15" t="s">
        <v>82</v>
      </c>
      <c r="F79" s="15" t="s">
        <v>627</v>
      </c>
      <c r="G79" s="298"/>
      <c r="H79" s="10"/>
      <c r="I79" s="11"/>
      <c r="J79" s="11"/>
      <c r="K79" s="11"/>
      <c r="L79" s="11"/>
      <c r="M79" s="11"/>
      <c r="N79" s="11"/>
      <c r="O79" s="12"/>
      <c r="P79" s="11"/>
      <c r="Q79" s="13"/>
      <c r="R79" s="14"/>
    </row>
    <row r="80" spans="1:18" ht="15" customHeight="1">
      <c r="A80" s="58" t="s">
        <v>61</v>
      </c>
      <c r="B80" s="58" t="s">
        <v>612</v>
      </c>
      <c r="C80" s="59">
        <v>0.49652777777777768</v>
      </c>
      <c r="D80" s="58" t="s">
        <v>63</v>
      </c>
      <c r="E80" s="58" t="s">
        <v>51</v>
      </c>
      <c r="F80" s="58" t="s">
        <v>79</v>
      </c>
      <c r="G80" s="298"/>
      <c r="H80" s="60" t="s">
        <v>613</v>
      </c>
      <c r="I80" s="61">
        <v>5.5999999999999999E-3</v>
      </c>
      <c r="J80" s="62">
        <v>1</v>
      </c>
      <c r="K80" s="63">
        <v>46340</v>
      </c>
      <c r="L80" s="62">
        <v>3</v>
      </c>
      <c r="M80" s="62">
        <v>0</v>
      </c>
      <c r="N80" s="62">
        <v>0</v>
      </c>
      <c r="O80" s="64" t="s">
        <v>292</v>
      </c>
      <c r="P80" s="65">
        <v>0.49652777777777768</v>
      </c>
      <c r="Q80" s="62">
        <v>180</v>
      </c>
      <c r="R80" s="66" t="s">
        <v>302</v>
      </c>
    </row>
    <row r="81" spans="1:18" ht="15" customHeight="1">
      <c r="A81" s="158" t="s">
        <v>61</v>
      </c>
      <c r="B81" s="158" t="s">
        <v>629</v>
      </c>
      <c r="C81" s="159">
        <v>0.57986111111111105</v>
      </c>
      <c r="D81" s="158" t="s">
        <v>63</v>
      </c>
      <c r="E81" s="158" t="s">
        <v>57</v>
      </c>
      <c r="F81" s="158" t="s">
        <v>79</v>
      </c>
      <c r="G81" s="298"/>
      <c r="H81" s="89" t="s">
        <v>630</v>
      </c>
      <c r="I81" s="90">
        <v>5.5999999999999999E-3</v>
      </c>
      <c r="J81" s="91">
        <v>1</v>
      </c>
      <c r="K81" s="92">
        <v>46315</v>
      </c>
      <c r="L81" s="91">
        <v>1</v>
      </c>
      <c r="M81" s="91">
        <v>0</v>
      </c>
      <c r="N81" s="91">
        <v>0</v>
      </c>
      <c r="O81" s="93" t="s">
        <v>292</v>
      </c>
      <c r="P81" s="94">
        <v>0.57986111111111105</v>
      </c>
      <c r="Q81" s="91">
        <v>180</v>
      </c>
      <c r="R81" s="95" t="s">
        <v>302</v>
      </c>
    </row>
    <row r="82" spans="1:18" ht="15" customHeight="1">
      <c r="A82" s="19" t="s">
        <v>48</v>
      </c>
      <c r="B82" s="19" t="s">
        <v>611</v>
      </c>
      <c r="C82" s="20">
        <v>0.81944444444444453</v>
      </c>
      <c r="D82" s="19" t="s">
        <v>50</v>
      </c>
      <c r="E82" s="19" t="s">
        <v>156</v>
      </c>
      <c r="F82" s="19" t="s">
        <v>133</v>
      </c>
      <c r="G82" s="298"/>
      <c r="H82" s="10"/>
      <c r="I82" s="11"/>
      <c r="J82" s="11"/>
      <c r="K82" s="11"/>
      <c r="L82" s="11"/>
      <c r="M82" s="11"/>
      <c r="N82" s="11"/>
      <c r="O82" s="12"/>
      <c r="P82" s="11"/>
      <c r="Q82" s="13"/>
      <c r="R82" s="14"/>
    </row>
    <row r="83" spans="1:18" ht="15" customHeight="1">
      <c r="A83" s="15" t="s">
        <v>48</v>
      </c>
      <c r="B83" s="15" t="s">
        <v>611</v>
      </c>
      <c r="C83" s="16">
        <v>0.81944444444444453</v>
      </c>
      <c r="D83" s="15" t="s">
        <v>53</v>
      </c>
      <c r="E83" s="15" t="s">
        <v>135</v>
      </c>
      <c r="F83" s="15" t="s">
        <v>610</v>
      </c>
      <c r="G83" s="298"/>
      <c r="H83" s="10"/>
      <c r="I83" s="11"/>
      <c r="J83" s="11"/>
      <c r="K83" s="11"/>
      <c r="L83" s="11"/>
      <c r="M83" s="11"/>
      <c r="N83" s="11"/>
      <c r="O83" s="12"/>
      <c r="P83" s="11"/>
      <c r="Q83" s="13"/>
      <c r="R83" s="14"/>
    </row>
    <row r="84" spans="1:18" ht="18">
      <c r="A84" s="292" t="s">
        <v>615</v>
      </c>
      <c r="B84" s="303"/>
      <c r="C84" s="303"/>
      <c r="D84" s="303"/>
      <c r="E84" s="303"/>
      <c r="F84" s="304"/>
      <c r="G84" s="298"/>
      <c r="H84" s="138"/>
      <c r="I84" s="138"/>
      <c r="J84" s="138"/>
      <c r="K84" s="138"/>
      <c r="L84" s="138"/>
      <c r="M84" s="138"/>
      <c r="N84" s="138"/>
      <c r="O84" s="139"/>
      <c r="P84" s="138"/>
      <c r="Q84" s="107"/>
      <c r="R84" s="107"/>
    </row>
    <row r="85" spans="1:18" ht="15" customHeight="1">
      <c r="A85" s="17" t="s">
        <v>26</v>
      </c>
      <c r="B85" s="17" t="s">
        <v>348</v>
      </c>
      <c r="C85" s="18" t="s">
        <v>595</v>
      </c>
      <c r="D85" s="17" t="s">
        <v>28</v>
      </c>
      <c r="E85" s="17" t="s">
        <v>636</v>
      </c>
      <c r="F85" s="17" t="s">
        <v>131</v>
      </c>
      <c r="G85" s="298"/>
      <c r="H85" s="138"/>
      <c r="I85" s="138"/>
      <c r="J85" s="138"/>
      <c r="K85" s="138"/>
      <c r="L85" s="138"/>
      <c r="M85" s="138"/>
      <c r="N85" s="138"/>
      <c r="O85" s="139"/>
      <c r="P85" s="138"/>
      <c r="Q85" s="107"/>
      <c r="R85" s="107"/>
    </row>
    <row r="86" spans="1:18" ht="15" customHeight="1">
      <c r="A86" s="17" t="s">
        <v>26</v>
      </c>
      <c r="B86" s="17" t="s">
        <v>351</v>
      </c>
      <c r="C86" s="18" t="s">
        <v>597</v>
      </c>
      <c r="D86" s="17" t="s">
        <v>28</v>
      </c>
      <c r="E86" s="17" t="s">
        <v>288</v>
      </c>
      <c r="F86" s="17" t="s">
        <v>131</v>
      </c>
      <c r="G86" s="298"/>
      <c r="H86" s="138"/>
      <c r="I86" s="138"/>
      <c r="J86" s="138"/>
      <c r="K86" s="138"/>
      <c r="L86" s="138"/>
      <c r="M86" s="138"/>
      <c r="N86" s="138"/>
      <c r="O86" s="139"/>
      <c r="P86" s="138"/>
      <c r="Q86" s="107"/>
      <c r="R86" s="107"/>
    </row>
    <row r="87" spans="1:18" ht="15" customHeight="1">
      <c r="A87" s="17" t="s">
        <v>38</v>
      </c>
      <c r="B87" s="17" t="s">
        <v>346</v>
      </c>
      <c r="C87" s="18" t="s">
        <v>600</v>
      </c>
      <c r="D87" s="17" t="s">
        <v>40</v>
      </c>
      <c r="E87" s="17" t="s">
        <v>293</v>
      </c>
      <c r="F87" s="17" t="s">
        <v>30</v>
      </c>
      <c r="G87" s="298"/>
      <c r="H87" s="138"/>
      <c r="I87" s="138"/>
      <c r="J87" s="138"/>
      <c r="K87" s="138"/>
      <c r="L87" s="138"/>
      <c r="M87" s="138"/>
      <c r="N87" s="138"/>
      <c r="O87" s="139"/>
      <c r="P87" s="138"/>
      <c r="Q87" s="107"/>
      <c r="R87" s="107"/>
    </row>
    <row r="88" spans="1:18" ht="15" customHeight="1">
      <c r="A88" s="17" t="s">
        <v>38</v>
      </c>
      <c r="B88" s="17" t="s">
        <v>342</v>
      </c>
      <c r="C88" s="18" t="s">
        <v>592</v>
      </c>
      <c r="D88" s="17" t="s">
        <v>40</v>
      </c>
      <c r="E88" s="17" t="s">
        <v>295</v>
      </c>
      <c r="F88" s="17" t="s">
        <v>30</v>
      </c>
      <c r="G88" s="298"/>
      <c r="H88" s="138"/>
      <c r="I88" s="138"/>
      <c r="J88" s="138"/>
      <c r="K88" s="138"/>
      <c r="L88" s="138"/>
      <c r="M88" s="138"/>
      <c r="N88" s="138"/>
      <c r="O88" s="139"/>
      <c r="P88" s="138"/>
      <c r="Q88" s="107"/>
      <c r="R88" s="107"/>
    </row>
    <row r="89" spans="1:18" ht="15" customHeight="1">
      <c r="A89" s="17" t="s">
        <v>359</v>
      </c>
      <c r="B89" s="17" t="s">
        <v>360</v>
      </c>
      <c r="C89" s="18" t="s">
        <v>257</v>
      </c>
      <c r="D89" s="17" t="s">
        <v>361</v>
      </c>
      <c r="E89" s="17" t="s">
        <v>270</v>
      </c>
      <c r="F89" s="17" t="s">
        <v>423</v>
      </c>
      <c r="G89" s="298"/>
      <c r="H89" s="138"/>
      <c r="I89" s="138"/>
      <c r="J89" s="138"/>
      <c r="K89" s="138"/>
      <c r="L89" s="138"/>
      <c r="M89" s="138"/>
      <c r="N89" s="138"/>
      <c r="O89" s="139"/>
      <c r="P89" s="138"/>
      <c r="Q89" s="107"/>
      <c r="R89" s="107"/>
    </row>
    <row r="90" spans="1:18" ht="15" customHeight="1">
      <c r="A90" s="17" t="s">
        <v>26</v>
      </c>
      <c r="B90" s="17" t="s">
        <v>350</v>
      </c>
      <c r="C90" s="18" t="s">
        <v>596</v>
      </c>
      <c r="D90" s="17" t="s">
        <v>28</v>
      </c>
      <c r="E90" s="17" t="s">
        <v>267</v>
      </c>
      <c r="F90" s="17" t="s">
        <v>347</v>
      </c>
      <c r="G90" s="298"/>
      <c r="H90" s="138"/>
      <c r="I90" s="138"/>
      <c r="J90" s="138"/>
      <c r="K90" s="138"/>
      <c r="L90" s="138"/>
      <c r="M90" s="138"/>
      <c r="N90" s="138"/>
      <c r="O90" s="139"/>
      <c r="P90" s="138"/>
      <c r="Q90" s="107"/>
      <c r="R90" s="107"/>
    </row>
    <row r="91" spans="1:18" ht="15" customHeight="1">
      <c r="A91" s="17" t="s">
        <v>26</v>
      </c>
      <c r="B91" s="17" t="s">
        <v>352</v>
      </c>
      <c r="C91" s="18" t="s">
        <v>598</v>
      </c>
      <c r="D91" s="17" t="s">
        <v>28</v>
      </c>
      <c r="E91" s="17" t="s">
        <v>277</v>
      </c>
      <c r="F91" s="17" t="s">
        <v>347</v>
      </c>
      <c r="G91" s="298"/>
      <c r="H91" s="138"/>
      <c r="I91" s="138"/>
      <c r="J91" s="138"/>
      <c r="K91" s="138"/>
      <c r="L91" s="138"/>
      <c r="M91" s="138"/>
      <c r="N91" s="138"/>
      <c r="O91" s="139"/>
      <c r="P91" s="138"/>
      <c r="Q91" s="107"/>
      <c r="R91" s="107"/>
    </row>
    <row r="92" spans="1:18" ht="15" customHeight="1">
      <c r="A92" s="17" t="s">
        <v>26</v>
      </c>
      <c r="B92" s="17" t="s">
        <v>353</v>
      </c>
      <c r="C92" s="18" t="s">
        <v>593</v>
      </c>
      <c r="D92" s="17" t="s">
        <v>28</v>
      </c>
      <c r="E92" s="17" t="s">
        <v>277</v>
      </c>
      <c r="F92" s="17" t="s">
        <v>347</v>
      </c>
      <c r="G92" s="298"/>
      <c r="H92" s="138"/>
      <c r="I92" s="138"/>
      <c r="J92" s="138"/>
      <c r="K92" s="138"/>
      <c r="L92" s="138"/>
      <c r="M92" s="138"/>
      <c r="N92" s="138"/>
      <c r="O92" s="139"/>
      <c r="P92" s="138"/>
      <c r="Q92" s="107"/>
      <c r="R92" s="107"/>
    </row>
    <row r="93" spans="1:18" ht="15" customHeight="1">
      <c r="A93" s="17" t="s">
        <v>61</v>
      </c>
      <c r="B93" s="17" t="s">
        <v>432</v>
      </c>
      <c r="C93" s="18" t="s">
        <v>572</v>
      </c>
      <c r="D93" s="17" t="s">
        <v>63</v>
      </c>
      <c r="E93" s="17" t="s">
        <v>636</v>
      </c>
      <c r="F93" s="17" t="s">
        <v>365</v>
      </c>
      <c r="G93" s="298"/>
      <c r="H93" s="138"/>
      <c r="I93" s="138"/>
      <c r="J93" s="138"/>
      <c r="K93" s="138"/>
      <c r="L93" s="138"/>
      <c r="M93" s="138"/>
      <c r="N93" s="138"/>
      <c r="O93" s="139"/>
      <c r="P93" s="138"/>
      <c r="Q93" s="107"/>
      <c r="R93" s="107"/>
    </row>
    <row r="94" spans="1:18" ht="15" customHeight="1" thickBot="1">
      <c r="A94" s="30" t="s">
        <v>61</v>
      </c>
      <c r="B94" s="30" t="s">
        <v>375</v>
      </c>
      <c r="C94" s="31" t="s">
        <v>561</v>
      </c>
      <c r="D94" s="30" t="s">
        <v>63</v>
      </c>
      <c r="E94" s="30" t="s">
        <v>267</v>
      </c>
      <c r="F94" s="30" t="s">
        <v>365</v>
      </c>
      <c r="G94" s="299"/>
      <c r="H94" s="140"/>
      <c r="I94" s="140"/>
      <c r="J94" s="140"/>
      <c r="K94" s="140"/>
      <c r="L94" s="140"/>
      <c r="M94" s="140"/>
      <c r="N94" s="140"/>
      <c r="O94" s="141"/>
      <c r="P94" s="140"/>
      <c r="Q94" s="142"/>
      <c r="R94" s="142"/>
    </row>
    <row r="95" spans="1:18" ht="17.45" customHeight="1" thickBot="1">
      <c r="A95" s="283"/>
      <c r="B95" s="284"/>
      <c r="C95" s="284"/>
      <c r="D95" s="284"/>
      <c r="E95" s="284"/>
      <c r="F95" s="284"/>
      <c r="G95" s="284"/>
      <c r="H95" s="284"/>
      <c r="I95" s="284"/>
      <c r="J95" s="284"/>
      <c r="K95" s="284"/>
      <c r="L95" s="284"/>
      <c r="M95" s="284"/>
      <c r="N95" s="284"/>
      <c r="O95" s="284"/>
      <c r="P95" s="284"/>
      <c r="Q95" s="284"/>
      <c r="R95" s="285"/>
    </row>
    <row r="96" spans="1:18" ht="22.15" customHeight="1" thickTop="1" thickBot="1">
      <c r="A96" s="279" t="s">
        <v>6</v>
      </c>
      <c r="B96" s="295"/>
      <c r="C96" s="295"/>
      <c r="D96" s="295"/>
      <c r="E96" s="295"/>
      <c r="F96" s="296"/>
      <c r="G96" s="32">
        <v>46027</v>
      </c>
      <c r="H96" s="278" t="s">
        <v>7</v>
      </c>
      <c r="I96" s="295"/>
      <c r="J96" s="295"/>
      <c r="K96" s="295"/>
      <c r="L96" s="295"/>
      <c r="M96" s="295"/>
      <c r="N96" s="295"/>
      <c r="O96" s="295"/>
      <c r="P96" s="295"/>
      <c r="Q96" s="295"/>
      <c r="R96" s="296"/>
    </row>
    <row r="97" spans="1:18" ht="24" customHeight="1">
      <c r="A97" s="33" t="s">
        <v>8</v>
      </c>
      <c r="B97" s="33" t="s">
        <v>9</v>
      </c>
      <c r="C97" s="34" t="s">
        <v>10</v>
      </c>
      <c r="D97" s="33" t="s">
        <v>11</v>
      </c>
      <c r="E97" s="33" t="s">
        <v>12</v>
      </c>
      <c r="F97" s="35" t="s">
        <v>13</v>
      </c>
      <c r="G97" s="36" t="s">
        <v>14</v>
      </c>
      <c r="H97" s="33" t="s">
        <v>15</v>
      </c>
      <c r="I97" s="37" t="s">
        <v>16</v>
      </c>
      <c r="J97" s="38" t="s">
        <v>17</v>
      </c>
      <c r="K97" s="39" t="s">
        <v>18</v>
      </c>
      <c r="L97" s="38" t="s">
        <v>19</v>
      </c>
      <c r="M97" s="38" t="s">
        <v>20</v>
      </c>
      <c r="N97" s="38" t="s">
        <v>21</v>
      </c>
      <c r="O97" s="33" t="s">
        <v>22</v>
      </c>
      <c r="P97" s="34" t="s">
        <v>23</v>
      </c>
      <c r="Q97" s="38" t="s">
        <v>24</v>
      </c>
      <c r="R97" s="33" t="s">
        <v>25</v>
      </c>
    </row>
    <row r="98" spans="1:18" ht="15" customHeight="1">
      <c r="A98" s="8" t="s">
        <v>359</v>
      </c>
      <c r="B98" s="8" t="s">
        <v>637</v>
      </c>
      <c r="C98" s="9">
        <v>0.12847222222222221</v>
      </c>
      <c r="D98" s="8" t="s">
        <v>603</v>
      </c>
      <c r="E98" s="8" t="s">
        <v>80</v>
      </c>
      <c r="F98" s="8" t="s">
        <v>638</v>
      </c>
      <c r="G98" s="297"/>
      <c r="H98" s="10"/>
      <c r="I98" s="11"/>
      <c r="J98" s="11"/>
      <c r="K98" s="11"/>
      <c r="L98" s="11"/>
      <c r="M98" s="11"/>
      <c r="N98" s="11"/>
      <c r="O98" s="12"/>
      <c r="P98" s="11"/>
      <c r="Q98" s="13"/>
      <c r="R98" s="14"/>
    </row>
    <row r="99" spans="1:18" ht="15" customHeight="1">
      <c r="A99" s="58" t="s">
        <v>61</v>
      </c>
      <c r="B99" s="58" t="s">
        <v>612</v>
      </c>
      <c r="C99" s="59">
        <v>0.45833333333333331</v>
      </c>
      <c r="D99" s="58" t="s">
        <v>63</v>
      </c>
      <c r="E99" s="58" t="s">
        <v>103</v>
      </c>
      <c r="F99" s="58" t="s">
        <v>79</v>
      </c>
      <c r="G99" s="298"/>
      <c r="H99" s="60" t="s">
        <v>613</v>
      </c>
      <c r="I99" s="61">
        <v>3.8899999999999997E-2</v>
      </c>
      <c r="J99" s="62">
        <v>7</v>
      </c>
      <c r="K99" s="63">
        <v>46340</v>
      </c>
      <c r="L99" s="62">
        <v>8</v>
      </c>
      <c r="M99" s="62">
        <v>0</v>
      </c>
      <c r="N99" s="62">
        <v>0</v>
      </c>
      <c r="O99" s="64" t="s">
        <v>306</v>
      </c>
      <c r="P99" s="65">
        <v>0.45833333333333331</v>
      </c>
      <c r="Q99" s="62">
        <v>180</v>
      </c>
      <c r="R99" s="66" t="s">
        <v>639</v>
      </c>
    </row>
    <row r="100" spans="1:18" ht="15" customHeight="1">
      <c r="A100" s="154" t="s">
        <v>61</v>
      </c>
      <c r="B100" s="154" t="s">
        <v>629</v>
      </c>
      <c r="C100" s="155">
        <v>0.14930555555555561</v>
      </c>
      <c r="D100" s="154" t="s">
        <v>63</v>
      </c>
      <c r="E100" s="154" t="s">
        <v>57</v>
      </c>
      <c r="F100" s="154" t="s">
        <v>79</v>
      </c>
      <c r="G100" s="298"/>
      <c r="H100" s="69" t="s">
        <v>630</v>
      </c>
      <c r="I100" s="70">
        <v>0</v>
      </c>
      <c r="J100" s="71">
        <v>0</v>
      </c>
      <c r="K100" s="72" t="s">
        <v>66</v>
      </c>
      <c r="L100" s="71">
        <v>0</v>
      </c>
      <c r="M100" s="71">
        <v>0</v>
      </c>
      <c r="N100" s="71">
        <v>0</v>
      </c>
      <c r="O100" s="73" t="s">
        <v>292</v>
      </c>
      <c r="P100" s="74">
        <v>0.14930555555555561</v>
      </c>
      <c r="Q100" s="71">
        <v>180</v>
      </c>
      <c r="R100" s="75" t="s">
        <v>66</v>
      </c>
    </row>
    <row r="101" spans="1:18" ht="15" customHeight="1">
      <c r="A101" s="19" t="s">
        <v>48</v>
      </c>
      <c r="B101" s="19" t="s">
        <v>611</v>
      </c>
      <c r="C101" s="20">
        <v>0.81944444444444453</v>
      </c>
      <c r="D101" s="19" t="s">
        <v>50</v>
      </c>
      <c r="E101" s="19" t="s">
        <v>156</v>
      </c>
      <c r="F101" s="19" t="s">
        <v>133</v>
      </c>
      <c r="G101" s="298"/>
      <c r="H101" s="10"/>
      <c r="I101" s="11"/>
      <c r="J101" s="11"/>
      <c r="K101" s="11"/>
      <c r="L101" s="11"/>
      <c r="M101" s="11"/>
      <c r="N101" s="11"/>
      <c r="O101" s="12"/>
      <c r="P101" s="11"/>
      <c r="Q101" s="13"/>
      <c r="R101" s="14"/>
    </row>
    <row r="102" spans="1:18" ht="15" customHeight="1">
      <c r="A102" s="15" t="s">
        <v>48</v>
      </c>
      <c r="B102" s="15" t="s">
        <v>611</v>
      </c>
      <c r="C102" s="16">
        <v>0.81944444444444453</v>
      </c>
      <c r="D102" s="15" t="s">
        <v>53</v>
      </c>
      <c r="E102" s="15" t="s">
        <v>135</v>
      </c>
      <c r="F102" s="15" t="s">
        <v>610</v>
      </c>
      <c r="G102" s="298"/>
      <c r="H102" s="10"/>
      <c r="I102" s="11"/>
      <c r="J102" s="11"/>
      <c r="K102" s="11"/>
      <c r="L102" s="11"/>
      <c r="M102" s="11"/>
      <c r="N102" s="11"/>
      <c r="O102" s="12"/>
      <c r="P102" s="11"/>
      <c r="Q102" s="13"/>
      <c r="R102" s="14"/>
    </row>
    <row r="103" spans="1:18" ht="15" customHeight="1">
      <c r="A103" s="19" t="s">
        <v>68</v>
      </c>
      <c r="B103" s="19" t="s">
        <v>633</v>
      </c>
      <c r="C103" s="20">
        <v>0.4236111111111111</v>
      </c>
      <c r="D103" s="19" t="s">
        <v>70</v>
      </c>
      <c r="E103" s="19" t="s">
        <v>51</v>
      </c>
      <c r="F103" s="19" t="s">
        <v>640</v>
      </c>
      <c r="G103" s="298"/>
      <c r="H103" s="10"/>
      <c r="I103" s="11"/>
      <c r="J103" s="11"/>
      <c r="K103" s="11"/>
      <c r="L103" s="11"/>
      <c r="M103" s="11"/>
      <c r="N103" s="11"/>
      <c r="O103" s="12"/>
      <c r="P103" s="11"/>
      <c r="Q103" s="13"/>
      <c r="R103" s="14"/>
    </row>
    <row r="104" spans="1:18" ht="18">
      <c r="A104" s="292" t="s">
        <v>615</v>
      </c>
      <c r="B104" s="303"/>
      <c r="C104" s="303"/>
      <c r="D104" s="303"/>
      <c r="E104" s="303"/>
      <c r="F104" s="304"/>
      <c r="G104" s="298"/>
      <c r="H104" s="138"/>
      <c r="I104" s="138"/>
      <c r="J104" s="138"/>
      <c r="K104" s="138"/>
      <c r="L104" s="138"/>
      <c r="M104" s="138"/>
      <c r="N104" s="138"/>
      <c r="O104" s="139"/>
      <c r="P104" s="138"/>
      <c r="Q104" s="107"/>
      <c r="R104" s="107"/>
    </row>
    <row r="105" spans="1:18" ht="15" customHeight="1">
      <c r="A105" s="17" t="s">
        <v>38</v>
      </c>
      <c r="B105" s="17" t="s">
        <v>342</v>
      </c>
      <c r="C105" s="18" t="s">
        <v>592</v>
      </c>
      <c r="D105" s="17" t="s">
        <v>440</v>
      </c>
      <c r="E105" s="17" t="s">
        <v>281</v>
      </c>
      <c r="F105" s="17" t="s">
        <v>88</v>
      </c>
      <c r="G105" s="298"/>
      <c r="H105" s="138"/>
      <c r="I105" s="138"/>
      <c r="J105" s="138"/>
      <c r="K105" s="138"/>
      <c r="L105" s="138"/>
      <c r="M105" s="138"/>
      <c r="N105" s="138"/>
      <c r="O105" s="139"/>
      <c r="P105" s="138"/>
      <c r="Q105" s="107"/>
      <c r="R105" s="107"/>
    </row>
    <row r="106" spans="1:18" ht="15" customHeight="1">
      <c r="A106" s="17" t="s">
        <v>38</v>
      </c>
      <c r="B106" s="17" t="s">
        <v>342</v>
      </c>
      <c r="C106" s="18" t="s">
        <v>592</v>
      </c>
      <c r="D106" s="17" t="s">
        <v>40</v>
      </c>
      <c r="E106" s="17" t="s">
        <v>281</v>
      </c>
      <c r="F106" s="17" t="s">
        <v>88</v>
      </c>
      <c r="G106" s="298"/>
      <c r="H106" s="138"/>
      <c r="I106" s="138"/>
      <c r="J106" s="138"/>
      <c r="K106" s="138"/>
      <c r="L106" s="138"/>
      <c r="M106" s="138"/>
      <c r="N106" s="138"/>
      <c r="O106" s="139"/>
      <c r="P106" s="138"/>
      <c r="Q106" s="107"/>
      <c r="R106" s="107"/>
    </row>
    <row r="107" spans="1:18" ht="15" customHeight="1">
      <c r="A107" s="17" t="s">
        <v>38</v>
      </c>
      <c r="B107" s="17" t="s">
        <v>346</v>
      </c>
      <c r="C107" s="18" t="s">
        <v>600</v>
      </c>
      <c r="D107" s="17" t="s">
        <v>440</v>
      </c>
      <c r="E107" s="17" t="s">
        <v>268</v>
      </c>
      <c r="F107" s="17" t="s">
        <v>343</v>
      </c>
      <c r="G107" s="298"/>
      <c r="H107" s="138"/>
      <c r="I107" s="138"/>
      <c r="J107" s="138"/>
      <c r="K107" s="138"/>
      <c r="L107" s="138"/>
      <c r="M107" s="138"/>
      <c r="N107" s="138"/>
      <c r="O107" s="139"/>
      <c r="P107" s="138"/>
      <c r="Q107" s="107"/>
      <c r="R107" s="107"/>
    </row>
    <row r="108" spans="1:18" ht="15" customHeight="1">
      <c r="A108" s="17" t="s">
        <v>38</v>
      </c>
      <c r="B108" s="17" t="s">
        <v>346</v>
      </c>
      <c r="C108" s="18" t="s">
        <v>600</v>
      </c>
      <c r="D108" s="17" t="s">
        <v>40</v>
      </c>
      <c r="E108" s="17" t="s">
        <v>268</v>
      </c>
      <c r="F108" s="17" t="s">
        <v>343</v>
      </c>
      <c r="G108" s="298"/>
      <c r="H108" s="138"/>
      <c r="I108" s="138"/>
      <c r="J108" s="138"/>
      <c r="K108" s="138"/>
      <c r="L108" s="138"/>
      <c r="M108" s="138"/>
      <c r="N108" s="138"/>
      <c r="O108" s="139"/>
      <c r="P108" s="138"/>
      <c r="Q108" s="107"/>
      <c r="R108" s="107"/>
    </row>
    <row r="109" spans="1:18" ht="15" customHeight="1">
      <c r="A109" s="17" t="s">
        <v>38</v>
      </c>
      <c r="B109" s="17" t="s">
        <v>345</v>
      </c>
      <c r="C109" s="18" t="s">
        <v>594</v>
      </c>
      <c r="D109" s="17" t="s">
        <v>440</v>
      </c>
      <c r="E109" s="17" t="s">
        <v>293</v>
      </c>
      <c r="F109" s="17" t="s">
        <v>343</v>
      </c>
      <c r="G109" s="298"/>
      <c r="H109" s="138"/>
      <c r="I109" s="138"/>
      <c r="J109" s="138"/>
      <c r="K109" s="138"/>
      <c r="L109" s="138"/>
      <c r="M109" s="138"/>
      <c r="N109" s="138"/>
      <c r="O109" s="139"/>
      <c r="P109" s="138"/>
      <c r="Q109" s="107"/>
      <c r="R109" s="107"/>
    </row>
    <row r="110" spans="1:18" ht="15" customHeight="1">
      <c r="A110" s="17" t="s">
        <v>38</v>
      </c>
      <c r="B110" s="17" t="s">
        <v>345</v>
      </c>
      <c r="C110" s="18" t="s">
        <v>594</v>
      </c>
      <c r="D110" s="17" t="s">
        <v>40</v>
      </c>
      <c r="E110" s="17" t="s">
        <v>293</v>
      </c>
      <c r="F110" s="17" t="s">
        <v>343</v>
      </c>
      <c r="G110" s="298"/>
      <c r="H110" s="138"/>
      <c r="I110" s="138"/>
      <c r="J110" s="138"/>
      <c r="K110" s="138"/>
      <c r="L110" s="138"/>
      <c r="M110" s="138"/>
      <c r="N110" s="138"/>
      <c r="O110" s="139"/>
      <c r="P110" s="138"/>
      <c r="Q110" s="107"/>
      <c r="R110" s="107"/>
    </row>
    <row r="111" spans="1:18" ht="15" customHeight="1">
      <c r="A111" s="17" t="s">
        <v>26</v>
      </c>
      <c r="B111" s="17" t="s">
        <v>348</v>
      </c>
      <c r="C111" s="18" t="s">
        <v>595</v>
      </c>
      <c r="D111" s="17" t="s">
        <v>28</v>
      </c>
      <c r="E111" s="17" t="s">
        <v>286</v>
      </c>
      <c r="F111" s="17" t="s">
        <v>131</v>
      </c>
      <c r="G111" s="298"/>
      <c r="H111" s="138"/>
      <c r="I111" s="138"/>
      <c r="J111" s="138"/>
      <c r="K111" s="138"/>
      <c r="L111" s="138"/>
      <c r="M111" s="138"/>
      <c r="N111" s="138"/>
      <c r="O111" s="139"/>
      <c r="P111" s="138"/>
      <c r="Q111" s="107"/>
      <c r="R111" s="107"/>
    </row>
    <row r="112" spans="1:18" ht="15" customHeight="1">
      <c r="A112" s="17" t="s">
        <v>26</v>
      </c>
      <c r="B112" s="17" t="s">
        <v>352</v>
      </c>
      <c r="C112" s="18" t="s">
        <v>598</v>
      </c>
      <c r="D112" s="17" t="s">
        <v>28</v>
      </c>
      <c r="E112" s="17" t="s">
        <v>294</v>
      </c>
      <c r="F112" s="17" t="s">
        <v>131</v>
      </c>
      <c r="G112" s="298"/>
      <c r="H112" s="138"/>
      <c r="I112" s="138"/>
      <c r="J112" s="138"/>
      <c r="K112" s="138"/>
      <c r="L112" s="138"/>
      <c r="M112" s="138"/>
      <c r="N112" s="138"/>
      <c r="O112" s="139"/>
      <c r="P112" s="138"/>
      <c r="Q112" s="107"/>
      <c r="R112" s="107"/>
    </row>
    <row r="113" spans="1:18" ht="15" customHeight="1">
      <c r="A113" s="17" t="s">
        <v>26</v>
      </c>
      <c r="B113" s="17" t="s">
        <v>353</v>
      </c>
      <c r="C113" s="18" t="s">
        <v>593</v>
      </c>
      <c r="D113" s="17" t="s">
        <v>28</v>
      </c>
      <c r="E113" s="17" t="s">
        <v>277</v>
      </c>
      <c r="F113" s="17" t="s">
        <v>131</v>
      </c>
      <c r="G113" s="298"/>
      <c r="H113" s="138"/>
      <c r="I113" s="138"/>
      <c r="J113" s="138"/>
      <c r="K113" s="138"/>
      <c r="L113" s="138"/>
      <c r="M113" s="138"/>
      <c r="N113" s="138"/>
      <c r="O113" s="139"/>
      <c r="P113" s="138"/>
      <c r="Q113" s="107"/>
      <c r="R113" s="107"/>
    </row>
    <row r="114" spans="1:18" ht="15" customHeight="1" thickBot="1">
      <c r="A114" s="30" t="s">
        <v>359</v>
      </c>
      <c r="B114" s="30" t="s">
        <v>445</v>
      </c>
      <c r="C114" s="31" t="s">
        <v>641</v>
      </c>
      <c r="D114" s="30" t="s">
        <v>361</v>
      </c>
      <c r="E114" s="30" t="s">
        <v>270</v>
      </c>
      <c r="F114" s="30" t="s">
        <v>362</v>
      </c>
      <c r="G114" s="299"/>
      <c r="H114" s="140"/>
      <c r="I114" s="140"/>
      <c r="J114" s="140"/>
      <c r="K114" s="140"/>
      <c r="L114" s="140"/>
      <c r="M114" s="140"/>
      <c r="N114" s="140"/>
      <c r="O114" s="141"/>
      <c r="P114" s="140"/>
      <c r="Q114" s="142"/>
      <c r="R114" s="142"/>
    </row>
    <row r="115" spans="1:18" ht="17.45" customHeight="1" thickBot="1">
      <c r="A115" s="283"/>
      <c r="B115" s="284"/>
      <c r="C115" s="284"/>
      <c r="D115" s="284"/>
      <c r="E115" s="284"/>
      <c r="F115" s="284"/>
      <c r="G115" s="284"/>
      <c r="H115" s="284"/>
      <c r="I115" s="284"/>
      <c r="J115" s="284"/>
      <c r="K115" s="284"/>
      <c r="L115" s="284"/>
      <c r="M115" s="284"/>
      <c r="N115" s="284"/>
      <c r="O115" s="284"/>
      <c r="P115" s="284"/>
      <c r="Q115" s="284"/>
      <c r="R115" s="285"/>
    </row>
    <row r="116" spans="1:18" ht="22.15" customHeight="1" thickTop="1" thickBot="1">
      <c r="A116" s="279" t="s">
        <v>6</v>
      </c>
      <c r="B116" s="295"/>
      <c r="C116" s="295"/>
      <c r="D116" s="295"/>
      <c r="E116" s="295"/>
      <c r="F116" s="296"/>
      <c r="G116" s="32">
        <v>46028</v>
      </c>
      <c r="H116" s="278" t="s">
        <v>7</v>
      </c>
      <c r="I116" s="295"/>
      <c r="J116" s="295"/>
      <c r="K116" s="295"/>
      <c r="L116" s="295"/>
      <c r="M116" s="295"/>
      <c r="N116" s="295"/>
      <c r="O116" s="295"/>
      <c r="P116" s="295"/>
      <c r="Q116" s="295"/>
      <c r="R116" s="296"/>
    </row>
    <row r="117" spans="1:18" ht="24" customHeight="1">
      <c r="A117" s="33" t="s">
        <v>8</v>
      </c>
      <c r="B117" s="33" t="s">
        <v>9</v>
      </c>
      <c r="C117" s="34" t="s">
        <v>10</v>
      </c>
      <c r="D117" s="33" t="s">
        <v>11</v>
      </c>
      <c r="E117" s="33" t="s">
        <v>12</v>
      </c>
      <c r="F117" s="35" t="s">
        <v>13</v>
      </c>
      <c r="G117" s="36" t="s">
        <v>14</v>
      </c>
      <c r="H117" s="33" t="s">
        <v>15</v>
      </c>
      <c r="I117" s="37" t="s">
        <v>16</v>
      </c>
      <c r="J117" s="38" t="s">
        <v>17</v>
      </c>
      <c r="K117" s="39" t="s">
        <v>18</v>
      </c>
      <c r="L117" s="38" t="s">
        <v>19</v>
      </c>
      <c r="M117" s="38" t="s">
        <v>20</v>
      </c>
      <c r="N117" s="38" t="s">
        <v>21</v>
      </c>
      <c r="O117" s="33" t="s">
        <v>22</v>
      </c>
      <c r="P117" s="34" t="s">
        <v>23</v>
      </c>
      <c r="Q117" s="38" t="s">
        <v>24</v>
      </c>
      <c r="R117" s="33" t="s">
        <v>25</v>
      </c>
    </row>
    <row r="118" spans="1:18" ht="15" customHeight="1">
      <c r="A118" s="8" t="s">
        <v>38</v>
      </c>
      <c r="B118" s="8" t="s">
        <v>621</v>
      </c>
      <c r="C118" s="9">
        <v>0.3611111111111111</v>
      </c>
      <c r="D118" s="8" t="s">
        <v>622</v>
      </c>
      <c r="E118" s="8" t="s">
        <v>41</v>
      </c>
      <c r="F118" s="8" t="s">
        <v>121</v>
      </c>
      <c r="G118" s="297"/>
      <c r="H118" s="10"/>
      <c r="I118" s="11"/>
      <c r="J118" s="11"/>
      <c r="K118" s="11"/>
      <c r="L118" s="11"/>
      <c r="M118" s="11"/>
      <c r="N118" s="11"/>
      <c r="O118" s="12"/>
      <c r="P118" s="11"/>
      <c r="Q118" s="13"/>
      <c r="R118" s="14"/>
    </row>
    <row r="119" spans="1:18" ht="15" customHeight="1">
      <c r="A119" s="15" t="s">
        <v>38</v>
      </c>
      <c r="B119" s="15" t="s">
        <v>621</v>
      </c>
      <c r="C119" s="16">
        <v>0.3611111111111111</v>
      </c>
      <c r="D119" s="15" t="s">
        <v>642</v>
      </c>
      <c r="E119" s="15" t="s">
        <v>44</v>
      </c>
      <c r="F119" s="15" t="s">
        <v>121</v>
      </c>
      <c r="G119" s="298"/>
      <c r="H119" s="10"/>
      <c r="I119" s="11"/>
      <c r="J119" s="11"/>
      <c r="K119" s="11"/>
      <c r="L119" s="11"/>
      <c r="M119" s="11"/>
      <c r="N119" s="11"/>
      <c r="O119" s="12"/>
      <c r="P119" s="11"/>
      <c r="Q119" s="13"/>
      <c r="R119" s="14"/>
    </row>
    <row r="120" spans="1:18" ht="15" customHeight="1">
      <c r="A120" s="15" t="s">
        <v>38</v>
      </c>
      <c r="B120" s="15" t="s">
        <v>621</v>
      </c>
      <c r="C120" s="16">
        <v>0.3611111111111111</v>
      </c>
      <c r="D120" s="15" t="s">
        <v>603</v>
      </c>
      <c r="E120" s="15" t="s">
        <v>44</v>
      </c>
      <c r="F120" s="15" t="s">
        <v>623</v>
      </c>
      <c r="G120" s="298"/>
      <c r="H120" s="10"/>
      <c r="I120" s="11"/>
      <c r="J120" s="11"/>
      <c r="K120" s="11"/>
      <c r="L120" s="11"/>
      <c r="M120" s="11"/>
      <c r="N120" s="11"/>
      <c r="O120" s="12"/>
      <c r="P120" s="11"/>
      <c r="Q120" s="13"/>
      <c r="R120" s="14"/>
    </row>
    <row r="121" spans="1:18" ht="15" customHeight="1">
      <c r="A121" s="15" t="s">
        <v>38</v>
      </c>
      <c r="B121" s="15" t="s">
        <v>621</v>
      </c>
      <c r="C121" s="16">
        <v>0.3611111111111111</v>
      </c>
      <c r="D121" s="15" t="s">
        <v>605</v>
      </c>
      <c r="E121" s="15" t="s">
        <v>44</v>
      </c>
      <c r="F121" s="15" t="s">
        <v>624</v>
      </c>
      <c r="G121" s="298"/>
      <c r="H121" s="10"/>
      <c r="I121" s="11"/>
      <c r="J121" s="11"/>
      <c r="K121" s="11"/>
      <c r="L121" s="11"/>
      <c r="M121" s="11"/>
      <c r="N121" s="11"/>
      <c r="O121" s="12"/>
      <c r="P121" s="11"/>
      <c r="Q121" s="13"/>
      <c r="R121" s="14"/>
    </row>
    <row r="122" spans="1:18" ht="15" customHeight="1">
      <c r="A122" s="15" t="s">
        <v>38</v>
      </c>
      <c r="B122" s="15" t="s">
        <v>621</v>
      </c>
      <c r="C122" s="16">
        <v>0.3611111111111111</v>
      </c>
      <c r="D122" s="15" t="s">
        <v>625</v>
      </c>
      <c r="E122" s="15" t="s">
        <v>44</v>
      </c>
      <c r="F122" s="15" t="s">
        <v>163</v>
      </c>
      <c r="G122" s="298"/>
      <c r="H122" s="10"/>
      <c r="I122" s="11"/>
      <c r="J122" s="11"/>
      <c r="K122" s="11"/>
      <c r="L122" s="11"/>
      <c r="M122" s="11"/>
      <c r="N122" s="11"/>
      <c r="O122" s="12"/>
      <c r="P122" s="11"/>
      <c r="Q122" s="13"/>
      <c r="R122" s="14"/>
    </row>
    <row r="123" spans="1:18" ht="15" customHeight="1">
      <c r="A123" s="19" t="s">
        <v>359</v>
      </c>
      <c r="B123" s="19" t="s">
        <v>616</v>
      </c>
      <c r="C123" s="20">
        <v>1.041666666666667E-2</v>
      </c>
      <c r="D123" s="19" t="s">
        <v>603</v>
      </c>
      <c r="E123" s="19" t="s">
        <v>80</v>
      </c>
      <c r="F123" s="19" t="s">
        <v>604</v>
      </c>
      <c r="G123" s="298"/>
      <c r="H123" s="10"/>
      <c r="I123" s="11"/>
      <c r="J123" s="11"/>
      <c r="K123" s="11"/>
      <c r="L123" s="11"/>
      <c r="M123" s="11"/>
      <c r="N123" s="11"/>
      <c r="O123" s="12"/>
      <c r="P123" s="11"/>
      <c r="Q123" s="13"/>
      <c r="R123" s="14"/>
    </row>
    <row r="124" spans="1:18" ht="15" customHeight="1">
      <c r="A124" s="15" t="s">
        <v>359</v>
      </c>
      <c r="B124" s="15" t="s">
        <v>616</v>
      </c>
      <c r="C124" s="16">
        <v>1.041666666666667E-2</v>
      </c>
      <c r="D124" s="15" t="s">
        <v>605</v>
      </c>
      <c r="E124" s="15" t="s">
        <v>82</v>
      </c>
      <c r="F124" s="15" t="s">
        <v>606</v>
      </c>
      <c r="G124" s="298"/>
      <c r="H124" s="10"/>
      <c r="I124" s="11"/>
      <c r="J124" s="11"/>
      <c r="K124" s="11"/>
      <c r="L124" s="11"/>
      <c r="M124" s="11"/>
      <c r="N124" s="11"/>
      <c r="O124" s="12"/>
      <c r="P124" s="11"/>
      <c r="Q124" s="13"/>
      <c r="R124" s="14"/>
    </row>
    <row r="125" spans="1:18" ht="15" customHeight="1">
      <c r="A125" s="15" t="s">
        <v>359</v>
      </c>
      <c r="B125" s="15" t="s">
        <v>616</v>
      </c>
      <c r="C125" s="16">
        <v>1.041666666666667E-2</v>
      </c>
      <c r="D125" s="15" t="s">
        <v>46</v>
      </c>
      <c r="E125" s="15" t="s">
        <v>82</v>
      </c>
      <c r="F125" s="15" t="s">
        <v>607</v>
      </c>
      <c r="G125" s="298"/>
      <c r="H125" s="10"/>
      <c r="I125" s="11"/>
      <c r="J125" s="11"/>
      <c r="K125" s="11"/>
      <c r="L125" s="11"/>
      <c r="M125" s="11"/>
      <c r="N125" s="11"/>
      <c r="O125" s="12"/>
      <c r="P125" s="11"/>
      <c r="Q125" s="13"/>
      <c r="R125" s="14"/>
    </row>
    <row r="126" spans="1:18" ht="15" customHeight="1">
      <c r="A126" s="17" t="s">
        <v>359</v>
      </c>
      <c r="B126" s="17" t="s">
        <v>602</v>
      </c>
      <c r="C126" s="18">
        <v>0.3611111111111111</v>
      </c>
      <c r="D126" s="17" t="s">
        <v>603</v>
      </c>
      <c r="E126" s="17" t="s">
        <v>90</v>
      </c>
      <c r="F126" s="17" t="s">
        <v>638</v>
      </c>
      <c r="G126" s="298"/>
      <c r="H126" s="10"/>
      <c r="I126" s="11"/>
      <c r="J126" s="11"/>
      <c r="K126" s="11"/>
      <c r="L126" s="11"/>
      <c r="M126" s="11"/>
      <c r="N126" s="11"/>
      <c r="O126" s="12"/>
      <c r="P126" s="11"/>
      <c r="Q126" s="13"/>
      <c r="R126" s="14"/>
    </row>
    <row r="127" spans="1:18" ht="15" customHeight="1">
      <c r="A127" s="67" t="s">
        <v>61</v>
      </c>
      <c r="B127" s="67" t="s">
        <v>612</v>
      </c>
      <c r="C127" s="68">
        <v>0.52083333333333337</v>
      </c>
      <c r="D127" s="67" t="s">
        <v>63</v>
      </c>
      <c r="E127" s="67" t="s">
        <v>51</v>
      </c>
      <c r="F127" s="67" t="s">
        <v>79</v>
      </c>
      <c r="G127" s="298"/>
      <c r="H127" s="69" t="s">
        <v>613</v>
      </c>
      <c r="I127" s="70">
        <v>5.5999999999999999E-3</v>
      </c>
      <c r="J127" s="71">
        <v>1</v>
      </c>
      <c r="K127" s="72">
        <v>46329</v>
      </c>
      <c r="L127" s="71">
        <v>2</v>
      </c>
      <c r="M127" s="71">
        <v>0</v>
      </c>
      <c r="N127" s="71">
        <v>0</v>
      </c>
      <c r="O127" s="73" t="s">
        <v>292</v>
      </c>
      <c r="P127" s="74">
        <v>0.52083333333333337</v>
      </c>
      <c r="Q127" s="71">
        <v>180</v>
      </c>
      <c r="R127" s="75" t="s">
        <v>302</v>
      </c>
    </row>
    <row r="128" spans="1:18" ht="15" customHeight="1">
      <c r="A128" s="19" t="s">
        <v>48</v>
      </c>
      <c r="B128" s="19" t="s">
        <v>609</v>
      </c>
      <c r="C128" s="20">
        <v>0.4513888888888889</v>
      </c>
      <c r="D128" s="19" t="s">
        <v>643</v>
      </c>
      <c r="E128" s="19" t="s">
        <v>51</v>
      </c>
      <c r="F128" s="19" t="s">
        <v>133</v>
      </c>
      <c r="G128" s="298"/>
      <c r="H128" s="10"/>
      <c r="I128" s="11"/>
      <c r="J128" s="11"/>
      <c r="K128" s="11"/>
      <c r="L128" s="11"/>
      <c r="M128" s="11"/>
      <c r="N128" s="11"/>
      <c r="O128" s="12"/>
      <c r="P128" s="11"/>
      <c r="Q128" s="13"/>
      <c r="R128" s="14"/>
    </row>
    <row r="129" spans="1:18" ht="15" customHeight="1">
      <c r="A129" s="15" t="s">
        <v>48</v>
      </c>
      <c r="B129" s="15" t="s">
        <v>609</v>
      </c>
      <c r="C129" s="16">
        <v>0.4513888888888889</v>
      </c>
      <c r="D129" s="15" t="s">
        <v>50</v>
      </c>
      <c r="E129" s="15" t="s">
        <v>54</v>
      </c>
      <c r="F129" s="15" t="s">
        <v>133</v>
      </c>
      <c r="G129" s="298"/>
      <c r="H129" s="10"/>
      <c r="I129" s="11"/>
      <c r="J129" s="11"/>
      <c r="K129" s="11"/>
      <c r="L129" s="11"/>
      <c r="M129" s="11"/>
      <c r="N129" s="11"/>
      <c r="O129" s="12"/>
      <c r="P129" s="11"/>
      <c r="Q129" s="13"/>
      <c r="R129" s="14"/>
    </row>
    <row r="130" spans="1:18" ht="15" customHeight="1">
      <c r="A130" s="15" t="s">
        <v>48</v>
      </c>
      <c r="B130" s="15" t="s">
        <v>609</v>
      </c>
      <c r="C130" s="16">
        <v>0.4513888888888889</v>
      </c>
      <c r="D130" s="15" t="s">
        <v>53</v>
      </c>
      <c r="E130" s="15" t="s">
        <v>54</v>
      </c>
      <c r="F130" s="15" t="s">
        <v>610</v>
      </c>
      <c r="G130" s="298"/>
      <c r="H130" s="10"/>
      <c r="I130" s="11"/>
      <c r="J130" s="11"/>
      <c r="K130" s="11"/>
      <c r="L130" s="11"/>
      <c r="M130" s="11"/>
      <c r="N130" s="11"/>
      <c r="O130" s="12"/>
      <c r="P130" s="11"/>
      <c r="Q130" s="13"/>
      <c r="R130" s="14"/>
    </row>
    <row r="131" spans="1:18" ht="15" customHeight="1">
      <c r="A131" s="17" t="s">
        <v>48</v>
      </c>
      <c r="B131" s="17" t="s">
        <v>611</v>
      </c>
      <c r="C131" s="18">
        <v>0.81944444444444453</v>
      </c>
      <c r="D131" s="17" t="s">
        <v>50</v>
      </c>
      <c r="E131" s="17" t="s">
        <v>57</v>
      </c>
      <c r="F131" s="17" t="s">
        <v>133</v>
      </c>
      <c r="G131" s="298"/>
      <c r="H131" s="10"/>
      <c r="I131" s="11"/>
      <c r="J131" s="11"/>
      <c r="K131" s="11"/>
      <c r="L131" s="11"/>
      <c r="M131" s="11"/>
      <c r="N131" s="11"/>
      <c r="O131" s="12"/>
      <c r="P131" s="11"/>
      <c r="Q131" s="13"/>
      <c r="R131" s="14"/>
    </row>
    <row r="132" spans="1:18" ht="15" customHeight="1">
      <c r="A132" s="15" t="s">
        <v>48</v>
      </c>
      <c r="B132" s="15" t="s">
        <v>611</v>
      </c>
      <c r="C132" s="16">
        <v>0.81944444444444453</v>
      </c>
      <c r="D132" s="15" t="s">
        <v>643</v>
      </c>
      <c r="E132" s="15" t="s">
        <v>54</v>
      </c>
      <c r="F132" s="15" t="s">
        <v>133</v>
      </c>
      <c r="G132" s="298"/>
      <c r="H132" s="10"/>
      <c r="I132" s="11"/>
      <c r="J132" s="11"/>
      <c r="K132" s="11"/>
      <c r="L132" s="11"/>
      <c r="M132" s="11"/>
      <c r="N132" s="11"/>
      <c r="O132" s="12"/>
      <c r="P132" s="11"/>
      <c r="Q132" s="13"/>
      <c r="R132" s="14"/>
    </row>
    <row r="133" spans="1:18" ht="15" customHeight="1">
      <c r="A133" s="15" t="s">
        <v>48</v>
      </c>
      <c r="B133" s="15" t="s">
        <v>611</v>
      </c>
      <c r="C133" s="16">
        <v>0.81944444444444453</v>
      </c>
      <c r="D133" s="15" t="s">
        <v>53</v>
      </c>
      <c r="E133" s="15" t="s">
        <v>54</v>
      </c>
      <c r="F133" s="15" t="s">
        <v>610</v>
      </c>
      <c r="G133" s="298"/>
      <c r="H133" s="10"/>
      <c r="I133" s="11"/>
      <c r="J133" s="11"/>
      <c r="K133" s="11"/>
      <c r="L133" s="11"/>
      <c r="M133" s="11"/>
      <c r="N133" s="11"/>
      <c r="O133" s="12"/>
      <c r="P133" s="11"/>
      <c r="Q133" s="13"/>
      <c r="R133" s="14"/>
    </row>
    <row r="134" spans="1:18" ht="18">
      <c r="A134" s="292" t="s">
        <v>615</v>
      </c>
      <c r="B134" s="303"/>
      <c r="C134" s="303"/>
      <c r="D134" s="303"/>
      <c r="E134" s="303"/>
      <c r="F134" s="304"/>
      <c r="G134" s="298"/>
      <c r="H134" s="138"/>
      <c r="I134" s="138"/>
      <c r="J134" s="138"/>
      <c r="K134" s="138"/>
      <c r="L134" s="138"/>
      <c r="M134" s="138"/>
      <c r="N134" s="138"/>
      <c r="O134" s="139"/>
      <c r="P134" s="138"/>
      <c r="Q134" s="107"/>
      <c r="R134" s="107"/>
    </row>
    <row r="135" spans="1:18" ht="15" customHeight="1">
      <c r="A135" s="17" t="s">
        <v>38</v>
      </c>
      <c r="B135" s="17" t="s">
        <v>342</v>
      </c>
      <c r="C135" s="18" t="s">
        <v>592</v>
      </c>
      <c r="D135" s="17" t="s">
        <v>40</v>
      </c>
      <c r="E135" s="17" t="s">
        <v>294</v>
      </c>
      <c r="F135" s="17" t="s">
        <v>475</v>
      </c>
      <c r="G135" s="298"/>
      <c r="H135" s="138"/>
      <c r="I135" s="138"/>
      <c r="J135" s="138"/>
      <c r="K135" s="138"/>
      <c r="L135" s="138"/>
      <c r="M135" s="138"/>
      <c r="N135" s="138"/>
      <c r="O135" s="139"/>
      <c r="P135" s="138"/>
      <c r="Q135" s="107"/>
      <c r="R135" s="107"/>
    </row>
    <row r="136" spans="1:18" ht="15" customHeight="1">
      <c r="A136" s="17" t="s">
        <v>38</v>
      </c>
      <c r="B136" s="17" t="s">
        <v>345</v>
      </c>
      <c r="C136" s="18" t="s">
        <v>594</v>
      </c>
      <c r="D136" s="17" t="s">
        <v>40</v>
      </c>
      <c r="E136" s="17" t="s">
        <v>293</v>
      </c>
      <c r="F136" s="17" t="s">
        <v>343</v>
      </c>
      <c r="G136" s="298"/>
      <c r="H136" s="138"/>
      <c r="I136" s="138"/>
      <c r="J136" s="138"/>
      <c r="K136" s="138"/>
      <c r="L136" s="138"/>
      <c r="M136" s="138"/>
      <c r="N136" s="138"/>
      <c r="O136" s="139"/>
      <c r="P136" s="138"/>
      <c r="Q136" s="107"/>
      <c r="R136" s="107"/>
    </row>
    <row r="137" spans="1:18" ht="15" customHeight="1">
      <c r="A137" s="17" t="s">
        <v>26</v>
      </c>
      <c r="B137" s="17" t="s">
        <v>348</v>
      </c>
      <c r="C137" s="18" t="s">
        <v>595</v>
      </c>
      <c r="D137" s="17" t="s">
        <v>28</v>
      </c>
      <c r="E137" s="17" t="s">
        <v>288</v>
      </c>
      <c r="F137" s="17" t="s">
        <v>131</v>
      </c>
      <c r="G137" s="298"/>
      <c r="H137" s="138"/>
      <c r="I137" s="138"/>
      <c r="J137" s="138"/>
      <c r="K137" s="138"/>
      <c r="L137" s="138"/>
      <c r="M137" s="138"/>
      <c r="N137" s="138"/>
      <c r="O137" s="139"/>
      <c r="P137" s="138"/>
      <c r="Q137" s="107"/>
      <c r="R137" s="107"/>
    </row>
    <row r="138" spans="1:18" ht="15" customHeight="1">
      <c r="A138" s="17" t="s">
        <v>26</v>
      </c>
      <c r="B138" s="17" t="s">
        <v>351</v>
      </c>
      <c r="C138" s="18" t="s">
        <v>597</v>
      </c>
      <c r="D138" s="17" t="s">
        <v>28</v>
      </c>
      <c r="E138" s="17" t="s">
        <v>286</v>
      </c>
      <c r="F138" s="17" t="s">
        <v>131</v>
      </c>
      <c r="G138" s="298"/>
      <c r="H138" s="138"/>
      <c r="I138" s="138"/>
      <c r="J138" s="138"/>
      <c r="K138" s="138"/>
      <c r="L138" s="138"/>
      <c r="M138" s="138"/>
      <c r="N138" s="138"/>
      <c r="O138" s="139"/>
      <c r="P138" s="138"/>
      <c r="Q138" s="107"/>
      <c r="R138" s="107"/>
    </row>
    <row r="139" spans="1:18" ht="15" customHeight="1">
      <c r="A139" s="17" t="s">
        <v>26</v>
      </c>
      <c r="B139" s="17" t="s">
        <v>352</v>
      </c>
      <c r="C139" s="18" t="s">
        <v>598</v>
      </c>
      <c r="D139" s="17" t="s">
        <v>28</v>
      </c>
      <c r="E139" s="17" t="s">
        <v>277</v>
      </c>
      <c r="F139" s="17" t="s">
        <v>131</v>
      </c>
      <c r="G139" s="298"/>
      <c r="H139" s="138"/>
      <c r="I139" s="138"/>
      <c r="J139" s="138"/>
      <c r="K139" s="138"/>
      <c r="L139" s="138"/>
      <c r="M139" s="138"/>
      <c r="N139" s="138"/>
      <c r="O139" s="139"/>
      <c r="P139" s="138"/>
      <c r="Q139" s="107"/>
      <c r="R139" s="107"/>
    </row>
    <row r="140" spans="1:18" ht="15" customHeight="1">
      <c r="A140" s="17" t="s">
        <v>26</v>
      </c>
      <c r="B140" s="17" t="s">
        <v>353</v>
      </c>
      <c r="C140" s="18" t="s">
        <v>593</v>
      </c>
      <c r="D140" s="17" t="s">
        <v>28</v>
      </c>
      <c r="E140" s="17" t="s">
        <v>267</v>
      </c>
      <c r="F140" s="17" t="s">
        <v>131</v>
      </c>
      <c r="G140" s="298"/>
      <c r="H140" s="138"/>
      <c r="I140" s="138"/>
      <c r="J140" s="138"/>
      <c r="K140" s="138"/>
      <c r="L140" s="138"/>
      <c r="M140" s="138"/>
      <c r="N140" s="138"/>
      <c r="O140" s="139"/>
      <c r="P140" s="138"/>
      <c r="Q140" s="107"/>
      <c r="R140" s="107"/>
    </row>
    <row r="141" spans="1:18" ht="15" customHeight="1">
      <c r="A141" s="17" t="s">
        <v>38</v>
      </c>
      <c r="B141" s="17" t="s">
        <v>344</v>
      </c>
      <c r="C141" s="18" t="s">
        <v>593</v>
      </c>
      <c r="D141" s="17" t="s">
        <v>40</v>
      </c>
      <c r="E141" s="17" t="s">
        <v>268</v>
      </c>
      <c r="F141" s="17" t="s">
        <v>30</v>
      </c>
      <c r="G141" s="298"/>
      <c r="H141" s="138"/>
      <c r="I141" s="138"/>
      <c r="J141" s="138"/>
      <c r="K141" s="138"/>
      <c r="L141" s="138"/>
      <c r="M141" s="138"/>
      <c r="N141" s="138"/>
      <c r="O141" s="139"/>
      <c r="P141" s="138"/>
      <c r="Q141" s="107"/>
      <c r="R141" s="107"/>
    </row>
    <row r="142" spans="1:18" ht="15" customHeight="1">
      <c r="A142" s="17" t="s">
        <v>359</v>
      </c>
      <c r="B142" s="17" t="s">
        <v>445</v>
      </c>
      <c r="C142" s="18" t="s">
        <v>635</v>
      </c>
      <c r="D142" s="17" t="s">
        <v>361</v>
      </c>
      <c r="E142" s="17" t="s">
        <v>270</v>
      </c>
      <c r="F142" s="17" t="s">
        <v>362</v>
      </c>
      <c r="G142" s="298"/>
      <c r="H142" s="138"/>
      <c r="I142" s="138"/>
      <c r="J142" s="138"/>
      <c r="K142" s="138"/>
      <c r="L142" s="138"/>
      <c r="M142" s="138"/>
      <c r="N142" s="138"/>
      <c r="O142" s="139"/>
      <c r="P142" s="138"/>
      <c r="Q142" s="107"/>
      <c r="R142" s="107"/>
    </row>
    <row r="143" spans="1:18" ht="15" customHeight="1">
      <c r="A143" s="17" t="s">
        <v>38</v>
      </c>
      <c r="B143" s="17" t="s">
        <v>346</v>
      </c>
      <c r="C143" s="18" t="s">
        <v>600</v>
      </c>
      <c r="D143" s="17" t="s">
        <v>40</v>
      </c>
      <c r="E143" s="17" t="s">
        <v>268</v>
      </c>
      <c r="F143" s="17" t="s">
        <v>347</v>
      </c>
      <c r="G143" s="298"/>
      <c r="H143" s="138"/>
      <c r="I143" s="138"/>
      <c r="J143" s="138"/>
      <c r="K143" s="138"/>
      <c r="L143" s="138"/>
      <c r="M143" s="138"/>
      <c r="N143" s="138"/>
      <c r="O143" s="139"/>
      <c r="P143" s="138"/>
      <c r="Q143" s="107"/>
      <c r="R143" s="107"/>
    </row>
    <row r="144" spans="1:18" ht="15" customHeight="1" thickBot="1">
      <c r="A144" s="30" t="s">
        <v>61</v>
      </c>
      <c r="B144" s="30" t="s">
        <v>364</v>
      </c>
      <c r="C144" s="31" t="s">
        <v>578</v>
      </c>
      <c r="D144" s="30" t="s">
        <v>63</v>
      </c>
      <c r="E144" s="30" t="s">
        <v>267</v>
      </c>
      <c r="F144" s="30" t="s">
        <v>365</v>
      </c>
      <c r="G144" s="299"/>
      <c r="H144" s="140"/>
      <c r="I144" s="140"/>
      <c r="J144" s="140"/>
      <c r="K144" s="140"/>
      <c r="L144" s="140"/>
      <c r="M144" s="140"/>
      <c r="N144" s="140"/>
      <c r="O144" s="141"/>
      <c r="P144" s="140"/>
      <c r="Q144" s="142"/>
      <c r="R144" s="142"/>
    </row>
    <row r="145" spans="1:18" ht="17.45" customHeight="1" thickBot="1">
      <c r="A145" s="283"/>
      <c r="B145" s="284"/>
      <c r="C145" s="284"/>
      <c r="D145" s="284"/>
      <c r="E145" s="284"/>
      <c r="F145" s="284"/>
      <c r="G145" s="284"/>
      <c r="H145" s="284"/>
      <c r="I145" s="284"/>
      <c r="J145" s="284"/>
      <c r="K145" s="284"/>
      <c r="L145" s="284"/>
      <c r="M145" s="284"/>
      <c r="N145" s="284"/>
      <c r="O145" s="284"/>
      <c r="P145" s="284"/>
      <c r="Q145" s="284"/>
      <c r="R145" s="285"/>
    </row>
    <row r="146" spans="1:18" ht="22.15" customHeight="1" thickTop="1" thickBot="1">
      <c r="A146" s="279" t="s">
        <v>6</v>
      </c>
      <c r="B146" s="295"/>
      <c r="C146" s="295"/>
      <c r="D146" s="295"/>
      <c r="E146" s="295"/>
      <c r="F146" s="296"/>
      <c r="G146" s="32">
        <v>46029</v>
      </c>
      <c r="H146" s="278" t="s">
        <v>7</v>
      </c>
      <c r="I146" s="295"/>
      <c r="J146" s="295"/>
      <c r="K146" s="295"/>
      <c r="L146" s="295"/>
      <c r="M146" s="295"/>
      <c r="N146" s="295"/>
      <c r="O146" s="295"/>
      <c r="P146" s="295"/>
      <c r="Q146" s="295"/>
      <c r="R146" s="296"/>
    </row>
    <row r="147" spans="1:18" ht="24" customHeight="1">
      <c r="A147" s="33" t="s">
        <v>8</v>
      </c>
      <c r="B147" s="33" t="s">
        <v>9</v>
      </c>
      <c r="C147" s="34" t="s">
        <v>10</v>
      </c>
      <c r="D147" s="33" t="s">
        <v>11</v>
      </c>
      <c r="E147" s="33" t="s">
        <v>12</v>
      </c>
      <c r="F147" s="35" t="s">
        <v>13</v>
      </c>
      <c r="G147" s="36" t="s">
        <v>14</v>
      </c>
      <c r="H147" s="33" t="s">
        <v>15</v>
      </c>
      <c r="I147" s="37" t="s">
        <v>16</v>
      </c>
      <c r="J147" s="38" t="s">
        <v>17</v>
      </c>
      <c r="K147" s="39" t="s">
        <v>18</v>
      </c>
      <c r="L147" s="38" t="s">
        <v>19</v>
      </c>
      <c r="M147" s="38" t="s">
        <v>20</v>
      </c>
      <c r="N147" s="38" t="s">
        <v>21</v>
      </c>
      <c r="O147" s="33" t="s">
        <v>22</v>
      </c>
      <c r="P147" s="34" t="s">
        <v>23</v>
      </c>
      <c r="Q147" s="38" t="s">
        <v>24</v>
      </c>
      <c r="R147" s="33" t="s">
        <v>25</v>
      </c>
    </row>
    <row r="148" spans="1:18" ht="15" customHeight="1">
      <c r="A148" s="8" t="s">
        <v>359</v>
      </c>
      <c r="B148" s="8" t="s">
        <v>616</v>
      </c>
      <c r="C148" s="9">
        <v>0.16319444444444439</v>
      </c>
      <c r="D148" s="8" t="s">
        <v>603</v>
      </c>
      <c r="E148" s="8" t="s">
        <v>80</v>
      </c>
      <c r="F148" s="8" t="s">
        <v>604</v>
      </c>
      <c r="G148" s="297"/>
      <c r="H148" s="10"/>
      <c r="I148" s="11"/>
      <c r="J148" s="11"/>
      <c r="K148" s="11"/>
      <c r="L148" s="11"/>
      <c r="M148" s="11"/>
      <c r="N148" s="11"/>
      <c r="O148" s="12"/>
      <c r="P148" s="11"/>
      <c r="Q148" s="13"/>
      <c r="R148" s="14"/>
    </row>
    <row r="149" spans="1:18" ht="15" customHeight="1">
      <c r="A149" s="15" t="s">
        <v>359</v>
      </c>
      <c r="B149" s="15" t="s">
        <v>616</v>
      </c>
      <c r="C149" s="16">
        <v>0.16319444444444439</v>
      </c>
      <c r="D149" s="15" t="s">
        <v>605</v>
      </c>
      <c r="E149" s="15" t="s">
        <v>82</v>
      </c>
      <c r="F149" s="15" t="s">
        <v>606</v>
      </c>
      <c r="G149" s="298"/>
      <c r="H149" s="10"/>
      <c r="I149" s="11"/>
      <c r="J149" s="11"/>
      <c r="K149" s="11"/>
      <c r="L149" s="11"/>
      <c r="M149" s="11"/>
      <c r="N149" s="11"/>
      <c r="O149" s="12"/>
      <c r="P149" s="11"/>
      <c r="Q149" s="13"/>
      <c r="R149" s="14"/>
    </row>
    <row r="150" spans="1:18" ht="15" customHeight="1">
      <c r="A150" s="15" t="s">
        <v>359</v>
      </c>
      <c r="B150" s="15" t="s">
        <v>616</v>
      </c>
      <c r="C150" s="16">
        <v>0.16319444444444439</v>
      </c>
      <c r="D150" s="15" t="s">
        <v>46</v>
      </c>
      <c r="E150" s="15" t="s">
        <v>82</v>
      </c>
      <c r="F150" s="15" t="s">
        <v>607</v>
      </c>
      <c r="G150" s="298"/>
      <c r="H150" s="10"/>
      <c r="I150" s="11"/>
      <c r="J150" s="11"/>
      <c r="K150" s="11"/>
      <c r="L150" s="11"/>
      <c r="M150" s="11"/>
      <c r="N150" s="11"/>
      <c r="O150" s="12"/>
      <c r="P150" s="11"/>
      <c r="Q150" s="13"/>
      <c r="R150" s="14"/>
    </row>
    <row r="151" spans="1:18" ht="15" customHeight="1">
      <c r="A151" s="67" t="s">
        <v>61</v>
      </c>
      <c r="B151" s="67" t="s">
        <v>612</v>
      </c>
      <c r="C151" s="68">
        <v>0.14583333333333329</v>
      </c>
      <c r="D151" s="67" t="s">
        <v>63</v>
      </c>
      <c r="E151" s="67" t="s">
        <v>156</v>
      </c>
      <c r="F151" s="67" t="s">
        <v>79</v>
      </c>
      <c r="G151" s="298"/>
      <c r="H151" s="69" t="s">
        <v>613</v>
      </c>
      <c r="I151" s="70">
        <v>7.22E-2</v>
      </c>
      <c r="J151" s="71">
        <v>13</v>
      </c>
      <c r="K151" s="72">
        <v>46342</v>
      </c>
      <c r="L151" s="71">
        <v>13</v>
      </c>
      <c r="M151" s="71">
        <v>0</v>
      </c>
      <c r="N151" s="71">
        <v>0</v>
      </c>
      <c r="O151" s="73" t="s">
        <v>302</v>
      </c>
      <c r="P151" s="74">
        <v>0.14583333333333329</v>
      </c>
      <c r="Q151" s="71">
        <v>180</v>
      </c>
      <c r="R151" s="75" t="s">
        <v>644</v>
      </c>
    </row>
    <row r="152" spans="1:18" ht="15" customHeight="1">
      <c r="A152" s="148" t="s">
        <v>61</v>
      </c>
      <c r="B152" s="148" t="s">
        <v>629</v>
      </c>
      <c r="C152" s="149">
        <v>0.53125</v>
      </c>
      <c r="D152" s="148" t="s">
        <v>63</v>
      </c>
      <c r="E152" s="148" t="s">
        <v>37</v>
      </c>
      <c r="F152" s="148" t="s">
        <v>79</v>
      </c>
      <c r="G152" s="298"/>
      <c r="H152" s="51" t="s">
        <v>630</v>
      </c>
      <c r="I152" s="52">
        <v>3.3300000000000003E-2</v>
      </c>
      <c r="J152" s="53">
        <v>6</v>
      </c>
      <c r="K152" s="54">
        <v>46340</v>
      </c>
      <c r="L152" s="53">
        <v>8</v>
      </c>
      <c r="M152" s="53">
        <v>0</v>
      </c>
      <c r="N152" s="53">
        <v>0</v>
      </c>
      <c r="O152" s="55" t="s">
        <v>307</v>
      </c>
      <c r="P152" s="56">
        <v>0.53125</v>
      </c>
      <c r="Q152" s="53">
        <v>180</v>
      </c>
      <c r="R152" s="57" t="s">
        <v>305</v>
      </c>
    </row>
    <row r="153" spans="1:18" ht="15" customHeight="1">
      <c r="A153" s="156" t="s">
        <v>61</v>
      </c>
      <c r="B153" s="156" t="s">
        <v>645</v>
      </c>
      <c r="C153" s="157">
        <v>0.86111111111111116</v>
      </c>
      <c r="D153" s="156" t="s">
        <v>63</v>
      </c>
      <c r="E153" s="156" t="s">
        <v>57</v>
      </c>
      <c r="F153" s="156" t="s">
        <v>79</v>
      </c>
      <c r="G153" s="298"/>
      <c r="H153" s="42" t="s">
        <v>646</v>
      </c>
      <c r="I153" s="43">
        <v>0</v>
      </c>
      <c r="J153" s="44">
        <v>0</v>
      </c>
      <c r="K153" s="45" t="s">
        <v>66</v>
      </c>
      <c r="L153" s="44">
        <v>0</v>
      </c>
      <c r="M153" s="44">
        <v>0</v>
      </c>
      <c r="N153" s="44">
        <v>0</v>
      </c>
      <c r="O153" s="46" t="s">
        <v>292</v>
      </c>
      <c r="P153" s="47">
        <v>0.86111111111111116</v>
      </c>
      <c r="Q153" s="44">
        <v>180</v>
      </c>
      <c r="R153" s="48" t="s">
        <v>66</v>
      </c>
    </row>
    <row r="154" spans="1:18" ht="15" customHeight="1">
      <c r="A154" s="19" t="s">
        <v>48</v>
      </c>
      <c r="B154" s="19" t="s">
        <v>611</v>
      </c>
      <c r="C154" s="20">
        <v>0.81944444444444453</v>
      </c>
      <c r="D154" s="19" t="s">
        <v>50</v>
      </c>
      <c r="E154" s="19" t="s">
        <v>51</v>
      </c>
      <c r="F154" s="19" t="s">
        <v>133</v>
      </c>
      <c r="G154" s="298"/>
      <c r="H154" s="10"/>
      <c r="I154" s="11"/>
      <c r="J154" s="11"/>
      <c r="K154" s="11"/>
      <c r="L154" s="11"/>
      <c r="M154" s="11"/>
      <c r="N154" s="11"/>
      <c r="O154" s="12"/>
      <c r="P154" s="11"/>
      <c r="Q154" s="13"/>
      <c r="R154" s="14"/>
    </row>
    <row r="155" spans="1:18" ht="15" customHeight="1">
      <c r="A155" s="15" t="s">
        <v>48</v>
      </c>
      <c r="B155" s="15" t="s">
        <v>611</v>
      </c>
      <c r="C155" s="16">
        <v>0.81944444444444453</v>
      </c>
      <c r="D155" s="15" t="s">
        <v>53</v>
      </c>
      <c r="E155" s="15" t="s">
        <v>54</v>
      </c>
      <c r="F155" s="15" t="s">
        <v>610</v>
      </c>
      <c r="G155" s="298"/>
      <c r="H155" s="10"/>
      <c r="I155" s="11"/>
      <c r="J155" s="11"/>
      <c r="K155" s="11"/>
      <c r="L155" s="11"/>
      <c r="M155" s="11"/>
      <c r="N155" s="11"/>
      <c r="O155" s="12"/>
      <c r="P155" s="11"/>
      <c r="Q155" s="13"/>
      <c r="R155" s="14"/>
    </row>
    <row r="156" spans="1:18" ht="15" customHeight="1">
      <c r="A156" s="19" t="s">
        <v>68</v>
      </c>
      <c r="B156" s="19" t="s">
        <v>633</v>
      </c>
      <c r="C156" s="20">
        <v>0.45833333333333331</v>
      </c>
      <c r="D156" s="19" t="s">
        <v>70</v>
      </c>
      <c r="E156" s="19" t="s">
        <v>51</v>
      </c>
      <c r="F156" s="19" t="s">
        <v>647</v>
      </c>
      <c r="G156" s="298"/>
      <c r="H156" s="10"/>
      <c r="I156" s="11"/>
      <c r="J156" s="11"/>
      <c r="K156" s="11"/>
      <c r="L156" s="11"/>
      <c r="M156" s="11"/>
      <c r="N156" s="11"/>
      <c r="O156" s="12"/>
      <c r="P156" s="11"/>
      <c r="Q156" s="13"/>
      <c r="R156" s="14"/>
    </row>
    <row r="157" spans="1:18" ht="18">
      <c r="A157" s="292" t="s">
        <v>615</v>
      </c>
      <c r="B157" s="303"/>
      <c r="C157" s="303"/>
      <c r="D157" s="303"/>
      <c r="E157" s="303"/>
      <c r="F157" s="304"/>
      <c r="G157" s="298"/>
      <c r="H157" s="138"/>
      <c r="I157" s="138"/>
      <c r="J157" s="138"/>
      <c r="K157" s="138"/>
      <c r="L157" s="138"/>
      <c r="M157" s="138"/>
      <c r="N157" s="138"/>
      <c r="O157" s="139"/>
      <c r="P157" s="138"/>
      <c r="Q157" s="107"/>
      <c r="R157" s="107"/>
    </row>
    <row r="158" spans="1:18" ht="15" customHeight="1">
      <c r="A158" s="17" t="s">
        <v>38</v>
      </c>
      <c r="B158" s="17" t="s">
        <v>342</v>
      </c>
      <c r="C158" s="18" t="s">
        <v>592</v>
      </c>
      <c r="D158" s="17" t="s">
        <v>40</v>
      </c>
      <c r="E158" s="17" t="s">
        <v>287</v>
      </c>
      <c r="F158" s="17" t="s">
        <v>88</v>
      </c>
      <c r="G158" s="298"/>
      <c r="H158" s="138"/>
      <c r="I158" s="138"/>
      <c r="J158" s="138"/>
      <c r="K158" s="138"/>
      <c r="L158" s="138"/>
      <c r="M158" s="138"/>
      <c r="N158" s="138"/>
      <c r="O158" s="139"/>
      <c r="P158" s="138"/>
      <c r="Q158" s="107"/>
      <c r="R158" s="107"/>
    </row>
    <row r="159" spans="1:18" ht="15" customHeight="1">
      <c r="A159" s="17" t="s">
        <v>38</v>
      </c>
      <c r="B159" s="17" t="s">
        <v>344</v>
      </c>
      <c r="C159" s="18" t="s">
        <v>593</v>
      </c>
      <c r="D159" s="17" t="s">
        <v>40</v>
      </c>
      <c r="E159" s="17" t="s">
        <v>268</v>
      </c>
      <c r="F159" s="17" t="s">
        <v>343</v>
      </c>
      <c r="G159" s="298"/>
      <c r="H159" s="138"/>
      <c r="I159" s="138"/>
      <c r="J159" s="138"/>
      <c r="K159" s="138"/>
      <c r="L159" s="138"/>
      <c r="M159" s="138"/>
      <c r="N159" s="138"/>
      <c r="O159" s="139"/>
      <c r="P159" s="138"/>
      <c r="Q159" s="107"/>
      <c r="R159" s="107"/>
    </row>
    <row r="160" spans="1:18" ht="15" customHeight="1">
      <c r="A160" s="17" t="s">
        <v>38</v>
      </c>
      <c r="B160" s="17" t="s">
        <v>345</v>
      </c>
      <c r="C160" s="18" t="s">
        <v>594</v>
      </c>
      <c r="D160" s="17" t="s">
        <v>40</v>
      </c>
      <c r="E160" s="17" t="s">
        <v>293</v>
      </c>
      <c r="F160" s="17" t="s">
        <v>343</v>
      </c>
      <c r="G160" s="298"/>
      <c r="H160" s="138"/>
      <c r="I160" s="138"/>
      <c r="J160" s="138"/>
      <c r="K160" s="138"/>
      <c r="L160" s="138"/>
      <c r="M160" s="138"/>
      <c r="N160" s="138"/>
      <c r="O160" s="139"/>
      <c r="P160" s="138"/>
      <c r="Q160" s="107"/>
      <c r="R160" s="107"/>
    </row>
    <row r="161" spans="1:18" ht="15" customHeight="1">
      <c r="A161" s="17" t="s">
        <v>26</v>
      </c>
      <c r="B161" s="17" t="s">
        <v>348</v>
      </c>
      <c r="C161" s="18" t="s">
        <v>595</v>
      </c>
      <c r="D161" s="17" t="s">
        <v>28</v>
      </c>
      <c r="E161" s="17" t="s">
        <v>277</v>
      </c>
      <c r="F161" s="17" t="s">
        <v>131</v>
      </c>
      <c r="G161" s="298"/>
      <c r="H161" s="138"/>
      <c r="I161" s="138"/>
      <c r="J161" s="138"/>
      <c r="K161" s="138"/>
      <c r="L161" s="138"/>
      <c r="M161" s="138"/>
      <c r="N161" s="138"/>
      <c r="O161" s="139"/>
      <c r="P161" s="138"/>
      <c r="Q161" s="107"/>
      <c r="R161" s="107"/>
    </row>
    <row r="162" spans="1:18" ht="15" customHeight="1">
      <c r="A162" s="17" t="s">
        <v>26</v>
      </c>
      <c r="B162" s="17" t="s">
        <v>351</v>
      </c>
      <c r="C162" s="18" t="s">
        <v>597</v>
      </c>
      <c r="D162" s="17" t="s">
        <v>28</v>
      </c>
      <c r="E162" s="17" t="s">
        <v>277</v>
      </c>
      <c r="F162" s="17" t="s">
        <v>131</v>
      </c>
      <c r="G162" s="298"/>
      <c r="H162" s="138"/>
      <c r="I162" s="138"/>
      <c r="J162" s="138"/>
      <c r="K162" s="138"/>
      <c r="L162" s="138"/>
      <c r="M162" s="138"/>
      <c r="N162" s="138"/>
      <c r="O162" s="139"/>
      <c r="P162" s="138"/>
      <c r="Q162" s="107"/>
      <c r="R162" s="107"/>
    </row>
    <row r="163" spans="1:18" ht="15" customHeight="1">
      <c r="A163" s="17" t="s">
        <v>26</v>
      </c>
      <c r="B163" s="17" t="s">
        <v>352</v>
      </c>
      <c r="C163" s="18" t="s">
        <v>598</v>
      </c>
      <c r="D163" s="17" t="s">
        <v>28</v>
      </c>
      <c r="E163" s="17" t="s">
        <v>294</v>
      </c>
      <c r="F163" s="17" t="s">
        <v>131</v>
      </c>
      <c r="G163" s="298"/>
      <c r="H163" s="138"/>
      <c r="I163" s="138"/>
      <c r="J163" s="138"/>
      <c r="K163" s="138"/>
      <c r="L163" s="138"/>
      <c r="M163" s="138"/>
      <c r="N163" s="138"/>
      <c r="O163" s="139"/>
      <c r="P163" s="138"/>
      <c r="Q163" s="107"/>
      <c r="R163" s="107"/>
    </row>
    <row r="164" spans="1:18" ht="15" customHeight="1">
      <c r="A164" s="17" t="s">
        <v>26</v>
      </c>
      <c r="B164" s="17" t="s">
        <v>353</v>
      </c>
      <c r="C164" s="18" t="s">
        <v>593</v>
      </c>
      <c r="D164" s="17" t="s">
        <v>28</v>
      </c>
      <c r="E164" s="17" t="s">
        <v>294</v>
      </c>
      <c r="F164" s="17" t="s">
        <v>131</v>
      </c>
      <c r="G164" s="298"/>
      <c r="H164" s="138"/>
      <c r="I164" s="138"/>
      <c r="J164" s="138"/>
      <c r="K164" s="138"/>
      <c r="L164" s="138"/>
      <c r="M164" s="138"/>
      <c r="N164" s="138"/>
      <c r="O164" s="139"/>
      <c r="P164" s="138"/>
      <c r="Q164" s="107"/>
      <c r="R164" s="107"/>
    </row>
    <row r="165" spans="1:18" ht="15" customHeight="1">
      <c r="A165" s="17" t="s">
        <v>38</v>
      </c>
      <c r="B165" s="17" t="s">
        <v>346</v>
      </c>
      <c r="C165" s="18" t="s">
        <v>600</v>
      </c>
      <c r="D165" s="17" t="s">
        <v>40</v>
      </c>
      <c r="E165" s="17" t="s">
        <v>268</v>
      </c>
      <c r="F165" s="17" t="s">
        <v>30</v>
      </c>
      <c r="G165" s="298"/>
      <c r="H165" s="138"/>
      <c r="I165" s="138"/>
      <c r="J165" s="138"/>
      <c r="K165" s="138"/>
      <c r="L165" s="138"/>
      <c r="M165" s="138"/>
      <c r="N165" s="138"/>
      <c r="O165" s="139"/>
      <c r="P165" s="138"/>
      <c r="Q165" s="107"/>
      <c r="R165" s="107"/>
    </row>
    <row r="166" spans="1:18" ht="15" customHeight="1">
      <c r="A166" s="17" t="s">
        <v>359</v>
      </c>
      <c r="B166" s="17" t="s">
        <v>360</v>
      </c>
      <c r="C166" s="18" t="s">
        <v>619</v>
      </c>
      <c r="D166" s="17" t="s">
        <v>361</v>
      </c>
      <c r="E166" s="17" t="s">
        <v>270</v>
      </c>
      <c r="F166" s="17" t="s">
        <v>362</v>
      </c>
      <c r="G166" s="298"/>
      <c r="H166" s="138"/>
      <c r="I166" s="138"/>
      <c r="J166" s="138"/>
      <c r="K166" s="138"/>
      <c r="L166" s="138"/>
      <c r="M166" s="138"/>
      <c r="N166" s="138"/>
      <c r="O166" s="139"/>
      <c r="P166" s="138"/>
      <c r="Q166" s="107"/>
      <c r="R166" s="107"/>
    </row>
    <row r="167" spans="1:18" ht="15" customHeight="1" thickBot="1">
      <c r="A167" s="30" t="s">
        <v>61</v>
      </c>
      <c r="B167" s="30" t="s">
        <v>364</v>
      </c>
      <c r="C167" s="31" t="s">
        <v>580</v>
      </c>
      <c r="D167" s="30" t="s">
        <v>63</v>
      </c>
      <c r="E167" s="30" t="s">
        <v>288</v>
      </c>
      <c r="F167" s="30" t="s">
        <v>365</v>
      </c>
      <c r="G167" s="299"/>
      <c r="H167" s="140"/>
      <c r="I167" s="140"/>
      <c r="J167" s="140"/>
      <c r="K167" s="140"/>
      <c r="L167" s="140"/>
      <c r="M167" s="140"/>
      <c r="N167" s="140"/>
      <c r="O167" s="141"/>
      <c r="P167" s="140"/>
      <c r="Q167" s="142"/>
      <c r="R167" s="142"/>
    </row>
    <row r="168" spans="1:18" ht="17.45" customHeight="1" thickBot="1">
      <c r="A168" s="283"/>
      <c r="B168" s="284"/>
      <c r="C168" s="284"/>
      <c r="D168" s="284"/>
      <c r="E168" s="284"/>
      <c r="F168" s="284"/>
      <c r="G168" s="284"/>
      <c r="H168" s="284"/>
      <c r="I168" s="284"/>
      <c r="J168" s="284"/>
      <c r="K168" s="284"/>
      <c r="L168" s="284"/>
      <c r="M168" s="284"/>
      <c r="N168" s="284"/>
      <c r="O168" s="284"/>
      <c r="P168" s="284"/>
      <c r="Q168" s="284"/>
      <c r="R168" s="285"/>
    </row>
    <row r="169" spans="1:18" ht="22.15" customHeight="1" thickTop="1" thickBot="1">
      <c r="A169" s="279" t="s">
        <v>6</v>
      </c>
      <c r="B169" s="295"/>
      <c r="C169" s="295"/>
      <c r="D169" s="295"/>
      <c r="E169" s="295"/>
      <c r="F169" s="296"/>
      <c r="G169" s="32">
        <v>46030</v>
      </c>
      <c r="H169" s="278" t="s">
        <v>7</v>
      </c>
      <c r="I169" s="295"/>
      <c r="J169" s="295"/>
      <c r="K169" s="295"/>
      <c r="L169" s="295"/>
      <c r="M169" s="295"/>
      <c r="N169" s="295"/>
      <c r="O169" s="295"/>
      <c r="P169" s="295"/>
      <c r="Q169" s="295"/>
      <c r="R169" s="296"/>
    </row>
    <row r="170" spans="1:18" ht="24" customHeight="1">
      <c r="A170" s="33" t="s">
        <v>8</v>
      </c>
      <c r="B170" s="33" t="s">
        <v>9</v>
      </c>
      <c r="C170" s="34" t="s">
        <v>10</v>
      </c>
      <c r="D170" s="33" t="s">
        <v>11</v>
      </c>
      <c r="E170" s="33" t="s">
        <v>12</v>
      </c>
      <c r="F170" s="35" t="s">
        <v>13</v>
      </c>
      <c r="G170" s="36" t="s">
        <v>14</v>
      </c>
      <c r="H170" s="33" t="s">
        <v>15</v>
      </c>
      <c r="I170" s="37" t="s">
        <v>16</v>
      </c>
      <c r="J170" s="38" t="s">
        <v>17</v>
      </c>
      <c r="K170" s="39" t="s">
        <v>18</v>
      </c>
      <c r="L170" s="38" t="s">
        <v>19</v>
      </c>
      <c r="M170" s="38" t="s">
        <v>20</v>
      </c>
      <c r="N170" s="38" t="s">
        <v>21</v>
      </c>
      <c r="O170" s="33" t="s">
        <v>22</v>
      </c>
      <c r="P170" s="34" t="s">
        <v>23</v>
      </c>
      <c r="Q170" s="38" t="s">
        <v>24</v>
      </c>
      <c r="R170" s="33" t="s">
        <v>25</v>
      </c>
    </row>
    <row r="171" spans="1:18" ht="15" customHeight="1">
      <c r="A171" s="8" t="s">
        <v>359</v>
      </c>
      <c r="B171" s="8" t="s">
        <v>602</v>
      </c>
      <c r="C171" s="9">
        <v>0.3611111111111111</v>
      </c>
      <c r="D171" s="8" t="s">
        <v>603</v>
      </c>
      <c r="E171" s="8" t="s">
        <v>80</v>
      </c>
      <c r="F171" s="8" t="s">
        <v>604</v>
      </c>
      <c r="G171" s="297"/>
      <c r="H171" s="10"/>
      <c r="I171" s="11"/>
      <c r="J171" s="11"/>
      <c r="K171" s="11"/>
      <c r="L171" s="11"/>
      <c r="M171" s="11"/>
      <c r="N171" s="11"/>
      <c r="O171" s="12"/>
      <c r="P171" s="11"/>
      <c r="Q171" s="13"/>
      <c r="R171" s="14"/>
    </row>
    <row r="172" spans="1:18" ht="15" customHeight="1">
      <c r="A172" s="15" t="s">
        <v>359</v>
      </c>
      <c r="B172" s="15" t="s">
        <v>602</v>
      </c>
      <c r="C172" s="16">
        <v>0.3611111111111111</v>
      </c>
      <c r="D172" s="15" t="s">
        <v>605</v>
      </c>
      <c r="E172" s="15" t="s">
        <v>82</v>
      </c>
      <c r="F172" s="15" t="s">
        <v>606</v>
      </c>
      <c r="G172" s="298"/>
      <c r="H172" s="10"/>
      <c r="I172" s="11"/>
      <c r="J172" s="11"/>
      <c r="K172" s="11"/>
      <c r="L172" s="11"/>
      <c r="M172" s="11"/>
      <c r="N172" s="11"/>
      <c r="O172" s="12"/>
      <c r="P172" s="11"/>
      <c r="Q172" s="13"/>
      <c r="R172" s="14"/>
    </row>
    <row r="173" spans="1:18" ht="15" customHeight="1">
      <c r="A173" s="15" t="s">
        <v>359</v>
      </c>
      <c r="B173" s="15" t="s">
        <v>602</v>
      </c>
      <c r="C173" s="16">
        <v>0.3611111111111111</v>
      </c>
      <c r="D173" s="15" t="s">
        <v>46</v>
      </c>
      <c r="E173" s="15" t="s">
        <v>82</v>
      </c>
      <c r="F173" s="15" t="s">
        <v>607</v>
      </c>
      <c r="G173" s="298"/>
      <c r="H173" s="10"/>
      <c r="I173" s="11"/>
      <c r="J173" s="11"/>
      <c r="K173" s="11"/>
      <c r="L173" s="11"/>
      <c r="M173" s="11"/>
      <c r="N173" s="11"/>
      <c r="O173" s="12"/>
      <c r="P173" s="11"/>
      <c r="Q173" s="13"/>
      <c r="R173" s="14"/>
    </row>
    <row r="174" spans="1:18" ht="15" customHeight="1">
      <c r="A174" s="17" t="s">
        <v>359</v>
      </c>
      <c r="B174" s="17" t="s">
        <v>608</v>
      </c>
      <c r="C174" s="18">
        <v>0.63194444444444442</v>
      </c>
      <c r="D174" s="17" t="s">
        <v>603</v>
      </c>
      <c r="E174" s="17" t="s">
        <v>90</v>
      </c>
      <c r="F174" s="17" t="s">
        <v>604</v>
      </c>
      <c r="G174" s="298"/>
      <c r="H174" s="10"/>
      <c r="I174" s="11"/>
      <c r="J174" s="11"/>
      <c r="K174" s="11"/>
      <c r="L174" s="11"/>
      <c r="M174" s="11"/>
      <c r="N174" s="11"/>
      <c r="O174" s="12"/>
      <c r="P174" s="11"/>
      <c r="Q174" s="13"/>
      <c r="R174" s="14"/>
    </row>
    <row r="175" spans="1:18" ht="15" customHeight="1">
      <c r="A175" s="15" t="s">
        <v>359</v>
      </c>
      <c r="B175" s="15" t="s">
        <v>608</v>
      </c>
      <c r="C175" s="16">
        <v>0.63194444444444442</v>
      </c>
      <c r="D175" s="15" t="s">
        <v>605</v>
      </c>
      <c r="E175" s="15" t="s">
        <v>82</v>
      </c>
      <c r="F175" s="15" t="s">
        <v>606</v>
      </c>
      <c r="G175" s="298"/>
      <c r="H175" s="10"/>
      <c r="I175" s="11"/>
      <c r="J175" s="11"/>
      <c r="K175" s="11"/>
      <c r="L175" s="11"/>
      <c r="M175" s="11"/>
      <c r="N175" s="11"/>
      <c r="O175" s="12"/>
      <c r="P175" s="11"/>
      <c r="Q175" s="13"/>
      <c r="R175" s="14"/>
    </row>
    <row r="176" spans="1:18" ht="15" customHeight="1">
      <c r="A176" s="15" t="s">
        <v>359</v>
      </c>
      <c r="B176" s="15" t="s">
        <v>608</v>
      </c>
      <c r="C176" s="16">
        <v>0.63194444444444442</v>
      </c>
      <c r="D176" s="15" t="s">
        <v>46</v>
      </c>
      <c r="E176" s="15" t="s">
        <v>82</v>
      </c>
      <c r="F176" s="15" t="s">
        <v>607</v>
      </c>
      <c r="G176" s="298"/>
      <c r="H176" s="10"/>
      <c r="I176" s="11"/>
      <c r="J176" s="11"/>
      <c r="K176" s="11"/>
      <c r="L176" s="11"/>
      <c r="M176" s="11"/>
      <c r="N176" s="11"/>
      <c r="O176" s="12"/>
      <c r="P176" s="11"/>
      <c r="Q176" s="13"/>
      <c r="R176" s="14"/>
    </row>
    <row r="177" spans="1:18" ht="15" customHeight="1">
      <c r="A177" s="58" t="s">
        <v>61</v>
      </c>
      <c r="B177" s="58" t="s">
        <v>612</v>
      </c>
      <c r="C177" s="59">
        <v>8.6805555555555566E-2</v>
      </c>
      <c r="D177" s="58" t="s">
        <v>63</v>
      </c>
      <c r="E177" s="58" t="s">
        <v>51</v>
      </c>
      <c r="F177" s="58" t="s">
        <v>79</v>
      </c>
      <c r="G177" s="298"/>
      <c r="H177" s="60" t="s">
        <v>613</v>
      </c>
      <c r="I177" s="61">
        <v>1.11E-2</v>
      </c>
      <c r="J177" s="62">
        <v>2</v>
      </c>
      <c r="K177" s="63">
        <v>46331</v>
      </c>
      <c r="L177" s="62">
        <v>4</v>
      </c>
      <c r="M177" s="62">
        <v>0</v>
      </c>
      <c r="N177" s="62">
        <v>0</v>
      </c>
      <c r="O177" s="64" t="s">
        <v>292</v>
      </c>
      <c r="P177" s="65">
        <v>8.6805555555555566E-2</v>
      </c>
      <c r="Q177" s="62">
        <v>180</v>
      </c>
      <c r="R177" s="66" t="s">
        <v>648</v>
      </c>
    </row>
    <row r="178" spans="1:18" ht="15" customHeight="1">
      <c r="A178" s="19" t="s">
        <v>48</v>
      </c>
      <c r="B178" s="19" t="s">
        <v>609</v>
      </c>
      <c r="C178" s="20">
        <v>0.4513888888888889</v>
      </c>
      <c r="D178" s="19" t="s">
        <v>50</v>
      </c>
      <c r="E178" s="19" t="s">
        <v>51</v>
      </c>
      <c r="F178" s="19" t="s">
        <v>133</v>
      </c>
      <c r="G178" s="298"/>
      <c r="H178" s="10"/>
      <c r="I178" s="11"/>
      <c r="J178" s="11"/>
      <c r="K178" s="11"/>
      <c r="L178" s="11"/>
      <c r="M178" s="11"/>
      <c r="N178" s="11"/>
      <c r="O178" s="12"/>
      <c r="P178" s="11"/>
      <c r="Q178" s="13"/>
      <c r="R178" s="14"/>
    </row>
    <row r="179" spans="1:18" ht="15" customHeight="1">
      <c r="A179" s="15" t="s">
        <v>48</v>
      </c>
      <c r="B179" s="15" t="s">
        <v>609</v>
      </c>
      <c r="C179" s="16">
        <v>0.4513888888888889</v>
      </c>
      <c r="D179" s="15" t="s">
        <v>53</v>
      </c>
      <c r="E179" s="15" t="s">
        <v>54</v>
      </c>
      <c r="F179" s="15" t="s">
        <v>610</v>
      </c>
      <c r="G179" s="298"/>
      <c r="H179" s="10"/>
      <c r="I179" s="11"/>
      <c r="J179" s="11"/>
      <c r="K179" s="11"/>
      <c r="L179" s="11"/>
      <c r="M179" s="11"/>
      <c r="N179" s="11"/>
      <c r="O179" s="12"/>
      <c r="P179" s="11"/>
      <c r="Q179" s="13"/>
      <c r="R179" s="14"/>
    </row>
    <row r="180" spans="1:18" ht="15" customHeight="1">
      <c r="A180" s="17" t="s">
        <v>48</v>
      </c>
      <c r="B180" s="17" t="s">
        <v>611</v>
      </c>
      <c r="C180" s="18">
        <v>0.81944444444444453</v>
      </c>
      <c r="D180" s="17" t="s">
        <v>50</v>
      </c>
      <c r="E180" s="17" t="s">
        <v>57</v>
      </c>
      <c r="F180" s="17" t="s">
        <v>133</v>
      </c>
      <c r="G180" s="298"/>
      <c r="H180" s="10"/>
      <c r="I180" s="11"/>
      <c r="J180" s="11"/>
      <c r="K180" s="11"/>
      <c r="L180" s="11"/>
      <c r="M180" s="11"/>
      <c r="N180" s="11"/>
      <c r="O180" s="12"/>
      <c r="P180" s="11"/>
      <c r="Q180" s="13"/>
      <c r="R180" s="14"/>
    </row>
    <row r="181" spans="1:18" ht="15" customHeight="1">
      <c r="A181" s="15" t="s">
        <v>48</v>
      </c>
      <c r="B181" s="15" t="s">
        <v>611</v>
      </c>
      <c r="C181" s="16">
        <v>0.81944444444444453</v>
      </c>
      <c r="D181" s="15" t="s">
        <v>53</v>
      </c>
      <c r="E181" s="15" t="s">
        <v>54</v>
      </c>
      <c r="F181" s="15" t="s">
        <v>610</v>
      </c>
      <c r="G181" s="298"/>
      <c r="H181" s="10"/>
      <c r="I181" s="11"/>
      <c r="J181" s="11"/>
      <c r="K181" s="11"/>
      <c r="L181" s="11"/>
      <c r="M181" s="11"/>
      <c r="N181" s="11"/>
      <c r="O181" s="12"/>
      <c r="P181" s="11"/>
      <c r="Q181" s="13"/>
      <c r="R181" s="14"/>
    </row>
    <row r="182" spans="1:18" ht="18">
      <c r="A182" s="292" t="s">
        <v>615</v>
      </c>
      <c r="B182" s="303"/>
      <c r="C182" s="303"/>
      <c r="D182" s="303"/>
      <c r="E182" s="303"/>
      <c r="F182" s="304"/>
      <c r="G182" s="298"/>
      <c r="H182" s="138"/>
      <c r="I182" s="138"/>
      <c r="J182" s="138"/>
      <c r="K182" s="138"/>
      <c r="L182" s="138"/>
      <c r="M182" s="138"/>
      <c r="N182" s="138"/>
      <c r="O182" s="139"/>
      <c r="P182" s="138"/>
      <c r="Q182" s="107"/>
      <c r="R182" s="107"/>
    </row>
    <row r="183" spans="1:18" ht="15" customHeight="1">
      <c r="A183" s="17" t="s">
        <v>38</v>
      </c>
      <c r="B183" s="17" t="s">
        <v>344</v>
      </c>
      <c r="C183" s="18" t="s">
        <v>593</v>
      </c>
      <c r="D183" s="17" t="s">
        <v>40</v>
      </c>
      <c r="E183" s="17" t="s">
        <v>308</v>
      </c>
      <c r="F183" s="17" t="s">
        <v>343</v>
      </c>
      <c r="G183" s="298"/>
      <c r="H183" s="138"/>
      <c r="I183" s="138"/>
      <c r="J183" s="138"/>
      <c r="K183" s="138"/>
      <c r="L183" s="138"/>
      <c r="M183" s="138"/>
      <c r="N183" s="138"/>
      <c r="O183" s="139"/>
      <c r="P183" s="138"/>
      <c r="Q183" s="107"/>
      <c r="R183" s="107"/>
    </row>
    <row r="184" spans="1:18" ht="15" customHeight="1">
      <c r="A184" s="17" t="s">
        <v>38</v>
      </c>
      <c r="B184" s="17" t="s">
        <v>345</v>
      </c>
      <c r="C184" s="18" t="s">
        <v>594</v>
      </c>
      <c r="D184" s="17" t="s">
        <v>40</v>
      </c>
      <c r="E184" s="17" t="s">
        <v>295</v>
      </c>
      <c r="F184" s="17" t="s">
        <v>343</v>
      </c>
      <c r="G184" s="298"/>
      <c r="H184" s="138"/>
      <c r="I184" s="138"/>
      <c r="J184" s="138"/>
      <c r="K184" s="138"/>
      <c r="L184" s="138"/>
      <c r="M184" s="138"/>
      <c r="N184" s="138"/>
      <c r="O184" s="139"/>
      <c r="P184" s="138"/>
      <c r="Q184" s="107"/>
      <c r="R184" s="107"/>
    </row>
    <row r="185" spans="1:18" ht="15" customHeight="1">
      <c r="A185" s="17" t="s">
        <v>38</v>
      </c>
      <c r="B185" s="17" t="s">
        <v>342</v>
      </c>
      <c r="C185" s="18" t="s">
        <v>592</v>
      </c>
      <c r="D185" s="17" t="s">
        <v>40</v>
      </c>
      <c r="E185" s="17" t="s">
        <v>295</v>
      </c>
      <c r="F185" s="17" t="s">
        <v>81</v>
      </c>
      <c r="G185" s="298"/>
      <c r="H185" s="138"/>
      <c r="I185" s="138"/>
      <c r="J185" s="138"/>
      <c r="K185" s="138"/>
      <c r="L185" s="138"/>
      <c r="M185" s="138"/>
      <c r="N185" s="138"/>
      <c r="O185" s="139"/>
      <c r="P185" s="138"/>
      <c r="Q185" s="107"/>
      <c r="R185" s="107"/>
    </row>
    <row r="186" spans="1:18" ht="15" customHeight="1">
      <c r="A186" s="17" t="s">
        <v>26</v>
      </c>
      <c r="B186" s="17" t="s">
        <v>348</v>
      </c>
      <c r="C186" s="18" t="s">
        <v>595</v>
      </c>
      <c r="D186" s="17" t="s">
        <v>28</v>
      </c>
      <c r="E186" s="17" t="s">
        <v>267</v>
      </c>
      <c r="F186" s="17" t="s">
        <v>131</v>
      </c>
      <c r="G186" s="298"/>
      <c r="H186" s="138"/>
      <c r="I186" s="138"/>
      <c r="J186" s="138"/>
      <c r="K186" s="138"/>
      <c r="L186" s="138"/>
      <c r="M186" s="138"/>
      <c r="N186" s="138"/>
      <c r="O186" s="139"/>
      <c r="P186" s="138"/>
      <c r="Q186" s="107"/>
      <c r="R186" s="107"/>
    </row>
    <row r="187" spans="1:18" ht="15" customHeight="1">
      <c r="A187" s="17" t="s">
        <v>26</v>
      </c>
      <c r="B187" s="17" t="s">
        <v>351</v>
      </c>
      <c r="C187" s="18" t="s">
        <v>597</v>
      </c>
      <c r="D187" s="17" t="s">
        <v>28</v>
      </c>
      <c r="E187" s="17" t="s">
        <v>294</v>
      </c>
      <c r="F187" s="17" t="s">
        <v>131</v>
      </c>
      <c r="G187" s="298"/>
      <c r="H187" s="138"/>
      <c r="I187" s="138"/>
      <c r="J187" s="138"/>
      <c r="K187" s="138"/>
      <c r="L187" s="138"/>
      <c r="M187" s="138"/>
      <c r="N187" s="138"/>
      <c r="O187" s="139"/>
      <c r="P187" s="138"/>
      <c r="Q187" s="107"/>
      <c r="R187" s="107"/>
    </row>
    <row r="188" spans="1:18" ht="15" customHeight="1">
      <c r="A188" s="17" t="s">
        <v>26</v>
      </c>
      <c r="B188" s="17" t="s">
        <v>353</v>
      </c>
      <c r="C188" s="18" t="s">
        <v>593</v>
      </c>
      <c r="D188" s="17" t="s">
        <v>28</v>
      </c>
      <c r="E188" s="17" t="s">
        <v>277</v>
      </c>
      <c r="F188" s="17" t="s">
        <v>131</v>
      </c>
      <c r="G188" s="298"/>
      <c r="H188" s="138"/>
      <c r="I188" s="138"/>
      <c r="J188" s="138"/>
      <c r="K188" s="138"/>
      <c r="L188" s="138"/>
      <c r="M188" s="138"/>
      <c r="N188" s="138"/>
      <c r="O188" s="139"/>
      <c r="P188" s="138"/>
      <c r="Q188" s="107"/>
      <c r="R188" s="107"/>
    </row>
    <row r="189" spans="1:18" ht="15" customHeight="1">
      <c r="A189" s="17" t="s">
        <v>38</v>
      </c>
      <c r="B189" s="17" t="s">
        <v>346</v>
      </c>
      <c r="C189" s="18" t="s">
        <v>600</v>
      </c>
      <c r="D189" s="17" t="s">
        <v>40</v>
      </c>
      <c r="E189" s="17" t="s">
        <v>268</v>
      </c>
      <c r="F189" s="17" t="s">
        <v>30</v>
      </c>
      <c r="G189" s="298"/>
      <c r="H189" s="138"/>
      <c r="I189" s="138"/>
      <c r="J189" s="138"/>
      <c r="K189" s="138"/>
      <c r="L189" s="138"/>
      <c r="M189" s="138"/>
      <c r="N189" s="138"/>
      <c r="O189" s="139"/>
      <c r="P189" s="138"/>
      <c r="Q189" s="107"/>
      <c r="R189" s="107"/>
    </row>
    <row r="190" spans="1:18" ht="15" customHeight="1">
      <c r="A190" s="17" t="s">
        <v>359</v>
      </c>
      <c r="B190" s="17" t="s">
        <v>360</v>
      </c>
      <c r="C190" s="18" t="s">
        <v>599</v>
      </c>
      <c r="D190" s="17" t="s">
        <v>361</v>
      </c>
      <c r="E190" s="17" t="s">
        <v>270</v>
      </c>
      <c r="F190" s="17" t="s">
        <v>362</v>
      </c>
      <c r="G190" s="298"/>
      <c r="H190" s="138"/>
      <c r="I190" s="138"/>
      <c r="J190" s="138"/>
      <c r="K190" s="138"/>
      <c r="L190" s="138"/>
      <c r="M190" s="138"/>
      <c r="N190" s="138"/>
      <c r="O190" s="139"/>
      <c r="P190" s="138"/>
      <c r="Q190" s="107"/>
      <c r="R190" s="107"/>
    </row>
    <row r="191" spans="1:18" ht="15" customHeight="1">
      <c r="A191" s="17" t="s">
        <v>26</v>
      </c>
      <c r="B191" s="17" t="s">
        <v>352</v>
      </c>
      <c r="C191" s="18" t="s">
        <v>598</v>
      </c>
      <c r="D191" s="17" t="s">
        <v>28</v>
      </c>
      <c r="E191" s="17" t="s">
        <v>277</v>
      </c>
      <c r="F191" s="17" t="s">
        <v>347</v>
      </c>
      <c r="G191" s="298"/>
      <c r="H191" s="138"/>
      <c r="I191" s="138"/>
      <c r="J191" s="138"/>
      <c r="K191" s="138"/>
      <c r="L191" s="138"/>
      <c r="M191" s="138"/>
      <c r="N191" s="138"/>
      <c r="O191" s="139"/>
      <c r="P191" s="138"/>
      <c r="Q191" s="107"/>
      <c r="R191" s="107"/>
    </row>
    <row r="192" spans="1:18" ht="15" customHeight="1" thickBot="1">
      <c r="A192" s="30" t="s">
        <v>61</v>
      </c>
      <c r="B192" s="30" t="s">
        <v>364</v>
      </c>
      <c r="C192" s="31" t="s">
        <v>559</v>
      </c>
      <c r="D192" s="30" t="s">
        <v>63</v>
      </c>
      <c r="E192" s="30" t="s">
        <v>636</v>
      </c>
      <c r="F192" s="30" t="s">
        <v>365</v>
      </c>
      <c r="G192" s="299"/>
      <c r="H192" s="140"/>
      <c r="I192" s="140"/>
      <c r="J192" s="140"/>
      <c r="K192" s="140"/>
      <c r="L192" s="140"/>
      <c r="M192" s="140"/>
      <c r="N192" s="140"/>
      <c r="O192" s="141"/>
      <c r="P192" s="140"/>
      <c r="Q192" s="142"/>
      <c r="R192" s="142"/>
    </row>
    <row r="193" spans="1:18" ht="17.45" customHeight="1" thickBot="1">
      <c r="A193" s="283"/>
      <c r="B193" s="284"/>
      <c r="C193" s="284"/>
      <c r="D193" s="284"/>
      <c r="E193" s="284"/>
      <c r="F193" s="284"/>
      <c r="G193" s="284"/>
      <c r="H193" s="284"/>
      <c r="I193" s="284"/>
      <c r="J193" s="284"/>
      <c r="K193" s="284"/>
      <c r="L193" s="284"/>
      <c r="M193" s="284"/>
      <c r="N193" s="284"/>
      <c r="O193" s="284"/>
      <c r="P193" s="284"/>
      <c r="Q193" s="284"/>
      <c r="R193" s="285"/>
    </row>
    <row r="194" spans="1:18" ht="22.15" customHeight="1" thickTop="1" thickBot="1">
      <c r="A194" s="279" t="s">
        <v>6</v>
      </c>
      <c r="B194" s="295"/>
      <c r="C194" s="295"/>
      <c r="D194" s="295"/>
      <c r="E194" s="295"/>
      <c r="F194" s="296"/>
      <c r="G194" s="32">
        <v>46031</v>
      </c>
      <c r="H194" s="278" t="s">
        <v>7</v>
      </c>
      <c r="I194" s="295"/>
      <c r="J194" s="295"/>
      <c r="K194" s="295"/>
      <c r="L194" s="295"/>
      <c r="M194" s="295"/>
      <c r="N194" s="295"/>
      <c r="O194" s="295"/>
      <c r="P194" s="295"/>
      <c r="Q194" s="295"/>
      <c r="R194" s="296"/>
    </row>
    <row r="195" spans="1:18" ht="24" customHeight="1">
      <c r="A195" s="33" t="s">
        <v>8</v>
      </c>
      <c r="B195" s="33" t="s">
        <v>9</v>
      </c>
      <c r="C195" s="34" t="s">
        <v>10</v>
      </c>
      <c r="D195" s="33" t="s">
        <v>11</v>
      </c>
      <c r="E195" s="33" t="s">
        <v>12</v>
      </c>
      <c r="F195" s="35" t="s">
        <v>13</v>
      </c>
      <c r="G195" s="36" t="s">
        <v>14</v>
      </c>
      <c r="H195" s="33" t="s">
        <v>15</v>
      </c>
      <c r="I195" s="37" t="s">
        <v>16</v>
      </c>
      <c r="J195" s="38" t="s">
        <v>17</v>
      </c>
      <c r="K195" s="39" t="s">
        <v>18</v>
      </c>
      <c r="L195" s="38" t="s">
        <v>19</v>
      </c>
      <c r="M195" s="38" t="s">
        <v>20</v>
      </c>
      <c r="N195" s="38" t="s">
        <v>21</v>
      </c>
      <c r="O195" s="33" t="s">
        <v>22</v>
      </c>
      <c r="P195" s="34" t="s">
        <v>23</v>
      </c>
      <c r="Q195" s="38" t="s">
        <v>24</v>
      </c>
      <c r="R195" s="33" t="s">
        <v>25</v>
      </c>
    </row>
    <row r="196" spans="1:18" ht="15" customHeight="1">
      <c r="A196" s="8" t="s">
        <v>359</v>
      </c>
      <c r="B196" s="8" t="s">
        <v>616</v>
      </c>
      <c r="C196" s="9">
        <v>1.041666666666667E-2</v>
      </c>
      <c r="D196" s="8" t="s">
        <v>603</v>
      </c>
      <c r="E196" s="8" t="s">
        <v>80</v>
      </c>
      <c r="F196" s="8" t="s">
        <v>617</v>
      </c>
      <c r="G196" s="297"/>
      <c r="H196" s="10"/>
      <c r="I196" s="11"/>
      <c r="J196" s="11"/>
      <c r="K196" s="11"/>
      <c r="L196" s="11"/>
      <c r="M196" s="11"/>
      <c r="N196" s="11"/>
      <c r="O196" s="12"/>
      <c r="P196" s="11"/>
      <c r="Q196" s="13"/>
      <c r="R196" s="14"/>
    </row>
    <row r="197" spans="1:18" ht="15" customHeight="1">
      <c r="A197" s="15" t="s">
        <v>359</v>
      </c>
      <c r="B197" s="15" t="s">
        <v>616</v>
      </c>
      <c r="C197" s="16">
        <v>1.041666666666667E-2</v>
      </c>
      <c r="D197" s="15" t="s">
        <v>605</v>
      </c>
      <c r="E197" s="15" t="s">
        <v>82</v>
      </c>
      <c r="F197" s="15" t="s">
        <v>626</v>
      </c>
      <c r="G197" s="298"/>
      <c r="H197" s="10"/>
      <c r="I197" s="11"/>
      <c r="J197" s="11"/>
      <c r="K197" s="11"/>
      <c r="L197" s="11"/>
      <c r="M197" s="11"/>
      <c r="N197" s="11"/>
      <c r="O197" s="12"/>
      <c r="P197" s="11"/>
      <c r="Q197" s="13"/>
      <c r="R197" s="14"/>
    </row>
    <row r="198" spans="1:18" ht="15" customHeight="1">
      <c r="A198" s="15" t="s">
        <v>359</v>
      </c>
      <c r="B198" s="15" t="s">
        <v>616</v>
      </c>
      <c r="C198" s="16">
        <v>1.041666666666667E-2</v>
      </c>
      <c r="D198" s="15" t="s">
        <v>46</v>
      </c>
      <c r="E198" s="15" t="s">
        <v>82</v>
      </c>
      <c r="F198" s="15" t="s">
        <v>627</v>
      </c>
      <c r="G198" s="298"/>
      <c r="H198" s="10"/>
      <c r="I198" s="11"/>
      <c r="J198" s="11"/>
      <c r="K198" s="11"/>
      <c r="L198" s="11"/>
      <c r="M198" s="11"/>
      <c r="N198" s="11"/>
      <c r="O198" s="12"/>
      <c r="P198" s="11"/>
      <c r="Q198" s="13"/>
      <c r="R198" s="14"/>
    </row>
    <row r="199" spans="1:18" ht="15" customHeight="1">
      <c r="A199" s="21" t="s">
        <v>61</v>
      </c>
      <c r="B199" s="21" t="s">
        <v>612</v>
      </c>
      <c r="C199" s="22">
        <v>0.22916666666666671</v>
      </c>
      <c r="D199" s="21" t="s">
        <v>63</v>
      </c>
      <c r="E199" s="21" t="s">
        <v>51</v>
      </c>
      <c r="F199" s="21" t="s">
        <v>449</v>
      </c>
      <c r="G199" s="298"/>
      <c r="H199" s="23" t="s">
        <v>613</v>
      </c>
      <c r="I199" s="24">
        <v>0</v>
      </c>
      <c r="J199" s="25">
        <v>0</v>
      </c>
      <c r="K199" s="26" t="s">
        <v>66</v>
      </c>
      <c r="L199" s="25">
        <v>0</v>
      </c>
      <c r="M199" s="25">
        <v>0</v>
      </c>
      <c r="N199" s="25">
        <v>0</v>
      </c>
      <c r="O199" s="27" t="s">
        <v>67</v>
      </c>
      <c r="P199" s="28">
        <v>0.22916666666666671</v>
      </c>
      <c r="Q199" s="25">
        <v>180</v>
      </c>
      <c r="R199" s="29" t="s">
        <v>66</v>
      </c>
    </row>
    <row r="200" spans="1:18" ht="15" customHeight="1">
      <c r="A200" s="19" t="s">
        <v>48</v>
      </c>
      <c r="B200" s="19" t="s">
        <v>611</v>
      </c>
      <c r="C200" s="20">
        <v>0.81944444444444453</v>
      </c>
      <c r="D200" s="19" t="s">
        <v>50</v>
      </c>
      <c r="E200" s="19" t="s">
        <v>51</v>
      </c>
      <c r="F200" s="19" t="s">
        <v>649</v>
      </c>
      <c r="G200" s="298"/>
      <c r="H200" s="10"/>
      <c r="I200" s="11"/>
      <c r="J200" s="11"/>
      <c r="K200" s="11"/>
      <c r="L200" s="11"/>
      <c r="M200" s="11"/>
      <c r="N200" s="11"/>
      <c r="O200" s="12"/>
      <c r="P200" s="11"/>
      <c r="Q200" s="13"/>
      <c r="R200" s="14"/>
    </row>
    <row r="201" spans="1:18" ht="15" customHeight="1">
      <c r="A201" s="15" t="s">
        <v>48</v>
      </c>
      <c r="B201" s="15" t="s">
        <v>611</v>
      </c>
      <c r="C201" s="16">
        <v>0.81944444444444453</v>
      </c>
      <c r="D201" s="15" t="s">
        <v>53</v>
      </c>
      <c r="E201" s="15" t="s">
        <v>54</v>
      </c>
      <c r="F201" s="15" t="s">
        <v>650</v>
      </c>
      <c r="G201" s="298"/>
      <c r="H201" s="10"/>
      <c r="I201" s="11"/>
      <c r="J201" s="11"/>
      <c r="K201" s="11"/>
      <c r="L201" s="11"/>
      <c r="M201" s="11"/>
      <c r="N201" s="11"/>
      <c r="O201" s="12"/>
      <c r="P201" s="11"/>
      <c r="Q201" s="13"/>
      <c r="R201" s="14"/>
    </row>
    <row r="202" spans="1:18" ht="18">
      <c r="A202" s="292" t="s">
        <v>615</v>
      </c>
      <c r="B202" s="303"/>
      <c r="C202" s="303"/>
      <c r="D202" s="303"/>
      <c r="E202" s="303"/>
      <c r="F202" s="304"/>
      <c r="G202" s="298"/>
      <c r="H202" s="138"/>
      <c r="I202" s="138"/>
      <c r="J202" s="138"/>
      <c r="K202" s="138"/>
      <c r="L202" s="138"/>
      <c r="M202" s="138"/>
      <c r="N202" s="138"/>
      <c r="O202" s="139"/>
      <c r="P202" s="138"/>
      <c r="Q202" s="107"/>
      <c r="R202" s="107"/>
    </row>
    <row r="203" spans="1:18" ht="15" customHeight="1">
      <c r="A203" s="17" t="s">
        <v>38</v>
      </c>
      <c r="B203" s="17" t="s">
        <v>342</v>
      </c>
      <c r="C203" s="18" t="s">
        <v>592</v>
      </c>
      <c r="D203" s="17" t="s">
        <v>40</v>
      </c>
      <c r="E203" s="17" t="s">
        <v>277</v>
      </c>
      <c r="F203" s="17" t="s">
        <v>88</v>
      </c>
      <c r="G203" s="298"/>
      <c r="H203" s="138"/>
      <c r="I203" s="138"/>
      <c r="J203" s="138"/>
      <c r="K203" s="138"/>
      <c r="L203" s="138"/>
      <c r="M203" s="138"/>
      <c r="N203" s="138"/>
      <c r="O203" s="139"/>
      <c r="P203" s="138"/>
      <c r="Q203" s="107"/>
      <c r="R203" s="107"/>
    </row>
    <row r="204" spans="1:18" ht="15" customHeight="1">
      <c r="A204" s="17" t="s">
        <v>38</v>
      </c>
      <c r="B204" s="17" t="s">
        <v>346</v>
      </c>
      <c r="C204" s="18" t="s">
        <v>600</v>
      </c>
      <c r="D204" s="17" t="s">
        <v>40</v>
      </c>
      <c r="E204" s="17" t="s">
        <v>312</v>
      </c>
      <c r="F204" s="17" t="s">
        <v>81</v>
      </c>
      <c r="G204" s="298"/>
      <c r="H204" s="138"/>
      <c r="I204" s="138"/>
      <c r="J204" s="138"/>
      <c r="K204" s="138"/>
      <c r="L204" s="138"/>
      <c r="M204" s="138"/>
      <c r="N204" s="138"/>
      <c r="O204" s="139"/>
      <c r="P204" s="138"/>
      <c r="Q204" s="107"/>
      <c r="R204" s="107"/>
    </row>
    <row r="205" spans="1:18" ht="15" customHeight="1">
      <c r="A205" s="17" t="s">
        <v>38</v>
      </c>
      <c r="B205" s="17" t="s">
        <v>344</v>
      </c>
      <c r="C205" s="18" t="s">
        <v>593</v>
      </c>
      <c r="D205" s="17" t="s">
        <v>40</v>
      </c>
      <c r="E205" s="17" t="s">
        <v>312</v>
      </c>
      <c r="F205" s="17" t="s">
        <v>81</v>
      </c>
      <c r="G205" s="298"/>
      <c r="H205" s="138"/>
      <c r="I205" s="138"/>
      <c r="J205" s="138"/>
      <c r="K205" s="138"/>
      <c r="L205" s="138"/>
      <c r="M205" s="138"/>
      <c r="N205" s="138"/>
      <c r="O205" s="139"/>
      <c r="P205" s="138"/>
      <c r="Q205" s="107"/>
      <c r="R205" s="107"/>
    </row>
    <row r="206" spans="1:18" ht="15" customHeight="1">
      <c r="A206" s="17" t="s">
        <v>38</v>
      </c>
      <c r="B206" s="17" t="s">
        <v>345</v>
      </c>
      <c r="C206" s="18" t="s">
        <v>594</v>
      </c>
      <c r="D206" s="17" t="s">
        <v>40</v>
      </c>
      <c r="E206" s="17" t="s">
        <v>284</v>
      </c>
      <c r="F206" s="17" t="s">
        <v>30</v>
      </c>
      <c r="G206" s="298"/>
      <c r="H206" s="138"/>
      <c r="I206" s="138"/>
      <c r="J206" s="138"/>
      <c r="K206" s="138"/>
      <c r="L206" s="138"/>
      <c r="M206" s="138"/>
      <c r="N206" s="138"/>
      <c r="O206" s="139"/>
      <c r="P206" s="138"/>
      <c r="Q206" s="107"/>
      <c r="R206" s="107"/>
    </row>
    <row r="207" spans="1:18" ht="15" customHeight="1">
      <c r="A207" s="17" t="s">
        <v>359</v>
      </c>
      <c r="B207" s="17" t="s">
        <v>422</v>
      </c>
      <c r="C207" s="18" t="s">
        <v>618</v>
      </c>
      <c r="D207" s="17" t="s">
        <v>361</v>
      </c>
      <c r="E207" s="17" t="s">
        <v>270</v>
      </c>
      <c r="F207" s="17" t="s">
        <v>423</v>
      </c>
      <c r="G207" s="298"/>
      <c r="H207" s="138"/>
      <c r="I207" s="138"/>
      <c r="J207" s="138"/>
      <c r="K207" s="138"/>
      <c r="L207" s="138"/>
      <c r="M207" s="138"/>
      <c r="N207" s="138"/>
      <c r="O207" s="139"/>
      <c r="P207" s="138"/>
      <c r="Q207" s="107"/>
      <c r="R207" s="107"/>
    </row>
    <row r="208" spans="1:18" ht="15" customHeight="1">
      <c r="A208" s="17" t="s">
        <v>359</v>
      </c>
      <c r="B208" s="17" t="s">
        <v>360</v>
      </c>
      <c r="C208" s="18" t="s">
        <v>619</v>
      </c>
      <c r="D208" s="17" t="s">
        <v>361</v>
      </c>
      <c r="E208" s="17" t="s">
        <v>270</v>
      </c>
      <c r="F208" s="17" t="s">
        <v>423</v>
      </c>
      <c r="G208" s="298"/>
      <c r="H208" s="138"/>
      <c r="I208" s="138"/>
      <c r="J208" s="138"/>
      <c r="K208" s="138"/>
      <c r="L208" s="138"/>
      <c r="M208" s="138"/>
      <c r="N208" s="138"/>
      <c r="O208" s="139"/>
      <c r="P208" s="138"/>
      <c r="Q208" s="107"/>
      <c r="R208" s="107"/>
    </row>
    <row r="209" spans="1:18" ht="15" customHeight="1">
      <c r="A209" s="17" t="s">
        <v>359</v>
      </c>
      <c r="B209" s="17" t="s">
        <v>425</v>
      </c>
      <c r="C209" s="18" t="s">
        <v>620</v>
      </c>
      <c r="D209" s="17" t="s">
        <v>361</v>
      </c>
      <c r="E209" s="17" t="s">
        <v>270</v>
      </c>
      <c r="F209" s="17" t="s">
        <v>423</v>
      </c>
      <c r="G209" s="298"/>
      <c r="H209" s="138"/>
      <c r="I209" s="138"/>
      <c r="J209" s="138"/>
      <c r="K209" s="138"/>
      <c r="L209" s="138"/>
      <c r="M209" s="138"/>
      <c r="N209" s="138"/>
      <c r="O209" s="139"/>
      <c r="P209" s="138"/>
      <c r="Q209" s="107"/>
      <c r="R209" s="107"/>
    </row>
    <row r="210" spans="1:18" ht="15" customHeight="1">
      <c r="A210" s="17" t="s">
        <v>61</v>
      </c>
      <c r="B210" s="17" t="s">
        <v>428</v>
      </c>
      <c r="C210" s="18" t="s">
        <v>564</v>
      </c>
      <c r="D210" s="17" t="s">
        <v>63</v>
      </c>
      <c r="E210" s="17" t="s">
        <v>288</v>
      </c>
      <c r="F210" s="17" t="s">
        <v>365</v>
      </c>
      <c r="G210" s="298"/>
      <c r="H210" s="138"/>
      <c r="I210" s="138"/>
      <c r="J210" s="138"/>
      <c r="K210" s="138"/>
      <c r="L210" s="138"/>
      <c r="M210" s="138"/>
      <c r="N210" s="138"/>
      <c r="O210" s="139"/>
      <c r="P210" s="138"/>
      <c r="Q210" s="107"/>
      <c r="R210" s="107"/>
    </row>
    <row r="211" spans="1:18" ht="15" customHeight="1">
      <c r="A211" s="17" t="s">
        <v>61</v>
      </c>
      <c r="B211" s="17" t="s">
        <v>375</v>
      </c>
      <c r="C211" s="18" t="s">
        <v>561</v>
      </c>
      <c r="D211" s="17" t="s">
        <v>63</v>
      </c>
      <c r="E211" s="17" t="s">
        <v>286</v>
      </c>
      <c r="F211" s="17" t="s">
        <v>365</v>
      </c>
      <c r="G211" s="298"/>
      <c r="H211" s="138"/>
      <c r="I211" s="138"/>
      <c r="J211" s="138"/>
      <c r="K211" s="138"/>
      <c r="L211" s="138"/>
      <c r="M211" s="138"/>
      <c r="N211" s="138"/>
      <c r="O211" s="139"/>
      <c r="P211" s="138"/>
      <c r="Q211" s="107"/>
      <c r="R211" s="107"/>
    </row>
    <row r="212" spans="1:18" ht="15" customHeight="1" thickBot="1">
      <c r="A212" s="30" t="s">
        <v>61</v>
      </c>
      <c r="B212" s="30" t="s">
        <v>377</v>
      </c>
      <c r="C212" s="31" t="s">
        <v>562</v>
      </c>
      <c r="D212" s="30" t="s">
        <v>63</v>
      </c>
      <c r="E212" s="30" t="s">
        <v>636</v>
      </c>
      <c r="F212" s="30" t="s">
        <v>365</v>
      </c>
      <c r="G212" s="299"/>
      <c r="H212" s="140"/>
      <c r="I212" s="140"/>
      <c r="J212" s="140"/>
      <c r="K212" s="140"/>
      <c r="L212" s="140"/>
      <c r="M212" s="140"/>
      <c r="N212" s="140"/>
      <c r="O212" s="141"/>
      <c r="P212" s="140"/>
      <c r="Q212" s="142"/>
      <c r="R212" s="142"/>
    </row>
    <row r="213" spans="1:18" ht="17.45" customHeight="1" thickBot="1">
      <c r="A213" s="283"/>
      <c r="B213" s="284"/>
      <c r="C213" s="284"/>
      <c r="D213" s="284"/>
      <c r="E213" s="284"/>
      <c r="F213" s="284"/>
      <c r="G213" s="284"/>
      <c r="H213" s="284"/>
      <c r="I213" s="284"/>
      <c r="J213" s="284"/>
      <c r="K213" s="284"/>
      <c r="L213" s="284"/>
      <c r="M213" s="284"/>
      <c r="N213" s="284"/>
      <c r="O213" s="284"/>
      <c r="P213" s="284"/>
      <c r="Q213" s="284"/>
      <c r="R213" s="285"/>
    </row>
    <row r="214" spans="1:18" ht="22.15" customHeight="1" thickTop="1" thickBot="1">
      <c r="A214" s="279" t="s">
        <v>6</v>
      </c>
      <c r="B214" s="295"/>
      <c r="C214" s="295"/>
      <c r="D214" s="295"/>
      <c r="E214" s="295"/>
      <c r="F214" s="296"/>
      <c r="G214" s="32">
        <v>46032</v>
      </c>
      <c r="H214" s="278" t="s">
        <v>7</v>
      </c>
      <c r="I214" s="295"/>
      <c r="J214" s="295"/>
      <c r="K214" s="295"/>
      <c r="L214" s="295"/>
      <c r="M214" s="295"/>
      <c r="N214" s="295"/>
      <c r="O214" s="295"/>
      <c r="P214" s="295"/>
      <c r="Q214" s="295"/>
      <c r="R214" s="296"/>
    </row>
    <row r="215" spans="1:18" ht="24" customHeight="1">
      <c r="A215" s="33" t="s">
        <v>8</v>
      </c>
      <c r="B215" s="33" t="s">
        <v>9</v>
      </c>
      <c r="C215" s="34" t="s">
        <v>10</v>
      </c>
      <c r="D215" s="33" t="s">
        <v>11</v>
      </c>
      <c r="E215" s="33" t="s">
        <v>12</v>
      </c>
      <c r="F215" s="35" t="s">
        <v>13</v>
      </c>
      <c r="G215" s="36" t="s">
        <v>14</v>
      </c>
      <c r="H215" s="33" t="s">
        <v>15</v>
      </c>
      <c r="I215" s="37" t="s">
        <v>16</v>
      </c>
      <c r="J215" s="38" t="s">
        <v>17</v>
      </c>
      <c r="K215" s="39" t="s">
        <v>18</v>
      </c>
      <c r="L215" s="38" t="s">
        <v>19</v>
      </c>
      <c r="M215" s="38" t="s">
        <v>20</v>
      </c>
      <c r="N215" s="38" t="s">
        <v>21</v>
      </c>
      <c r="O215" s="33" t="s">
        <v>22</v>
      </c>
      <c r="P215" s="34" t="s">
        <v>23</v>
      </c>
      <c r="Q215" s="38" t="s">
        <v>24</v>
      </c>
      <c r="R215" s="33" t="s">
        <v>25</v>
      </c>
    </row>
    <row r="216" spans="1:18" ht="15" customHeight="1">
      <c r="A216" s="8" t="s">
        <v>38</v>
      </c>
      <c r="B216" s="8" t="s">
        <v>621</v>
      </c>
      <c r="C216" s="9">
        <v>0.3611111111111111</v>
      </c>
      <c r="D216" s="8" t="s">
        <v>622</v>
      </c>
      <c r="E216" s="8" t="s">
        <v>151</v>
      </c>
      <c r="F216" s="8" t="s">
        <v>121</v>
      </c>
      <c r="G216" s="297"/>
      <c r="H216" s="10"/>
      <c r="I216" s="11"/>
      <c r="J216" s="11"/>
      <c r="K216" s="11"/>
      <c r="L216" s="11"/>
      <c r="M216" s="11"/>
      <c r="N216" s="11"/>
      <c r="O216" s="12"/>
      <c r="P216" s="11"/>
      <c r="Q216" s="13"/>
      <c r="R216" s="14"/>
    </row>
    <row r="217" spans="1:18" ht="15" customHeight="1">
      <c r="A217" s="15" t="s">
        <v>38</v>
      </c>
      <c r="B217" s="15" t="s">
        <v>621</v>
      </c>
      <c r="C217" s="16">
        <v>0.3611111111111111</v>
      </c>
      <c r="D217" s="15" t="s">
        <v>603</v>
      </c>
      <c r="E217" s="15" t="s">
        <v>152</v>
      </c>
      <c r="F217" s="15" t="s">
        <v>623</v>
      </c>
      <c r="G217" s="298"/>
      <c r="H217" s="10"/>
      <c r="I217" s="11"/>
      <c r="J217" s="11"/>
      <c r="K217" s="11"/>
      <c r="L217" s="11"/>
      <c r="M217" s="11"/>
      <c r="N217" s="11"/>
      <c r="O217" s="12"/>
      <c r="P217" s="11"/>
      <c r="Q217" s="13"/>
      <c r="R217" s="14"/>
    </row>
    <row r="218" spans="1:18" ht="15" customHeight="1">
      <c r="A218" s="15" t="s">
        <v>38</v>
      </c>
      <c r="B218" s="15" t="s">
        <v>621</v>
      </c>
      <c r="C218" s="16">
        <v>0.3611111111111111</v>
      </c>
      <c r="D218" s="15" t="s">
        <v>605</v>
      </c>
      <c r="E218" s="15" t="s">
        <v>152</v>
      </c>
      <c r="F218" s="15" t="s">
        <v>624</v>
      </c>
      <c r="G218" s="298"/>
      <c r="H218" s="10"/>
      <c r="I218" s="11"/>
      <c r="J218" s="11"/>
      <c r="K218" s="11"/>
      <c r="L218" s="11"/>
      <c r="M218" s="11"/>
      <c r="N218" s="11"/>
      <c r="O218" s="12"/>
      <c r="P218" s="11"/>
      <c r="Q218" s="13"/>
      <c r="R218" s="14"/>
    </row>
    <row r="219" spans="1:18" ht="15" customHeight="1">
      <c r="A219" s="15" t="s">
        <v>38</v>
      </c>
      <c r="B219" s="15" t="s">
        <v>621</v>
      </c>
      <c r="C219" s="16">
        <v>0.3611111111111111</v>
      </c>
      <c r="D219" s="15" t="s">
        <v>625</v>
      </c>
      <c r="E219" s="15" t="s">
        <v>152</v>
      </c>
      <c r="F219" s="15" t="s">
        <v>163</v>
      </c>
      <c r="G219" s="298"/>
      <c r="H219" s="10"/>
      <c r="I219" s="11"/>
      <c r="J219" s="11"/>
      <c r="K219" s="11"/>
      <c r="L219" s="11"/>
      <c r="M219" s="11"/>
      <c r="N219" s="11"/>
      <c r="O219" s="12"/>
      <c r="P219" s="11"/>
      <c r="Q219" s="13"/>
      <c r="R219" s="14"/>
    </row>
    <row r="220" spans="1:18" ht="15" customHeight="1">
      <c r="A220" s="19" t="s">
        <v>359</v>
      </c>
      <c r="B220" s="19" t="s">
        <v>602</v>
      </c>
      <c r="C220" s="20">
        <v>0.3611111111111111</v>
      </c>
      <c r="D220" s="19" t="s">
        <v>603</v>
      </c>
      <c r="E220" s="19" t="s">
        <v>80</v>
      </c>
      <c r="F220" s="19" t="s">
        <v>617</v>
      </c>
      <c r="G220" s="298"/>
      <c r="H220" s="10"/>
      <c r="I220" s="11"/>
      <c r="J220" s="11"/>
      <c r="K220" s="11"/>
      <c r="L220" s="11"/>
      <c r="M220" s="11"/>
      <c r="N220" s="11"/>
      <c r="O220" s="12"/>
      <c r="P220" s="11"/>
      <c r="Q220" s="13"/>
      <c r="R220" s="14"/>
    </row>
    <row r="221" spans="1:18" ht="15" customHeight="1">
      <c r="A221" s="15" t="s">
        <v>359</v>
      </c>
      <c r="B221" s="15" t="s">
        <v>602</v>
      </c>
      <c r="C221" s="16">
        <v>0.3611111111111111</v>
      </c>
      <c r="D221" s="15" t="s">
        <v>605</v>
      </c>
      <c r="E221" s="15" t="s">
        <v>82</v>
      </c>
      <c r="F221" s="15" t="s">
        <v>626</v>
      </c>
      <c r="G221" s="298"/>
      <c r="H221" s="10"/>
      <c r="I221" s="11"/>
      <c r="J221" s="11"/>
      <c r="K221" s="11"/>
      <c r="L221" s="11"/>
      <c r="M221" s="11"/>
      <c r="N221" s="11"/>
      <c r="O221" s="12"/>
      <c r="P221" s="11"/>
      <c r="Q221" s="13"/>
      <c r="R221" s="14"/>
    </row>
    <row r="222" spans="1:18" ht="15" customHeight="1">
      <c r="A222" s="15" t="s">
        <v>359</v>
      </c>
      <c r="B222" s="15" t="s">
        <v>602</v>
      </c>
      <c r="C222" s="16">
        <v>0.3611111111111111</v>
      </c>
      <c r="D222" s="15" t="s">
        <v>46</v>
      </c>
      <c r="E222" s="15" t="s">
        <v>82</v>
      </c>
      <c r="F222" s="15" t="s">
        <v>627</v>
      </c>
      <c r="G222" s="298"/>
      <c r="H222" s="10"/>
      <c r="I222" s="11"/>
      <c r="J222" s="11"/>
      <c r="K222" s="11"/>
      <c r="L222" s="11"/>
      <c r="M222" s="11"/>
      <c r="N222" s="11"/>
      <c r="O222" s="12"/>
      <c r="P222" s="11"/>
      <c r="Q222" s="13"/>
      <c r="R222" s="14"/>
    </row>
    <row r="223" spans="1:18" ht="15" customHeight="1">
      <c r="A223" s="17" t="s">
        <v>359</v>
      </c>
      <c r="B223" s="17" t="s">
        <v>628</v>
      </c>
      <c r="C223" s="18">
        <v>2.777777777777778E-2</v>
      </c>
      <c r="D223" s="17" t="s">
        <v>603</v>
      </c>
      <c r="E223" s="17" t="s">
        <v>90</v>
      </c>
      <c r="F223" s="17" t="s">
        <v>617</v>
      </c>
      <c r="G223" s="298"/>
      <c r="H223" s="10"/>
      <c r="I223" s="11"/>
      <c r="J223" s="11"/>
      <c r="K223" s="11"/>
      <c r="L223" s="11"/>
      <c r="M223" s="11"/>
      <c r="N223" s="11"/>
      <c r="O223" s="12"/>
      <c r="P223" s="11"/>
      <c r="Q223" s="13"/>
      <c r="R223" s="14"/>
    </row>
    <row r="224" spans="1:18" ht="15" customHeight="1">
      <c r="A224" s="15" t="s">
        <v>359</v>
      </c>
      <c r="B224" s="15" t="s">
        <v>628</v>
      </c>
      <c r="C224" s="16">
        <v>2.777777777777778E-2</v>
      </c>
      <c r="D224" s="15" t="s">
        <v>605</v>
      </c>
      <c r="E224" s="15" t="s">
        <v>82</v>
      </c>
      <c r="F224" s="15" t="s">
        <v>626</v>
      </c>
      <c r="G224" s="298"/>
      <c r="H224" s="10"/>
      <c r="I224" s="11"/>
      <c r="J224" s="11"/>
      <c r="K224" s="11"/>
      <c r="L224" s="11"/>
      <c r="M224" s="11"/>
      <c r="N224" s="11"/>
      <c r="O224" s="12"/>
      <c r="P224" s="11"/>
      <c r="Q224" s="13"/>
      <c r="R224" s="14"/>
    </row>
    <row r="225" spans="1:18" ht="15" customHeight="1">
      <c r="A225" s="15" t="s">
        <v>359</v>
      </c>
      <c r="B225" s="15" t="s">
        <v>628</v>
      </c>
      <c r="C225" s="16">
        <v>2.777777777777778E-2</v>
      </c>
      <c r="D225" s="15" t="s">
        <v>46</v>
      </c>
      <c r="E225" s="15" t="s">
        <v>82</v>
      </c>
      <c r="F225" s="15" t="s">
        <v>627</v>
      </c>
      <c r="G225" s="298"/>
      <c r="H225" s="10"/>
      <c r="I225" s="11"/>
      <c r="J225" s="11"/>
      <c r="K225" s="11"/>
      <c r="L225" s="11"/>
      <c r="M225" s="11"/>
      <c r="N225" s="11"/>
      <c r="O225" s="12"/>
      <c r="P225" s="11"/>
      <c r="Q225" s="13"/>
      <c r="R225" s="14"/>
    </row>
    <row r="226" spans="1:18" ht="15" customHeight="1">
      <c r="A226" s="21" t="s">
        <v>61</v>
      </c>
      <c r="B226" s="21" t="s">
        <v>612</v>
      </c>
      <c r="C226" s="22">
        <v>0.60416666666666663</v>
      </c>
      <c r="D226" s="21" t="s">
        <v>63</v>
      </c>
      <c r="E226" s="21" t="s">
        <v>143</v>
      </c>
      <c r="F226" s="21" t="s">
        <v>79</v>
      </c>
      <c r="G226" s="298"/>
      <c r="H226" s="23" t="s">
        <v>613</v>
      </c>
      <c r="I226" s="24">
        <v>4.4400000000000002E-2</v>
      </c>
      <c r="J226" s="25">
        <v>8</v>
      </c>
      <c r="K226" s="26">
        <v>46339</v>
      </c>
      <c r="L226" s="25">
        <v>8</v>
      </c>
      <c r="M226" s="25">
        <v>0</v>
      </c>
      <c r="N226" s="25">
        <v>0</v>
      </c>
      <c r="O226" s="27" t="s">
        <v>298</v>
      </c>
      <c r="P226" s="28">
        <v>0.60416666666666663</v>
      </c>
      <c r="Q226" s="25">
        <v>180</v>
      </c>
      <c r="R226" s="29" t="s">
        <v>301</v>
      </c>
    </row>
    <row r="227" spans="1:18" ht="15" customHeight="1">
      <c r="A227" s="148" t="s">
        <v>61</v>
      </c>
      <c r="B227" s="148" t="s">
        <v>629</v>
      </c>
      <c r="C227" s="149">
        <v>0.27083333333333331</v>
      </c>
      <c r="D227" s="148" t="s">
        <v>63</v>
      </c>
      <c r="E227" s="148" t="s">
        <v>435</v>
      </c>
      <c r="F227" s="148" t="s">
        <v>79</v>
      </c>
      <c r="G227" s="298"/>
      <c r="H227" s="51" t="s">
        <v>630</v>
      </c>
      <c r="I227" s="52">
        <v>1.67E-2</v>
      </c>
      <c r="J227" s="53">
        <v>3</v>
      </c>
      <c r="K227" s="54">
        <v>46331</v>
      </c>
      <c r="L227" s="53">
        <v>4</v>
      </c>
      <c r="M227" s="53">
        <v>0</v>
      </c>
      <c r="N227" s="53">
        <v>0</v>
      </c>
      <c r="O227" s="55" t="s">
        <v>299</v>
      </c>
      <c r="P227" s="56">
        <v>0.27083333333333331</v>
      </c>
      <c r="Q227" s="53">
        <v>180</v>
      </c>
      <c r="R227" s="57" t="s">
        <v>304</v>
      </c>
    </row>
    <row r="228" spans="1:18" ht="15" customHeight="1">
      <c r="A228" s="19" t="s">
        <v>48</v>
      </c>
      <c r="B228" s="19" t="s">
        <v>609</v>
      </c>
      <c r="C228" s="20">
        <v>0.4513888888888889</v>
      </c>
      <c r="D228" s="19" t="s">
        <v>50</v>
      </c>
      <c r="E228" s="19" t="s">
        <v>51</v>
      </c>
      <c r="F228" s="19" t="s">
        <v>649</v>
      </c>
      <c r="G228" s="298"/>
      <c r="H228" s="10"/>
      <c r="I228" s="11"/>
      <c r="J228" s="11"/>
      <c r="K228" s="11"/>
      <c r="L228" s="11"/>
      <c r="M228" s="11"/>
      <c r="N228" s="11"/>
      <c r="O228" s="12"/>
      <c r="P228" s="11"/>
      <c r="Q228" s="13"/>
      <c r="R228" s="14"/>
    </row>
    <row r="229" spans="1:18" ht="15" customHeight="1">
      <c r="A229" s="15" t="s">
        <v>48</v>
      </c>
      <c r="B229" s="15" t="s">
        <v>609</v>
      </c>
      <c r="C229" s="16">
        <v>0.4513888888888889</v>
      </c>
      <c r="D229" s="15" t="s">
        <v>53</v>
      </c>
      <c r="E229" s="15" t="s">
        <v>54</v>
      </c>
      <c r="F229" s="15" t="s">
        <v>650</v>
      </c>
      <c r="G229" s="298"/>
      <c r="H229" s="10"/>
      <c r="I229" s="11"/>
      <c r="J229" s="11"/>
      <c r="K229" s="11"/>
      <c r="L229" s="11"/>
      <c r="M229" s="11"/>
      <c r="N229" s="11"/>
      <c r="O229" s="12"/>
      <c r="P229" s="11"/>
      <c r="Q229" s="13"/>
      <c r="R229" s="14"/>
    </row>
    <row r="230" spans="1:18" ht="15" customHeight="1">
      <c r="A230" s="17" t="s">
        <v>48</v>
      </c>
      <c r="B230" s="17" t="s">
        <v>611</v>
      </c>
      <c r="C230" s="18">
        <v>0.81944444444444453</v>
      </c>
      <c r="D230" s="17" t="s">
        <v>50</v>
      </c>
      <c r="E230" s="17" t="s">
        <v>57</v>
      </c>
      <c r="F230" s="17" t="s">
        <v>649</v>
      </c>
      <c r="G230" s="298"/>
      <c r="H230" s="10"/>
      <c r="I230" s="11"/>
      <c r="J230" s="11"/>
      <c r="K230" s="11"/>
      <c r="L230" s="11"/>
      <c r="M230" s="11"/>
      <c r="N230" s="11"/>
      <c r="O230" s="12"/>
      <c r="P230" s="11"/>
      <c r="Q230" s="13"/>
      <c r="R230" s="14"/>
    </row>
    <row r="231" spans="1:18" ht="15" customHeight="1">
      <c r="A231" s="15" t="s">
        <v>48</v>
      </c>
      <c r="B231" s="15" t="s">
        <v>611</v>
      </c>
      <c r="C231" s="16">
        <v>0.81944444444444453</v>
      </c>
      <c r="D231" s="15" t="s">
        <v>53</v>
      </c>
      <c r="E231" s="15" t="s">
        <v>54</v>
      </c>
      <c r="F231" s="15" t="s">
        <v>650</v>
      </c>
      <c r="G231" s="298"/>
      <c r="H231" s="10"/>
      <c r="I231" s="11"/>
      <c r="J231" s="11"/>
      <c r="K231" s="11"/>
      <c r="L231" s="11"/>
      <c r="M231" s="11"/>
      <c r="N231" s="11"/>
      <c r="O231" s="12"/>
      <c r="P231" s="11"/>
      <c r="Q231" s="13"/>
      <c r="R231" s="14"/>
    </row>
    <row r="232" spans="1:18" ht="15" customHeight="1">
      <c r="A232" s="19" t="s">
        <v>68</v>
      </c>
      <c r="B232" s="19" t="s">
        <v>633</v>
      </c>
      <c r="C232" s="20">
        <v>0.45833333333333331</v>
      </c>
      <c r="D232" s="19" t="s">
        <v>70</v>
      </c>
      <c r="E232" s="19" t="s">
        <v>51</v>
      </c>
      <c r="F232" s="19" t="s">
        <v>651</v>
      </c>
      <c r="G232" s="298"/>
      <c r="H232" s="10"/>
      <c r="I232" s="11"/>
      <c r="J232" s="11"/>
      <c r="K232" s="11"/>
      <c r="L232" s="11"/>
      <c r="M232" s="11"/>
      <c r="N232" s="11"/>
      <c r="O232" s="12"/>
      <c r="P232" s="11"/>
      <c r="Q232" s="13"/>
      <c r="R232" s="14"/>
    </row>
    <row r="233" spans="1:18" ht="18">
      <c r="A233" s="292" t="s">
        <v>615</v>
      </c>
      <c r="B233" s="303"/>
      <c r="C233" s="303"/>
      <c r="D233" s="303"/>
      <c r="E233" s="303"/>
      <c r="F233" s="304"/>
      <c r="G233" s="298"/>
      <c r="H233" s="138"/>
      <c r="I233" s="138"/>
      <c r="J233" s="138"/>
      <c r="K233" s="138"/>
      <c r="L233" s="138"/>
      <c r="M233" s="138"/>
      <c r="N233" s="138"/>
      <c r="O233" s="139"/>
      <c r="P233" s="138"/>
      <c r="Q233" s="107"/>
      <c r="R233" s="107"/>
    </row>
    <row r="234" spans="1:18" ht="15" customHeight="1">
      <c r="A234" s="17" t="s">
        <v>38</v>
      </c>
      <c r="B234" s="17" t="s">
        <v>345</v>
      </c>
      <c r="C234" s="18" t="s">
        <v>594</v>
      </c>
      <c r="D234" s="17" t="s">
        <v>40</v>
      </c>
      <c r="E234" s="17" t="s">
        <v>652</v>
      </c>
      <c r="F234" s="17" t="s">
        <v>81</v>
      </c>
      <c r="G234" s="298"/>
      <c r="H234" s="138"/>
      <c r="I234" s="138"/>
      <c r="J234" s="138"/>
      <c r="K234" s="138"/>
      <c r="L234" s="138"/>
      <c r="M234" s="138"/>
      <c r="N234" s="138"/>
      <c r="O234" s="139"/>
      <c r="P234" s="138"/>
      <c r="Q234" s="107"/>
      <c r="R234" s="107"/>
    </row>
    <row r="235" spans="1:18" ht="15" customHeight="1">
      <c r="A235" s="17" t="s">
        <v>38</v>
      </c>
      <c r="B235" s="17" t="s">
        <v>342</v>
      </c>
      <c r="C235" s="18" t="s">
        <v>592</v>
      </c>
      <c r="D235" s="17" t="s">
        <v>40</v>
      </c>
      <c r="E235" s="17" t="s">
        <v>312</v>
      </c>
      <c r="F235" s="17" t="s">
        <v>30</v>
      </c>
      <c r="G235" s="298"/>
      <c r="H235" s="138"/>
      <c r="I235" s="138"/>
      <c r="J235" s="138"/>
      <c r="K235" s="138"/>
      <c r="L235" s="138"/>
      <c r="M235" s="138"/>
      <c r="N235" s="138"/>
      <c r="O235" s="139"/>
      <c r="P235" s="138"/>
      <c r="Q235" s="107"/>
      <c r="R235" s="107"/>
    </row>
    <row r="236" spans="1:18" ht="15" customHeight="1">
      <c r="A236" s="17" t="s">
        <v>359</v>
      </c>
      <c r="B236" s="17" t="s">
        <v>445</v>
      </c>
      <c r="C236" s="18" t="s">
        <v>635</v>
      </c>
      <c r="D236" s="17" t="s">
        <v>361</v>
      </c>
      <c r="E236" s="17" t="s">
        <v>270</v>
      </c>
      <c r="F236" s="17" t="s">
        <v>423</v>
      </c>
      <c r="G236" s="298"/>
      <c r="H236" s="138"/>
      <c r="I236" s="138"/>
      <c r="J236" s="138"/>
      <c r="K236" s="138"/>
      <c r="L236" s="138"/>
      <c r="M236" s="138"/>
      <c r="N236" s="138"/>
      <c r="O236" s="139"/>
      <c r="P236" s="138"/>
      <c r="Q236" s="107"/>
      <c r="R236" s="107"/>
    </row>
    <row r="237" spans="1:18" ht="15" customHeight="1">
      <c r="A237" s="17" t="s">
        <v>359</v>
      </c>
      <c r="B237" s="17" t="s">
        <v>360</v>
      </c>
      <c r="C237" s="18" t="s">
        <v>599</v>
      </c>
      <c r="D237" s="17" t="s">
        <v>361</v>
      </c>
      <c r="E237" s="17" t="s">
        <v>270</v>
      </c>
      <c r="F237" s="17" t="s">
        <v>484</v>
      </c>
      <c r="G237" s="298"/>
      <c r="H237" s="138"/>
      <c r="I237" s="138"/>
      <c r="J237" s="138"/>
      <c r="K237" s="138"/>
      <c r="L237" s="138"/>
      <c r="M237" s="138"/>
      <c r="N237" s="138"/>
      <c r="O237" s="139"/>
      <c r="P237" s="138"/>
      <c r="Q237" s="107"/>
      <c r="R237" s="107"/>
    </row>
    <row r="238" spans="1:18" ht="15" customHeight="1">
      <c r="A238" s="17" t="s">
        <v>38</v>
      </c>
      <c r="B238" s="17" t="s">
        <v>346</v>
      </c>
      <c r="C238" s="18" t="s">
        <v>600</v>
      </c>
      <c r="D238" s="17" t="s">
        <v>40</v>
      </c>
      <c r="E238" s="17" t="s">
        <v>312</v>
      </c>
      <c r="F238" s="17" t="s">
        <v>347</v>
      </c>
      <c r="G238" s="298"/>
      <c r="H238" s="138"/>
      <c r="I238" s="138"/>
      <c r="J238" s="138"/>
      <c r="K238" s="138"/>
      <c r="L238" s="138"/>
      <c r="M238" s="138"/>
      <c r="N238" s="138"/>
      <c r="O238" s="139"/>
      <c r="P238" s="138"/>
      <c r="Q238" s="107"/>
      <c r="R238" s="107"/>
    </row>
    <row r="239" spans="1:18" ht="15" customHeight="1">
      <c r="A239" s="17" t="s">
        <v>61</v>
      </c>
      <c r="B239" s="17" t="s">
        <v>371</v>
      </c>
      <c r="C239" s="18" t="s">
        <v>566</v>
      </c>
      <c r="D239" s="17" t="s">
        <v>63</v>
      </c>
      <c r="E239" s="17" t="s">
        <v>286</v>
      </c>
      <c r="F239" s="17" t="s">
        <v>365</v>
      </c>
      <c r="G239" s="298"/>
      <c r="H239" s="138"/>
      <c r="I239" s="138"/>
      <c r="J239" s="138"/>
      <c r="K239" s="138"/>
      <c r="L239" s="138"/>
      <c r="M239" s="138"/>
      <c r="N239" s="138"/>
      <c r="O239" s="139"/>
      <c r="P239" s="138"/>
      <c r="Q239" s="107"/>
      <c r="R239" s="107"/>
    </row>
    <row r="240" spans="1:18" ht="15" customHeight="1">
      <c r="A240" s="17" t="s">
        <v>61</v>
      </c>
      <c r="B240" s="17" t="s">
        <v>375</v>
      </c>
      <c r="C240" s="18" t="s">
        <v>553</v>
      </c>
      <c r="D240" s="17" t="s">
        <v>63</v>
      </c>
      <c r="E240" s="17" t="s">
        <v>267</v>
      </c>
      <c r="F240" s="17" t="s">
        <v>365</v>
      </c>
      <c r="G240" s="298"/>
      <c r="H240" s="138"/>
      <c r="I240" s="138"/>
      <c r="J240" s="138"/>
      <c r="K240" s="138"/>
      <c r="L240" s="138"/>
      <c r="M240" s="138"/>
      <c r="N240" s="138"/>
      <c r="O240" s="139"/>
      <c r="P240" s="138"/>
      <c r="Q240" s="107"/>
      <c r="R240" s="107"/>
    </row>
    <row r="241" spans="1:18" ht="15" customHeight="1">
      <c r="A241" s="17" t="s">
        <v>61</v>
      </c>
      <c r="B241" s="17" t="s">
        <v>377</v>
      </c>
      <c r="C241" s="18" t="s">
        <v>567</v>
      </c>
      <c r="D241" s="17" t="s">
        <v>63</v>
      </c>
      <c r="E241" s="17" t="s">
        <v>288</v>
      </c>
      <c r="F241" s="17" t="s">
        <v>365</v>
      </c>
      <c r="G241" s="298"/>
      <c r="H241" s="138"/>
      <c r="I241" s="138"/>
      <c r="J241" s="138"/>
      <c r="K241" s="138"/>
      <c r="L241" s="138"/>
      <c r="M241" s="138"/>
      <c r="N241" s="138"/>
      <c r="O241" s="139"/>
      <c r="P241" s="138"/>
      <c r="Q241" s="107"/>
      <c r="R241" s="107"/>
    </row>
    <row r="242" spans="1:18" ht="15" customHeight="1">
      <c r="A242" s="17" t="s">
        <v>38</v>
      </c>
      <c r="B242" s="17" t="s">
        <v>344</v>
      </c>
      <c r="C242" s="18" t="s">
        <v>593</v>
      </c>
      <c r="D242" s="17" t="s">
        <v>40</v>
      </c>
      <c r="E242" s="17" t="s">
        <v>332</v>
      </c>
      <c r="F242" s="17" t="s">
        <v>121</v>
      </c>
      <c r="G242" s="298"/>
      <c r="H242" s="138"/>
      <c r="I242" s="138"/>
      <c r="J242" s="138"/>
      <c r="K242" s="138"/>
      <c r="L242" s="138"/>
      <c r="M242" s="138"/>
      <c r="N242" s="138"/>
      <c r="O242" s="139"/>
      <c r="P242" s="138"/>
      <c r="Q242" s="107"/>
      <c r="R242" s="107"/>
    </row>
    <row r="243" spans="1:18" ht="15" customHeight="1" thickBot="1">
      <c r="A243" s="30" t="s">
        <v>26</v>
      </c>
      <c r="B243" s="30" t="s">
        <v>348</v>
      </c>
      <c r="C243" s="31" t="s">
        <v>595</v>
      </c>
      <c r="D243" s="30" t="s">
        <v>28</v>
      </c>
      <c r="E243" s="30" t="s">
        <v>267</v>
      </c>
      <c r="F243" s="30" t="s">
        <v>83</v>
      </c>
      <c r="G243" s="299"/>
      <c r="H243" s="140"/>
      <c r="I243" s="140"/>
      <c r="J243" s="140"/>
      <c r="K243" s="140"/>
      <c r="L243" s="140"/>
      <c r="M243" s="140"/>
      <c r="N243" s="140"/>
      <c r="O243" s="141"/>
      <c r="P243" s="140"/>
      <c r="Q243" s="142"/>
      <c r="R243" s="142"/>
    </row>
    <row r="244" spans="1:18" ht="17.45" customHeight="1" thickBot="1">
      <c r="A244" s="283"/>
      <c r="B244" s="284"/>
      <c r="C244" s="284"/>
      <c r="D244" s="284"/>
      <c r="E244" s="284"/>
      <c r="F244" s="284"/>
      <c r="G244" s="284"/>
      <c r="H244" s="284"/>
      <c r="I244" s="284"/>
      <c r="J244" s="284"/>
      <c r="K244" s="284"/>
      <c r="L244" s="284"/>
      <c r="M244" s="284"/>
      <c r="N244" s="284"/>
      <c r="O244" s="284"/>
      <c r="P244" s="284"/>
      <c r="Q244" s="284"/>
      <c r="R244" s="285"/>
    </row>
    <row r="245" spans="1:18" ht="22.15" customHeight="1" thickTop="1" thickBot="1">
      <c r="A245" s="279" t="s">
        <v>6</v>
      </c>
      <c r="B245" s="295"/>
      <c r="C245" s="295"/>
      <c r="D245" s="295"/>
      <c r="E245" s="295"/>
      <c r="F245" s="296"/>
      <c r="G245" s="32">
        <v>46033</v>
      </c>
      <c r="H245" s="278" t="s">
        <v>7</v>
      </c>
      <c r="I245" s="295"/>
      <c r="J245" s="295"/>
      <c r="K245" s="295"/>
      <c r="L245" s="295"/>
      <c r="M245" s="295"/>
      <c r="N245" s="295"/>
      <c r="O245" s="295"/>
      <c r="P245" s="295"/>
      <c r="Q245" s="295"/>
      <c r="R245" s="296"/>
    </row>
    <row r="246" spans="1:18" ht="24" customHeight="1">
      <c r="A246" s="33" t="s">
        <v>8</v>
      </c>
      <c r="B246" s="33" t="s">
        <v>9</v>
      </c>
      <c r="C246" s="34" t="s">
        <v>10</v>
      </c>
      <c r="D246" s="33" t="s">
        <v>11</v>
      </c>
      <c r="E246" s="33" t="s">
        <v>12</v>
      </c>
      <c r="F246" s="35" t="s">
        <v>13</v>
      </c>
      <c r="G246" s="36" t="s">
        <v>14</v>
      </c>
      <c r="H246" s="33" t="s">
        <v>15</v>
      </c>
      <c r="I246" s="37" t="s">
        <v>16</v>
      </c>
      <c r="J246" s="38" t="s">
        <v>17</v>
      </c>
      <c r="K246" s="39" t="s">
        <v>18</v>
      </c>
      <c r="L246" s="38" t="s">
        <v>19</v>
      </c>
      <c r="M246" s="38" t="s">
        <v>20</v>
      </c>
      <c r="N246" s="38" t="s">
        <v>21</v>
      </c>
      <c r="O246" s="33" t="s">
        <v>22</v>
      </c>
      <c r="P246" s="34" t="s">
        <v>23</v>
      </c>
      <c r="Q246" s="38" t="s">
        <v>24</v>
      </c>
      <c r="R246" s="33" t="s">
        <v>25</v>
      </c>
    </row>
    <row r="247" spans="1:18" ht="15" customHeight="1">
      <c r="A247" s="8" t="s">
        <v>359</v>
      </c>
      <c r="B247" s="8" t="s">
        <v>602</v>
      </c>
      <c r="C247" s="9">
        <v>0.3611111111111111</v>
      </c>
      <c r="D247" s="8" t="s">
        <v>603</v>
      </c>
      <c r="E247" s="8" t="s">
        <v>80</v>
      </c>
      <c r="F247" s="8" t="s">
        <v>617</v>
      </c>
      <c r="G247" s="297"/>
      <c r="H247" s="10"/>
      <c r="I247" s="11"/>
      <c r="J247" s="11"/>
      <c r="K247" s="11"/>
      <c r="L247" s="11"/>
      <c r="M247" s="11"/>
      <c r="N247" s="11"/>
      <c r="O247" s="12"/>
      <c r="P247" s="11"/>
      <c r="Q247" s="13"/>
      <c r="R247" s="14"/>
    </row>
    <row r="248" spans="1:18" ht="15" customHeight="1">
      <c r="A248" s="15" t="s">
        <v>359</v>
      </c>
      <c r="B248" s="15" t="s">
        <v>602</v>
      </c>
      <c r="C248" s="16">
        <v>0.3611111111111111</v>
      </c>
      <c r="D248" s="15" t="s">
        <v>605</v>
      </c>
      <c r="E248" s="15" t="s">
        <v>82</v>
      </c>
      <c r="F248" s="15" t="s">
        <v>626</v>
      </c>
      <c r="G248" s="298"/>
      <c r="H248" s="10"/>
      <c r="I248" s="11"/>
      <c r="J248" s="11"/>
      <c r="K248" s="11"/>
      <c r="L248" s="11"/>
      <c r="M248" s="11"/>
      <c r="N248" s="11"/>
      <c r="O248" s="12"/>
      <c r="P248" s="11"/>
      <c r="Q248" s="13"/>
      <c r="R248" s="14"/>
    </row>
    <row r="249" spans="1:18" ht="15" customHeight="1">
      <c r="A249" s="15" t="s">
        <v>359</v>
      </c>
      <c r="B249" s="15" t="s">
        <v>602</v>
      </c>
      <c r="C249" s="16">
        <v>0.3611111111111111</v>
      </c>
      <c r="D249" s="15" t="s">
        <v>46</v>
      </c>
      <c r="E249" s="15" t="s">
        <v>82</v>
      </c>
      <c r="F249" s="15" t="s">
        <v>627</v>
      </c>
      <c r="G249" s="298"/>
      <c r="H249" s="10"/>
      <c r="I249" s="11"/>
      <c r="J249" s="11"/>
      <c r="K249" s="11"/>
      <c r="L249" s="11"/>
      <c r="M249" s="11"/>
      <c r="N249" s="11"/>
      <c r="O249" s="12"/>
      <c r="P249" s="11"/>
      <c r="Q249" s="13"/>
      <c r="R249" s="14"/>
    </row>
    <row r="250" spans="1:18" ht="15" customHeight="1">
      <c r="A250" s="49" t="s">
        <v>61</v>
      </c>
      <c r="B250" s="49" t="s">
        <v>612</v>
      </c>
      <c r="C250" s="50">
        <v>0.49652777777777768</v>
      </c>
      <c r="D250" s="49" t="s">
        <v>63</v>
      </c>
      <c r="E250" s="49" t="s">
        <v>51</v>
      </c>
      <c r="F250" s="49" t="s">
        <v>79</v>
      </c>
      <c r="G250" s="298"/>
      <c r="H250" s="51" t="s">
        <v>613</v>
      </c>
      <c r="I250" s="52">
        <v>5.5999999999999999E-3</v>
      </c>
      <c r="J250" s="53">
        <v>1</v>
      </c>
      <c r="K250" s="54">
        <v>46331</v>
      </c>
      <c r="L250" s="53">
        <v>3</v>
      </c>
      <c r="M250" s="53">
        <v>0</v>
      </c>
      <c r="N250" s="53">
        <v>0</v>
      </c>
      <c r="O250" s="55" t="s">
        <v>292</v>
      </c>
      <c r="P250" s="56">
        <v>0.49652777777777768</v>
      </c>
      <c r="Q250" s="53">
        <v>180</v>
      </c>
      <c r="R250" s="57" t="s">
        <v>302</v>
      </c>
    </row>
    <row r="251" spans="1:18" ht="15" customHeight="1">
      <c r="A251" s="162" t="s">
        <v>61</v>
      </c>
      <c r="B251" s="162" t="s">
        <v>629</v>
      </c>
      <c r="C251" s="163">
        <v>0.57986111111111105</v>
      </c>
      <c r="D251" s="162" t="s">
        <v>63</v>
      </c>
      <c r="E251" s="162" t="s">
        <v>57</v>
      </c>
      <c r="F251" s="162" t="s">
        <v>79</v>
      </c>
      <c r="G251" s="298"/>
      <c r="H251" s="60" t="s">
        <v>630</v>
      </c>
      <c r="I251" s="61">
        <v>0</v>
      </c>
      <c r="J251" s="62">
        <v>0</v>
      </c>
      <c r="K251" s="63" t="s">
        <v>66</v>
      </c>
      <c r="L251" s="62">
        <v>0</v>
      </c>
      <c r="M251" s="62">
        <v>0</v>
      </c>
      <c r="N251" s="62">
        <v>0</v>
      </c>
      <c r="O251" s="64" t="s">
        <v>292</v>
      </c>
      <c r="P251" s="65">
        <v>0.57986111111111105</v>
      </c>
      <c r="Q251" s="62">
        <v>180</v>
      </c>
      <c r="R251" s="66" t="s">
        <v>66</v>
      </c>
    </row>
    <row r="252" spans="1:18" ht="15" customHeight="1">
      <c r="A252" s="19" t="s">
        <v>48</v>
      </c>
      <c r="B252" s="19" t="s">
        <v>611</v>
      </c>
      <c r="C252" s="20">
        <v>0.81944444444444453</v>
      </c>
      <c r="D252" s="19" t="s">
        <v>50</v>
      </c>
      <c r="E252" s="19" t="s">
        <v>51</v>
      </c>
      <c r="F252" s="19" t="s">
        <v>133</v>
      </c>
      <c r="G252" s="298"/>
      <c r="H252" s="10"/>
      <c r="I252" s="11"/>
      <c r="J252" s="11"/>
      <c r="K252" s="11"/>
      <c r="L252" s="11"/>
      <c r="M252" s="11"/>
      <c r="N252" s="11"/>
      <c r="O252" s="12"/>
      <c r="P252" s="11"/>
      <c r="Q252" s="13"/>
      <c r="R252" s="14"/>
    </row>
    <row r="253" spans="1:18" ht="15" customHeight="1">
      <c r="A253" s="15" t="s">
        <v>48</v>
      </c>
      <c r="B253" s="15" t="s">
        <v>611</v>
      </c>
      <c r="C253" s="16">
        <v>0.81944444444444453</v>
      </c>
      <c r="D253" s="15" t="s">
        <v>53</v>
      </c>
      <c r="E253" s="15" t="s">
        <v>54</v>
      </c>
      <c r="F253" s="15" t="s">
        <v>610</v>
      </c>
      <c r="G253" s="298"/>
      <c r="H253" s="10"/>
      <c r="I253" s="11"/>
      <c r="J253" s="11"/>
      <c r="K253" s="11"/>
      <c r="L253" s="11"/>
      <c r="M253" s="11"/>
      <c r="N253" s="11"/>
      <c r="O253" s="12"/>
      <c r="P253" s="11"/>
      <c r="Q253" s="13"/>
      <c r="R253" s="14"/>
    </row>
    <row r="254" spans="1:18" ht="18">
      <c r="A254" s="292" t="s">
        <v>615</v>
      </c>
      <c r="B254" s="303"/>
      <c r="C254" s="303"/>
      <c r="D254" s="303"/>
      <c r="E254" s="303"/>
      <c r="F254" s="304"/>
      <c r="G254" s="298"/>
      <c r="H254" s="138"/>
      <c r="I254" s="138"/>
      <c r="J254" s="138"/>
      <c r="K254" s="138"/>
      <c r="L254" s="138"/>
      <c r="M254" s="138"/>
      <c r="N254" s="138"/>
      <c r="O254" s="139"/>
      <c r="P254" s="138"/>
      <c r="Q254" s="107"/>
      <c r="R254" s="107"/>
    </row>
    <row r="255" spans="1:18" ht="15" customHeight="1">
      <c r="A255" s="17" t="s">
        <v>38</v>
      </c>
      <c r="B255" s="17" t="s">
        <v>344</v>
      </c>
      <c r="C255" s="18" t="s">
        <v>593</v>
      </c>
      <c r="D255" s="17" t="s">
        <v>40</v>
      </c>
      <c r="E255" s="17" t="s">
        <v>268</v>
      </c>
      <c r="F255" s="17" t="s">
        <v>81</v>
      </c>
      <c r="G255" s="298"/>
      <c r="H255" s="138"/>
      <c r="I255" s="138"/>
      <c r="J255" s="138"/>
      <c r="K255" s="138"/>
      <c r="L255" s="138"/>
      <c r="M255" s="138"/>
      <c r="N255" s="138"/>
      <c r="O255" s="139"/>
      <c r="P255" s="138"/>
      <c r="Q255" s="107"/>
      <c r="R255" s="107"/>
    </row>
    <row r="256" spans="1:18" ht="15" customHeight="1">
      <c r="A256" s="17" t="s">
        <v>38</v>
      </c>
      <c r="B256" s="17" t="s">
        <v>345</v>
      </c>
      <c r="C256" s="18" t="s">
        <v>594</v>
      </c>
      <c r="D256" s="17" t="s">
        <v>40</v>
      </c>
      <c r="E256" s="17" t="s">
        <v>268</v>
      </c>
      <c r="F256" s="17" t="s">
        <v>81</v>
      </c>
      <c r="G256" s="298"/>
      <c r="H256" s="138"/>
      <c r="I256" s="138"/>
      <c r="J256" s="138"/>
      <c r="K256" s="138"/>
      <c r="L256" s="138"/>
      <c r="M256" s="138"/>
      <c r="N256" s="138"/>
      <c r="O256" s="139"/>
      <c r="P256" s="138"/>
      <c r="Q256" s="107"/>
      <c r="R256" s="107"/>
    </row>
    <row r="257" spans="1:18" ht="15" customHeight="1">
      <c r="A257" s="17" t="s">
        <v>38</v>
      </c>
      <c r="B257" s="17" t="s">
        <v>346</v>
      </c>
      <c r="C257" s="18" t="s">
        <v>600</v>
      </c>
      <c r="D257" s="17" t="s">
        <v>40</v>
      </c>
      <c r="E257" s="17" t="s">
        <v>268</v>
      </c>
      <c r="F257" s="17" t="s">
        <v>30</v>
      </c>
      <c r="G257" s="298"/>
      <c r="H257" s="138"/>
      <c r="I257" s="138"/>
      <c r="J257" s="138"/>
      <c r="K257" s="138"/>
      <c r="L257" s="138"/>
      <c r="M257" s="138"/>
      <c r="N257" s="138"/>
      <c r="O257" s="139"/>
      <c r="P257" s="138"/>
      <c r="Q257" s="107"/>
      <c r="R257" s="107"/>
    </row>
    <row r="258" spans="1:18" ht="15" customHeight="1">
      <c r="A258" s="17" t="s">
        <v>38</v>
      </c>
      <c r="B258" s="17" t="s">
        <v>342</v>
      </c>
      <c r="C258" s="18" t="s">
        <v>592</v>
      </c>
      <c r="D258" s="17" t="s">
        <v>40</v>
      </c>
      <c r="E258" s="17" t="s">
        <v>287</v>
      </c>
      <c r="F258" s="17" t="s">
        <v>30</v>
      </c>
      <c r="G258" s="298"/>
      <c r="H258" s="138"/>
      <c r="I258" s="138"/>
      <c r="J258" s="138"/>
      <c r="K258" s="138"/>
      <c r="L258" s="138"/>
      <c r="M258" s="138"/>
      <c r="N258" s="138"/>
      <c r="O258" s="139"/>
      <c r="P258" s="138"/>
      <c r="Q258" s="107"/>
      <c r="R258" s="107"/>
    </row>
    <row r="259" spans="1:18" ht="15" customHeight="1">
      <c r="A259" s="17" t="s">
        <v>359</v>
      </c>
      <c r="B259" s="17" t="s">
        <v>360</v>
      </c>
      <c r="C259" s="18" t="s">
        <v>257</v>
      </c>
      <c r="D259" s="17" t="s">
        <v>361</v>
      </c>
      <c r="E259" s="17" t="s">
        <v>270</v>
      </c>
      <c r="F259" s="17" t="s">
        <v>423</v>
      </c>
      <c r="G259" s="298"/>
      <c r="H259" s="138"/>
      <c r="I259" s="138"/>
      <c r="J259" s="138"/>
      <c r="K259" s="138"/>
      <c r="L259" s="138"/>
      <c r="M259" s="138"/>
      <c r="N259" s="138"/>
      <c r="O259" s="139"/>
      <c r="P259" s="138"/>
      <c r="Q259" s="107"/>
      <c r="R259" s="107"/>
    </row>
    <row r="260" spans="1:18" ht="15" customHeight="1">
      <c r="A260" s="17" t="s">
        <v>61</v>
      </c>
      <c r="B260" s="17" t="s">
        <v>432</v>
      </c>
      <c r="C260" s="18" t="s">
        <v>572</v>
      </c>
      <c r="D260" s="17" t="s">
        <v>63</v>
      </c>
      <c r="E260" s="17" t="s">
        <v>277</v>
      </c>
      <c r="F260" s="17" t="s">
        <v>365</v>
      </c>
      <c r="G260" s="298"/>
      <c r="H260" s="138"/>
      <c r="I260" s="138"/>
      <c r="J260" s="138"/>
      <c r="K260" s="138"/>
      <c r="L260" s="138"/>
      <c r="M260" s="138"/>
      <c r="N260" s="138"/>
      <c r="O260" s="139"/>
      <c r="P260" s="138"/>
      <c r="Q260" s="107"/>
      <c r="R260" s="107"/>
    </row>
    <row r="261" spans="1:18" ht="15" customHeight="1">
      <c r="A261" s="17" t="s">
        <v>61</v>
      </c>
      <c r="B261" s="17" t="s">
        <v>375</v>
      </c>
      <c r="C261" s="18" t="s">
        <v>561</v>
      </c>
      <c r="D261" s="17" t="s">
        <v>63</v>
      </c>
      <c r="E261" s="17" t="s">
        <v>286</v>
      </c>
      <c r="F261" s="17" t="s">
        <v>365</v>
      </c>
      <c r="G261" s="298"/>
      <c r="H261" s="138"/>
      <c r="I261" s="138"/>
      <c r="J261" s="138"/>
      <c r="K261" s="138"/>
      <c r="L261" s="138"/>
      <c r="M261" s="138"/>
      <c r="N261" s="138"/>
      <c r="O261" s="139"/>
      <c r="P261" s="138"/>
      <c r="Q261" s="107"/>
      <c r="R261" s="107"/>
    </row>
    <row r="262" spans="1:18" ht="15" customHeight="1">
      <c r="A262" s="17" t="s">
        <v>61</v>
      </c>
      <c r="B262" s="17" t="s">
        <v>377</v>
      </c>
      <c r="C262" s="18" t="s">
        <v>573</v>
      </c>
      <c r="D262" s="17" t="s">
        <v>63</v>
      </c>
      <c r="E262" s="17" t="s">
        <v>277</v>
      </c>
      <c r="F262" s="17" t="s">
        <v>365</v>
      </c>
      <c r="G262" s="298"/>
      <c r="H262" s="138"/>
      <c r="I262" s="138"/>
      <c r="J262" s="138"/>
      <c r="K262" s="138"/>
      <c r="L262" s="138"/>
      <c r="M262" s="138"/>
      <c r="N262" s="138"/>
      <c r="O262" s="139"/>
      <c r="P262" s="138"/>
      <c r="Q262" s="107"/>
      <c r="R262" s="107"/>
    </row>
    <row r="263" spans="1:18" ht="15" customHeight="1">
      <c r="A263" s="17" t="s">
        <v>61</v>
      </c>
      <c r="B263" s="17" t="s">
        <v>379</v>
      </c>
      <c r="C263" s="18" t="s">
        <v>574</v>
      </c>
      <c r="D263" s="17" t="s">
        <v>63</v>
      </c>
      <c r="E263" s="17" t="s">
        <v>286</v>
      </c>
      <c r="F263" s="17" t="s">
        <v>365</v>
      </c>
      <c r="G263" s="298"/>
      <c r="H263" s="138"/>
      <c r="I263" s="138"/>
      <c r="J263" s="138"/>
      <c r="K263" s="138"/>
      <c r="L263" s="138"/>
      <c r="M263" s="138"/>
      <c r="N263" s="138"/>
      <c r="O263" s="139"/>
      <c r="P263" s="138"/>
      <c r="Q263" s="107"/>
      <c r="R263" s="107"/>
    </row>
    <row r="264" spans="1:18" ht="15" customHeight="1" thickBot="1">
      <c r="A264" s="30" t="s">
        <v>26</v>
      </c>
      <c r="B264" s="30" t="s">
        <v>348</v>
      </c>
      <c r="C264" s="31" t="s">
        <v>595</v>
      </c>
      <c r="D264" s="30" t="s">
        <v>28</v>
      </c>
      <c r="E264" s="30" t="s">
        <v>267</v>
      </c>
      <c r="F264" s="30" t="s">
        <v>83</v>
      </c>
      <c r="G264" s="299"/>
      <c r="H264" s="140"/>
      <c r="I264" s="140"/>
      <c r="J264" s="140"/>
      <c r="K264" s="140"/>
      <c r="L264" s="140"/>
      <c r="M264" s="140"/>
      <c r="N264" s="140"/>
      <c r="O264" s="141"/>
      <c r="P264" s="140"/>
      <c r="Q264" s="142"/>
      <c r="R264" s="142"/>
    </row>
    <row r="265" spans="1:18" ht="17.45" customHeight="1" thickBot="1">
      <c r="A265" s="283"/>
      <c r="B265" s="284"/>
      <c r="C265" s="284"/>
      <c r="D265" s="284"/>
      <c r="E265" s="284"/>
      <c r="F265" s="284"/>
      <c r="G265" s="284"/>
      <c r="H265" s="284"/>
      <c r="I265" s="284"/>
      <c r="J265" s="284"/>
      <c r="K265" s="284"/>
      <c r="L265" s="284"/>
      <c r="M265" s="284"/>
      <c r="N265" s="284"/>
      <c r="O265" s="284"/>
      <c r="P265" s="284"/>
      <c r="Q265" s="284"/>
      <c r="R265" s="285"/>
    </row>
    <row r="266" spans="1:18" ht="22.15" customHeight="1" thickTop="1" thickBot="1">
      <c r="A266" s="279" t="s">
        <v>6</v>
      </c>
      <c r="B266" s="295"/>
      <c r="C266" s="295"/>
      <c r="D266" s="295"/>
      <c r="E266" s="295"/>
      <c r="F266" s="296"/>
      <c r="G266" s="32">
        <v>46034</v>
      </c>
      <c r="H266" s="278" t="s">
        <v>7</v>
      </c>
      <c r="I266" s="295"/>
      <c r="J266" s="295"/>
      <c r="K266" s="295"/>
      <c r="L266" s="295"/>
      <c r="M266" s="295"/>
      <c r="N266" s="295"/>
      <c r="O266" s="295"/>
      <c r="P266" s="295"/>
      <c r="Q266" s="295"/>
      <c r="R266" s="296"/>
    </row>
    <row r="267" spans="1:18" ht="24" customHeight="1">
      <c r="A267" s="33" t="s">
        <v>8</v>
      </c>
      <c r="B267" s="33" t="s">
        <v>9</v>
      </c>
      <c r="C267" s="34" t="s">
        <v>10</v>
      </c>
      <c r="D267" s="33" t="s">
        <v>11</v>
      </c>
      <c r="E267" s="33" t="s">
        <v>12</v>
      </c>
      <c r="F267" s="35" t="s">
        <v>13</v>
      </c>
      <c r="G267" s="36" t="s">
        <v>14</v>
      </c>
      <c r="H267" s="33" t="s">
        <v>15</v>
      </c>
      <c r="I267" s="37" t="s">
        <v>16</v>
      </c>
      <c r="J267" s="38" t="s">
        <v>17</v>
      </c>
      <c r="K267" s="39" t="s">
        <v>18</v>
      </c>
      <c r="L267" s="38" t="s">
        <v>19</v>
      </c>
      <c r="M267" s="38" t="s">
        <v>20</v>
      </c>
      <c r="N267" s="38" t="s">
        <v>21</v>
      </c>
      <c r="O267" s="33" t="s">
        <v>22</v>
      </c>
      <c r="P267" s="34" t="s">
        <v>23</v>
      </c>
      <c r="Q267" s="38" t="s">
        <v>24</v>
      </c>
      <c r="R267" s="33" t="s">
        <v>25</v>
      </c>
    </row>
    <row r="268" spans="1:18" ht="15" customHeight="1">
      <c r="A268" s="8" t="s">
        <v>359</v>
      </c>
      <c r="B268" s="8" t="s">
        <v>637</v>
      </c>
      <c r="C268" s="9">
        <v>0.12847222222222221</v>
      </c>
      <c r="D268" s="8" t="s">
        <v>603</v>
      </c>
      <c r="E268" s="8" t="s">
        <v>80</v>
      </c>
      <c r="F268" s="8" t="s">
        <v>604</v>
      </c>
      <c r="G268" s="297"/>
      <c r="H268" s="10"/>
      <c r="I268" s="11"/>
      <c r="J268" s="11"/>
      <c r="K268" s="11"/>
      <c r="L268" s="11"/>
      <c r="M268" s="11"/>
      <c r="N268" s="11"/>
      <c r="O268" s="12"/>
      <c r="P268" s="11"/>
      <c r="Q268" s="13"/>
      <c r="R268" s="14"/>
    </row>
    <row r="269" spans="1:18" ht="15" customHeight="1">
      <c r="A269" s="15" t="s">
        <v>359</v>
      </c>
      <c r="B269" s="15" t="s">
        <v>637</v>
      </c>
      <c r="C269" s="16">
        <v>0.12847222222222221</v>
      </c>
      <c r="D269" s="15" t="s">
        <v>605</v>
      </c>
      <c r="E269" s="15" t="s">
        <v>82</v>
      </c>
      <c r="F269" s="15" t="s">
        <v>606</v>
      </c>
      <c r="G269" s="298"/>
      <c r="H269" s="10"/>
      <c r="I269" s="11"/>
      <c r="J269" s="11"/>
      <c r="K269" s="11"/>
      <c r="L269" s="11"/>
      <c r="M269" s="11"/>
      <c r="N269" s="11"/>
      <c r="O269" s="12"/>
      <c r="P269" s="11"/>
      <c r="Q269" s="13"/>
      <c r="R269" s="14"/>
    </row>
    <row r="270" spans="1:18" ht="15" customHeight="1">
      <c r="A270" s="15" t="s">
        <v>359</v>
      </c>
      <c r="B270" s="15" t="s">
        <v>637</v>
      </c>
      <c r="C270" s="16">
        <v>0.12847222222222221</v>
      </c>
      <c r="D270" s="15" t="s">
        <v>46</v>
      </c>
      <c r="E270" s="15" t="s">
        <v>82</v>
      </c>
      <c r="F270" s="15" t="s">
        <v>607</v>
      </c>
      <c r="G270" s="298"/>
      <c r="H270" s="10"/>
      <c r="I270" s="11"/>
      <c r="J270" s="11"/>
      <c r="K270" s="11"/>
      <c r="L270" s="11"/>
      <c r="M270" s="11"/>
      <c r="N270" s="11"/>
      <c r="O270" s="12"/>
      <c r="P270" s="11"/>
      <c r="Q270" s="13"/>
      <c r="R270" s="14"/>
    </row>
    <row r="271" spans="1:18" ht="15" customHeight="1">
      <c r="A271" s="67" t="s">
        <v>61</v>
      </c>
      <c r="B271" s="67" t="s">
        <v>612</v>
      </c>
      <c r="C271" s="68">
        <v>0.45833333333333331</v>
      </c>
      <c r="D271" s="67" t="s">
        <v>63</v>
      </c>
      <c r="E271" s="67" t="s">
        <v>51</v>
      </c>
      <c r="F271" s="67" t="s">
        <v>79</v>
      </c>
      <c r="G271" s="298"/>
      <c r="H271" s="69" t="s">
        <v>613</v>
      </c>
      <c r="I271" s="70">
        <v>0</v>
      </c>
      <c r="J271" s="71">
        <v>0</v>
      </c>
      <c r="K271" s="72" t="s">
        <v>66</v>
      </c>
      <c r="L271" s="71">
        <v>0</v>
      </c>
      <c r="M271" s="71">
        <v>0</v>
      </c>
      <c r="N271" s="71">
        <v>0</v>
      </c>
      <c r="O271" s="73" t="s">
        <v>292</v>
      </c>
      <c r="P271" s="74">
        <v>0.45833333333333331</v>
      </c>
      <c r="Q271" s="71">
        <v>180</v>
      </c>
      <c r="R271" s="75" t="s">
        <v>66</v>
      </c>
    </row>
    <row r="272" spans="1:18" ht="15" customHeight="1">
      <c r="A272" s="158" t="s">
        <v>61</v>
      </c>
      <c r="B272" s="158" t="s">
        <v>629</v>
      </c>
      <c r="C272" s="159">
        <v>0.14930555555555561</v>
      </c>
      <c r="D272" s="158" t="s">
        <v>63</v>
      </c>
      <c r="E272" s="158" t="s">
        <v>57</v>
      </c>
      <c r="F272" s="158" t="s">
        <v>79</v>
      </c>
      <c r="G272" s="298"/>
      <c r="H272" s="89" t="s">
        <v>630</v>
      </c>
      <c r="I272" s="90">
        <v>0</v>
      </c>
      <c r="J272" s="91">
        <v>0</v>
      </c>
      <c r="K272" s="92" t="s">
        <v>66</v>
      </c>
      <c r="L272" s="91">
        <v>0</v>
      </c>
      <c r="M272" s="91">
        <v>0</v>
      </c>
      <c r="N272" s="91">
        <v>0</v>
      </c>
      <c r="O272" s="93" t="s">
        <v>292</v>
      </c>
      <c r="P272" s="94">
        <v>0.14930555555555561</v>
      </c>
      <c r="Q272" s="91">
        <v>180</v>
      </c>
      <c r="R272" s="95" t="s">
        <v>66</v>
      </c>
    </row>
    <row r="273" spans="1:18" ht="15" customHeight="1">
      <c r="A273" s="19" t="s">
        <v>48</v>
      </c>
      <c r="B273" s="19" t="s">
        <v>611</v>
      </c>
      <c r="C273" s="20">
        <v>0.81944444444444453</v>
      </c>
      <c r="D273" s="19" t="s">
        <v>50</v>
      </c>
      <c r="E273" s="19" t="s">
        <v>126</v>
      </c>
      <c r="F273" s="19" t="s">
        <v>649</v>
      </c>
      <c r="G273" s="298"/>
      <c r="H273" s="10"/>
      <c r="I273" s="11"/>
      <c r="J273" s="11"/>
      <c r="K273" s="11"/>
      <c r="L273" s="11"/>
      <c r="M273" s="11"/>
      <c r="N273" s="11"/>
      <c r="O273" s="12"/>
      <c r="P273" s="11"/>
      <c r="Q273" s="13"/>
      <c r="R273" s="14"/>
    </row>
    <row r="274" spans="1:18" ht="15" customHeight="1">
      <c r="A274" s="15" t="s">
        <v>48</v>
      </c>
      <c r="B274" s="15" t="s">
        <v>611</v>
      </c>
      <c r="C274" s="16">
        <v>0.81944444444444453</v>
      </c>
      <c r="D274" s="15" t="s">
        <v>53</v>
      </c>
      <c r="E274" s="15" t="s">
        <v>127</v>
      </c>
      <c r="F274" s="15" t="s">
        <v>650</v>
      </c>
      <c r="G274" s="298"/>
      <c r="H274" s="10"/>
      <c r="I274" s="11"/>
      <c r="J274" s="11"/>
      <c r="K274" s="11"/>
      <c r="L274" s="11"/>
      <c r="M274" s="11"/>
      <c r="N274" s="11"/>
      <c r="O274" s="12"/>
      <c r="P274" s="11"/>
      <c r="Q274" s="13"/>
      <c r="R274" s="14"/>
    </row>
    <row r="275" spans="1:18" ht="18">
      <c r="A275" s="292" t="s">
        <v>615</v>
      </c>
      <c r="B275" s="303"/>
      <c r="C275" s="303"/>
      <c r="D275" s="303"/>
      <c r="E275" s="303"/>
      <c r="F275" s="304"/>
      <c r="G275" s="298"/>
      <c r="H275" s="138"/>
      <c r="I275" s="138"/>
      <c r="J275" s="138"/>
      <c r="K275" s="138"/>
      <c r="L275" s="138"/>
      <c r="M275" s="138"/>
      <c r="N275" s="138"/>
      <c r="O275" s="139"/>
      <c r="P275" s="138"/>
      <c r="Q275" s="107"/>
      <c r="R275" s="107"/>
    </row>
    <row r="276" spans="1:18" ht="15" customHeight="1">
      <c r="A276" s="17" t="s">
        <v>38</v>
      </c>
      <c r="B276" s="17" t="s">
        <v>342</v>
      </c>
      <c r="C276" s="18" t="s">
        <v>592</v>
      </c>
      <c r="D276" s="17" t="s">
        <v>40</v>
      </c>
      <c r="E276" s="17" t="s">
        <v>295</v>
      </c>
      <c r="F276" s="17" t="s">
        <v>475</v>
      </c>
      <c r="G276" s="298"/>
      <c r="H276" s="138"/>
      <c r="I276" s="138"/>
      <c r="J276" s="138"/>
      <c r="K276" s="138"/>
      <c r="L276" s="138"/>
      <c r="M276" s="138"/>
      <c r="N276" s="138"/>
      <c r="O276" s="139"/>
      <c r="P276" s="138"/>
      <c r="Q276" s="107"/>
      <c r="R276" s="107"/>
    </row>
    <row r="277" spans="1:18" ht="15" customHeight="1">
      <c r="A277" s="17" t="s">
        <v>38</v>
      </c>
      <c r="B277" s="17" t="s">
        <v>344</v>
      </c>
      <c r="C277" s="18" t="s">
        <v>593</v>
      </c>
      <c r="D277" s="17" t="s">
        <v>40</v>
      </c>
      <c r="E277" s="17" t="s">
        <v>284</v>
      </c>
      <c r="F277" s="17" t="s">
        <v>30</v>
      </c>
      <c r="G277" s="298"/>
      <c r="H277" s="138"/>
      <c r="I277" s="138"/>
      <c r="J277" s="138"/>
      <c r="K277" s="138"/>
      <c r="L277" s="138"/>
      <c r="M277" s="138"/>
      <c r="N277" s="138"/>
      <c r="O277" s="139"/>
      <c r="P277" s="138"/>
      <c r="Q277" s="107"/>
      <c r="R277" s="107"/>
    </row>
    <row r="278" spans="1:18" ht="15" customHeight="1">
      <c r="A278" s="17" t="s">
        <v>359</v>
      </c>
      <c r="B278" s="17" t="s">
        <v>360</v>
      </c>
      <c r="C278" s="18" t="s">
        <v>619</v>
      </c>
      <c r="D278" s="17" t="s">
        <v>361</v>
      </c>
      <c r="E278" s="17" t="s">
        <v>270</v>
      </c>
      <c r="F278" s="17" t="s">
        <v>362</v>
      </c>
      <c r="G278" s="298"/>
      <c r="H278" s="138"/>
      <c r="I278" s="138"/>
      <c r="J278" s="138"/>
      <c r="K278" s="138"/>
      <c r="L278" s="138"/>
      <c r="M278" s="138"/>
      <c r="N278" s="138"/>
      <c r="O278" s="139"/>
      <c r="P278" s="138"/>
      <c r="Q278" s="107"/>
      <c r="R278" s="107"/>
    </row>
    <row r="279" spans="1:18" ht="15" customHeight="1">
      <c r="A279" s="17" t="s">
        <v>359</v>
      </c>
      <c r="B279" s="17" t="s">
        <v>445</v>
      </c>
      <c r="C279" s="18" t="s">
        <v>641</v>
      </c>
      <c r="D279" s="17" t="s">
        <v>361</v>
      </c>
      <c r="E279" s="17" t="s">
        <v>270</v>
      </c>
      <c r="F279" s="17" t="s">
        <v>362</v>
      </c>
      <c r="G279" s="298"/>
      <c r="H279" s="138"/>
      <c r="I279" s="138"/>
      <c r="J279" s="138"/>
      <c r="K279" s="138"/>
      <c r="L279" s="138"/>
      <c r="M279" s="138"/>
      <c r="N279" s="138"/>
      <c r="O279" s="139"/>
      <c r="P279" s="138"/>
      <c r="Q279" s="107"/>
      <c r="R279" s="107"/>
    </row>
    <row r="280" spans="1:18" ht="15" customHeight="1">
      <c r="A280" s="17" t="s">
        <v>38</v>
      </c>
      <c r="B280" s="17" t="s">
        <v>346</v>
      </c>
      <c r="C280" s="18" t="s">
        <v>600</v>
      </c>
      <c r="D280" s="17" t="s">
        <v>440</v>
      </c>
      <c r="E280" s="17" t="s">
        <v>268</v>
      </c>
      <c r="F280" s="17" t="s">
        <v>347</v>
      </c>
      <c r="G280" s="298"/>
      <c r="H280" s="138"/>
      <c r="I280" s="138"/>
      <c r="J280" s="138"/>
      <c r="K280" s="138"/>
      <c r="L280" s="138"/>
      <c r="M280" s="138"/>
      <c r="N280" s="138"/>
      <c r="O280" s="139"/>
      <c r="P280" s="138"/>
      <c r="Q280" s="107"/>
      <c r="R280" s="107"/>
    </row>
    <row r="281" spans="1:18" ht="15" customHeight="1">
      <c r="A281" s="17" t="s">
        <v>38</v>
      </c>
      <c r="B281" s="17" t="s">
        <v>345</v>
      </c>
      <c r="C281" s="18" t="s">
        <v>594</v>
      </c>
      <c r="D281" s="17" t="s">
        <v>40</v>
      </c>
      <c r="E281" s="17" t="s">
        <v>268</v>
      </c>
      <c r="F281" s="17" t="s">
        <v>347</v>
      </c>
      <c r="G281" s="298"/>
      <c r="H281" s="138"/>
      <c r="I281" s="138"/>
      <c r="J281" s="138"/>
      <c r="K281" s="138"/>
      <c r="L281" s="138"/>
      <c r="M281" s="138"/>
      <c r="N281" s="138"/>
      <c r="O281" s="139"/>
      <c r="P281" s="138"/>
      <c r="Q281" s="107"/>
      <c r="R281" s="107"/>
    </row>
    <row r="282" spans="1:18" ht="15" customHeight="1">
      <c r="A282" s="17" t="s">
        <v>61</v>
      </c>
      <c r="B282" s="17" t="s">
        <v>432</v>
      </c>
      <c r="C282" s="18" t="s">
        <v>334</v>
      </c>
      <c r="D282" s="17" t="s">
        <v>63</v>
      </c>
      <c r="E282" s="17" t="s">
        <v>277</v>
      </c>
      <c r="F282" s="17" t="s">
        <v>365</v>
      </c>
      <c r="G282" s="298"/>
      <c r="H282" s="138"/>
      <c r="I282" s="138"/>
      <c r="J282" s="138"/>
      <c r="K282" s="138"/>
      <c r="L282" s="138"/>
      <c r="M282" s="138"/>
      <c r="N282" s="138"/>
      <c r="O282" s="139"/>
      <c r="P282" s="138"/>
      <c r="Q282" s="107"/>
      <c r="R282" s="107"/>
    </row>
    <row r="283" spans="1:18" ht="15" customHeight="1">
      <c r="A283" s="17" t="s">
        <v>61</v>
      </c>
      <c r="B283" s="17" t="s">
        <v>375</v>
      </c>
      <c r="C283" s="18" t="s">
        <v>575</v>
      </c>
      <c r="D283" s="17" t="s">
        <v>63</v>
      </c>
      <c r="E283" s="17" t="s">
        <v>267</v>
      </c>
      <c r="F283" s="17" t="s">
        <v>365</v>
      </c>
      <c r="G283" s="298"/>
      <c r="H283" s="138"/>
      <c r="I283" s="138"/>
      <c r="J283" s="138"/>
      <c r="K283" s="138"/>
      <c r="L283" s="138"/>
      <c r="M283" s="138"/>
      <c r="N283" s="138"/>
      <c r="O283" s="139"/>
      <c r="P283" s="138"/>
      <c r="Q283" s="107"/>
      <c r="R283" s="107"/>
    </row>
    <row r="284" spans="1:18" ht="15" customHeight="1">
      <c r="A284" s="17" t="s">
        <v>61</v>
      </c>
      <c r="B284" s="17" t="s">
        <v>377</v>
      </c>
      <c r="C284" s="18" t="s">
        <v>563</v>
      </c>
      <c r="D284" s="17" t="s">
        <v>63</v>
      </c>
      <c r="E284" s="17" t="s">
        <v>267</v>
      </c>
      <c r="F284" s="17" t="s">
        <v>365</v>
      </c>
      <c r="G284" s="298"/>
      <c r="H284" s="138"/>
      <c r="I284" s="138"/>
      <c r="J284" s="138"/>
      <c r="K284" s="138"/>
      <c r="L284" s="138"/>
      <c r="M284" s="138"/>
      <c r="N284" s="138"/>
      <c r="O284" s="139"/>
      <c r="P284" s="138"/>
      <c r="Q284" s="107"/>
      <c r="R284" s="107"/>
    </row>
    <row r="285" spans="1:18" ht="15" customHeight="1" thickBot="1">
      <c r="A285" s="30" t="s">
        <v>38</v>
      </c>
      <c r="B285" s="30" t="s">
        <v>342</v>
      </c>
      <c r="C285" s="31" t="s">
        <v>592</v>
      </c>
      <c r="D285" s="30" t="s">
        <v>43</v>
      </c>
      <c r="E285" s="30" t="s">
        <v>295</v>
      </c>
      <c r="F285" s="30" t="s">
        <v>121</v>
      </c>
      <c r="G285" s="299"/>
      <c r="H285" s="140"/>
      <c r="I285" s="140"/>
      <c r="J285" s="140"/>
      <c r="K285" s="140"/>
      <c r="L285" s="140"/>
      <c r="M285" s="140"/>
      <c r="N285" s="140"/>
      <c r="O285" s="141"/>
      <c r="P285" s="140"/>
      <c r="Q285" s="142"/>
      <c r="R285" s="142"/>
    </row>
    <row r="286" spans="1:18" ht="17.45" customHeight="1" thickBot="1">
      <c r="A286" s="283"/>
      <c r="B286" s="284"/>
      <c r="C286" s="284"/>
      <c r="D286" s="284"/>
      <c r="E286" s="284"/>
      <c r="F286" s="284"/>
      <c r="G286" s="284"/>
      <c r="H286" s="284"/>
      <c r="I286" s="284"/>
      <c r="J286" s="284"/>
      <c r="K286" s="284"/>
      <c r="L286" s="284"/>
      <c r="M286" s="284"/>
      <c r="N286" s="284"/>
      <c r="O286" s="284"/>
      <c r="P286" s="284"/>
      <c r="Q286" s="284"/>
      <c r="R286" s="285"/>
    </row>
    <row r="287" spans="1:18" ht="22.15" customHeight="1" thickTop="1" thickBot="1">
      <c r="A287" s="279" t="s">
        <v>6</v>
      </c>
      <c r="B287" s="295"/>
      <c r="C287" s="295"/>
      <c r="D287" s="295"/>
      <c r="E287" s="295"/>
      <c r="F287" s="296"/>
      <c r="G287" s="32">
        <v>46035</v>
      </c>
      <c r="H287" s="278" t="s">
        <v>7</v>
      </c>
      <c r="I287" s="295"/>
      <c r="J287" s="295"/>
      <c r="K287" s="295"/>
      <c r="L287" s="295"/>
      <c r="M287" s="295"/>
      <c r="N287" s="295"/>
      <c r="O287" s="295"/>
      <c r="P287" s="295"/>
      <c r="Q287" s="295"/>
      <c r="R287" s="296"/>
    </row>
    <row r="288" spans="1:18" ht="24" customHeight="1">
      <c r="A288" s="33" t="s">
        <v>8</v>
      </c>
      <c r="B288" s="33" t="s">
        <v>9</v>
      </c>
      <c r="C288" s="34" t="s">
        <v>10</v>
      </c>
      <c r="D288" s="33" t="s">
        <v>11</v>
      </c>
      <c r="E288" s="33" t="s">
        <v>12</v>
      </c>
      <c r="F288" s="35" t="s">
        <v>13</v>
      </c>
      <c r="G288" s="36" t="s">
        <v>14</v>
      </c>
      <c r="H288" s="33" t="s">
        <v>15</v>
      </c>
      <c r="I288" s="37" t="s">
        <v>16</v>
      </c>
      <c r="J288" s="38" t="s">
        <v>17</v>
      </c>
      <c r="K288" s="39" t="s">
        <v>18</v>
      </c>
      <c r="L288" s="38" t="s">
        <v>19</v>
      </c>
      <c r="M288" s="38" t="s">
        <v>20</v>
      </c>
      <c r="N288" s="38" t="s">
        <v>21</v>
      </c>
      <c r="O288" s="33" t="s">
        <v>22</v>
      </c>
      <c r="P288" s="34" t="s">
        <v>23</v>
      </c>
      <c r="Q288" s="38" t="s">
        <v>24</v>
      </c>
      <c r="R288" s="33" t="s">
        <v>25</v>
      </c>
    </row>
    <row r="289" spans="1:18" ht="15" customHeight="1">
      <c r="A289" s="8" t="s">
        <v>359</v>
      </c>
      <c r="B289" s="8" t="s">
        <v>602</v>
      </c>
      <c r="C289" s="9">
        <v>0.3611111111111111</v>
      </c>
      <c r="D289" s="8" t="s">
        <v>603</v>
      </c>
      <c r="E289" s="8" t="s">
        <v>80</v>
      </c>
      <c r="F289" s="8" t="s">
        <v>604</v>
      </c>
      <c r="G289" s="297"/>
      <c r="H289" s="10"/>
      <c r="I289" s="11"/>
      <c r="J289" s="11"/>
      <c r="K289" s="11"/>
      <c r="L289" s="11"/>
      <c r="M289" s="11"/>
      <c r="N289" s="11"/>
      <c r="O289" s="12"/>
      <c r="P289" s="11"/>
      <c r="Q289" s="13"/>
      <c r="R289" s="14"/>
    </row>
    <row r="290" spans="1:18" ht="15" customHeight="1">
      <c r="A290" s="15" t="s">
        <v>359</v>
      </c>
      <c r="B290" s="15" t="s">
        <v>602</v>
      </c>
      <c r="C290" s="16">
        <v>0.3611111111111111</v>
      </c>
      <c r="D290" s="15" t="s">
        <v>605</v>
      </c>
      <c r="E290" s="15" t="s">
        <v>82</v>
      </c>
      <c r="F290" s="15" t="s">
        <v>606</v>
      </c>
      <c r="G290" s="298"/>
      <c r="H290" s="10"/>
      <c r="I290" s="11"/>
      <c r="J290" s="11"/>
      <c r="K290" s="11"/>
      <c r="L290" s="11"/>
      <c r="M290" s="11"/>
      <c r="N290" s="11"/>
      <c r="O290" s="12"/>
      <c r="P290" s="11"/>
      <c r="Q290" s="13"/>
      <c r="R290" s="14"/>
    </row>
    <row r="291" spans="1:18" ht="15" customHeight="1">
      <c r="A291" s="15" t="s">
        <v>359</v>
      </c>
      <c r="B291" s="15" t="s">
        <v>602</v>
      </c>
      <c r="C291" s="16">
        <v>0.3611111111111111</v>
      </c>
      <c r="D291" s="15" t="s">
        <v>46</v>
      </c>
      <c r="E291" s="15" t="s">
        <v>82</v>
      </c>
      <c r="F291" s="15" t="s">
        <v>607</v>
      </c>
      <c r="G291" s="298"/>
      <c r="H291" s="10"/>
      <c r="I291" s="11"/>
      <c r="J291" s="11"/>
      <c r="K291" s="11"/>
      <c r="L291" s="11"/>
      <c r="M291" s="11"/>
      <c r="N291" s="11"/>
      <c r="O291" s="12"/>
      <c r="P291" s="11"/>
      <c r="Q291" s="13"/>
      <c r="R291" s="14"/>
    </row>
    <row r="292" spans="1:18" ht="15" customHeight="1">
      <c r="A292" s="17" t="s">
        <v>359</v>
      </c>
      <c r="B292" s="17" t="s">
        <v>616</v>
      </c>
      <c r="C292" s="18">
        <v>1.041666666666667E-2</v>
      </c>
      <c r="D292" s="17" t="s">
        <v>603</v>
      </c>
      <c r="E292" s="17" t="s">
        <v>90</v>
      </c>
      <c r="F292" s="17" t="s">
        <v>604</v>
      </c>
      <c r="G292" s="298"/>
      <c r="H292" s="10"/>
      <c r="I292" s="11"/>
      <c r="J292" s="11"/>
      <c r="K292" s="11"/>
      <c r="L292" s="11"/>
      <c r="M292" s="11"/>
      <c r="N292" s="11"/>
      <c r="O292" s="12"/>
      <c r="P292" s="11"/>
      <c r="Q292" s="13"/>
      <c r="R292" s="14"/>
    </row>
    <row r="293" spans="1:18" ht="15" customHeight="1">
      <c r="A293" s="15" t="s">
        <v>359</v>
      </c>
      <c r="B293" s="15" t="s">
        <v>616</v>
      </c>
      <c r="C293" s="16">
        <v>1.041666666666667E-2</v>
      </c>
      <c r="D293" s="15" t="s">
        <v>605</v>
      </c>
      <c r="E293" s="15" t="s">
        <v>82</v>
      </c>
      <c r="F293" s="15" t="s">
        <v>606</v>
      </c>
      <c r="G293" s="298"/>
      <c r="H293" s="10"/>
      <c r="I293" s="11"/>
      <c r="J293" s="11"/>
      <c r="K293" s="11"/>
      <c r="L293" s="11"/>
      <c r="M293" s="11"/>
      <c r="N293" s="11"/>
      <c r="O293" s="12"/>
      <c r="P293" s="11"/>
      <c r="Q293" s="13"/>
      <c r="R293" s="14"/>
    </row>
    <row r="294" spans="1:18" ht="15" customHeight="1">
      <c r="A294" s="15" t="s">
        <v>359</v>
      </c>
      <c r="B294" s="15" t="s">
        <v>616</v>
      </c>
      <c r="C294" s="16">
        <v>1.041666666666667E-2</v>
      </c>
      <c r="D294" s="15" t="s">
        <v>46</v>
      </c>
      <c r="E294" s="15" t="s">
        <v>82</v>
      </c>
      <c r="F294" s="15" t="s">
        <v>607</v>
      </c>
      <c r="G294" s="298"/>
      <c r="H294" s="10"/>
      <c r="I294" s="11"/>
      <c r="J294" s="11"/>
      <c r="K294" s="11"/>
      <c r="L294" s="11"/>
      <c r="M294" s="11"/>
      <c r="N294" s="11"/>
      <c r="O294" s="12"/>
      <c r="P294" s="11"/>
      <c r="Q294" s="13"/>
      <c r="R294" s="14"/>
    </row>
    <row r="295" spans="1:18" ht="15" customHeight="1">
      <c r="A295" s="67" t="s">
        <v>61</v>
      </c>
      <c r="B295" s="67" t="s">
        <v>612</v>
      </c>
      <c r="C295" s="68">
        <v>0.52083333333333337</v>
      </c>
      <c r="D295" s="67" t="s">
        <v>63</v>
      </c>
      <c r="E295" s="67" t="s">
        <v>100</v>
      </c>
      <c r="F295" s="67" t="s">
        <v>79</v>
      </c>
      <c r="G295" s="298"/>
      <c r="H295" s="69" t="s">
        <v>613</v>
      </c>
      <c r="I295" s="70">
        <v>1.11E-2</v>
      </c>
      <c r="J295" s="71">
        <v>2</v>
      </c>
      <c r="K295" s="72">
        <v>46325</v>
      </c>
      <c r="L295" s="71">
        <v>3</v>
      </c>
      <c r="M295" s="71">
        <v>0</v>
      </c>
      <c r="N295" s="71">
        <v>0</v>
      </c>
      <c r="O295" s="73" t="s">
        <v>301</v>
      </c>
      <c r="P295" s="74">
        <v>0.52083333333333337</v>
      </c>
      <c r="Q295" s="71">
        <v>180</v>
      </c>
      <c r="R295" s="75" t="s">
        <v>298</v>
      </c>
    </row>
    <row r="296" spans="1:18" ht="15" customHeight="1">
      <c r="A296" s="19" t="s">
        <v>48</v>
      </c>
      <c r="B296" s="19" t="s">
        <v>609</v>
      </c>
      <c r="C296" s="20">
        <v>0.4513888888888889</v>
      </c>
      <c r="D296" s="19" t="s">
        <v>50</v>
      </c>
      <c r="E296" s="19" t="s">
        <v>51</v>
      </c>
      <c r="F296" s="19" t="s">
        <v>133</v>
      </c>
      <c r="G296" s="298"/>
      <c r="H296" s="10"/>
      <c r="I296" s="11"/>
      <c r="J296" s="11"/>
      <c r="K296" s="11"/>
      <c r="L296" s="11"/>
      <c r="M296" s="11"/>
      <c r="N296" s="11"/>
      <c r="O296" s="12"/>
      <c r="P296" s="11"/>
      <c r="Q296" s="13"/>
      <c r="R296" s="14"/>
    </row>
    <row r="297" spans="1:18" ht="15" customHeight="1">
      <c r="A297" s="15" t="s">
        <v>48</v>
      </c>
      <c r="B297" s="15" t="s">
        <v>609</v>
      </c>
      <c r="C297" s="16">
        <v>0.4513888888888889</v>
      </c>
      <c r="D297" s="15" t="s">
        <v>53</v>
      </c>
      <c r="E297" s="15" t="s">
        <v>54</v>
      </c>
      <c r="F297" s="15" t="s">
        <v>610</v>
      </c>
      <c r="G297" s="298"/>
      <c r="H297" s="10"/>
      <c r="I297" s="11"/>
      <c r="J297" s="11"/>
      <c r="K297" s="11"/>
      <c r="L297" s="11"/>
      <c r="M297" s="11"/>
      <c r="N297" s="11"/>
      <c r="O297" s="12"/>
      <c r="P297" s="11"/>
      <c r="Q297" s="13"/>
      <c r="R297" s="14"/>
    </row>
    <row r="298" spans="1:18" ht="15" customHeight="1">
      <c r="A298" s="17" t="s">
        <v>48</v>
      </c>
      <c r="B298" s="17" t="s">
        <v>611</v>
      </c>
      <c r="C298" s="18">
        <v>0.81944444444444453</v>
      </c>
      <c r="D298" s="17" t="s">
        <v>50</v>
      </c>
      <c r="E298" s="17" t="s">
        <v>57</v>
      </c>
      <c r="F298" s="17" t="s">
        <v>133</v>
      </c>
      <c r="G298" s="298"/>
      <c r="H298" s="10"/>
      <c r="I298" s="11"/>
      <c r="J298" s="11"/>
      <c r="K298" s="11"/>
      <c r="L298" s="11"/>
      <c r="M298" s="11"/>
      <c r="N298" s="11"/>
      <c r="O298" s="12"/>
      <c r="P298" s="11"/>
      <c r="Q298" s="13"/>
      <c r="R298" s="14"/>
    </row>
    <row r="299" spans="1:18" ht="15" customHeight="1">
      <c r="A299" s="15" t="s">
        <v>48</v>
      </c>
      <c r="B299" s="15" t="s">
        <v>611</v>
      </c>
      <c r="C299" s="16">
        <v>0.81944444444444453</v>
      </c>
      <c r="D299" s="15" t="s">
        <v>53</v>
      </c>
      <c r="E299" s="15" t="s">
        <v>54</v>
      </c>
      <c r="F299" s="15" t="s">
        <v>610</v>
      </c>
      <c r="G299" s="298"/>
      <c r="H299" s="10"/>
      <c r="I299" s="11"/>
      <c r="J299" s="11"/>
      <c r="K299" s="11"/>
      <c r="L299" s="11"/>
      <c r="M299" s="11"/>
      <c r="N299" s="11"/>
      <c r="O299" s="12"/>
      <c r="P299" s="11"/>
      <c r="Q299" s="13"/>
      <c r="R299" s="14"/>
    </row>
    <row r="300" spans="1:18" ht="15" customHeight="1">
      <c r="A300" s="19" t="s">
        <v>68</v>
      </c>
      <c r="B300" s="19" t="s">
        <v>633</v>
      </c>
      <c r="C300" s="20">
        <v>0.4236111111111111</v>
      </c>
      <c r="D300" s="19" t="s">
        <v>70</v>
      </c>
      <c r="E300" s="19" t="s">
        <v>51</v>
      </c>
      <c r="F300" s="19" t="s">
        <v>651</v>
      </c>
      <c r="G300" s="298"/>
      <c r="H300" s="10"/>
      <c r="I300" s="11"/>
      <c r="J300" s="11"/>
      <c r="K300" s="11"/>
      <c r="L300" s="11"/>
      <c r="M300" s="11"/>
      <c r="N300" s="11"/>
      <c r="O300" s="12"/>
      <c r="P300" s="11"/>
      <c r="Q300" s="13"/>
      <c r="R300" s="14"/>
    </row>
    <row r="301" spans="1:18" ht="15" customHeight="1">
      <c r="A301" s="19" t="s">
        <v>38</v>
      </c>
      <c r="B301" s="19" t="s">
        <v>621</v>
      </c>
      <c r="C301" s="20">
        <v>0.3611111111111111</v>
      </c>
      <c r="D301" s="19" t="s">
        <v>622</v>
      </c>
      <c r="E301" s="19" t="s">
        <v>100</v>
      </c>
      <c r="F301" s="19" t="s">
        <v>653</v>
      </c>
      <c r="G301" s="298"/>
      <c r="H301" s="10"/>
      <c r="I301" s="11"/>
      <c r="J301" s="11"/>
      <c r="K301" s="11"/>
      <c r="L301" s="11"/>
      <c r="M301" s="11"/>
      <c r="N301" s="11"/>
      <c r="O301" s="12"/>
      <c r="P301" s="11"/>
      <c r="Q301" s="13"/>
      <c r="R301" s="14"/>
    </row>
    <row r="302" spans="1:18" ht="15" customHeight="1">
      <c r="A302" s="15" t="s">
        <v>38</v>
      </c>
      <c r="B302" s="15" t="s">
        <v>621</v>
      </c>
      <c r="C302" s="16">
        <v>0.3611111111111111</v>
      </c>
      <c r="D302" s="15" t="s">
        <v>603</v>
      </c>
      <c r="E302" s="15" t="s">
        <v>115</v>
      </c>
      <c r="F302" s="15" t="s">
        <v>654</v>
      </c>
      <c r="G302" s="298"/>
      <c r="H302" s="10"/>
      <c r="I302" s="11"/>
      <c r="J302" s="11"/>
      <c r="K302" s="11"/>
      <c r="L302" s="11"/>
      <c r="M302" s="11"/>
      <c r="N302" s="11"/>
      <c r="O302" s="12"/>
      <c r="P302" s="11"/>
      <c r="Q302" s="13"/>
      <c r="R302" s="14"/>
    </row>
    <row r="303" spans="1:18" ht="15" customHeight="1">
      <c r="A303" s="15" t="s">
        <v>38</v>
      </c>
      <c r="B303" s="15" t="s">
        <v>621</v>
      </c>
      <c r="C303" s="16">
        <v>0.3611111111111111</v>
      </c>
      <c r="D303" s="15" t="s">
        <v>605</v>
      </c>
      <c r="E303" s="15" t="s">
        <v>115</v>
      </c>
      <c r="F303" s="15" t="s">
        <v>655</v>
      </c>
      <c r="G303" s="298"/>
      <c r="H303" s="10"/>
      <c r="I303" s="11"/>
      <c r="J303" s="11"/>
      <c r="K303" s="11"/>
      <c r="L303" s="11"/>
      <c r="M303" s="11"/>
      <c r="N303" s="11"/>
      <c r="O303" s="12"/>
      <c r="P303" s="11"/>
      <c r="Q303" s="13"/>
      <c r="R303" s="14"/>
    </row>
    <row r="304" spans="1:18" ht="15" customHeight="1">
      <c r="A304" s="15" t="s">
        <v>38</v>
      </c>
      <c r="B304" s="15" t="s">
        <v>621</v>
      </c>
      <c r="C304" s="16">
        <v>0.3611111111111111</v>
      </c>
      <c r="D304" s="15" t="s">
        <v>625</v>
      </c>
      <c r="E304" s="15" t="s">
        <v>115</v>
      </c>
      <c r="F304" s="15" t="s">
        <v>478</v>
      </c>
      <c r="G304" s="298"/>
      <c r="H304" s="10"/>
      <c r="I304" s="11"/>
      <c r="J304" s="11"/>
      <c r="K304" s="11"/>
      <c r="L304" s="11"/>
      <c r="M304" s="11"/>
      <c r="N304" s="11"/>
      <c r="O304" s="12"/>
      <c r="P304" s="11"/>
      <c r="Q304" s="13"/>
      <c r="R304" s="14"/>
    </row>
    <row r="305" spans="1:18" ht="18">
      <c r="A305" s="292" t="s">
        <v>615</v>
      </c>
      <c r="B305" s="303"/>
      <c r="C305" s="303"/>
      <c r="D305" s="303"/>
      <c r="E305" s="303"/>
      <c r="F305" s="304"/>
      <c r="G305" s="298"/>
      <c r="H305" s="138"/>
      <c r="I305" s="138"/>
      <c r="J305" s="138"/>
      <c r="K305" s="138"/>
      <c r="L305" s="138"/>
      <c r="M305" s="138"/>
      <c r="N305" s="138"/>
      <c r="O305" s="139"/>
      <c r="P305" s="138"/>
      <c r="Q305" s="107"/>
      <c r="R305" s="107"/>
    </row>
    <row r="306" spans="1:18" ht="15" customHeight="1">
      <c r="A306" s="17" t="s">
        <v>38</v>
      </c>
      <c r="B306" s="17" t="s">
        <v>342</v>
      </c>
      <c r="C306" s="18" t="s">
        <v>592</v>
      </c>
      <c r="D306" s="17" t="s">
        <v>40</v>
      </c>
      <c r="E306" s="17" t="s">
        <v>652</v>
      </c>
      <c r="F306" s="17" t="s">
        <v>475</v>
      </c>
      <c r="G306" s="298"/>
      <c r="H306" s="138"/>
      <c r="I306" s="138"/>
      <c r="J306" s="138"/>
      <c r="K306" s="138"/>
      <c r="L306" s="138"/>
      <c r="M306" s="138"/>
      <c r="N306" s="138"/>
      <c r="O306" s="139"/>
      <c r="P306" s="138"/>
      <c r="Q306" s="107"/>
      <c r="R306" s="107"/>
    </row>
    <row r="307" spans="1:18" ht="15" customHeight="1">
      <c r="A307" s="17" t="s">
        <v>38</v>
      </c>
      <c r="B307" s="17" t="s">
        <v>344</v>
      </c>
      <c r="C307" s="18" t="s">
        <v>593</v>
      </c>
      <c r="D307" s="17" t="s">
        <v>40</v>
      </c>
      <c r="E307" s="17" t="s">
        <v>293</v>
      </c>
      <c r="F307" s="17" t="s">
        <v>30</v>
      </c>
      <c r="G307" s="298"/>
      <c r="H307" s="138"/>
      <c r="I307" s="138"/>
      <c r="J307" s="138"/>
      <c r="K307" s="138"/>
      <c r="L307" s="138"/>
      <c r="M307" s="138"/>
      <c r="N307" s="138"/>
      <c r="O307" s="139"/>
      <c r="P307" s="138"/>
      <c r="Q307" s="107"/>
      <c r="R307" s="107"/>
    </row>
    <row r="308" spans="1:18" ht="15" customHeight="1">
      <c r="A308" s="17" t="s">
        <v>38</v>
      </c>
      <c r="B308" s="17" t="s">
        <v>346</v>
      </c>
      <c r="C308" s="18" t="s">
        <v>600</v>
      </c>
      <c r="D308" s="17" t="s">
        <v>40</v>
      </c>
      <c r="E308" s="17" t="s">
        <v>268</v>
      </c>
      <c r="F308" s="17" t="s">
        <v>347</v>
      </c>
      <c r="G308" s="298"/>
      <c r="H308" s="138"/>
      <c r="I308" s="138"/>
      <c r="J308" s="138"/>
      <c r="K308" s="138"/>
      <c r="L308" s="138"/>
      <c r="M308" s="138"/>
      <c r="N308" s="138"/>
      <c r="O308" s="139"/>
      <c r="P308" s="138"/>
      <c r="Q308" s="107"/>
      <c r="R308" s="107"/>
    </row>
    <row r="309" spans="1:18" ht="15" customHeight="1">
      <c r="A309" s="17" t="s">
        <v>38</v>
      </c>
      <c r="B309" s="17" t="s">
        <v>345</v>
      </c>
      <c r="C309" s="18" t="s">
        <v>594</v>
      </c>
      <c r="D309" s="17" t="s">
        <v>40</v>
      </c>
      <c r="E309" s="17" t="s">
        <v>268</v>
      </c>
      <c r="F309" s="17" t="s">
        <v>347</v>
      </c>
      <c r="G309" s="298"/>
      <c r="H309" s="138"/>
      <c r="I309" s="138"/>
      <c r="J309" s="138"/>
      <c r="K309" s="138"/>
      <c r="L309" s="138"/>
      <c r="M309" s="138"/>
      <c r="N309" s="138"/>
      <c r="O309" s="139"/>
      <c r="P309" s="138"/>
      <c r="Q309" s="107"/>
      <c r="R309" s="107"/>
    </row>
    <row r="310" spans="1:18" ht="15" customHeight="1">
      <c r="A310" s="17" t="s">
        <v>61</v>
      </c>
      <c r="B310" s="17" t="s">
        <v>432</v>
      </c>
      <c r="C310" s="18" t="s">
        <v>577</v>
      </c>
      <c r="D310" s="17" t="s">
        <v>63</v>
      </c>
      <c r="E310" s="17" t="s">
        <v>636</v>
      </c>
      <c r="F310" s="17" t="s">
        <v>365</v>
      </c>
      <c r="G310" s="298"/>
      <c r="H310" s="138"/>
      <c r="I310" s="138"/>
      <c r="J310" s="138"/>
      <c r="K310" s="138"/>
      <c r="L310" s="138"/>
      <c r="M310" s="138"/>
      <c r="N310" s="138"/>
      <c r="O310" s="139"/>
      <c r="P310" s="138"/>
      <c r="Q310" s="107"/>
      <c r="R310" s="107"/>
    </row>
    <row r="311" spans="1:18" ht="15" customHeight="1">
      <c r="A311" s="17" t="s">
        <v>61</v>
      </c>
      <c r="B311" s="17" t="s">
        <v>428</v>
      </c>
      <c r="C311" s="18" t="s">
        <v>576</v>
      </c>
      <c r="D311" s="17" t="s">
        <v>63</v>
      </c>
      <c r="E311" s="17" t="s">
        <v>636</v>
      </c>
      <c r="F311" s="17" t="s">
        <v>365</v>
      </c>
      <c r="G311" s="298"/>
      <c r="H311" s="138"/>
      <c r="I311" s="138"/>
      <c r="J311" s="138"/>
      <c r="K311" s="138"/>
      <c r="L311" s="138"/>
      <c r="M311" s="138"/>
      <c r="N311" s="138"/>
      <c r="O311" s="139"/>
      <c r="P311" s="138"/>
      <c r="Q311" s="107"/>
      <c r="R311" s="107"/>
    </row>
    <row r="312" spans="1:18" ht="15" customHeight="1">
      <c r="A312" s="17" t="s">
        <v>61</v>
      </c>
      <c r="B312" s="17" t="s">
        <v>375</v>
      </c>
      <c r="C312" s="18" t="s">
        <v>579</v>
      </c>
      <c r="D312" s="17" t="s">
        <v>63</v>
      </c>
      <c r="E312" s="17" t="s">
        <v>286</v>
      </c>
      <c r="F312" s="17" t="s">
        <v>365</v>
      </c>
      <c r="G312" s="298"/>
      <c r="H312" s="138"/>
      <c r="I312" s="138"/>
      <c r="J312" s="138"/>
      <c r="K312" s="138"/>
      <c r="L312" s="138"/>
      <c r="M312" s="138"/>
      <c r="N312" s="138"/>
      <c r="O312" s="139"/>
      <c r="P312" s="138"/>
      <c r="Q312" s="107"/>
      <c r="R312" s="107"/>
    </row>
    <row r="313" spans="1:18" ht="15" customHeight="1">
      <c r="A313" s="17" t="s">
        <v>61</v>
      </c>
      <c r="B313" s="17" t="s">
        <v>377</v>
      </c>
      <c r="C313" s="18" t="s">
        <v>563</v>
      </c>
      <c r="D313" s="17" t="s">
        <v>63</v>
      </c>
      <c r="E313" s="17" t="s">
        <v>294</v>
      </c>
      <c r="F313" s="17" t="s">
        <v>365</v>
      </c>
      <c r="G313" s="298"/>
      <c r="H313" s="138"/>
      <c r="I313" s="138"/>
      <c r="J313" s="138"/>
      <c r="K313" s="138"/>
      <c r="L313" s="138"/>
      <c r="M313" s="138"/>
      <c r="N313" s="138"/>
      <c r="O313" s="139"/>
      <c r="P313" s="138"/>
      <c r="Q313" s="107"/>
      <c r="R313" s="107"/>
    </row>
    <row r="314" spans="1:18" ht="15" customHeight="1">
      <c r="A314" s="17" t="s">
        <v>61</v>
      </c>
      <c r="B314" s="17" t="s">
        <v>379</v>
      </c>
      <c r="C314" s="18" t="s">
        <v>231</v>
      </c>
      <c r="D314" s="17" t="s">
        <v>63</v>
      </c>
      <c r="E314" s="17" t="s">
        <v>636</v>
      </c>
      <c r="F314" s="17" t="s">
        <v>365</v>
      </c>
      <c r="G314" s="298"/>
      <c r="H314" s="138"/>
      <c r="I314" s="138"/>
      <c r="J314" s="138"/>
      <c r="K314" s="138"/>
      <c r="L314" s="138"/>
      <c r="M314" s="138"/>
      <c r="N314" s="138"/>
      <c r="O314" s="139"/>
      <c r="P314" s="138"/>
      <c r="Q314" s="107"/>
      <c r="R314" s="107"/>
    </row>
    <row r="315" spans="1:18" ht="15" customHeight="1" thickBot="1">
      <c r="A315" s="30" t="s">
        <v>38</v>
      </c>
      <c r="B315" s="30" t="s">
        <v>342</v>
      </c>
      <c r="C315" s="31" t="s">
        <v>592</v>
      </c>
      <c r="D315" s="30" t="s">
        <v>43</v>
      </c>
      <c r="E315" s="30" t="s">
        <v>652</v>
      </c>
      <c r="F315" s="30" t="s">
        <v>121</v>
      </c>
      <c r="G315" s="299"/>
      <c r="H315" s="140"/>
      <c r="I315" s="140"/>
      <c r="J315" s="140"/>
      <c r="K315" s="140"/>
      <c r="L315" s="140"/>
      <c r="M315" s="140"/>
      <c r="N315" s="140"/>
      <c r="O315" s="141"/>
      <c r="P315" s="140"/>
      <c r="Q315" s="142"/>
      <c r="R315" s="142"/>
    </row>
    <row r="316" spans="1:18" ht="17.45" customHeight="1" thickBot="1">
      <c r="A316" s="283"/>
      <c r="B316" s="284"/>
      <c r="C316" s="284"/>
      <c r="D316" s="284"/>
      <c r="E316" s="284"/>
      <c r="F316" s="284"/>
      <c r="G316" s="284"/>
      <c r="H316" s="284"/>
      <c r="I316" s="284"/>
      <c r="J316" s="284"/>
      <c r="K316" s="284"/>
      <c r="L316" s="284"/>
      <c r="M316" s="284"/>
      <c r="N316" s="284"/>
      <c r="O316" s="284"/>
      <c r="P316" s="284"/>
      <c r="Q316" s="284"/>
      <c r="R316" s="285"/>
    </row>
    <row r="317" spans="1:18" ht="22.15" customHeight="1" thickTop="1" thickBot="1">
      <c r="A317" s="279" t="s">
        <v>6</v>
      </c>
      <c r="B317" s="295"/>
      <c r="C317" s="295"/>
      <c r="D317" s="295"/>
      <c r="E317" s="295"/>
      <c r="F317" s="296"/>
      <c r="G317" s="32">
        <v>46036</v>
      </c>
      <c r="H317" s="278" t="s">
        <v>7</v>
      </c>
      <c r="I317" s="295"/>
      <c r="J317" s="295"/>
      <c r="K317" s="295"/>
      <c r="L317" s="295"/>
      <c r="M317" s="295"/>
      <c r="N317" s="295"/>
      <c r="O317" s="295"/>
      <c r="P317" s="295"/>
      <c r="Q317" s="295"/>
      <c r="R317" s="296"/>
    </row>
    <row r="318" spans="1:18" ht="24" customHeight="1">
      <c r="A318" s="33" t="s">
        <v>8</v>
      </c>
      <c r="B318" s="33" t="s">
        <v>9</v>
      </c>
      <c r="C318" s="34" t="s">
        <v>10</v>
      </c>
      <c r="D318" s="33" t="s">
        <v>11</v>
      </c>
      <c r="E318" s="33" t="s">
        <v>12</v>
      </c>
      <c r="F318" s="35" t="s">
        <v>13</v>
      </c>
      <c r="G318" s="36" t="s">
        <v>14</v>
      </c>
      <c r="H318" s="33" t="s">
        <v>15</v>
      </c>
      <c r="I318" s="37" t="s">
        <v>16</v>
      </c>
      <c r="J318" s="38" t="s">
        <v>17</v>
      </c>
      <c r="K318" s="39" t="s">
        <v>18</v>
      </c>
      <c r="L318" s="38" t="s">
        <v>19</v>
      </c>
      <c r="M318" s="38" t="s">
        <v>20</v>
      </c>
      <c r="N318" s="38" t="s">
        <v>21</v>
      </c>
      <c r="O318" s="33" t="s">
        <v>22</v>
      </c>
      <c r="P318" s="34" t="s">
        <v>23</v>
      </c>
      <c r="Q318" s="38" t="s">
        <v>24</v>
      </c>
      <c r="R318" s="33" t="s">
        <v>25</v>
      </c>
    </row>
    <row r="319" spans="1:18" ht="15" customHeight="1">
      <c r="A319" s="8" t="s">
        <v>359</v>
      </c>
      <c r="B319" s="8" t="s">
        <v>616</v>
      </c>
      <c r="C319" s="9">
        <v>0.16319444444444439</v>
      </c>
      <c r="D319" s="8" t="s">
        <v>603</v>
      </c>
      <c r="E319" s="8" t="s">
        <v>80</v>
      </c>
      <c r="F319" s="8" t="s">
        <v>604</v>
      </c>
      <c r="G319" s="297"/>
      <c r="H319" s="10"/>
      <c r="I319" s="11"/>
      <c r="J319" s="11"/>
      <c r="K319" s="11"/>
      <c r="L319" s="11"/>
      <c r="M319" s="11"/>
      <c r="N319" s="11"/>
      <c r="O319" s="12"/>
      <c r="P319" s="11"/>
      <c r="Q319" s="13"/>
      <c r="R319" s="14"/>
    </row>
    <row r="320" spans="1:18" ht="15" customHeight="1">
      <c r="A320" s="15" t="s">
        <v>359</v>
      </c>
      <c r="B320" s="15" t="s">
        <v>616</v>
      </c>
      <c r="C320" s="16">
        <v>0.16319444444444439</v>
      </c>
      <c r="D320" s="15" t="s">
        <v>605</v>
      </c>
      <c r="E320" s="15" t="s">
        <v>82</v>
      </c>
      <c r="F320" s="15" t="s">
        <v>606</v>
      </c>
      <c r="G320" s="298"/>
      <c r="H320" s="10"/>
      <c r="I320" s="11"/>
      <c r="J320" s="11"/>
      <c r="K320" s="11"/>
      <c r="L320" s="11"/>
      <c r="M320" s="11"/>
      <c r="N320" s="11"/>
      <c r="O320" s="12"/>
      <c r="P320" s="11"/>
      <c r="Q320" s="13"/>
      <c r="R320" s="14"/>
    </row>
    <row r="321" spans="1:18" ht="15" customHeight="1">
      <c r="A321" s="15" t="s">
        <v>359</v>
      </c>
      <c r="B321" s="15" t="s">
        <v>616</v>
      </c>
      <c r="C321" s="16">
        <v>0.16319444444444439</v>
      </c>
      <c r="D321" s="15" t="s">
        <v>46</v>
      </c>
      <c r="E321" s="15" t="s">
        <v>82</v>
      </c>
      <c r="F321" s="15" t="s">
        <v>607</v>
      </c>
      <c r="G321" s="298"/>
      <c r="H321" s="10"/>
      <c r="I321" s="11"/>
      <c r="J321" s="11"/>
      <c r="K321" s="11"/>
      <c r="L321" s="11"/>
      <c r="M321" s="11"/>
      <c r="N321" s="11"/>
      <c r="O321" s="12"/>
      <c r="P321" s="11"/>
      <c r="Q321" s="13"/>
      <c r="R321" s="14"/>
    </row>
    <row r="322" spans="1:18" ht="15" customHeight="1">
      <c r="A322" s="40" t="s">
        <v>61</v>
      </c>
      <c r="B322" s="40" t="s">
        <v>612</v>
      </c>
      <c r="C322" s="41">
        <v>0.14583333333333329</v>
      </c>
      <c r="D322" s="40" t="s">
        <v>63</v>
      </c>
      <c r="E322" s="40" t="s">
        <v>100</v>
      </c>
      <c r="F322" s="40" t="s">
        <v>79</v>
      </c>
      <c r="G322" s="298"/>
      <c r="H322" s="42" t="s">
        <v>613</v>
      </c>
      <c r="I322" s="43">
        <v>1.11E-2</v>
      </c>
      <c r="J322" s="44">
        <v>2</v>
      </c>
      <c r="K322" s="45">
        <v>46279</v>
      </c>
      <c r="L322" s="44">
        <v>2</v>
      </c>
      <c r="M322" s="44">
        <v>0</v>
      </c>
      <c r="N322" s="44">
        <v>0</v>
      </c>
      <c r="O322" s="46" t="s">
        <v>301</v>
      </c>
      <c r="P322" s="47">
        <v>0.14583333333333329</v>
      </c>
      <c r="Q322" s="44">
        <v>180</v>
      </c>
      <c r="R322" s="48" t="s">
        <v>298</v>
      </c>
    </row>
    <row r="323" spans="1:18" ht="15" customHeight="1">
      <c r="A323" s="150" t="s">
        <v>61</v>
      </c>
      <c r="B323" s="150" t="s">
        <v>629</v>
      </c>
      <c r="C323" s="151">
        <v>0.53125</v>
      </c>
      <c r="D323" s="150" t="s">
        <v>63</v>
      </c>
      <c r="E323" s="150" t="s">
        <v>91</v>
      </c>
      <c r="F323" s="150" t="s">
        <v>79</v>
      </c>
      <c r="G323" s="298"/>
      <c r="H323" s="80" t="s">
        <v>630</v>
      </c>
      <c r="I323" s="81">
        <v>4.4400000000000002E-2</v>
      </c>
      <c r="J323" s="82">
        <v>8</v>
      </c>
      <c r="K323" s="83">
        <v>46342</v>
      </c>
      <c r="L323" s="82">
        <v>8</v>
      </c>
      <c r="M323" s="82">
        <v>0</v>
      </c>
      <c r="N323" s="82">
        <v>0</v>
      </c>
      <c r="O323" s="84" t="s">
        <v>298</v>
      </c>
      <c r="P323" s="85">
        <v>0.53125</v>
      </c>
      <c r="Q323" s="82">
        <v>180</v>
      </c>
      <c r="R323" s="86" t="s">
        <v>301</v>
      </c>
    </row>
    <row r="324" spans="1:18" ht="15" customHeight="1">
      <c r="A324" s="148" t="s">
        <v>61</v>
      </c>
      <c r="B324" s="148" t="s">
        <v>645</v>
      </c>
      <c r="C324" s="149">
        <v>0.86111111111111116</v>
      </c>
      <c r="D324" s="148" t="s">
        <v>63</v>
      </c>
      <c r="E324" s="148" t="s">
        <v>427</v>
      </c>
      <c r="F324" s="148" t="s">
        <v>79</v>
      </c>
      <c r="G324" s="298"/>
      <c r="H324" s="51" t="s">
        <v>646</v>
      </c>
      <c r="I324" s="52">
        <v>1.11E-2</v>
      </c>
      <c r="J324" s="53">
        <v>2</v>
      </c>
      <c r="K324" s="54">
        <v>46340</v>
      </c>
      <c r="L324" s="53">
        <v>2</v>
      </c>
      <c r="M324" s="53">
        <v>0</v>
      </c>
      <c r="N324" s="53">
        <v>0</v>
      </c>
      <c r="O324" s="55" t="s">
        <v>301</v>
      </c>
      <c r="P324" s="56">
        <v>0.86111111111111116</v>
      </c>
      <c r="Q324" s="53">
        <v>180</v>
      </c>
      <c r="R324" s="57" t="s">
        <v>298</v>
      </c>
    </row>
    <row r="325" spans="1:18" ht="15" customHeight="1">
      <c r="A325" s="19" t="s">
        <v>68</v>
      </c>
      <c r="B325" s="19" t="s">
        <v>633</v>
      </c>
      <c r="C325" s="20">
        <v>0.45833333333333331</v>
      </c>
      <c r="D325" s="19" t="s">
        <v>70</v>
      </c>
      <c r="E325" s="19" t="s">
        <v>51</v>
      </c>
      <c r="F325" s="19" t="s">
        <v>634</v>
      </c>
      <c r="G325" s="298"/>
      <c r="H325" s="10"/>
      <c r="I325" s="11"/>
      <c r="J325" s="11"/>
      <c r="K325" s="11"/>
      <c r="L325" s="11"/>
      <c r="M325" s="11"/>
      <c r="N325" s="11"/>
      <c r="O325" s="12"/>
      <c r="P325" s="11"/>
      <c r="Q325" s="13"/>
      <c r="R325" s="14"/>
    </row>
    <row r="326" spans="1:18" ht="15" customHeight="1">
      <c r="A326" s="19" t="s">
        <v>48</v>
      </c>
      <c r="B326" s="19" t="s">
        <v>611</v>
      </c>
      <c r="C326" s="20">
        <v>0.81944444444444453</v>
      </c>
      <c r="D326" s="19" t="s">
        <v>50</v>
      </c>
      <c r="E326" s="19" t="s">
        <v>51</v>
      </c>
      <c r="F326" s="19" t="s">
        <v>133</v>
      </c>
      <c r="G326" s="298"/>
      <c r="H326" s="10"/>
      <c r="I326" s="11"/>
      <c r="J326" s="11"/>
      <c r="K326" s="11"/>
      <c r="L326" s="11"/>
      <c r="M326" s="11"/>
      <c r="N326" s="11"/>
      <c r="O326" s="12"/>
      <c r="P326" s="11"/>
      <c r="Q326" s="13"/>
      <c r="R326" s="14"/>
    </row>
    <row r="327" spans="1:18" ht="15" customHeight="1">
      <c r="A327" s="15" t="s">
        <v>48</v>
      </c>
      <c r="B327" s="15" t="s">
        <v>611</v>
      </c>
      <c r="C327" s="16">
        <v>0.81944444444444453</v>
      </c>
      <c r="D327" s="15" t="s">
        <v>53</v>
      </c>
      <c r="E327" s="15" t="s">
        <v>54</v>
      </c>
      <c r="F327" s="15" t="s">
        <v>610</v>
      </c>
      <c r="G327" s="298"/>
      <c r="H327" s="10"/>
      <c r="I327" s="11"/>
      <c r="J327" s="11"/>
      <c r="K327" s="11"/>
      <c r="L327" s="11"/>
      <c r="M327" s="11"/>
      <c r="N327" s="11"/>
      <c r="O327" s="12"/>
      <c r="P327" s="11"/>
      <c r="Q327" s="13"/>
      <c r="R327" s="14"/>
    </row>
    <row r="328" spans="1:18" ht="18">
      <c r="A328" s="292" t="s">
        <v>615</v>
      </c>
      <c r="B328" s="303"/>
      <c r="C328" s="303"/>
      <c r="D328" s="303"/>
      <c r="E328" s="303"/>
      <c r="F328" s="304"/>
      <c r="G328" s="298"/>
      <c r="H328" s="138"/>
      <c r="I328" s="138"/>
      <c r="J328" s="138"/>
      <c r="K328" s="138"/>
      <c r="L328" s="138"/>
      <c r="M328" s="138"/>
      <c r="N328" s="138"/>
      <c r="O328" s="139"/>
      <c r="P328" s="138"/>
      <c r="Q328" s="107"/>
      <c r="R328" s="107"/>
    </row>
    <row r="329" spans="1:18" ht="15" customHeight="1">
      <c r="A329" s="17" t="s">
        <v>38</v>
      </c>
      <c r="B329" s="17" t="s">
        <v>342</v>
      </c>
      <c r="C329" s="18" t="s">
        <v>592</v>
      </c>
      <c r="D329" s="17" t="s">
        <v>40</v>
      </c>
      <c r="E329" s="17" t="s">
        <v>308</v>
      </c>
      <c r="F329" s="17" t="s">
        <v>343</v>
      </c>
      <c r="G329" s="298"/>
      <c r="H329" s="138"/>
      <c r="I329" s="138"/>
      <c r="J329" s="138"/>
      <c r="K329" s="138"/>
      <c r="L329" s="138"/>
      <c r="M329" s="138"/>
      <c r="N329" s="138"/>
      <c r="O329" s="139"/>
      <c r="P329" s="138"/>
      <c r="Q329" s="107"/>
      <c r="R329" s="107"/>
    </row>
    <row r="330" spans="1:18" ht="15" customHeight="1">
      <c r="A330" s="17" t="s">
        <v>38</v>
      </c>
      <c r="B330" s="17" t="s">
        <v>346</v>
      </c>
      <c r="C330" s="18" t="s">
        <v>600</v>
      </c>
      <c r="D330" s="17" t="s">
        <v>40</v>
      </c>
      <c r="E330" s="17" t="s">
        <v>268</v>
      </c>
      <c r="F330" s="17" t="s">
        <v>30</v>
      </c>
      <c r="G330" s="298"/>
      <c r="H330" s="138"/>
      <c r="I330" s="138"/>
      <c r="J330" s="138"/>
      <c r="K330" s="138"/>
      <c r="L330" s="138"/>
      <c r="M330" s="138"/>
      <c r="N330" s="138"/>
      <c r="O330" s="139"/>
      <c r="P330" s="138"/>
      <c r="Q330" s="107"/>
      <c r="R330" s="107"/>
    </row>
    <row r="331" spans="1:18" ht="15" customHeight="1">
      <c r="A331" s="17" t="s">
        <v>38</v>
      </c>
      <c r="B331" s="17" t="s">
        <v>345</v>
      </c>
      <c r="C331" s="18" t="s">
        <v>594</v>
      </c>
      <c r="D331" s="17" t="s">
        <v>40</v>
      </c>
      <c r="E331" s="17" t="s">
        <v>293</v>
      </c>
      <c r="F331" s="17" t="s">
        <v>347</v>
      </c>
      <c r="G331" s="298"/>
      <c r="H331" s="138"/>
      <c r="I331" s="138"/>
      <c r="J331" s="138"/>
      <c r="K331" s="138"/>
      <c r="L331" s="138"/>
      <c r="M331" s="138"/>
      <c r="N331" s="138"/>
      <c r="O331" s="139"/>
      <c r="P331" s="138"/>
      <c r="Q331" s="107"/>
      <c r="R331" s="107"/>
    </row>
    <row r="332" spans="1:18" ht="15" customHeight="1">
      <c r="A332" s="17" t="s">
        <v>61</v>
      </c>
      <c r="B332" s="17" t="s">
        <v>364</v>
      </c>
      <c r="C332" s="18" t="s">
        <v>580</v>
      </c>
      <c r="D332" s="17" t="s">
        <v>63</v>
      </c>
      <c r="E332" s="17" t="s">
        <v>636</v>
      </c>
      <c r="F332" s="17" t="s">
        <v>365</v>
      </c>
      <c r="G332" s="298"/>
      <c r="H332" s="138"/>
      <c r="I332" s="138"/>
      <c r="J332" s="138"/>
      <c r="K332" s="138"/>
      <c r="L332" s="138"/>
      <c r="M332" s="138"/>
      <c r="N332" s="138"/>
      <c r="O332" s="139"/>
      <c r="P332" s="138"/>
      <c r="Q332" s="107"/>
      <c r="R332" s="107"/>
    </row>
    <row r="333" spans="1:18" ht="15" customHeight="1">
      <c r="A333" s="17" t="s">
        <v>61</v>
      </c>
      <c r="B333" s="17" t="s">
        <v>432</v>
      </c>
      <c r="C333" s="18" t="s">
        <v>582</v>
      </c>
      <c r="D333" s="17" t="s">
        <v>63</v>
      </c>
      <c r="E333" s="17" t="s">
        <v>636</v>
      </c>
      <c r="F333" s="17" t="s">
        <v>365</v>
      </c>
      <c r="G333" s="298"/>
      <c r="H333" s="138"/>
      <c r="I333" s="138"/>
      <c r="J333" s="138"/>
      <c r="K333" s="138"/>
      <c r="L333" s="138"/>
      <c r="M333" s="138"/>
      <c r="N333" s="138"/>
      <c r="O333" s="139"/>
      <c r="P333" s="138"/>
      <c r="Q333" s="107"/>
      <c r="R333" s="107"/>
    </row>
    <row r="334" spans="1:18" ht="15" customHeight="1">
      <c r="A334" s="17" t="s">
        <v>61</v>
      </c>
      <c r="B334" s="17" t="s">
        <v>428</v>
      </c>
      <c r="C334" s="18" t="s">
        <v>559</v>
      </c>
      <c r="D334" s="17" t="s">
        <v>63</v>
      </c>
      <c r="E334" s="17" t="s">
        <v>286</v>
      </c>
      <c r="F334" s="17" t="s">
        <v>365</v>
      </c>
      <c r="G334" s="298"/>
      <c r="H334" s="138"/>
      <c r="I334" s="138"/>
      <c r="J334" s="138"/>
      <c r="K334" s="138"/>
      <c r="L334" s="138"/>
      <c r="M334" s="138"/>
      <c r="N334" s="138"/>
      <c r="O334" s="139"/>
      <c r="P334" s="138"/>
      <c r="Q334" s="107"/>
      <c r="R334" s="107"/>
    </row>
    <row r="335" spans="1:18" ht="15" customHeight="1">
      <c r="A335" s="17" t="s">
        <v>61</v>
      </c>
      <c r="B335" s="17" t="s">
        <v>375</v>
      </c>
      <c r="C335" s="18" t="s">
        <v>581</v>
      </c>
      <c r="D335" s="17" t="s">
        <v>63</v>
      </c>
      <c r="E335" s="17" t="s">
        <v>636</v>
      </c>
      <c r="F335" s="17" t="s">
        <v>365</v>
      </c>
      <c r="G335" s="298"/>
      <c r="H335" s="138"/>
      <c r="I335" s="138"/>
      <c r="J335" s="138"/>
      <c r="K335" s="138"/>
      <c r="L335" s="138"/>
      <c r="M335" s="138"/>
      <c r="N335" s="138"/>
      <c r="O335" s="139"/>
      <c r="P335" s="138"/>
      <c r="Q335" s="107"/>
      <c r="R335" s="107"/>
    </row>
    <row r="336" spans="1:18" ht="15" customHeight="1">
      <c r="A336" s="17" t="s">
        <v>26</v>
      </c>
      <c r="B336" s="17" t="s">
        <v>354</v>
      </c>
      <c r="C336" s="18" t="s">
        <v>656</v>
      </c>
      <c r="D336" s="17" t="s">
        <v>28</v>
      </c>
      <c r="E336" s="17" t="s">
        <v>277</v>
      </c>
      <c r="F336" s="17" t="s">
        <v>83</v>
      </c>
      <c r="G336" s="298"/>
      <c r="H336" s="138"/>
      <c r="I336" s="138"/>
      <c r="J336" s="138"/>
      <c r="K336" s="138"/>
      <c r="L336" s="138"/>
      <c r="M336" s="138"/>
      <c r="N336" s="138"/>
      <c r="O336" s="139"/>
      <c r="P336" s="138"/>
      <c r="Q336" s="107"/>
      <c r="R336" s="107"/>
    </row>
    <row r="337" spans="1:18" ht="15" customHeight="1">
      <c r="A337" s="17" t="s">
        <v>26</v>
      </c>
      <c r="B337" s="17" t="s">
        <v>348</v>
      </c>
      <c r="C337" s="18" t="s">
        <v>595</v>
      </c>
      <c r="D337" s="17" t="s">
        <v>28</v>
      </c>
      <c r="E337" s="17" t="s">
        <v>267</v>
      </c>
      <c r="F337" s="17" t="s">
        <v>83</v>
      </c>
      <c r="G337" s="298"/>
      <c r="H337" s="138"/>
      <c r="I337" s="138"/>
      <c r="J337" s="138"/>
      <c r="K337" s="138"/>
      <c r="L337" s="138"/>
      <c r="M337" s="138"/>
      <c r="N337" s="138"/>
      <c r="O337" s="139"/>
      <c r="P337" s="138"/>
      <c r="Q337" s="107"/>
      <c r="R337" s="107"/>
    </row>
    <row r="338" spans="1:18" ht="15" customHeight="1" thickBot="1">
      <c r="A338" s="30" t="s">
        <v>26</v>
      </c>
      <c r="B338" s="30" t="s">
        <v>351</v>
      </c>
      <c r="C338" s="31" t="s">
        <v>597</v>
      </c>
      <c r="D338" s="30" t="s">
        <v>28</v>
      </c>
      <c r="E338" s="30" t="s">
        <v>288</v>
      </c>
      <c r="F338" s="30" t="s">
        <v>83</v>
      </c>
      <c r="G338" s="299"/>
      <c r="H338" s="140"/>
      <c r="I338" s="140"/>
      <c r="J338" s="140"/>
      <c r="K338" s="140"/>
      <c r="L338" s="140"/>
      <c r="M338" s="140"/>
      <c r="N338" s="140"/>
      <c r="O338" s="141"/>
      <c r="P338" s="140"/>
      <c r="Q338" s="142"/>
      <c r="R338" s="142"/>
    </row>
    <row r="339" spans="1:18" ht="17.45" customHeight="1" thickBot="1">
      <c r="A339" s="283"/>
      <c r="B339" s="284"/>
      <c r="C339" s="284"/>
      <c r="D339" s="284"/>
      <c r="E339" s="284"/>
      <c r="F339" s="284"/>
      <c r="G339" s="284"/>
      <c r="H339" s="284"/>
      <c r="I339" s="284"/>
      <c r="J339" s="284"/>
      <c r="K339" s="284"/>
      <c r="L339" s="284"/>
      <c r="M339" s="284"/>
      <c r="N339" s="284"/>
      <c r="O339" s="284"/>
      <c r="P339" s="284"/>
      <c r="Q339" s="284"/>
      <c r="R339" s="285"/>
    </row>
    <row r="340" spans="1:18" ht="22.15" customHeight="1" thickTop="1" thickBot="1">
      <c r="A340" s="279" t="s">
        <v>6</v>
      </c>
      <c r="B340" s="295"/>
      <c r="C340" s="295"/>
      <c r="D340" s="295"/>
      <c r="E340" s="295"/>
      <c r="F340" s="296"/>
      <c r="G340" s="32">
        <v>46037</v>
      </c>
      <c r="H340" s="278" t="s">
        <v>7</v>
      </c>
      <c r="I340" s="295"/>
      <c r="J340" s="295"/>
      <c r="K340" s="295"/>
      <c r="L340" s="295"/>
      <c r="M340" s="295"/>
      <c r="N340" s="295"/>
      <c r="O340" s="295"/>
      <c r="P340" s="295"/>
      <c r="Q340" s="295"/>
      <c r="R340" s="296"/>
    </row>
    <row r="341" spans="1:18" ht="24" customHeight="1">
      <c r="A341" s="33" t="s">
        <v>8</v>
      </c>
      <c r="B341" s="33" t="s">
        <v>9</v>
      </c>
      <c r="C341" s="34" t="s">
        <v>10</v>
      </c>
      <c r="D341" s="33" t="s">
        <v>11</v>
      </c>
      <c r="E341" s="33" t="s">
        <v>12</v>
      </c>
      <c r="F341" s="35" t="s">
        <v>13</v>
      </c>
      <c r="G341" s="36" t="s">
        <v>14</v>
      </c>
      <c r="H341" s="33" t="s">
        <v>15</v>
      </c>
      <c r="I341" s="37" t="s">
        <v>16</v>
      </c>
      <c r="J341" s="38" t="s">
        <v>17</v>
      </c>
      <c r="K341" s="39" t="s">
        <v>18</v>
      </c>
      <c r="L341" s="38" t="s">
        <v>19</v>
      </c>
      <c r="M341" s="38" t="s">
        <v>20</v>
      </c>
      <c r="N341" s="38" t="s">
        <v>21</v>
      </c>
      <c r="O341" s="33" t="s">
        <v>22</v>
      </c>
      <c r="P341" s="34" t="s">
        <v>23</v>
      </c>
      <c r="Q341" s="38" t="s">
        <v>24</v>
      </c>
      <c r="R341" s="33" t="s">
        <v>25</v>
      </c>
    </row>
    <row r="342" spans="1:18" ht="15" customHeight="1">
      <c r="A342" s="49" t="s">
        <v>61</v>
      </c>
      <c r="B342" s="49" t="s">
        <v>612</v>
      </c>
      <c r="C342" s="50">
        <v>8.6805555555555566E-2</v>
      </c>
      <c r="D342" s="49" t="s">
        <v>63</v>
      </c>
      <c r="E342" s="49" t="s">
        <v>156</v>
      </c>
      <c r="F342" s="49" t="s">
        <v>79</v>
      </c>
      <c r="G342" s="297"/>
      <c r="H342" s="51" t="s">
        <v>613</v>
      </c>
      <c r="I342" s="52">
        <v>0.05</v>
      </c>
      <c r="J342" s="53">
        <v>9</v>
      </c>
      <c r="K342" s="54">
        <v>46344</v>
      </c>
      <c r="L342" s="53">
        <v>9</v>
      </c>
      <c r="M342" s="53">
        <v>0</v>
      </c>
      <c r="N342" s="53">
        <v>0</v>
      </c>
      <c r="O342" s="55" t="s">
        <v>302</v>
      </c>
      <c r="P342" s="56">
        <v>8.6805555555555566E-2</v>
      </c>
      <c r="Q342" s="53">
        <v>180</v>
      </c>
      <c r="R342" s="57" t="s">
        <v>292</v>
      </c>
    </row>
    <row r="343" spans="1:18" ht="15" customHeight="1">
      <c r="A343" s="19" t="s">
        <v>359</v>
      </c>
      <c r="B343" s="19" t="s">
        <v>602</v>
      </c>
      <c r="C343" s="20">
        <v>0.3611111111111111</v>
      </c>
      <c r="D343" s="19" t="s">
        <v>603</v>
      </c>
      <c r="E343" s="19" t="s">
        <v>80</v>
      </c>
      <c r="F343" s="19" t="s">
        <v>657</v>
      </c>
      <c r="G343" s="298"/>
      <c r="H343" s="10"/>
      <c r="I343" s="11"/>
      <c r="J343" s="11"/>
      <c r="K343" s="11"/>
      <c r="L343" s="11"/>
      <c r="M343" s="11"/>
      <c r="N343" s="11"/>
      <c r="O343" s="12"/>
      <c r="P343" s="11"/>
      <c r="Q343" s="13"/>
      <c r="R343" s="14"/>
    </row>
    <row r="344" spans="1:18" ht="15" customHeight="1">
      <c r="A344" s="15" t="s">
        <v>359</v>
      </c>
      <c r="B344" s="15" t="s">
        <v>602</v>
      </c>
      <c r="C344" s="16">
        <v>0.3611111111111111</v>
      </c>
      <c r="D344" s="15" t="s">
        <v>605</v>
      </c>
      <c r="E344" s="15" t="s">
        <v>82</v>
      </c>
      <c r="F344" s="15" t="s">
        <v>658</v>
      </c>
      <c r="G344" s="298"/>
      <c r="H344" s="10"/>
      <c r="I344" s="11"/>
      <c r="J344" s="11"/>
      <c r="K344" s="11"/>
      <c r="L344" s="11"/>
      <c r="M344" s="11"/>
      <c r="N344" s="11"/>
      <c r="O344" s="12"/>
      <c r="P344" s="11"/>
      <c r="Q344" s="13"/>
      <c r="R344" s="14"/>
    </row>
    <row r="345" spans="1:18" ht="15" customHeight="1">
      <c r="A345" s="15" t="s">
        <v>359</v>
      </c>
      <c r="B345" s="15" t="s">
        <v>602</v>
      </c>
      <c r="C345" s="16">
        <v>0.3611111111111111</v>
      </c>
      <c r="D345" s="15" t="s">
        <v>46</v>
      </c>
      <c r="E345" s="15" t="s">
        <v>82</v>
      </c>
      <c r="F345" s="15" t="s">
        <v>659</v>
      </c>
      <c r="G345" s="298"/>
      <c r="H345" s="10"/>
      <c r="I345" s="11"/>
      <c r="J345" s="11"/>
      <c r="K345" s="11"/>
      <c r="L345" s="11"/>
      <c r="M345" s="11"/>
      <c r="N345" s="11"/>
      <c r="O345" s="12"/>
      <c r="P345" s="11"/>
      <c r="Q345" s="13"/>
      <c r="R345" s="14"/>
    </row>
    <row r="346" spans="1:18" ht="15" customHeight="1">
      <c r="A346" s="17" t="s">
        <v>359</v>
      </c>
      <c r="B346" s="17" t="s">
        <v>608</v>
      </c>
      <c r="C346" s="18">
        <v>0.63194444444444442</v>
      </c>
      <c r="D346" s="17" t="s">
        <v>603</v>
      </c>
      <c r="E346" s="17" t="s">
        <v>90</v>
      </c>
      <c r="F346" s="17" t="s">
        <v>657</v>
      </c>
      <c r="G346" s="298"/>
      <c r="H346" s="10"/>
      <c r="I346" s="11"/>
      <c r="J346" s="11"/>
      <c r="K346" s="11"/>
      <c r="L346" s="11"/>
      <c r="M346" s="11"/>
      <c r="N346" s="11"/>
      <c r="O346" s="12"/>
      <c r="P346" s="11"/>
      <c r="Q346" s="13"/>
      <c r="R346" s="14"/>
    </row>
    <row r="347" spans="1:18" ht="15" customHeight="1">
      <c r="A347" s="15" t="s">
        <v>359</v>
      </c>
      <c r="B347" s="15" t="s">
        <v>608</v>
      </c>
      <c r="C347" s="16">
        <v>0.63194444444444442</v>
      </c>
      <c r="D347" s="15" t="s">
        <v>605</v>
      </c>
      <c r="E347" s="15" t="s">
        <v>82</v>
      </c>
      <c r="F347" s="15" t="s">
        <v>658</v>
      </c>
      <c r="G347" s="298"/>
      <c r="H347" s="10"/>
      <c r="I347" s="11"/>
      <c r="J347" s="11"/>
      <c r="K347" s="11"/>
      <c r="L347" s="11"/>
      <c r="M347" s="11"/>
      <c r="N347" s="11"/>
      <c r="O347" s="12"/>
      <c r="P347" s="11"/>
      <c r="Q347" s="13"/>
      <c r="R347" s="14"/>
    </row>
    <row r="348" spans="1:18" ht="15" customHeight="1">
      <c r="A348" s="15" t="s">
        <v>359</v>
      </c>
      <c r="B348" s="15" t="s">
        <v>608</v>
      </c>
      <c r="C348" s="16">
        <v>0.63194444444444442</v>
      </c>
      <c r="D348" s="15" t="s">
        <v>46</v>
      </c>
      <c r="E348" s="15" t="s">
        <v>82</v>
      </c>
      <c r="F348" s="15" t="s">
        <v>659</v>
      </c>
      <c r="G348" s="298"/>
      <c r="H348" s="10"/>
      <c r="I348" s="11"/>
      <c r="J348" s="11"/>
      <c r="K348" s="11"/>
      <c r="L348" s="11"/>
      <c r="M348" s="11"/>
      <c r="N348" s="11"/>
      <c r="O348" s="12"/>
      <c r="P348" s="11"/>
      <c r="Q348" s="13"/>
      <c r="R348" s="14"/>
    </row>
    <row r="349" spans="1:18" ht="15" customHeight="1">
      <c r="A349" s="19" t="s">
        <v>48</v>
      </c>
      <c r="B349" s="19" t="s">
        <v>609</v>
      </c>
      <c r="C349" s="20">
        <v>0.4513888888888889</v>
      </c>
      <c r="D349" s="19" t="s">
        <v>50</v>
      </c>
      <c r="E349" s="19" t="s">
        <v>51</v>
      </c>
      <c r="F349" s="19" t="s">
        <v>660</v>
      </c>
      <c r="G349" s="298"/>
      <c r="H349" s="10"/>
      <c r="I349" s="11"/>
      <c r="J349" s="11"/>
      <c r="K349" s="11"/>
      <c r="L349" s="11"/>
      <c r="M349" s="11"/>
      <c r="N349" s="11"/>
      <c r="O349" s="12"/>
      <c r="P349" s="11"/>
      <c r="Q349" s="13"/>
      <c r="R349" s="14"/>
    </row>
    <row r="350" spans="1:18" ht="15" customHeight="1">
      <c r="A350" s="15" t="s">
        <v>48</v>
      </c>
      <c r="B350" s="15" t="s">
        <v>609</v>
      </c>
      <c r="C350" s="16">
        <v>0.4513888888888889</v>
      </c>
      <c r="D350" s="15" t="s">
        <v>53</v>
      </c>
      <c r="E350" s="15" t="s">
        <v>54</v>
      </c>
      <c r="F350" s="15" t="s">
        <v>661</v>
      </c>
      <c r="G350" s="298"/>
      <c r="H350" s="10"/>
      <c r="I350" s="11"/>
      <c r="J350" s="11"/>
      <c r="K350" s="11"/>
      <c r="L350" s="11"/>
      <c r="M350" s="11"/>
      <c r="N350" s="11"/>
      <c r="O350" s="12"/>
      <c r="P350" s="11"/>
      <c r="Q350" s="13"/>
      <c r="R350" s="14"/>
    </row>
    <row r="351" spans="1:18" ht="15" customHeight="1">
      <c r="A351" s="17" t="s">
        <v>48</v>
      </c>
      <c r="B351" s="17" t="s">
        <v>611</v>
      </c>
      <c r="C351" s="18">
        <v>0.81944444444444453</v>
      </c>
      <c r="D351" s="17" t="s">
        <v>50</v>
      </c>
      <c r="E351" s="17" t="s">
        <v>57</v>
      </c>
      <c r="F351" s="17" t="s">
        <v>660</v>
      </c>
      <c r="G351" s="298"/>
      <c r="H351" s="10"/>
      <c r="I351" s="11"/>
      <c r="J351" s="11"/>
      <c r="K351" s="11"/>
      <c r="L351" s="11"/>
      <c r="M351" s="11"/>
      <c r="N351" s="11"/>
      <c r="O351" s="12"/>
      <c r="P351" s="11"/>
      <c r="Q351" s="13"/>
      <c r="R351" s="14"/>
    </row>
    <row r="352" spans="1:18" ht="15" customHeight="1">
      <c r="A352" s="15" t="s">
        <v>48</v>
      </c>
      <c r="B352" s="15" t="s">
        <v>611</v>
      </c>
      <c r="C352" s="16">
        <v>0.81944444444444453</v>
      </c>
      <c r="D352" s="15" t="s">
        <v>53</v>
      </c>
      <c r="E352" s="15" t="s">
        <v>54</v>
      </c>
      <c r="F352" s="15" t="s">
        <v>661</v>
      </c>
      <c r="G352" s="298"/>
      <c r="H352" s="10"/>
      <c r="I352" s="11"/>
      <c r="J352" s="11"/>
      <c r="K352" s="11"/>
      <c r="L352" s="11"/>
      <c r="M352" s="11"/>
      <c r="N352" s="11"/>
      <c r="O352" s="12"/>
      <c r="P352" s="11"/>
      <c r="Q352" s="13"/>
      <c r="R352" s="14"/>
    </row>
    <row r="353" spans="1:18" ht="18">
      <c r="A353" s="292" t="s">
        <v>615</v>
      </c>
      <c r="B353" s="303"/>
      <c r="C353" s="303"/>
      <c r="D353" s="303"/>
      <c r="E353" s="303"/>
      <c r="F353" s="304"/>
      <c r="G353" s="298"/>
      <c r="H353" s="138"/>
      <c r="I353" s="138"/>
      <c r="J353" s="138"/>
      <c r="K353" s="138"/>
      <c r="L353" s="138"/>
      <c r="M353" s="138"/>
      <c r="N353" s="138"/>
      <c r="O353" s="139"/>
      <c r="P353" s="138"/>
      <c r="Q353" s="107"/>
      <c r="R353" s="107"/>
    </row>
    <row r="354" spans="1:18" ht="15" customHeight="1">
      <c r="A354" s="17" t="s">
        <v>38</v>
      </c>
      <c r="B354" s="17" t="s">
        <v>344</v>
      </c>
      <c r="C354" s="18" t="s">
        <v>593</v>
      </c>
      <c r="D354" s="17" t="s">
        <v>40</v>
      </c>
      <c r="E354" s="17" t="s">
        <v>312</v>
      </c>
      <c r="F354" s="17" t="s">
        <v>347</v>
      </c>
      <c r="G354" s="298"/>
      <c r="H354" s="138"/>
      <c r="I354" s="138"/>
      <c r="J354" s="138"/>
      <c r="K354" s="138"/>
      <c r="L354" s="138"/>
      <c r="M354" s="138"/>
      <c r="N354" s="138"/>
      <c r="O354" s="139"/>
      <c r="P354" s="138"/>
      <c r="Q354" s="107"/>
      <c r="R354" s="107"/>
    </row>
    <row r="355" spans="1:18" ht="15" customHeight="1">
      <c r="A355" s="17" t="s">
        <v>38</v>
      </c>
      <c r="B355" s="17" t="s">
        <v>345</v>
      </c>
      <c r="C355" s="18" t="s">
        <v>594</v>
      </c>
      <c r="D355" s="17" t="s">
        <v>40</v>
      </c>
      <c r="E355" s="17" t="s">
        <v>268</v>
      </c>
      <c r="F355" s="17" t="s">
        <v>347</v>
      </c>
      <c r="G355" s="298"/>
      <c r="H355" s="138"/>
      <c r="I355" s="138"/>
      <c r="J355" s="138"/>
      <c r="K355" s="138"/>
      <c r="L355" s="138"/>
      <c r="M355" s="138"/>
      <c r="N355" s="138"/>
      <c r="O355" s="139"/>
      <c r="P355" s="138"/>
      <c r="Q355" s="107"/>
      <c r="R355" s="107"/>
    </row>
    <row r="356" spans="1:18" ht="15" customHeight="1">
      <c r="A356" s="17" t="s">
        <v>61</v>
      </c>
      <c r="B356" s="17" t="s">
        <v>371</v>
      </c>
      <c r="C356" s="18" t="s">
        <v>273</v>
      </c>
      <c r="D356" s="17" t="s">
        <v>63</v>
      </c>
      <c r="E356" s="17" t="s">
        <v>288</v>
      </c>
      <c r="F356" s="17" t="s">
        <v>365</v>
      </c>
      <c r="G356" s="298"/>
      <c r="H356" s="138"/>
      <c r="I356" s="138"/>
      <c r="J356" s="138"/>
      <c r="K356" s="138"/>
      <c r="L356" s="138"/>
      <c r="M356" s="138"/>
      <c r="N356" s="138"/>
      <c r="O356" s="139"/>
      <c r="P356" s="138"/>
      <c r="Q356" s="107"/>
      <c r="R356" s="107"/>
    </row>
    <row r="357" spans="1:18" ht="15" customHeight="1">
      <c r="A357" s="17" t="s">
        <v>38</v>
      </c>
      <c r="B357" s="17" t="s">
        <v>342</v>
      </c>
      <c r="C357" s="18" t="s">
        <v>592</v>
      </c>
      <c r="D357" s="17" t="s">
        <v>40</v>
      </c>
      <c r="E357" s="17" t="s">
        <v>308</v>
      </c>
      <c r="F357" s="17" t="s">
        <v>121</v>
      </c>
      <c r="G357" s="298"/>
      <c r="H357" s="138"/>
      <c r="I357" s="138"/>
      <c r="J357" s="138"/>
      <c r="K357" s="138"/>
      <c r="L357" s="138"/>
      <c r="M357" s="138"/>
      <c r="N357" s="138"/>
      <c r="O357" s="139"/>
      <c r="P357" s="138"/>
      <c r="Q357" s="107"/>
      <c r="R357" s="107"/>
    </row>
    <row r="358" spans="1:18" ht="15" customHeight="1">
      <c r="A358" s="17" t="s">
        <v>48</v>
      </c>
      <c r="B358" s="17" t="s">
        <v>386</v>
      </c>
      <c r="C358" s="18" t="s">
        <v>574</v>
      </c>
      <c r="D358" s="17" t="s">
        <v>50</v>
      </c>
      <c r="E358" s="17" t="s">
        <v>288</v>
      </c>
      <c r="F358" s="17" t="s">
        <v>383</v>
      </c>
      <c r="G358" s="298"/>
      <c r="H358" s="138"/>
      <c r="I358" s="138"/>
      <c r="J358" s="138"/>
      <c r="K358" s="138"/>
      <c r="L358" s="138"/>
      <c r="M358" s="138"/>
      <c r="N358" s="138"/>
      <c r="O358" s="139"/>
      <c r="P358" s="138"/>
      <c r="Q358" s="107"/>
      <c r="R358" s="107"/>
    </row>
    <row r="359" spans="1:18" ht="15" customHeight="1">
      <c r="A359" s="17" t="s">
        <v>48</v>
      </c>
      <c r="B359" s="17" t="s">
        <v>385</v>
      </c>
      <c r="C359" s="18" t="s">
        <v>271</v>
      </c>
      <c r="D359" s="17" t="s">
        <v>50</v>
      </c>
      <c r="E359" s="17" t="s">
        <v>288</v>
      </c>
      <c r="F359" s="17" t="s">
        <v>383</v>
      </c>
      <c r="G359" s="298"/>
      <c r="H359" s="138"/>
      <c r="I359" s="138"/>
      <c r="J359" s="138"/>
      <c r="K359" s="138"/>
      <c r="L359" s="138"/>
      <c r="M359" s="138"/>
      <c r="N359" s="138"/>
      <c r="O359" s="139"/>
      <c r="P359" s="138"/>
      <c r="Q359" s="107"/>
      <c r="R359" s="107"/>
    </row>
    <row r="360" spans="1:18" ht="15" customHeight="1">
      <c r="A360" s="17" t="s">
        <v>359</v>
      </c>
      <c r="B360" s="17" t="s">
        <v>360</v>
      </c>
      <c r="C360" s="18" t="s">
        <v>599</v>
      </c>
      <c r="D360" s="17" t="s">
        <v>361</v>
      </c>
      <c r="E360" s="17" t="s">
        <v>270</v>
      </c>
      <c r="F360" s="17" t="s">
        <v>493</v>
      </c>
      <c r="G360" s="298"/>
      <c r="H360" s="138"/>
      <c r="I360" s="138"/>
      <c r="J360" s="138"/>
      <c r="K360" s="138"/>
      <c r="L360" s="138"/>
      <c r="M360" s="138"/>
      <c r="N360" s="138"/>
      <c r="O360" s="139"/>
      <c r="P360" s="138"/>
      <c r="Q360" s="107"/>
      <c r="R360" s="107"/>
    </row>
    <row r="361" spans="1:18" ht="15" customHeight="1">
      <c r="A361" s="17" t="s">
        <v>38</v>
      </c>
      <c r="B361" s="17" t="s">
        <v>346</v>
      </c>
      <c r="C361" s="18" t="s">
        <v>600</v>
      </c>
      <c r="D361" s="17" t="s">
        <v>40</v>
      </c>
      <c r="E361" s="17" t="s">
        <v>281</v>
      </c>
      <c r="F361" s="17" t="s">
        <v>349</v>
      </c>
      <c r="G361" s="298"/>
      <c r="H361" s="138"/>
      <c r="I361" s="138"/>
      <c r="J361" s="138"/>
      <c r="K361" s="138"/>
      <c r="L361" s="138"/>
      <c r="M361" s="138"/>
      <c r="N361" s="138"/>
      <c r="O361" s="139"/>
      <c r="P361" s="138"/>
      <c r="Q361" s="107"/>
      <c r="R361" s="107"/>
    </row>
    <row r="362" spans="1:18" ht="15" customHeight="1">
      <c r="A362" s="17" t="s">
        <v>402</v>
      </c>
      <c r="B362" s="17" t="s">
        <v>403</v>
      </c>
      <c r="C362" s="18" t="s">
        <v>662</v>
      </c>
      <c r="D362" s="17" t="s">
        <v>63</v>
      </c>
      <c r="E362" s="17" t="s">
        <v>277</v>
      </c>
      <c r="F362" s="17" t="s">
        <v>404</v>
      </c>
      <c r="G362" s="298"/>
      <c r="H362" s="138"/>
      <c r="I362" s="138"/>
      <c r="J362" s="138"/>
      <c r="K362" s="138"/>
      <c r="L362" s="138"/>
      <c r="M362" s="138"/>
      <c r="N362" s="138"/>
      <c r="O362" s="139"/>
      <c r="P362" s="138"/>
      <c r="Q362" s="107"/>
      <c r="R362" s="107"/>
    </row>
    <row r="363" spans="1:18" ht="15" customHeight="1" thickBot="1">
      <c r="A363" s="30" t="s">
        <v>61</v>
      </c>
      <c r="B363" s="30" t="s">
        <v>369</v>
      </c>
      <c r="C363" s="31" t="s">
        <v>554</v>
      </c>
      <c r="D363" s="30" t="s">
        <v>63</v>
      </c>
      <c r="E363" s="30" t="s">
        <v>269</v>
      </c>
      <c r="F363" s="30" t="s">
        <v>79</v>
      </c>
      <c r="G363" s="299"/>
      <c r="H363" s="140"/>
      <c r="I363" s="140"/>
      <c r="J363" s="140"/>
      <c r="K363" s="140"/>
      <c r="L363" s="140"/>
      <c r="M363" s="140"/>
      <c r="N363" s="140"/>
      <c r="O363" s="141"/>
      <c r="P363" s="140"/>
      <c r="Q363" s="142"/>
      <c r="R363" s="142"/>
    </row>
    <row r="364" spans="1:18" ht="17.45" customHeight="1" thickBot="1">
      <c r="A364" s="283"/>
      <c r="B364" s="284"/>
      <c r="C364" s="284"/>
      <c r="D364" s="284"/>
      <c r="E364" s="284"/>
      <c r="F364" s="284"/>
      <c r="G364" s="284"/>
      <c r="H364" s="284"/>
      <c r="I364" s="284"/>
      <c r="J364" s="284"/>
      <c r="K364" s="284"/>
      <c r="L364" s="284"/>
      <c r="M364" s="284"/>
      <c r="N364" s="284"/>
      <c r="O364" s="284"/>
      <c r="P364" s="284"/>
      <c r="Q364" s="284"/>
      <c r="R364" s="285"/>
    </row>
    <row r="365" spans="1:18" ht="22.15" customHeight="1" thickTop="1" thickBot="1">
      <c r="A365" s="279" t="s">
        <v>6</v>
      </c>
      <c r="B365" s="295"/>
      <c r="C365" s="295"/>
      <c r="D365" s="295"/>
      <c r="E365" s="295"/>
      <c r="F365" s="296"/>
      <c r="G365" s="32">
        <v>46038</v>
      </c>
      <c r="H365" s="278" t="s">
        <v>7</v>
      </c>
      <c r="I365" s="295"/>
      <c r="J365" s="295"/>
      <c r="K365" s="295"/>
      <c r="L365" s="295"/>
      <c r="M365" s="295"/>
      <c r="N365" s="295"/>
      <c r="O365" s="295"/>
      <c r="P365" s="295"/>
      <c r="Q365" s="295"/>
      <c r="R365" s="296"/>
    </row>
    <row r="366" spans="1:18" ht="24" customHeight="1">
      <c r="A366" s="33" t="s">
        <v>8</v>
      </c>
      <c r="B366" s="33" t="s">
        <v>9</v>
      </c>
      <c r="C366" s="34" t="s">
        <v>10</v>
      </c>
      <c r="D366" s="33" t="s">
        <v>11</v>
      </c>
      <c r="E366" s="33" t="s">
        <v>12</v>
      </c>
      <c r="F366" s="35" t="s">
        <v>13</v>
      </c>
      <c r="G366" s="36" t="s">
        <v>14</v>
      </c>
      <c r="H366" s="33" t="s">
        <v>15</v>
      </c>
      <c r="I366" s="37" t="s">
        <v>16</v>
      </c>
      <c r="J366" s="38" t="s">
        <v>17</v>
      </c>
      <c r="K366" s="39" t="s">
        <v>18</v>
      </c>
      <c r="L366" s="38" t="s">
        <v>19</v>
      </c>
      <c r="M366" s="38" t="s">
        <v>20</v>
      </c>
      <c r="N366" s="38" t="s">
        <v>21</v>
      </c>
      <c r="O366" s="33" t="s">
        <v>22</v>
      </c>
      <c r="P366" s="34" t="s">
        <v>23</v>
      </c>
      <c r="Q366" s="38" t="s">
        <v>24</v>
      </c>
      <c r="R366" s="33" t="s">
        <v>25</v>
      </c>
    </row>
    <row r="367" spans="1:18" ht="15" customHeight="1">
      <c r="A367" s="8" t="s">
        <v>359</v>
      </c>
      <c r="B367" s="8" t="s">
        <v>616</v>
      </c>
      <c r="C367" s="9">
        <v>1.041666666666667E-2</v>
      </c>
      <c r="D367" s="8" t="s">
        <v>603</v>
      </c>
      <c r="E367" s="8" t="s">
        <v>80</v>
      </c>
      <c r="F367" s="8" t="s">
        <v>663</v>
      </c>
      <c r="G367" s="297"/>
      <c r="H367" s="10"/>
      <c r="I367" s="11"/>
      <c r="J367" s="11"/>
      <c r="K367" s="11"/>
      <c r="L367" s="11"/>
      <c r="M367" s="11"/>
      <c r="N367" s="11"/>
      <c r="O367" s="12"/>
      <c r="P367" s="11"/>
      <c r="Q367" s="13"/>
      <c r="R367" s="14"/>
    </row>
    <row r="368" spans="1:18" ht="15" customHeight="1">
      <c r="A368" s="15" t="s">
        <v>359</v>
      </c>
      <c r="B368" s="15" t="s">
        <v>616</v>
      </c>
      <c r="C368" s="16">
        <v>1.041666666666667E-2</v>
      </c>
      <c r="D368" s="15" t="s">
        <v>605</v>
      </c>
      <c r="E368" s="15" t="s">
        <v>82</v>
      </c>
      <c r="F368" s="15" t="s">
        <v>664</v>
      </c>
      <c r="G368" s="298"/>
      <c r="H368" s="10"/>
      <c r="I368" s="11"/>
      <c r="J368" s="11"/>
      <c r="K368" s="11"/>
      <c r="L368" s="11"/>
      <c r="M368" s="11"/>
      <c r="N368" s="11"/>
      <c r="O368" s="12"/>
      <c r="P368" s="11"/>
      <c r="Q368" s="13"/>
      <c r="R368" s="14"/>
    </row>
    <row r="369" spans="1:18" ht="15" customHeight="1">
      <c r="A369" s="15" t="s">
        <v>359</v>
      </c>
      <c r="B369" s="15" t="s">
        <v>616</v>
      </c>
      <c r="C369" s="16">
        <v>1.041666666666667E-2</v>
      </c>
      <c r="D369" s="15" t="s">
        <v>46</v>
      </c>
      <c r="E369" s="15" t="s">
        <v>82</v>
      </c>
      <c r="F369" s="15" t="s">
        <v>665</v>
      </c>
      <c r="G369" s="298"/>
      <c r="H369" s="10"/>
      <c r="I369" s="11"/>
      <c r="J369" s="11"/>
      <c r="K369" s="11"/>
      <c r="L369" s="11"/>
      <c r="M369" s="11"/>
      <c r="N369" s="11"/>
      <c r="O369" s="12"/>
      <c r="P369" s="11"/>
      <c r="Q369" s="13"/>
      <c r="R369" s="14"/>
    </row>
    <row r="370" spans="1:18" ht="15" customHeight="1">
      <c r="A370" s="67" t="s">
        <v>61</v>
      </c>
      <c r="B370" s="67" t="s">
        <v>612</v>
      </c>
      <c r="C370" s="68">
        <v>0.22916666666666671</v>
      </c>
      <c r="D370" s="67" t="s">
        <v>63</v>
      </c>
      <c r="E370" s="67" t="s">
        <v>51</v>
      </c>
      <c r="F370" s="67" t="s">
        <v>666</v>
      </c>
      <c r="G370" s="298"/>
      <c r="H370" s="69" t="s">
        <v>613</v>
      </c>
      <c r="I370" s="70">
        <v>2.7799999999999998E-2</v>
      </c>
      <c r="J370" s="71">
        <v>5</v>
      </c>
      <c r="K370" s="72">
        <v>46253</v>
      </c>
      <c r="L370" s="71">
        <v>5</v>
      </c>
      <c r="M370" s="71">
        <v>0</v>
      </c>
      <c r="N370" s="71">
        <v>0</v>
      </c>
      <c r="O370" s="73" t="s">
        <v>667</v>
      </c>
      <c r="P370" s="74">
        <v>0.22916666666666671</v>
      </c>
      <c r="Q370" s="71">
        <v>180</v>
      </c>
      <c r="R370" s="75" t="s">
        <v>471</v>
      </c>
    </row>
    <row r="371" spans="1:18" ht="15" customHeight="1">
      <c r="A371" s="19" t="s">
        <v>48</v>
      </c>
      <c r="B371" s="19" t="s">
        <v>611</v>
      </c>
      <c r="C371" s="20">
        <v>0.81944444444444453</v>
      </c>
      <c r="D371" s="19" t="s">
        <v>53</v>
      </c>
      <c r="E371" s="19" t="s">
        <v>51</v>
      </c>
      <c r="F371" s="19" t="s">
        <v>191</v>
      </c>
      <c r="G371" s="298"/>
      <c r="H371" s="10"/>
      <c r="I371" s="11"/>
      <c r="J371" s="11"/>
      <c r="K371" s="11"/>
      <c r="L371" s="11"/>
      <c r="M371" s="11"/>
      <c r="N371" s="11"/>
      <c r="O371" s="12"/>
      <c r="P371" s="11"/>
      <c r="Q371" s="13"/>
      <c r="R371" s="14"/>
    </row>
    <row r="372" spans="1:18" ht="18">
      <c r="A372" s="292" t="s">
        <v>615</v>
      </c>
      <c r="B372" s="303"/>
      <c r="C372" s="303"/>
      <c r="D372" s="303"/>
      <c r="E372" s="303"/>
      <c r="F372" s="304"/>
      <c r="G372" s="298"/>
      <c r="H372" s="138"/>
      <c r="I372" s="138"/>
      <c r="J372" s="138"/>
      <c r="K372" s="138"/>
      <c r="L372" s="138"/>
      <c r="M372" s="138"/>
      <c r="N372" s="138"/>
      <c r="O372" s="139"/>
      <c r="P372" s="138"/>
      <c r="Q372" s="107"/>
      <c r="R372" s="107"/>
    </row>
    <row r="373" spans="1:18" ht="15" customHeight="1">
      <c r="A373" s="17" t="s">
        <v>38</v>
      </c>
      <c r="B373" s="17" t="s">
        <v>346</v>
      </c>
      <c r="C373" s="18" t="s">
        <v>600</v>
      </c>
      <c r="D373" s="17" t="s">
        <v>40</v>
      </c>
      <c r="E373" s="17" t="s">
        <v>281</v>
      </c>
      <c r="F373" s="17" t="s">
        <v>121</v>
      </c>
      <c r="G373" s="298"/>
      <c r="H373" s="138"/>
      <c r="I373" s="138"/>
      <c r="J373" s="138"/>
      <c r="K373" s="138"/>
      <c r="L373" s="138"/>
      <c r="M373" s="138"/>
      <c r="N373" s="138"/>
      <c r="O373" s="139"/>
      <c r="P373" s="138"/>
      <c r="Q373" s="107"/>
      <c r="R373" s="107"/>
    </row>
    <row r="374" spans="1:18" ht="15" customHeight="1">
      <c r="A374" s="17" t="s">
        <v>359</v>
      </c>
      <c r="B374" s="17" t="s">
        <v>422</v>
      </c>
      <c r="C374" s="18" t="s">
        <v>618</v>
      </c>
      <c r="D374" s="17" t="s">
        <v>361</v>
      </c>
      <c r="E374" s="17" t="s">
        <v>270</v>
      </c>
      <c r="F374" s="17" t="s">
        <v>504</v>
      </c>
      <c r="G374" s="298"/>
      <c r="H374" s="138"/>
      <c r="I374" s="138"/>
      <c r="J374" s="138"/>
      <c r="K374" s="138"/>
      <c r="L374" s="138"/>
      <c r="M374" s="138"/>
      <c r="N374" s="138"/>
      <c r="O374" s="139"/>
      <c r="P374" s="138"/>
      <c r="Q374" s="107"/>
      <c r="R374" s="107"/>
    </row>
    <row r="375" spans="1:18" ht="15" customHeight="1">
      <c r="A375" s="17" t="s">
        <v>359</v>
      </c>
      <c r="B375" s="17" t="s">
        <v>360</v>
      </c>
      <c r="C375" s="18" t="s">
        <v>619</v>
      </c>
      <c r="D375" s="17" t="s">
        <v>361</v>
      </c>
      <c r="E375" s="17" t="s">
        <v>270</v>
      </c>
      <c r="F375" s="17" t="s">
        <v>504</v>
      </c>
      <c r="G375" s="298"/>
      <c r="H375" s="138"/>
      <c r="I375" s="138"/>
      <c r="J375" s="138"/>
      <c r="K375" s="138"/>
      <c r="L375" s="138"/>
      <c r="M375" s="138"/>
      <c r="N375" s="138"/>
      <c r="O375" s="139"/>
      <c r="P375" s="138"/>
      <c r="Q375" s="107"/>
      <c r="R375" s="107"/>
    </row>
    <row r="376" spans="1:18" ht="15" customHeight="1">
      <c r="A376" s="17" t="s">
        <v>359</v>
      </c>
      <c r="B376" s="17" t="s">
        <v>425</v>
      </c>
      <c r="C376" s="18" t="s">
        <v>620</v>
      </c>
      <c r="D376" s="17" t="s">
        <v>361</v>
      </c>
      <c r="E376" s="17" t="s">
        <v>270</v>
      </c>
      <c r="F376" s="17" t="s">
        <v>504</v>
      </c>
      <c r="G376" s="298"/>
      <c r="H376" s="138"/>
      <c r="I376" s="138"/>
      <c r="J376" s="138"/>
      <c r="K376" s="138"/>
      <c r="L376" s="138"/>
      <c r="M376" s="138"/>
      <c r="N376" s="138"/>
      <c r="O376" s="139"/>
      <c r="P376" s="138"/>
      <c r="Q376" s="107"/>
      <c r="R376" s="107"/>
    </row>
    <row r="377" spans="1:18" ht="15" customHeight="1">
      <c r="A377" s="17" t="s">
        <v>38</v>
      </c>
      <c r="B377" s="17" t="s">
        <v>342</v>
      </c>
      <c r="C377" s="18" t="s">
        <v>592</v>
      </c>
      <c r="D377" s="17" t="s">
        <v>40</v>
      </c>
      <c r="E377" s="17" t="s">
        <v>268</v>
      </c>
      <c r="F377" s="17" t="s">
        <v>349</v>
      </c>
      <c r="G377" s="298"/>
      <c r="H377" s="138"/>
      <c r="I377" s="138"/>
      <c r="J377" s="138"/>
      <c r="K377" s="138"/>
      <c r="L377" s="138"/>
      <c r="M377" s="138"/>
      <c r="N377" s="138"/>
      <c r="O377" s="139"/>
      <c r="P377" s="138"/>
      <c r="Q377" s="107"/>
      <c r="R377" s="107"/>
    </row>
    <row r="378" spans="1:18" ht="15" customHeight="1">
      <c r="A378" s="17" t="s">
        <v>402</v>
      </c>
      <c r="B378" s="17" t="s">
        <v>403</v>
      </c>
      <c r="C378" s="18" t="s">
        <v>662</v>
      </c>
      <c r="D378" s="17" t="s">
        <v>63</v>
      </c>
      <c r="E378" s="17" t="s">
        <v>277</v>
      </c>
      <c r="F378" s="17" t="s">
        <v>404</v>
      </c>
      <c r="G378" s="298"/>
      <c r="H378" s="138"/>
      <c r="I378" s="138"/>
      <c r="J378" s="138"/>
      <c r="K378" s="138"/>
      <c r="L378" s="138"/>
      <c r="M378" s="138"/>
      <c r="N378" s="138"/>
      <c r="O378" s="139"/>
      <c r="P378" s="138"/>
      <c r="Q378" s="107"/>
      <c r="R378" s="107"/>
    </row>
    <row r="379" spans="1:18" ht="15" customHeight="1">
      <c r="A379" s="17" t="s">
        <v>61</v>
      </c>
      <c r="B379" s="17" t="s">
        <v>428</v>
      </c>
      <c r="C379" s="18" t="s">
        <v>564</v>
      </c>
      <c r="D379" s="17" t="s">
        <v>63</v>
      </c>
      <c r="E379" s="17" t="s">
        <v>294</v>
      </c>
      <c r="F379" s="17" t="s">
        <v>79</v>
      </c>
      <c r="G379" s="298"/>
      <c r="H379" s="138"/>
      <c r="I379" s="138"/>
      <c r="J379" s="138"/>
      <c r="K379" s="138"/>
      <c r="L379" s="138"/>
      <c r="M379" s="138"/>
      <c r="N379" s="138"/>
      <c r="O379" s="139"/>
      <c r="P379" s="138"/>
      <c r="Q379" s="107"/>
      <c r="R379" s="107"/>
    </row>
    <row r="380" spans="1:18" ht="15" customHeight="1">
      <c r="A380" s="17" t="s">
        <v>61</v>
      </c>
      <c r="B380" s="17" t="s">
        <v>375</v>
      </c>
      <c r="C380" s="18" t="s">
        <v>561</v>
      </c>
      <c r="D380" s="17" t="s">
        <v>63</v>
      </c>
      <c r="E380" s="17" t="s">
        <v>288</v>
      </c>
      <c r="F380" s="17" t="s">
        <v>79</v>
      </c>
      <c r="G380" s="298"/>
      <c r="H380" s="138"/>
      <c r="I380" s="138"/>
      <c r="J380" s="138"/>
      <c r="K380" s="138"/>
      <c r="L380" s="138"/>
      <c r="M380" s="138"/>
      <c r="N380" s="138"/>
      <c r="O380" s="139"/>
      <c r="P380" s="138"/>
      <c r="Q380" s="107"/>
      <c r="R380" s="107"/>
    </row>
    <row r="381" spans="1:18" ht="15" customHeight="1">
      <c r="A381" s="17" t="s">
        <v>61</v>
      </c>
      <c r="B381" s="17" t="s">
        <v>377</v>
      </c>
      <c r="C381" s="18" t="s">
        <v>562</v>
      </c>
      <c r="D381" s="17" t="s">
        <v>63</v>
      </c>
      <c r="E381" s="17" t="s">
        <v>277</v>
      </c>
      <c r="F381" s="17" t="s">
        <v>79</v>
      </c>
      <c r="G381" s="298"/>
      <c r="H381" s="138"/>
      <c r="I381" s="138"/>
      <c r="J381" s="138"/>
      <c r="K381" s="138"/>
      <c r="L381" s="138"/>
      <c r="M381" s="138"/>
      <c r="N381" s="138"/>
      <c r="O381" s="139"/>
      <c r="P381" s="138"/>
      <c r="Q381" s="107"/>
      <c r="R381" s="107"/>
    </row>
    <row r="382" spans="1:18" ht="15" customHeight="1" thickBot="1">
      <c r="A382" s="30" t="s">
        <v>61</v>
      </c>
      <c r="B382" s="30" t="s">
        <v>379</v>
      </c>
      <c r="C382" s="31" t="s">
        <v>563</v>
      </c>
      <c r="D382" s="30" t="s">
        <v>63</v>
      </c>
      <c r="E382" s="30" t="s">
        <v>294</v>
      </c>
      <c r="F382" s="30" t="s">
        <v>79</v>
      </c>
      <c r="G382" s="299"/>
      <c r="H382" s="140"/>
      <c r="I382" s="140"/>
      <c r="J382" s="140"/>
      <c r="K382" s="140"/>
      <c r="L382" s="140"/>
      <c r="M382" s="140"/>
      <c r="N382" s="140"/>
      <c r="O382" s="141"/>
      <c r="P382" s="140"/>
      <c r="Q382" s="142"/>
      <c r="R382" s="142"/>
    </row>
    <row r="383" spans="1:18" ht="17.45" customHeight="1" thickBot="1">
      <c r="A383" s="283"/>
      <c r="B383" s="284"/>
      <c r="C383" s="284"/>
      <c r="D383" s="284"/>
      <c r="E383" s="284"/>
      <c r="F383" s="284"/>
      <c r="G383" s="284"/>
      <c r="H383" s="284"/>
      <c r="I383" s="284"/>
      <c r="J383" s="284"/>
      <c r="K383" s="284"/>
      <c r="L383" s="284"/>
      <c r="M383" s="284"/>
      <c r="N383" s="284"/>
      <c r="O383" s="284"/>
      <c r="P383" s="284"/>
      <c r="Q383" s="284"/>
      <c r="R383" s="285"/>
    </row>
    <row r="384" spans="1:18" ht="22.15" customHeight="1" thickTop="1" thickBot="1">
      <c r="A384" s="279" t="s">
        <v>6</v>
      </c>
      <c r="B384" s="295"/>
      <c r="C384" s="295"/>
      <c r="D384" s="295"/>
      <c r="E384" s="295"/>
      <c r="F384" s="296"/>
      <c r="G384" s="32">
        <v>46039</v>
      </c>
      <c r="H384" s="278" t="s">
        <v>7</v>
      </c>
      <c r="I384" s="295"/>
      <c r="J384" s="295"/>
      <c r="K384" s="295"/>
      <c r="L384" s="295"/>
      <c r="M384" s="295"/>
      <c r="N384" s="295"/>
      <c r="O384" s="295"/>
      <c r="P384" s="295"/>
      <c r="Q384" s="295"/>
      <c r="R384" s="296"/>
    </row>
    <row r="385" spans="1:18" ht="24" customHeight="1">
      <c r="A385" s="33" t="s">
        <v>8</v>
      </c>
      <c r="B385" s="33" t="s">
        <v>9</v>
      </c>
      <c r="C385" s="34" t="s">
        <v>10</v>
      </c>
      <c r="D385" s="33" t="s">
        <v>11</v>
      </c>
      <c r="E385" s="33" t="s">
        <v>12</v>
      </c>
      <c r="F385" s="35" t="s">
        <v>13</v>
      </c>
      <c r="G385" s="36" t="s">
        <v>14</v>
      </c>
      <c r="H385" s="33" t="s">
        <v>15</v>
      </c>
      <c r="I385" s="37" t="s">
        <v>16</v>
      </c>
      <c r="J385" s="38" t="s">
        <v>17</v>
      </c>
      <c r="K385" s="39" t="s">
        <v>18</v>
      </c>
      <c r="L385" s="38" t="s">
        <v>19</v>
      </c>
      <c r="M385" s="38" t="s">
        <v>20</v>
      </c>
      <c r="N385" s="38" t="s">
        <v>21</v>
      </c>
      <c r="O385" s="33" t="s">
        <v>22</v>
      </c>
      <c r="P385" s="34" t="s">
        <v>23</v>
      </c>
      <c r="Q385" s="38" t="s">
        <v>24</v>
      </c>
      <c r="R385" s="33" t="s">
        <v>25</v>
      </c>
    </row>
    <row r="386" spans="1:18" ht="15" customHeight="1">
      <c r="A386" s="8" t="s">
        <v>38</v>
      </c>
      <c r="B386" s="8" t="s">
        <v>621</v>
      </c>
      <c r="C386" s="9">
        <v>0.3611111111111111</v>
      </c>
      <c r="D386" s="8" t="s">
        <v>622</v>
      </c>
      <c r="E386" s="8" t="s">
        <v>168</v>
      </c>
      <c r="F386" s="8" t="s">
        <v>33</v>
      </c>
      <c r="G386" s="297"/>
      <c r="H386" s="10"/>
      <c r="I386" s="11"/>
      <c r="J386" s="11"/>
      <c r="K386" s="11"/>
      <c r="L386" s="11"/>
      <c r="M386" s="11"/>
      <c r="N386" s="11"/>
      <c r="O386" s="12"/>
      <c r="P386" s="11"/>
      <c r="Q386" s="13"/>
      <c r="R386" s="14"/>
    </row>
    <row r="387" spans="1:18" ht="15" customHeight="1">
      <c r="A387" s="15" t="s">
        <v>38</v>
      </c>
      <c r="B387" s="15" t="s">
        <v>621</v>
      </c>
      <c r="C387" s="16">
        <v>0.3611111111111111</v>
      </c>
      <c r="D387" s="15" t="s">
        <v>603</v>
      </c>
      <c r="E387" s="15" t="s">
        <v>114</v>
      </c>
      <c r="F387" s="15" t="s">
        <v>668</v>
      </c>
      <c r="G387" s="298"/>
      <c r="H387" s="10"/>
      <c r="I387" s="11"/>
      <c r="J387" s="11"/>
      <c r="K387" s="11"/>
      <c r="L387" s="11"/>
      <c r="M387" s="11"/>
      <c r="N387" s="11"/>
      <c r="O387" s="12"/>
      <c r="P387" s="11"/>
      <c r="Q387" s="13"/>
      <c r="R387" s="14"/>
    </row>
    <row r="388" spans="1:18" ht="15" customHeight="1">
      <c r="A388" s="15" t="s">
        <v>38</v>
      </c>
      <c r="B388" s="15" t="s">
        <v>621</v>
      </c>
      <c r="C388" s="16">
        <v>0.3611111111111111</v>
      </c>
      <c r="D388" s="15" t="s">
        <v>605</v>
      </c>
      <c r="E388" s="15" t="s">
        <v>114</v>
      </c>
      <c r="F388" s="15" t="s">
        <v>669</v>
      </c>
      <c r="G388" s="298"/>
      <c r="H388" s="10"/>
      <c r="I388" s="11"/>
      <c r="J388" s="11"/>
      <c r="K388" s="11"/>
      <c r="L388" s="11"/>
      <c r="M388" s="11"/>
      <c r="N388" s="11"/>
      <c r="O388" s="12"/>
      <c r="P388" s="11"/>
      <c r="Q388" s="13"/>
      <c r="R388" s="14"/>
    </row>
    <row r="389" spans="1:18" ht="15" customHeight="1">
      <c r="A389" s="15" t="s">
        <v>38</v>
      </c>
      <c r="B389" s="15" t="s">
        <v>621</v>
      </c>
      <c r="C389" s="16">
        <v>0.3611111111111111</v>
      </c>
      <c r="D389" s="15" t="s">
        <v>625</v>
      </c>
      <c r="E389" s="15" t="s">
        <v>114</v>
      </c>
      <c r="F389" s="15" t="s">
        <v>358</v>
      </c>
      <c r="G389" s="298"/>
      <c r="H389" s="10"/>
      <c r="I389" s="11"/>
      <c r="J389" s="11"/>
      <c r="K389" s="11"/>
      <c r="L389" s="11"/>
      <c r="M389" s="11"/>
      <c r="N389" s="11"/>
      <c r="O389" s="12"/>
      <c r="P389" s="11"/>
      <c r="Q389" s="13"/>
      <c r="R389" s="14"/>
    </row>
    <row r="390" spans="1:18" ht="15" customHeight="1">
      <c r="A390" s="19" t="s">
        <v>359</v>
      </c>
      <c r="B390" s="19" t="s">
        <v>602</v>
      </c>
      <c r="C390" s="20">
        <v>0.3611111111111111</v>
      </c>
      <c r="D390" s="19" t="s">
        <v>603</v>
      </c>
      <c r="E390" s="19" t="s">
        <v>80</v>
      </c>
      <c r="F390" s="19" t="s">
        <v>663</v>
      </c>
      <c r="G390" s="298"/>
      <c r="H390" s="10"/>
      <c r="I390" s="11"/>
      <c r="J390" s="11"/>
      <c r="K390" s="11"/>
      <c r="L390" s="11"/>
      <c r="M390" s="11"/>
      <c r="N390" s="11"/>
      <c r="O390" s="12"/>
      <c r="P390" s="11"/>
      <c r="Q390" s="13"/>
      <c r="R390" s="14"/>
    </row>
    <row r="391" spans="1:18" ht="15" customHeight="1">
      <c r="A391" s="15" t="s">
        <v>359</v>
      </c>
      <c r="B391" s="15" t="s">
        <v>602</v>
      </c>
      <c r="C391" s="16">
        <v>0.3611111111111111</v>
      </c>
      <c r="D391" s="15" t="s">
        <v>605</v>
      </c>
      <c r="E391" s="15" t="s">
        <v>82</v>
      </c>
      <c r="F391" s="15" t="s">
        <v>664</v>
      </c>
      <c r="G391" s="298"/>
      <c r="H391" s="10"/>
      <c r="I391" s="11"/>
      <c r="J391" s="11"/>
      <c r="K391" s="11"/>
      <c r="L391" s="11"/>
      <c r="M391" s="11"/>
      <c r="N391" s="11"/>
      <c r="O391" s="12"/>
      <c r="P391" s="11"/>
      <c r="Q391" s="13"/>
      <c r="R391" s="14"/>
    </row>
    <row r="392" spans="1:18" ht="15" customHeight="1">
      <c r="A392" s="15" t="s">
        <v>359</v>
      </c>
      <c r="B392" s="15" t="s">
        <v>602</v>
      </c>
      <c r="C392" s="16">
        <v>0.3611111111111111</v>
      </c>
      <c r="D392" s="15" t="s">
        <v>46</v>
      </c>
      <c r="E392" s="15" t="s">
        <v>82</v>
      </c>
      <c r="F392" s="15" t="s">
        <v>665</v>
      </c>
      <c r="G392" s="298"/>
      <c r="H392" s="10"/>
      <c r="I392" s="11"/>
      <c r="J392" s="11"/>
      <c r="K392" s="11"/>
      <c r="L392" s="11"/>
      <c r="M392" s="11"/>
      <c r="N392" s="11"/>
      <c r="O392" s="12"/>
      <c r="P392" s="11"/>
      <c r="Q392" s="13"/>
      <c r="R392" s="14"/>
    </row>
    <row r="393" spans="1:18" ht="15" customHeight="1">
      <c r="A393" s="17" t="s">
        <v>359</v>
      </c>
      <c r="B393" s="17" t="s">
        <v>628</v>
      </c>
      <c r="C393" s="18">
        <v>2.777777777777778E-2</v>
      </c>
      <c r="D393" s="17" t="s">
        <v>603</v>
      </c>
      <c r="E393" s="17" t="s">
        <v>90</v>
      </c>
      <c r="F393" s="17" t="s">
        <v>663</v>
      </c>
      <c r="G393" s="298"/>
      <c r="H393" s="10"/>
      <c r="I393" s="11"/>
      <c r="J393" s="11"/>
      <c r="K393" s="11"/>
      <c r="L393" s="11"/>
      <c r="M393" s="11"/>
      <c r="N393" s="11"/>
      <c r="O393" s="12"/>
      <c r="P393" s="11"/>
      <c r="Q393" s="13"/>
      <c r="R393" s="14"/>
    </row>
    <row r="394" spans="1:18" ht="15" customHeight="1">
      <c r="A394" s="15" t="s">
        <v>359</v>
      </c>
      <c r="B394" s="15" t="s">
        <v>628</v>
      </c>
      <c r="C394" s="16">
        <v>2.777777777777778E-2</v>
      </c>
      <c r="D394" s="15" t="s">
        <v>605</v>
      </c>
      <c r="E394" s="15" t="s">
        <v>82</v>
      </c>
      <c r="F394" s="15" t="s">
        <v>664</v>
      </c>
      <c r="G394" s="298"/>
      <c r="H394" s="10"/>
      <c r="I394" s="11"/>
      <c r="J394" s="11"/>
      <c r="K394" s="11"/>
      <c r="L394" s="11"/>
      <c r="M394" s="11"/>
      <c r="N394" s="11"/>
      <c r="O394" s="12"/>
      <c r="P394" s="11"/>
      <c r="Q394" s="13"/>
      <c r="R394" s="14"/>
    </row>
    <row r="395" spans="1:18" ht="15" customHeight="1">
      <c r="A395" s="15" t="s">
        <v>359</v>
      </c>
      <c r="B395" s="15" t="s">
        <v>628</v>
      </c>
      <c r="C395" s="16">
        <v>2.777777777777778E-2</v>
      </c>
      <c r="D395" s="15" t="s">
        <v>46</v>
      </c>
      <c r="E395" s="15" t="s">
        <v>82</v>
      </c>
      <c r="F395" s="15" t="s">
        <v>665</v>
      </c>
      <c r="G395" s="298"/>
      <c r="H395" s="10"/>
      <c r="I395" s="11"/>
      <c r="J395" s="11"/>
      <c r="K395" s="11"/>
      <c r="L395" s="11"/>
      <c r="M395" s="11"/>
      <c r="N395" s="11"/>
      <c r="O395" s="12"/>
      <c r="P395" s="11"/>
      <c r="Q395" s="13"/>
      <c r="R395" s="14"/>
    </row>
    <row r="396" spans="1:18" ht="15" customHeight="1">
      <c r="A396" s="21" t="s">
        <v>61</v>
      </c>
      <c r="B396" s="21" t="s">
        <v>629</v>
      </c>
      <c r="C396" s="22">
        <v>0.27083333333333331</v>
      </c>
      <c r="D396" s="21" t="s">
        <v>63</v>
      </c>
      <c r="E396" s="21" t="s">
        <v>126</v>
      </c>
      <c r="F396" s="21" t="s">
        <v>513</v>
      </c>
      <c r="G396" s="298"/>
      <c r="H396" s="23" t="s">
        <v>630</v>
      </c>
      <c r="I396" s="24">
        <v>3.8899999999999997E-2</v>
      </c>
      <c r="J396" s="25">
        <v>7</v>
      </c>
      <c r="K396" s="26">
        <v>46331</v>
      </c>
      <c r="L396" s="25">
        <v>8</v>
      </c>
      <c r="M396" s="25">
        <v>0</v>
      </c>
      <c r="N396" s="25">
        <v>0</v>
      </c>
      <c r="O396" s="27" t="s">
        <v>310</v>
      </c>
      <c r="P396" s="28">
        <v>0.27083333333333331</v>
      </c>
      <c r="Q396" s="25">
        <v>180</v>
      </c>
      <c r="R396" s="29" t="s">
        <v>670</v>
      </c>
    </row>
    <row r="397" spans="1:18" ht="15" customHeight="1">
      <c r="A397" s="148" t="s">
        <v>61</v>
      </c>
      <c r="B397" s="148" t="s">
        <v>612</v>
      </c>
      <c r="C397" s="149">
        <v>0.60416666666666663</v>
      </c>
      <c r="D397" s="148" t="s">
        <v>63</v>
      </c>
      <c r="E397" s="148" t="s">
        <v>57</v>
      </c>
      <c r="F397" s="148" t="s">
        <v>671</v>
      </c>
      <c r="G397" s="298"/>
      <c r="H397" s="51" t="s">
        <v>613</v>
      </c>
      <c r="I397" s="52">
        <v>0.1</v>
      </c>
      <c r="J397" s="53">
        <v>18</v>
      </c>
      <c r="K397" s="54">
        <v>46340</v>
      </c>
      <c r="L397" s="53">
        <v>18</v>
      </c>
      <c r="M397" s="53">
        <v>0</v>
      </c>
      <c r="N397" s="53">
        <v>0</v>
      </c>
      <c r="O397" s="55" t="s">
        <v>672</v>
      </c>
      <c r="P397" s="56">
        <v>0.60416666666666663</v>
      </c>
      <c r="Q397" s="53">
        <v>180</v>
      </c>
      <c r="R397" s="57" t="s">
        <v>673</v>
      </c>
    </row>
    <row r="398" spans="1:18" ht="15" customHeight="1">
      <c r="A398" s="19" t="s">
        <v>68</v>
      </c>
      <c r="B398" s="19" t="s">
        <v>633</v>
      </c>
      <c r="C398" s="20">
        <v>0.45833333333333331</v>
      </c>
      <c r="D398" s="19" t="s">
        <v>70</v>
      </c>
      <c r="E398" s="19" t="s">
        <v>51</v>
      </c>
      <c r="F398" s="19" t="s">
        <v>674</v>
      </c>
      <c r="G398" s="298"/>
      <c r="H398" s="10"/>
      <c r="I398" s="11"/>
      <c r="J398" s="11"/>
      <c r="K398" s="11"/>
      <c r="L398" s="11"/>
      <c r="M398" s="11"/>
      <c r="N398" s="11"/>
      <c r="O398" s="12"/>
      <c r="P398" s="11"/>
      <c r="Q398" s="13"/>
      <c r="R398" s="14"/>
    </row>
    <row r="399" spans="1:18" ht="15" customHeight="1">
      <c r="A399" s="19" t="s">
        <v>48</v>
      </c>
      <c r="B399" s="19" t="s">
        <v>609</v>
      </c>
      <c r="C399" s="20">
        <v>0.4513888888888889</v>
      </c>
      <c r="D399" s="19" t="s">
        <v>53</v>
      </c>
      <c r="E399" s="19" t="s">
        <v>51</v>
      </c>
      <c r="F399" s="19" t="s">
        <v>191</v>
      </c>
      <c r="G399" s="298"/>
      <c r="H399" s="10"/>
      <c r="I399" s="11"/>
      <c r="J399" s="11"/>
      <c r="K399" s="11"/>
      <c r="L399" s="11"/>
      <c r="M399" s="11"/>
      <c r="N399" s="11"/>
      <c r="O399" s="12"/>
      <c r="P399" s="11"/>
      <c r="Q399" s="13"/>
      <c r="R399" s="14"/>
    </row>
    <row r="400" spans="1:18" ht="15" customHeight="1">
      <c r="A400" s="17" t="s">
        <v>48</v>
      </c>
      <c r="B400" s="17" t="s">
        <v>611</v>
      </c>
      <c r="C400" s="18">
        <v>0.81944444444444453</v>
      </c>
      <c r="D400" s="17" t="s">
        <v>53</v>
      </c>
      <c r="E400" s="17" t="s">
        <v>57</v>
      </c>
      <c r="F400" s="17" t="s">
        <v>191</v>
      </c>
      <c r="G400" s="298"/>
      <c r="H400" s="10"/>
      <c r="I400" s="11"/>
      <c r="J400" s="11"/>
      <c r="K400" s="11"/>
      <c r="L400" s="11"/>
      <c r="M400" s="11"/>
      <c r="N400" s="11"/>
      <c r="O400" s="12"/>
      <c r="P400" s="11"/>
      <c r="Q400" s="13"/>
      <c r="R400" s="14"/>
    </row>
    <row r="401" spans="1:18" ht="18">
      <c r="A401" s="292" t="s">
        <v>615</v>
      </c>
      <c r="B401" s="303"/>
      <c r="C401" s="303"/>
      <c r="D401" s="303"/>
      <c r="E401" s="303"/>
      <c r="F401" s="304"/>
      <c r="G401" s="298"/>
      <c r="H401" s="138"/>
      <c r="I401" s="138"/>
      <c r="J401" s="138"/>
      <c r="K401" s="138"/>
      <c r="L401" s="138"/>
      <c r="M401" s="138"/>
      <c r="N401" s="138"/>
      <c r="O401" s="139"/>
      <c r="P401" s="138"/>
      <c r="Q401" s="107"/>
      <c r="R401" s="107"/>
    </row>
    <row r="402" spans="1:18" ht="15" customHeight="1">
      <c r="A402" s="17" t="s">
        <v>38</v>
      </c>
      <c r="B402" s="17" t="s">
        <v>346</v>
      </c>
      <c r="C402" s="18" t="s">
        <v>600</v>
      </c>
      <c r="D402" s="17" t="s">
        <v>40</v>
      </c>
      <c r="E402" s="17" t="s">
        <v>652</v>
      </c>
      <c r="F402" s="17" t="s">
        <v>121</v>
      </c>
      <c r="G402" s="298"/>
      <c r="H402" s="138"/>
      <c r="I402" s="138"/>
      <c r="J402" s="138"/>
      <c r="K402" s="138"/>
      <c r="L402" s="138"/>
      <c r="M402" s="138"/>
      <c r="N402" s="138"/>
      <c r="O402" s="139"/>
      <c r="P402" s="138"/>
      <c r="Q402" s="107"/>
      <c r="R402" s="107"/>
    </row>
    <row r="403" spans="1:18" ht="15" customHeight="1">
      <c r="A403" s="17" t="s">
        <v>359</v>
      </c>
      <c r="B403" s="17" t="s">
        <v>360</v>
      </c>
      <c r="C403" s="18" t="s">
        <v>599</v>
      </c>
      <c r="D403" s="17" t="s">
        <v>361</v>
      </c>
      <c r="E403" s="17" t="s">
        <v>270</v>
      </c>
      <c r="F403" s="17" t="s">
        <v>504</v>
      </c>
      <c r="G403" s="298"/>
      <c r="H403" s="138"/>
      <c r="I403" s="138"/>
      <c r="J403" s="138"/>
      <c r="K403" s="138"/>
      <c r="L403" s="138"/>
      <c r="M403" s="138"/>
      <c r="N403" s="138"/>
      <c r="O403" s="139"/>
      <c r="P403" s="138"/>
      <c r="Q403" s="107"/>
      <c r="R403" s="107"/>
    </row>
    <row r="404" spans="1:18" ht="15" customHeight="1">
      <c r="A404" s="17" t="s">
        <v>359</v>
      </c>
      <c r="B404" s="17" t="s">
        <v>445</v>
      </c>
      <c r="C404" s="18" t="s">
        <v>635</v>
      </c>
      <c r="D404" s="17" t="s">
        <v>361</v>
      </c>
      <c r="E404" s="17" t="s">
        <v>270</v>
      </c>
      <c r="F404" s="17" t="s">
        <v>504</v>
      </c>
      <c r="G404" s="298"/>
      <c r="H404" s="138"/>
      <c r="I404" s="138"/>
      <c r="J404" s="138"/>
      <c r="K404" s="138"/>
      <c r="L404" s="138"/>
      <c r="M404" s="138"/>
      <c r="N404" s="138"/>
      <c r="O404" s="139"/>
      <c r="P404" s="138"/>
      <c r="Q404" s="107"/>
      <c r="R404" s="107"/>
    </row>
    <row r="405" spans="1:18" ht="15" customHeight="1">
      <c r="A405" s="17" t="s">
        <v>402</v>
      </c>
      <c r="B405" s="17" t="s">
        <v>403</v>
      </c>
      <c r="C405" s="18" t="s">
        <v>662</v>
      </c>
      <c r="D405" s="17" t="s">
        <v>63</v>
      </c>
      <c r="E405" s="17" t="s">
        <v>286</v>
      </c>
      <c r="F405" s="17" t="s">
        <v>404</v>
      </c>
      <c r="G405" s="298"/>
      <c r="H405" s="138"/>
      <c r="I405" s="138"/>
      <c r="J405" s="138"/>
      <c r="K405" s="138"/>
      <c r="L405" s="138"/>
      <c r="M405" s="138"/>
      <c r="N405" s="138"/>
      <c r="O405" s="139"/>
      <c r="P405" s="138"/>
      <c r="Q405" s="107"/>
      <c r="R405" s="107"/>
    </row>
    <row r="406" spans="1:18" ht="15" customHeight="1">
      <c r="A406" s="17" t="s">
        <v>38</v>
      </c>
      <c r="B406" s="17" t="s">
        <v>345</v>
      </c>
      <c r="C406" s="18" t="s">
        <v>594</v>
      </c>
      <c r="D406" s="17" t="s">
        <v>40</v>
      </c>
      <c r="E406" s="17" t="s">
        <v>312</v>
      </c>
      <c r="F406" s="17" t="s">
        <v>426</v>
      </c>
      <c r="G406" s="298"/>
      <c r="H406" s="138"/>
      <c r="I406" s="138"/>
      <c r="J406" s="138"/>
      <c r="K406" s="138"/>
      <c r="L406" s="138"/>
      <c r="M406" s="138"/>
      <c r="N406" s="138"/>
      <c r="O406" s="139"/>
      <c r="P406" s="138"/>
      <c r="Q406" s="107"/>
      <c r="R406" s="107"/>
    </row>
    <row r="407" spans="1:18" ht="15" customHeight="1">
      <c r="A407" s="17" t="s">
        <v>26</v>
      </c>
      <c r="B407" s="17" t="s">
        <v>357</v>
      </c>
      <c r="C407" s="18" t="s">
        <v>675</v>
      </c>
      <c r="D407" s="17" t="s">
        <v>28</v>
      </c>
      <c r="E407" s="17" t="s">
        <v>636</v>
      </c>
      <c r="F407" s="17" t="s">
        <v>45</v>
      </c>
      <c r="G407" s="298"/>
      <c r="H407" s="138"/>
      <c r="I407" s="138"/>
      <c r="J407" s="138"/>
      <c r="K407" s="138"/>
      <c r="L407" s="138"/>
      <c r="M407" s="138"/>
      <c r="N407" s="138"/>
      <c r="O407" s="139"/>
      <c r="P407" s="138"/>
      <c r="Q407" s="107"/>
      <c r="R407" s="107"/>
    </row>
    <row r="408" spans="1:18" ht="15" customHeight="1">
      <c r="A408" s="17" t="s">
        <v>61</v>
      </c>
      <c r="B408" s="17" t="s">
        <v>371</v>
      </c>
      <c r="C408" s="18" t="s">
        <v>566</v>
      </c>
      <c r="D408" s="17" t="s">
        <v>63</v>
      </c>
      <c r="E408" s="17" t="s">
        <v>277</v>
      </c>
      <c r="F408" s="17" t="s">
        <v>449</v>
      </c>
      <c r="G408" s="298"/>
      <c r="H408" s="138"/>
      <c r="I408" s="138"/>
      <c r="J408" s="138"/>
      <c r="K408" s="138"/>
      <c r="L408" s="138"/>
      <c r="M408" s="138"/>
      <c r="N408" s="138"/>
      <c r="O408" s="139"/>
      <c r="P408" s="138"/>
      <c r="Q408" s="107"/>
      <c r="R408" s="107"/>
    </row>
    <row r="409" spans="1:18" ht="15" customHeight="1">
      <c r="A409" s="17" t="s">
        <v>61</v>
      </c>
      <c r="B409" s="17" t="s">
        <v>375</v>
      </c>
      <c r="C409" s="18" t="s">
        <v>553</v>
      </c>
      <c r="D409" s="17" t="s">
        <v>63</v>
      </c>
      <c r="E409" s="17" t="s">
        <v>269</v>
      </c>
      <c r="F409" s="17" t="s">
        <v>449</v>
      </c>
      <c r="G409" s="298"/>
      <c r="H409" s="138"/>
      <c r="I409" s="138"/>
      <c r="J409" s="138"/>
      <c r="K409" s="138"/>
      <c r="L409" s="138"/>
      <c r="M409" s="138"/>
      <c r="N409" s="138"/>
      <c r="O409" s="139"/>
      <c r="P409" s="138"/>
      <c r="Q409" s="107"/>
      <c r="R409" s="107"/>
    </row>
    <row r="410" spans="1:18" ht="15" customHeight="1">
      <c r="A410" s="17" t="s">
        <v>38</v>
      </c>
      <c r="B410" s="17" t="s">
        <v>342</v>
      </c>
      <c r="C410" s="18" t="s">
        <v>592</v>
      </c>
      <c r="D410" s="17" t="s">
        <v>40</v>
      </c>
      <c r="E410" s="17" t="s">
        <v>275</v>
      </c>
      <c r="F410" s="17" t="s">
        <v>138</v>
      </c>
      <c r="G410" s="298"/>
      <c r="H410" s="138"/>
      <c r="I410" s="138"/>
      <c r="J410" s="138"/>
      <c r="K410" s="138"/>
      <c r="L410" s="138"/>
      <c r="M410" s="138"/>
      <c r="N410" s="138"/>
      <c r="O410" s="139"/>
      <c r="P410" s="138"/>
      <c r="Q410" s="107"/>
      <c r="R410" s="107"/>
    </row>
    <row r="411" spans="1:18" ht="15" customHeight="1" thickBot="1">
      <c r="A411" s="30" t="s">
        <v>38</v>
      </c>
      <c r="B411" s="30" t="s">
        <v>346</v>
      </c>
      <c r="C411" s="31" t="s">
        <v>600</v>
      </c>
      <c r="D411" s="30" t="s">
        <v>43</v>
      </c>
      <c r="E411" s="30" t="s">
        <v>652</v>
      </c>
      <c r="F411" s="30" t="s">
        <v>123</v>
      </c>
      <c r="G411" s="299"/>
      <c r="H411" s="140"/>
      <c r="I411" s="140"/>
      <c r="J411" s="140"/>
      <c r="K411" s="140"/>
      <c r="L411" s="140"/>
      <c r="M411" s="140"/>
      <c r="N411" s="140"/>
      <c r="O411" s="141"/>
      <c r="P411" s="140"/>
      <c r="Q411" s="142"/>
      <c r="R411" s="142"/>
    </row>
    <row r="412" spans="1:18" ht="17.45" customHeight="1" thickBot="1">
      <c r="A412" s="283"/>
      <c r="B412" s="284"/>
      <c r="C412" s="284"/>
      <c r="D412" s="284"/>
      <c r="E412" s="284"/>
      <c r="F412" s="284"/>
      <c r="G412" s="284"/>
      <c r="H412" s="284"/>
      <c r="I412" s="284"/>
      <c r="J412" s="284"/>
      <c r="K412" s="284"/>
      <c r="L412" s="284"/>
      <c r="M412" s="284"/>
      <c r="N412" s="284"/>
      <c r="O412" s="284"/>
      <c r="P412" s="284"/>
      <c r="Q412" s="284"/>
      <c r="R412" s="285"/>
    </row>
    <row r="413" spans="1:18" ht="22.15" customHeight="1" thickTop="1" thickBot="1">
      <c r="A413" s="279" t="s">
        <v>6</v>
      </c>
      <c r="B413" s="295"/>
      <c r="C413" s="295"/>
      <c r="D413" s="295"/>
      <c r="E413" s="295"/>
      <c r="F413" s="296"/>
      <c r="G413" s="32">
        <v>46040</v>
      </c>
      <c r="H413" s="278" t="s">
        <v>7</v>
      </c>
      <c r="I413" s="295"/>
      <c r="J413" s="295"/>
      <c r="K413" s="295"/>
      <c r="L413" s="295"/>
      <c r="M413" s="295"/>
      <c r="N413" s="295"/>
      <c r="O413" s="295"/>
      <c r="P413" s="295"/>
      <c r="Q413" s="295"/>
      <c r="R413" s="296"/>
    </row>
    <row r="414" spans="1:18" ht="24" customHeight="1">
      <c r="A414" s="33" t="s">
        <v>8</v>
      </c>
      <c r="B414" s="33" t="s">
        <v>9</v>
      </c>
      <c r="C414" s="34" t="s">
        <v>10</v>
      </c>
      <c r="D414" s="33" t="s">
        <v>11</v>
      </c>
      <c r="E414" s="33" t="s">
        <v>12</v>
      </c>
      <c r="F414" s="35" t="s">
        <v>13</v>
      </c>
      <c r="G414" s="36" t="s">
        <v>14</v>
      </c>
      <c r="H414" s="33" t="s">
        <v>15</v>
      </c>
      <c r="I414" s="37" t="s">
        <v>16</v>
      </c>
      <c r="J414" s="38" t="s">
        <v>17</v>
      </c>
      <c r="K414" s="39" t="s">
        <v>18</v>
      </c>
      <c r="L414" s="38" t="s">
        <v>19</v>
      </c>
      <c r="M414" s="38" t="s">
        <v>20</v>
      </c>
      <c r="N414" s="38" t="s">
        <v>21</v>
      </c>
      <c r="O414" s="33" t="s">
        <v>22</v>
      </c>
      <c r="P414" s="34" t="s">
        <v>23</v>
      </c>
      <c r="Q414" s="38" t="s">
        <v>24</v>
      </c>
      <c r="R414" s="33" t="s">
        <v>25</v>
      </c>
    </row>
    <row r="415" spans="1:18" ht="15" customHeight="1">
      <c r="A415" s="49" t="s">
        <v>61</v>
      </c>
      <c r="B415" s="49" t="s">
        <v>612</v>
      </c>
      <c r="C415" s="50">
        <v>0.49652777777777768</v>
      </c>
      <c r="D415" s="49" t="s">
        <v>63</v>
      </c>
      <c r="E415" s="49" t="s">
        <v>51</v>
      </c>
      <c r="F415" s="49" t="s">
        <v>79</v>
      </c>
      <c r="G415" s="297"/>
      <c r="H415" s="51" t="s">
        <v>613</v>
      </c>
      <c r="I415" s="52">
        <v>5.5999999999999999E-3</v>
      </c>
      <c r="J415" s="53">
        <v>1</v>
      </c>
      <c r="K415" s="54">
        <v>46333</v>
      </c>
      <c r="L415" s="53">
        <v>3</v>
      </c>
      <c r="M415" s="53">
        <v>0</v>
      </c>
      <c r="N415" s="53">
        <v>0</v>
      </c>
      <c r="O415" s="55" t="s">
        <v>292</v>
      </c>
      <c r="P415" s="56">
        <v>0.49652777777777768</v>
      </c>
      <c r="Q415" s="53">
        <v>180</v>
      </c>
      <c r="R415" s="57" t="s">
        <v>302</v>
      </c>
    </row>
    <row r="416" spans="1:18" ht="15" customHeight="1">
      <c r="A416" s="160" t="s">
        <v>61</v>
      </c>
      <c r="B416" s="160" t="s">
        <v>629</v>
      </c>
      <c r="C416" s="161">
        <v>0.57986111111111105</v>
      </c>
      <c r="D416" s="160" t="s">
        <v>63</v>
      </c>
      <c r="E416" s="160" t="s">
        <v>37</v>
      </c>
      <c r="F416" s="160" t="s">
        <v>79</v>
      </c>
      <c r="G416" s="298"/>
      <c r="H416" s="23" t="s">
        <v>630</v>
      </c>
      <c r="I416" s="24">
        <v>3.3300000000000003E-2</v>
      </c>
      <c r="J416" s="25">
        <v>6</v>
      </c>
      <c r="K416" s="165"/>
      <c r="L416" s="25">
        <v>0</v>
      </c>
      <c r="M416" s="25">
        <v>0</v>
      </c>
      <c r="N416" s="25">
        <v>0</v>
      </c>
      <c r="O416" s="27" t="s">
        <v>307</v>
      </c>
      <c r="P416" s="28">
        <v>0.57986111111111105</v>
      </c>
      <c r="Q416" s="25">
        <v>180</v>
      </c>
      <c r="R416" s="29" t="s">
        <v>305</v>
      </c>
    </row>
    <row r="417" spans="1:18" ht="15" customHeight="1">
      <c r="A417" s="19" t="s">
        <v>359</v>
      </c>
      <c r="B417" s="19" t="s">
        <v>602</v>
      </c>
      <c r="C417" s="20">
        <v>0.3611111111111111</v>
      </c>
      <c r="D417" s="19" t="s">
        <v>603</v>
      </c>
      <c r="E417" s="19" t="s">
        <v>80</v>
      </c>
      <c r="F417" s="19" t="s">
        <v>663</v>
      </c>
      <c r="G417" s="298"/>
      <c r="H417" s="10"/>
      <c r="I417" s="11"/>
      <c r="J417" s="11"/>
      <c r="K417" s="11"/>
      <c r="L417" s="11"/>
      <c r="M417" s="11"/>
      <c r="N417" s="11"/>
      <c r="O417" s="12"/>
      <c r="P417" s="11"/>
      <c r="Q417" s="13"/>
      <c r="R417" s="14"/>
    </row>
    <row r="418" spans="1:18" ht="15" customHeight="1">
      <c r="A418" s="15" t="s">
        <v>359</v>
      </c>
      <c r="B418" s="15" t="s">
        <v>602</v>
      </c>
      <c r="C418" s="16">
        <v>0.3611111111111111</v>
      </c>
      <c r="D418" s="15" t="s">
        <v>605</v>
      </c>
      <c r="E418" s="15" t="s">
        <v>82</v>
      </c>
      <c r="F418" s="15" t="s">
        <v>664</v>
      </c>
      <c r="G418" s="298"/>
      <c r="H418" s="10"/>
      <c r="I418" s="11"/>
      <c r="J418" s="11"/>
      <c r="K418" s="11"/>
      <c r="L418" s="11"/>
      <c r="M418" s="11"/>
      <c r="N418" s="11"/>
      <c r="O418" s="12"/>
      <c r="P418" s="11"/>
      <c r="Q418" s="13"/>
      <c r="R418" s="14"/>
    </row>
    <row r="419" spans="1:18" ht="15" customHeight="1">
      <c r="A419" s="15" t="s">
        <v>359</v>
      </c>
      <c r="B419" s="15" t="s">
        <v>602</v>
      </c>
      <c r="C419" s="16">
        <v>0.3611111111111111</v>
      </c>
      <c r="D419" s="15" t="s">
        <v>46</v>
      </c>
      <c r="E419" s="15" t="s">
        <v>82</v>
      </c>
      <c r="F419" s="15" t="s">
        <v>665</v>
      </c>
      <c r="G419" s="298"/>
      <c r="H419" s="10"/>
      <c r="I419" s="11"/>
      <c r="J419" s="11"/>
      <c r="K419" s="11"/>
      <c r="L419" s="11"/>
      <c r="M419" s="11"/>
      <c r="N419" s="11"/>
      <c r="O419" s="12"/>
      <c r="P419" s="11"/>
      <c r="Q419" s="13"/>
      <c r="R419" s="14"/>
    </row>
    <row r="420" spans="1:18" ht="15" customHeight="1">
      <c r="A420" s="19" t="s">
        <v>48</v>
      </c>
      <c r="B420" s="19" t="s">
        <v>611</v>
      </c>
      <c r="C420" s="20">
        <v>0.81944444444444453</v>
      </c>
      <c r="D420" s="19" t="s">
        <v>53</v>
      </c>
      <c r="E420" s="19" t="s">
        <v>51</v>
      </c>
      <c r="F420" s="19" t="s">
        <v>191</v>
      </c>
      <c r="G420" s="298"/>
      <c r="H420" s="10"/>
      <c r="I420" s="11"/>
      <c r="J420" s="11"/>
      <c r="K420" s="11"/>
      <c r="L420" s="11"/>
      <c r="M420" s="11"/>
      <c r="N420" s="11"/>
      <c r="O420" s="12"/>
      <c r="P420" s="11"/>
      <c r="Q420" s="13"/>
      <c r="R420" s="14"/>
    </row>
    <row r="421" spans="1:18" ht="18">
      <c r="A421" s="292" t="s">
        <v>615</v>
      </c>
      <c r="B421" s="303"/>
      <c r="C421" s="303"/>
      <c r="D421" s="303"/>
      <c r="E421" s="303"/>
      <c r="F421" s="304"/>
      <c r="G421" s="298"/>
      <c r="H421" s="138"/>
      <c r="I421" s="138"/>
      <c r="J421" s="138"/>
      <c r="K421" s="138"/>
      <c r="L421" s="138"/>
      <c r="M421" s="138"/>
      <c r="N421" s="138"/>
      <c r="O421" s="139"/>
      <c r="P421" s="138"/>
      <c r="Q421" s="107"/>
      <c r="R421" s="107"/>
    </row>
    <row r="422" spans="1:18" ht="15" customHeight="1">
      <c r="A422" s="17" t="s">
        <v>38</v>
      </c>
      <c r="B422" s="17" t="s">
        <v>346</v>
      </c>
      <c r="C422" s="18" t="s">
        <v>600</v>
      </c>
      <c r="D422" s="17" t="s">
        <v>40</v>
      </c>
      <c r="E422" s="17" t="s">
        <v>275</v>
      </c>
      <c r="F422" s="17" t="s">
        <v>347</v>
      </c>
      <c r="G422" s="298"/>
      <c r="H422" s="138"/>
      <c r="I422" s="138"/>
      <c r="J422" s="138"/>
      <c r="K422" s="138"/>
      <c r="L422" s="138"/>
      <c r="M422" s="138"/>
      <c r="N422" s="138"/>
      <c r="O422" s="139"/>
      <c r="P422" s="138"/>
      <c r="Q422" s="107"/>
      <c r="R422" s="107"/>
    </row>
    <row r="423" spans="1:18" ht="15" customHeight="1">
      <c r="A423" s="17" t="s">
        <v>38</v>
      </c>
      <c r="B423" s="17" t="s">
        <v>342</v>
      </c>
      <c r="C423" s="18" t="s">
        <v>592</v>
      </c>
      <c r="D423" s="17" t="s">
        <v>40</v>
      </c>
      <c r="E423" s="17" t="s">
        <v>268</v>
      </c>
      <c r="F423" s="17" t="s">
        <v>347</v>
      </c>
      <c r="G423" s="298"/>
      <c r="H423" s="138"/>
      <c r="I423" s="138"/>
      <c r="J423" s="138"/>
      <c r="K423" s="138"/>
      <c r="L423" s="138"/>
      <c r="M423" s="138"/>
      <c r="N423" s="138"/>
      <c r="O423" s="139"/>
      <c r="P423" s="138"/>
      <c r="Q423" s="107"/>
      <c r="R423" s="107"/>
    </row>
    <row r="424" spans="1:18" ht="15" customHeight="1">
      <c r="A424" s="17" t="s">
        <v>359</v>
      </c>
      <c r="B424" s="17" t="s">
        <v>360</v>
      </c>
      <c r="C424" s="18" t="s">
        <v>257</v>
      </c>
      <c r="D424" s="17" t="s">
        <v>361</v>
      </c>
      <c r="E424" s="17" t="s">
        <v>270</v>
      </c>
      <c r="F424" s="17" t="s">
        <v>504</v>
      </c>
      <c r="G424" s="298"/>
      <c r="H424" s="138"/>
      <c r="I424" s="138"/>
      <c r="J424" s="138"/>
      <c r="K424" s="138"/>
      <c r="L424" s="138"/>
      <c r="M424" s="138"/>
      <c r="N424" s="138"/>
      <c r="O424" s="139"/>
      <c r="P424" s="138"/>
      <c r="Q424" s="107"/>
      <c r="R424" s="107"/>
    </row>
    <row r="425" spans="1:18" ht="15" customHeight="1">
      <c r="A425" s="17" t="s">
        <v>38</v>
      </c>
      <c r="B425" s="17" t="s">
        <v>345</v>
      </c>
      <c r="C425" s="18" t="s">
        <v>594</v>
      </c>
      <c r="D425" s="17" t="s">
        <v>40</v>
      </c>
      <c r="E425" s="17" t="s">
        <v>275</v>
      </c>
      <c r="F425" s="17" t="s">
        <v>349</v>
      </c>
      <c r="G425" s="298"/>
      <c r="H425" s="138"/>
      <c r="I425" s="138"/>
      <c r="J425" s="138"/>
      <c r="K425" s="138"/>
      <c r="L425" s="138"/>
      <c r="M425" s="138"/>
      <c r="N425" s="138"/>
      <c r="O425" s="139"/>
      <c r="P425" s="138"/>
      <c r="Q425" s="107"/>
      <c r="R425" s="107"/>
    </row>
    <row r="426" spans="1:18" ht="15" customHeight="1">
      <c r="A426" s="17" t="s">
        <v>402</v>
      </c>
      <c r="B426" s="17" t="s">
        <v>403</v>
      </c>
      <c r="C426" s="18" t="s">
        <v>662</v>
      </c>
      <c r="D426" s="17" t="s">
        <v>63</v>
      </c>
      <c r="E426" s="17" t="s">
        <v>277</v>
      </c>
      <c r="F426" s="17" t="s">
        <v>404</v>
      </c>
      <c r="G426" s="298"/>
      <c r="H426" s="138"/>
      <c r="I426" s="138"/>
      <c r="J426" s="138"/>
      <c r="K426" s="138"/>
      <c r="L426" s="138"/>
      <c r="M426" s="138"/>
      <c r="N426" s="138"/>
      <c r="O426" s="139"/>
      <c r="P426" s="138"/>
      <c r="Q426" s="107"/>
      <c r="R426" s="107"/>
    </row>
    <row r="427" spans="1:18" ht="15" customHeight="1">
      <c r="A427" s="17" t="s">
        <v>402</v>
      </c>
      <c r="B427" s="17" t="s">
        <v>465</v>
      </c>
      <c r="C427" s="18" t="s">
        <v>676</v>
      </c>
      <c r="D427" s="17" t="s">
        <v>63</v>
      </c>
      <c r="E427" s="17" t="s">
        <v>277</v>
      </c>
      <c r="F427" s="17" t="s">
        <v>404</v>
      </c>
      <c r="G427" s="298"/>
      <c r="H427" s="138"/>
      <c r="I427" s="138"/>
      <c r="J427" s="138"/>
      <c r="K427" s="138"/>
      <c r="L427" s="138"/>
      <c r="M427" s="138"/>
      <c r="N427" s="138"/>
      <c r="O427" s="139"/>
      <c r="P427" s="138"/>
      <c r="Q427" s="107"/>
      <c r="R427" s="107"/>
    </row>
    <row r="428" spans="1:18" ht="15" customHeight="1">
      <c r="A428" s="17" t="s">
        <v>61</v>
      </c>
      <c r="B428" s="17" t="s">
        <v>369</v>
      </c>
      <c r="C428" s="18" t="s">
        <v>553</v>
      </c>
      <c r="D428" s="17" t="s">
        <v>63</v>
      </c>
      <c r="E428" s="17" t="s">
        <v>269</v>
      </c>
      <c r="F428" s="17" t="s">
        <v>79</v>
      </c>
      <c r="G428" s="298"/>
      <c r="H428" s="138"/>
      <c r="I428" s="138"/>
      <c r="J428" s="138"/>
      <c r="K428" s="138"/>
      <c r="L428" s="138"/>
      <c r="M428" s="138"/>
      <c r="N428" s="138"/>
      <c r="O428" s="139"/>
      <c r="P428" s="138"/>
      <c r="Q428" s="107"/>
      <c r="R428" s="107"/>
    </row>
    <row r="429" spans="1:18" ht="15" customHeight="1">
      <c r="A429" s="17" t="s">
        <v>61</v>
      </c>
      <c r="B429" s="17" t="s">
        <v>432</v>
      </c>
      <c r="C429" s="18" t="s">
        <v>572</v>
      </c>
      <c r="D429" s="17" t="s">
        <v>63</v>
      </c>
      <c r="E429" s="17" t="s">
        <v>303</v>
      </c>
      <c r="F429" s="17" t="s">
        <v>79</v>
      </c>
      <c r="G429" s="298"/>
      <c r="H429" s="138"/>
      <c r="I429" s="138"/>
      <c r="J429" s="138"/>
      <c r="K429" s="138"/>
      <c r="L429" s="138"/>
      <c r="M429" s="138"/>
      <c r="N429" s="138"/>
      <c r="O429" s="139"/>
      <c r="P429" s="138"/>
      <c r="Q429" s="107"/>
      <c r="R429" s="107"/>
    </row>
    <row r="430" spans="1:18" ht="15" customHeight="1">
      <c r="A430" s="17" t="s">
        <v>61</v>
      </c>
      <c r="B430" s="17" t="s">
        <v>377</v>
      </c>
      <c r="C430" s="18" t="s">
        <v>573</v>
      </c>
      <c r="D430" s="17" t="s">
        <v>63</v>
      </c>
      <c r="E430" s="17" t="s">
        <v>288</v>
      </c>
      <c r="F430" s="17" t="s">
        <v>79</v>
      </c>
      <c r="G430" s="298"/>
      <c r="H430" s="138"/>
      <c r="I430" s="138"/>
      <c r="J430" s="138"/>
      <c r="K430" s="138"/>
      <c r="L430" s="138"/>
      <c r="M430" s="138"/>
      <c r="N430" s="138"/>
      <c r="O430" s="139"/>
      <c r="P430" s="138"/>
      <c r="Q430" s="107"/>
      <c r="R430" s="107"/>
    </row>
    <row r="431" spans="1:18" ht="15" customHeight="1" thickBot="1">
      <c r="A431" s="30" t="s">
        <v>61</v>
      </c>
      <c r="B431" s="30" t="s">
        <v>379</v>
      </c>
      <c r="C431" s="31" t="s">
        <v>574</v>
      </c>
      <c r="D431" s="30" t="s">
        <v>63</v>
      </c>
      <c r="E431" s="30" t="s">
        <v>288</v>
      </c>
      <c r="F431" s="30" t="s">
        <v>79</v>
      </c>
      <c r="G431" s="299"/>
      <c r="H431" s="140"/>
      <c r="I431" s="140"/>
      <c r="J431" s="140"/>
      <c r="K431" s="140"/>
      <c r="L431" s="140"/>
      <c r="M431" s="140"/>
      <c r="N431" s="140"/>
      <c r="O431" s="141"/>
      <c r="P431" s="140"/>
      <c r="Q431" s="142"/>
      <c r="R431" s="142"/>
    </row>
    <row r="432" spans="1:18" ht="17.45" customHeight="1" thickBot="1">
      <c r="A432" s="283"/>
      <c r="B432" s="284"/>
      <c r="C432" s="284"/>
      <c r="D432" s="284"/>
      <c r="E432" s="284"/>
      <c r="F432" s="284"/>
      <c r="G432" s="284"/>
      <c r="H432" s="284"/>
      <c r="I432" s="284"/>
      <c r="J432" s="284"/>
      <c r="K432" s="284"/>
      <c r="L432" s="284"/>
      <c r="M432" s="284"/>
      <c r="N432" s="284"/>
      <c r="O432" s="284"/>
      <c r="P432" s="284"/>
      <c r="Q432" s="284"/>
      <c r="R432" s="285"/>
    </row>
    <row r="433" spans="1:18" ht="22.15" customHeight="1" thickTop="1" thickBot="1">
      <c r="A433" s="279" t="s">
        <v>6</v>
      </c>
      <c r="B433" s="295"/>
      <c r="C433" s="295"/>
      <c r="D433" s="295"/>
      <c r="E433" s="295"/>
      <c r="F433" s="296"/>
      <c r="G433" s="32">
        <v>46041</v>
      </c>
      <c r="H433" s="278" t="s">
        <v>7</v>
      </c>
      <c r="I433" s="295"/>
      <c r="J433" s="295"/>
      <c r="K433" s="295"/>
      <c r="L433" s="295"/>
      <c r="M433" s="295"/>
      <c r="N433" s="295"/>
      <c r="O433" s="295"/>
      <c r="P433" s="295"/>
      <c r="Q433" s="295"/>
      <c r="R433" s="296"/>
    </row>
    <row r="434" spans="1:18" ht="24" customHeight="1">
      <c r="A434" s="33" t="s">
        <v>8</v>
      </c>
      <c r="B434" s="33" t="s">
        <v>9</v>
      </c>
      <c r="C434" s="34" t="s">
        <v>10</v>
      </c>
      <c r="D434" s="33" t="s">
        <v>11</v>
      </c>
      <c r="E434" s="33" t="s">
        <v>12</v>
      </c>
      <c r="F434" s="35" t="s">
        <v>13</v>
      </c>
      <c r="G434" s="36" t="s">
        <v>14</v>
      </c>
      <c r="H434" s="33" t="s">
        <v>15</v>
      </c>
      <c r="I434" s="37" t="s">
        <v>16</v>
      </c>
      <c r="J434" s="38" t="s">
        <v>17</v>
      </c>
      <c r="K434" s="39" t="s">
        <v>18</v>
      </c>
      <c r="L434" s="38" t="s">
        <v>19</v>
      </c>
      <c r="M434" s="38" t="s">
        <v>20</v>
      </c>
      <c r="N434" s="38" t="s">
        <v>21</v>
      </c>
      <c r="O434" s="33" t="s">
        <v>22</v>
      </c>
      <c r="P434" s="34" t="s">
        <v>23</v>
      </c>
      <c r="Q434" s="38" t="s">
        <v>24</v>
      </c>
      <c r="R434" s="33" t="s">
        <v>25</v>
      </c>
    </row>
    <row r="435" spans="1:18" ht="15" customHeight="1">
      <c r="A435" s="8" t="s">
        <v>359</v>
      </c>
      <c r="B435" s="8" t="s">
        <v>637</v>
      </c>
      <c r="C435" s="9">
        <v>0.12847222222222221</v>
      </c>
      <c r="D435" s="8" t="s">
        <v>603</v>
      </c>
      <c r="E435" s="8" t="s">
        <v>80</v>
      </c>
      <c r="F435" s="8" t="s">
        <v>677</v>
      </c>
      <c r="G435" s="297"/>
      <c r="H435" s="10"/>
      <c r="I435" s="11"/>
      <c r="J435" s="11"/>
      <c r="K435" s="11"/>
      <c r="L435" s="11"/>
      <c r="M435" s="11"/>
      <c r="N435" s="11"/>
      <c r="O435" s="12"/>
      <c r="P435" s="11"/>
      <c r="Q435" s="13"/>
      <c r="R435" s="14"/>
    </row>
    <row r="436" spans="1:18" ht="15" customHeight="1">
      <c r="A436" s="15" t="s">
        <v>359</v>
      </c>
      <c r="B436" s="15" t="s">
        <v>637</v>
      </c>
      <c r="C436" s="16">
        <v>0.12847222222222221</v>
      </c>
      <c r="D436" s="15" t="s">
        <v>605</v>
      </c>
      <c r="E436" s="15" t="s">
        <v>82</v>
      </c>
      <c r="F436" s="15" t="s">
        <v>678</v>
      </c>
      <c r="G436" s="298"/>
      <c r="H436" s="10"/>
      <c r="I436" s="11"/>
      <c r="J436" s="11"/>
      <c r="K436" s="11"/>
      <c r="L436" s="11"/>
      <c r="M436" s="11"/>
      <c r="N436" s="11"/>
      <c r="O436" s="12"/>
      <c r="P436" s="11"/>
      <c r="Q436" s="13"/>
      <c r="R436" s="14"/>
    </row>
    <row r="437" spans="1:18" ht="15" customHeight="1">
      <c r="A437" s="15" t="s">
        <v>359</v>
      </c>
      <c r="B437" s="15" t="s">
        <v>637</v>
      </c>
      <c r="C437" s="16">
        <v>0.12847222222222221</v>
      </c>
      <c r="D437" s="15" t="s">
        <v>46</v>
      </c>
      <c r="E437" s="15" t="s">
        <v>82</v>
      </c>
      <c r="F437" s="15" t="s">
        <v>679</v>
      </c>
      <c r="G437" s="298"/>
      <c r="H437" s="10"/>
      <c r="I437" s="11"/>
      <c r="J437" s="11"/>
      <c r="K437" s="11"/>
      <c r="L437" s="11"/>
      <c r="M437" s="11"/>
      <c r="N437" s="11"/>
      <c r="O437" s="12"/>
      <c r="P437" s="11"/>
      <c r="Q437" s="13"/>
      <c r="R437" s="14"/>
    </row>
    <row r="438" spans="1:18" ht="15" customHeight="1">
      <c r="A438" s="49" t="s">
        <v>61</v>
      </c>
      <c r="B438" s="49" t="s">
        <v>612</v>
      </c>
      <c r="C438" s="50">
        <v>0.45833333333333331</v>
      </c>
      <c r="D438" s="49" t="s">
        <v>63</v>
      </c>
      <c r="E438" s="49" t="s">
        <v>103</v>
      </c>
      <c r="F438" s="49" t="s">
        <v>79</v>
      </c>
      <c r="G438" s="298"/>
      <c r="H438" s="51" t="s">
        <v>613</v>
      </c>
      <c r="I438" s="52">
        <v>2.7799999999999998E-2</v>
      </c>
      <c r="J438" s="53">
        <v>5</v>
      </c>
      <c r="K438" s="54">
        <v>46341</v>
      </c>
      <c r="L438" s="53">
        <v>6</v>
      </c>
      <c r="M438" s="53">
        <v>0</v>
      </c>
      <c r="N438" s="53">
        <v>0</v>
      </c>
      <c r="O438" s="55" t="s">
        <v>306</v>
      </c>
      <c r="P438" s="56">
        <v>0.45833333333333331</v>
      </c>
      <c r="Q438" s="53">
        <v>180</v>
      </c>
      <c r="R438" s="57" t="s">
        <v>306</v>
      </c>
    </row>
    <row r="439" spans="1:18" ht="15" customHeight="1">
      <c r="A439" s="154" t="s">
        <v>61</v>
      </c>
      <c r="B439" s="154" t="s">
        <v>629</v>
      </c>
      <c r="C439" s="155">
        <v>0.14930555555555561</v>
      </c>
      <c r="D439" s="154" t="s">
        <v>63</v>
      </c>
      <c r="E439" s="154" t="s">
        <v>57</v>
      </c>
      <c r="F439" s="154" t="s">
        <v>79</v>
      </c>
      <c r="G439" s="298"/>
      <c r="H439" s="69" t="s">
        <v>630</v>
      </c>
      <c r="I439" s="70">
        <v>0</v>
      </c>
      <c r="J439" s="71">
        <v>0</v>
      </c>
      <c r="K439" s="72" t="s">
        <v>66</v>
      </c>
      <c r="L439" s="71">
        <v>0</v>
      </c>
      <c r="M439" s="71">
        <v>0</v>
      </c>
      <c r="N439" s="71">
        <v>0</v>
      </c>
      <c r="O439" s="73" t="s">
        <v>292</v>
      </c>
      <c r="P439" s="74">
        <v>0.14930555555555561</v>
      </c>
      <c r="Q439" s="71">
        <v>180</v>
      </c>
      <c r="R439" s="75" t="s">
        <v>66</v>
      </c>
    </row>
    <row r="440" spans="1:18" ht="15" customHeight="1">
      <c r="A440" s="19" t="s">
        <v>48</v>
      </c>
      <c r="B440" s="19" t="s">
        <v>611</v>
      </c>
      <c r="C440" s="20">
        <v>0.81944444444444453</v>
      </c>
      <c r="D440" s="19" t="s">
        <v>50</v>
      </c>
      <c r="E440" s="19" t="s">
        <v>51</v>
      </c>
      <c r="F440" s="19" t="s">
        <v>133</v>
      </c>
      <c r="G440" s="298"/>
      <c r="H440" s="10"/>
      <c r="I440" s="11"/>
      <c r="J440" s="11"/>
      <c r="K440" s="11"/>
      <c r="L440" s="11"/>
      <c r="M440" s="11"/>
      <c r="N440" s="11"/>
      <c r="O440" s="12"/>
      <c r="P440" s="11"/>
      <c r="Q440" s="13"/>
      <c r="R440" s="14"/>
    </row>
    <row r="441" spans="1:18" ht="15" customHeight="1">
      <c r="A441" s="15" t="s">
        <v>48</v>
      </c>
      <c r="B441" s="15" t="s">
        <v>611</v>
      </c>
      <c r="C441" s="16">
        <v>0.81944444444444453</v>
      </c>
      <c r="D441" s="15" t="s">
        <v>53</v>
      </c>
      <c r="E441" s="15" t="s">
        <v>54</v>
      </c>
      <c r="F441" s="15" t="s">
        <v>610</v>
      </c>
      <c r="G441" s="298"/>
      <c r="H441" s="10"/>
      <c r="I441" s="11"/>
      <c r="J441" s="11"/>
      <c r="K441" s="11"/>
      <c r="L441" s="11"/>
      <c r="M441" s="11"/>
      <c r="N441" s="11"/>
      <c r="O441" s="12"/>
      <c r="P441" s="11"/>
      <c r="Q441" s="13"/>
      <c r="R441" s="14"/>
    </row>
    <row r="442" spans="1:18" ht="18">
      <c r="A442" s="292" t="s">
        <v>615</v>
      </c>
      <c r="B442" s="303"/>
      <c r="C442" s="303"/>
      <c r="D442" s="303"/>
      <c r="E442" s="303"/>
      <c r="F442" s="304"/>
      <c r="G442" s="298"/>
      <c r="H442" s="138"/>
      <c r="I442" s="138"/>
      <c r="J442" s="138"/>
      <c r="K442" s="138"/>
      <c r="L442" s="138"/>
      <c r="M442" s="138"/>
      <c r="N442" s="138"/>
      <c r="O442" s="139"/>
      <c r="P442" s="138"/>
      <c r="Q442" s="107"/>
      <c r="R442" s="107"/>
    </row>
    <row r="443" spans="1:18" ht="15" customHeight="1">
      <c r="A443" s="17" t="s">
        <v>38</v>
      </c>
      <c r="B443" s="17" t="s">
        <v>342</v>
      </c>
      <c r="C443" s="18" t="s">
        <v>592</v>
      </c>
      <c r="D443" s="17" t="s">
        <v>40</v>
      </c>
      <c r="E443" s="17" t="s">
        <v>281</v>
      </c>
      <c r="F443" s="17" t="s">
        <v>81</v>
      </c>
      <c r="G443" s="298"/>
      <c r="H443" s="138"/>
      <c r="I443" s="138"/>
      <c r="J443" s="138"/>
      <c r="K443" s="138"/>
      <c r="L443" s="138"/>
      <c r="M443" s="138"/>
      <c r="N443" s="138"/>
      <c r="O443" s="139"/>
      <c r="P443" s="138"/>
      <c r="Q443" s="107"/>
      <c r="R443" s="107"/>
    </row>
    <row r="444" spans="1:18" ht="15" customHeight="1">
      <c r="A444" s="17" t="s">
        <v>38</v>
      </c>
      <c r="B444" s="17" t="s">
        <v>346</v>
      </c>
      <c r="C444" s="18" t="s">
        <v>600</v>
      </c>
      <c r="D444" s="17" t="s">
        <v>40</v>
      </c>
      <c r="E444" s="17" t="s">
        <v>268</v>
      </c>
      <c r="F444" s="17" t="s">
        <v>347</v>
      </c>
      <c r="G444" s="298"/>
      <c r="H444" s="138"/>
      <c r="I444" s="138"/>
      <c r="J444" s="138"/>
      <c r="K444" s="138"/>
      <c r="L444" s="138"/>
      <c r="M444" s="138"/>
      <c r="N444" s="138"/>
      <c r="O444" s="139"/>
      <c r="P444" s="138"/>
      <c r="Q444" s="107"/>
      <c r="R444" s="107"/>
    </row>
    <row r="445" spans="1:18" ht="15" customHeight="1">
      <c r="A445" s="17" t="s">
        <v>38</v>
      </c>
      <c r="B445" s="17" t="s">
        <v>345</v>
      </c>
      <c r="C445" s="18" t="s">
        <v>594</v>
      </c>
      <c r="D445" s="17" t="s">
        <v>40</v>
      </c>
      <c r="E445" s="17" t="s">
        <v>268</v>
      </c>
      <c r="F445" s="17" t="s">
        <v>347</v>
      </c>
      <c r="G445" s="298"/>
      <c r="H445" s="138"/>
      <c r="I445" s="138"/>
      <c r="J445" s="138"/>
      <c r="K445" s="138"/>
      <c r="L445" s="138"/>
      <c r="M445" s="138"/>
      <c r="N445" s="138"/>
      <c r="O445" s="139"/>
      <c r="P445" s="138"/>
      <c r="Q445" s="107"/>
      <c r="R445" s="107"/>
    </row>
    <row r="446" spans="1:18" ht="15" customHeight="1">
      <c r="A446" s="17" t="s">
        <v>359</v>
      </c>
      <c r="B446" s="17" t="s">
        <v>360</v>
      </c>
      <c r="C446" s="18" t="s">
        <v>619</v>
      </c>
      <c r="D446" s="17" t="s">
        <v>361</v>
      </c>
      <c r="E446" s="17" t="s">
        <v>270</v>
      </c>
      <c r="F446" s="17" t="s">
        <v>525</v>
      </c>
      <c r="G446" s="298"/>
      <c r="H446" s="138"/>
      <c r="I446" s="138"/>
      <c r="J446" s="138"/>
      <c r="K446" s="138"/>
      <c r="L446" s="138"/>
      <c r="M446" s="138"/>
      <c r="N446" s="138"/>
      <c r="O446" s="139"/>
      <c r="P446" s="138"/>
      <c r="Q446" s="107"/>
      <c r="R446" s="107"/>
    </row>
    <row r="447" spans="1:18" ht="15" customHeight="1">
      <c r="A447" s="17" t="s">
        <v>359</v>
      </c>
      <c r="B447" s="17" t="s">
        <v>445</v>
      </c>
      <c r="C447" s="18" t="s">
        <v>641</v>
      </c>
      <c r="D447" s="17" t="s">
        <v>361</v>
      </c>
      <c r="E447" s="17" t="s">
        <v>270</v>
      </c>
      <c r="F447" s="17" t="s">
        <v>525</v>
      </c>
      <c r="G447" s="298"/>
      <c r="H447" s="138"/>
      <c r="I447" s="138"/>
      <c r="J447" s="138"/>
      <c r="K447" s="138"/>
      <c r="L447" s="138"/>
      <c r="M447" s="138"/>
      <c r="N447" s="138"/>
      <c r="O447" s="139"/>
      <c r="P447" s="138"/>
      <c r="Q447" s="107"/>
      <c r="R447" s="107"/>
    </row>
    <row r="448" spans="1:18" ht="15" customHeight="1">
      <c r="A448" s="17" t="s">
        <v>61</v>
      </c>
      <c r="B448" s="17" t="s">
        <v>375</v>
      </c>
      <c r="C448" s="18" t="s">
        <v>575</v>
      </c>
      <c r="D448" s="17" t="s">
        <v>63</v>
      </c>
      <c r="E448" s="17" t="s">
        <v>286</v>
      </c>
      <c r="F448" s="17" t="s">
        <v>365</v>
      </c>
      <c r="G448" s="298"/>
      <c r="H448" s="138"/>
      <c r="I448" s="138"/>
      <c r="J448" s="138"/>
      <c r="K448" s="138"/>
      <c r="L448" s="138"/>
      <c r="M448" s="138"/>
      <c r="N448" s="138"/>
      <c r="O448" s="139"/>
      <c r="P448" s="138"/>
      <c r="Q448" s="107"/>
      <c r="R448" s="107"/>
    </row>
    <row r="449" spans="1:18" ht="15" customHeight="1">
      <c r="A449" s="17" t="s">
        <v>61</v>
      </c>
      <c r="B449" s="17" t="s">
        <v>377</v>
      </c>
      <c r="C449" s="18" t="s">
        <v>563</v>
      </c>
      <c r="D449" s="17" t="s">
        <v>63</v>
      </c>
      <c r="E449" s="17" t="s">
        <v>294</v>
      </c>
      <c r="F449" s="17" t="s">
        <v>365</v>
      </c>
      <c r="G449" s="298"/>
      <c r="H449" s="138"/>
      <c r="I449" s="138"/>
      <c r="J449" s="138"/>
      <c r="K449" s="138"/>
      <c r="L449" s="138"/>
      <c r="M449" s="138"/>
      <c r="N449" s="138"/>
      <c r="O449" s="139"/>
      <c r="P449" s="138"/>
      <c r="Q449" s="107"/>
      <c r="R449" s="107"/>
    </row>
    <row r="450" spans="1:18" ht="15" customHeight="1">
      <c r="A450" s="17" t="s">
        <v>38</v>
      </c>
      <c r="B450" s="17" t="s">
        <v>344</v>
      </c>
      <c r="C450" s="18" t="s">
        <v>593</v>
      </c>
      <c r="D450" s="17" t="s">
        <v>40</v>
      </c>
      <c r="E450" s="17" t="s">
        <v>281</v>
      </c>
      <c r="F450" s="17" t="s">
        <v>121</v>
      </c>
      <c r="G450" s="298"/>
      <c r="H450" s="138"/>
      <c r="I450" s="138"/>
      <c r="J450" s="138"/>
      <c r="K450" s="138"/>
      <c r="L450" s="138"/>
      <c r="M450" s="138"/>
      <c r="N450" s="138"/>
      <c r="O450" s="139"/>
      <c r="P450" s="138"/>
      <c r="Q450" s="107"/>
      <c r="R450" s="107"/>
    </row>
    <row r="451" spans="1:18" ht="15" customHeight="1">
      <c r="A451" s="17" t="s">
        <v>48</v>
      </c>
      <c r="B451" s="17" t="s">
        <v>386</v>
      </c>
      <c r="C451" s="18" t="s">
        <v>574</v>
      </c>
      <c r="D451" s="17" t="s">
        <v>50</v>
      </c>
      <c r="E451" s="17" t="s">
        <v>288</v>
      </c>
      <c r="F451" s="17" t="s">
        <v>383</v>
      </c>
      <c r="G451" s="298"/>
      <c r="H451" s="138"/>
      <c r="I451" s="138"/>
      <c r="J451" s="138"/>
      <c r="K451" s="138"/>
      <c r="L451" s="138"/>
      <c r="M451" s="138"/>
      <c r="N451" s="138"/>
      <c r="O451" s="139"/>
      <c r="P451" s="138"/>
      <c r="Q451" s="107"/>
      <c r="R451" s="107"/>
    </row>
    <row r="452" spans="1:18" ht="15" customHeight="1" thickBot="1">
      <c r="A452" s="30" t="s">
        <v>48</v>
      </c>
      <c r="B452" s="30" t="s">
        <v>382</v>
      </c>
      <c r="C452" s="31" t="s">
        <v>680</v>
      </c>
      <c r="D452" s="30" t="s">
        <v>50</v>
      </c>
      <c r="E452" s="30" t="s">
        <v>294</v>
      </c>
      <c r="F452" s="30" t="s">
        <v>383</v>
      </c>
      <c r="G452" s="299"/>
      <c r="H452" s="140"/>
      <c r="I452" s="140"/>
      <c r="J452" s="140"/>
      <c r="K452" s="140"/>
      <c r="L452" s="140"/>
      <c r="M452" s="140"/>
      <c r="N452" s="140"/>
      <c r="O452" s="141"/>
      <c r="P452" s="140"/>
      <c r="Q452" s="142"/>
      <c r="R452" s="142"/>
    </row>
    <row r="453" spans="1:18" ht="17.45" customHeight="1" thickBot="1">
      <c r="A453" s="283"/>
      <c r="B453" s="284"/>
      <c r="C453" s="284"/>
      <c r="D453" s="284"/>
      <c r="E453" s="284"/>
      <c r="F453" s="284"/>
      <c r="G453" s="284"/>
      <c r="H453" s="284"/>
      <c r="I453" s="284"/>
      <c r="J453" s="284"/>
      <c r="K453" s="284"/>
      <c r="L453" s="284"/>
      <c r="M453" s="284"/>
      <c r="N453" s="284"/>
      <c r="O453" s="284"/>
      <c r="P453" s="284"/>
      <c r="Q453" s="284"/>
      <c r="R453" s="285"/>
    </row>
    <row r="454" spans="1:18" ht="22.15" customHeight="1" thickTop="1" thickBot="1">
      <c r="A454" s="279" t="s">
        <v>6</v>
      </c>
      <c r="B454" s="295"/>
      <c r="C454" s="295"/>
      <c r="D454" s="295"/>
      <c r="E454" s="295"/>
      <c r="F454" s="296"/>
      <c r="G454" s="32">
        <v>46042</v>
      </c>
      <c r="H454" s="278" t="s">
        <v>7</v>
      </c>
      <c r="I454" s="295"/>
      <c r="J454" s="295"/>
      <c r="K454" s="295"/>
      <c r="L454" s="295"/>
      <c r="M454" s="295"/>
      <c r="N454" s="295"/>
      <c r="O454" s="295"/>
      <c r="P454" s="295"/>
      <c r="Q454" s="295"/>
      <c r="R454" s="296"/>
    </row>
    <row r="455" spans="1:18" ht="24" customHeight="1">
      <c r="A455" s="33" t="s">
        <v>8</v>
      </c>
      <c r="B455" s="33" t="s">
        <v>9</v>
      </c>
      <c r="C455" s="34" t="s">
        <v>10</v>
      </c>
      <c r="D455" s="33" t="s">
        <v>11</v>
      </c>
      <c r="E455" s="33" t="s">
        <v>12</v>
      </c>
      <c r="F455" s="35" t="s">
        <v>13</v>
      </c>
      <c r="G455" s="36" t="s">
        <v>14</v>
      </c>
      <c r="H455" s="33" t="s">
        <v>15</v>
      </c>
      <c r="I455" s="37" t="s">
        <v>16</v>
      </c>
      <c r="J455" s="38" t="s">
        <v>17</v>
      </c>
      <c r="K455" s="39" t="s">
        <v>18</v>
      </c>
      <c r="L455" s="38" t="s">
        <v>19</v>
      </c>
      <c r="M455" s="38" t="s">
        <v>20</v>
      </c>
      <c r="N455" s="38" t="s">
        <v>21</v>
      </c>
      <c r="O455" s="33" t="s">
        <v>22</v>
      </c>
      <c r="P455" s="34" t="s">
        <v>23</v>
      </c>
      <c r="Q455" s="38" t="s">
        <v>24</v>
      </c>
      <c r="R455" s="33" t="s">
        <v>25</v>
      </c>
    </row>
    <row r="456" spans="1:18" ht="15" customHeight="1">
      <c r="A456" s="8" t="s">
        <v>359</v>
      </c>
      <c r="B456" s="8" t="s">
        <v>602</v>
      </c>
      <c r="C456" s="9">
        <v>0.3611111111111111</v>
      </c>
      <c r="D456" s="8" t="s">
        <v>603</v>
      </c>
      <c r="E456" s="8" t="s">
        <v>80</v>
      </c>
      <c r="F456" s="8" t="s">
        <v>677</v>
      </c>
      <c r="G456" s="297"/>
      <c r="H456" s="10"/>
      <c r="I456" s="11"/>
      <c r="J456" s="11"/>
      <c r="K456" s="11"/>
      <c r="L456" s="11"/>
      <c r="M456" s="11"/>
      <c r="N456" s="11"/>
      <c r="O456" s="12"/>
      <c r="P456" s="11"/>
      <c r="Q456" s="13"/>
      <c r="R456" s="14"/>
    </row>
    <row r="457" spans="1:18" ht="15" customHeight="1">
      <c r="A457" s="15" t="s">
        <v>359</v>
      </c>
      <c r="B457" s="15" t="s">
        <v>602</v>
      </c>
      <c r="C457" s="16">
        <v>0.3611111111111111</v>
      </c>
      <c r="D457" s="15" t="s">
        <v>605</v>
      </c>
      <c r="E457" s="15" t="s">
        <v>82</v>
      </c>
      <c r="F457" s="15" t="s">
        <v>678</v>
      </c>
      <c r="G457" s="298"/>
      <c r="H457" s="10"/>
      <c r="I457" s="11"/>
      <c r="J457" s="11"/>
      <c r="K457" s="11"/>
      <c r="L457" s="11"/>
      <c r="M457" s="11"/>
      <c r="N457" s="11"/>
      <c r="O457" s="12"/>
      <c r="P457" s="11"/>
      <c r="Q457" s="13"/>
      <c r="R457" s="14"/>
    </row>
    <row r="458" spans="1:18" ht="15" customHeight="1">
      <c r="A458" s="15" t="s">
        <v>359</v>
      </c>
      <c r="B458" s="15" t="s">
        <v>602</v>
      </c>
      <c r="C458" s="16">
        <v>0.3611111111111111</v>
      </c>
      <c r="D458" s="15" t="s">
        <v>46</v>
      </c>
      <c r="E458" s="15" t="s">
        <v>82</v>
      </c>
      <c r="F458" s="15" t="s">
        <v>679</v>
      </c>
      <c r="G458" s="298"/>
      <c r="H458" s="10"/>
      <c r="I458" s="11"/>
      <c r="J458" s="11"/>
      <c r="K458" s="11"/>
      <c r="L458" s="11"/>
      <c r="M458" s="11"/>
      <c r="N458" s="11"/>
      <c r="O458" s="12"/>
      <c r="P458" s="11"/>
      <c r="Q458" s="13"/>
      <c r="R458" s="14"/>
    </row>
    <row r="459" spans="1:18" ht="15" customHeight="1">
      <c r="A459" s="17" t="s">
        <v>359</v>
      </c>
      <c r="B459" s="17" t="s">
        <v>616</v>
      </c>
      <c r="C459" s="18">
        <v>1.041666666666667E-2</v>
      </c>
      <c r="D459" s="17" t="s">
        <v>603</v>
      </c>
      <c r="E459" s="17" t="s">
        <v>90</v>
      </c>
      <c r="F459" s="17" t="s">
        <v>677</v>
      </c>
      <c r="G459" s="298"/>
      <c r="H459" s="10"/>
      <c r="I459" s="11"/>
      <c r="J459" s="11"/>
      <c r="K459" s="11"/>
      <c r="L459" s="11"/>
      <c r="M459" s="11"/>
      <c r="N459" s="11"/>
      <c r="O459" s="12"/>
      <c r="P459" s="11"/>
      <c r="Q459" s="13"/>
      <c r="R459" s="14"/>
    </row>
    <row r="460" spans="1:18" ht="15" customHeight="1">
      <c r="A460" s="15" t="s">
        <v>359</v>
      </c>
      <c r="B460" s="15" t="s">
        <v>616</v>
      </c>
      <c r="C460" s="16">
        <v>1.041666666666667E-2</v>
      </c>
      <c r="D460" s="15" t="s">
        <v>605</v>
      </c>
      <c r="E460" s="15" t="s">
        <v>82</v>
      </c>
      <c r="F460" s="15" t="s">
        <v>678</v>
      </c>
      <c r="G460" s="298"/>
      <c r="H460" s="10"/>
      <c r="I460" s="11"/>
      <c r="J460" s="11"/>
      <c r="K460" s="11"/>
      <c r="L460" s="11"/>
      <c r="M460" s="11"/>
      <c r="N460" s="11"/>
      <c r="O460" s="12"/>
      <c r="P460" s="11"/>
      <c r="Q460" s="13"/>
      <c r="R460" s="14"/>
    </row>
    <row r="461" spans="1:18" ht="15" customHeight="1">
      <c r="A461" s="15" t="s">
        <v>359</v>
      </c>
      <c r="B461" s="15" t="s">
        <v>616</v>
      </c>
      <c r="C461" s="16">
        <v>1.041666666666667E-2</v>
      </c>
      <c r="D461" s="15" t="s">
        <v>46</v>
      </c>
      <c r="E461" s="15" t="s">
        <v>82</v>
      </c>
      <c r="F461" s="15" t="s">
        <v>679</v>
      </c>
      <c r="G461" s="298"/>
      <c r="H461" s="10"/>
      <c r="I461" s="11"/>
      <c r="J461" s="11"/>
      <c r="K461" s="11"/>
      <c r="L461" s="11"/>
      <c r="M461" s="11"/>
      <c r="N461" s="11"/>
      <c r="O461" s="12"/>
      <c r="P461" s="11"/>
      <c r="Q461" s="13"/>
      <c r="R461" s="14"/>
    </row>
    <row r="462" spans="1:18" ht="15" customHeight="1">
      <c r="A462" s="19" t="s">
        <v>38</v>
      </c>
      <c r="B462" s="19" t="s">
        <v>621</v>
      </c>
      <c r="C462" s="20">
        <v>0.3611111111111111</v>
      </c>
      <c r="D462" s="19" t="s">
        <v>622</v>
      </c>
      <c r="E462" s="19" t="s">
        <v>41</v>
      </c>
      <c r="F462" s="19" t="s">
        <v>121</v>
      </c>
      <c r="G462" s="298"/>
      <c r="H462" s="10"/>
      <c r="I462" s="11"/>
      <c r="J462" s="11"/>
      <c r="K462" s="11"/>
      <c r="L462" s="11"/>
      <c r="M462" s="11"/>
      <c r="N462" s="11"/>
      <c r="O462" s="12"/>
      <c r="P462" s="11"/>
      <c r="Q462" s="13"/>
      <c r="R462" s="14"/>
    </row>
    <row r="463" spans="1:18" ht="15" customHeight="1">
      <c r="A463" s="15" t="s">
        <v>38</v>
      </c>
      <c r="B463" s="15" t="s">
        <v>621</v>
      </c>
      <c r="C463" s="16">
        <v>0.3611111111111111</v>
      </c>
      <c r="D463" s="15" t="s">
        <v>603</v>
      </c>
      <c r="E463" s="15" t="s">
        <v>44</v>
      </c>
      <c r="F463" s="15" t="s">
        <v>623</v>
      </c>
      <c r="G463" s="298"/>
      <c r="H463" s="10"/>
      <c r="I463" s="11"/>
      <c r="J463" s="11"/>
      <c r="K463" s="11"/>
      <c r="L463" s="11"/>
      <c r="M463" s="11"/>
      <c r="N463" s="11"/>
      <c r="O463" s="12"/>
      <c r="P463" s="11"/>
      <c r="Q463" s="13"/>
      <c r="R463" s="14"/>
    </row>
    <row r="464" spans="1:18" ht="15" customHeight="1">
      <c r="A464" s="15" t="s">
        <v>38</v>
      </c>
      <c r="B464" s="15" t="s">
        <v>621</v>
      </c>
      <c r="C464" s="16">
        <v>0.3611111111111111</v>
      </c>
      <c r="D464" s="15" t="s">
        <v>605</v>
      </c>
      <c r="E464" s="15" t="s">
        <v>44</v>
      </c>
      <c r="F464" s="15" t="s">
        <v>624</v>
      </c>
      <c r="G464" s="298"/>
      <c r="H464" s="10"/>
      <c r="I464" s="11"/>
      <c r="J464" s="11"/>
      <c r="K464" s="11"/>
      <c r="L464" s="11"/>
      <c r="M464" s="11"/>
      <c r="N464" s="11"/>
      <c r="O464" s="12"/>
      <c r="P464" s="11"/>
      <c r="Q464" s="13"/>
      <c r="R464" s="14"/>
    </row>
    <row r="465" spans="1:18" ht="15" customHeight="1">
      <c r="A465" s="15" t="s">
        <v>38</v>
      </c>
      <c r="B465" s="15" t="s">
        <v>621</v>
      </c>
      <c r="C465" s="16">
        <v>0.3611111111111111</v>
      </c>
      <c r="D465" s="15" t="s">
        <v>625</v>
      </c>
      <c r="E465" s="15" t="s">
        <v>44</v>
      </c>
      <c r="F465" s="15" t="s">
        <v>163</v>
      </c>
      <c r="G465" s="298"/>
      <c r="H465" s="10"/>
      <c r="I465" s="11"/>
      <c r="J465" s="11"/>
      <c r="K465" s="11"/>
      <c r="L465" s="11"/>
      <c r="M465" s="11"/>
      <c r="N465" s="11"/>
      <c r="O465" s="12"/>
      <c r="P465" s="11"/>
      <c r="Q465" s="13"/>
      <c r="R465" s="14"/>
    </row>
    <row r="466" spans="1:18" ht="15" customHeight="1">
      <c r="A466" s="67" t="s">
        <v>61</v>
      </c>
      <c r="B466" s="67" t="s">
        <v>612</v>
      </c>
      <c r="C466" s="68">
        <v>0.52083333333333337</v>
      </c>
      <c r="D466" s="67" t="s">
        <v>63</v>
      </c>
      <c r="E466" s="67" t="s">
        <v>51</v>
      </c>
      <c r="F466" s="67" t="s">
        <v>79</v>
      </c>
      <c r="G466" s="298"/>
      <c r="H466" s="69" t="s">
        <v>613</v>
      </c>
      <c r="I466" s="70">
        <v>5.5999999999999999E-3</v>
      </c>
      <c r="J466" s="71">
        <v>1</v>
      </c>
      <c r="K466" s="72">
        <v>46343</v>
      </c>
      <c r="L466" s="71">
        <v>2</v>
      </c>
      <c r="M466" s="71">
        <v>0</v>
      </c>
      <c r="N466" s="71">
        <v>0</v>
      </c>
      <c r="O466" s="73" t="s">
        <v>292</v>
      </c>
      <c r="P466" s="74">
        <v>0.52083333333333337</v>
      </c>
      <c r="Q466" s="71">
        <v>180</v>
      </c>
      <c r="R466" s="75" t="s">
        <v>302</v>
      </c>
    </row>
    <row r="467" spans="1:18" ht="15" customHeight="1">
      <c r="A467" s="19" t="s">
        <v>48</v>
      </c>
      <c r="B467" s="19" t="s">
        <v>609</v>
      </c>
      <c r="C467" s="20">
        <v>0.4513888888888889</v>
      </c>
      <c r="D467" s="19" t="s">
        <v>50</v>
      </c>
      <c r="E467" s="19" t="s">
        <v>51</v>
      </c>
      <c r="F467" s="19" t="s">
        <v>133</v>
      </c>
      <c r="G467" s="298"/>
      <c r="H467" s="10"/>
      <c r="I467" s="11"/>
      <c r="J467" s="11"/>
      <c r="K467" s="11"/>
      <c r="L467" s="11"/>
      <c r="M467" s="11"/>
      <c r="N467" s="11"/>
      <c r="O467" s="12"/>
      <c r="P467" s="11"/>
      <c r="Q467" s="13"/>
      <c r="R467" s="14"/>
    </row>
    <row r="468" spans="1:18" ht="15" customHeight="1">
      <c r="A468" s="15" t="s">
        <v>48</v>
      </c>
      <c r="B468" s="15" t="s">
        <v>609</v>
      </c>
      <c r="C468" s="16">
        <v>0.4513888888888889</v>
      </c>
      <c r="D468" s="15" t="s">
        <v>53</v>
      </c>
      <c r="E468" s="15" t="s">
        <v>54</v>
      </c>
      <c r="F468" s="15" t="s">
        <v>610</v>
      </c>
      <c r="G468" s="298"/>
      <c r="H468" s="10"/>
      <c r="I468" s="11"/>
      <c r="J468" s="11"/>
      <c r="K468" s="11"/>
      <c r="L468" s="11"/>
      <c r="M468" s="11"/>
      <c r="N468" s="11"/>
      <c r="O468" s="12"/>
      <c r="P468" s="11"/>
      <c r="Q468" s="13"/>
      <c r="R468" s="14"/>
    </row>
    <row r="469" spans="1:18" ht="15" customHeight="1">
      <c r="A469" s="17" t="s">
        <v>48</v>
      </c>
      <c r="B469" s="17" t="s">
        <v>611</v>
      </c>
      <c r="C469" s="18">
        <v>0.81944444444444453</v>
      </c>
      <c r="D469" s="17" t="s">
        <v>50</v>
      </c>
      <c r="E469" s="17" t="s">
        <v>57</v>
      </c>
      <c r="F469" s="17" t="s">
        <v>133</v>
      </c>
      <c r="G469" s="298"/>
      <c r="H469" s="10"/>
      <c r="I469" s="11"/>
      <c r="J469" s="11"/>
      <c r="K469" s="11"/>
      <c r="L469" s="11"/>
      <c r="M469" s="11"/>
      <c r="N469" s="11"/>
      <c r="O469" s="12"/>
      <c r="P469" s="11"/>
      <c r="Q469" s="13"/>
      <c r="R469" s="14"/>
    </row>
    <row r="470" spans="1:18" ht="15" customHeight="1">
      <c r="A470" s="15" t="s">
        <v>48</v>
      </c>
      <c r="B470" s="15" t="s">
        <v>611</v>
      </c>
      <c r="C470" s="16">
        <v>0.81944444444444453</v>
      </c>
      <c r="D470" s="15" t="s">
        <v>53</v>
      </c>
      <c r="E470" s="15" t="s">
        <v>54</v>
      </c>
      <c r="F470" s="15" t="s">
        <v>610</v>
      </c>
      <c r="G470" s="298"/>
      <c r="H470" s="10"/>
      <c r="I470" s="11"/>
      <c r="J470" s="11"/>
      <c r="K470" s="11"/>
      <c r="L470" s="11"/>
      <c r="M470" s="11"/>
      <c r="N470" s="11"/>
      <c r="O470" s="12"/>
      <c r="P470" s="11"/>
      <c r="Q470" s="13"/>
      <c r="R470" s="14"/>
    </row>
    <row r="471" spans="1:18" ht="18">
      <c r="A471" s="292" t="s">
        <v>615</v>
      </c>
      <c r="B471" s="303"/>
      <c r="C471" s="303"/>
      <c r="D471" s="303"/>
      <c r="E471" s="303"/>
      <c r="F471" s="304"/>
      <c r="G471" s="298"/>
      <c r="H471" s="138"/>
      <c r="I471" s="138"/>
      <c r="J471" s="138"/>
      <c r="K471" s="138"/>
      <c r="L471" s="138"/>
      <c r="M471" s="138"/>
      <c r="N471" s="138"/>
      <c r="O471" s="139"/>
      <c r="P471" s="138"/>
      <c r="Q471" s="107"/>
      <c r="R471" s="107"/>
    </row>
    <row r="472" spans="1:18" ht="15" customHeight="1">
      <c r="A472" s="17" t="s">
        <v>38</v>
      </c>
      <c r="B472" s="17" t="s">
        <v>342</v>
      </c>
      <c r="C472" s="18" t="s">
        <v>592</v>
      </c>
      <c r="D472" s="17" t="s">
        <v>40</v>
      </c>
      <c r="E472" s="17" t="s">
        <v>308</v>
      </c>
      <c r="F472" s="17" t="s">
        <v>81</v>
      </c>
      <c r="G472" s="298"/>
      <c r="H472" s="138"/>
      <c r="I472" s="138"/>
      <c r="J472" s="138"/>
      <c r="K472" s="138"/>
      <c r="L472" s="138"/>
      <c r="M472" s="138"/>
      <c r="N472" s="138"/>
      <c r="O472" s="139"/>
      <c r="P472" s="138"/>
      <c r="Q472" s="107"/>
      <c r="R472" s="107"/>
    </row>
    <row r="473" spans="1:18" ht="15" customHeight="1">
      <c r="A473" s="17" t="s">
        <v>38</v>
      </c>
      <c r="B473" s="17" t="s">
        <v>344</v>
      </c>
      <c r="C473" s="18" t="s">
        <v>593</v>
      </c>
      <c r="D473" s="17" t="s">
        <v>40</v>
      </c>
      <c r="E473" s="17" t="s">
        <v>268</v>
      </c>
      <c r="F473" s="17" t="s">
        <v>30</v>
      </c>
      <c r="G473" s="298"/>
      <c r="H473" s="138"/>
      <c r="I473" s="138"/>
      <c r="J473" s="138"/>
      <c r="K473" s="138"/>
      <c r="L473" s="138"/>
      <c r="M473" s="138"/>
      <c r="N473" s="138"/>
      <c r="O473" s="139"/>
      <c r="P473" s="138"/>
      <c r="Q473" s="107"/>
      <c r="R473" s="107"/>
    </row>
    <row r="474" spans="1:18" ht="15" customHeight="1">
      <c r="A474" s="17" t="s">
        <v>38</v>
      </c>
      <c r="B474" s="17" t="s">
        <v>346</v>
      </c>
      <c r="C474" s="18" t="s">
        <v>600</v>
      </c>
      <c r="D474" s="17" t="s">
        <v>40</v>
      </c>
      <c r="E474" s="17" t="s">
        <v>268</v>
      </c>
      <c r="F474" s="17" t="s">
        <v>347</v>
      </c>
      <c r="G474" s="298"/>
      <c r="H474" s="138"/>
      <c r="I474" s="138"/>
      <c r="J474" s="138"/>
      <c r="K474" s="138"/>
      <c r="L474" s="138"/>
      <c r="M474" s="138"/>
      <c r="N474" s="138"/>
      <c r="O474" s="139"/>
      <c r="P474" s="138"/>
      <c r="Q474" s="107"/>
      <c r="R474" s="107"/>
    </row>
    <row r="475" spans="1:18" ht="15" customHeight="1">
      <c r="A475" s="17" t="s">
        <v>38</v>
      </c>
      <c r="B475" s="17" t="s">
        <v>345</v>
      </c>
      <c r="C475" s="18" t="s">
        <v>594</v>
      </c>
      <c r="D475" s="17" t="s">
        <v>40</v>
      </c>
      <c r="E475" s="17" t="s">
        <v>268</v>
      </c>
      <c r="F475" s="17" t="s">
        <v>347</v>
      </c>
      <c r="G475" s="298"/>
      <c r="H475" s="138"/>
      <c r="I475" s="138"/>
      <c r="J475" s="138"/>
      <c r="K475" s="138"/>
      <c r="L475" s="138"/>
      <c r="M475" s="138"/>
      <c r="N475" s="138"/>
      <c r="O475" s="139"/>
      <c r="P475" s="138"/>
      <c r="Q475" s="107"/>
      <c r="R475" s="107"/>
    </row>
    <row r="476" spans="1:18" ht="15" customHeight="1">
      <c r="A476" s="17" t="s">
        <v>359</v>
      </c>
      <c r="B476" s="17" t="s">
        <v>445</v>
      </c>
      <c r="C476" s="18" t="s">
        <v>635</v>
      </c>
      <c r="D476" s="17" t="s">
        <v>361</v>
      </c>
      <c r="E476" s="17" t="s">
        <v>270</v>
      </c>
      <c r="F476" s="17" t="s">
        <v>525</v>
      </c>
      <c r="G476" s="298"/>
      <c r="H476" s="138"/>
      <c r="I476" s="138"/>
      <c r="J476" s="138"/>
      <c r="K476" s="138"/>
      <c r="L476" s="138"/>
      <c r="M476" s="138"/>
      <c r="N476" s="138"/>
      <c r="O476" s="139"/>
      <c r="P476" s="138"/>
      <c r="Q476" s="107"/>
      <c r="R476" s="107"/>
    </row>
    <row r="477" spans="1:18" ht="15" customHeight="1">
      <c r="A477" s="17" t="s">
        <v>61</v>
      </c>
      <c r="B477" s="17" t="s">
        <v>364</v>
      </c>
      <c r="C477" s="18" t="s">
        <v>578</v>
      </c>
      <c r="D477" s="17" t="s">
        <v>63</v>
      </c>
      <c r="E477" s="17" t="s">
        <v>277</v>
      </c>
      <c r="F477" s="17" t="s">
        <v>365</v>
      </c>
      <c r="G477" s="298"/>
      <c r="H477" s="138"/>
      <c r="I477" s="138"/>
      <c r="J477" s="138"/>
      <c r="K477" s="138"/>
      <c r="L477" s="138"/>
      <c r="M477" s="138"/>
      <c r="N477" s="138"/>
      <c r="O477" s="139"/>
      <c r="P477" s="138"/>
      <c r="Q477" s="107"/>
      <c r="R477" s="107"/>
    </row>
    <row r="478" spans="1:18" ht="15" customHeight="1">
      <c r="A478" s="17" t="s">
        <v>61</v>
      </c>
      <c r="B478" s="17" t="s">
        <v>432</v>
      </c>
      <c r="C478" s="18" t="s">
        <v>577</v>
      </c>
      <c r="D478" s="17" t="s">
        <v>63</v>
      </c>
      <c r="E478" s="17" t="s">
        <v>294</v>
      </c>
      <c r="F478" s="17" t="s">
        <v>365</v>
      </c>
      <c r="G478" s="298"/>
      <c r="H478" s="138"/>
      <c r="I478" s="138"/>
      <c r="J478" s="138"/>
      <c r="K478" s="138"/>
      <c r="L478" s="138"/>
      <c r="M478" s="138"/>
      <c r="N478" s="138"/>
      <c r="O478" s="139"/>
      <c r="P478" s="138"/>
      <c r="Q478" s="107"/>
      <c r="R478" s="107"/>
    </row>
    <row r="479" spans="1:18" ht="15" customHeight="1">
      <c r="A479" s="17" t="s">
        <v>61</v>
      </c>
      <c r="B479" s="17" t="s">
        <v>428</v>
      </c>
      <c r="C479" s="18" t="s">
        <v>576</v>
      </c>
      <c r="D479" s="17" t="s">
        <v>63</v>
      </c>
      <c r="E479" s="17" t="s">
        <v>277</v>
      </c>
      <c r="F479" s="17" t="s">
        <v>365</v>
      </c>
      <c r="G479" s="298"/>
      <c r="H479" s="138"/>
      <c r="I479" s="138"/>
      <c r="J479" s="138"/>
      <c r="K479" s="138"/>
      <c r="L479" s="138"/>
      <c r="M479" s="138"/>
      <c r="N479" s="138"/>
      <c r="O479" s="139"/>
      <c r="P479" s="138"/>
      <c r="Q479" s="107"/>
      <c r="R479" s="107"/>
    </row>
    <row r="480" spans="1:18" ht="15" customHeight="1">
      <c r="A480" s="17" t="s">
        <v>61</v>
      </c>
      <c r="B480" s="17" t="s">
        <v>375</v>
      </c>
      <c r="C480" s="18" t="s">
        <v>579</v>
      </c>
      <c r="D480" s="17" t="s">
        <v>63</v>
      </c>
      <c r="E480" s="17" t="s">
        <v>277</v>
      </c>
      <c r="F480" s="17" t="s">
        <v>365</v>
      </c>
      <c r="G480" s="298"/>
      <c r="H480" s="138"/>
      <c r="I480" s="138"/>
      <c r="J480" s="138"/>
      <c r="K480" s="138"/>
      <c r="L480" s="138"/>
      <c r="M480" s="138"/>
      <c r="N480" s="138"/>
      <c r="O480" s="139"/>
      <c r="P480" s="138"/>
      <c r="Q480" s="107"/>
      <c r="R480" s="107"/>
    </row>
    <row r="481" spans="1:18" ht="15" customHeight="1" thickBot="1">
      <c r="A481" s="30" t="s">
        <v>61</v>
      </c>
      <c r="B481" s="30" t="s">
        <v>377</v>
      </c>
      <c r="C481" s="31" t="s">
        <v>563</v>
      </c>
      <c r="D481" s="30" t="s">
        <v>63</v>
      </c>
      <c r="E481" s="30" t="s">
        <v>277</v>
      </c>
      <c r="F481" s="30" t="s">
        <v>365</v>
      </c>
      <c r="G481" s="299"/>
      <c r="H481" s="140"/>
      <c r="I481" s="140"/>
      <c r="J481" s="140"/>
      <c r="K481" s="140"/>
      <c r="L481" s="140"/>
      <c r="M481" s="140"/>
      <c r="N481" s="140"/>
      <c r="O481" s="141"/>
      <c r="P481" s="140"/>
      <c r="Q481" s="142"/>
      <c r="R481" s="142"/>
    </row>
    <row r="482" spans="1:18" ht="17.45" customHeight="1" thickBot="1">
      <c r="A482" s="283"/>
      <c r="B482" s="284"/>
      <c r="C482" s="284"/>
      <c r="D482" s="284"/>
      <c r="E482" s="284"/>
      <c r="F482" s="284"/>
      <c r="G482" s="284"/>
      <c r="H482" s="284"/>
      <c r="I482" s="284"/>
      <c r="J482" s="284"/>
      <c r="K482" s="284"/>
      <c r="L482" s="284"/>
      <c r="M482" s="284"/>
      <c r="N482" s="284"/>
      <c r="O482" s="284"/>
      <c r="P482" s="284"/>
      <c r="Q482" s="284"/>
      <c r="R482" s="285"/>
    </row>
    <row r="483" spans="1:18" ht="22.15" customHeight="1" thickTop="1" thickBot="1">
      <c r="A483" s="279" t="s">
        <v>6</v>
      </c>
      <c r="B483" s="295"/>
      <c r="C483" s="295"/>
      <c r="D483" s="295"/>
      <c r="E483" s="295"/>
      <c r="F483" s="296"/>
      <c r="G483" s="32">
        <v>46043</v>
      </c>
      <c r="H483" s="278" t="s">
        <v>7</v>
      </c>
      <c r="I483" s="295"/>
      <c r="J483" s="295"/>
      <c r="K483" s="295"/>
      <c r="L483" s="295"/>
      <c r="M483" s="295"/>
      <c r="N483" s="295"/>
      <c r="O483" s="295"/>
      <c r="P483" s="295"/>
      <c r="Q483" s="295"/>
      <c r="R483" s="296"/>
    </row>
    <row r="484" spans="1:18" ht="24" customHeight="1">
      <c r="A484" s="33" t="s">
        <v>8</v>
      </c>
      <c r="B484" s="33" t="s">
        <v>9</v>
      </c>
      <c r="C484" s="34" t="s">
        <v>10</v>
      </c>
      <c r="D484" s="33" t="s">
        <v>11</v>
      </c>
      <c r="E484" s="33" t="s">
        <v>12</v>
      </c>
      <c r="F484" s="35" t="s">
        <v>13</v>
      </c>
      <c r="G484" s="36" t="s">
        <v>14</v>
      </c>
      <c r="H484" s="33" t="s">
        <v>15</v>
      </c>
      <c r="I484" s="37" t="s">
        <v>16</v>
      </c>
      <c r="J484" s="38" t="s">
        <v>17</v>
      </c>
      <c r="K484" s="39" t="s">
        <v>18</v>
      </c>
      <c r="L484" s="38" t="s">
        <v>19</v>
      </c>
      <c r="M484" s="38" t="s">
        <v>20</v>
      </c>
      <c r="N484" s="38" t="s">
        <v>21</v>
      </c>
      <c r="O484" s="33" t="s">
        <v>22</v>
      </c>
      <c r="P484" s="34" t="s">
        <v>23</v>
      </c>
      <c r="Q484" s="38" t="s">
        <v>24</v>
      </c>
      <c r="R484" s="33" t="s">
        <v>25</v>
      </c>
    </row>
    <row r="485" spans="1:18" ht="15" customHeight="1">
      <c r="A485" s="8" t="s">
        <v>359</v>
      </c>
      <c r="B485" s="8" t="s">
        <v>616</v>
      </c>
      <c r="C485" s="9">
        <v>0.16319444444444439</v>
      </c>
      <c r="D485" s="8" t="s">
        <v>603</v>
      </c>
      <c r="E485" s="8" t="s">
        <v>80</v>
      </c>
      <c r="F485" s="8" t="s">
        <v>677</v>
      </c>
      <c r="G485" s="297"/>
      <c r="H485" s="10"/>
      <c r="I485" s="11"/>
      <c r="J485" s="11"/>
      <c r="K485" s="11"/>
      <c r="L485" s="11"/>
      <c r="M485" s="11"/>
      <c r="N485" s="11"/>
      <c r="O485" s="12"/>
      <c r="P485" s="11"/>
      <c r="Q485" s="13"/>
      <c r="R485" s="14"/>
    </row>
    <row r="486" spans="1:18" ht="15" customHeight="1">
      <c r="A486" s="15" t="s">
        <v>359</v>
      </c>
      <c r="B486" s="15" t="s">
        <v>616</v>
      </c>
      <c r="C486" s="16">
        <v>0.16319444444444439</v>
      </c>
      <c r="D486" s="15" t="s">
        <v>605</v>
      </c>
      <c r="E486" s="15" t="s">
        <v>82</v>
      </c>
      <c r="F486" s="15" t="s">
        <v>678</v>
      </c>
      <c r="G486" s="298"/>
      <c r="H486" s="10"/>
      <c r="I486" s="11"/>
      <c r="J486" s="11"/>
      <c r="K486" s="11"/>
      <c r="L486" s="11"/>
      <c r="M486" s="11"/>
      <c r="N486" s="11"/>
      <c r="O486" s="12"/>
      <c r="P486" s="11"/>
      <c r="Q486" s="13"/>
      <c r="R486" s="14"/>
    </row>
    <row r="487" spans="1:18" ht="15" customHeight="1">
      <c r="A487" s="15" t="s">
        <v>359</v>
      </c>
      <c r="B487" s="15" t="s">
        <v>616</v>
      </c>
      <c r="C487" s="16">
        <v>0.16319444444444439</v>
      </c>
      <c r="D487" s="15" t="s">
        <v>46</v>
      </c>
      <c r="E487" s="15" t="s">
        <v>82</v>
      </c>
      <c r="F487" s="15" t="s">
        <v>679</v>
      </c>
      <c r="G487" s="298"/>
      <c r="H487" s="10"/>
      <c r="I487" s="11"/>
      <c r="J487" s="11"/>
      <c r="K487" s="11"/>
      <c r="L487" s="11"/>
      <c r="M487" s="11"/>
      <c r="N487" s="11"/>
      <c r="O487" s="12"/>
      <c r="P487" s="11"/>
      <c r="Q487" s="13"/>
      <c r="R487" s="14"/>
    </row>
    <row r="488" spans="1:18" ht="15" customHeight="1">
      <c r="A488" s="49" t="s">
        <v>61</v>
      </c>
      <c r="B488" s="49" t="s">
        <v>612</v>
      </c>
      <c r="C488" s="50">
        <v>0.14583333333333329</v>
      </c>
      <c r="D488" s="49" t="s">
        <v>63</v>
      </c>
      <c r="E488" s="49" t="s">
        <v>51</v>
      </c>
      <c r="F488" s="49" t="s">
        <v>79</v>
      </c>
      <c r="G488" s="298"/>
      <c r="H488" s="51" t="s">
        <v>613</v>
      </c>
      <c r="I488" s="52">
        <v>0</v>
      </c>
      <c r="J488" s="53">
        <v>0</v>
      </c>
      <c r="K488" s="54" t="s">
        <v>66</v>
      </c>
      <c r="L488" s="53">
        <v>0</v>
      </c>
      <c r="M488" s="53">
        <v>0</v>
      </c>
      <c r="N488" s="53">
        <v>0</v>
      </c>
      <c r="O488" s="55" t="s">
        <v>292</v>
      </c>
      <c r="P488" s="56">
        <v>0.14583333333333329</v>
      </c>
      <c r="Q488" s="53">
        <v>180</v>
      </c>
      <c r="R488" s="57" t="s">
        <v>66</v>
      </c>
    </row>
    <row r="489" spans="1:18" ht="15" customHeight="1">
      <c r="A489" s="160" t="s">
        <v>61</v>
      </c>
      <c r="B489" s="160" t="s">
        <v>629</v>
      </c>
      <c r="C489" s="161">
        <v>0.53125</v>
      </c>
      <c r="D489" s="160" t="s">
        <v>63</v>
      </c>
      <c r="E489" s="160" t="s">
        <v>98</v>
      </c>
      <c r="F489" s="160" t="s">
        <v>79</v>
      </c>
      <c r="G489" s="298"/>
      <c r="H489" s="23" t="s">
        <v>630</v>
      </c>
      <c r="I489" s="24">
        <v>2.7799999999999998E-2</v>
      </c>
      <c r="J489" s="25">
        <v>5</v>
      </c>
      <c r="K489" s="26">
        <v>46344</v>
      </c>
      <c r="L489" s="25">
        <v>5</v>
      </c>
      <c r="M489" s="25">
        <v>0</v>
      </c>
      <c r="N489" s="25">
        <v>0</v>
      </c>
      <c r="O489" s="27" t="s">
        <v>306</v>
      </c>
      <c r="P489" s="28">
        <v>0.53125</v>
      </c>
      <c r="Q489" s="25">
        <v>180</v>
      </c>
      <c r="R489" s="29" t="s">
        <v>306</v>
      </c>
    </row>
    <row r="490" spans="1:18" ht="15" customHeight="1">
      <c r="A490" s="150" t="s">
        <v>61</v>
      </c>
      <c r="B490" s="150" t="s">
        <v>645</v>
      </c>
      <c r="C490" s="151">
        <v>0.86111111111111116</v>
      </c>
      <c r="D490" s="150" t="s">
        <v>63</v>
      </c>
      <c r="E490" s="150" t="s">
        <v>57</v>
      </c>
      <c r="F490" s="150" t="s">
        <v>79</v>
      </c>
      <c r="G490" s="298"/>
      <c r="H490" s="80" t="s">
        <v>646</v>
      </c>
      <c r="I490" s="81">
        <v>0</v>
      </c>
      <c r="J490" s="82">
        <v>0</v>
      </c>
      <c r="K490" s="83" t="s">
        <v>66</v>
      </c>
      <c r="L490" s="82">
        <v>0</v>
      </c>
      <c r="M490" s="82">
        <v>0</v>
      </c>
      <c r="N490" s="82">
        <v>0</v>
      </c>
      <c r="O490" s="84" t="s">
        <v>292</v>
      </c>
      <c r="P490" s="85">
        <v>0.86111111111111116</v>
      </c>
      <c r="Q490" s="82">
        <v>180</v>
      </c>
      <c r="R490" s="86" t="s">
        <v>66</v>
      </c>
    </row>
    <row r="491" spans="1:18" ht="15" customHeight="1">
      <c r="A491" s="19" t="s">
        <v>48</v>
      </c>
      <c r="B491" s="19" t="s">
        <v>611</v>
      </c>
      <c r="C491" s="20">
        <v>0.81944444444444453</v>
      </c>
      <c r="D491" s="19" t="s">
        <v>50</v>
      </c>
      <c r="E491" s="19" t="s">
        <v>51</v>
      </c>
      <c r="F491" s="19" t="s">
        <v>133</v>
      </c>
      <c r="G491" s="298"/>
      <c r="H491" s="10"/>
      <c r="I491" s="11"/>
      <c r="J491" s="11"/>
      <c r="K491" s="11"/>
      <c r="L491" s="11"/>
      <c r="M491" s="11"/>
      <c r="N491" s="11"/>
      <c r="O491" s="12"/>
      <c r="P491" s="11"/>
      <c r="Q491" s="13"/>
      <c r="R491" s="14"/>
    </row>
    <row r="492" spans="1:18" ht="15" customHeight="1">
      <c r="A492" s="15" t="s">
        <v>48</v>
      </c>
      <c r="B492" s="15" t="s">
        <v>611</v>
      </c>
      <c r="C492" s="16">
        <v>0.81944444444444453</v>
      </c>
      <c r="D492" s="15" t="s">
        <v>53</v>
      </c>
      <c r="E492" s="15" t="s">
        <v>54</v>
      </c>
      <c r="F492" s="15" t="s">
        <v>610</v>
      </c>
      <c r="G492" s="298"/>
      <c r="H492" s="10"/>
      <c r="I492" s="11"/>
      <c r="J492" s="11"/>
      <c r="K492" s="11"/>
      <c r="L492" s="11"/>
      <c r="M492" s="11"/>
      <c r="N492" s="11"/>
      <c r="O492" s="12"/>
      <c r="P492" s="11"/>
      <c r="Q492" s="13"/>
      <c r="R492" s="14"/>
    </row>
    <row r="493" spans="1:18" ht="15" customHeight="1">
      <c r="A493" s="19" t="s">
        <v>68</v>
      </c>
      <c r="B493" s="19" t="s">
        <v>633</v>
      </c>
      <c r="C493" s="20">
        <v>0.45833333333333331</v>
      </c>
      <c r="D493" s="19" t="s">
        <v>70</v>
      </c>
      <c r="E493" s="19" t="s">
        <v>51</v>
      </c>
      <c r="F493" s="19" t="s">
        <v>651</v>
      </c>
      <c r="G493" s="298"/>
      <c r="H493" s="10"/>
      <c r="I493" s="11"/>
      <c r="J493" s="11"/>
      <c r="K493" s="11"/>
      <c r="L493" s="11"/>
      <c r="M493" s="11"/>
      <c r="N493" s="11"/>
      <c r="O493" s="12"/>
      <c r="P493" s="11"/>
      <c r="Q493" s="13"/>
      <c r="R493" s="14"/>
    </row>
    <row r="494" spans="1:18" ht="18">
      <c r="A494" s="292" t="s">
        <v>615</v>
      </c>
      <c r="B494" s="303"/>
      <c r="C494" s="303"/>
      <c r="D494" s="303"/>
      <c r="E494" s="303"/>
      <c r="F494" s="304"/>
      <c r="G494" s="298"/>
      <c r="H494" s="138"/>
      <c r="I494" s="138"/>
      <c r="J494" s="138"/>
      <c r="K494" s="138"/>
      <c r="L494" s="138"/>
      <c r="M494" s="138"/>
      <c r="N494" s="138"/>
      <c r="O494" s="139"/>
      <c r="P494" s="138"/>
      <c r="Q494" s="107"/>
      <c r="R494" s="107"/>
    </row>
    <row r="495" spans="1:18" ht="15" customHeight="1">
      <c r="A495" s="17" t="s">
        <v>38</v>
      </c>
      <c r="B495" s="17" t="s">
        <v>342</v>
      </c>
      <c r="C495" s="18" t="s">
        <v>592</v>
      </c>
      <c r="D495" s="17" t="s">
        <v>40</v>
      </c>
      <c r="E495" s="17" t="s">
        <v>312</v>
      </c>
      <c r="F495" s="17" t="s">
        <v>81</v>
      </c>
      <c r="G495" s="298"/>
      <c r="H495" s="138"/>
      <c r="I495" s="138"/>
      <c r="J495" s="138"/>
      <c r="K495" s="138"/>
      <c r="L495" s="138"/>
      <c r="M495" s="138"/>
      <c r="N495" s="138"/>
      <c r="O495" s="139"/>
      <c r="P495" s="138"/>
      <c r="Q495" s="107"/>
      <c r="R495" s="107"/>
    </row>
    <row r="496" spans="1:18" ht="15" customHeight="1">
      <c r="A496" s="17" t="s">
        <v>38</v>
      </c>
      <c r="B496" s="17" t="s">
        <v>346</v>
      </c>
      <c r="C496" s="18" t="s">
        <v>600</v>
      </c>
      <c r="D496" s="17" t="s">
        <v>40</v>
      </c>
      <c r="E496" s="17" t="s">
        <v>268</v>
      </c>
      <c r="F496" s="17" t="s">
        <v>30</v>
      </c>
      <c r="G496" s="298"/>
      <c r="H496" s="138"/>
      <c r="I496" s="138"/>
      <c r="J496" s="138"/>
      <c r="K496" s="138"/>
      <c r="L496" s="138"/>
      <c r="M496" s="138"/>
      <c r="N496" s="138"/>
      <c r="O496" s="139"/>
      <c r="P496" s="138"/>
      <c r="Q496" s="107"/>
      <c r="R496" s="107"/>
    </row>
    <row r="497" spans="1:18" ht="15" customHeight="1">
      <c r="A497" s="17" t="s">
        <v>38</v>
      </c>
      <c r="B497" s="17" t="s">
        <v>344</v>
      </c>
      <c r="C497" s="18" t="s">
        <v>593</v>
      </c>
      <c r="D497" s="17" t="s">
        <v>40</v>
      </c>
      <c r="E497" s="17" t="s">
        <v>268</v>
      </c>
      <c r="F497" s="17" t="s">
        <v>30</v>
      </c>
      <c r="G497" s="298"/>
      <c r="H497" s="138"/>
      <c r="I497" s="138"/>
      <c r="J497" s="138"/>
      <c r="K497" s="138"/>
      <c r="L497" s="138"/>
      <c r="M497" s="138"/>
      <c r="N497" s="138"/>
      <c r="O497" s="139"/>
      <c r="P497" s="138"/>
      <c r="Q497" s="107"/>
      <c r="R497" s="107"/>
    </row>
    <row r="498" spans="1:18" ht="15" customHeight="1">
      <c r="A498" s="17" t="s">
        <v>38</v>
      </c>
      <c r="B498" s="17" t="s">
        <v>345</v>
      </c>
      <c r="C498" s="18" t="s">
        <v>594</v>
      </c>
      <c r="D498" s="17" t="s">
        <v>40</v>
      </c>
      <c r="E498" s="17" t="s">
        <v>268</v>
      </c>
      <c r="F498" s="17" t="s">
        <v>347</v>
      </c>
      <c r="G498" s="298"/>
      <c r="H498" s="138"/>
      <c r="I498" s="138"/>
      <c r="J498" s="138"/>
      <c r="K498" s="138"/>
      <c r="L498" s="138"/>
      <c r="M498" s="138"/>
      <c r="N498" s="138"/>
      <c r="O498" s="139"/>
      <c r="P498" s="138"/>
      <c r="Q498" s="107"/>
      <c r="R498" s="107"/>
    </row>
    <row r="499" spans="1:18" ht="15" customHeight="1">
      <c r="A499" s="17" t="s">
        <v>359</v>
      </c>
      <c r="B499" s="17" t="s">
        <v>360</v>
      </c>
      <c r="C499" s="18" t="s">
        <v>619</v>
      </c>
      <c r="D499" s="17" t="s">
        <v>361</v>
      </c>
      <c r="E499" s="17" t="s">
        <v>270</v>
      </c>
      <c r="F499" s="17" t="s">
        <v>525</v>
      </c>
      <c r="G499" s="298"/>
      <c r="H499" s="138"/>
      <c r="I499" s="138"/>
      <c r="J499" s="138"/>
      <c r="K499" s="138"/>
      <c r="L499" s="138"/>
      <c r="M499" s="138"/>
      <c r="N499" s="138"/>
      <c r="O499" s="139"/>
      <c r="P499" s="138"/>
      <c r="Q499" s="107"/>
      <c r="R499" s="107"/>
    </row>
    <row r="500" spans="1:18" ht="15" customHeight="1">
      <c r="A500" s="17" t="s">
        <v>61</v>
      </c>
      <c r="B500" s="17" t="s">
        <v>364</v>
      </c>
      <c r="C500" s="18" t="s">
        <v>580</v>
      </c>
      <c r="D500" s="17" t="s">
        <v>63</v>
      </c>
      <c r="E500" s="17" t="s">
        <v>636</v>
      </c>
      <c r="F500" s="17" t="s">
        <v>365</v>
      </c>
      <c r="G500" s="298"/>
      <c r="H500" s="138"/>
      <c r="I500" s="138"/>
      <c r="J500" s="138"/>
      <c r="K500" s="138"/>
      <c r="L500" s="138"/>
      <c r="M500" s="138"/>
      <c r="N500" s="138"/>
      <c r="O500" s="139"/>
      <c r="P500" s="138"/>
      <c r="Q500" s="107"/>
      <c r="R500" s="107"/>
    </row>
    <row r="501" spans="1:18" ht="15" customHeight="1">
      <c r="A501" s="17" t="s">
        <v>61</v>
      </c>
      <c r="B501" s="17" t="s">
        <v>432</v>
      </c>
      <c r="C501" s="18" t="s">
        <v>582</v>
      </c>
      <c r="D501" s="17" t="s">
        <v>63</v>
      </c>
      <c r="E501" s="17" t="s">
        <v>636</v>
      </c>
      <c r="F501" s="17" t="s">
        <v>365</v>
      </c>
      <c r="G501" s="298"/>
      <c r="H501" s="138"/>
      <c r="I501" s="138"/>
      <c r="J501" s="138"/>
      <c r="K501" s="138"/>
      <c r="L501" s="138"/>
      <c r="M501" s="138"/>
      <c r="N501" s="138"/>
      <c r="O501" s="139"/>
      <c r="P501" s="138"/>
      <c r="Q501" s="107"/>
      <c r="R501" s="107"/>
    </row>
    <row r="502" spans="1:18" ht="15" customHeight="1">
      <c r="A502" s="17" t="s">
        <v>61</v>
      </c>
      <c r="B502" s="17" t="s">
        <v>428</v>
      </c>
      <c r="C502" s="18" t="s">
        <v>559</v>
      </c>
      <c r="D502" s="17" t="s">
        <v>63</v>
      </c>
      <c r="E502" s="17" t="s">
        <v>288</v>
      </c>
      <c r="F502" s="17" t="s">
        <v>365</v>
      </c>
      <c r="G502" s="298"/>
      <c r="H502" s="138"/>
      <c r="I502" s="138"/>
      <c r="J502" s="138"/>
      <c r="K502" s="138"/>
      <c r="L502" s="138"/>
      <c r="M502" s="138"/>
      <c r="N502" s="138"/>
      <c r="O502" s="139"/>
      <c r="P502" s="138"/>
      <c r="Q502" s="107"/>
      <c r="R502" s="107"/>
    </row>
    <row r="503" spans="1:18" ht="15" customHeight="1">
      <c r="A503" s="17" t="s">
        <v>61</v>
      </c>
      <c r="B503" s="17" t="s">
        <v>375</v>
      </c>
      <c r="C503" s="18" t="s">
        <v>581</v>
      </c>
      <c r="D503" s="17" t="s">
        <v>63</v>
      </c>
      <c r="E503" s="17" t="s">
        <v>636</v>
      </c>
      <c r="F503" s="17" t="s">
        <v>365</v>
      </c>
      <c r="G503" s="298"/>
      <c r="H503" s="138"/>
      <c r="I503" s="138"/>
      <c r="J503" s="138"/>
      <c r="K503" s="138"/>
      <c r="L503" s="138"/>
      <c r="M503" s="138"/>
      <c r="N503" s="138"/>
      <c r="O503" s="139"/>
      <c r="P503" s="138"/>
      <c r="Q503" s="107"/>
      <c r="R503" s="107"/>
    </row>
    <row r="504" spans="1:18" ht="15" customHeight="1" thickBot="1">
      <c r="A504" s="30" t="s">
        <v>26</v>
      </c>
      <c r="B504" s="30" t="s">
        <v>348</v>
      </c>
      <c r="C504" s="31" t="s">
        <v>595</v>
      </c>
      <c r="D504" s="30" t="s">
        <v>28</v>
      </c>
      <c r="E504" s="30" t="s">
        <v>267</v>
      </c>
      <c r="F504" s="30" t="s">
        <v>83</v>
      </c>
      <c r="G504" s="299"/>
      <c r="H504" s="140"/>
      <c r="I504" s="140"/>
      <c r="J504" s="140"/>
      <c r="K504" s="140"/>
      <c r="L504" s="140"/>
      <c r="M504" s="140"/>
      <c r="N504" s="140"/>
      <c r="O504" s="141"/>
      <c r="P504" s="140"/>
      <c r="Q504" s="142"/>
      <c r="R504" s="142"/>
    </row>
    <row r="505" spans="1:18" ht="17.45" customHeight="1" thickBot="1">
      <c r="A505" s="283"/>
      <c r="B505" s="284"/>
      <c r="C505" s="284"/>
      <c r="D505" s="284"/>
      <c r="E505" s="284"/>
      <c r="F505" s="284"/>
      <c r="G505" s="284"/>
      <c r="H505" s="284"/>
      <c r="I505" s="284"/>
      <c r="J505" s="284"/>
      <c r="K505" s="284"/>
      <c r="L505" s="284"/>
      <c r="M505" s="284"/>
      <c r="N505" s="284"/>
      <c r="O505" s="284"/>
      <c r="P505" s="284"/>
      <c r="Q505" s="284"/>
      <c r="R505" s="285"/>
    </row>
    <row r="506" spans="1:18" ht="22.15" customHeight="1" thickTop="1" thickBot="1">
      <c r="A506" s="279" t="s">
        <v>6</v>
      </c>
      <c r="B506" s="295"/>
      <c r="C506" s="295"/>
      <c r="D506" s="295"/>
      <c r="E506" s="295"/>
      <c r="F506" s="296"/>
      <c r="G506" s="32">
        <v>46044</v>
      </c>
      <c r="H506" s="278" t="s">
        <v>7</v>
      </c>
      <c r="I506" s="295"/>
      <c r="J506" s="295"/>
      <c r="K506" s="295"/>
      <c r="L506" s="295"/>
      <c r="M506" s="295"/>
      <c r="N506" s="295"/>
      <c r="O506" s="295"/>
      <c r="P506" s="295"/>
      <c r="Q506" s="295"/>
      <c r="R506" s="296"/>
    </row>
    <row r="507" spans="1:18" ht="24" customHeight="1">
      <c r="A507" s="33" t="s">
        <v>8</v>
      </c>
      <c r="B507" s="33" t="s">
        <v>9</v>
      </c>
      <c r="C507" s="34" t="s">
        <v>10</v>
      </c>
      <c r="D507" s="33" t="s">
        <v>11</v>
      </c>
      <c r="E507" s="33" t="s">
        <v>12</v>
      </c>
      <c r="F507" s="35" t="s">
        <v>13</v>
      </c>
      <c r="G507" s="36" t="s">
        <v>14</v>
      </c>
      <c r="H507" s="33" t="s">
        <v>15</v>
      </c>
      <c r="I507" s="37" t="s">
        <v>16</v>
      </c>
      <c r="J507" s="38" t="s">
        <v>17</v>
      </c>
      <c r="K507" s="39" t="s">
        <v>18</v>
      </c>
      <c r="L507" s="38" t="s">
        <v>19</v>
      </c>
      <c r="M507" s="38" t="s">
        <v>20</v>
      </c>
      <c r="N507" s="38" t="s">
        <v>21</v>
      </c>
      <c r="O507" s="33" t="s">
        <v>22</v>
      </c>
      <c r="P507" s="34" t="s">
        <v>23</v>
      </c>
      <c r="Q507" s="38" t="s">
        <v>24</v>
      </c>
      <c r="R507" s="33" t="s">
        <v>25</v>
      </c>
    </row>
    <row r="508" spans="1:18" ht="15" customHeight="1">
      <c r="A508" s="8" t="s">
        <v>359</v>
      </c>
      <c r="B508" s="8" t="s">
        <v>602</v>
      </c>
      <c r="C508" s="9">
        <v>0.3611111111111111</v>
      </c>
      <c r="D508" s="8" t="s">
        <v>603</v>
      </c>
      <c r="E508" s="8" t="s">
        <v>80</v>
      </c>
      <c r="F508" s="8" t="s">
        <v>677</v>
      </c>
      <c r="G508" s="297"/>
      <c r="H508" s="10"/>
      <c r="I508" s="11"/>
      <c r="J508" s="11"/>
      <c r="K508" s="11"/>
      <c r="L508" s="11"/>
      <c r="M508" s="11"/>
      <c r="N508" s="11"/>
      <c r="O508" s="12"/>
      <c r="P508" s="11"/>
      <c r="Q508" s="13"/>
      <c r="R508" s="14"/>
    </row>
    <row r="509" spans="1:18" ht="15" customHeight="1">
      <c r="A509" s="15" t="s">
        <v>359</v>
      </c>
      <c r="B509" s="15" t="s">
        <v>602</v>
      </c>
      <c r="C509" s="16">
        <v>0.3611111111111111</v>
      </c>
      <c r="D509" s="15" t="s">
        <v>605</v>
      </c>
      <c r="E509" s="15" t="s">
        <v>82</v>
      </c>
      <c r="F509" s="15" t="s">
        <v>678</v>
      </c>
      <c r="G509" s="298"/>
      <c r="H509" s="10"/>
      <c r="I509" s="11"/>
      <c r="J509" s="11"/>
      <c r="K509" s="11"/>
      <c r="L509" s="11"/>
      <c r="M509" s="11"/>
      <c r="N509" s="11"/>
      <c r="O509" s="12"/>
      <c r="P509" s="11"/>
      <c r="Q509" s="13"/>
      <c r="R509" s="14"/>
    </row>
    <row r="510" spans="1:18" ht="15" customHeight="1">
      <c r="A510" s="15" t="s">
        <v>359</v>
      </c>
      <c r="B510" s="15" t="s">
        <v>602</v>
      </c>
      <c r="C510" s="16">
        <v>0.3611111111111111</v>
      </c>
      <c r="D510" s="15" t="s">
        <v>46</v>
      </c>
      <c r="E510" s="15" t="s">
        <v>82</v>
      </c>
      <c r="F510" s="15" t="s">
        <v>679</v>
      </c>
      <c r="G510" s="298"/>
      <c r="H510" s="10"/>
      <c r="I510" s="11"/>
      <c r="J510" s="11"/>
      <c r="K510" s="11"/>
      <c r="L510" s="11"/>
      <c r="M510" s="11"/>
      <c r="N510" s="11"/>
      <c r="O510" s="12"/>
      <c r="P510" s="11"/>
      <c r="Q510" s="13"/>
      <c r="R510" s="14"/>
    </row>
    <row r="511" spans="1:18" ht="15" customHeight="1">
      <c r="A511" s="17" t="s">
        <v>359</v>
      </c>
      <c r="B511" s="17" t="s">
        <v>608</v>
      </c>
      <c r="C511" s="18">
        <v>0.63194444444444442</v>
      </c>
      <c r="D511" s="17" t="s">
        <v>603</v>
      </c>
      <c r="E511" s="17" t="s">
        <v>90</v>
      </c>
      <c r="F511" s="17" t="s">
        <v>677</v>
      </c>
      <c r="G511" s="298"/>
      <c r="H511" s="10"/>
      <c r="I511" s="11"/>
      <c r="J511" s="11"/>
      <c r="K511" s="11"/>
      <c r="L511" s="11"/>
      <c r="M511" s="11"/>
      <c r="N511" s="11"/>
      <c r="O511" s="12"/>
      <c r="P511" s="11"/>
      <c r="Q511" s="13"/>
      <c r="R511" s="14"/>
    </row>
    <row r="512" spans="1:18" ht="15" customHeight="1">
      <c r="A512" s="15" t="s">
        <v>359</v>
      </c>
      <c r="B512" s="15" t="s">
        <v>608</v>
      </c>
      <c r="C512" s="16">
        <v>0.63194444444444442</v>
      </c>
      <c r="D512" s="15" t="s">
        <v>605</v>
      </c>
      <c r="E512" s="15" t="s">
        <v>82</v>
      </c>
      <c r="F512" s="15" t="s">
        <v>678</v>
      </c>
      <c r="G512" s="298"/>
      <c r="H512" s="10"/>
      <c r="I512" s="11"/>
      <c r="J512" s="11"/>
      <c r="K512" s="11"/>
      <c r="L512" s="11"/>
      <c r="M512" s="11"/>
      <c r="N512" s="11"/>
      <c r="O512" s="12"/>
      <c r="P512" s="11"/>
      <c r="Q512" s="13"/>
      <c r="R512" s="14"/>
    </row>
    <row r="513" spans="1:18" ht="15" customHeight="1">
      <c r="A513" s="15" t="s">
        <v>359</v>
      </c>
      <c r="B513" s="15" t="s">
        <v>608</v>
      </c>
      <c r="C513" s="16">
        <v>0.63194444444444442</v>
      </c>
      <c r="D513" s="15" t="s">
        <v>46</v>
      </c>
      <c r="E513" s="15" t="s">
        <v>82</v>
      </c>
      <c r="F513" s="15" t="s">
        <v>679</v>
      </c>
      <c r="G513" s="298"/>
      <c r="H513" s="10"/>
      <c r="I513" s="11"/>
      <c r="J513" s="11"/>
      <c r="K513" s="11"/>
      <c r="L513" s="11"/>
      <c r="M513" s="11"/>
      <c r="N513" s="11"/>
      <c r="O513" s="12"/>
      <c r="P513" s="11"/>
      <c r="Q513" s="13"/>
      <c r="R513" s="14"/>
    </row>
    <row r="514" spans="1:18" ht="15" customHeight="1">
      <c r="A514" s="49" t="s">
        <v>61</v>
      </c>
      <c r="B514" s="49" t="s">
        <v>612</v>
      </c>
      <c r="C514" s="50">
        <v>8.6805555555555566E-2</v>
      </c>
      <c r="D514" s="49" t="s">
        <v>63</v>
      </c>
      <c r="E514" s="49" t="s">
        <v>100</v>
      </c>
      <c r="F514" s="49" t="s">
        <v>79</v>
      </c>
      <c r="G514" s="298"/>
      <c r="H514" s="51" t="s">
        <v>613</v>
      </c>
      <c r="I514" s="52">
        <v>1.11E-2</v>
      </c>
      <c r="J514" s="53">
        <v>2</v>
      </c>
      <c r="K514" s="54">
        <v>46344</v>
      </c>
      <c r="L514" s="53">
        <v>2</v>
      </c>
      <c r="M514" s="53">
        <v>0</v>
      </c>
      <c r="N514" s="53">
        <v>0</v>
      </c>
      <c r="O514" s="55" t="s">
        <v>301</v>
      </c>
      <c r="P514" s="56">
        <v>8.6805555555555566E-2</v>
      </c>
      <c r="Q514" s="53">
        <v>180</v>
      </c>
      <c r="R514" s="57" t="s">
        <v>298</v>
      </c>
    </row>
    <row r="515" spans="1:18" ht="15" customHeight="1">
      <c r="A515" s="19" t="s">
        <v>48</v>
      </c>
      <c r="B515" s="19" t="s">
        <v>609</v>
      </c>
      <c r="C515" s="20">
        <v>0.4513888888888889</v>
      </c>
      <c r="D515" s="19" t="s">
        <v>53</v>
      </c>
      <c r="E515" s="19" t="s">
        <v>51</v>
      </c>
      <c r="F515" s="19" t="s">
        <v>681</v>
      </c>
      <c r="G515" s="298"/>
      <c r="H515" s="10"/>
      <c r="I515" s="11"/>
      <c r="J515" s="11"/>
      <c r="K515" s="11"/>
      <c r="L515" s="11"/>
      <c r="M515" s="11"/>
      <c r="N515" s="11"/>
      <c r="O515" s="12"/>
      <c r="P515" s="11"/>
      <c r="Q515" s="13"/>
      <c r="R515" s="14"/>
    </row>
    <row r="516" spans="1:18" ht="15" customHeight="1">
      <c r="A516" s="17" t="s">
        <v>48</v>
      </c>
      <c r="B516" s="17" t="s">
        <v>611</v>
      </c>
      <c r="C516" s="18">
        <v>0.81944444444444453</v>
      </c>
      <c r="D516" s="17" t="s">
        <v>53</v>
      </c>
      <c r="E516" s="17" t="s">
        <v>57</v>
      </c>
      <c r="F516" s="17" t="s">
        <v>681</v>
      </c>
      <c r="G516" s="298"/>
      <c r="H516" s="10"/>
      <c r="I516" s="11"/>
      <c r="J516" s="11"/>
      <c r="K516" s="11"/>
      <c r="L516" s="11"/>
      <c r="M516" s="11"/>
      <c r="N516" s="11"/>
      <c r="O516" s="12"/>
      <c r="P516" s="11"/>
      <c r="Q516" s="13"/>
      <c r="R516" s="14"/>
    </row>
    <row r="517" spans="1:18" ht="18">
      <c r="A517" s="292" t="s">
        <v>615</v>
      </c>
      <c r="B517" s="303"/>
      <c r="C517" s="303"/>
      <c r="D517" s="303"/>
      <c r="E517" s="303"/>
      <c r="F517" s="304"/>
      <c r="G517" s="298"/>
      <c r="H517" s="138"/>
      <c r="I517" s="138"/>
      <c r="J517" s="138"/>
      <c r="K517" s="138"/>
      <c r="L517" s="138"/>
      <c r="M517" s="138"/>
      <c r="N517" s="138"/>
      <c r="O517" s="139"/>
      <c r="P517" s="138"/>
      <c r="Q517" s="107"/>
      <c r="R517" s="107"/>
    </row>
    <row r="518" spans="1:18" ht="15" customHeight="1">
      <c r="A518" s="17" t="s">
        <v>38</v>
      </c>
      <c r="B518" s="17" t="s">
        <v>342</v>
      </c>
      <c r="C518" s="18" t="s">
        <v>592</v>
      </c>
      <c r="D518" s="17" t="s">
        <v>40</v>
      </c>
      <c r="E518" s="17" t="s">
        <v>268</v>
      </c>
      <c r="F518" s="17" t="s">
        <v>347</v>
      </c>
      <c r="G518" s="298"/>
      <c r="H518" s="138"/>
      <c r="I518" s="138"/>
      <c r="J518" s="138"/>
      <c r="K518" s="138"/>
      <c r="L518" s="138"/>
      <c r="M518" s="138"/>
      <c r="N518" s="138"/>
      <c r="O518" s="139"/>
      <c r="P518" s="138"/>
      <c r="Q518" s="107"/>
      <c r="R518" s="107"/>
    </row>
    <row r="519" spans="1:18" ht="15" customHeight="1">
      <c r="A519" s="17" t="s">
        <v>38</v>
      </c>
      <c r="B519" s="17" t="s">
        <v>344</v>
      </c>
      <c r="C519" s="18" t="s">
        <v>593</v>
      </c>
      <c r="D519" s="17" t="s">
        <v>40</v>
      </c>
      <c r="E519" s="17" t="s">
        <v>332</v>
      </c>
      <c r="F519" s="17" t="s">
        <v>347</v>
      </c>
      <c r="G519" s="298"/>
      <c r="H519" s="138"/>
      <c r="I519" s="138"/>
      <c r="J519" s="138"/>
      <c r="K519" s="138"/>
      <c r="L519" s="138"/>
      <c r="M519" s="138"/>
      <c r="N519" s="138"/>
      <c r="O519" s="139"/>
      <c r="P519" s="138"/>
      <c r="Q519" s="107"/>
      <c r="R519" s="107"/>
    </row>
    <row r="520" spans="1:18" ht="15" customHeight="1">
      <c r="A520" s="17" t="s">
        <v>38</v>
      </c>
      <c r="B520" s="17" t="s">
        <v>345</v>
      </c>
      <c r="C520" s="18" t="s">
        <v>594</v>
      </c>
      <c r="D520" s="17" t="s">
        <v>40</v>
      </c>
      <c r="E520" s="17" t="s">
        <v>308</v>
      </c>
      <c r="F520" s="17" t="s">
        <v>347</v>
      </c>
      <c r="G520" s="298"/>
      <c r="H520" s="138"/>
      <c r="I520" s="138"/>
      <c r="J520" s="138"/>
      <c r="K520" s="138"/>
      <c r="L520" s="138"/>
      <c r="M520" s="138"/>
      <c r="N520" s="138"/>
      <c r="O520" s="139"/>
      <c r="P520" s="138"/>
      <c r="Q520" s="107"/>
      <c r="R520" s="107"/>
    </row>
    <row r="521" spans="1:18" ht="15" customHeight="1">
      <c r="A521" s="17" t="s">
        <v>359</v>
      </c>
      <c r="B521" s="17" t="s">
        <v>360</v>
      </c>
      <c r="C521" s="18" t="s">
        <v>599</v>
      </c>
      <c r="D521" s="17" t="s">
        <v>361</v>
      </c>
      <c r="E521" s="17" t="s">
        <v>270</v>
      </c>
      <c r="F521" s="17" t="s">
        <v>525</v>
      </c>
      <c r="G521" s="298"/>
      <c r="H521" s="138"/>
      <c r="I521" s="138"/>
      <c r="J521" s="138"/>
      <c r="K521" s="138"/>
      <c r="L521" s="138"/>
      <c r="M521" s="138"/>
      <c r="N521" s="138"/>
      <c r="O521" s="139"/>
      <c r="P521" s="138"/>
      <c r="Q521" s="107"/>
      <c r="R521" s="107"/>
    </row>
    <row r="522" spans="1:18" ht="15" customHeight="1">
      <c r="A522" s="17" t="s">
        <v>38</v>
      </c>
      <c r="B522" s="17" t="s">
        <v>346</v>
      </c>
      <c r="C522" s="18" t="s">
        <v>600</v>
      </c>
      <c r="D522" s="17" t="s">
        <v>40</v>
      </c>
      <c r="E522" s="17" t="s">
        <v>268</v>
      </c>
      <c r="F522" s="17" t="s">
        <v>121</v>
      </c>
      <c r="G522" s="298"/>
      <c r="H522" s="138"/>
      <c r="I522" s="138"/>
      <c r="J522" s="138"/>
      <c r="K522" s="138"/>
      <c r="L522" s="138"/>
      <c r="M522" s="138"/>
      <c r="N522" s="138"/>
      <c r="O522" s="139"/>
      <c r="P522" s="138"/>
      <c r="Q522" s="107"/>
      <c r="R522" s="107"/>
    </row>
    <row r="523" spans="1:18" ht="15" customHeight="1">
      <c r="A523" s="17" t="s">
        <v>402</v>
      </c>
      <c r="B523" s="17" t="s">
        <v>403</v>
      </c>
      <c r="C523" s="18" t="s">
        <v>662</v>
      </c>
      <c r="D523" s="17" t="s">
        <v>63</v>
      </c>
      <c r="E523" s="17" t="s">
        <v>277</v>
      </c>
      <c r="F523" s="17" t="s">
        <v>404</v>
      </c>
      <c r="G523" s="298"/>
      <c r="H523" s="138"/>
      <c r="I523" s="138"/>
      <c r="J523" s="138"/>
      <c r="K523" s="138"/>
      <c r="L523" s="138"/>
      <c r="M523" s="138"/>
      <c r="N523" s="138"/>
      <c r="O523" s="139"/>
      <c r="P523" s="138"/>
      <c r="Q523" s="107"/>
      <c r="R523" s="107"/>
    </row>
    <row r="524" spans="1:18" ht="15" customHeight="1">
      <c r="A524" s="17" t="s">
        <v>61</v>
      </c>
      <c r="B524" s="17" t="s">
        <v>369</v>
      </c>
      <c r="C524" s="18" t="s">
        <v>554</v>
      </c>
      <c r="D524" s="17" t="s">
        <v>63</v>
      </c>
      <c r="E524" s="17" t="s">
        <v>303</v>
      </c>
      <c r="F524" s="17" t="s">
        <v>79</v>
      </c>
      <c r="G524" s="298"/>
      <c r="H524" s="138"/>
      <c r="I524" s="138"/>
      <c r="J524" s="138"/>
      <c r="K524" s="138"/>
      <c r="L524" s="138"/>
      <c r="M524" s="138"/>
      <c r="N524" s="138"/>
      <c r="O524" s="139"/>
      <c r="P524" s="138"/>
      <c r="Q524" s="107"/>
      <c r="R524" s="107"/>
    </row>
    <row r="525" spans="1:18" ht="15" customHeight="1">
      <c r="A525" s="17" t="s">
        <v>61</v>
      </c>
      <c r="B525" s="17" t="s">
        <v>371</v>
      </c>
      <c r="C525" s="18" t="s">
        <v>273</v>
      </c>
      <c r="D525" s="17" t="s">
        <v>63</v>
      </c>
      <c r="E525" s="17" t="s">
        <v>286</v>
      </c>
      <c r="F525" s="17" t="s">
        <v>79</v>
      </c>
      <c r="G525" s="298"/>
      <c r="H525" s="138"/>
      <c r="I525" s="138"/>
      <c r="J525" s="138"/>
      <c r="K525" s="138"/>
      <c r="L525" s="138"/>
      <c r="M525" s="138"/>
      <c r="N525" s="138"/>
      <c r="O525" s="139"/>
      <c r="P525" s="138"/>
      <c r="Q525" s="107"/>
      <c r="R525" s="107"/>
    </row>
    <row r="526" spans="1:18" ht="15" customHeight="1">
      <c r="A526" s="17" t="s">
        <v>61</v>
      </c>
      <c r="B526" s="17" t="s">
        <v>375</v>
      </c>
      <c r="C526" s="18" t="s">
        <v>553</v>
      </c>
      <c r="D526" s="17" t="s">
        <v>63</v>
      </c>
      <c r="E526" s="17" t="s">
        <v>286</v>
      </c>
      <c r="F526" s="17" t="s">
        <v>79</v>
      </c>
      <c r="G526" s="298"/>
      <c r="H526" s="138"/>
      <c r="I526" s="138"/>
      <c r="J526" s="138"/>
      <c r="K526" s="138"/>
      <c r="L526" s="138"/>
      <c r="M526" s="138"/>
      <c r="N526" s="138"/>
      <c r="O526" s="139"/>
      <c r="P526" s="138"/>
      <c r="Q526" s="107"/>
      <c r="R526" s="107"/>
    </row>
    <row r="527" spans="1:18" ht="15" customHeight="1" thickBot="1">
      <c r="A527" s="30" t="s">
        <v>61</v>
      </c>
      <c r="B527" s="30" t="s">
        <v>377</v>
      </c>
      <c r="C527" s="31" t="s">
        <v>555</v>
      </c>
      <c r="D527" s="30" t="s">
        <v>63</v>
      </c>
      <c r="E527" s="30" t="s">
        <v>294</v>
      </c>
      <c r="F527" s="30" t="s">
        <v>79</v>
      </c>
      <c r="G527" s="299"/>
      <c r="H527" s="140"/>
      <c r="I527" s="140"/>
      <c r="J527" s="140"/>
      <c r="K527" s="140"/>
      <c r="L527" s="140"/>
      <c r="M527" s="140"/>
      <c r="N527" s="140"/>
      <c r="O527" s="141"/>
      <c r="P527" s="140"/>
      <c r="Q527" s="142"/>
      <c r="R527" s="142"/>
    </row>
    <row r="528" spans="1:18" ht="17.45" customHeight="1" thickBot="1">
      <c r="A528" s="283"/>
      <c r="B528" s="284"/>
      <c r="C528" s="284"/>
      <c r="D528" s="284"/>
      <c r="E528" s="284"/>
      <c r="F528" s="284"/>
      <c r="G528" s="284"/>
      <c r="H528" s="284"/>
      <c r="I528" s="284"/>
      <c r="J528" s="284"/>
      <c r="K528" s="284"/>
      <c r="L528" s="284"/>
      <c r="M528" s="284"/>
      <c r="N528" s="284"/>
      <c r="O528" s="284"/>
      <c r="P528" s="284"/>
      <c r="Q528" s="284"/>
      <c r="R528" s="285"/>
    </row>
    <row r="529" spans="1:18" ht="22.15" customHeight="1" thickTop="1" thickBot="1">
      <c r="A529" s="279" t="s">
        <v>6</v>
      </c>
      <c r="B529" s="295"/>
      <c r="C529" s="295"/>
      <c r="D529" s="295"/>
      <c r="E529" s="295"/>
      <c r="F529" s="296"/>
      <c r="G529" s="32">
        <v>46045</v>
      </c>
      <c r="H529" s="278" t="s">
        <v>7</v>
      </c>
      <c r="I529" s="295"/>
      <c r="J529" s="295"/>
      <c r="K529" s="295"/>
      <c r="L529" s="295"/>
      <c r="M529" s="295"/>
      <c r="N529" s="295"/>
      <c r="O529" s="295"/>
      <c r="P529" s="295"/>
      <c r="Q529" s="295"/>
      <c r="R529" s="296"/>
    </row>
    <row r="530" spans="1:18" ht="24" customHeight="1">
      <c r="A530" s="33" t="s">
        <v>8</v>
      </c>
      <c r="B530" s="33" t="s">
        <v>9</v>
      </c>
      <c r="C530" s="34" t="s">
        <v>10</v>
      </c>
      <c r="D530" s="33" t="s">
        <v>11</v>
      </c>
      <c r="E530" s="33" t="s">
        <v>12</v>
      </c>
      <c r="F530" s="35" t="s">
        <v>13</v>
      </c>
      <c r="G530" s="36" t="s">
        <v>14</v>
      </c>
      <c r="H530" s="33" t="s">
        <v>15</v>
      </c>
      <c r="I530" s="37" t="s">
        <v>16</v>
      </c>
      <c r="J530" s="38" t="s">
        <v>17</v>
      </c>
      <c r="K530" s="39" t="s">
        <v>18</v>
      </c>
      <c r="L530" s="38" t="s">
        <v>19</v>
      </c>
      <c r="M530" s="38" t="s">
        <v>20</v>
      </c>
      <c r="N530" s="38" t="s">
        <v>21</v>
      </c>
      <c r="O530" s="33" t="s">
        <v>22</v>
      </c>
      <c r="P530" s="34" t="s">
        <v>23</v>
      </c>
      <c r="Q530" s="38" t="s">
        <v>24</v>
      </c>
      <c r="R530" s="33" t="s">
        <v>25</v>
      </c>
    </row>
    <row r="531" spans="1:18" ht="15" customHeight="1">
      <c r="A531" s="8" t="s">
        <v>359</v>
      </c>
      <c r="B531" s="8" t="s">
        <v>616</v>
      </c>
      <c r="C531" s="9">
        <v>1.041666666666667E-2</v>
      </c>
      <c r="D531" s="8" t="s">
        <v>603</v>
      </c>
      <c r="E531" s="8" t="s">
        <v>80</v>
      </c>
      <c r="F531" s="8" t="s">
        <v>682</v>
      </c>
      <c r="G531" s="297"/>
      <c r="H531" s="10"/>
      <c r="I531" s="11"/>
      <c r="J531" s="11"/>
      <c r="K531" s="11"/>
      <c r="L531" s="11"/>
      <c r="M531" s="11"/>
      <c r="N531" s="11"/>
      <c r="O531" s="12"/>
      <c r="P531" s="11"/>
      <c r="Q531" s="13"/>
      <c r="R531" s="14"/>
    </row>
    <row r="532" spans="1:18" ht="15" customHeight="1">
      <c r="A532" s="15" t="s">
        <v>359</v>
      </c>
      <c r="B532" s="15" t="s">
        <v>616</v>
      </c>
      <c r="C532" s="16">
        <v>1.041666666666667E-2</v>
      </c>
      <c r="D532" s="15" t="s">
        <v>605</v>
      </c>
      <c r="E532" s="15" t="s">
        <v>82</v>
      </c>
      <c r="F532" s="15" t="s">
        <v>683</v>
      </c>
      <c r="G532" s="298"/>
      <c r="H532" s="10"/>
      <c r="I532" s="11"/>
      <c r="J532" s="11"/>
      <c r="K532" s="11"/>
      <c r="L532" s="11"/>
      <c r="M532" s="11"/>
      <c r="N532" s="11"/>
      <c r="O532" s="12"/>
      <c r="P532" s="11"/>
      <c r="Q532" s="13"/>
      <c r="R532" s="14"/>
    </row>
    <row r="533" spans="1:18" ht="15" customHeight="1">
      <c r="A533" s="15" t="s">
        <v>359</v>
      </c>
      <c r="B533" s="15" t="s">
        <v>616</v>
      </c>
      <c r="C533" s="16">
        <v>1.041666666666667E-2</v>
      </c>
      <c r="D533" s="15" t="s">
        <v>46</v>
      </c>
      <c r="E533" s="15" t="s">
        <v>82</v>
      </c>
      <c r="F533" s="15" t="s">
        <v>684</v>
      </c>
      <c r="G533" s="298"/>
      <c r="H533" s="10"/>
      <c r="I533" s="11"/>
      <c r="J533" s="11"/>
      <c r="K533" s="11"/>
      <c r="L533" s="11"/>
      <c r="M533" s="11"/>
      <c r="N533" s="11"/>
      <c r="O533" s="12"/>
      <c r="P533" s="11"/>
      <c r="Q533" s="13"/>
      <c r="R533" s="14"/>
    </row>
    <row r="534" spans="1:18" ht="15" customHeight="1">
      <c r="A534" s="98" t="s">
        <v>61</v>
      </c>
      <c r="B534" s="98" t="s">
        <v>612</v>
      </c>
      <c r="C534" s="99">
        <v>0.22916666666666671</v>
      </c>
      <c r="D534" s="98" t="s">
        <v>63</v>
      </c>
      <c r="E534" s="98" t="s">
        <v>126</v>
      </c>
      <c r="F534" s="98" t="s">
        <v>513</v>
      </c>
      <c r="G534" s="298"/>
      <c r="H534" s="100" t="s">
        <v>613</v>
      </c>
      <c r="I534" s="101">
        <v>3.8899999999999997E-2</v>
      </c>
      <c r="J534" s="102">
        <v>7</v>
      </c>
      <c r="K534" s="103">
        <v>46333</v>
      </c>
      <c r="L534" s="102">
        <v>7</v>
      </c>
      <c r="M534" s="102">
        <v>0</v>
      </c>
      <c r="N534" s="102">
        <v>0</v>
      </c>
      <c r="O534" s="104" t="s">
        <v>310</v>
      </c>
      <c r="P534" s="105">
        <v>0.22916666666666671</v>
      </c>
      <c r="Q534" s="102">
        <v>180</v>
      </c>
      <c r="R534" s="106" t="s">
        <v>670</v>
      </c>
    </row>
    <row r="535" spans="1:18" ht="15" customHeight="1">
      <c r="A535" s="19" t="s">
        <v>48</v>
      </c>
      <c r="B535" s="19" t="s">
        <v>611</v>
      </c>
      <c r="C535" s="20">
        <v>0.81944444444444453</v>
      </c>
      <c r="D535" s="19" t="s">
        <v>53</v>
      </c>
      <c r="E535" s="19" t="s">
        <v>51</v>
      </c>
      <c r="F535" s="19" t="s">
        <v>681</v>
      </c>
      <c r="G535" s="298"/>
      <c r="H535" s="10"/>
      <c r="I535" s="11"/>
      <c r="J535" s="11"/>
      <c r="K535" s="11"/>
      <c r="L535" s="11"/>
      <c r="M535" s="11"/>
      <c r="N535" s="11"/>
      <c r="O535" s="12"/>
      <c r="P535" s="11"/>
      <c r="Q535" s="13"/>
      <c r="R535" s="14"/>
    </row>
    <row r="536" spans="1:18" ht="18">
      <c r="A536" s="292" t="s">
        <v>615</v>
      </c>
      <c r="B536" s="303"/>
      <c r="C536" s="303"/>
      <c r="D536" s="303"/>
      <c r="E536" s="303"/>
      <c r="F536" s="304"/>
      <c r="G536" s="298"/>
      <c r="H536" s="138"/>
      <c r="I536" s="138"/>
      <c r="J536" s="138"/>
      <c r="K536" s="138"/>
      <c r="L536" s="138"/>
      <c r="M536" s="138"/>
      <c r="N536" s="138"/>
      <c r="O536" s="139"/>
      <c r="P536" s="138"/>
      <c r="Q536" s="107"/>
      <c r="R536" s="107"/>
    </row>
    <row r="537" spans="1:18" ht="15" customHeight="1">
      <c r="A537" s="17" t="s">
        <v>38</v>
      </c>
      <c r="B537" s="17" t="s">
        <v>342</v>
      </c>
      <c r="C537" s="18" t="s">
        <v>592</v>
      </c>
      <c r="D537" s="17" t="s">
        <v>40</v>
      </c>
      <c r="E537" s="17" t="s">
        <v>275</v>
      </c>
      <c r="F537" s="17" t="s">
        <v>347</v>
      </c>
      <c r="G537" s="298"/>
      <c r="H537" s="138"/>
      <c r="I537" s="138"/>
      <c r="J537" s="138"/>
      <c r="K537" s="138"/>
      <c r="L537" s="138"/>
      <c r="M537" s="138"/>
      <c r="N537" s="138"/>
      <c r="O537" s="139"/>
      <c r="P537" s="138"/>
      <c r="Q537" s="107"/>
      <c r="R537" s="107"/>
    </row>
    <row r="538" spans="1:18" ht="15" customHeight="1">
      <c r="A538" s="17" t="s">
        <v>359</v>
      </c>
      <c r="B538" s="17" t="s">
        <v>422</v>
      </c>
      <c r="C538" s="18" t="s">
        <v>618</v>
      </c>
      <c r="D538" s="17" t="s">
        <v>361</v>
      </c>
      <c r="E538" s="17" t="s">
        <v>270</v>
      </c>
      <c r="F538" s="17" t="s">
        <v>534</v>
      </c>
      <c r="G538" s="298"/>
      <c r="H538" s="138"/>
      <c r="I538" s="138"/>
      <c r="J538" s="138"/>
      <c r="K538" s="138"/>
      <c r="L538" s="138"/>
      <c r="M538" s="138"/>
      <c r="N538" s="138"/>
      <c r="O538" s="139"/>
      <c r="P538" s="138"/>
      <c r="Q538" s="107"/>
      <c r="R538" s="107"/>
    </row>
    <row r="539" spans="1:18" ht="15" customHeight="1">
      <c r="A539" s="17" t="s">
        <v>359</v>
      </c>
      <c r="B539" s="17" t="s">
        <v>360</v>
      </c>
      <c r="C539" s="18" t="s">
        <v>619</v>
      </c>
      <c r="D539" s="17" t="s">
        <v>361</v>
      </c>
      <c r="E539" s="17" t="s">
        <v>270</v>
      </c>
      <c r="F539" s="17" t="s">
        <v>534</v>
      </c>
      <c r="G539" s="298"/>
      <c r="H539" s="138"/>
      <c r="I539" s="138"/>
      <c r="J539" s="138"/>
      <c r="K539" s="138"/>
      <c r="L539" s="138"/>
      <c r="M539" s="138"/>
      <c r="N539" s="138"/>
      <c r="O539" s="139"/>
      <c r="P539" s="138"/>
      <c r="Q539" s="107"/>
      <c r="R539" s="107"/>
    </row>
    <row r="540" spans="1:18" ht="15" customHeight="1">
      <c r="A540" s="17" t="s">
        <v>38</v>
      </c>
      <c r="B540" s="17" t="s">
        <v>346</v>
      </c>
      <c r="C540" s="18" t="s">
        <v>600</v>
      </c>
      <c r="D540" s="17" t="s">
        <v>40</v>
      </c>
      <c r="E540" s="17" t="s">
        <v>268</v>
      </c>
      <c r="F540" s="17" t="s">
        <v>121</v>
      </c>
      <c r="G540" s="298"/>
      <c r="H540" s="138"/>
      <c r="I540" s="138"/>
      <c r="J540" s="138"/>
      <c r="K540" s="138"/>
      <c r="L540" s="138"/>
      <c r="M540" s="138"/>
      <c r="N540" s="138"/>
      <c r="O540" s="139"/>
      <c r="P540" s="138"/>
      <c r="Q540" s="107"/>
      <c r="R540" s="107"/>
    </row>
    <row r="541" spans="1:18" ht="15" customHeight="1">
      <c r="A541" s="17" t="s">
        <v>38</v>
      </c>
      <c r="B541" s="17" t="s">
        <v>344</v>
      </c>
      <c r="C541" s="18" t="s">
        <v>593</v>
      </c>
      <c r="D541" s="17" t="s">
        <v>40</v>
      </c>
      <c r="E541" s="17" t="s">
        <v>312</v>
      </c>
      <c r="F541" s="17" t="s">
        <v>121</v>
      </c>
      <c r="G541" s="298"/>
      <c r="H541" s="138"/>
      <c r="I541" s="138"/>
      <c r="J541" s="138"/>
      <c r="K541" s="138"/>
      <c r="L541" s="138"/>
      <c r="M541" s="138"/>
      <c r="N541" s="138"/>
      <c r="O541" s="139"/>
      <c r="P541" s="138"/>
      <c r="Q541" s="107"/>
      <c r="R541" s="107"/>
    </row>
    <row r="542" spans="1:18" ht="15" customHeight="1">
      <c r="A542" s="17" t="s">
        <v>38</v>
      </c>
      <c r="B542" s="17" t="s">
        <v>345</v>
      </c>
      <c r="C542" s="18" t="s">
        <v>594</v>
      </c>
      <c r="D542" s="17" t="s">
        <v>40</v>
      </c>
      <c r="E542" s="17" t="s">
        <v>284</v>
      </c>
      <c r="F542" s="17" t="s">
        <v>121</v>
      </c>
      <c r="G542" s="298"/>
      <c r="H542" s="138"/>
      <c r="I542" s="138"/>
      <c r="J542" s="138"/>
      <c r="K542" s="138"/>
      <c r="L542" s="138"/>
      <c r="M542" s="138"/>
      <c r="N542" s="138"/>
      <c r="O542" s="139"/>
      <c r="P542" s="138"/>
      <c r="Q542" s="107"/>
      <c r="R542" s="107"/>
    </row>
    <row r="543" spans="1:18" ht="15" customHeight="1">
      <c r="A543" s="17" t="s">
        <v>26</v>
      </c>
      <c r="B543" s="17" t="s">
        <v>348</v>
      </c>
      <c r="C543" s="18" t="s">
        <v>595</v>
      </c>
      <c r="D543" s="17" t="s">
        <v>28</v>
      </c>
      <c r="E543" s="17" t="s">
        <v>288</v>
      </c>
      <c r="F543" s="17" t="s">
        <v>83</v>
      </c>
      <c r="G543" s="298"/>
      <c r="H543" s="138"/>
      <c r="I543" s="138"/>
      <c r="J543" s="138"/>
      <c r="K543" s="138"/>
      <c r="L543" s="138"/>
      <c r="M543" s="138"/>
      <c r="N543" s="138"/>
      <c r="O543" s="139"/>
      <c r="P543" s="138"/>
      <c r="Q543" s="107"/>
      <c r="R543" s="107"/>
    </row>
    <row r="544" spans="1:18" ht="15" customHeight="1">
      <c r="A544" s="17" t="s">
        <v>359</v>
      </c>
      <c r="B544" s="17" t="s">
        <v>425</v>
      </c>
      <c r="C544" s="18" t="s">
        <v>620</v>
      </c>
      <c r="D544" s="17" t="s">
        <v>361</v>
      </c>
      <c r="E544" s="17" t="s">
        <v>270</v>
      </c>
      <c r="F544" s="17" t="s">
        <v>504</v>
      </c>
      <c r="G544" s="298"/>
      <c r="H544" s="138"/>
      <c r="I544" s="138"/>
      <c r="J544" s="138"/>
      <c r="K544" s="138"/>
      <c r="L544" s="138"/>
      <c r="M544" s="138"/>
      <c r="N544" s="138"/>
      <c r="O544" s="139"/>
      <c r="P544" s="138"/>
      <c r="Q544" s="107"/>
      <c r="R544" s="107"/>
    </row>
    <row r="545" spans="1:18" ht="15" customHeight="1">
      <c r="A545" s="17" t="s">
        <v>402</v>
      </c>
      <c r="B545" s="17" t="s">
        <v>403</v>
      </c>
      <c r="C545" s="18" t="s">
        <v>662</v>
      </c>
      <c r="D545" s="17" t="s">
        <v>63</v>
      </c>
      <c r="E545" s="17" t="s">
        <v>267</v>
      </c>
      <c r="F545" s="17" t="s">
        <v>404</v>
      </c>
      <c r="G545" s="298"/>
      <c r="H545" s="138"/>
      <c r="I545" s="138"/>
      <c r="J545" s="138"/>
      <c r="K545" s="138"/>
      <c r="L545" s="138"/>
      <c r="M545" s="138"/>
      <c r="N545" s="138"/>
      <c r="O545" s="139"/>
      <c r="P545" s="138"/>
      <c r="Q545" s="107"/>
      <c r="R545" s="107"/>
    </row>
    <row r="546" spans="1:18" ht="15" customHeight="1" thickBot="1">
      <c r="A546" s="30" t="s">
        <v>61</v>
      </c>
      <c r="B546" s="30" t="s">
        <v>377</v>
      </c>
      <c r="C546" s="31" t="s">
        <v>562</v>
      </c>
      <c r="D546" s="30" t="s">
        <v>63</v>
      </c>
      <c r="E546" s="30" t="s">
        <v>277</v>
      </c>
      <c r="F546" s="30" t="s">
        <v>79</v>
      </c>
      <c r="G546" s="299"/>
      <c r="H546" s="140"/>
      <c r="I546" s="140"/>
      <c r="J546" s="140"/>
      <c r="K546" s="140"/>
      <c r="L546" s="140"/>
      <c r="M546" s="140"/>
      <c r="N546" s="140"/>
      <c r="O546" s="141"/>
      <c r="P546" s="140"/>
      <c r="Q546" s="142"/>
      <c r="R546" s="142"/>
    </row>
    <row r="547" spans="1:18" ht="17.45" customHeight="1" thickBot="1">
      <c r="A547" s="283"/>
      <c r="B547" s="284"/>
      <c r="C547" s="284"/>
      <c r="D547" s="284"/>
      <c r="E547" s="284"/>
      <c r="F547" s="284"/>
      <c r="G547" s="284"/>
      <c r="H547" s="284"/>
      <c r="I547" s="284"/>
      <c r="J547" s="284"/>
      <c r="K547" s="284"/>
      <c r="L547" s="284"/>
      <c r="M547" s="284"/>
      <c r="N547" s="284"/>
      <c r="O547" s="284"/>
      <c r="P547" s="284"/>
      <c r="Q547" s="284"/>
      <c r="R547" s="285"/>
    </row>
    <row r="548" spans="1:18" ht="22.15" customHeight="1" thickTop="1" thickBot="1">
      <c r="A548" s="279" t="s">
        <v>6</v>
      </c>
      <c r="B548" s="295"/>
      <c r="C548" s="295"/>
      <c r="D548" s="295"/>
      <c r="E548" s="295"/>
      <c r="F548" s="296"/>
      <c r="G548" s="32">
        <v>46046</v>
      </c>
      <c r="H548" s="278" t="s">
        <v>7</v>
      </c>
      <c r="I548" s="295"/>
      <c r="J548" s="295"/>
      <c r="K548" s="295"/>
      <c r="L548" s="295"/>
      <c r="M548" s="295"/>
      <c r="N548" s="295"/>
      <c r="O548" s="295"/>
      <c r="P548" s="295"/>
      <c r="Q548" s="295"/>
      <c r="R548" s="296"/>
    </row>
    <row r="549" spans="1:18" ht="24" customHeight="1">
      <c r="A549" s="33" t="s">
        <v>8</v>
      </c>
      <c r="B549" s="33" t="s">
        <v>9</v>
      </c>
      <c r="C549" s="34" t="s">
        <v>10</v>
      </c>
      <c r="D549" s="33" t="s">
        <v>11</v>
      </c>
      <c r="E549" s="33" t="s">
        <v>12</v>
      </c>
      <c r="F549" s="35" t="s">
        <v>13</v>
      </c>
      <c r="G549" s="36" t="s">
        <v>14</v>
      </c>
      <c r="H549" s="33" t="s">
        <v>15</v>
      </c>
      <c r="I549" s="37" t="s">
        <v>16</v>
      </c>
      <c r="J549" s="38" t="s">
        <v>17</v>
      </c>
      <c r="K549" s="39" t="s">
        <v>18</v>
      </c>
      <c r="L549" s="38" t="s">
        <v>19</v>
      </c>
      <c r="M549" s="38" t="s">
        <v>20</v>
      </c>
      <c r="N549" s="38" t="s">
        <v>21</v>
      </c>
      <c r="O549" s="33" t="s">
        <v>22</v>
      </c>
      <c r="P549" s="34" t="s">
        <v>23</v>
      </c>
      <c r="Q549" s="38" t="s">
        <v>24</v>
      </c>
      <c r="R549" s="33" t="s">
        <v>25</v>
      </c>
    </row>
    <row r="550" spans="1:18" ht="15" customHeight="1">
      <c r="A550" s="8" t="s">
        <v>359</v>
      </c>
      <c r="B550" s="8" t="s">
        <v>602</v>
      </c>
      <c r="C550" s="9">
        <v>0.3611111111111111</v>
      </c>
      <c r="D550" s="8" t="s">
        <v>603</v>
      </c>
      <c r="E550" s="8" t="s">
        <v>80</v>
      </c>
      <c r="F550" s="8" t="s">
        <v>682</v>
      </c>
      <c r="G550" s="302"/>
      <c r="H550" s="10"/>
      <c r="I550" s="11"/>
      <c r="J550" s="11"/>
      <c r="K550" s="11"/>
      <c r="L550" s="11"/>
      <c r="M550" s="11"/>
      <c r="N550" s="11"/>
      <c r="O550" s="12"/>
      <c r="P550" s="11"/>
      <c r="Q550" s="13"/>
      <c r="R550" s="14"/>
    </row>
    <row r="551" spans="1:18" ht="15" customHeight="1">
      <c r="A551" s="15" t="s">
        <v>359</v>
      </c>
      <c r="B551" s="15" t="s">
        <v>602</v>
      </c>
      <c r="C551" s="16">
        <v>0.3611111111111111</v>
      </c>
      <c r="D551" s="15" t="s">
        <v>605</v>
      </c>
      <c r="E551" s="15" t="s">
        <v>82</v>
      </c>
      <c r="F551" s="15" t="s">
        <v>683</v>
      </c>
      <c r="G551" s="298"/>
      <c r="H551" s="10"/>
      <c r="I551" s="11"/>
      <c r="J551" s="11"/>
      <c r="K551" s="11"/>
      <c r="L551" s="11"/>
      <c r="M551" s="11"/>
      <c r="N551" s="11"/>
      <c r="O551" s="12"/>
      <c r="P551" s="11"/>
      <c r="Q551" s="13"/>
      <c r="R551" s="14"/>
    </row>
    <row r="552" spans="1:18" ht="15" customHeight="1">
      <c r="A552" s="15" t="s">
        <v>359</v>
      </c>
      <c r="B552" s="15" t="s">
        <v>602</v>
      </c>
      <c r="C552" s="16">
        <v>0.3611111111111111</v>
      </c>
      <c r="D552" s="15" t="s">
        <v>46</v>
      </c>
      <c r="E552" s="15" t="s">
        <v>82</v>
      </c>
      <c r="F552" s="15" t="s">
        <v>684</v>
      </c>
      <c r="G552" s="298"/>
      <c r="H552" s="10"/>
      <c r="I552" s="11"/>
      <c r="J552" s="11"/>
      <c r="K552" s="11"/>
      <c r="L552" s="11"/>
      <c r="M552" s="11"/>
      <c r="N552" s="11"/>
      <c r="O552" s="12"/>
      <c r="P552" s="11"/>
      <c r="Q552" s="13"/>
      <c r="R552" s="14"/>
    </row>
    <row r="553" spans="1:18" ht="15" customHeight="1">
      <c r="A553" s="17" t="s">
        <v>359</v>
      </c>
      <c r="B553" s="17" t="s">
        <v>628</v>
      </c>
      <c r="C553" s="18">
        <v>2.777777777777778E-2</v>
      </c>
      <c r="D553" s="17" t="s">
        <v>603</v>
      </c>
      <c r="E553" s="17" t="s">
        <v>90</v>
      </c>
      <c r="F553" s="17" t="s">
        <v>682</v>
      </c>
      <c r="G553" s="298"/>
      <c r="H553" s="10"/>
      <c r="I553" s="11"/>
      <c r="J553" s="11"/>
      <c r="K553" s="11"/>
      <c r="L553" s="11"/>
      <c r="M553" s="11"/>
      <c r="N553" s="11"/>
      <c r="O553" s="12"/>
      <c r="P553" s="11"/>
      <c r="Q553" s="13"/>
      <c r="R553" s="14"/>
    </row>
    <row r="554" spans="1:18" ht="15" customHeight="1">
      <c r="A554" s="15" t="s">
        <v>359</v>
      </c>
      <c r="B554" s="15" t="s">
        <v>628</v>
      </c>
      <c r="C554" s="16">
        <v>2.777777777777778E-2</v>
      </c>
      <c r="D554" s="15" t="s">
        <v>605</v>
      </c>
      <c r="E554" s="15" t="s">
        <v>82</v>
      </c>
      <c r="F554" s="15" t="s">
        <v>683</v>
      </c>
      <c r="G554" s="298"/>
      <c r="H554" s="10"/>
      <c r="I554" s="11"/>
      <c r="J554" s="11"/>
      <c r="K554" s="11"/>
      <c r="L554" s="11"/>
      <c r="M554" s="11"/>
      <c r="N554" s="11"/>
      <c r="O554" s="12"/>
      <c r="P554" s="11"/>
      <c r="Q554" s="13"/>
      <c r="R554" s="14"/>
    </row>
    <row r="555" spans="1:18" ht="15" customHeight="1">
      <c r="A555" s="15" t="s">
        <v>359</v>
      </c>
      <c r="B555" s="15" t="s">
        <v>628</v>
      </c>
      <c r="C555" s="16">
        <v>2.777777777777778E-2</v>
      </c>
      <c r="D555" s="15" t="s">
        <v>46</v>
      </c>
      <c r="E555" s="15" t="s">
        <v>82</v>
      </c>
      <c r="F555" s="15" t="s">
        <v>684</v>
      </c>
      <c r="G555" s="298"/>
      <c r="H555" s="10"/>
      <c r="I555" s="11"/>
      <c r="J555" s="11"/>
      <c r="K555" s="11"/>
      <c r="L555" s="11"/>
      <c r="M555" s="11"/>
      <c r="N555" s="11"/>
      <c r="O555" s="12"/>
      <c r="P555" s="11"/>
      <c r="Q555" s="13"/>
      <c r="R555" s="14"/>
    </row>
    <row r="556" spans="1:18" ht="15" customHeight="1">
      <c r="A556" s="19" t="s">
        <v>38</v>
      </c>
      <c r="B556" s="19" t="s">
        <v>621</v>
      </c>
      <c r="C556" s="20">
        <v>0.3611111111111111</v>
      </c>
      <c r="D556" s="19" t="s">
        <v>622</v>
      </c>
      <c r="E556" s="19" t="s">
        <v>168</v>
      </c>
      <c r="F556" s="19" t="s">
        <v>121</v>
      </c>
      <c r="G556" s="298"/>
      <c r="H556" s="10"/>
      <c r="I556" s="11"/>
      <c r="J556" s="11"/>
      <c r="K556" s="11"/>
      <c r="L556" s="11"/>
      <c r="M556" s="11"/>
      <c r="N556" s="11"/>
      <c r="O556" s="12"/>
      <c r="P556" s="11"/>
      <c r="Q556" s="13"/>
      <c r="R556" s="14"/>
    </row>
    <row r="557" spans="1:18" ht="15" customHeight="1">
      <c r="A557" s="15" t="s">
        <v>38</v>
      </c>
      <c r="B557" s="15" t="s">
        <v>621</v>
      </c>
      <c r="C557" s="16">
        <v>0.3611111111111111</v>
      </c>
      <c r="D557" s="15" t="s">
        <v>603</v>
      </c>
      <c r="E557" s="15" t="s">
        <v>114</v>
      </c>
      <c r="F557" s="15" t="s">
        <v>623</v>
      </c>
      <c r="G557" s="298"/>
      <c r="H557" s="10"/>
      <c r="I557" s="11"/>
      <c r="J557" s="11"/>
      <c r="K557" s="11"/>
      <c r="L557" s="11"/>
      <c r="M557" s="11"/>
      <c r="N557" s="11"/>
      <c r="O557" s="12"/>
      <c r="P557" s="11"/>
      <c r="Q557" s="13"/>
      <c r="R557" s="14"/>
    </row>
    <row r="558" spans="1:18" ht="15" customHeight="1">
      <c r="A558" s="15" t="s">
        <v>38</v>
      </c>
      <c r="B558" s="15" t="s">
        <v>621</v>
      </c>
      <c r="C558" s="16">
        <v>0.3611111111111111</v>
      </c>
      <c r="D558" s="15" t="s">
        <v>605</v>
      </c>
      <c r="E558" s="15" t="s">
        <v>114</v>
      </c>
      <c r="F558" s="15" t="s">
        <v>624</v>
      </c>
      <c r="G558" s="298"/>
      <c r="H558" s="10"/>
      <c r="I558" s="11"/>
      <c r="J558" s="11"/>
      <c r="K558" s="11"/>
      <c r="L558" s="11"/>
      <c r="M558" s="11"/>
      <c r="N558" s="11"/>
      <c r="O558" s="12"/>
      <c r="P558" s="11"/>
      <c r="Q558" s="13"/>
      <c r="R558" s="14"/>
    </row>
    <row r="559" spans="1:18" ht="15" customHeight="1">
      <c r="A559" s="15" t="s">
        <v>38</v>
      </c>
      <c r="B559" s="15" t="s">
        <v>621</v>
      </c>
      <c r="C559" s="16">
        <v>0.3611111111111111</v>
      </c>
      <c r="D559" s="15" t="s">
        <v>625</v>
      </c>
      <c r="E559" s="15" t="s">
        <v>114</v>
      </c>
      <c r="F559" s="15" t="s">
        <v>163</v>
      </c>
      <c r="G559" s="298"/>
      <c r="H559" s="10"/>
      <c r="I559" s="11"/>
      <c r="J559" s="11"/>
      <c r="K559" s="11"/>
      <c r="L559" s="11"/>
      <c r="M559" s="11"/>
      <c r="N559" s="11"/>
      <c r="O559" s="12"/>
      <c r="P559" s="11"/>
      <c r="Q559" s="13"/>
      <c r="R559" s="14"/>
    </row>
    <row r="560" spans="1:18" ht="15" customHeight="1">
      <c r="A560" s="58" t="s">
        <v>61</v>
      </c>
      <c r="B560" s="58" t="s">
        <v>612</v>
      </c>
      <c r="C560" s="59">
        <v>0.60416666666666663</v>
      </c>
      <c r="D560" s="58" t="s">
        <v>63</v>
      </c>
      <c r="E560" s="58" t="s">
        <v>126</v>
      </c>
      <c r="F560" s="58" t="s">
        <v>79</v>
      </c>
      <c r="G560" s="298"/>
      <c r="H560" s="60" t="s">
        <v>613</v>
      </c>
      <c r="I560" s="61">
        <v>3.8899999999999997E-2</v>
      </c>
      <c r="J560" s="62">
        <v>7</v>
      </c>
      <c r="K560" s="63">
        <v>46345</v>
      </c>
      <c r="L560" s="62">
        <v>7</v>
      </c>
      <c r="M560" s="62">
        <v>0</v>
      </c>
      <c r="N560" s="62">
        <v>0</v>
      </c>
      <c r="O560" s="64" t="s">
        <v>304</v>
      </c>
      <c r="P560" s="65">
        <v>0.60416666666666663</v>
      </c>
      <c r="Q560" s="62">
        <v>180</v>
      </c>
      <c r="R560" s="66" t="s">
        <v>299</v>
      </c>
    </row>
    <row r="561" spans="1:18" ht="15" customHeight="1">
      <c r="A561" s="156" t="s">
        <v>61</v>
      </c>
      <c r="B561" s="156" t="s">
        <v>629</v>
      </c>
      <c r="C561" s="157">
        <v>0.27083333333333331</v>
      </c>
      <c r="D561" s="156" t="s">
        <v>63</v>
      </c>
      <c r="E561" s="156" t="s">
        <v>435</v>
      </c>
      <c r="F561" s="156" t="s">
        <v>79</v>
      </c>
      <c r="G561" s="298"/>
      <c r="H561" s="42" t="s">
        <v>630</v>
      </c>
      <c r="I561" s="43">
        <v>0.05</v>
      </c>
      <c r="J561" s="44">
        <v>9</v>
      </c>
      <c r="K561" s="45">
        <v>46325</v>
      </c>
      <c r="L561" s="44">
        <v>10</v>
      </c>
      <c r="M561" s="44">
        <v>0</v>
      </c>
      <c r="N561" s="44">
        <v>0</v>
      </c>
      <c r="O561" s="46" t="s">
        <v>299</v>
      </c>
      <c r="P561" s="47">
        <v>0.27083333333333331</v>
      </c>
      <c r="Q561" s="44">
        <v>180</v>
      </c>
      <c r="R561" s="48" t="s">
        <v>685</v>
      </c>
    </row>
    <row r="562" spans="1:18" ht="15" customHeight="1">
      <c r="A562" s="19" t="s">
        <v>48</v>
      </c>
      <c r="B562" s="19" t="s">
        <v>609</v>
      </c>
      <c r="C562" s="20">
        <v>0.4513888888888889</v>
      </c>
      <c r="D562" s="19" t="s">
        <v>53</v>
      </c>
      <c r="E562" s="19" t="s">
        <v>51</v>
      </c>
      <c r="F562" s="19" t="s">
        <v>681</v>
      </c>
      <c r="G562" s="298"/>
      <c r="H562" s="10"/>
      <c r="I562" s="11"/>
      <c r="J562" s="11"/>
      <c r="K562" s="11"/>
      <c r="L562" s="11"/>
      <c r="M562" s="11"/>
      <c r="N562" s="11"/>
      <c r="O562" s="12"/>
      <c r="P562" s="11"/>
      <c r="Q562" s="13"/>
      <c r="R562" s="14"/>
    </row>
    <row r="563" spans="1:18" ht="15" customHeight="1">
      <c r="A563" s="17" t="s">
        <v>48</v>
      </c>
      <c r="B563" s="17" t="s">
        <v>611</v>
      </c>
      <c r="C563" s="18">
        <v>0.81944444444444453</v>
      </c>
      <c r="D563" s="17" t="s">
        <v>53</v>
      </c>
      <c r="E563" s="17" t="s">
        <v>57</v>
      </c>
      <c r="F563" s="17" t="s">
        <v>681</v>
      </c>
      <c r="G563" s="298"/>
      <c r="H563" s="10"/>
      <c r="I563" s="11"/>
      <c r="J563" s="11"/>
      <c r="K563" s="11"/>
      <c r="L563" s="11"/>
      <c r="M563" s="11"/>
      <c r="N563" s="11"/>
      <c r="O563" s="12"/>
      <c r="P563" s="11"/>
      <c r="Q563" s="13"/>
      <c r="R563" s="14"/>
    </row>
    <row r="564" spans="1:18" ht="18">
      <c r="A564" s="292" t="s">
        <v>615</v>
      </c>
      <c r="B564" s="303"/>
      <c r="C564" s="303"/>
      <c r="D564" s="303"/>
      <c r="E564" s="303"/>
      <c r="F564" s="304"/>
      <c r="G564" s="298"/>
      <c r="H564" s="138"/>
      <c r="I564" s="138"/>
      <c r="J564" s="138"/>
      <c r="K564" s="138"/>
      <c r="L564" s="138"/>
      <c r="M564" s="138"/>
      <c r="N564" s="138"/>
      <c r="O564" s="139"/>
      <c r="P564" s="138"/>
      <c r="Q564" s="107"/>
      <c r="R564" s="107"/>
    </row>
    <row r="565" spans="1:18" ht="15" customHeight="1">
      <c r="A565" s="17" t="s">
        <v>38</v>
      </c>
      <c r="B565" s="17" t="s">
        <v>346</v>
      </c>
      <c r="C565" s="18" t="s">
        <v>600</v>
      </c>
      <c r="D565" s="17" t="s">
        <v>40</v>
      </c>
      <c r="E565" s="17" t="s">
        <v>287</v>
      </c>
      <c r="F565" s="17" t="s">
        <v>347</v>
      </c>
      <c r="G565" s="298"/>
      <c r="H565" s="138"/>
      <c r="I565" s="138"/>
      <c r="J565" s="138"/>
      <c r="K565" s="138"/>
      <c r="L565" s="138"/>
      <c r="M565" s="138"/>
      <c r="N565" s="138"/>
      <c r="O565" s="139"/>
      <c r="P565" s="138"/>
      <c r="Q565" s="107"/>
      <c r="R565" s="107"/>
    </row>
    <row r="566" spans="1:18" ht="15" customHeight="1">
      <c r="A566" s="17" t="s">
        <v>38</v>
      </c>
      <c r="B566" s="17" t="s">
        <v>344</v>
      </c>
      <c r="C566" s="18" t="s">
        <v>593</v>
      </c>
      <c r="D566" s="17" t="s">
        <v>40</v>
      </c>
      <c r="E566" s="17" t="s">
        <v>308</v>
      </c>
      <c r="F566" s="17" t="s">
        <v>347</v>
      </c>
      <c r="G566" s="298"/>
      <c r="H566" s="138"/>
      <c r="I566" s="138"/>
      <c r="J566" s="138"/>
      <c r="K566" s="138"/>
      <c r="L566" s="138"/>
      <c r="M566" s="138"/>
      <c r="N566" s="138"/>
      <c r="O566" s="139"/>
      <c r="P566" s="138"/>
      <c r="Q566" s="107"/>
      <c r="R566" s="107"/>
    </row>
    <row r="567" spans="1:18" ht="15" customHeight="1">
      <c r="A567" s="17" t="s">
        <v>38</v>
      </c>
      <c r="B567" s="17" t="s">
        <v>345</v>
      </c>
      <c r="C567" s="18" t="s">
        <v>594</v>
      </c>
      <c r="D567" s="17" t="s">
        <v>40</v>
      </c>
      <c r="E567" s="17" t="s">
        <v>284</v>
      </c>
      <c r="F567" s="17" t="s">
        <v>347</v>
      </c>
      <c r="G567" s="298"/>
      <c r="H567" s="138"/>
      <c r="I567" s="138"/>
      <c r="J567" s="138"/>
      <c r="K567" s="138"/>
      <c r="L567" s="138"/>
      <c r="M567" s="138"/>
      <c r="N567" s="138"/>
      <c r="O567" s="139"/>
      <c r="P567" s="138"/>
      <c r="Q567" s="107"/>
      <c r="R567" s="107"/>
    </row>
    <row r="568" spans="1:18" ht="15" customHeight="1">
      <c r="A568" s="17" t="s">
        <v>359</v>
      </c>
      <c r="B568" s="17" t="s">
        <v>360</v>
      </c>
      <c r="C568" s="18" t="s">
        <v>599</v>
      </c>
      <c r="D568" s="17" t="s">
        <v>361</v>
      </c>
      <c r="E568" s="17" t="s">
        <v>270</v>
      </c>
      <c r="F568" s="17" t="s">
        <v>534</v>
      </c>
      <c r="G568" s="298"/>
      <c r="H568" s="138"/>
      <c r="I568" s="138"/>
      <c r="J568" s="138"/>
      <c r="K568" s="138"/>
      <c r="L568" s="138"/>
      <c r="M568" s="138"/>
      <c r="N568" s="138"/>
      <c r="O568" s="139"/>
      <c r="P568" s="138"/>
      <c r="Q568" s="107"/>
      <c r="R568" s="107"/>
    </row>
    <row r="569" spans="1:18" ht="15" customHeight="1">
      <c r="A569" s="17" t="s">
        <v>359</v>
      </c>
      <c r="B569" s="17" t="s">
        <v>445</v>
      </c>
      <c r="C569" s="18" t="s">
        <v>635</v>
      </c>
      <c r="D569" s="17" t="s">
        <v>361</v>
      </c>
      <c r="E569" s="17" t="s">
        <v>270</v>
      </c>
      <c r="F569" s="17" t="s">
        <v>534</v>
      </c>
      <c r="G569" s="298"/>
      <c r="H569" s="138"/>
      <c r="I569" s="138"/>
      <c r="J569" s="138"/>
      <c r="K569" s="138"/>
      <c r="L569" s="138"/>
      <c r="M569" s="138"/>
      <c r="N569" s="138"/>
      <c r="O569" s="139"/>
      <c r="P569" s="138"/>
      <c r="Q569" s="107"/>
      <c r="R569" s="107"/>
    </row>
    <row r="570" spans="1:18" ht="15" customHeight="1">
      <c r="A570" s="17" t="s">
        <v>38</v>
      </c>
      <c r="B570" s="17" t="s">
        <v>342</v>
      </c>
      <c r="C570" s="18" t="s">
        <v>592</v>
      </c>
      <c r="D570" s="17" t="s">
        <v>40</v>
      </c>
      <c r="E570" s="17" t="s">
        <v>312</v>
      </c>
      <c r="F570" s="17" t="s">
        <v>121</v>
      </c>
      <c r="G570" s="298"/>
      <c r="H570" s="138"/>
      <c r="I570" s="138"/>
      <c r="J570" s="138"/>
      <c r="K570" s="138"/>
      <c r="L570" s="138"/>
      <c r="M570" s="138"/>
      <c r="N570" s="138"/>
      <c r="O570" s="139"/>
      <c r="P570" s="138"/>
      <c r="Q570" s="107"/>
      <c r="R570" s="107"/>
    </row>
    <row r="571" spans="1:18" ht="15" customHeight="1">
      <c r="A571" s="17" t="s">
        <v>26</v>
      </c>
      <c r="B571" s="17" t="s">
        <v>348</v>
      </c>
      <c r="C571" s="18" t="s">
        <v>595</v>
      </c>
      <c r="D571" s="17" t="s">
        <v>28</v>
      </c>
      <c r="E571" s="17" t="s">
        <v>294</v>
      </c>
      <c r="F571" s="17" t="s">
        <v>83</v>
      </c>
      <c r="G571" s="298"/>
      <c r="H571" s="138"/>
      <c r="I571" s="138"/>
      <c r="J571" s="138"/>
      <c r="K571" s="138"/>
      <c r="L571" s="138"/>
      <c r="M571" s="138"/>
      <c r="N571" s="138"/>
      <c r="O571" s="139"/>
      <c r="P571" s="138"/>
      <c r="Q571" s="107"/>
      <c r="R571" s="107"/>
    </row>
    <row r="572" spans="1:18" ht="15" customHeight="1">
      <c r="A572" s="17" t="s">
        <v>26</v>
      </c>
      <c r="B572" s="17" t="s">
        <v>351</v>
      </c>
      <c r="C572" s="18" t="s">
        <v>597</v>
      </c>
      <c r="D572" s="17" t="s">
        <v>28</v>
      </c>
      <c r="E572" s="17" t="s">
        <v>286</v>
      </c>
      <c r="F572" s="17" t="s">
        <v>83</v>
      </c>
      <c r="G572" s="298"/>
      <c r="H572" s="138"/>
      <c r="I572" s="138"/>
      <c r="J572" s="138"/>
      <c r="K572" s="138"/>
      <c r="L572" s="138"/>
      <c r="M572" s="138"/>
      <c r="N572" s="138"/>
      <c r="O572" s="139"/>
      <c r="P572" s="138"/>
      <c r="Q572" s="107"/>
      <c r="R572" s="107"/>
    </row>
    <row r="573" spans="1:18" ht="15" customHeight="1">
      <c r="A573" s="17" t="s">
        <v>402</v>
      </c>
      <c r="B573" s="17" t="s">
        <v>403</v>
      </c>
      <c r="C573" s="18" t="s">
        <v>662</v>
      </c>
      <c r="D573" s="17" t="s">
        <v>63</v>
      </c>
      <c r="E573" s="17" t="s">
        <v>277</v>
      </c>
      <c r="F573" s="17" t="s">
        <v>404</v>
      </c>
      <c r="G573" s="298"/>
      <c r="H573" s="138"/>
      <c r="I573" s="138"/>
      <c r="J573" s="138"/>
      <c r="K573" s="138"/>
      <c r="L573" s="138"/>
      <c r="M573" s="138"/>
      <c r="N573" s="138"/>
      <c r="O573" s="139"/>
      <c r="P573" s="138"/>
      <c r="Q573" s="107"/>
      <c r="R573" s="107"/>
    </row>
    <row r="574" spans="1:18" ht="15" customHeight="1" thickBot="1">
      <c r="A574" s="30" t="s">
        <v>61</v>
      </c>
      <c r="B574" s="30" t="s">
        <v>364</v>
      </c>
      <c r="C574" s="31" t="s">
        <v>568</v>
      </c>
      <c r="D574" s="30" t="s">
        <v>63</v>
      </c>
      <c r="E574" s="30" t="s">
        <v>267</v>
      </c>
      <c r="F574" s="30" t="s">
        <v>79</v>
      </c>
      <c r="G574" s="299"/>
      <c r="H574" s="140"/>
      <c r="I574" s="140"/>
      <c r="J574" s="140"/>
      <c r="K574" s="140"/>
      <c r="L574" s="140"/>
      <c r="M574" s="140"/>
      <c r="N574" s="140"/>
      <c r="O574" s="141"/>
      <c r="P574" s="140"/>
      <c r="Q574" s="142"/>
      <c r="R574" s="142"/>
    </row>
    <row r="575" spans="1:18" ht="17.45" customHeight="1" thickBot="1">
      <c r="A575" s="283"/>
      <c r="B575" s="284"/>
      <c r="C575" s="284"/>
      <c r="D575" s="284"/>
      <c r="E575" s="284"/>
      <c r="F575" s="284"/>
      <c r="G575" s="284"/>
      <c r="H575" s="284"/>
      <c r="I575" s="284"/>
      <c r="J575" s="284"/>
      <c r="K575" s="284"/>
      <c r="L575" s="284"/>
      <c r="M575" s="284"/>
      <c r="N575" s="284"/>
      <c r="O575" s="284"/>
      <c r="P575" s="284"/>
      <c r="Q575" s="284"/>
      <c r="R575" s="285"/>
    </row>
    <row r="576" spans="1:18" ht="22.15" customHeight="1" thickTop="1" thickBot="1">
      <c r="A576" s="279" t="s">
        <v>6</v>
      </c>
      <c r="B576" s="295"/>
      <c r="C576" s="295"/>
      <c r="D576" s="295"/>
      <c r="E576" s="295"/>
      <c r="F576" s="296"/>
      <c r="G576" s="32">
        <v>46047</v>
      </c>
      <c r="H576" s="278" t="s">
        <v>7</v>
      </c>
      <c r="I576" s="295"/>
      <c r="J576" s="295"/>
      <c r="K576" s="295"/>
      <c r="L576" s="295"/>
      <c r="M576" s="295"/>
      <c r="N576" s="295"/>
      <c r="O576" s="295"/>
      <c r="P576" s="295"/>
      <c r="Q576" s="295"/>
      <c r="R576" s="296"/>
    </row>
    <row r="577" spans="1:18" ht="24" customHeight="1">
      <c r="A577" s="33" t="s">
        <v>8</v>
      </c>
      <c r="B577" s="33" t="s">
        <v>9</v>
      </c>
      <c r="C577" s="34" t="s">
        <v>10</v>
      </c>
      <c r="D577" s="33" t="s">
        <v>11</v>
      </c>
      <c r="E577" s="33" t="s">
        <v>12</v>
      </c>
      <c r="F577" s="35" t="s">
        <v>13</v>
      </c>
      <c r="G577" s="36" t="s">
        <v>14</v>
      </c>
      <c r="H577" s="33" t="s">
        <v>15</v>
      </c>
      <c r="I577" s="37" t="s">
        <v>16</v>
      </c>
      <c r="J577" s="38" t="s">
        <v>17</v>
      </c>
      <c r="K577" s="39" t="s">
        <v>18</v>
      </c>
      <c r="L577" s="38" t="s">
        <v>19</v>
      </c>
      <c r="M577" s="38" t="s">
        <v>20</v>
      </c>
      <c r="N577" s="38" t="s">
        <v>21</v>
      </c>
      <c r="O577" s="33" t="s">
        <v>22</v>
      </c>
      <c r="P577" s="34" t="s">
        <v>23</v>
      </c>
      <c r="Q577" s="38" t="s">
        <v>24</v>
      </c>
      <c r="R577" s="33" t="s">
        <v>25</v>
      </c>
    </row>
    <row r="578" spans="1:18" ht="15" customHeight="1">
      <c r="A578" s="8" t="s">
        <v>359</v>
      </c>
      <c r="B578" s="8" t="s">
        <v>602</v>
      </c>
      <c r="C578" s="9">
        <v>0.3611111111111111</v>
      </c>
      <c r="D578" s="8" t="s">
        <v>603</v>
      </c>
      <c r="E578" s="8" t="s">
        <v>80</v>
      </c>
      <c r="F578" s="8" t="s">
        <v>682</v>
      </c>
      <c r="G578" s="297"/>
      <c r="H578" s="10"/>
      <c r="I578" s="11"/>
      <c r="J578" s="11"/>
      <c r="K578" s="11"/>
      <c r="L578" s="11"/>
      <c r="M578" s="11"/>
      <c r="N578" s="11"/>
      <c r="O578" s="12"/>
      <c r="P578" s="11"/>
      <c r="Q578" s="13"/>
      <c r="R578" s="14"/>
    </row>
    <row r="579" spans="1:18" ht="15" customHeight="1">
      <c r="A579" s="15" t="s">
        <v>359</v>
      </c>
      <c r="B579" s="15" t="s">
        <v>602</v>
      </c>
      <c r="C579" s="16">
        <v>0.3611111111111111</v>
      </c>
      <c r="D579" s="15" t="s">
        <v>46</v>
      </c>
      <c r="E579" s="15" t="s">
        <v>82</v>
      </c>
      <c r="F579" s="15" t="s">
        <v>684</v>
      </c>
      <c r="G579" s="298"/>
      <c r="H579" s="10"/>
      <c r="I579" s="11"/>
      <c r="J579" s="11"/>
      <c r="K579" s="11"/>
      <c r="L579" s="11"/>
      <c r="M579" s="11"/>
      <c r="N579" s="11"/>
      <c r="O579" s="12"/>
      <c r="P579" s="11"/>
      <c r="Q579" s="13"/>
      <c r="R579" s="14"/>
    </row>
    <row r="580" spans="1:18" ht="15" customHeight="1">
      <c r="A580" s="49" t="s">
        <v>61</v>
      </c>
      <c r="B580" s="49" t="s">
        <v>612</v>
      </c>
      <c r="C580" s="50">
        <v>0.49652777777777768</v>
      </c>
      <c r="D580" s="49" t="s">
        <v>63</v>
      </c>
      <c r="E580" s="49" t="s">
        <v>51</v>
      </c>
      <c r="F580" s="49" t="s">
        <v>79</v>
      </c>
      <c r="G580" s="298"/>
      <c r="H580" s="51" t="s">
        <v>613</v>
      </c>
      <c r="I580" s="52">
        <v>5.5999999999999999E-3</v>
      </c>
      <c r="J580" s="53">
        <v>1</v>
      </c>
      <c r="K580" s="54">
        <v>46325</v>
      </c>
      <c r="L580" s="53">
        <v>3</v>
      </c>
      <c r="M580" s="53">
        <v>0</v>
      </c>
      <c r="N580" s="53">
        <v>0</v>
      </c>
      <c r="O580" s="55" t="s">
        <v>292</v>
      </c>
      <c r="P580" s="56">
        <v>0.49652777777777768</v>
      </c>
      <c r="Q580" s="53">
        <v>180</v>
      </c>
      <c r="R580" s="57" t="s">
        <v>302</v>
      </c>
    </row>
    <row r="581" spans="1:18" ht="15" customHeight="1">
      <c r="A581" s="152" t="s">
        <v>61</v>
      </c>
      <c r="B581" s="152" t="s">
        <v>629</v>
      </c>
      <c r="C581" s="153">
        <v>0.57986111111111105</v>
      </c>
      <c r="D581" s="152" t="s">
        <v>63</v>
      </c>
      <c r="E581" s="152" t="s">
        <v>435</v>
      </c>
      <c r="F581" s="152" t="s">
        <v>79</v>
      </c>
      <c r="G581" s="298"/>
      <c r="H581" s="100" t="s">
        <v>630</v>
      </c>
      <c r="I581" s="101">
        <v>1.67E-2</v>
      </c>
      <c r="J581" s="102">
        <v>3</v>
      </c>
      <c r="K581" s="103">
        <v>46342</v>
      </c>
      <c r="L581" s="102">
        <v>4</v>
      </c>
      <c r="M581" s="102">
        <v>0</v>
      </c>
      <c r="N581" s="102">
        <v>0</v>
      </c>
      <c r="O581" s="104" t="s">
        <v>299</v>
      </c>
      <c r="P581" s="105">
        <v>0.57986111111111105</v>
      </c>
      <c r="Q581" s="102">
        <v>180</v>
      </c>
      <c r="R581" s="106" t="s">
        <v>304</v>
      </c>
    </row>
    <row r="582" spans="1:18" ht="15" customHeight="1">
      <c r="A582" s="19" t="s">
        <v>48</v>
      </c>
      <c r="B582" s="19" t="s">
        <v>611</v>
      </c>
      <c r="C582" s="20">
        <v>0.81944444444444453</v>
      </c>
      <c r="D582" s="19" t="s">
        <v>53</v>
      </c>
      <c r="E582" s="19" t="s">
        <v>51</v>
      </c>
      <c r="F582" s="19" t="s">
        <v>681</v>
      </c>
      <c r="G582" s="298"/>
      <c r="H582" s="10"/>
      <c r="I582" s="11"/>
      <c r="J582" s="11"/>
      <c r="K582" s="11"/>
      <c r="L582" s="11"/>
      <c r="M582" s="11"/>
      <c r="N582" s="11"/>
      <c r="O582" s="12"/>
      <c r="P582" s="11"/>
      <c r="Q582" s="13"/>
      <c r="R582" s="14"/>
    </row>
    <row r="583" spans="1:18" ht="18">
      <c r="A583" s="292" t="s">
        <v>615</v>
      </c>
      <c r="B583" s="303"/>
      <c r="C583" s="303"/>
      <c r="D583" s="303"/>
      <c r="E583" s="303"/>
      <c r="F583" s="304"/>
      <c r="G583" s="298"/>
      <c r="H583" s="138"/>
      <c r="I583" s="138"/>
      <c r="J583" s="138"/>
      <c r="K583" s="138"/>
      <c r="L583" s="138"/>
      <c r="M583" s="138"/>
      <c r="N583" s="138"/>
      <c r="O583" s="139"/>
      <c r="P583" s="138"/>
      <c r="Q583" s="107"/>
      <c r="R583" s="107"/>
    </row>
    <row r="584" spans="1:18" ht="15" customHeight="1">
      <c r="A584" s="17" t="s">
        <v>38</v>
      </c>
      <c r="B584" s="17" t="s">
        <v>342</v>
      </c>
      <c r="C584" s="18" t="s">
        <v>592</v>
      </c>
      <c r="D584" s="17" t="s">
        <v>40</v>
      </c>
      <c r="E584" s="17" t="s">
        <v>281</v>
      </c>
      <c r="F584" s="17" t="s">
        <v>81</v>
      </c>
      <c r="G584" s="298"/>
      <c r="H584" s="138"/>
      <c r="I584" s="138"/>
      <c r="J584" s="138"/>
      <c r="K584" s="138"/>
      <c r="L584" s="138"/>
      <c r="M584" s="138"/>
      <c r="N584" s="138"/>
      <c r="O584" s="139"/>
      <c r="P584" s="138"/>
      <c r="Q584" s="107"/>
      <c r="R584" s="107"/>
    </row>
    <row r="585" spans="1:18" ht="15" customHeight="1">
      <c r="A585" s="17" t="s">
        <v>38</v>
      </c>
      <c r="B585" s="17" t="s">
        <v>346</v>
      </c>
      <c r="C585" s="18" t="s">
        <v>600</v>
      </c>
      <c r="D585" s="17" t="s">
        <v>40</v>
      </c>
      <c r="E585" s="17" t="s">
        <v>268</v>
      </c>
      <c r="F585" s="17" t="s">
        <v>347</v>
      </c>
      <c r="G585" s="298"/>
      <c r="H585" s="138"/>
      <c r="I585" s="138"/>
      <c r="J585" s="138"/>
      <c r="K585" s="138"/>
      <c r="L585" s="138"/>
      <c r="M585" s="138"/>
      <c r="N585" s="138"/>
      <c r="O585" s="139"/>
      <c r="P585" s="138"/>
      <c r="Q585" s="107"/>
      <c r="R585" s="107"/>
    </row>
    <row r="586" spans="1:18" ht="15" customHeight="1">
      <c r="A586" s="17" t="s">
        <v>38</v>
      </c>
      <c r="B586" s="17" t="s">
        <v>344</v>
      </c>
      <c r="C586" s="18" t="s">
        <v>593</v>
      </c>
      <c r="D586" s="17" t="s">
        <v>40</v>
      </c>
      <c r="E586" s="17" t="s">
        <v>268</v>
      </c>
      <c r="F586" s="17" t="s">
        <v>347</v>
      </c>
      <c r="G586" s="298"/>
      <c r="H586" s="138"/>
      <c r="I586" s="138"/>
      <c r="J586" s="138"/>
      <c r="K586" s="138"/>
      <c r="L586" s="138"/>
      <c r="M586" s="138"/>
      <c r="N586" s="138"/>
      <c r="O586" s="139"/>
      <c r="P586" s="138"/>
      <c r="Q586" s="107"/>
      <c r="R586" s="107"/>
    </row>
    <row r="587" spans="1:18" ht="15" customHeight="1">
      <c r="A587" s="17" t="s">
        <v>38</v>
      </c>
      <c r="B587" s="17" t="s">
        <v>345</v>
      </c>
      <c r="C587" s="18" t="s">
        <v>594</v>
      </c>
      <c r="D587" s="17" t="s">
        <v>40</v>
      </c>
      <c r="E587" s="17" t="s">
        <v>293</v>
      </c>
      <c r="F587" s="17" t="s">
        <v>347</v>
      </c>
      <c r="G587" s="298"/>
      <c r="H587" s="138"/>
      <c r="I587" s="138"/>
      <c r="J587" s="138"/>
      <c r="K587" s="138"/>
      <c r="L587" s="138"/>
      <c r="M587" s="138"/>
      <c r="N587" s="138"/>
      <c r="O587" s="139"/>
      <c r="P587" s="138"/>
      <c r="Q587" s="107"/>
      <c r="R587" s="107"/>
    </row>
    <row r="588" spans="1:18" ht="15" customHeight="1">
      <c r="A588" s="17" t="s">
        <v>359</v>
      </c>
      <c r="B588" s="17" t="s">
        <v>360</v>
      </c>
      <c r="C588" s="18" t="s">
        <v>257</v>
      </c>
      <c r="D588" s="17" t="s">
        <v>361</v>
      </c>
      <c r="E588" s="17" t="s">
        <v>270</v>
      </c>
      <c r="F588" s="17" t="s">
        <v>534</v>
      </c>
      <c r="G588" s="298"/>
      <c r="H588" s="138"/>
      <c r="I588" s="138"/>
      <c r="J588" s="138"/>
      <c r="K588" s="138"/>
      <c r="L588" s="138"/>
      <c r="M588" s="138"/>
      <c r="N588" s="138"/>
      <c r="O588" s="139"/>
      <c r="P588" s="138"/>
      <c r="Q588" s="107"/>
      <c r="R588" s="107"/>
    </row>
    <row r="589" spans="1:18" ht="15" customHeight="1">
      <c r="A589" s="17" t="s">
        <v>61</v>
      </c>
      <c r="B589" s="17" t="s">
        <v>432</v>
      </c>
      <c r="C589" s="18" t="s">
        <v>572</v>
      </c>
      <c r="D589" s="17" t="s">
        <v>63</v>
      </c>
      <c r="E589" s="17" t="s">
        <v>288</v>
      </c>
      <c r="F589" s="17" t="s">
        <v>365</v>
      </c>
      <c r="G589" s="298"/>
      <c r="H589" s="138"/>
      <c r="I589" s="138"/>
      <c r="J589" s="138"/>
      <c r="K589" s="138"/>
      <c r="L589" s="138"/>
      <c r="M589" s="138"/>
      <c r="N589" s="138"/>
      <c r="O589" s="139"/>
      <c r="P589" s="138"/>
      <c r="Q589" s="107"/>
      <c r="R589" s="107"/>
    </row>
    <row r="590" spans="1:18" ht="15" customHeight="1">
      <c r="A590" s="17" t="s">
        <v>26</v>
      </c>
      <c r="B590" s="17" t="s">
        <v>354</v>
      </c>
      <c r="C590" s="18" t="s">
        <v>656</v>
      </c>
      <c r="D590" s="17" t="s">
        <v>28</v>
      </c>
      <c r="E590" s="17" t="s">
        <v>288</v>
      </c>
      <c r="F590" s="17" t="s">
        <v>83</v>
      </c>
      <c r="G590" s="298"/>
      <c r="H590" s="138"/>
      <c r="I590" s="138"/>
      <c r="J590" s="138"/>
      <c r="K590" s="138"/>
      <c r="L590" s="138"/>
      <c r="M590" s="138"/>
      <c r="N590" s="138"/>
      <c r="O590" s="139"/>
      <c r="P590" s="138"/>
      <c r="Q590" s="107"/>
      <c r="R590" s="107"/>
    </row>
    <row r="591" spans="1:18" ht="15" customHeight="1">
      <c r="A591" s="17" t="s">
        <v>26</v>
      </c>
      <c r="B591" s="17" t="s">
        <v>348</v>
      </c>
      <c r="C591" s="18" t="s">
        <v>595</v>
      </c>
      <c r="D591" s="17" t="s">
        <v>28</v>
      </c>
      <c r="E591" s="17" t="s">
        <v>294</v>
      </c>
      <c r="F591" s="17" t="s">
        <v>83</v>
      </c>
      <c r="G591" s="298"/>
      <c r="H591" s="138"/>
      <c r="I591" s="138"/>
      <c r="J591" s="138"/>
      <c r="K591" s="138"/>
      <c r="L591" s="138"/>
      <c r="M591" s="138"/>
      <c r="N591" s="138"/>
      <c r="O591" s="139"/>
      <c r="P591" s="138"/>
      <c r="Q591" s="107"/>
      <c r="R591" s="107"/>
    </row>
    <row r="592" spans="1:18" ht="15" customHeight="1">
      <c r="A592" s="17" t="s">
        <v>26</v>
      </c>
      <c r="B592" s="17" t="s">
        <v>350</v>
      </c>
      <c r="C592" s="18" t="s">
        <v>596</v>
      </c>
      <c r="D592" s="17" t="s">
        <v>28</v>
      </c>
      <c r="E592" s="17" t="s">
        <v>288</v>
      </c>
      <c r="F592" s="17" t="s">
        <v>83</v>
      </c>
      <c r="G592" s="298"/>
      <c r="H592" s="138"/>
      <c r="I592" s="138"/>
      <c r="J592" s="138"/>
      <c r="K592" s="138"/>
      <c r="L592" s="138"/>
      <c r="M592" s="138"/>
      <c r="N592" s="138"/>
      <c r="O592" s="139"/>
      <c r="P592" s="138"/>
      <c r="Q592" s="107"/>
      <c r="R592" s="107"/>
    </row>
    <row r="593" spans="1:18" ht="15" customHeight="1" thickBot="1">
      <c r="A593" s="30" t="s">
        <v>26</v>
      </c>
      <c r="B593" s="30" t="s">
        <v>353</v>
      </c>
      <c r="C593" s="31" t="s">
        <v>593</v>
      </c>
      <c r="D593" s="30" t="s">
        <v>28</v>
      </c>
      <c r="E593" s="30" t="s">
        <v>286</v>
      </c>
      <c r="F593" s="30" t="s">
        <v>83</v>
      </c>
      <c r="G593" s="299"/>
      <c r="H593" s="140"/>
      <c r="I593" s="140"/>
      <c r="J593" s="140"/>
      <c r="K593" s="140"/>
      <c r="L593" s="140"/>
      <c r="M593" s="140"/>
      <c r="N593" s="140"/>
      <c r="O593" s="141"/>
      <c r="P593" s="140"/>
      <c r="Q593" s="142"/>
      <c r="R593" s="142"/>
    </row>
    <row r="594" spans="1:18" ht="17.45" customHeight="1" thickBot="1">
      <c r="A594" s="283"/>
      <c r="B594" s="284"/>
      <c r="C594" s="284"/>
      <c r="D594" s="284"/>
      <c r="E594" s="284"/>
      <c r="F594" s="284"/>
      <c r="G594" s="284"/>
      <c r="H594" s="284"/>
      <c r="I594" s="284"/>
      <c r="J594" s="284"/>
      <c r="K594" s="284"/>
      <c r="L594" s="284"/>
      <c r="M594" s="284"/>
      <c r="N594" s="284"/>
      <c r="O594" s="284"/>
      <c r="P594" s="284"/>
      <c r="Q594" s="284"/>
      <c r="R594" s="285"/>
    </row>
    <row r="595" spans="1:18" ht="22.15" customHeight="1" thickTop="1" thickBot="1">
      <c r="A595" s="279" t="s">
        <v>6</v>
      </c>
      <c r="B595" s="295"/>
      <c r="C595" s="295"/>
      <c r="D595" s="295"/>
      <c r="E595" s="295"/>
      <c r="F595" s="296"/>
      <c r="G595" s="32">
        <v>46048</v>
      </c>
      <c r="H595" s="278" t="s">
        <v>7</v>
      </c>
      <c r="I595" s="295"/>
      <c r="J595" s="295"/>
      <c r="K595" s="295"/>
      <c r="L595" s="295"/>
      <c r="M595" s="295"/>
      <c r="N595" s="295"/>
      <c r="O595" s="295"/>
      <c r="P595" s="295"/>
      <c r="Q595" s="295"/>
      <c r="R595" s="296"/>
    </row>
    <row r="596" spans="1:18" ht="24" customHeight="1">
      <c r="A596" s="33" t="s">
        <v>8</v>
      </c>
      <c r="B596" s="33" t="s">
        <v>9</v>
      </c>
      <c r="C596" s="34" t="s">
        <v>10</v>
      </c>
      <c r="D596" s="33" t="s">
        <v>11</v>
      </c>
      <c r="E596" s="33" t="s">
        <v>12</v>
      </c>
      <c r="F596" s="35" t="s">
        <v>13</v>
      </c>
      <c r="G596" s="36" t="s">
        <v>14</v>
      </c>
      <c r="H596" s="33" t="s">
        <v>15</v>
      </c>
      <c r="I596" s="37" t="s">
        <v>16</v>
      </c>
      <c r="J596" s="38" t="s">
        <v>17</v>
      </c>
      <c r="K596" s="39" t="s">
        <v>18</v>
      </c>
      <c r="L596" s="38" t="s">
        <v>19</v>
      </c>
      <c r="M596" s="38" t="s">
        <v>20</v>
      </c>
      <c r="N596" s="38" t="s">
        <v>21</v>
      </c>
      <c r="O596" s="33" t="s">
        <v>22</v>
      </c>
      <c r="P596" s="34" t="s">
        <v>23</v>
      </c>
      <c r="Q596" s="38" t="s">
        <v>24</v>
      </c>
      <c r="R596" s="33" t="s">
        <v>25</v>
      </c>
    </row>
    <row r="597" spans="1:18" ht="15" customHeight="1">
      <c r="A597" s="8" t="s">
        <v>359</v>
      </c>
      <c r="B597" s="8" t="s">
        <v>637</v>
      </c>
      <c r="C597" s="9">
        <v>0.12847222222222221</v>
      </c>
      <c r="D597" s="8" t="s">
        <v>603</v>
      </c>
      <c r="E597" s="8" t="s">
        <v>80</v>
      </c>
      <c r="F597" s="8" t="s">
        <v>677</v>
      </c>
      <c r="G597" s="297"/>
      <c r="H597" s="10"/>
      <c r="I597" s="11"/>
      <c r="J597" s="11"/>
      <c r="K597" s="11"/>
      <c r="L597" s="11"/>
      <c r="M597" s="11"/>
      <c r="N597" s="11"/>
      <c r="O597" s="12"/>
      <c r="P597" s="11"/>
      <c r="Q597" s="13"/>
      <c r="R597" s="14"/>
    </row>
    <row r="598" spans="1:18" ht="15" customHeight="1">
      <c r="A598" s="15" t="s">
        <v>359</v>
      </c>
      <c r="B598" s="15" t="s">
        <v>637</v>
      </c>
      <c r="C598" s="16">
        <v>0.12847222222222221</v>
      </c>
      <c r="D598" s="15" t="s">
        <v>605</v>
      </c>
      <c r="E598" s="15" t="s">
        <v>82</v>
      </c>
      <c r="F598" s="15" t="s">
        <v>678</v>
      </c>
      <c r="G598" s="298"/>
      <c r="H598" s="10"/>
      <c r="I598" s="11"/>
      <c r="J598" s="11"/>
      <c r="K598" s="11"/>
      <c r="L598" s="11"/>
      <c r="M598" s="11"/>
      <c r="N598" s="11"/>
      <c r="O598" s="12"/>
      <c r="P598" s="11"/>
      <c r="Q598" s="13"/>
      <c r="R598" s="14"/>
    </row>
    <row r="599" spans="1:18" ht="15" customHeight="1">
      <c r="A599" s="15" t="s">
        <v>359</v>
      </c>
      <c r="B599" s="15" t="s">
        <v>637</v>
      </c>
      <c r="C599" s="16">
        <v>0.12847222222222221</v>
      </c>
      <c r="D599" s="15" t="s">
        <v>46</v>
      </c>
      <c r="E599" s="15" t="s">
        <v>82</v>
      </c>
      <c r="F599" s="15" t="s">
        <v>679</v>
      </c>
      <c r="G599" s="298"/>
      <c r="H599" s="10"/>
      <c r="I599" s="11"/>
      <c r="J599" s="11"/>
      <c r="K599" s="11"/>
      <c r="L599" s="11"/>
      <c r="M599" s="11"/>
      <c r="N599" s="11"/>
      <c r="O599" s="12"/>
      <c r="P599" s="11"/>
      <c r="Q599" s="13"/>
      <c r="R599" s="14"/>
    </row>
    <row r="600" spans="1:18" ht="15" customHeight="1">
      <c r="A600" s="78" t="s">
        <v>61</v>
      </c>
      <c r="B600" s="78" t="s">
        <v>612</v>
      </c>
      <c r="C600" s="79">
        <v>0.45833333333333331</v>
      </c>
      <c r="D600" s="78" t="s">
        <v>63</v>
      </c>
      <c r="E600" s="78" t="s">
        <v>100</v>
      </c>
      <c r="F600" s="78" t="s">
        <v>79</v>
      </c>
      <c r="G600" s="298"/>
      <c r="H600" s="80" t="s">
        <v>613</v>
      </c>
      <c r="I600" s="81">
        <v>1.11E-2</v>
      </c>
      <c r="J600" s="82">
        <v>2</v>
      </c>
      <c r="K600" s="83">
        <v>46339</v>
      </c>
      <c r="L600" s="82">
        <v>3</v>
      </c>
      <c r="M600" s="82">
        <v>0</v>
      </c>
      <c r="N600" s="82">
        <v>0</v>
      </c>
      <c r="O600" s="84" t="s">
        <v>301</v>
      </c>
      <c r="P600" s="85">
        <v>0.45833333333333331</v>
      </c>
      <c r="Q600" s="82">
        <v>180</v>
      </c>
      <c r="R600" s="86" t="s">
        <v>298</v>
      </c>
    </row>
    <row r="601" spans="1:18" ht="15" customHeight="1">
      <c r="A601" s="154" t="s">
        <v>61</v>
      </c>
      <c r="B601" s="154" t="s">
        <v>629</v>
      </c>
      <c r="C601" s="155">
        <v>0.14930555555555561</v>
      </c>
      <c r="D601" s="154" t="s">
        <v>63</v>
      </c>
      <c r="E601" s="154" t="s">
        <v>57</v>
      </c>
      <c r="F601" s="154" t="s">
        <v>79</v>
      </c>
      <c r="G601" s="298"/>
      <c r="H601" s="69" t="s">
        <v>630</v>
      </c>
      <c r="I601" s="70">
        <v>0</v>
      </c>
      <c r="J601" s="71">
        <v>0</v>
      </c>
      <c r="K601" s="72" t="s">
        <v>66</v>
      </c>
      <c r="L601" s="71">
        <v>0</v>
      </c>
      <c r="M601" s="71">
        <v>0</v>
      </c>
      <c r="N601" s="71">
        <v>0</v>
      </c>
      <c r="O601" s="73" t="s">
        <v>292</v>
      </c>
      <c r="P601" s="74">
        <v>0.14930555555555561</v>
      </c>
      <c r="Q601" s="71">
        <v>180</v>
      </c>
      <c r="R601" s="75" t="s">
        <v>66</v>
      </c>
    </row>
    <row r="602" spans="1:18" ht="15" customHeight="1">
      <c r="A602" s="19" t="s">
        <v>48</v>
      </c>
      <c r="B602" s="19" t="s">
        <v>611</v>
      </c>
      <c r="C602" s="20">
        <v>0.81944444444444453</v>
      </c>
      <c r="D602" s="19" t="s">
        <v>53</v>
      </c>
      <c r="E602" s="19" t="s">
        <v>51</v>
      </c>
      <c r="F602" s="19" t="s">
        <v>681</v>
      </c>
      <c r="G602" s="298"/>
      <c r="H602" s="10"/>
      <c r="I602" s="11"/>
      <c r="J602" s="11"/>
      <c r="K602" s="11"/>
      <c r="L602" s="11"/>
      <c r="M602" s="11"/>
      <c r="N602" s="11"/>
      <c r="O602" s="12"/>
      <c r="P602" s="11"/>
      <c r="Q602" s="13"/>
      <c r="R602" s="14"/>
    </row>
    <row r="603" spans="1:18" ht="18">
      <c r="A603" s="292" t="s">
        <v>615</v>
      </c>
      <c r="B603" s="303"/>
      <c r="C603" s="303"/>
      <c r="D603" s="303"/>
      <c r="E603" s="303"/>
      <c r="F603" s="304"/>
      <c r="G603" s="298"/>
      <c r="H603" s="138"/>
      <c r="I603" s="138"/>
      <c r="J603" s="138"/>
      <c r="K603" s="138"/>
      <c r="L603" s="138"/>
      <c r="M603" s="138"/>
      <c r="N603" s="138"/>
      <c r="O603" s="139"/>
      <c r="P603" s="138"/>
      <c r="Q603" s="107"/>
      <c r="R603" s="107"/>
    </row>
    <row r="604" spans="1:18" ht="15" customHeight="1">
      <c r="A604" s="17" t="s">
        <v>38</v>
      </c>
      <c r="B604" s="17" t="s">
        <v>342</v>
      </c>
      <c r="C604" s="18" t="s">
        <v>592</v>
      </c>
      <c r="D604" s="17" t="s">
        <v>40</v>
      </c>
      <c r="E604" s="17" t="s">
        <v>308</v>
      </c>
      <c r="F604" s="17" t="s">
        <v>81</v>
      </c>
      <c r="G604" s="298"/>
      <c r="H604" s="138"/>
      <c r="I604" s="138"/>
      <c r="J604" s="138"/>
      <c r="K604" s="138"/>
      <c r="L604" s="138"/>
      <c r="M604" s="138"/>
      <c r="N604" s="138"/>
      <c r="O604" s="139"/>
      <c r="P604" s="138"/>
      <c r="Q604" s="107"/>
      <c r="R604" s="107"/>
    </row>
    <row r="605" spans="1:18" ht="15" customHeight="1">
      <c r="A605" s="17" t="s">
        <v>38</v>
      </c>
      <c r="B605" s="17" t="s">
        <v>346</v>
      </c>
      <c r="C605" s="18" t="s">
        <v>600</v>
      </c>
      <c r="D605" s="17" t="s">
        <v>40</v>
      </c>
      <c r="E605" s="17" t="s">
        <v>268</v>
      </c>
      <c r="F605" s="17" t="s">
        <v>347</v>
      </c>
      <c r="G605" s="298"/>
      <c r="H605" s="138"/>
      <c r="I605" s="138"/>
      <c r="J605" s="138"/>
      <c r="K605" s="138"/>
      <c r="L605" s="138"/>
      <c r="M605" s="138"/>
      <c r="N605" s="138"/>
      <c r="O605" s="139"/>
      <c r="P605" s="138"/>
      <c r="Q605" s="107"/>
      <c r="R605" s="107"/>
    </row>
    <row r="606" spans="1:18" ht="15" customHeight="1">
      <c r="A606" s="17" t="s">
        <v>38</v>
      </c>
      <c r="B606" s="17" t="s">
        <v>344</v>
      </c>
      <c r="C606" s="18" t="s">
        <v>593</v>
      </c>
      <c r="D606" s="17" t="s">
        <v>40</v>
      </c>
      <c r="E606" s="17" t="s">
        <v>268</v>
      </c>
      <c r="F606" s="17" t="s">
        <v>347</v>
      </c>
      <c r="G606" s="298"/>
      <c r="H606" s="138"/>
      <c r="I606" s="138"/>
      <c r="J606" s="138"/>
      <c r="K606" s="138"/>
      <c r="L606" s="138"/>
      <c r="M606" s="138"/>
      <c r="N606" s="138"/>
      <c r="O606" s="139"/>
      <c r="P606" s="138"/>
      <c r="Q606" s="107"/>
      <c r="R606" s="107"/>
    </row>
    <row r="607" spans="1:18" ht="15" customHeight="1">
      <c r="A607" s="17" t="s">
        <v>38</v>
      </c>
      <c r="B607" s="17" t="s">
        <v>345</v>
      </c>
      <c r="C607" s="18" t="s">
        <v>594</v>
      </c>
      <c r="D607" s="17" t="s">
        <v>40</v>
      </c>
      <c r="E607" s="17" t="s">
        <v>268</v>
      </c>
      <c r="F607" s="17" t="s">
        <v>347</v>
      </c>
      <c r="G607" s="298"/>
      <c r="H607" s="138"/>
      <c r="I607" s="138"/>
      <c r="J607" s="138"/>
      <c r="K607" s="138"/>
      <c r="L607" s="138"/>
      <c r="M607" s="138"/>
      <c r="N607" s="138"/>
      <c r="O607" s="139"/>
      <c r="P607" s="138"/>
      <c r="Q607" s="107"/>
      <c r="R607" s="107"/>
    </row>
    <row r="608" spans="1:18" ht="15" customHeight="1">
      <c r="A608" s="17" t="s">
        <v>359</v>
      </c>
      <c r="B608" s="17" t="s">
        <v>360</v>
      </c>
      <c r="C608" s="18" t="s">
        <v>619</v>
      </c>
      <c r="D608" s="17" t="s">
        <v>361</v>
      </c>
      <c r="E608" s="17" t="s">
        <v>270</v>
      </c>
      <c r="F608" s="17" t="s">
        <v>525</v>
      </c>
      <c r="G608" s="298"/>
      <c r="H608" s="138"/>
      <c r="I608" s="138"/>
      <c r="J608" s="138"/>
      <c r="K608" s="138"/>
      <c r="L608" s="138"/>
      <c r="M608" s="138"/>
      <c r="N608" s="138"/>
      <c r="O608" s="139"/>
      <c r="P608" s="138"/>
      <c r="Q608" s="107"/>
      <c r="R608" s="107"/>
    </row>
    <row r="609" spans="1:18" ht="15" customHeight="1">
      <c r="A609" s="17" t="s">
        <v>359</v>
      </c>
      <c r="B609" s="17" t="s">
        <v>445</v>
      </c>
      <c r="C609" s="18" t="s">
        <v>641</v>
      </c>
      <c r="D609" s="17" t="s">
        <v>361</v>
      </c>
      <c r="E609" s="17" t="s">
        <v>270</v>
      </c>
      <c r="F609" s="17" t="s">
        <v>525</v>
      </c>
      <c r="G609" s="298"/>
      <c r="H609" s="138"/>
      <c r="I609" s="138"/>
      <c r="J609" s="138"/>
      <c r="K609" s="138"/>
      <c r="L609" s="138"/>
      <c r="M609" s="138"/>
      <c r="N609" s="138"/>
      <c r="O609" s="139"/>
      <c r="P609" s="138"/>
      <c r="Q609" s="107"/>
      <c r="R609" s="107"/>
    </row>
    <row r="610" spans="1:18" ht="15" customHeight="1">
      <c r="A610" s="17" t="s">
        <v>26</v>
      </c>
      <c r="B610" s="17" t="s">
        <v>348</v>
      </c>
      <c r="C610" s="18" t="s">
        <v>595</v>
      </c>
      <c r="D610" s="17" t="s">
        <v>28</v>
      </c>
      <c r="E610" s="17" t="s">
        <v>267</v>
      </c>
      <c r="F610" s="17" t="s">
        <v>83</v>
      </c>
      <c r="G610" s="298"/>
      <c r="H610" s="138"/>
      <c r="I610" s="138"/>
      <c r="J610" s="138"/>
      <c r="K610" s="138"/>
      <c r="L610" s="138"/>
      <c r="M610" s="138"/>
      <c r="N610" s="138"/>
      <c r="O610" s="139"/>
      <c r="P610" s="138"/>
      <c r="Q610" s="107"/>
      <c r="R610" s="107"/>
    </row>
    <row r="611" spans="1:18" ht="15" customHeight="1">
      <c r="A611" s="17" t="s">
        <v>26</v>
      </c>
      <c r="B611" s="17" t="s">
        <v>351</v>
      </c>
      <c r="C611" s="18" t="s">
        <v>597</v>
      </c>
      <c r="D611" s="17" t="s">
        <v>28</v>
      </c>
      <c r="E611" s="17" t="s">
        <v>294</v>
      </c>
      <c r="F611" s="17" t="s">
        <v>83</v>
      </c>
      <c r="G611" s="298"/>
      <c r="H611" s="138"/>
      <c r="I611" s="138"/>
      <c r="J611" s="138"/>
      <c r="K611" s="138"/>
      <c r="L611" s="138"/>
      <c r="M611" s="138"/>
      <c r="N611" s="138"/>
      <c r="O611" s="139"/>
      <c r="P611" s="138"/>
      <c r="Q611" s="107"/>
      <c r="R611" s="107"/>
    </row>
    <row r="612" spans="1:18" ht="15" customHeight="1">
      <c r="A612" s="17" t="s">
        <v>26</v>
      </c>
      <c r="B612" s="17" t="s">
        <v>353</v>
      </c>
      <c r="C612" s="18" t="s">
        <v>593</v>
      </c>
      <c r="D612" s="17" t="s">
        <v>28</v>
      </c>
      <c r="E612" s="17" t="s">
        <v>267</v>
      </c>
      <c r="F612" s="17" t="s">
        <v>83</v>
      </c>
      <c r="G612" s="298"/>
      <c r="H612" s="138"/>
      <c r="I612" s="138"/>
      <c r="J612" s="138"/>
      <c r="K612" s="138"/>
      <c r="L612" s="138"/>
      <c r="M612" s="138"/>
      <c r="N612" s="138"/>
      <c r="O612" s="139"/>
      <c r="P612" s="138"/>
      <c r="Q612" s="107"/>
      <c r="R612" s="107"/>
    </row>
    <row r="613" spans="1:18" ht="15" customHeight="1" thickBot="1">
      <c r="A613" s="30" t="s">
        <v>402</v>
      </c>
      <c r="B613" s="30" t="s">
        <v>403</v>
      </c>
      <c r="C613" s="31" t="s">
        <v>662</v>
      </c>
      <c r="D613" s="30" t="s">
        <v>63</v>
      </c>
      <c r="E613" s="30" t="s">
        <v>277</v>
      </c>
      <c r="F613" s="30" t="s">
        <v>404</v>
      </c>
      <c r="G613" s="299"/>
      <c r="H613" s="140"/>
      <c r="I613" s="140"/>
      <c r="J613" s="140"/>
      <c r="K613" s="140"/>
      <c r="L613" s="140"/>
      <c r="M613" s="140"/>
      <c r="N613" s="140"/>
      <c r="O613" s="141"/>
      <c r="P613" s="140"/>
      <c r="Q613" s="142"/>
      <c r="R613" s="142"/>
    </row>
    <row r="614" spans="1:18" ht="17.45" customHeight="1" thickBot="1">
      <c r="A614" s="283"/>
      <c r="B614" s="284"/>
      <c r="C614" s="284"/>
      <c r="D614" s="284"/>
      <c r="E614" s="284"/>
      <c r="F614" s="284"/>
      <c r="G614" s="284"/>
      <c r="H614" s="284"/>
      <c r="I614" s="284"/>
      <c r="J614" s="284"/>
      <c r="K614" s="284"/>
      <c r="L614" s="284"/>
      <c r="M614" s="284"/>
      <c r="N614" s="284"/>
      <c r="O614" s="284"/>
      <c r="P614" s="284"/>
      <c r="Q614" s="284"/>
      <c r="R614" s="285"/>
    </row>
    <row r="615" spans="1:18" ht="22.15" customHeight="1" thickTop="1" thickBot="1">
      <c r="A615" s="279" t="s">
        <v>6</v>
      </c>
      <c r="B615" s="295"/>
      <c r="C615" s="295"/>
      <c r="D615" s="295"/>
      <c r="E615" s="295"/>
      <c r="F615" s="296"/>
      <c r="G615" s="32">
        <v>46049</v>
      </c>
      <c r="H615" s="278" t="s">
        <v>7</v>
      </c>
      <c r="I615" s="295"/>
      <c r="J615" s="295"/>
      <c r="K615" s="295"/>
      <c r="L615" s="295"/>
      <c r="M615" s="295"/>
      <c r="N615" s="295"/>
      <c r="O615" s="295"/>
      <c r="P615" s="295"/>
      <c r="Q615" s="295"/>
      <c r="R615" s="296"/>
    </row>
    <row r="616" spans="1:18" ht="24" customHeight="1">
      <c r="A616" s="33" t="s">
        <v>8</v>
      </c>
      <c r="B616" s="33" t="s">
        <v>9</v>
      </c>
      <c r="C616" s="34" t="s">
        <v>10</v>
      </c>
      <c r="D616" s="33" t="s">
        <v>11</v>
      </c>
      <c r="E616" s="33" t="s">
        <v>12</v>
      </c>
      <c r="F616" s="35" t="s">
        <v>13</v>
      </c>
      <c r="G616" s="36" t="s">
        <v>14</v>
      </c>
      <c r="H616" s="33" t="s">
        <v>15</v>
      </c>
      <c r="I616" s="37" t="s">
        <v>16</v>
      </c>
      <c r="J616" s="38" t="s">
        <v>17</v>
      </c>
      <c r="K616" s="39" t="s">
        <v>18</v>
      </c>
      <c r="L616" s="38" t="s">
        <v>19</v>
      </c>
      <c r="M616" s="38" t="s">
        <v>20</v>
      </c>
      <c r="N616" s="38" t="s">
        <v>21</v>
      </c>
      <c r="O616" s="33" t="s">
        <v>22</v>
      </c>
      <c r="P616" s="34" t="s">
        <v>23</v>
      </c>
      <c r="Q616" s="38" t="s">
        <v>24</v>
      </c>
      <c r="R616" s="33" t="s">
        <v>25</v>
      </c>
    </row>
    <row r="617" spans="1:18" ht="15" customHeight="1">
      <c r="A617" s="8" t="s">
        <v>359</v>
      </c>
      <c r="B617" s="8" t="s">
        <v>602</v>
      </c>
      <c r="C617" s="9">
        <v>0.3611111111111111</v>
      </c>
      <c r="D617" s="8" t="s">
        <v>603</v>
      </c>
      <c r="E617" s="8" t="s">
        <v>80</v>
      </c>
      <c r="F617" s="8" t="s">
        <v>677</v>
      </c>
      <c r="G617" s="297"/>
      <c r="H617" s="10"/>
      <c r="I617" s="11"/>
      <c r="J617" s="11"/>
      <c r="K617" s="11"/>
      <c r="L617" s="11"/>
      <c r="M617" s="11"/>
      <c r="N617" s="11"/>
      <c r="O617" s="12"/>
      <c r="P617" s="11"/>
      <c r="Q617" s="13"/>
      <c r="R617" s="14"/>
    </row>
    <row r="618" spans="1:18" ht="15" customHeight="1">
      <c r="A618" s="15" t="s">
        <v>359</v>
      </c>
      <c r="B618" s="15" t="s">
        <v>602</v>
      </c>
      <c r="C618" s="16">
        <v>0.3611111111111111</v>
      </c>
      <c r="D618" s="15" t="s">
        <v>605</v>
      </c>
      <c r="E618" s="15" t="s">
        <v>82</v>
      </c>
      <c r="F618" s="15" t="s">
        <v>678</v>
      </c>
      <c r="G618" s="298"/>
      <c r="H618" s="10"/>
      <c r="I618" s="11"/>
      <c r="J618" s="11"/>
      <c r="K618" s="11"/>
      <c r="L618" s="11"/>
      <c r="M618" s="11"/>
      <c r="N618" s="11"/>
      <c r="O618" s="12"/>
      <c r="P618" s="11"/>
      <c r="Q618" s="13"/>
      <c r="R618" s="14"/>
    </row>
    <row r="619" spans="1:18" ht="15" customHeight="1">
      <c r="A619" s="15" t="s">
        <v>359</v>
      </c>
      <c r="B619" s="15" t="s">
        <v>602</v>
      </c>
      <c r="C619" s="16">
        <v>0.3611111111111111</v>
      </c>
      <c r="D619" s="15" t="s">
        <v>46</v>
      </c>
      <c r="E619" s="15" t="s">
        <v>82</v>
      </c>
      <c r="F619" s="15" t="s">
        <v>679</v>
      </c>
      <c r="G619" s="298"/>
      <c r="H619" s="10"/>
      <c r="I619" s="11"/>
      <c r="J619" s="11"/>
      <c r="K619" s="11"/>
      <c r="L619" s="11"/>
      <c r="M619" s="11"/>
      <c r="N619" s="11"/>
      <c r="O619" s="12"/>
      <c r="P619" s="11"/>
      <c r="Q619" s="13"/>
      <c r="R619" s="14"/>
    </row>
    <row r="620" spans="1:18" ht="15" customHeight="1">
      <c r="A620" s="17" t="s">
        <v>359</v>
      </c>
      <c r="B620" s="17" t="s">
        <v>616</v>
      </c>
      <c r="C620" s="18">
        <v>1.041666666666667E-2</v>
      </c>
      <c r="D620" s="17" t="s">
        <v>603</v>
      </c>
      <c r="E620" s="17" t="s">
        <v>90</v>
      </c>
      <c r="F620" s="17" t="s">
        <v>677</v>
      </c>
      <c r="G620" s="298"/>
      <c r="H620" s="10"/>
      <c r="I620" s="11"/>
      <c r="J620" s="11"/>
      <c r="K620" s="11"/>
      <c r="L620" s="11"/>
      <c r="M620" s="11"/>
      <c r="N620" s="11"/>
      <c r="O620" s="12"/>
      <c r="P620" s="11"/>
      <c r="Q620" s="13"/>
      <c r="R620" s="14"/>
    </row>
    <row r="621" spans="1:18" ht="15" customHeight="1">
      <c r="A621" s="15" t="s">
        <v>359</v>
      </c>
      <c r="B621" s="15" t="s">
        <v>616</v>
      </c>
      <c r="C621" s="16">
        <v>1.041666666666667E-2</v>
      </c>
      <c r="D621" s="15" t="s">
        <v>605</v>
      </c>
      <c r="E621" s="15" t="s">
        <v>82</v>
      </c>
      <c r="F621" s="15" t="s">
        <v>678</v>
      </c>
      <c r="G621" s="298"/>
      <c r="H621" s="10"/>
      <c r="I621" s="11"/>
      <c r="J621" s="11"/>
      <c r="K621" s="11"/>
      <c r="L621" s="11"/>
      <c r="M621" s="11"/>
      <c r="N621" s="11"/>
      <c r="O621" s="12"/>
      <c r="P621" s="11"/>
      <c r="Q621" s="13"/>
      <c r="R621" s="14"/>
    </row>
    <row r="622" spans="1:18" ht="15" customHeight="1">
      <c r="A622" s="15" t="s">
        <v>359</v>
      </c>
      <c r="B622" s="15" t="s">
        <v>616</v>
      </c>
      <c r="C622" s="16">
        <v>1.041666666666667E-2</v>
      </c>
      <c r="D622" s="15" t="s">
        <v>46</v>
      </c>
      <c r="E622" s="15" t="s">
        <v>82</v>
      </c>
      <c r="F622" s="15" t="s">
        <v>679</v>
      </c>
      <c r="G622" s="298"/>
      <c r="H622" s="10"/>
      <c r="I622" s="11"/>
      <c r="J622" s="11"/>
      <c r="K622" s="11"/>
      <c r="L622" s="11"/>
      <c r="M622" s="11"/>
      <c r="N622" s="11"/>
      <c r="O622" s="12"/>
      <c r="P622" s="11"/>
      <c r="Q622" s="13"/>
      <c r="R622" s="14"/>
    </row>
    <row r="623" spans="1:18" ht="15" customHeight="1">
      <c r="A623" s="19" t="s">
        <v>38</v>
      </c>
      <c r="B623" s="19" t="s">
        <v>621</v>
      </c>
      <c r="C623" s="20">
        <v>0.3611111111111111</v>
      </c>
      <c r="D623" s="19" t="s">
        <v>622</v>
      </c>
      <c r="E623" s="19" t="s">
        <v>151</v>
      </c>
      <c r="F623" s="19" t="s">
        <v>121</v>
      </c>
      <c r="G623" s="298"/>
      <c r="H623" s="10"/>
      <c r="I623" s="11"/>
      <c r="J623" s="11"/>
      <c r="K623" s="11"/>
      <c r="L623" s="11"/>
      <c r="M623" s="11"/>
      <c r="N623" s="11"/>
      <c r="O623" s="12"/>
      <c r="P623" s="11"/>
      <c r="Q623" s="13"/>
      <c r="R623" s="14"/>
    </row>
    <row r="624" spans="1:18" ht="15" customHeight="1">
      <c r="A624" s="15" t="s">
        <v>38</v>
      </c>
      <c r="B624" s="15" t="s">
        <v>621</v>
      </c>
      <c r="C624" s="16">
        <v>0.3611111111111111</v>
      </c>
      <c r="D624" s="15" t="s">
        <v>603</v>
      </c>
      <c r="E624" s="15" t="s">
        <v>152</v>
      </c>
      <c r="F624" s="15" t="s">
        <v>623</v>
      </c>
      <c r="G624" s="298"/>
      <c r="H624" s="10"/>
      <c r="I624" s="11"/>
      <c r="J624" s="11"/>
      <c r="K624" s="11"/>
      <c r="L624" s="11"/>
      <c r="M624" s="11"/>
      <c r="N624" s="11"/>
      <c r="O624" s="12"/>
      <c r="P624" s="11"/>
      <c r="Q624" s="13"/>
      <c r="R624" s="14"/>
    </row>
    <row r="625" spans="1:18" ht="15" customHeight="1">
      <c r="A625" s="15" t="s">
        <v>38</v>
      </c>
      <c r="B625" s="15" t="s">
        <v>621</v>
      </c>
      <c r="C625" s="16">
        <v>0.3611111111111111</v>
      </c>
      <c r="D625" s="15" t="s">
        <v>605</v>
      </c>
      <c r="E625" s="15" t="s">
        <v>152</v>
      </c>
      <c r="F625" s="15" t="s">
        <v>624</v>
      </c>
      <c r="G625" s="298"/>
      <c r="H625" s="10"/>
      <c r="I625" s="11"/>
      <c r="J625" s="11"/>
      <c r="K625" s="11"/>
      <c r="L625" s="11"/>
      <c r="M625" s="11"/>
      <c r="N625" s="11"/>
      <c r="O625" s="12"/>
      <c r="P625" s="11"/>
      <c r="Q625" s="13"/>
      <c r="R625" s="14"/>
    </row>
    <row r="626" spans="1:18" ht="15" customHeight="1">
      <c r="A626" s="15" t="s">
        <v>38</v>
      </c>
      <c r="B626" s="15" t="s">
        <v>621</v>
      </c>
      <c r="C626" s="16">
        <v>0.3611111111111111</v>
      </c>
      <c r="D626" s="15" t="s">
        <v>625</v>
      </c>
      <c r="E626" s="15" t="s">
        <v>152</v>
      </c>
      <c r="F626" s="15" t="s">
        <v>163</v>
      </c>
      <c r="G626" s="298"/>
      <c r="H626" s="10"/>
      <c r="I626" s="11"/>
      <c r="J626" s="11"/>
      <c r="K626" s="11"/>
      <c r="L626" s="11"/>
      <c r="M626" s="11"/>
      <c r="N626" s="11"/>
      <c r="O626" s="12"/>
      <c r="P626" s="11"/>
      <c r="Q626" s="13"/>
      <c r="R626" s="14"/>
    </row>
    <row r="627" spans="1:18" ht="15" customHeight="1">
      <c r="A627" s="67" t="s">
        <v>61</v>
      </c>
      <c r="B627" s="67" t="s">
        <v>612</v>
      </c>
      <c r="C627" s="68">
        <v>0.52083333333333337</v>
      </c>
      <c r="D627" s="67" t="s">
        <v>63</v>
      </c>
      <c r="E627" s="67" t="s">
        <v>51</v>
      </c>
      <c r="F627" s="67" t="s">
        <v>79</v>
      </c>
      <c r="G627" s="298"/>
      <c r="H627" s="69" t="s">
        <v>613</v>
      </c>
      <c r="I627" s="70">
        <v>5.5999999999999999E-3</v>
      </c>
      <c r="J627" s="71">
        <v>1</v>
      </c>
      <c r="K627" s="72">
        <v>46335</v>
      </c>
      <c r="L627" s="71">
        <v>2</v>
      </c>
      <c r="M627" s="71">
        <v>0</v>
      </c>
      <c r="N627" s="71">
        <v>0</v>
      </c>
      <c r="O627" s="73" t="s">
        <v>292</v>
      </c>
      <c r="P627" s="74">
        <v>0.52083333333333337</v>
      </c>
      <c r="Q627" s="71">
        <v>180</v>
      </c>
      <c r="R627" s="75" t="s">
        <v>302</v>
      </c>
    </row>
    <row r="628" spans="1:18" ht="15" customHeight="1">
      <c r="A628" s="19" t="s">
        <v>48</v>
      </c>
      <c r="B628" s="19" t="s">
        <v>609</v>
      </c>
      <c r="C628" s="20">
        <v>0.4513888888888889</v>
      </c>
      <c r="D628" s="19" t="s">
        <v>53</v>
      </c>
      <c r="E628" s="19" t="s">
        <v>51</v>
      </c>
      <c r="F628" s="19" t="s">
        <v>681</v>
      </c>
      <c r="G628" s="298"/>
      <c r="H628" s="10"/>
      <c r="I628" s="11"/>
      <c r="J628" s="11"/>
      <c r="K628" s="11"/>
      <c r="L628" s="11"/>
      <c r="M628" s="11"/>
      <c r="N628" s="11"/>
      <c r="O628" s="12"/>
      <c r="P628" s="11"/>
      <c r="Q628" s="13"/>
      <c r="R628" s="14"/>
    </row>
    <row r="629" spans="1:18" ht="15" customHeight="1">
      <c r="A629" s="17" t="s">
        <v>48</v>
      </c>
      <c r="B629" s="17" t="s">
        <v>611</v>
      </c>
      <c r="C629" s="18">
        <v>0.81944444444444453</v>
      </c>
      <c r="D629" s="17" t="s">
        <v>53</v>
      </c>
      <c r="E629" s="17" t="s">
        <v>57</v>
      </c>
      <c r="F629" s="17" t="s">
        <v>681</v>
      </c>
      <c r="G629" s="298"/>
      <c r="H629" s="10"/>
      <c r="I629" s="11"/>
      <c r="J629" s="11"/>
      <c r="K629" s="11"/>
      <c r="L629" s="11"/>
      <c r="M629" s="11"/>
      <c r="N629" s="11"/>
      <c r="O629" s="12"/>
      <c r="P629" s="11"/>
      <c r="Q629" s="13"/>
      <c r="R629" s="14"/>
    </row>
    <row r="630" spans="1:18" ht="18">
      <c r="A630" s="292" t="s">
        <v>615</v>
      </c>
      <c r="B630" s="303"/>
      <c r="C630" s="303"/>
      <c r="D630" s="303"/>
      <c r="E630" s="303"/>
      <c r="F630" s="304"/>
      <c r="G630" s="298"/>
      <c r="H630" s="138"/>
      <c r="I630" s="138"/>
      <c r="J630" s="138"/>
      <c r="K630" s="138"/>
      <c r="L630" s="138"/>
      <c r="M630" s="138"/>
      <c r="N630" s="138"/>
      <c r="O630" s="139"/>
      <c r="P630" s="138"/>
      <c r="Q630" s="107"/>
      <c r="R630" s="107"/>
    </row>
    <row r="631" spans="1:18" ht="15" customHeight="1">
      <c r="A631" s="17" t="s">
        <v>38</v>
      </c>
      <c r="B631" s="17" t="s">
        <v>342</v>
      </c>
      <c r="C631" s="18" t="s">
        <v>592</v>
      </c>
      <c r="D631" s="17" t="s">
        <v>40</v>
      </c>
      <c r="E631" s="17" t="s">
        <v>281</v>
      </c>
      <c r="F631" s="17" t="s">
        <v>81</v>
      </c>
      <c r="G631" s="298"/>
      <c r="H631" s="138"/>
      <c r="I631" s="138"/>
      <c r="J631" s="138"/>
      <c r="K631" s="138"/>
      <c r="L631" s="138"/>
      <c r="M631" s="138"/>
      <c r="N631" s="138"/>
      <c r="O631" s="139"/>
      <c r="P631" s="138"/>
      <c r="Q631" s="107"/>
      <c r="R631" s="107"/>
    </row>
    <row r="632" spans="1:18" ht="15" customHeight="1">
      <c r="A632" s="17" t="s">
        <v>38</v>
      </c>
      <c r="B632" s="17" t="s">
        <v>346</v>
      </c>
      <c r="C632" s="18" t="s">
        <v>600</v>
      </c>
      <c r="D632" s="17" t="s">
        <v>40</v>
      </c>
      <c r="E632" s="17" t="s">
        <v>268</v>
      </c>
      <c r="F632" s="17" t="s">
        <v>347</v>
      </c>
      <c r="G632" s="298"/>
      <c r="H632" s="138"/>
      <c r="I632" s="138"/>
      <c r="J632" s="138"/>
      <c r="K632" s="138"/>
      <c r="L632" s="138"/>
      <c r="M632" s="138"/>
      <c r="N632" s="138"/>
      <c r="O632" s="139"/>
      <c r="P632" s="138"/>
      <c r="Q632" s="107"/>
      <c r="R632" s="107"/>
    </row>
    <row r="633" spans="1:18" ht="15" customHeight="1">
      <c r="A633" s="17" t="s">
        <v>38</v>
      </c>
      <c r="B633" s="17" t="s">
        <v>344</v>
      </c>
      <c r="C633" s="18" t="s">
        <v>593</v>
      </c>
      <c r="D633" s="17" t="s">
        <v>40</v>
      </c>
      <c r="E633" s="17" t="s">
        <v>268</v>
      </c>
      <c r="F633" s="17" t="s">
        <v>347</v>
      </c>
      <c r="G633" s="298"/>
      <c r="H633" s="138"/>
      <c r="I633" s="138"/>
      <c r="J633" s="138"/>
      <c r="K633" s="138"/>
      <c r="L633" s="138"/>
      <c r="M633" s="138"/>
      <c r="N633" s="138"/>
      <c r="O633" s="139"/>
      <c r="P633" s="138"/>
      <c r="Q633" s="107"/>
      <c r="R633" s="107"/>
    </row>
    <row r="634" spans="1:18" ht="15" customHeight="1">
      <c r="A634" s="17" t="s">
        <v>38</v>
      </c>
      <c r="B634" s="17" t="s">
        <v>345</v>
      </c>
      <c r="C634" s="18" t="s">
        <v>594</v>
      </c>
      <c r="D634" s="17" t="s">
        <v>40</v>
      </c>
      <c r="E634" s="17" t="s">
        <v>268</v>
      </c>
      <c r="F634" s="17" t="s">
        <v>347</v>
      </c>
      <c r="G634" s="298"/>
      <c r="H634" s="138"/>
      <c r="I634" s="138"/>
      <c r="J634" s="138"/>
      <c r="K634" s="138"/>
      <c r="L634" s="138"/>
      <c r="M634" s="138"/>
      <c r="N634" s="138"/>
      <c r="O634" s="139"/>
      <c r="P634" s="138"/>
      <c r="Q634" s="107"/>
      <c r="R634" s="107"/>
    </row>
    <row r="635" spans="1:18" ht="15" customHeight="1">
      <c r="A635" s="17" t="s">
        <v>359</v>
      </c>
      <c r="B635" s="17" t="s">
        <v>445</v>
      </c>
      <c r="C635" s="18" t="s">
        <v>635</v>
      </c>
      <c r="D635" s="17" t="s">
        <v>361</v>
      </c>
      <c r="E635" s="17" t="s">
        <v>270</v>
      </c>
      <c r="F635" s="17" t="s">
        <v>525</v>
      </c>
      <c r="G635" s="298"/>
      <c r="H635" s="138"/>
      <c r="I635" s="138"/>
      <c r="J635" s="138"/>
      <c r="K635" s="138"/>
      <c r="L635" s="138"/>
      <c r="M635" s="138"/>
      <c r="N635" s="138"/>
      <c r="O635" s="139"/>
      <c r="P635" s="138"/>
      <c r="Q635" s="107"/>
      <c r="R635" s="107"/>
    </row>
    <row r="636" spans="1:18" ht="15" customHeight="1">
      <c r="A636" s="17" t="s">
        <v>61</v>
      </c>
      <c r="B636" s="17" t="s">
        <v>432</v>
      </c>
      <c r="C636" s="18" t="s">
        <v>577</v>
      </c>
      <c r="D636" s="17" t="s">
        <v>63</v>
      </c>
      <c r="E636" s="17" t="s">
        <v>636</v>
      </c>
      <c r="F636" s="17" t="s">
        <v>365</v>
      </c>
      <c r="G636" s="298"/>
      <c r="H636" s="138"/>
      <c r="I636" s="138"/>
      <c r="J636" s="138"/>
      <c r="K636" s="138"/>
      <c r="L636" s="138"/>
      <c r="M636" s="138"/>
      <c r="N636" s="138"/>
      <c r="O636" s="139"/>
      <c r="P636" s="138"/>
      <c r="Q636" s="107"/>
      <c r="R636" s="107"/>
    </row>
    <row r="637" spans="1:18" ht="15" customHeight="1">
      <c r="A637" s="17" t="s">
        <v>61</v>
      </c>
      <c r="B637" s="17" t="s">
        <v>428</v>
      </c>
      <c r="C637" s="18" t="s">
        <v>576</v>
      </c>
      <c r="D637" s="17" t="s">
        <v>63</v>
      </c>
      <c r="E637" s="17" t="s">
        <v>267</v>
      </c>
      <c r="F637" s="17" t="s">
        <v>365</v>
      </c>
      <c r="G637" s="298"/>
      <c r="H637" s="138"/>
      <c r="I637" s="138"/>
      <c r="J637" s="138"/>
      <c r="K637" s="138"/>
      <c r="L637" s="138"/>
      <c r="M637" s="138"/>
      <c r="N637" s="138"/>
      <c r="O637" s="139"/>
      <c r="P637" s="138"/>
      <c r="Q637" s="107"/>
      <c r="R637" s="107"/>
    </row>
    <row r="638" spans="1:18" ht="15" customHeight="1">
      <c r="A638" s="17" t="s">
        <v>61</v>
      </c>
      <c r="B638" s="17" t="s">
        <v>377</v>
      </c>
      <c r="C638" s="18" t="s">
        <v>563</v>
      </c>
      <c r="D638" s="17" t="s">
        <v>63</v>
      </c>
      <c r="E638" s="17" t="s">
        <v>288</v>
      </c>
      <c r="F638" s="17" t="s">
        <v>365</v>
      </c>
      <c r="G638" s="298"/>
      <c r="H638" s="138"/>
      <c r="I638" s="138"/>
      <c r="J638" s="138"/>
      <c r="K638" s="138"/>
      <c r="L638" s="138"/>
      <c r="M638" s="138"/>
      <c r="N638" s="138"/>
      <c r="O638" s="139"/>
      <c r="P638" s="138"/>
      <c r="Q638" s="107"/>
      <c r="R638" s="107"/>
    </row>
    <row r="639" spans="1:18" ht="15" customHeight="1">
      <c r="A639" s="17" t="s">
        <v>61</v>
      </c>
      <c r="B639" s="17" t="s">
        <v>379</v>
      </c>
      <c r="C639" s="18" t="s">
        <v>231</v>
      </c>
      <c r="D639" s="17" t="s">
        <v>63</v>
      </c>
      <c r="E639" s="17" t="s">
        <v>286</v>
      </c>
      <c r="F639" s="17" t="s">
        <v>365</v>
      </c>
      <c r="G639" s="298"/>
      <c r="H639" s="138"/>
      <c r="I639" s="138"/>
      <c r="J639" s="138"/>
      <c r="K639" s="138"/>
      <c r="L639" s="138"/>
      <c r="M639" s="138"/>
      <c r="N639" s="138"/>
      <c r="O639" s="139"/>
      <c r="P639" s="138"/>
      <c r="Q639" s="107"/>
      <c r="R639" s="107"/>
    </row>
    <row r="640" spans="1:18" ht="15" customHeight="1" thickBot="1">
      <c r="A640" s="30" t="s">
        <v>26</v>
      </c>
      <c r="B640" s="30" t="s">
        <v>348</v>
      </c>
      <c r="C640" s="31" t="s">
        <v>595</v>
      </c>
      <c r="D640" s="30" t="s">
        <v>28</v>
      </c>
      <c r="E640" s="30" t="s">
        <v>267</v>
      </c>
      <c r="F640" s="30" t="s">
        <v>83</v>
      </c>
      <c r="G640" s="299"/>
      <c r="H640" s="140"/>
      <c r="I640" s="140"/>
      <c r="J640" s="140"/>
      <c r="K640" s="140"/>
      <c r="L640" s="140"/>
      <c r="M640" s="140"/>
      <c r="N640" s="140"/>
      <c r="O640" s="141"/>
      <c r="P640" s="140"/>
      <c r="Q640" s="142"/>
      <c r="R640" s="142"/>
    </row>
    <row r="641" spans="1:18" ht="17.45" customHeight="1" thickBot="1">
      <c r="A641" s="283"/>
      <c r="B641" s="284"/>
      <c r="C641" s="284"/>
      <c r="D641" s="284"/>
      <c r="E641" s="284"/>
      <c r="F641" s="284"/>
      <c r="G641" s="284"/>
      <c r="H641" s="284"/>
      <c r="I641" s="284"/>
      <c r="J641" s="284"/>
      <c r="K641" s="284"/>
      <c r="L641" s="284"/>
      <c r="M641" s="284"/>
      <c r="N641" s="284"/>
      <c r="O641" s="284"/>
      <c r="P641" s="284"/>
      <c r="Q641" s="284"/>
      <c r="R641" s="285"/>
    </row>
    <row r="642" spans="1:18" ht="22.15" customHeight="1" thickTop="1" thickBot="1">
      <c r="A642" s="279" t="s">
        <v>6</v>
      </c>
      <c r="B642" s="295"/>
      <c r="C642" s="295"/>
      <c r="D642" s="295"/>
      <c r="E642" s="295"/>
      <c r="F642" s="296"/>
      <c r="G642" s="32">
        <v>46050</v>
      </c>
      <c r="H642" s="278" t="s">
        <v>7</v>
      </c>
      <c r="I642" s="295"/>
      <c r="J642" s="295"/>
      <c r="K642" s="295"/>
      <c r="L642" s="295"/>
      <c r="M642" s="295"/>
      <c r="N642" s="295"/>
      <c r="O642" s="295"/>
      <c r="P642" s="295"/>
      <c r="Q642" s="295"/>
      <c r="R642" s="296"/>
    </row>
    <row r="643" spans="1:18" ht="24" customHeight="1">
      <c r="A643" s="33" t="s">
        <v>8</v>
      </c>
      <c r="B643" s="33" t="s">
        <v>9</v>
      </c>
      <c r="C643" s="34" t="s">
        <v>10</v>
      </c>
      <c r="D643" s="33" t="s">
        <v>11</v>
      </c>
      <c r="E643" s="33" t="s">
        <v>12</v>
      </c>
      <c r="F643" s="35" t="s">
        <v>13</v>
      </c>
      <c r="G643" s="36" t="s">
        <v>14</v>
      </c>
      <c r="H643" s="33" t="s">
        <v>15</v>
      </c>
      <c r="I643" s="37" t="s">
        <v>16</v>
      </c>
      <c r="J643" s="38" t="s">
        <v>17</v>
      </c>
      <c r="K643" s="39" t="s">
        <v>18</v>
      </c>
      <c r="L643" s="38" t="s">
        <v>19</v>
      </c>
      <c r="M643" s="38" t="s">
        <v>20</v>
      </c>
      <c r="N643" s="38" t="s">
        <v>21</v>
      </c>
      <c r="O643" s="33" t="s">
        <v>22</v>
      </c>
      <c r="P643" s="34" t="s">
        <v>23</v>
      </c>
      <c r="Q643" s="38" t="s">
        <v>24</v>
      </c>
      <c r="R643" s="33" t="s">
        <v>25</v>
      </c>
    </row>
    <row r="644" spans="1:18" ht="15" customHeight="1">
      <c r="A644" s="8" t="s">
        <v>359</v>
      </c>
      <c r="B644" s="8" t="s">
        <v>616</v>
      </c>
      <c r="C644" s="9">
        <v>0.16319444444444439</v>
      </c>
      <c r="D644" s="8" t="s">
        <v>603</v>
      </c>
      <c r="E644" s="8" t="s">
        <v>80</v>
      </c>
      <c r="F644" s="8" t="s">
        <v>677</v>
      </c>
      <c r="G644" s="302"/>
      <c r="H644" s="10"/>
      <c r="I644" s="11"/>
      <c r="J644" s="11"/>
      <c r="K644" s="11"/>
      <c r="L644" s="11"/>
      <c r="M644" s="11"/>
      <c r="N644" s="11"/>
      <c r="O644" s="12"/>
      <c r="P644" s="11"/>
      <c r="Q644" s="13"/>
      <c r="R644" s="14"/>
    </row>
    <row r="645" spans="1:18" ht="15" customHeight="1">
      <c r="A645" s="15" t="s">
        <v>359</v>
      </c>
      <c r="B645" s="15" t="s">
        <v>616</v>
      </c>
      <c r="C645" s="16">
        <v>0.16319444444444439</v>
      </c>
      <c r="D645" s="15" t="s">
        <v>605</v>
      </c>
      <c r="E645" s="15" t="s">
        <v>82</v>
      </c>
      <c r="F645" s="15" t="s">
        <v>678</v>
      </c>
      <c r="G645" s="298"/>
      <c r="H645" s="10"/>
      <c r="I645" s="11"/>
      <c r="J645" s="11"/>
      <c r="K645" s="11"/>
      <c r="L645" s="11"/>
      <c r="M645" s="11"/>
      <c r="N645" s="11"/>
      <c r="O645" s="12"/>
      <c r="P645" s="11"/>
      <c r="Q645" s="13"/>
      <c r="R645" s="14"/>
    </row>
    <row r="646" spans="1:18" ht="15" customHeight="1">
      <c r="A646" s="15" t="s">
        <v>359</v>
      </c>
      <c r="B646" s="15" t="s">
        <v>616</v>
      </c>
      <c r="C646" s="16">
        <v>0.16319444444444439</v>
      </c>
      <c r="D646" s="15" t="s">
        <v>46</v>
      </c>
      <c r="E646" s="15" t="s">
        <v>82</v>
      </c>
      <c r="F646" s="15" t="s">
        <v>679</v>
      </c>
      <c r="G646" s="298"/>
      <c r="H646" s="10"/>
      <c r="I646" s="11"/>
      <c r="J646" s="11"/>
      <c r="K646" s="11"/>
      <c r="L646" s="11"/>
      <c r="M646" s="11"/>
      <c r="N646" s="11"/>
      <c r="O646" s="12"/>
      <c r="P646" s="11"/>
      <c r="Q646" s="13"/>
      <c r="R646" s="14"/>
    </row>
    <row r="647" spans="1:18" ht="15" customHeight="1">
      <c r="A647" s="58" t="s">
        <v>61</v>
      </c>
      <c r="B647" s="58" t="s">
        <v>612</v>
      </c>
      <c r="C647" s="59">
        <v>0.14583333333333329</v>
      </c>
      <c r="D647" s="58" t="s">
        <v>63</v>
      </c>
      <c r="E647" s="58" t="s">
        <v>51</v>
      </c>
      <c r="F647" s="58" t="s">
        <v>79</v>
      </c>
      <c r="G647" s="298"/>
      <c r="H647" s="60" t="s">
        <v>613</v>
      </c>
      <c r="I647" s="61">
        <v>0</v>
      </c>
      <c r="J647" s="62">
        <v>0</v>
      </c>
      <c r="K647" s="63" t="s">
        <v>66</v>
      </c>
      <c r="L647" s="62">
        <v>0</v>
      </c>
      <c r="M647" s="62">
        <v>0</v>
      </c>
      <c r="N647" s="62">
        <v>0</v>
      </c>
      <c r="O647" s="64" t="s">
        <v>292</v>
      </c>
      <c r="P647" s="65">
        <v>0.14583333333333329</v>
      </c>
      <c r="Q647" s="62">
        <v>180</v>
      </c>
      <c r="R647" s="66" t="s">
        <v>66</v>
      </c>
    </row>
    <row r="648" spans="1:18" ht="15" customHeight="1">
      <c r="A648" s="152" t="s">
        <v>61</v>
      </c>
      <c r="B648" s="152" t="s">
        <v>629</v>
      </c>
      <c r="C648" s="153">
        <v>0.53125</v>
      </c>
      <c r="D648" s="152" t="s">
        <v>63</v>
      </c>
      <c r="E648" s="152" t="s">
        <v>57</v>
      </c>
      <c r="F648" s="152" t="s">
        <v>79</v>
      </c>
      <c r="G648" s="298"/>
      <c r="H648" s="100" t="s">
        <v>630</v>
      </c>
      <c r="I648" s="101">
        <v>5.5999999999999999E-3</v>
      </c>
      <c r="J648" s="102">
        <v>1</v>
      </c>
      <c r="K648" s="103">
        <v>46332</v>
      </c>
      <c r="L648" s="102">
        <v>1</v>
      </c>
      <c r="M648" s="102">
        <v>0</v>
      </c>
      <c r="N648" s="102">
        <v>0</v>
      </c>
      <c r="O648" s="104" t="s">
        <v>292</v>
      </c>
      <c r="P648" s="105">
        <v>0.53125</v>
      </c>
      <c r="Q648" s="102">
        <v>180</v>
      </c>
      <c r="R648" s="106" t="s">
        <v>302</v>
      </c>
    </row>
    <row r="649" spans="1:18" ht="15" customHeight="1">
      <c r="A649" s="148" t="s">
        <v>61</v>
      </c>
      <c r="B649" s="148" t="s">
        <v>645</v>
      </c>
      <c r="C649" s="149">
        <v>0.86111111111111116</v>
      </c>
      <c r="D649" s="148" t="s">
        <v>63</v>
      </c>
      <c r="E649" s="148" t="s">
        <v>57</v>
      </c>
      <c r="F649" s="148" t="s">
        <v>79</v>
      </c>
      <c r="G649" s="298"/>
      <c r="H649" s="51" t="s">
        <v>646</v>
      </c>
      <c r="I649" s="52">
        <v>5.5999999999999999E-3</v>
      </c>
      <c r="J649" s="53">
        <v>1</v>
      </c>
      <c r="K649" s="54">
        <v>46302</v>
      </c>
      <c r="L649" s="53">
        <v>1</v>
      </c>
      <c r="M649" s="53">
        <v>0</v>
      </c>
      <c r="N649" s="53">
        <v>0</v>
      </c>
      <c r="O649" s="55" t="s">
        <v>292</v>
      </c>
      <c r="P649" s="56">
        <v>0.86111111111111116</v>
      </c>
      <c r="Q649" s="53">
        <v>180</v>
      </c>
      <c r="R649" s="57" t="s">
        <v>302</v>
      </c>
    </row>
    <row r="650" spans="1:18" ht="15" customHeight="1">
      <c r="A650" s="19" t="s">
        <v>48</v>
      </c>
      <c r="B650" s="19" t="s">
        <v>611</v>
      </c>
      <c r="C650" s="20">
        <v>0.81944444444444453</v>
      </c>
      <c r="D650" s="19" t="s">
        <v>53</v>
      </c>
      <c r="E650" s="19" t="s">
        <v>51</v>
      </c>
      <c r="F650" s="19" t="s">
        <v>681</v>
      </c>
      <c r="G650" s="298"/>
      <c r="H650" s="10"/>
      <c r="I650" s="11"/>
      <c r="J650" s="11"/>
      <c r="K650" s="11"/>
      <c r="L650" s="11"/>
      <c r="M650" s="11"/>
      <c r="N650" s="11"/>
      <c r="O650" s="12"/>
      <c r="P650" s="11"/>
      <c r="Q650" s="13"/>
      <c r="R650" s="14"/>
    </row>
    <row r="651" spans="1:18" ht="18">
      <c r="A651" s="292" t="s">
        <v>615</v>
      </c>
      <c r="B651" s="303"/>
      <c r="C651" s="303"/>
      <c r="D651" s="303"/>
      <c r="E651" s="303"/>
      <c r="F651" s="304"/>
      <c r="G651" s="298"/>
      <c r="H651" s="138"/>
      <c r="I651" s="138"/>
      <c r="J651" s="138"/>
      <c r="K651" s="138"/>
      <c r="L651" s="138"/>
      <c r="M651" s="138"/>
      <c r="N651" s="138"/>
      <c r="O651" s="139"/>
      <c r="P651" s="138"/>
      <c r="Q651" s="107"/>
      <c r="R651" s="107"/>
    </row>
    <row r="652" spans="1:18" ht="15" customHeight="1">
      <c r="A652" s="17" t="s">
        <v>38</v>
      </c>
      <c r="B652" s="17" t="s">
        <v>342</v>
      </c>
      <c r="C652" s="18" t="s">
        <v>592</v>
      </c>
      <c r="D652" s="17" t="s">
        <v>40</v>
      </c>
      <c r="E652" s="17" t="s">
        <v>270</v>
      </c>
      <c r="F652" s="17" t="s">
        <v>343</v>
      </c>
      <c r="G652" s="298"/>
      <c r="H652" s="138"/>
      <c r="I652" s="138"/>
      <c r="J652" s="138"/>
      <c r="K652" s="138"/>
      <c r="L652" s="138"/>
      <c r="M652" s="138"/>
      <c r="N652" s="138"/>
      <c r="O652" s="139"/>
      <c r="P652" s="138"/>
      <c r="Q652" s="107"/>
      <c r="R652" s="107"/>
    </row>
    <row r="653" spans="1:18" ht="15" customHeight="1">
      <c r="A653" s="17" t="s">
        <v>38</v>
      </c>
      <c r="B653" s="17" t="s">
        <v>346</v>
      </c>
      <c r="C653" s="18" t="s">
        <v>600</v>
      </c>
      <c r="D653" s="17" t="s">
        <v>40</v>
      </c>
      <c r="E653" s="17" t="s">
        <v>268</v>
      </c>
      <c r="F653" s="17" t="s">
        <v>347</v>
      </c>
      <c r="G653" s="298"/>
      <c r="H653" s="138"/>
      <c r="I653" s="138"/>
      <c r="J653" s="138"/>
      <c r="K653" s="138"/>
      <c r="L653" s="138"/>
      <c r="M653" s="138"/>
      <c r="N653" s="138"/>
      <c r="O653" s="139"/>
      <c r="P653" s="138"/>
      <c r="Q653" s="107"/>
      <c r="R653" s="107"/>
    </row>
    <row r="654" spans="1:18" ht="15" customHeight="1">
      <c r="A654" s="17" t="s">
        <v>38</v>
      </c>
      <c r="B654" s="17" t="s">
        <v>344</v>
      </c>
      <c r="C654" s="18" t="s">
        <v>593</v>
      </c>
      <c r="D654" s="17" t="s">
        <v>40</v>
      </c>
      <c r="E654" s="17" t="s">
        <v>268</v>
      </c>
      <c r="F654" s="17" t="s">
        <v>347</v>
      </c>
      <c r="G654" s="298"/>
      <c r="H654" s="138"/>
      <c r="I654" s="138"/>
      <c r="J654" s="138"/>
      <c r="K654" s="138"/>
      <c r="L654" s="138"/>
      <c r="M654" s="138"/>
      <c r="N654" s="138"/>
      <c r="O654" s="139"/>
      <c r="P654" s="138"/>
      <c r="Q654" s="107"/>
      <c r="R654" s="107"/>
    </row>
    <row r="655" spans="1:18" ht="15" customHeight="1">
      <c r="A655" s="17" t="s">
        <v>38</v>
      </c>
      <c r="B655" s="17" t="s">
        <v>345</v>
      </c>
      <c r="C655" s="18" t="s">
        <v>594</v>
      </c>
      <c r="D655" s="17" t="s">
        <v>40</v>
      </c>
      <c r="E655" s="17" t="s">
        <v>268</v>
      </c>
      <c r="F655" s="17" t="s">
        <v>347</v>
      </c>
      <c r="G655" s="298"/>
      <c r="H655" s="138"/>
      <c r="I655" s="138"/>
      <c r="J655" s="138"/>
      <c r="K655" s="138"/>
      <c r="L655" s="138"/>
      <c r="M655" s="138"/>
      <c r="N655" s="138"/>
      <c r="O655" s="139"/>
      <c r="P655" s="138"/>
      <c r="Q655" s="107"/>
      <c r="R655" s="107"/>
    </row>
    <row r="656" spans="1:18" ht="15" customHeight="1">
      <c r="A656" s="17" t="s">
        <v>359</v>
      </c>
      <c r="B656" s="17" t="s">
        <v>360</v>
      </c>
      <c r="C656" s="18" t="s">
        <v>619</v>
      </c>
      <c r="D656" s="17" t="s">
        <v>361</v>
      </c>
      <c r="E656" s="17" t="s">
        <v>270</v>
      </c>
      <c r="F656" s="17" t="s">
        <v>525</v>
      </c>
      <c r="G656" s="298"/>
      <c r="H656" s="138"/>
      <c r="I656" s="138"/>
      <c r="J656" s="138"/>
      <c r="K656" s="138"/>
      <c r="L656" s="138"/>
      <c r="M656" s="138"/>
      <c r="N656" s="138"/>
      <c r="O656" s="139"/>
      <c r="P656" s="138"/>
      <c r="Q656" s="107"/>
      <c r="R656" s="107"/>
    </row>
    <row r="657" spans="1:18" ht="15" customHeight="1">
      <c r="A657" s="17" t="s">
        <v>61</v>
      </c>
      <c r="B657" s="17" t="s">
        <v>364</v>
      </c>
      <c r="C657" s="18" t="s">
        <v>580</v>
      </c>
      <c r="D657" s="17" t="s">
        <v>63</v>
      </c>
      <c r="E657" s="17" t="s">
        <v>288</v>
      </c>
      <c r="F657" s="17" t="s">
        <v>365</v>
      </c>
      <c r="G657" s="298"/>
      <c r="H657" s="138"/>
      <c r="I657" s="138"/>
      <c r="J657" s="138"/>
      <c r="K657" s="138"/>
      <c r="L657" s="138"/>
      <c r="M657" s="138"/>
      <c r="N657" s="138"/>
      <c r="O657" s="139"/>
      <c r="P657" s="138"/>
      <c r="Q657" s="107"/>
      <c r="R657" s="107"/>
    </row>
    <row r="658" spans="1:18" ht="15" customHeight="1">
      <c r="A658" s="17" t="s">
        <v>61</v>
      </c>
      <c r="B658" s="17" t="s">
        <v>432</v>
      </c>
      <c r="C658" s="18" t="s">
        <v>582</v>
      </c>
      <c r="D658" s="17" t="s">
        <v>63</v>
      </c>
      <c r="E658" s="17" t="s">
        <v>636</v>
      </c>
      <c r="F658" s="17" t="s">
        <v>365</v>
      </c>
      <c r="G658" s="298"/>
      <c r="H658" s="138"/>
      <c r="I658" s="138"/>
      <c r="J658" s="138"/>
      <c r="K658" s="138"/>
      <c r="L658" s="138"/>
      <c r="M658" s="138"/>
      <c r="N658" s="138"/>
      <c r="O658" s="139"/>
      <c r="P658" s="138"/>
      <c r="Q658" s="107"/>
      <c r="R658" s="107"/>
    </row>
    <row r="659" spans="1:18" ht="15" customHeight="1">
      <c r="A659" s="17" t="s">
        <v>61</v>
      </c>
      <c r="B659" s="17" t="s">
        <v>375</v>
      </c>
      <c r="C659" s="18" t="s">
        <v>581</v>
      </c>
      <c r="D659" s="17" t="s">
        <v>63</v>
      </c>
      <c r="E659" s="17" t="s">
        <v>636</v>
      </c>
      <c r="F659" s="17" t="s">
        <v>365</v>
      </c>
      <c r="G659" s="298"/>
      <c r="H659" s="138"/>
      <c r="I659" s="138"/>
      <c r="J659" s="138"/>
      <c r="K659" s="138"/>
      <c r="L659" s="138"/>
      <c r="M659" s="138"/>
      <c r="N659" s="138"/>
      <c r="O659" s="139"/>
      <c r="P659" s="138"/>
      <c r="Q659" s="107"/>
      <c r="R659" s="107"/>
    </row>
    <row r="660" spans="1:18" ht="15" customHeight="1">
      <c r="A660" s="17" t="s">
        <v>61</v>
      </c>
      <c r="B660" s="17" t="s">
        <v>377</v>
      </c>
      <c r="C660" s="18" t="s">
        <v>563</v>
      </c>
      <c r="D660" s="17" t="s">
        <v>63</v>
      </c>
      <c r="E660" s="17" t="s">
        <v>294</v>
      </c>
      <c r="F660" s="17" t="s">
        <v>365</v>
      </c>
      <c r="G660" s="298"/>
      <c r="H660" s="138"/>
      <c r="I660" s="138"/>
      <c r="J660" s="138"/>
      <c r="K660" s="138"/>
      <c r="L660" s="138"/>
      <c r="M660" s="138"/>
      <c r="N660" s="138"/>
      <c r="O660" s="139"/>
      <c r="P660" s="138"/>
      <c r="Q660" s="107"/>
      <c r="R660" s="107"/>
    </row>
    <row r="661" spans="1:18" ht="15" customHeight="1" thickBot="1">
      <c r="A661" s="30" t="s">
        <v>26</v>
      </c>
      <c r="B661" s="30" t="s">
        <v>348</v>
      </c>
      <c r="C661" s="31" t="s">
        <v>595</v>
      </c>
      <c r="D661" s="30" t="s">
        <v>28</v>
      </c>
      <c r="E661" s="30" t="s">
        <v>267</v>
      </c>
      <c r="F661" s="30" t="s">
        <v>83</v>
      </c>
      <c r="G661" s="299"/>
      <c r="H661" s="140"/>
      <c r="I661" s="140"/>
      <c r="J661" s="140"/>
      <c r="K661" s="140"/>
      <c r="L661" s="140"/>
      <c r="M661" s="140"/>
      <c r="N661" s="140"/>
      <c r="O661" s="141"/>
      <c r="P661" s="140"/>
      <c r="Q661" s="142"/>
      <c r="R661" s="142"/>
    </row>
    <row r="662" spans="1:18" ht="17.45" customHeight="1" thickBot="1">
      <c r="A662" s="283"/>
      <c r="B662" s="284"/>
      <c r="C662" s="284"/>
      <c r="D662" s="284"/>
      <c r="E662" s="284"/>
      <c r="F662" s="284"/>
      <c r="G662" s="284"/>
      <c r="H662" s="284"/>
      <c r="I662" s="284"/>
      <c r="J662" s="284"/>
      <c r="K662" s="284"/>
      <c r="L662" s="284"/>
      <c r="M662" s="284"/>
      <c r="N662" s="284"/>
      <c r="O662" s="284"/>
      <c r="P662" s="284"/>
      <c r="Q662" s="284"/>
      <c r="R662" s="285"/>
    </row>
    <row r="663" spans="1:18" ht="22.15" customHeight="1" thickTop="1" thickBot="1">
      <c r="A663" s="279" t="s">
        <v>6</v>
      </c>
      <c r="B663" s="295"/>
      <c r="C663" s="295"/>
      <c r="D663" s="295"/>
      <c r="E663" s="295"/>
      <c r="F663" s="296"/>
      <c r="G663" s="32">
        <v>46051</v>
      </c>
      <c r="H663" s="278" t="s">
        <v>7</v>
      </c>
      <c r="I663" s="295"/>
      <c r="J663" s="295"/>
      <c r="K663" s="295"/>
      <c r="L663" s="295"/>
      <c r="M663" s="295"/>
      <c r="N663" s="295"/>
      <c r="O663" s="295"/>
      <c r="P663" s="295"/>
      <c r="Q663" s="295"/>
      <c r="R663" s="296"/>
    </row>
    <row r="664" spans="1:18" ht="24" customHeight="1">
      <c r="A664" s="33" t="s">
        <v>8</v>
      </c>
      <c r="B664" s="33" t="s">
        <v>9</v>
      </c>
      <c r="C664" s="34" t="s">
        <v>10</v>
      </c>
      <c r="D664" s="33" t="s">
        <v>11</v>
      </c>
      <c r="E664" s="33" t="s">
        <v>12</v>
      </c>
      <c r="F664" s="35" t="s">
        <v>13</v>
      </c>
      <c r="G664" s="36" t="s">
        <v>14</v>
      </c>
      <c r="H664" s="33" t="s">
        <v>15</v>
      </c>
      <c r="I664" s="37" t="s">
        <v>16</v>
      </c>
      <c r="J664" s="38" t="s">
        <v>17</v>
      </c>
      <c r="K664" s="39" t="s">
        <v>18</v>
      </c>
      <c r="L664" s="38" t="s">
        <v>19</v>
      </c>
      <c r="M664" s="38" t="s">
        <v>20</v>
      </c>
      <c r="N664" s="38" t="s">
        <v>21</v>
      </c>
      <c r="O664" s="33" t="s">
        <v>22</v>
      </c>
      <c r="P664" s="34" t="s">
        <v>23</v>
      </c>
      <c r="Q664" s="38" t="s">
        <v>24</v>
      </c>
      <c r="R664" s="33" t="s">
        <v>25</v>
      </c>
    </row>
    <row r="665" spans="1:18" ht="15" customHeight="1">
      <c r="A665" s="8" t="s">
        <v>359</v>
      </c>
      <c r="B665" s="8" t="s">
        <v>602</v>
      </c>
      <c r="C665" s="9">
        <v>0.3611111111111111</v>
      </c>
      <c r="D665" s="8" t="s">
        <v>603</v>
      </c>
      <c r="E665" s="8" t="s">
        <v>80</v>
      </c>
      <c r="F665" s="8" t="s">
        <v>677</v>
      </c>
      <c r="G665" s="297"/>
      <c r="H665" s="10"/>
      <c r="I665" s="11"/>
      <c r="J665" s="11"/>
      <c r="K665" s="11"/>
      <c r="L665" s="11"/>
      <c r="M665" s="11"/>
      <c r="N665" s="11"/>
      <c r="O665" s="12"/>
      <c r="P665" s="11"/>
      <c r="Q665" s="13"/>
      <c r="R665" s="14"/>
    </row>
    <row r="666" spans="1:18" ht="15" customHeight="1">
      <c r="A666" s="15" t="s">
        <v>359</v>
      </c>
      <c r="B666" s="15" t="s">
        <v>602</v>
      </c>
      <c r="C666" s="16">
        <v>0.3611111111111111</v>
      </c>
      <c r="D666" s="15" t="s">
        <v>605</v>
      </c>
      <c r="E666" s="15" t="s">
        <v>82</v>
      </c>
      <c r="F666" s="15" t="s">
        <v>678</v>
      </c>
      <c r="G666" s="298"/>
      <c r="H666" s="10"/>
      <c r="I666" s="11"/>
      <c r="J666" s="11"/>
      <c r="K666" s="11"/>
      <c r="L666" s="11"/>
      <c r="M666" s="11"/>
      <c r="N666" s="11"/>
      <c r="O666" s="12"/>
      <c r="P666" s="11"/>
      <c r="Q666" s="13"/>
      <c r="R666" s="14"/>
    </row>
    <row r="667" spans="1:18" ht="15" customHeight="1">
      <c r="A667" s="15" t="s">
        <v>359</v>
      </c>
      <c r="B667" s="15" t="s">
        <v>602</v>
      </c>
      <c r="C667" s="16">
        <v>0.3611111111111111</v>
      </c>
      <c r="D667" s="15" t="s">
        <v>46</v>
      </c>
      <c r="E667" s="15" t="s">
        <v>82</v>
      </c>
      <c r="F667" s="15" t="s">
        <v>679</v>
      </c>
      <c r="G667" s="298"/>
      <c r="H667" s="10"/>
      <c r="I667" s="11"/>
      <c r="J667" s="11"/>
      <c r="K667" s="11"/>
      <c r="L667" s="11"/>
      <c r="M667" s="11"/>
      <c r="N667" s="11"/>
      <c r="O667" s="12"/>
      <c r="P667" s="11"/>
      <c r="Q667" s="13"/>
      <c r="R667" s="14"/>
    </row>
    <row r="668" spans="1:18" ht="15" customHeight="1">
      <c r="A668" s="17" t="s">
        <v>359</v>
      </c>
      <c r="B668" s="17" t="s">
        <v>608</v>
      </c>
      <c r="C668" s="18">
        <v>0.63194444444444442</v>
      </c>
      <c r="D668" s="17" t="s">
        <v>603</v>
      </c>
      <c r="E668" s="17" t="s">
        <v>90</v>
      </c>
      <c r="F668" s="17" t="s">
        <v>677</v>
      </c>
      <c r="G668" s="298"/>
      <c r="H668" s="10"/>
      <c r="I668" s="11"/>
      <c r="J668" s="11"/>
      <c r="K668" s="11"/>
      <c r="L668" s="11"/>
      <c r="M668" s="11"/>
      <c r="N668" s="11"/>
      <c r="O668" s="12"/>
      <c r="P668" s="11"/>
      <c r="Q668" s="13"/>
      <c r="R668" s="14"/>
    </row>
    <row r="669" spans="1:18" ht="15" customHeight="1">
      <c r="A669" s="15" t="s">
        <v>359</v>
      </c>
      <c r="B669" s="15" t="s">
        <v>608</v>
      </c>
      <c r="C669" s="16">
        <v>0.63194444444444442</v>
      </c>
      <c r="D669" s="15" t="s">
        <v>605</v>
      </c>
      <c r="E669" s="15" t="s">
        <v>82</v>
      </c>
      <c r="F669" s="15" t="s">
        <v>678</v>
      </c>
      <c r="G669" s="298"/>
      <c r="H669" s="10"/>
      <c r="I669" s="11"/>
      <c r="J669" s="11"/>
      <c r="K669" s="11"/>
      <c r="L669" s="11"/>
      <c r="M669" s="11"/>
      <c r="N669" s="11"/>
      <c r="O669" s="12"/>
      <c r="P669" s="11"/>
      <c r="Q669" s="13"/>
      <c r="R669" s="14"/>
    </row>
    <row r="670" spans="1:18" ht="15" customHeight="1">
      <c r="A670" s="15" t="s">
        <v>359</v>
      </c>
      <c r="B670" s="15" t="s">
        <v>608</v>
      </c>
      <c r="C670" s="16">
        <v>0.63194444444444442</v>
      </c>
      <c r="D670" s="15" t="s">
        <v>46</v>
      </c>
      <c r="E670" s="15" t="s">
        <v>82</v>
      </c>
      <c r="F670" s="15" t="s">
        <v>679</v>
      </c>
      <c r="G670" s="298"/>
      <c r="H670" s="10"/>
      <c r="I670" s="11"/>
      <c r="J670" s="11"/>
      <c r="K670" s="11"/>
      <c r="L670" s="11"/>
      <c r="M670" s="11"/>
      <c r="N670" s="11"/>
      <c r="O670" s="12"/>
      <c r="P670" s="11"/>
      <c r="Q670" s="13"/>
      <c r="R670" s="14"/>
    </row>
    <row r="671" spans="1:18" ht="15" customHeight="1">
      <c r="A671" s="49" t="s">
        <v>61</v>
      </c>
      <c r="B671" s="49" t="s">
        <v>612</v>
      </c>
      <c r="C671" s="50">
        <v>8.6805555555555566E-2</v>
      </c>
      <c r="D671" s="49" t="s">
        <v>63</v>
      </c>
      <c r="E671" s="49" t="s">
        <v>51</v>
      </c>
      <c r="F671" s="49" t="s">
        <v>79</v>
      </c>
      <c r="G671" s="298"/>
      <c r="H671" s="51" t="s">
        <v>613</v>
      </c>
      <c r="I671" s="52">
        <v>0</v>
      </c>
      <c r="J671" s="53">
        <v>0</v>
      </c>
      <c r="K671" s="54" t="s">
        <v>66</v>
      </c>
      <c r="L671" s="53">
        <v>0</v>
      </c>
      <c r="M671" s="53">
        <v>0</v>
      </c>
      <c r="N671" s="53">
        <v>0</v>
      </c>
      <c r="O671" s="55" t="s">
        <v>292</v>
      </c>
      <c r="P671" s="56">
        <v>8.6805555555555566E-2</v>
      </c>
      <c r="Q671" s="53">
        <v>180</v>
      </c>
      <c r="R671" s="57" t="s">
        <v>66</v>
      </c>
    </row>
    <row r="672" spans="1:18" ht="15" customHeight="1">
      <c r="A672" s="19" t="s">
        <v>48</v>
      </c>
      <c r="B672" s="19" t="s">
        <v>609</v>
      </c>
      <c r="C672" s="20">
        <v>0.4513888888888889</v>
      </c>
      <c r="D672" s="19" t="s">
        <v>53</v>
      </c>
      <c r="E672" s="19" t="s">
        <v>51</v>
      </c>
      <c r="F672" s="19" t="s">
        <v>681</v>
      </c>
      <c r="G672" s="298"/>
      <c r="H672" s="10"/>
      <c r="I672" s="11"/>
      <c r="J672" s="11"/>
      <c r="K672" s="11"/>
      <c r="L672" s="11"/>
      <c r="M672" s="11"/>
      <c r="N672" s="11"/>
      <c r="O672" s="12"/>
      <c r="P672" s="11"/>
      <c r="Q672" s="13"/>
      <c r="R672" s="14"/>
    </row>
    <row r="673" spans="1:18" ht="15" customHeight="1">
      <c r="A673" s="17" t="s">
        <v>48</v>
      </c>
      <c r="B673" s="17" t="s">
        <v>611</v>
      </c>
      <c r="C673" s="18">
        <v>0.81944444444444453</v>
      </c>
      <c r="D673" s="17" t="s">
        <v>53</v>
      </c>
      <c r="E673" s="17" t="s">
        <v>57</v>
      </c>
      <c r="F673" s="17" t="s">
        <v>681</v>
      </c>
      <c r="G673" s="298"/>
      <c r="H673" s="10"/>
      <c r="I673" s="11"/>
      <c r="J673" s="11"/>
      <c r="K673" s="11"/>
      <c r="L673" s="11"/>
      <c r="M673" s="11"/>
      <c r="N673" s="11"/>
      <c r="O673" s="12"/>
      <c r="P673" s="11"/>
      <c r="Q673" s="13"/>
      <c r="R673" s="14"/>
    </row>
    <row r="674" spans="1:18" ht="18">
      <c r="A674" s="292" t="s">
        <v>615</v>
      </c>
      <c r="B674" s="303"/>
      <c r="C674" s="303"/>
      <c r="D674" s="303"/>
      <c r="E674" s="303"/>
      <c r="F674" s="304"/>
      <c r="G674" s="298"/>
      <c r="H674" s="138"/>
      <c r="I674" s="138"/>
      <c r="J674" s="138"/>
      <c r="K674" s="138"/>
      <c r="L674" s="138"/>
      <c r="M674" s="138"/>
      <c r="N674" s="138"/>
      <c r="O674" s="139"/>
      <c r="P674" s="138"/>
      <c r="Q674" s="107"/>
      <c r="R674" s="107"/>
    </row>
    <row r="675" spans="1:18" ht="15" customHeight="1">
      <c r="A675" s="17" t="s">
        <v>38</v>
      </c>
      <c r="B675" s="17" t="s">
        <v>342</v>
      </c>
      <c r="C675" s="18" t="s">
        <v>592</v>
      </c>
      <c r="D675" s="17" t="s">
        <v>40</v>
      </c>
      <c r="E675" s="17" t="s">
        <v>281</v>
      </c>
      <c r="F675" s="17" t="s">
        <v>30</v>
      </c>
      <c r="G675" s="298"/>
      <c r="H675" s="138"/>
      <c r="I675" s="138"/>
      <c r="J675" s="138"/>
      <c r="K675" s="138"/>
      <c r="L675" s="138"/>
      <c r="M675" s="138"/>
      <c r="N675" s="138"/>
      <c r="O675" s="139"/>
      <c r="P675" s="138"/>
      <c r="Q675" s="107"/>
      <c r="R675" s="107"/>
    </row>
    <row r="676" spans="1:18" ht="15" customHeight="1">
      <c r="A676" s="17" t="s">
        <v>38</v>
      </c>
      <c r="B676" s="17" t="s">
        <v>346</v>
      </c>
      <c r="C676" s="18" t="s">
        <v>600</v>
      </c>
      <c r="D676" s="17" t="s">
        <v>40</v>
      </c>
      <c r="E676" s="17" t="s">
        <v>268</v>
      </c>
      <c r="F676" s="17" t="s">
        <v>347</v>
      </c>
      <c r="G676" s="298"/>
      <c r="H676" s="138"/>
      <c r="I676" s="138"/>
      <c r="J676" s="138"/>
      <c r="K676" s="138"/>
      <c r="L676" s="138"/>
      <c r="M676" s="138"/>
      <c r="N676" s="138"/>
      <c r="O676" s="139"/>
      <c r="P676" s="138"/>
      <c r="Q676" s="107"/>
      <c r="R676" s="107"/>
    </row>
    <row r="677" spans="1:18" ht="15" customHeight="1">
      <c r="A677" s="17" t="s">
        <v>38</v>
      </c>
      <c r="B677" s="17" t="s">
        <v>344</v>
      </c>
      <c r="C677" s="18" t="s">
        <v>593</v>
      </c>
      <c r="D677" s="17" t="s">
        <v>40</v>
      </c>
      <c r="E677" s="17" t="s">
        <v>312</v>
      </c>
      <c r="F677" s="17" t="s">
        <v>347</v>
      </c>
      <c r="G677" s="298"/>
      <c r="H677" s="138"/>
      <c r="I677" s="138"/>
      <c r="J677" s="138"/>
      <c r="K677" s="138"/>
      <c r="L677" s="138"/>
      <c r="M677" s="138"/>
      <c r="N677" s="138"/>
      <c r="O677" s="139"/>
      <c r="P677" s="138"/>
      <c r="Q677" s="107"/>
      <c r="R677" s="107"/>
    </row>
    <row r="678" spans="1:18" ht="15" customHeight="1">
      <c r="A678" s="17" t="s">
        <v>38</v>
      </c>
      <c r="B678" s="17" t="s">
        <v>345</v>
      </c>
      <c r="C678" s="18" t="s">
        <v>594</v>
      </c>
      <c r="D678" s="17" t="s">
        <v>40</v>
      </c>
      <c r="E678" s="17" t="s">
        <v>268</v>
      </c>
      <c r="F678" s="17" t="s">
        <v>347</v>
      </c>
      <c r="G678" s="298"/>
      <c r="H678" s="138"/>
      <c r="I678" s="138"/>
      <c r="J678" s="138"/>
      <c r="K678" s="138"/>
      <c r="L678" s="138"/>
      <c r="M678" s="138"/>
      <c r="N678" s="138"/>
      <c r="O678" s="139"/>
      <c r="P678" s="138"/>
      <c r="Q678" s="107"/>
      <c r="R678" s="107"/>
    </row>
    <row r="679" spans="1:18" ht="15" customHeight="1">
      <c r="A679" s="17" t="s">
        <v>359</v>
      </c>
      <c r="B679" s="17" t="s">
        <v>360</v>
      </c>
      <c r="C679" s="18" t="s">
        <v>599</v>
      </c>
      <c r="D679" s="17" t="s">
        <v>361</v>
      </c>
      <c r="E679" s="17" t="s">
        <v>270</v>
      </c>
      <c r="F679" s="17" t="s">
        <v>525</v>
      </c>
      <c r="G679" s="298"/>
      <c r="H679" s="138"/>
      <c r="I679" s="138"/>
      <c r="J679" s="138"/>
      <c r="K679" s="138"/>
      <c r="L679" s="138"/>
      <c r="M679" s="138"/>
      <c r="N679" s="138"/>
      <c r="O679" s="139"/>
      <c r="P679" s="138"/>
      <c r="Q679" s="107"/>
      <c r="R679" s="107"/>
    </row>
    <row r="680" spans="1:18" ht="15" customHeight="1">
      <c r="A680" s="17" t="s">
        <v>61</v>
      </c>
      <c r="B680" s="17" t="s">
        <v>371</v>
      </c>
      <c r="C680" s="18" t="s">
        <v>273</v>
      </c>
      <c r="D680" s="17" t="s">
        <v>63</v>
      </c>
      <c r="E680" s="17" t="s">
        <v>267</v>
      </c>
      <c r="F680" s="17" t="s">
        <v>365</v>
      </c>
      <c r="G680" s="298"/>
      <c r="H680" s="138"/>
      <c r="I680" s="138"/>
      <c r="J680" s="138"/>
      <c r="K680" s="138"/>
      <c r="L680" s="138"/>
      <c r="M680" s="138"/>
      <c r="N680" s="138"/>
      <c r="O680" s="139"/>
      <c r="P680" s="138"/>
      <c r="Q680" s="107"/>
      <c r="R680" s="107"/>
    </row>
    <row r="681" spans="1:18" ht="15" customHeight="1">
      <c r="A681" s="17" t="s">
        <v>61</v>
      </c>
      <c r="B681" s="17" t="s">
        <v>375</v>
      </c>
      <c r="C681" s="18" t="s">
        <v>553</v>
      </c>
      <c r="D681" s="17" t="s">
        <v>63</v>
      </c>
      <c r="E681" s="17" t="s">
        <v>636</v>
      </c>
      <c r="F681" s="17" t="s">
        <v>365</v>
      </c>
      <c r="G681" s="298"/>
      <c r="H681" s="138"/>
      <c r="I681" s="138"/>
      <c r="J681" s="138"/>
      <c r="K681" s="138"/>
      <c r="L681" s="138"/>
      <c r="M681" s="138"/>
      <c r="N681" s="138"/>
      <c r="O681" s="139"/>
      <c r="P681" s="138"/>
      <c r="Q681" s="107"/>
      <c r="R681" s="107"/>
    </row>
    <row r="682" spans="1:18" ht="15" customHeight="1">
      <c r="A682" s="17" t="s">
        <v>61</v>
      </c>
      <c r="B682" s="17" t="s">
        <v>379</v>
      </c>
      <c r="C682" s="18" t="s">
        <v>556</v>
      </c>
      <c r="D682" s="17" t="s">
        <v>63</v>
      </c>
      <c r="E682" s="17" t="s">
        <v>267</v>
      </c>
      <c r="F682" s="17" t="s">
        <v>365</v>
      </c>
      <c r="G682" s="298"/>
      <c r="H682" s="138"/>
      <c r="I682" s="138"/>
      <c r="J682" s="138"/>
      <c r="K682" s="138"/>
      <c r="L682" s="138"/>
      <c r="M682" s="138"/>
      <c r="N682" s="138"/>
      <c r="O682" s="139"/>
      <c r="P682" s="138"/>
      <c r="Q682" s="107"/>
      <c r="R682" s="107"/>
    </row>
    <row r="683" spans="1:18" ht="15" customHeight="1">
      <c r="A683" s="17" t="s">
        <v>26</v>
      </c>
      <c r="B683" s="17" t="s">
        <v>348</v>
      </c>
      <c r="C683" s="18" t="s">
        <v>595</v>
      </c>
      <c r="D683" s="17" t="s">
        <v>28</v>
      </c>
      <c r="E683" s="17" t="s">
        <v>277</v>
      </c>
      <c r="F683" s="17" t="s">
        <v>83</v>
      </c>
      <c r="G683" s="298"/>
      <c r="H683" s="138"/>
      <c r="I683" s="138"/>
      <c r="J683" s="138"/>
      <c r="K683" s="138"/>
      <c r="L683" s="138"/>
      <c r="M683" s="138"/>
      <c r="N683" s="138"/>
      <c r="O683" s="139"/>
      <c r="P683" s="138"/>
      <c r="Q683" s="107"/>
      <c r="R683" s="107"/>
    </row>
    <row r="684" spans="1:18" ht="15" customHeight="1" thickBot="1">
      <c r="A684" s="30" t="s">
        <v>26</v>
      </c>
      <c r="B684" s="30" t="s">
        <v>350</v>
      </c>
      <c r="C684" s="31" t="s">
        <v>596</v>
      </c>
      <c r="D684" s="30" t="s">
        <v>28</v>
      </c>
      <c r="E684" s="30" t="s">
        <v>286</v>
      </c>
      <c r="F684" s="30" t="s">
        <v>83</v>
      </c>
      <c r="G684" s="299"/>
      <c r="H684" s="140"/>
      <c r="I684" s="140"/>
      <c r="J684" s="140"/>
      <c r="K684" s="140"/>
      <c r="L684" s="140"/>
      <c r="M684" s="140"/>
      <c r="N684" s="140"/>
      <c r="O684" s="141"/>
      <c r="P684" s="140"/>
      <c r="Q684" s="142"/>
      <c r="R684" s="142"/>
    </row>
    <row r="685" spans="1:18" ht="17.45" customHeight="1" thickBot="1">
      <c r="A685" s="283"/>
      <c r="B685" s="284"/>
      <c r="C685" s="284"/>
      <c r="D685" s="284"/>
      <c r="E685" s="284"/>
      <c r="F685" s="284"/>
      <c r="G685" s="284"/>
      <c r="H685" s="284"/>
      <c r="I685" s="284"/>
      <c r="J685" s="284"/>
      <c r="K685" s="284"/>
      <c r="L685" s="284"/>
      <c r="M685" s="284"/>
      <c r="N685" s="284"/>
      <c r="O685" s="284"/>
      <c r="P685" s="284"/>
      <c r="Q685" s="284"/>
      <c r="R685" s="285"/>
    </row>
    <row r="686" spans="1:18" ht="22.15" customHeight="1" thickTop="1" thickBot="1">
      <c r="A686" s="279" t="s">
        <v>6</v>
      </c>
      <c r="B686" s="295"/>
      <c r="C686" s="295"/>
      <c r="D686" s="295"/>
      <c r="E686" s="295"/>
      <c r="F686" s="296"/>
      <c r="G686" s="32">
        <v>46052</v>
      </c>
      <c r="H686" s="278" t="s">
        <v>7</v>
      </c>
      <c r="I686" s="295"/>
      <c r="J686" s="295"/>
      <c r="K686" s="295"/>
      <c r="L686" s="295"/>
      <c r="M686" s="295"/>
      <c r="N686" s="295"/>
      <c r="O686" s="295"/>
      <c r="P686" s="295"/>
      <c r="Q686" s="295"/>
      <c r="R686" s="296"/>
    </row>
    <row r="687" spans="1:18" ht="24" customHeight="1">
      <c r="A687" s="33" t="s">
        <v>8</v>
      </c>
      <c r="B687" s="33" t="s">
        <v>9</v>
      </c>
      <c r="C687" s="34" t="s">
        <v>10</v>
      </c>
      <c r="D687" s="33" t="s">
        <v>11</v>
      </c>
      <c r="E687" s="33" t="s">
        <v>12</v>
      </c>
      <c r="F687" s="35" t="s">
        <v>13</v>
      </c>
      <c r="G687" s="36" t="s">
        <v>14</v>
      </c>
      <c r="H687" s="33" t="s">
        <v>15</v>
      </c>
      <c r="I687" s="37" t="s">
        <v>16</v>
      </c>
      <c r="J687" s="38" t="s">
        <v>17</v>
      </c>
      <c r="K687" s="39" t="s">
        <v>18</v>
      </c>
      <c r="L687" s="38" t="s">
        <v>19</v>
      </c>
      <c r="M687" s="38" t="s">
        <v>20</v>
      </c>
      <c r="N687" s="38" t="s">
        <v>21</v>
      </c>
      <c r="O687" s="33" t="s">
        <v>22</v>
      </c>
      <c r="P687" s="34" t="s">
        <v>23</v>
      </c>
      <c r="Q687" s="38" t="s">
        <v>24</v>
      </c>
      <c r="R687" s="33" t="s">
        <v>25</v>
      </c>
    </row>
    <row r="688" spans="1:18" ht="15" customHeight="1">
      <c r="A688" s="8" t="s">
        <v>359</v>
      </c>
      <c r="B688" s="8" t="s">
        <v>616</v>
      </c>
      <c r="C688" s="9">
        <v>1.041666666666667E-2</v>
      </c>
      <c r="D688" s="8" t="s">
        <v>603</v>
      </c>
      <c r="E688" s="8" t="s">
        <v>80</v>
      </c>
      <c r="F688" s="8" t="s">
        <v>682</v>
      </c>
      <c r="G688" s="302"/>
      <c r="H688" s="10"/>
      <c r="I688" s="11"/>
      <c r="J688" s="11"/>
      <c r="K688" s="11"/>
      <c r="L688" s="11"/>
      <c r="M688" s="11"/>
      <c r="N688" s="11"/>
      <c r="O688" s="12"/>
      <c r="P688" s="11"/>
      <c r="Q688" s="13"/>
      <c r="R688" s="14"/>
    </row>
    <row r="689" spans="1:18" ht="15" customHeight="1">
      <c r="A689" s="15" t="s">
        <v>359</v>
      </c>
      <c r="B689" s="15" t="s">
        <v>616</v>
      </c>
      <c r="C689" s="16">
        <v>1.041666666666667E-2</v>
      </c>
      <c r="D689" s="15" t="s">
        <v>605</v>
      </c>
      <c r="E689" s="15" t="s">
        <v>82</v>
      </c>
      <c r="F689" s="15" t="s">
        <v>683</v>
      </c>
      <c r="G689" s="298"/>
      <c r="H689" s="10"/>
      <c r="I689" s="11"/>
      <c r="J689" s="11"/>
      <c r="K689" s="11"/>
      <c r="L689" s="11"/>
      <c r="M689" s="11"/>
      <c r="N689" s="11"/>
      <c r="O689" s="12"/>
      <c r="P689" s="11"/>
      <c r="Q689" s="13"/>
      <c r="R689" s="14"/>
    </row>
    <row r="690" spans="1:18" ht="15" customHeight="1">
      <c r="A690" s="15" t="s">
        <v>359</v>
      </c>
      <c r="B690" s="15" t="s">
        <v>616</v>
      </c>
      <c r="C690" s="16">
        <v>1.041666666666667E-2</v>
      </c>
      <c r="D690" s="15" t="s">
        <v>46</v>
      </c>
      <c r="E690" s="15" t="s">
        <v>82</v>
      </c>
      <c r="F690" s="15" t="s">
        <v>684</v>
      </c>
      <c r="G690" s="298"/>
      <c r="H690" s="10"/>
      <c r="I690" s="11"/>
      <c r="J690" s="11"/>
      <c r="K690" s="11"/>
      <c r="L690" s="11"/>
      <c r="M690" s="11"/>
      <c r="N690" s="11"/>
      <c r="O690" s="12"/>
      <c r="P690" s="11"/>
      <c r="Q690" s="13"/>
      <c r="R690" s="14"/>
    </row>
    <row r="691" spans="1:18" ht="15" customHeight="1">
      <c r="A691" s="58" t="s">
        <v>61</v>
      </c>
      <c r="B691" s="58" t="s">
        <v>612</v>
      </c>
      <c r="C691" s="59">
        <v>0.22916666666666671</v>
      </c>
      <c r="D691" s="58" t="s">
        <v>63</v>
      </c>
      <c r="E691" s="58" t="s">
        <v>51</v>
      </c>
      <c r="F691" s="58" t="s">
        <v>513</v>
      </c>
      <c r="G691" s="298"/>
      <c r="H691" s="60" t="s">
        <v>613</v>
      </c>
      <c r="I691" s="61">
        <v>5.5999999999999999E-3</v>
      </c>
      <c r="J691" s="62">
        <v>1</v>
      </c>
      <c r="K691" s="63">
        <v>46328</v>
      </c>
      <c r="L691" s="62">
        <v>1</v>
      </c>
      <c r="M691" s="62">
        <v>0</v>
      </c>
      <c r="N691" s="62">
        <v>0</v>
      </c>
      <c r="O691" s="64" t="s">
        <v>514</v>
      </c>
      <c r="P691" s="65">
        <v>0.22916666666666671</v>
      </c>
      <c r="Q691" s="62">
        <v>180</v>
      </c>
      <c r="R691" s="66" t="s">
        <v>686</v>
      </c>
    </row>
    <row r="692" spans="1:18" ht="15" customHeight="1">
      <c r="A692" s="19" t="s">
        <v>48</v>
      </c>
      <c r="B692" s="19" t="s">
        <v>611</v>
      </c>
      <c r="C692" s="20">
        <v>0.81944444444444453</v>
      </c>
      <c r="D692" s="19" t="s">
        <v>53</v>
      </c>
      <c r="E692" s="19" t="s">
        <v>51</v>
      </c>
      <c r="F692" s="19" t="s">
        <v>681</v>
      </c>
      <c r="G692" s="298"/>
      <c r="H692" s="10"/>
      <c r="I692" s="11"/>
      <c r="J692" s="11"/>
      <c r="K692" s="11"/>
      <c r="L692" s="11"/>
      <c r="M692" s="11"/>
      <c r="N692" s="11"/>
      <c r="O692" s="12"/>
      <c r="P692" s="11"/>
      <c r="Q692" s="13"/>
      <c r="R692" s="14"/>
    </row>
    <row r="693" spans="1:18" ht="18">
      <c r="A693" s="292" t="s">
        <v>615</v>
      </c>
      <c r="B693" s="303"/>
      <c r="C693" s="303"/>
      <c r="D693" s="303"/>
      <c r="E693" s="303"/>
      <c r="F693" s="304"/>
      <c r="G693" s="298"/>
      <c r="H693" s="138"/>
      <c r="I693" s="138"/>
      <c r="J693" s="138"/>
      <c r="K693" s="138"/>
      <c r="L693" s="138"/>
      <c r="M693" s="138"/>
      <c r="N693" s="138"/>
      <c r="O693" s="139"/>
      <c r="P693" s="138"/>
      <c r="Q693" s="107"/>
      <c r="R693" s="107"/>
    </row>
    <row r="694" spans="1:18" ht="15" customHeight="1">
      <c r="A694" s="17" t="s">
        <v>38</v>
      </c>
      <c r="B694" s="17" t="s">
        <v>342</v>
      </c>
      <c r="C694" s="18" t="s">
        <v>592</v>
      </c>
      <c r="D694" s="17" t="s">
        <v>40</v>
      </c>
      <c r="E694" s="17" t="s">
        <v>308</v>
      </c>
      <c r="F694" s="17" t="s">
        <v>81</v>
      </c>
      <c r="G694" s="298"/>
      <c r="H694" s="138"/>
      <c r="I694" s="138"/>
      <c r="J694" s="138"/>
      <c r="K694" s="138"/>
      <c r="L694" s="138"/>
      <c r="M694" s="138"/>
      <c r="N694" s="138"/>
      <c r="O694" s="139"/>
      <c r="P694" s="138"/>
      <c r="Q694" s="107"/>
      <c r="R694" s="107"/>
    </row>
    <row r="695" spans="1:18" ht="15" customHeight="1">
      <c r="A695" s="17" t="s">
        <v>38</v>
      </c>
      <c r="B695" s="17" t="s">
        <v>346</v>
      </c>
      <c r="C695" s="18" t="s">
        <v>600</v>
      </c>
      <c r="D695" s="17" t="s">
        <v>40</v>
      </c>
      <c r="E695" s="17" t="s">
        <v>268</v>
      </c>
      <c r="F695" s="17" t="s">
        <v>347</v>
      </c>
      <c r="G695" s="298"/>
      <c r="H695" s="138"/>
      <c r="I695" s="138"/>
      <c r="J695" s="138"/>
      <c r="K695" s="138"/>
      <c r="L695" s="138"/>
      <c r="M695" s="138"/>
      <c r="N695" s="138"/>
      <c r="O695" s="139"/>
      <c r="P695" s="138"/>
      <c r="Q695" s="107"/>
      <c r="R695" s="107"/>
    </row>
    <row r="696" spans="1:18" ht="15" customHeight="1">
      <c r="A696" s="17" t="s">
        <v>38</v>
      </c>
      <c r="B696" s="17" t="s">
        <v>344</v>
      </c>
      <c r="C696" s="18" t="s">
        <v>593</v>
      </c>
      <c r="D696" s="17" t="s">
        <v>40</v>
      </c>
      <c r="E696" s="17" t="s">
        <v>268</v>
      </c>
      <c r="F696" s="17" t="s">
        <v>347</v>
      </c>
      <c r="G696" s="298"/>
      <c r="H696" s="138"/>
      <c r="I696" s="138"/>
      <c r="J696" s="138"/>
      <c r="K696" s="138"/>
      <c r="L696" s="138"/>
      <c r="M696" s="138"/>
      <c r="N696" s="138"/>
      <c r="O696" s="139"/>
      <c r="P696" s="138"/>
      <c r="Q696" s="107"/>
      <c r="R696" s="107"/>
    </row>
    <row r="697" spans="1:18" ht="15" customHeight="1">
      <c r="A697" s="17" t="s">
        <v>38</v>
      </c>
      <c r="B697" s="17" t="s">
        <v>345</v>
      </c>
      <c r="C697" s="18" t="s">
        <v>594</v>
      </c>
      <c r="D697" s="17" t="s">
        <v>40</v>
      </c>
      <c r="E697" s="17" t="s">
        <v>268</v>
      </c>
      <c r="F697" s="17" t="s">
        <v>347</v>
      </c>
      <c r="G697" s="298"/>
      <c r="H697" s="138"/>
      <c r="I697" s="138"/>
      <c r="J697" s="138"/>
      <c r="K697" s="138"/>
      <c r="L697" s="138"/>
      <c r="M697" s="138"/>
      <c r="N697" s="138"/>
      <c r="O697" s="139"/>
      <c r="P697" s="138"/>
      <c r="Q697" s="107"/>
      <c r="R697" s="107"/>
    </row>
    <row r="698" spans="1:18" ht="15" customHeight="1">
      <c r="A698" s="17" t="s">
        <v>359</v>
      </c>
      <c r="B698" s="17" t="s">
        <v>422</v>
      </c>
      <c r="C698" s="18" t="s">
        <v>618</v>
      </c>
      <c r="D698" s="17" t="s">
        <v>361</v>
      </c>
      <c r="E698" s="17" t="s">
        <v>270</v>
      </c>
      <c r="F698" s="17" t="s">
        <v>534</v>
      </c>
      <c r="G698" s="298"/>
      <c r="H698" s="138"/>
      <c r="I698" s="138"/>
      <c r="J698" s="138"/>
      <c r="K698" s="138"/>
      <c r="L698" s="138"/>
      <c r="M698" s="138"/>
      <c r="N698" s="138"/>
      <c r="O698" s="139"/>
      <c r="P698" s="138"/>
      <c r="Q698" s="107"/>
      <c r="R698" s="107"/>
    </row>
    <row r="699" spans="1:18" ht="15" customHeight="1">
      <c r="A699" s="17" t="s">
        <v>359</v>
      </c>
      <c r="B699" s="17" t="s">
        <v>360</v>
      </c>
      <c r="C699" s="18" t="s">
        <v>619</v>
      </c>
      <c r="D699" s="17" t="s">
        <v>361</v>
      </c>
      <c r="E699" s="17" t="s">
        <v>270</v>
      </c>
      <c r="F699" s="17" t="s">
        <v>534</v>
      </c>
      <c r="G699" s="298"/>
      <c r="H699" s="138"/>
      <c r="I699" s="138"/>
      <c r="J699" s="138"/>
      <c r="K699" s="138"/>
      <c r="L699" s="138"/>
      <c r="M699" s="138"/>
      <c r="N699" s="138"/>
      <c r="O699" s="139"/>
      <c r="P699" s="138"/>
      <c r="Q699" s="107"/>
      <c r="R699" s="107"/>
    </row>
    <row r="700" spans="1:18" ht="15" customHeight="1">
      <c r="A700" s="17" t="s">
        <v>359</v>
      </c>
      <c r="B700" s="17" t="s">
        <v>425</v>
      </c>
      <c r="C700" s="18" t="s">
        <v>620</v>
      </c>
      <c r="D700" s="17" t="s">
        <v>361</v>
      </c>
      <c r="E700" s="17" t="s">
        <v>270</v>
      </c>
      <c r="F700" s="17" t="s">
        <v>534</v>
      </c>
      <c r="G700" s="298"/>
      <c r="H700" s="138"/>
      <c r="I700" s="138"/>
      <c r="J700" s="138"/>
      <c r="K700" s="138"/>
      <c r="L700" s="138"/>
      <c r="M700" s="138"/>
      <c r="N700" s="138"/>
      <c r="O700" s="139"/>
      <c r="P700" s="138"/>
      <c r="Q700" s="107"/>
      <c r="R700" s="107"/>
    </row>
    <row r="701" spans="1:18" ht="15" customHeight="1">
      <c r="A701" s="17" t="s">
        <v>61</v>
      </c>
      <c r="B701" s="17" t="s">
        <v>428</v>
      </c>
      <c r="C701" s="18" t="s">
        <v>564</v>
      </c>
      <c r="D701" s="17" t="s">
        <v>63</v>
      </c>
      <c r="E701" s="17" t="s">
        <v>294</v>
      </c>
      <c r="F701" s="17" t="s">
        <v>365</v>
      </c>
      <c r="G701" s="298"/>
      <c r="H701" s="138"/>
      <c r="I701" s="138"/>
      <c r="J701" s="138"/>
      <c r="K701" s="138"/>
      <c r="L701" s="138"/>
      <c r="M701" s="138"/>
      <c r="N701" s="138"/>
      <c r="O701" s="139"/>
      <c r="P701" s="138"/>
      <c r="Q701" s="107"/>
      <c r="R701" s="107"/>
    </row>
    <row r="702" spans="1:18" ht="15" customHeight="1">
      <c r="A702" s="17" t="s">
        <v>61</v>
      </c>
      <c r="B702" s="17" t="s">
        <v>377</v>
      </c>
      <c r="C702" s="18" t="s">
        <v>562</v>
      </c>
      <c r="D702" s="17" t="s">
        <v>63</v>
      </c>
      <c r="E702" s="17" t="s">
        <v>288</v>
      </c>
      <c r="F702" s="17" t="s">
        <v>365</v>
      </c>
      <c r="G702" s="298"/>
      <c r="H702" s="138"/>
      <c r="I702" s="138"/>
      <c r="J702" s="138"/>
      <c r="K702" s="138"/>
      <c r="L702" s="138"/>
      <c r="M702" s="138"/>
      <c r="N702" s="138"/>
      <c r="O702" s="139"/>
      <c r="P702" s="138"/>
      <c r="Q702" s="107"/>
      <c r="R702" s="107"/>
    </row>
    <row r="703" spans="1:18" ht="15" customHeight="1" thickBot="1">
      <c r="A703" s="30" t="s">
        <v>61</v>
      </c>
      <c r="B703" s="30" t="s">
        <v>379</v>
      </c>
      <c r="C703" s="31" t="s">
        <v>563</v>
      </c>
      <c r="D703" s="30" t="s">
        <v>63</v>
      </c>
      <c r="E703" s="30" t="s">
        <v>288</v>
      </c>
      <c r="F703" s="30" t="s">
        <v>365</v>
      </c>
      <c r="G703" s="299"/>
      <c r="H703" s="140"/>
      <c r="I703" s="140"/>
      <c r="J703" s="140"/>
      <c r="K703" s="140"/>
      <c r="L703" s="140"/>
      <c r="M703" s="140"/>
      <c r="N703" s="140"/>
      <c r="O703" s="141"/>
      <c r="P703" s="140"/>
      <c r="Q703" s="142"/>
      <c r="R703" s="142"/>
    </row>
    <row r="704" spans="1:18" ht="17.45" customHeight="1" thickBot="1">
      <c r="A704" s="283"/>
      <c r="B704" s="284"/>
      <c r="C704" s="284"/>
      <c r="D704" s="284"/>
      <c r="E704" s="284"/>
      <c r="F704" s="284"/>
      <c r="G704" s="284"/>
      <c r="H704" s="284"/>
      <c r="I704" s="284"/>
      <c r="J704" s="284"/>
      <c r="K704" s="284"/>
      <c r="L704" s="284"/>
      <c r="M704" s="284"/>
      <c r="N704" s="284"/>
      <c r="O704" s="284"/>
      <c r="P704" s="284"/>
      <c r="Q704" s="284"/>
      <c r="R704" s="285"/>
    </row>
    <row r="705" spans="1:18" ht="22.15" customHeight="1" thickTop="1" thickBot="1">
      <c r="A705" s="279" t="s">
        <v>6</v>
      </c>
      <c r="B705" s="295"/>
      <c r="C705" s="295"/>
      <c r="D705" s="295"/>
      <c r="E705" s="295"/>
      <c r="F705" s="296"/>
      <c r="G705" s="32">
        <v>46053</v>
      </c>
      <c r="H705" s="278" t="s">
        <v>7</v>
      </c>
      <c r="I705" s="295"/>
      <c r="J705" s="295"/>
      <c r="K705" s="295"/>
      <c r="L705" s="295"/>
      <c r="M705" s="295"/>
      <c r="N705" s="295"/>
      <c r="O705" s="295"/>
      <c r="P705" s="295"/>
      <c r="Q705" s="295"/>
      <c r="R705" s="296"/>
    </row>
    <row r="706" spans="1:18" ht="24" customHeight="1">
      <c r="A706" s="33" t="s">
        <v>8</v>
      </c>
      <c r="B706" s="33" t="s">
        <v>9</v>
      </c>
      <c r="C706" s="34" t="s">
        <v>10</v>
      </c>
      <c r="D706" s="33" t="s">
        <v>11</v>
      </c>
      <c r="E706" s="33" t="s">
        <v>12</v>
      </c>
      <c r="F706" s="35" t="s">
        <v>13</v>
      </c>
      <c r="G706" s="36" t="s">
        <v>14</v>
      </c>
      <c r="H706" s="33" t="s">
        <v>15</v>
      </c>
      <c r="I706" s="37" t="s">
        <v>16</v>
      </c>
      <c r="J706" s="38" t="s">
        <v>17</v>
      </c>
      <c r="K706" s="39" t="s">
        <v>18</v>
      </c>
      <c r="L706" s="38" t="s">
        <v>19</v>
      </c>
      <c r="M706" s="38" t="s">
        <v>20</v>
      </c>
      <c r="N706" s="38" t="s">
        <v>21</v>
      </c>
      <c r="O706" s="33" t="s">
        <v>22</v>
      </c>
      <c r="P706" s="34" t="s">
        <v>23</v>
      </c>
      <c r="Q706" s="38" t="s">
        <v>24</v>
      </c>
      <c r="R706" s="33" t="s">
        <v>25</v>
      </c>
    </row>
    <row r="707" spans="1:18" ht="15" customHeight="1">
      <c r="A707" s="8" t="s">
        <v>359</v>
      </c>
      <c r="B707" s="8" t="s">
        <v>602</v>
      </c>
      <c r="C707" s="9">
        <v>0.3611111111111111</v>
      </c>
      <c r="D707" s="8" t="s">
        <v>603</v>
      </c>
      <c r="E707" s="8" t="s">
        <v>80</v>
      </c>
      <c r="F707" s="8" t="s">
        <v>682</v>
      </c>
      <c r="G707" s="302"/>
      <c r="H707" s="10"/>
      <c r="I707" s="11"/>
      <c r="J707" s="11"/>
      <c r="K707" s="11"/>
      <c r="L707" s="11"/>
      <c r="M707" s="11"/>
      <c r="N707" s="11"/>
      <c r="O707" s="12"/>
      <c r="P707" s="11"/>
      <c r="Q707" s="13"/>
      <c r="R707" s="14"/>
    </row>
    <row r="708" spans="1:18" ht="15" customHeight="1">
      <c r="A708" s="15" t="s">
        <v>359</v>
      </c>
      <c r="B708" s="15" t="s">
        <v>602</v>
      </c>
      <c r="C708" s="16">
        <v>0.3611111111111111</v>
      </c>
      <c r="D708" s="15" t="s">
        <v>605</v>
      </c>
      <c r="E708" s="15" t="s">
        <v>82</v>
      </c>
      <c r="F708" s="15" t="s">
        <v>683</v>
      </c>
      <c r="G708" s="298"/>
      <c r="H708" s="10"/>
      <c r="I708" s="11"/>
      <c r="J708" s="11"/>
      <c r="K708" s="11"/>
      <c r="L708" s="11"/>
      <c r="M708" s="11"/>
      <c r="N708" s="11"/>
      <c r="O708" s="12"/>
      <c r="P708" s="11"/>
      <c r="Q708" s="13"/>
      <c r="R708" s="14"/>
    </row>
    <row r="709" spans="1:18" ht="15" customHeight="1">
      <c r="A709" s="15" t="s">
        <v>359</v>
      </c>
      <c r="B709" s="15" t="s">
        <v>602</v>
      </c>
      <c r="C709" s="16">
        <v>0.3611111111111111</v>
      </c>
      <c r="D709" s="15" t="s">
        <v>46</v>
      </c>
      <c r="E709" s="15" t="s">
        <v>82</v>
      </c>
      <c r="F709" s="15" t="s">
        <v>684</v>
      </c>
      <c r="G709" s="298"/>
      <c r="H709" s="10"/>
      <c r="I709" s="11"/>
      <c r="J709" s="11"/>
      <c r="K709" s="11"/>
      <c r="L709" s="11"/>
      <c r="M709" s="11"/>
      <c r="N709" s="11"/>
      <c r="O709" s="12"/>
      <c r="P709" s="11"/>
      <c r="Q709" s="13"/>
      <c r="R709" s="14"/>
    </row>
    <row r="710" spans="1:18" ht="15" customHeight="1">
      <c r="A710" s="17" t="s">
        <v>359</v>
      </c>
      <c r="B710" s="17" t="s">
        <v>628</v>
      </c>
      <c r="C710" s="18">
        <v>2.777777777777778E-2</v>
      </c>
      <c r="D710" s="17" t="s">
        <v>603</v>
      </c>
      <c r="E710" s="17" t="s">
        <v>90</v>
      </c>
      <c r="F710" s="17" t="s">
        <v>682</v>
      </c>
      <c r="G710" s="298"/>
      <c r="H710" s="10"/>
      <c r="I710" s="11"/>
      <c r="J710" s="11"/>
      <c r="K710" s="11"/>
      <c r="L710" s="11"/>
      <c r="M710" s="11"/>
      <c r="N710" s="11"/>
      <c r="O710" s="12"/>
      <c r="P710" s="11"/>
      <c r="Q710" s="13"/>
      <c r="R710" s="14"/>
    </row>
    <row r="711" spans="1:18" ht="15" customHeight="1">
      <c r="A711" s="15" t="s">
        <v>359</v>
      </c>
      <c r="B711" s="15" t="s">
        <v>628</v>
      </c>
      <c r="C711" s="16">
        <v>2.777777777777778E-2</v>
      </c>
      <c r="D711" s="15" t="s">
        <v>605</v>
      </c>
      <c r="E711" s="15" t="s">
        <v>82</v>
      </c>
      <c r="F711" s="15" t="s">
        <v>683</v>
      </c>
      <c r="G711" s="298"/>
      <c r="H711" s="10"/>
      <c r="I711" s="11"/>
      <c r="J711" s="11"/>
      <c r="K711" s="11"/>
      <c r="L711" s="11"/>
      <c r="M711" s="11"/>
      <c r="N711" s="11"/>
      <c r="O711" s="12"/>
      <c r="P711" s="11"/>
      <c r="Q711" s="13"/>
      <c r="R711" s="14"/>
    </row>
    <row r="712" spans="1:18" ht="15" customHeight="1">
      <c r="A712" s="15" t="s">
        <v>359</v>
      </c>
      <c r="B712" s="15" t="s">
        <v>628</v>
      </c>
      <c r="C712" s="16">
        <v>2.777777777777778E-2</v>
      </c>
      <c r="D712" s="15" t="s">
        <v>46</v>
      </c>
      <c r="E712" s="15" t="s">
        <v>82</v>
      </c>
      <c r="F712" s="15" t="s">
        <v>684</v>
      </c>
      <c r="G712" s="298"/>
      <c r="H712" s="10"/>
      <c r="I712" s="11"/>
      <c r="J712" s="11"/>
      <c r="K712" s="11"/>
      <c r="L712" s="11"/>
      <c r="M712" s="11"/>
      <c r="N712" s="11"/>
      <c r="O712" s="12"/>
      <c r="P712" s="11"/>
      <c r="Q712" s="13"/>
      <c r="R712" s="14"/>
    </row>
    <row r="713" spans="1:18" ht="15" customHeight="1">
      <c r="A713" s="19" t="s">
        <v>38</v>
      </c>
      <c r="B713" s="19" t="s">
        <v>621</v>
      </c>
      <c r="C713" s="20">
        <v>0.3611111111111111</v>
      </c>
      <c r="D713" s="19" t="s">
        <v>622</v>
      </c>
      <c r="E713" s="19" t="s">
        <v>120</v>
      </c>
      <c r="F713" s="19" t="s">
        <v>121</v>
      </c>
      <c r="G713" s="298"/>
      <c r="H713" s="10"/>
      <c r="I713" s="11"/>
      <c r="J713" s="11"/>
      <c r="K713" s="11"/>
      <c r="L713" s="11"/>
      <c r="M713" s="11"/>
      <c r="N713" s="11"/>
      <c r="O713" s="12"/>
      <c r="P713" s="11"/>
      <c r="Q713" s="13"/>
      <c r="R713" s="14"/>
    </row>
    <row r="714" spans="1:18" ht="15" customHeight="1">
      <c r="A714" s="15" t="s">
        <v>38</v>
      </c>
      <c r="B714" s="15" t="s">
        <v>621</v>
      </c>
      <c r="C714" s="16">
        <v>0.3611111111111111</v>
      </c>
      <c r="D714" s="15" t="s">
        <v>603</v>
      </c>
      <c r="E714" s="15" t="s">
        <v>122</v>
      </c>
      <c r="F714" s="15" t="s">
        <v>623</v>
      </c>
      <c r="G714" s="298"/>
      <c r="H714" s="10"/>
      <c r="I714" s="11"/>
      <c r="J714" s="11"/>
      <c r="K714" s="11"/>
      <c r="L714" s="11"/>
      <c r="M714" s="11"/>
      <c r="N714" s="11"/>
      <c r="O714" s="12"/>
      <c r="P714" s="11"/>
      <c r="Q714" s="13"/>
      <c r="R714" s="14"/>
    </row>
    <row r="715" spans="1:18" ht="15" customHeight="1">
      <c r="A715" s="15" t="s">
        <v>38</v>
      </c>
      <c r="B715" s="15" t="s">
        <v>621</v>
      </c>
      <c r="C715" s="16">
        <v>0.3611111111111111</v>
      </c>
      <c r="D715" s="15" t="s">
        <v>605</v>
      </c>
      <c r="E715" s="15" t="s">
        <v>122</v>
      </c>
      <c r="F715" s="15" t="s">
        <v>624</v>
      </c>
      <c r="G715" s="298"/>
      <c r="H715" s="10"/>
      <c r="I715" s="11"/>
      <c r="J715" s="11"/>
      <c r="K715" s="11"/>
      <c r="L715" s="11"/>
      <c r="M715" s="11"/>
      <c r="N715" s="11"/>
      <c r="O715" s="12"/>
      <c r="P715" s="11"/>
      <c r="Q715" s="13"/>
      <c r="R715" s="14"/>
    </row>
    <row r="716" spans="1:18" ht="15" customHeight="1">
      <c r="A716" s="15" t="s">
        <v>38</v>
      </c>
      <c r="B716" s="15" t="s">
        <v>621</v>
      </c>
      <c r="C716" s="16">
        <v>0.3611111111111111</v>
      </c>
      <c r="D716" s="15" t="s">
        <v>625</v>
      </c>
      <c r="E716" s="15" t="s">
        <v>122</v>
      </c>
      <c r="F716" s="15" t="s">
        <v>163</v>
      </c>
      <c r="G716" s="298"/>
      <c r="H716" s="10"/>
      <c r="I716" s="11"/>
      <c r="J716" s="11"/>
      <c r="K716" s="11"/>
      <c r="L716" s="11"/>
      <c r="M716" s="11"/>
      <c r="N716" s="11"/>
      <c r="O716" s="12"/>
      <c r="P716" s="11"/>
      <c r="Q716" s="13"/>
      <c r="R716" s="14"/>
    </row>
    <row r="717" spans="1:18" ht="15" customHeight="1">
      <c r="A717" s="49" t="s">
        <v>61</v>
      </c>
      <c r="B717" s="49" t="s">
        <v>612</v>
      </c>
      <c r="C717" s="50">
        <v>0.60416666666666663</v>
      </c>
      <c r="D717" s="49" t="s">
        <v>63</v>
      </c>
      <c r="E717" s="49" t="s">
        <v>107</v>
      </c>
      <c r="F717" s="49" t="s">
        <v>79</v>
      </c>
      <c r="G717" s="298"/>
      <c r="H717" s="51" t="s">
        <v>613</v>
      </c>
      <c r="I717" s="52">
        <v>2.2200000000000001E-2</v>
      </c>
      <c r="J717" s="53">
        <v>4</v>
      </c>
      <c r="K717" s="54">
        <v>46341</v>
      </c>
      <c r="L717" s="53">
        <v>4</v>
      </c>
      <c r="M717" s="53">
        <v>0</v>
      </c>
      <c r="N717" s="53">
        <v>0</v>
      </c>
      <c r="O717" s="55" t="s">
        <v>299</v>
      </c>
      <c r="P717" s="56">
        <v>0.60416666666666663</v>
      </c>
      <c r="Q717" s="53">
        <v>180</v>
      </c>
      <c r="R717" s="57" t="s">
        <v>307</v>
      </c>
    </row>
    <row r="718" spans="1:18" ht="15" customHeight="1">
      <c r="A718" s="158" t="s">
        <v>61</v>
      </c>
      <c r="B718" s="158" t="s">
        <v>629</v>
      </c>
      <c r="C718" s="159">
        <v>0.27083333333333331</v>
      </c>
      <c r="D718" s="158" t="s">
        <v>63</v>
      </c>
      <c r="E718" s="158" t="s">
        <v>57</v>
      </c>
      <c r="F718" s="158" t="s">
        <v>79</v>
      </c>
      <c r="G718" s="298"/>
      <c r="H718" s="89" t="s">
        <v>630</v>
      </c>
      <c r="I718" s="90">
        <v>0</v>
      </c>
      <c r="J718" s="91">
        <v>0</v>
      </c>
      <c r="K718" s="92" t="s">
        <v>66</v>
      </c>
      <c r="L718" s="91">
        <v>0</v>
      </c>
      <c r="M718" s="91">
        <v>0</v>
      </c>
      <c r="N718" s="91">
        <v>0</v>
      </c>
      <c r="O718" s="93" t="s">
        <v>292</v>
      </c>
      <c r="P718" s="94">
        <v>0.27083333333333331</v>
      </c>
      <c r="Q718" s="91">
        <v>180</v>
      </c>
      <c r="R718" s="95" t="s">
        <v>66</v>
      </c>
    </row>
    <row r="719" spans="1:18" ht="15" customHeight="1">
      <c r="A719" s="19" t="s">
        <v>48</v>
      </c>
      <c r="B719" s="19" t="s">
        <v>609</v>
      </c>
      <c r="C719" s="20">
        <v>0.4513888888888889</v>
      </c>
      <c r="D719" s="19" t="s">
        <v>53</v>
      </c>
      <c r="E719" s="19" t="s">
        <v>51</v>
      </c>
      <c r="F719" s="19" t="s">
        <v>681</v>
      </c>
      <c r="G719" s="298"/>
      <c r="H719" s="10"/>
      <c r="I719" s="11"/>
      <c r="J719" s="11"/>
      <c r="K719" s="11"/>
      <c r="L719" s="11"/>
      <c r="M719" s="11"/>
      <c r="N719" s="11"/>
      <c r="O719" s="12"/>
      <c r="P719" s="11"/>
      <c r="Q719" s="13"/>
      <c r="R719" s="14"/>
    </row>
    <row r="720" spans="1:18" ht="15" customHeight="1">
      <c r="A720" s="17" t="s">
        <v>48</v>
      </c>
      <c r="B720" s="17" t="s">
        <v>611</v>
      </c>
      <c r="C720" s="18">
        <v>0.81944444444444453</v>
      </c>
      <c r="D720" s="17" t="s">
        <v>53</v>
      </c>
      <c r="E720" s="17" t="s">
        <v>57</v>
      </c>
      <c r="F720" s="17" t="s">
        <v>681</v>
      </c>
      <c r="G720" s="298"/>
      <c r="H720" s="10"/>
      <c r="I720" s="11"/>
      <c r="J720" s="11"/>
      <c r="K720" s="11"/>
      <c r="L720" s="11"/>
      <c r="M720" s="11"/>
      <c r="N720" s="11"/>
      <c r="O720" s="12"/>
      <c r="P720" s="11"/>
      <c r="Q720" s="13"/>
      <c r="R720" s="14"/>
    </row>
    <row r="721" spans="1:18" ht="18">
      <c r="A721" s="292" t="s">
        <v>615</v>
      </c>
      <c r="B721" s="303"/>
      <c r="C721" s="303"/>
      <c r="D721" s="303"/>
      <c r="E721" s="303"/>
      <c r="F721" s="304"/>
      <c r="G721" s="298"/>
      <c r="H721" s="138"/>
      <c r="I721" s="138"/>
      <c r="J721" s="138"/>
      <c r="K721" s="138"/>
      <c r="L721" s="138"/>
      <c r="M721" s="138"/>
      <c r="N721" s="138"/>
      <c r="O721" s="139"/>
      <c r="P721" s="138"/>
      <c r="Q721" s="107"/>
      <c r="R721" s="107"/>
    </row>
    <row r="722" spans="1:18" ht="15" customHeight="1">
      <c r="A722" s="17" t="s">
        <v>38</v>
      </c>
      <c r="B722" s="17" t="s">
        <v>342</v>
      </c>
      <c r="C722" s="18" t="s">
        <v>592</v>
      </c>
      <c r="D722" s="17" t="s">
        <v>40</v>
      </c>
      <c r="E722" s="17" t="s">
        <v>312</v>
      </c>
      <c r="F722" s="17" t="s">
        <v>30</v>
      </c>
      <c r="G722" s="298"/>
      <c r="H722" s="138"/>
      <c r="I722" s="138"/>
      <c r="J722" s="138"/>
      <c r="K722" s="138"/>
      <c r="L722" s="138"/>
      <c r="M722" s="138"/>
      <c r="N722" s="138"/>
      <c r="O722" s="139"/>
      <c r="P722" s="138"/>
      <c r="Q722" s="107"/>
      <c r="R722" s="107"/>
    </row>
    <row r="723" spans="1:18" ht="15" customHeight="1">
      <c r="A723" s="17" t="s">
        <v>38</v>
      </c>
      <c r="B723" s="17" t="s">
        <v>346</v>
      </c>
      <c r="C723" s="18" t="s">
        <v>600</v>
      </c>
      <c r="D723" s="17" t="s">
        <v>40</v>
      </c>
      <c r="E723" s="17" t="s">
        <v>284</v>
      </c>
      <c r="F723" s="17" t="s">
        <v>347</v>
      </c>
      <c r="G723" s="298"/>
      <c r="H723" s="138"/>
      <c r="I723" s="138"/>
      <c r="J723" s="138"/>
      <c r="K723" s="138"/>
      <c r="L723" s="138"/>
      <c r="M723" s="138"/>
      <c r="N723" s="138"/>
      <c r="O723" s="139"/>
      <c r="P723" s="138"/>
      <c r="Q723" s="107"/>
      <c r="R723" s="107"/>
    </row>
    <row r="724" spans="1:18" ht="15" customHeight="1">
      <c r="A724" s="17" t="s">
        <v>38</v>
      </c>
      <c r="B724" s="17" t="s">
        <v>344</v>
      </c>
      <c r="C724" s="18" t="s">
        <v>593</v>
      </c>
      <c r="D724" s="17" t="s">
        <v>40</v>
      </c>
      <c r="E724" s="17" t="s">
        <v>268</v>
      </c>
      <c r="F724" s="17" t="s">
        <v>347</v>
      </c>
      <c r="G724" s="298"/>
      <c r="H724" s="138"/>
      <c r="I724" s="138"/>
      <c r="J724" s="138"/>
      <c r="K724" s="138"/>
      <c r="L724" s="138"/>
      <c r="M724" s="138"/>
      <c r="N724" s="138"/>
      <c r="O724" s="139"/>
      <c r="P724" s="138"/>
      <c r="Q724" s="107"/>
      <c r="R724" s="107"/>
    </row>
    <row r="725" spans="1:18" ht="15" customHeight="1">
      <c r="A725" s="17" t="s">
        <v>38</v>
      </c>
      <c r="B725" s="17" t="s">
        <v>345</v>
      </c>
      <c r="C725" s="18" t="s">
        <v>594</v>
      </c>
      <c r="D725" s="17" t="s">
        <v>40</v>
      </c>
      <c r="E725" s="17" t="s">
        <v>293</v>
      </c>
      <c r="F725" s="17" t="s">
        <v>347</v>
      </c>
      <c r="G725" s="298"/>
      <c r="H725" s="138"/>
      <c r="I725" s="138"/>
      <c r="J725" s="138"/>
      <c r="K725" s="138"/>
      <c r="L725" s="138"/>
      <c r="M725" s="138"/>
      <c r="N725" s="138"/>
      <c r="O725" s="139"/>
      <c r="P725" s="138"/>
      <c r="Q725" s="107"/>
      <c r="R725" s="107"/>
    </row>
    <row r="726" spans="1:18" ht="15" customHeight="1">
      <c r="A726" s="17" t="s">
        <v>359</v>
      </c>
      <c r="B726" s="17" t="s">
        <v>360</v>
      </c>
      <c r="C726" s="18" t="s">
        <v>599</v>
      </c>
      <c r="D726" s="17" t="s">
        <v>361</v>
      </c>
      <c r="E726" s="17" t="s">
        <v>270</v>
      </c>
      <c r="F726" s="17" t="s">
        <v>534</v>
      </c>
      <c r="G726" s="298"/>
      <c r="H726" s="138"/>
      <c r="I726" s="138"/>
      <c r="J726" s="138"/>
      <c r="K726" s="138"/>
      <c r="L726" s="138"/>
      <c r="M726" s="138"/>
      <c r="N726" s="138"/>
      <c r="O726" s="139"/>
      <c r="P726" s="138"/>
      <c r="Q726" s="107"/>
      <c r="R726" s="107"/>
    </row>
    <row r="727" spans="1:18" ht="15" customHeight="1">
      <c r="A727" s="17" t="s">
        <v>359</v>
      </c>
      <c r="B727" s="17" t="s">
        <v>445</v>
      </c>
      <c r="C727" s="18" t="s">
        <v>635</v>
      </c>
      <c r="D727" s="17" t="s">
        <v>361</v>
      </c>
      <c r="E727" s="17" t="s">
        <v>270</v>
      </c>
      <c r="F727" s="17" t="s">
        <v>534</v>
      </c>
      <c r="G727" s="298"/>
      <c r="H727" s="138"/>
      <c r="I727" s="138"/>
      <c r="J727" s="138"/>
      <c r="K727" s="138"/>
      <c r="L727" s="138"/>
      <c r="M727" s="138"/>
      <c r="N727" s="138"/>
      <c r="O727" s="139"/>
      <c r="P727" s="138"/>
      <c r="Q727" s="107"/>
      <c r="R727" s="107"/>
    </row>
    <row r="728" spans="1:18" ht="15" customHeight="1">
      <c r="A728" s="17" t="s">
        <v>61</v>
      </c>
      <c r="B728" s="17" t="s">
        <v>371</v>
      </c>
      <c r="C728" s="18" t="s">
        <v>566</v>
      </c>
      <c r="D728" s="17" t="s">
        <v>63</v>
      </c>
      <c r="E728" s="17" t="s">
        <v>277</v>
      </c>
      <c r="F728" s="17" t="s">
        <v>365</v>
      </c>
      <c r="G728" s="298"/>
      <c r="H728" s="138"/>
      <c r="I728" s="138"/>
      <c r="J728" s="138"/>
      <c r="K728" s="138"/>
      <c r="L728" s="138"/>
      <c r="M728" s="138"/>
      <c r="N728" s="138"/>
      <c r="O728" s="139"/>
      <c r="P728" s="138"/>
      <c r="Q728" s="107"/>
      <c r="R728" s="107"/>
    </row>
    <row r="729" spans="1:18" ht="15" customHeight="1">
      <c r="A729" s="17" t="s">
        <v>61</v>
      </c>
      <c r="B729" s="17" t="s">
        <v>377</v>
      </c>
      <c r="C729" s="18" t="s">
        <v>567</v>
      </c>
      <c r="D729" s="17" t="s">
        <v>63</v>
      </c>
      <c r="E729" s="17" t="s">
        <v>286</v>
      </c>
      <c r="F729" s="17" t="s">
        <v>365</v>
      </c>
      <c r="G729" s="298"/>
      <c r="H729" s="138"/>
      <c r="I729" s="138"/>
      <c r="J729" s="138"/>
      <c r="K729" s="138"/>
      <c r="L729" s="138"/>
      <c r="M729" s="138"/>
      <c r="N729" s="138"/>
      <c r="O729" s="139"/>
      <c r="P729" s="138"/>
      <c r="Q729" s="107"/>
      <c r="R729" s="107"/>
    </row>
    <row r="730" spans="1:18" ht="15" customHeight="1">
      <c r="A730" s="17" t="s">
        <v>26</v>
      </c>
      <c r="B730" s="17" t="s">
        <v>354</v>
      </c>
      <c r="C730" s="18" t="s">
        <v>656</v>
      </c>
      <c r="D730" s="17" t="s">
        <v>28</v>
      </c>
      <c r="E730" s="17" t="s">
        <v>294</v>
      </c>
      <c r="F730" s="17" t="s">
        <v>83</v>
      </c>
      <c r="G730" s="298"/>
      <c r="H730" s="138"/>
      <c r="I730" s="138"/>
      <c r="J730" s="138"/>
      <c r="K730" s="138"/>
      <c r="L730" s="138"/>
      <c r="M730" s="138"/>
      <c r="N730" s="138"/>
      <c r="O730" s="139"/>
      <c r="P730" s="138"/>
      <c r="Q730" s="107"/>
      <c r="R730" s="107"/>
    </row>
    <row r="731" spans="1:18" ht="15" customHeight="1">
      <c r="A731" s="30" t="s">
        <v>26</v>
      </c>
      <c r="B731" s="30" t="s">
        <v>351</v>
      </c>
      <c r="C731" s="31" t="s">
        <v>597</v>
      </c>
      <c r="D731" s="30" t="s">
        <v>28</v>
      </c>
      <c r="E731" s="30" t="s">
        <v>267</v>
      </c>
      <c r="F731" s="30" t="s">
        <v>83</v>
      </c>
      <c r="G731" s="299"/>
      <c r="H731" s="140"/>
      <c r="I731" s="140"/>
      <c r="J731" s="140"/>
      <c r="K731" s="140"/>
      <c r="L731" s="140"/>
      <c r="M731" s="140"/>
      <c r="N731" s="140"/>
      <c r="O731" s="141"/>
      <c r="P731" s="140"/>
      <c r="Q731" s="142"/>
      <c r="R731" s="142"/>
    </row>
  </sheetData>
  <mergeCells count="161">
    <mergeCell ref="H595:R595"/>
    <mergeCell ref="A317:F317"/>
    <mergeCell ref="G485:G504"/>
    <mergeCell ref="A575:R575"/>
    <mergeCell ref="H1:L1"/>
    <mergeCell ref="A1:E1"/>
    <mergeCell ref="A286:R286"/>
    <mergeCell ref="A528:R528"/>
    <mergeCell ref="G6:G27"/>
    <mergeCell ref="A384:F384"/>
    <mergeCell ref="A2:F2"/>
    <mergeCell ref="H483:R483"/>
    <mergeCell ref="A401:F401"/>
    <mergeCell ref="G435:G452"/>
    <mergeCell ref="A506:F506"/>
    <mergeCell ref="H433:R433"/>
    <mergeCell ref="A115:R115"/>
    <mergeCell ref="A594:R594"/>
    <mergeCell ref="A45:R45"/>
    <mergeCell ref="A46:F46"/>
    <mergeCell ref="G48:G73"/>
    <mergeCell ref="N1:R1"/>
    <mergeCell ref="G688:G703"/>
    <mergeCell ref="A651:F651"/>
    <mergeCell ref="G597:G613"/>
    <mergeCell ref="A213:R213"/>
    <mergeCell ref="H686:R686"/>
    <mergeCell ref="A693:F693"/>
    <mergeCell ref="H169:R169"/>
    <mergeCell ref="A29:F29"/>
    <mergeCell ref="A134:F134"/>
    <mergeCell ref="H365:R365"/>
    <mergeCell ref="H663:R663"/>
    <mergeCell ref="A482:R482"/>
    <mergeCell ref="H266:R266"/>
    <mergeCell ref="A662:R662"/>
    <mergeCell ref="A372:F372"/>
    <mergeCell ref="A686:F686"/>
    <mergeCell ref="A74:R74"/>
    <mergeCell ref="A145:R145"/>
    <mergeCell ref="G342:G363"/>
    <mergeCell ref="A254:F254"/>
    <mergeCell ref="H506:R506"/>
    <mergeCell ref="A433:F433"/>
    <mergeCell ref="A641:R641"/>
    <mergeCell ref="A244:R244"/>
    <mergeCell ref="A721:F721"/>
    <mergeCell ref="A28:R28"/>
    <mergeCell ref="A202:F202"/>
    <mergeCell ref="H194:R194"/>
    <mergeCell ref="H548:R548"/>
    <mergeCell ref="A421:F421"/>
    <mergeCell ref="A663:F663"/>
    <mergeCell ref="A266:F266"/>
    <mergeCell ref="A564:F564"/>
    <mergeCell ref="A412:R412"/>
    <mergeCell ref="G665:G684"/>
    <mergeCell ref="A536:F536"/>
    <mergeCell ref="A340:F340"/>
    <mergeCell ref="A517:F517"/>
    <mergeCell ref="G367:G382"/>
    <mergeCell ref="H116:R116"/>
    <mergeCell ref="A305:F305"/>
    <mergeCell ref="G118:G144"/>
    <mergeCell ref="A316:R316"/>
    <mergeCell ref="H529:R529"/>
    <mergeCell ref="A214:F214"/>
    <mergeCell ref="A453:R453"/>
    <mergeCell ref="H705:R705"/>
    <mergeCell ref="A583:F583"/>
    <mergeCell ref="H75:R75"/>
    <mergeCell ref="H317:R317"/>
    <mergeCell ref="A182:F182"/>
    <mergeCell ref="G268:G285"/>
    <mergeCell ref="A169:F169"/>
    <mergeCell ref="H96:R96"/>
    <mergeCell ref="G415:G431"/>
    <mergeCell ref="G578:G593"/>
    <mergeCell ref="G289:G315"/>
    <mergeCell ref="A383:R383"/>
    <mergeCell ref="A505:R505"/>
    <mergeCell ref="A442:F442"/>
    <mergeCell ref="A339:R339"/>
    <mergeCell ref="A168:R168"/>
    <mergeCell ref="A116:F116"/>
    <mergeCell ref="A96:F96"/>
    <mergeCell ref="G77:G94"/>
    <mergeCell ref="A84:F84"/>
    <mergeCell ref="A75:F75"/>
    <mergeCell ref="A4:F4"/>
    <mergeCell ref="A674:F674"/>
    <mergeCell ref="A413:F413"/>
    <mergeCell ref="A547:R547"/>
    <mergeCell ref="A193:R193"/>
    <mergeCell ref="A364:R364"/>
    <mergeCell ref="H454:R454"/>
    <mergeCell ref="A630:F630"/>
    <mergeCell ref="H146:R146"/>
    <mergeCell ref="H413:R413"/>
    <mergeCell ref="G171:G192"/>
    <mergeCell ref="G386:G411"/>
    <mergeCell ref="A454:F454"/>
    <mergeCell ref="A494:F494"/>
    <mergeCell ref="G216:G243"/>
    <mergeCell ref="A265:R265"/>
    <mergeCell ref="A275:F275"/>
    <mergeCell ref="A615:F615"/>
    <mergeCell ref="H214:R214"/>
    <mergeCell ref="H245:R245"/>
    <mergeCell ref="A146:F146"/>
    <mergeCell ref="A548:F548"/>
    <mergeCell ref="G617:G640"/>
    <mergeCell ref="A603:F603"/>
    <mergeCell ref="A365:F365"/>
    <mergeCell ref="A704:R704"/>
    <mergeCell ref="G644:G661"/>
    <mergeCell ref="G319:G338"/>
    <mergeCell ref="G531:G546"/>
    <mergeCell ref="G456:G481"/>
    <mergeCell ref="G550:G574"/>
    <mergeCell ref="G2:J2"/>
    <mergeCell ref="A17:F17"/>
    <mergeCell ref="H615:R615"/>
    <mergeCell ref="H340:R340"/>
    <mergeCell ref="H642:R642"/>
    <mergeCell ref="G31:G44"/>
    <mergeCell ref="A529:F529"/>
    <mergeCell ref="H4:R4"/>
    <mergeCell ref="A104:F104"/>
    <mergeCell ref="G98:G114"/>
    <mergeCell ref="A3:R3"/>
    <mergeCell ref="A685:R685"/>
    <mergeCell ref="A95:R95"/>
    <mergeCell ref="G148:G167"/>
    <mergeCell ref="A483:F483"/>
    <mergeCell ref="A194:F194"/>
    <mergeCell ref="H46:R46"/>
    <mergeCell ref="G707:G731"/>
    <mergeCell ref="A705:F705"/>
    <mergeCell ref="A63:F63"/>
    <mergeCell ref="G196:G212"/>
    <mergeCell ref="A432:R432"/>
    <mergeCell ref="A471:F471"/>
    <mergeCell ref="A353:F353"/>
    <mergeCell ref="H576:R576"/>
    <mergeCell ref="K2:R2"/>
    <mergeCell ref="A34:F34"/>
    <mergeCell ref="H287:R287"/>
    <mergeCell ref="A245:F245"/>
    <mergeCell ref="A642:F642"/>
    <mergeCell ref="A157:F157"/>
    <mergeCell ref="A328:F328"/>
    <mergeCell ref="G247:G264"/>
    <mergeCell ref="A595:F595"/>
    <mergeCell ref="A576:F576"/>
    <mergeCell ref="A287:F287"/>
    <mergeCell ref="G508:G527"/>
    <mergeCell ref="H384:R384"/>
    <mergeCell ref="A614:R614"/>
    <mergeCell ref="A233:F233"/>
    <mergeCell ref="H29:R29"/>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J54"/>
  <sheetViews>
    <sheetView workbookViewId="0"/>
  </sheetViews>
  <sheetFormatPr defaultColWidth="8.85546875" defaultRowHeight="15.6" outlineLevelCol="1"/>
  <cols>
    <col min="1" max="1" width="11.5703125" style="266" bestFit="1" customWidth="1"/>
    <col min="2" max="2" width="9.7109375" style="266" bestFit="1" customWidth="1"/>
    <col min="3" max="3" width="6.7109375" style="266" bestFit="1" customWidth="1"/>
    <col min="4" max="4" width="5.5703125" style="266" bestFit="1" customWidth="1"/>
    <col min="5" max="5" width="8.140625" style="266" bestFit="1" customWidth="1"/>
    <col min="6" max="6" width="4.28515625" style="266" bestFit="1" customWidth="1"/>
    <col min="7" max="7" width="8.42578125" style="266" bestFit="1" customWidth="1"/>
    <col min="8" max="8" width="8.5703125" style="266" bestFit="1" customWidth="1"/>
    <col min="9"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6" width="3.85546875" style="266" bestFit="1" customWidth="1"/>
    <col min="27" max="27" width="5" style="266" bestFit="1" customWidth="1"/>
    <col min="28" max="28" width="3.85546875" style="266" bestFit="1" customWidth="1"/>
    <col min="29" max="29" width="4.28515625" style="266" bestFit="1" customWidth="1"/>
    <col min="30" max="34" width="3.85546875" style="266" bestFit="1" customWidth="1"/>
    <col min="35" max="35" width="5.28515625" style="266" bestFit="1" customWidth="1"/>
    <col min="36"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230</v>
      </c>
      <c r="B2" s="268">
        <v>46023</v>
      </c>
      <c r="C2" s="269" t="s">
        <v>613</v>
      </c>
      <c r="D2" s="270" t="s">
        <v>687</v>
      </c>
      <c r="E2" s="269" t="s">
        <v>601</v>
      </c>
      <c r="F2" s="269" t="s">
        <v>232</v>
      </c>
      <c r="G2" s="271">
        <v>0.72219999999999995</v>
      </c>
      <c r="H2" s="272">
        <v>180</v>
      </c>
      <c r="I2" s="272">
        <v>130</v>
      </c>
      <c r="J2" s="272">
        <v>125</v>
      </c>
      <c r="K2" s="269" t="s">
        <v>233</v>
      </c>
      <c r="L2" s="273">
        <v>46341</v>
      </c>
      <c r="M2" s="272">
        <v>0</v>
      </c>
      <c r="N2" s="272">
        <v>0</v>
      </c>
      <c r="O2" s="272">
        <v>10</v>
      </c>
      <c r="P2" s="269" t="s">
        <v>589</v>
      </c>
      <c r="Q2" s="265"/>
      <c r="R2" s="265"/>
      <c r="S2" s="265"/>
      <c r="T2" s="265"/>
      <c r="U2" s="265"/>
      <c r="V2" s="265"/>
      <c r="W2" s="265"/>
      <c r="X2" s="265"/>
      <c r="Y2" s="265"/>
      <c r="Z2" s="265"/>
      <c r="AA2" s="265"/>
      <c r="AB2" s="272" t="s">
        <v>300</v>
      </c>
      <c r="AC2" s="272" t="s">
        <v>302</v>
      </c>
      <c r="AD2" s="265"/>
      <c r="AE2" s="265"/>
      <c r="AF2" s="265"/>
      <c r="AG2" s="265"/>
      <c r="AH2" s="265"/>
      <c r="AI2" s="272" t="s">
        <v>688</v>
      </c>
      <c r="AJ2" s="265"/>
    </row>
    <row r="3" spans="1:36">
      <c r="A3" s="267" t="s">
        <v>560</v>
      </c>
      <c r="B3" s="268">
        <v>46024</v>
      </c>
      <c r="C3" s="269" t="s">
        <v>613</v>
      </c>
      <c r="D3" s="270" t="s">
        <v>257</v>
      </c>
      <c r="E3" s="269" t="s">
        <v>601</v>
      </c>
      <c r="F3" s="269" t="s">
        <v>232</v>
      </c>
      <c r="G3" s="271">
        <v>3.3300000000000003E-2</v>
      </c>
      <c r="H3" s="272">
        <v>180</v>
      </c>
      <c r="I3" s="272">
        <v>6</v>
      </c>
      <c r="J3" s="272">
        <v>0</v>
      </c>
      <c r="K3" s="269" t="s">
        <v>233</v>
      </c>
      <c r="L3" s="273">
        <v>46344</v>
      </c>
      <c r="M3" s="272">
        <v>0</v>
      </c>
      <c r="N3" s="272">
        <v>0</v>
      </c>
      <c r="O3" s="272">
        <v>6</v>
      </c>
      <c r="P3" s="269" t="s">
        <v>300</v>
      </c>
      <c r="Q3" s="265"/>
      <c r="R3" s="265"/>
      <c r="S3" s="265"/>
      <c r="T3" s="265"/>
      <c r="U3" s="265"/>
      <c r="V3" s="265"/>
      <c r="W3" s="265"/>
      <c r="X3" s="265"/>
      <c r="Y3" s="265"/>
      <c r="Z3" s="265"/>
      <c r="AA3" s="265"/>
      <c r="AB3" s="272" t="s">
        <v>589</v>
      </c>
      <c r="AC3" s="265"/>
      <c r="AD3" s="265"/>
      <c r="AE3" s="265"/>
      <c r="AF3" s="265"/>
      <c r="AG3" s="265"/>
      <c r="AH3" s="265"/>
      <c r="AI3" s="265"/>
      <c r="AJ3" s="265"/>
    </row>
    <row r="4" spans="1:36">
      <c r="A4" s="267" t="s">
        <v>234</v>
      </c>
      <c r="B4" s="268">
        <v>46025</v>
      </c>
      <c r="C4" s="269" t="s">
        <v>630</v>
      </c>
      <c r="D4" s="270" t="s">
        <v>689</v>
      </c>
      <c r="E4" s="269" t="s">
        <v>601</v>
      </c>
      <c r="F4" s="269" t="s">
        <v>232</v>
      </c>
      <c r="G4" s="271">
        <v>0.05</v>
      </c>
      <c r="H4" s="272">
        <v>180</v>
      </c>
      <c r="I4" s="272">
        <v>9</v>
      </c>
      <c r="J4" s="272">
        <v>0</v>
      </c>
      <c r="K4" s="269" t="s">
        <v>233</v>
      </c>
      <c r="L4" s="273">
        <v>46342</v>
      </c>
      <c r="M4" s="272">
        <v>0</v>
      </c>
      <c r="N4" s="272">
        <v>0</v>
      </c>
      <c r="O4" s="272">
        <v>10</v>
      </c>
      <c r="P4" s="269" t="s">
        <v>298</v>
      </c>
      <c r="Q4" s="265"/>
      <c r="R4" s="265"/>
      <c r="S4" s="265"/>
      <c r="T4" s="265"/>
      <c r="U4" s="265"/>
      <c r="V4" s="265"/>
      <c r="W4" s="265"/>
      <c r="X4" s="265"/>
      <c r="Y4" s="265"/>
      <c r="Z4" s="265"/>
      <c r="AA4" s="265"/>
      <c r="AB4" s="272" t="s">
        <v>128</v>
      </c>
      <c r="AC4" s="272" t="s">
        <v>301</v>
      </c>
      <c r="AD4" s="265"/>
      <c r="AE4" s="265"/>
      <c r="AF4" s="265"/>
      <c r="AG4" s="265"/>
      <c r="AH4" s="265"/>
      <c r="AI4" s="265"/>
      <c r="AJ4" s="265"/>
    </row>
    <row r="5" spans="1:36">
      <c r="A5" s="267" t="s">
        <v>234</v>
      </c>
      <c r="B5" s="268">
        <v>46025</v>
      </c>
      <c r="C5" s="269" t="s">
        <v>613</v>
      </c>
      <c r="D5" s="270" t="s">
        <v>690</v>
      </c>
      <c r="E5" s="269" t="s">
        <v>601</v>
      </c>
      <c r="F5" s="269" t="s">
        <v>232</v>
      </c>
      <c r="G5" s="271">
        <v>7.22E-2</v>
      </c>
      <c r="H5" s="272">
        <v>180</v>
      </c>
      <c r="I5" s="272">
        <v>13</v>
      </c>
      <c r="J5" s="272">
        <v>0</v>
      </c>
      <c r="K5" s="269" t="s">
        <v>233</v>
      </c>
      <c r="L5" s="273">
        <v>46338</v>
      </c>
      <c r="M5" s="272">
        <v>0</v>
      </c>
      <c r="N5" s="272">
        <v>0</v>
      </c>
      <c r="O5" s="272">
        <v>13</v>
      </c>
      <c r="P5" s="269" t="s">
        <v>101</v>
      </c>
      <c r="Q5" s="265"/>
      <c r="R5" s="265"/>
      <c r="S5" s="265"/>
      <c r="T5" s="265"/>
      <c r="U5" s="265"/>
      <c r="V5" s="265"/>
      <c r="W5" s="265"/>
      <c r="X5" s="265"/>
      <c r="Y5" s="265"/>
      <c r="Z5" s="265"/>
      <c r="AA5" s="265"/>
      <c r="AB5" s="272" t="s">
        <v>128</v>
      </c>
      <c r="AC5" s="272" t="s">
        <v>691</v>
      </c>
      <c r="AD5" s="265"/>
      <c r="AE5" s="265"/>
      <c r="AF5" s="265"/>
      <c r="AG5" s="265"/>
      <c r="AH5" s="265"/>
      <c r="AI5" s="265"/>
      <c r="AJ5" s="265"/>
    </row>
    <row r="6" spans="1:36">
      <c r="A6" s="267" t="s">
        <v>236</v>
      </c>
      <c r="B6" s="268">
        <v>46026</v>
      </c>
      <c r="C6" s="269" t="s">
        <v>613</v>
      </c>
      <c r="D6" s="270" t="s">
        <v>692</v>
      </c>
      <c r="E6" s="269" t="s">
        <v>601</v>
      </c>
      <c r="F6" s="269" t="s">
        <v>232</v>
      </c>
      <c r="G6" s="271">
        <v>5.5999999999999999E-3</v>
      </c>
      <c r="H6" s="272">
        <v>180</v>
      </c>
      <c r="I6" s="272">
        <v>1</v>
      </c>
      <c r="J6" s="272">
        <v>0</v>
      </c>
      <c r="K6" s="269" t="s">
        <v>233</v>
      </c>
      <c r="L6" s="273">
        <v>46340</v>
      </c>
      <c r="M6" s="272">
        <v>0</v>
      </c>
      <c r="N6" s="272">
        <v>0</v>
      </c>
      <c r="O6" s="272">
        <v>3</v>
      </c>
      <c r="P6" s="269" t="s">
        <v>292</v>
      </c>
      <c r="Q6" s="265"/>
      <c r="R6" s="265"/>
      <c r="S6" s="265"/>
      <c r="T6" s="265"/>
      <c r="U6" s="265"/>
      <c r="V6" s="265"/>
      <c r="W6" s="265"/>
      <c r="X6" s="265"/>
      <c r="Y6" s="265"/>
      <c r="Z6" s="265"/>
      <c r="AA6" s="265"/>
      <c r="AB6" s="265"/>
      <c r="AC6" s="272" t="s">
        <v>302</v>
      </c>
      <c r="AD6" s="265"/>
      <c r="AE6" s="265"/>
      <c r="AF6" s="265"/>
      <c r="AG6" s="265"/>
      <c r="AH6" s="265"/>
      <c r="AI6" s="265"/>
      <c r="AJ6" s="265"/>
    </row>
    <row r="7" spans="1:36">
      <c r="A7" s="267" t="s">
        <v>236</v>
      </c>
      <c r="B7" s="268">
        <v>46026</v>
      </c>
      <c r="C7" s="269" t="s">
        <v>630</v>
      </c>
      <c r="D7" s="270" t="s">
        <v>693</v>
      </c>
      <c r="E7" s="269" t="s">
        <v>601</v>
      </c>
      <c r="F7" s="269" t="s">
        <v>232</v>
      </c>
      <c r="G7" s="271">
        <v>5.5999999999999999E-3</v>
      </c>
      <c r="H7" s="272">
        <v>180</v>
      </c>
      <c r="I7" s="272">
        <v>1</v>
      </c>
      <c r="J7" s="272">
        <v>0</v>
      </c>
      <c r="K7" s="269" t="s">
        <v>233</v>
      </c>
      <c r="L7" s="273">
        <v>46315</v>
      </c>
      <c r="M7" s="272">
        <v>0</v>
      </c>
      <c r="N7" s="272">
        <v>0</v>
      </c>
      <c r="O7" s="272">
        <v>1</v>
      </c>
      <c r="P7" s="269" t="s">
        <v>292</v>
      </c>
      <c r="Q7" s="265"/>
      <c r="R7" s="265"/>
      <c r="S7" s="265"/>
      <c r="T7" s="265"/>
      <c r="U7" s="265"/>
      <c r="V7" s="265"/>
      <c r="W7" s="265"/>
      <c r="X7" s="265"/>
      <c r="Y7" s="265"/>
      <c r="Z7" s="265"/>
      <c r="AA7" s="265"/>
      <c r="AB7" s="265"/>
      <c r="AC7" s="272" t="s">
        <v>302</v>
      </c>
      <c r="AD7" s="265"/>
      <c r="AE7" s="265"/>
      <c r="AF7" s="265"/>
      <c r="AG7" s="265"/>
      <c r="AH7" s="265"/>
      <c r="AI7" s="265"/>
      <c r="AJ7" s="265"/>
    </row>
    <row r="8" spans="1:36">
      <c r="A8" s="267" t="s">
        <v>240</v>
      </c>
      <c r="B8" s="268">
        <v>46027</v>
      </c>
      <c r="C8" s="269" t="s">
        <v>630</v>
      </c>
      <c r="D8" s="270" t="s">
        <v>694</v>
      </c>
      <c r="E8" s="269" t="s">
        <v>601</v>
      </c>
      <c r="F8" s="269" t="s">
        <v>232</v>
      </c>
      <c r="G8" s="271">
        <v>0</v>
      </c>
      <c r="H8" s="272">
        <v>180</v>
      </c>
      <c r="I8" s="272">
        <v>0</v>
      </c>
      <c r="J8" s="272">
        <v>0</v>
      </c>
      <c r="K8" s="269" t="s">
        <v>233</v>
      </c>
      <c r="L8" s="273" t="s">
        <v>66</v>
      </c>
      <c r="M8" s="272">
        <v>0</v>
      </c>
      <c r="N8" s="272">
        <v>0</v>
      </c>
      <c r="O8" s="272">
        <v>0</v>
      </c>
      <c r="P8" s="269" t="s">
        <v>292</v>
      </c>
      <c r="Q8" s="265"/>
      <c r="R8" s="265"/>
      <c r="S8" s="265"/>
      <c r="T8" s="265"/>
      <c r="U8" s="265"/>
      <c r="V8" s="265"/>
      <c r="W8" s="265"/>
      <c r="X8" s="265"/>
      <c r="Y8" s="265"/>
      <c r="Z8" s="265"/>
      <c r="AA8" s="265"/>
      <c r="AB8" s="265"/>
      <c r="AC8" s="265"/>
      <c r="AD8" s="265"/>
      <c r="AE8" s="265"/>
      <c r="AF8" s="265"/>
      <c r="AG8" s="265"/>
      <c r="AH8" s="265"/>
      <c r="AI8" s="265"/>
      <c r="AJ8" s="265"/>
    </row>
    <row r="9" spans="1:36">
      <c r="A9" s="267" t="s">
        <v>240</v>
      </c>
      <c r="B9" s="268">
        <v>46027</v>
      </c>
      <c r="C9" s="269" t="s">
        <v>613</v>
      </c>
      <c r="D9" s="270" t="s">
        <v>695</v>
      </c>
      <c r="E9" s="269" t="s">
        <v>601</v>
      </c>
      <c r="F9" s="269" t="s">
        <v>232</v>
      </c>
      <c r="G9" s="271">
        <v>3.8899999999999997E-2</v>
      </c>
      <c r="H9" s="272">
        <v>180</v>
      </c>
      <c r="I9" s="272">
        <v>7</v>
      </c>
      <c r="J9" s="272">
        <v>0</v>
      </c>
      <c r="K9" s="269" t="s">
        <v>233</v>
      </c>
      <c r="L9" s="273">
        <v>46340</v>
      </c>
      <c r="M9" s="272">
        <v>0</v>
      </c>
      <c r="N9" s="272">
        <v>0</v>
      </c>
      <c r="O9" s="272">
        <v>8</v>
      </c>
      <c r="P9" s="269" t="s">
        <v>306</v>
      </c>
      <c r="Q9" s="265"/>
      <c r="R9" s="265"/>
      <c r="S9" s="265"/>
      <c r="T9" s="265"/>
      <c r="U9" s="265"/>
      <c r="V9" s="265"/>
      <c r="W9" s="265"/>
      <c r="X9" s="265"/>
      <c r="Y9" s="265"/>
      <c r="Z9" s="272" t="s">
        <v>569</v>
      </c>
      <c r="AA9" s="265"/>
      <c r="AB9" s="265"/>
      <c r="AC9" s="272" t="s">
        <v>306</v>
      </c>
      <c r="AD9" s="265"/>
      <c r="AE9" s="265"/>
      <c r="AF9" s="265"/>
      <c r="AG9" s="265"/>
      <c r="AH9" s="265"/>
      <c r="AI9" s="265"/>
      <c r="AJ9" s="265"/>
    </row>
    <row r="10" spans="1:36">
      <c r="A10" s="267" t="s">
        <v>242</v>
      </c>
      <c r="B10" s="268">
        <v>46028</v>
      </c>
      <c r="C10" s="269" t="s">
        <v>613</v>
      </c>
      <c r="D10" s="270" t="s">
        <v>696</v>
      </c>
      <c r="E10" s="269" t="s">
        <v>601</v>
      </c>
      <c r="F10" s="269" t="s">
        <v>232</v>
      </c>
      <c r="G10" s="271">
        <v>5.5999999999999999E-3</v>
      </c>
      <c r="H10" s="272">
        <v>180</v>
      </c>
      <c r="I10" s="272">
        <v>1</v>
      </c>
      <c r="J10" s="272">
        <v>0</v>
      </c>
      <c r="K10" s="269" t="s">
        <v>233</v>
      </c>
      <c r="L10" s="273">
        <v>46329</v>
      </c>
      <c r="M10" s="272">
        <v>0</v>
      </c>
      <c r="N10" s="272">
        <v>0</v>
      </c>
      <c r="O10" s="272">
        <v>2</v>
      </c>
      <c r="P10" s="269" t="s">
        <v>292</v>
      </c>
      <c r="Q10" s="265"/>
      <c r="R10" s="265"/>
      <c r="S10" s="265"/>
      <c r="T10" s="265"/>
      <c r="U10" s="265"/>
      <c r="V10" s="265"/>
      <c r="W10" s="265"/>
      <c r="X10" s="265"/>
      <c r="Y10" s="265"/>
      <c r="Z10" s="265"/>
      <c r="AA10" s="265"/>
      <c r="AB10" s="265"/>
      <c r="AC10" s="272" t="s">
        <v>302</v>
      </c>
      <c r="AD10" s="265"/>
      <c r="AE10" s="265"/>
      <c r="AF10" s="265"/>
      <c r="AG10" s="265"/>
      <c r="AH10" s="265"/>
      <c r="AI10" s="265"/>
      <c r="AJ10" s="265"/>
    </row>
    <row r="11" spans="1:36">
      <c r="A11" s="267" t="s">
        <v>315</v>
      </c>
      <c r="B11" s="268">
        <v>46029</v>
      </c>
      <c r="C11" s="269" t="s">
        <v>613</v>
      </c>
      <c r="D11" s="270" t="s">
        <v>697</v>
      </c>
      <c r="E11" s="269" t="s">
        <v>601</v>
      </c>
      <c r="F11" s="269" t="s">
        <v>232</v>
      </c>
      <c r="G11" s="271">
        <v>7.22E-2</v>
      </c>
      <c r="H11" s="272">
        <v>180</v>
      </c>
      <c r="I11" s="272">
        <v>13</v>
      </c>
      <c r="J11" s="272">
        <v>0</v>
      </c>
      <c r="K11" s="269" t="s">
        <v>233</v>
      </c>
      <c r="L11" s="273">
        <v>46342</v>
      </c>
      <c r="M11" s="272">
        <v>0</v>
      </c>
      <c r="N11" s="272">
        <v>0</v>
      </c>
      <c r="O11" s="272">
        <v>13</v>
      </c>
      <c r="P11" s="269" t="s">
        <v>302</v>
      </c>
      <c r="Q11" s="265"/>
      <c r="R11" s="265"/>
      <c r="S11" s="265"/>
      <c r="T11" s="265"/>
      <c r="U11" s="265"/>
      <c r="V11" s="265"/>
      <c r="W11" s="265"/>
      <c r="X11" s="265"/>
      <c r="Y11" s="265"/>
      <c r="Z11" s="265"/>
      <c r="AA11" s="265"/>
      <c r="AB11" s="272" t="s">
        <v>300</v>
      </c>
      <c r="AC11" s="272" t="s">
        <v>292</v>
      </c>
      <c r="AD11" s="265"/>
      <c r="AE11" s="265"/>
      <c r="AF11" s="265"/>
      <c r="AG11" s="265"/>
      <c r="AH11" s="265"/>
      <c r="AI11" s="265"/>
      <c r="AJ11" s="265"/>
    </row>
    <row r="12" spans="1:36">
      <c r="A12" s="267" t="s">
        <v>315</v>
      </c>
      <c r="B12" s="268">
        <v>46029</v>
      </c>
      <c r="C12" s="269" t="s">
        <v>630</v>
      </c>
      <c r="D12" s="270" t="s">
        <v>698</v>
      </c>
      <c r="E12" s="269" t="s">
        <v>601</v>
      </c>
      <c r="F12" s="269" t="s">
        <v>232</v>
      </c>
      <c r="G12" s="271">
        <v>3.3300000000000003E-2</v>
      </c>
      <c r="H12" s="272">
        <v>180</v>
      </c>
      <c r="I12" s="272">
        <v>6</v>
      </c>
      <c r="J12" s="272">
        <v>0</v>
      </c>
      <c r="K12" s="269" t="s">
        <v>233</v>
      </c>
      <c r="L12" s="273">
        <v>46340</v>
      </c>
      <c r="M12" s="272">
        <v>0</v>
      </c>
      <c r="N12" s="272">
        <v>0</v>
      </c>
      <c r="O12" s="272">
        <v>8</v>
      </c>
      <c r="P12" s="269" t="s">
        <v>307</v>
      </c>
      <c r="Q12" s="265"/>
      <c r="R12" s="265"/>
      <c r="S12" s="265"/>
      <c r="T12" s="265"/>
      <c r="U12" s="265"/>
      <c r="V12" s="265"/>
      <c r="W12" s="265"/>
      <c r="X12" s="265"/>
      <c r="Y12" s="265"/>
      <c r="Z12" s="265"/>
      <c r="AA12" s="265"/>
      <c r="AB12" s="265"/>
      <c r="AC12" s="272" t="s">
        <v>305</v>
      </c>
      <c r="AD12" s="265"/>
      <c r="AE12" s="265"/>
      <c r="AF12" s="265"/>
      <c r="AG12" s="265"/>
      <c r="AH12" s="265"/>
      <c r="AI12" s="265"/>
      <c r="AJ12" s="265"/>
    </row>
    <row r="13" spans="1:36">
      <c r="A13" s="267" t="s">
        <v>315</v>
      </c>
      <c r="B13" s="268">
        <v>46029</v>
      </c>
      <c r="C13" s="269" t="s">
        <v>646</v>
      </c>
      <c r="D13" s="270" t="s">
        <v>699</v>
      </c>
      <c r="E13" s="269" t="s">
        <v>601</v>
      </c>
      <c r="F13" s="269" t="s">
        <v>232</v>
      </c>
      <c r="G13" s="271">
        <v>0</v>
      </c>
      <c r="H13" s="272">
        <v>180</v>
      </c>
      <c r="I13" s="272">
        <v>0</v>
      </c>
      <c r="J13" s="272">
        <v>0</v>
      </c>
      <c r="K13" s="269" t="s">
        <v>233</v>
      </c>
      <c r="L13" s="273" t="s">
        <v>66</v>
      </c>
      <c r="M13" s="272">
        <v>0</v>
      </c>
      <c r="N13" s="272">
        <v>0</v>
      </c>
      <c r="O13" s="272">
        <v>0</v>
      </c>
      <c r="P13" s="269" t="s">
        <v>292</v>
      </c>
      <c r="Q13" s="265"/>
      <c r="R13" s="265"/>
      <c r="S13" s="265"/>
      <c r="T13" s="265"/>
      <c r="U13" s="265"/>
      <c r="V13" s="265"/>
      <c r="W13" s="265"/>
      <c r="X13" s="265"/>
      <c r="Y13" s="265"/>
      <c r="Z13" s="265"/>
      <c r="AA13" s="265"/>
      <c r="AB13" s="265"/>
      <c r="AC13" s="265"/>
      <c r="AD13" s="265"/>
      <c r="AE13" s="265"/>
      <c r="AF13" s="265"/>
      <c r="AG13" s="265"/>
      <c r="AH13" s="265"/>
      <c r="AI13" s="265"/>
      <c r="AJ13" s="265"/>
    </row>
    <row r="14" spans="1:36">
      <c r="A14" s="267" t="s">
        <v>230</v>
      </c>
      <c r="B14" s="268">
        <v>46030</v>
      </c>
      <c r="C14" s="269" t="s">
        <v>613</v>
      </c>
      <c r="D14" s="270" t="s">
        <v>687</v>
      </c>
      <c r="E14" s="269" t="s">
        <v>601</v>
      </c>
      <c r="F14" s="269" t="s">
        <v>232</v>
      </c>
      <c r="G14" s="271">
        <v>1.11E-2</v>
      </c>
      <c r="H14" s="272">
        <v>180</v>
      </c>
      <c r="I14" s="272">
        <v>2</v>
      </c>
      <c r="J14" s="272">
        <v>0</v>
      </c>
      <c r="K14" s="269" t="s">
        <v>233</v>
      </c>
      <c r="L14" s="273">
        <v>46331</v>
      </c>
      <c r="M14" s="272">
        <v>0</v>
      </c>
      <c r="N14" s="272">
        <v>0</v>
      </c>
      <c r="O14" s="272">
        <v>4</v>
      </c>
      <c r="P14" s="269" t="s">
        <v>292</v>
      </c>
      <c r="Q14" s="265"/>
      <c r="R14" s="265"/>
      <c r="S14" s="265"/>
      <c r="T14" s="265"/>
      <c r="U14" s="265"/>
      <c r="V14" s="265"/>
      <c r="W14" s="265"/>
      <c r="X14" s="265"/>
      <c r="Y14" s="265"/>
      <c r="Z14" s="265"/>
      <c r="AA14" s="265"/>
      <c r="AB14" s="265"/>
      <c r="AC14" s="265"/>
      <c r="AD14" s="265"/>
      <c r="AE14" s="265"/>
      <c r="AF14" s="272" t="s">
        <v>244</v>
      </c>
      <c r="AG14" s="265"/>
      <c r="AH14" s="265"/>
      <c r="AI14" s="265"/>
      <c r="AJ14" s="272" t="s">
        <v>700</v>
      </c>
    </row>
    <row r="15" spans="1:36">
      <c r="A15" s="267" t="s">
        <v>560</v>
      </c>
      <c r="B15" s="268">
        <v>46031</v>
      </c>
      <c r="C15" s="269" t="s">
        <v>613</v>
      </c>
      <c r="D15" s="270" t="s">
        <v>257</v>
      </c>
      <c r="E15" s="269" t="s">
        <v>601</v>
      </c>
      <c r="F15" s="269" t="s">
        <v>232</v>
      </c>
      <c r="G15" s="271">
        <v>0</v>
      </c>
      <c r="H15" s="272">
        <v>180</v>
      </c>
      <c r="I15" s="272">
        <v>0</v>
      </c>
      <c r="J15" s="272">
        <v>0</v>
      </c>
      <c r="K15" s="269" t="s">
        <v>233</v>
      </c>
      <c r="L15" s="273" t="s">
        <v>66</v>
      </c>
      <c r="M15" s="272">
        <v>0</v>
      </c>
      <c r="N15" s="272">
        <v>0</v>
      </c>
      <c r="O15" s="272">
        <v>0</v>
      </c>
      <c r="P15" s="269" t="s">
        <v>67</v>
      </c>
      <c r="Q15" s="265"/>
      <c r="R15" s="265"/>
      <c r="S15" s="265"/>
      <c r="T15" s="265"/>
      <c r="U15" s="265"/>
      <c r="V15" s="265"/>
      <c r="W15" s="265"/>
      <c r="X15" s="265"/>
      <c r="Y15" s="265"/>
      <c r="Z15" s="265"/>
      <c r="AA15" s="265"/>
      <c r="AB15" s="265"/>
      <c r="AC15" s="265"/>
      <c r="AD15" s="265"/>
      <c r="AE15" s="265"/>
      <c r="AF15" s="265"/>
      <c r="AG15" s="265"/>
      <c r="AH15" s="265"/>
      <c r="AI15" s="265"/>
      <c r="AJ15" s="265"/>
    </row>
    <row r="16" spans="1:36">
      <c r="A16" s="267" t="s">
        <v>234</v>
      </c>
      <c r="B16" s="268">
        <v>46032</v>
      </c>
      <c r="C16" s="269" t="s">
        <v>630</v>
      </c>
      <c r="D16" s="270" t="s">
        <v>689</v>
      </c>
      <c r="E16" s="269" t="s">
        <v>601</v>
      </c>
      <c r="F16" s="269" t="s">
        <v>232</v>
      </c>
      <c r="G16" s="271">
        <v>1.67E-2</v>
      </c>
      <c r="H16" s="272">
        <v>180</v>
      </c>
      <c r="I16" s="272">
        <v>3</v>
      </c>
      <c r="J16" s="272">
        <v>0</v>
      </c>
      <c r="K16" s="269" t="s">
        <v>233</v>
      </c>
      <c r="L16" s="273">
        <v>46331</v>
      </c>
      <c r="M16" s="272">
        <v>0</v>
      </c>
      <c r="N16" s="272">
        <v>0</v>
      </c>
      <c r="O16" s="272">
        <v>4</v>
      </c>
      <c r="P16" s="269" t="s">
        <v>299</v>
      </c>
      <c r="Q16" s="265"/>
      <c r="R16" s="265"/>
      <c r="S16" s="265"/>
      <c r="T16" s="265"/>
      <c r="U16" s="265"/>
      <c r="V16" s="265"/>
      <c r="W16" s="265"/>
      <c r="X16" s="265"/>
      <c r="Y16" s="265"/>
      <c r="Z16" s="265"/>
      <c r="AA16" s="265"/>
      <c r="AB16" s="265"/>
      <c r="AC16" s="272" t="s">
        <v>304</v>
      </c>
      <c r="AD16" s="265"/>
      <c r="AE16" s="265"/>
      <c r="AF16" s="265"/>
      <c r="AG16" s="265"/>
      <c r="AH16" s="265"/>
      <c r="AI16" s="265"/>
      <c r="AJ16" s="265"/>
    </row>
    <row r="17" spans="1:36">
      <c r="A17" s="267" t="s">
        <v>234</v>
      </c>
      <c r="B17" s="268">
        <v>46032</v>
      </c>
      <c r="C17" s="269" t="s">
        <v>613</v>
      </c>
      <c r="D17" s="270" t="s">
        <v>690</v>
      </c>
      <c r="E17" s="269" t="s">
        <v>601</v>
      </c>
      <c r="F17" s="269" t="s">
        <v>232</v>
      </c>
      <c r="G17" s="271">
        <v>4.4400000000000002E-2</v>
      </c>
      <c r="H17" s="272">
        <v>180</v>
      </c>
      <c r="I17" s="272">
        <v>8</v>
      </c>
      <c r="J17" s="272">
        <v>0</v>
      </c>
      <c r="K17" s="269" t="s">
        <v>233</v>
      </c>
      <c r="L17" s="273">
        <v>46339</v>
      </c>
      <c r="M17" s="272">
        <v>0</v>
      </c>
      <c r="N17" s="272">
        <v>0</v>
      </c>
      <c r="O17" s="272">
        <v>8</v>
      </c>
      <c r="P17" s="269" t="s">
        <v>298</v>
      </c>
      <c r="Q17" s="265"/>
      <c r="R17" s="265"/>
      <c r="S17" s="265"/>
      <c r="T17" s="265"/>
      <c r="U17" s="265"/>
      <c r="V17" s="265"/>
      <c r="W17" s="265"/>
      <c r="X17" s="265"/>
      <c r="Y17" s="265"/>
      <c r="Z17" s="265"/>
      <c r="AA17" s="265"/>
      <c r="AB17" s="265"/>
      <c r="AC17" s="272" t="s">
        <v>301</v>
      </c>
      <c r="AD17" s="265"/>
      <c r="AE17" s="265"/>
      <c r="AF17" s="265"/>
      <c r="AG17" s="265"/>
      <c r="AH17" s="265"/>
      <c r="AI17" s="265"/>
      <c r="AJ17" s="265"/>
    </row>
    <row r="18" spans="1:36">
      <c r="A18" s="267" t="s">
        <v>236</v>
      </c>
      <c r="B18" s="268">
        <v>46033</v>
      </c>
      <c r="C18" s="269" t="s">
        <v>613</v>
      </c>
      <c r="D18" s="270" t="s">
        <v>692</v>
      </c>
      <c r="E18" s="269" t="s">
        <v>601</v>
      </c>
      <c r="F18" s="269" t="s">
        <v>232</v>
      </c>
      <c r="G18" s="271">
        <v>5.5999999999999999E-3</v>
      </c>
      <c r="H18" s="272">
        <v>180</v>
      </c>
      <c r="I18" s="272">
        <v>1</v>
      </c>
      <c r="J18" s="272">
        <v>0</v>
      </c>
      <c r="K18" s="269" t="s">
        <v>233</v>
      </c>
      <c r="L18" s="273">
        <v>46331</v>
      </c>
      <c r="M18" s="272">
        <v>0</v>
      </c>
      <c r="N18" s="272">
        <v>0</v>
      </c>
      <c r="O18" s="272">
        <v>3</v>
      </c>
      <c r="P18" s="269" t="s">
        <v>292</v>
      </c>
      <c r="Q18" s="265"/>
      <c r="R18" s="265"/>
      <c r="S18" s="265"/>
      <c r="T18" s="265"/>
      <c r="U18" s="265"/>
      <c r="V18" s="265"/>
      <c r="W18" s="265"/>
      <c r="X18" s="265"/>
      <c r="Y18" s="265"/>
      <c r="Z18" s="265"/>
      <c r="AA18" s="265"/>
      <c r="AB18" s="265"/>
      <c r="AC18" s="272" t="s">
        <v>302</v>
      </c>
      <c r="AD18" s="265"/>
      <c r="AE18" s="265"/>
      <c r="AF18" s="265"/>
      <c r="AG18" s="265"/>
      <c r="AH18" s="265"/>
      <c r="AI18" s="265"/>
      <c r="AJ18" s="265"/>
    </row>
    <row r="19" spans="1:36">
      <c r="A19" s="267" t="s">
        <v>236</v>
      </c>
      <c r="B19" s="268">
        <v>46033</v>
      </c>
      <c r="C19" s="269" t="s">
        <v>630</v>
      </c>
      <c r="D19" s="270" t="s">
        <v>693</v>
      </c>
      <c r="E19" s="269" t="s">
        <v>601</v>
      </c>
      <c r="F19" s="269" t="s">
        <v>232</v>
      </c>
      <c r="G19" s="271">
        <v>0</v>
      </c>
      <c r="H19" s="272">
        <v>180</v>
      </c>
      <c r="I19" s="272">
        <v>0</v>
      </c>
      <c r="J19" s="272">
        <v>0</v>
      </c>
      <c r="K19" s="269" t="s">
        <v>233</v>
      </c>
      <c r="L19" s="273" t="s">
        <v>66</v>
      </c>
      <c r="M19" s="272">
        <v>0</v>
      </c>
      <c r="N19" s="272">
        <v>0</v>
      </c>
      <c r="O19" s="272">
        <v>0</v>
      </c>
      <c r="P19" s="269" t="s">
        <v>292</v>
      </c>
      <c r="Q19" s="265"/>
      <c r="R19" s="265"/>
      <c r="S19" s="265"/>
      <c r="T19" s="265"/>
      <c r="U19" s="265"/>
      <c r="V19" s="265"/>
      <c r="W19" s="265"/>
      <c r="X19" s="265"/>
      <c r="Y19" s="265"/>
      <c r="Z19" s="265"/>
      <c r="AA19" s="265"/>
      <c r="AB19" s="265"/>
      <c r="AC19" s="265"/>
      <c r="AD19" s="265"/>
      <c r="AE19" s="265"/>
      <c r="AF19" s="265"/>
      <c r="AG19" s="265"/>
      <c r="AH19" s="265"/>
      <c r="AI19" s="265"/>
      <c r="AJ19" s="265"/>
    </row>
    <row r="20" spans="1:36">
      <c r="A20" s="267" t="s">
        <v>240</v>
      </c>
      <c r="B20" s="268">
        <v>46034</v>
      </c>
      <c r="C20" s="269" t="s">
        <v>630</v>
      </c>
      <c r="D20" s="270" t="s">
        <v>694</v>
      </c>
      <c r="E20" s="269" t="s">
        <v>601</v>
      </c>
      <c r="F20" s="269" t="s">
        <v>232</v>
      </c>
      <c r="G20" s="271">
        <v>0</v>
      </c>
      <c r="H20" s="272">
        <v>180</v>
      </c>
      <c r="I20" s="272">
        <v>0</v>
      </c>
      <c r="J20" s="272">
        <v>0</v>
      </c>
      <c r="K20" s="269" t="s">
        <v>233</v>
      </c>
      <c r="L20" s="273" t="s">
        <v>66</v>
      </c>
      <c r="M20" s="272">
        <v>0</v>
      </c>
      <c r="N20" s="272">
        <v>0</v>
      </c>
      <c r="O20" s="272">
        <v>0</v>
      </c>
      <c r="P20" s="269" t="s">
        <v>292</v>
      </c>
      <c r="Q20" s="265"/>
      <c r="R20" s="265"/>
      <c r="S20" s="265"/>
      <c r="T20" s="265"/>
      <c r="U20" s="265"/>
      <c r="V20" s="265"/>
      <c r="W20" s="265"/>
      <c r="X20" s="265"/>
      <c r="Y20" s="265"/>
      <c r="Z20" s="265"/>
      <c r="AA20" s="265"/>
      <c r="AB20" s="265"/>
      <c r="AC20" s="265"/>
      <c r="AD20" s="265"/>
      <c r="AE20" s="265"/>
      <c r="AF20" s="265"/>
      <c r="AG20" s="265"/>
      <c r="AH20" s="265"/>
      <c r="AI20" s="265"/>
      <c r="AJ20" s="265"/>
    </row>
    <row r="21" spans="1:36">
      <c r="A21" s="267" t="s">
        <v>240</v>
      </c>
      <c r="B21" s="268">
        <v>46034</v>
      </c>
      <c r="C21" s="269" t="s">
        <v>613</v>
      </c>
      <c r="D21" s="270" t="s">
        <v>695</v>
      </c>
      <c r="E21" s="269" t="s">
        <v>601</v>
      </c>
      <c r="F21" s="269" t="s">
        <v>232</v>
      </c>
      <c r="G21" s="271">
        <v>0</v>
      </c>
      <c r="H21" s="272">
        <v>180</v>
      </c>
      <c r="I21" s="272">
        <v>0</v>
      </c>
      <c r="J21" s="272">
        <v>0</v>
      </c>
      <c r="K21" s="269" t="s">
        <v>233</v>
      </c>
      <c r="L21" s="273" t="s">
        <v>66</v>
      </c>
      <c r="M21" s="272">
        <v>0</v>
      </c>
      <c r="N21" s="272">
        <v>0</v>
      </c>
      <c r="O21" s="272">
        <v>0</v>
      </c>
      <c r="P21" s="269" t="s">
        <v>292</v>
      </c>
      <c r="Q21" s="265"/>
      <c r="R21" s="265"/>
      <c r="S21" s="265"/>
      <c r="T21" s="265"/>
      <c r="U21" s="265"/>
      <c r="V21" s="265"/>
      <c r="W21" s="265"/>
      <c r="X21" s="265"/>
      <c r="Y21" s="265"/>
      <c r="Z21" s="265"/>
      <c r="AA21" s="265"/>
      <c r="AB21" s="265"/>
      <c r="AC21" s="265"/>
      <c r="AD21" s="265"/>
      <c r="AE21" s="265"/>
      <c r="AF21" s="265"/>
      <c r="AG21" s="265"/>
      <c r="AH21" s="265"/>
      <c r="AI21" s="265"/>
      <c r="AJ21" s="265"/>
    </row>
    <row r="22" spans="1:36">
      <c r="A22" s="267" t="s">
        <v>242</v>
      </c>
      <c r="B22" s="268">
        <v>46035</v>
      </c>
      <c r="C22" s="269" t="s">
        <v>613</v>
      </c>
      <c r="D22" s="270" t="s">
        <v>696</v>
      </c>
      <c r="E22" s="269" t="s">
        <v>601</v>
      </c>
      <c r="F22" s="269" t="s">
        <v>232</v>
      </c>
      <c r="G22" s="271">
        <v>1.11E-2</v>
      </c>
      <c r="H22" s="272">
        <v>180</v>
      </c>
      <c r="I22" s="272">
        <v>2</v>
      </c>
      <c r="J22" s="272">
        <v>0</v>
      </c>
      <c r="K22" s="269" t="s">
        <v>233</v>
      </c>
      <c r="L22" s="273">
        <v>46325</v>
      </c>
      <c r="M22" s="272">
        <v>0</v>
      </c>
      <c r="N22" s="272">
        <v>0</v>
      </c>
      <c r="O22" s="272">
        <v>3</v>
      </c>
      <c r="P22" s="269" t="s">
        <v>301</v>
      </c>
      <c r="Q22" s="265"/>
      <c r="R22" s="265"/>
      <c r="S22" s="265"/>
      <c r="T22" s="265"/>
      <c r="U22" s="265"/>
      <c r="V22" s="265"/>
      <c r="W22" s="265"/>
      <c r="X22" s="265"/>
      <c r="Y22" s="265"/>
      <c r="Z22" s="265"/>
      <c r="AA22" s="265"/>
      <c r="AB22" s="265"/>
      <c r="AC22" s="272" t="s">
        <v>298</v>
      </c>
      <c r="AD22" s="265"/>
      <c r="AE22" s="265"/>
      <c r="AF22" s="265"/>
      <c r="AG22" s="265"/>
      <c r="AH22" s="265"/>
      <c r="AI22" s="265"/>
      <c r="AJ22" s="265"/>
    </row>
    <row r="23" spans="1:36">
      <c r="A23" s="267" t="s">
        <v>315</v>
      </c>
      <c r="B23" s="268">
        <v>46036</v>
      </c>
      <c r="C23" s="269" t="s">
        <v>613</v>
      </c>
      <c r="D23" s="270" t="s">
        <v>697</v>
      </c>
      <c r="E23" s="269" t="s">
        <v>601</v>
      </c>
      <c r="F23" s="269" t="s">
        <v>232</v>
      </c>
      <c r="G23" s="271">
        <v>1.11E-2</v>
      </c>
      <c r="H23" s="272">
        <v>180</v>
      </c>
      <c r="I23" s="272">
        <v>2</v>
      </c>
      <c r="J23" s="272">
        <v>0</v>
      </c>
      <c r="K23" s="269" t="s">
        <v>233</v>
      </c>
      <c r="L23" s="273">
        <v>46279</v>
      </c>
      <c r="M23" s="272">
        <v>0</v>
      </c>
      <c r="N23" s="272">
        <v>0</v>
      </c>
      <c r="O23" s="272">
        <v>2</v>
      </c>
      <c r="P23" s="269" t="s">
        <v>301</v>
      </c>
      <c r="Q23" s="265"/>
      <c r="R23" s="265"/>
      <c r="S23" s="265"/>
      <c r="T23" s="265"/>
      <c r="U23" s="265"/>
      <c r="V23" s="265"/>
      <c r="W23" s="265"/>
      <c r="X23" s="265"/>
      <c r="Y23" s="265"/>
      <c r="Z23" s="265"/>
      <c r="AA23" s="265"/>
      <c r="AB23" s="265"/>
      <c r="AC23" s="272" t="s">
        <v>298</v>
      </c>
      <c r="AD23" s="265"/>
      <c r="AE23" s="265"/>
      <c r="AF23" s="265"/>
      <c r="AG23" s="265"/>
      <c r="AH23" s="265"/>
      <c r="AI23" s="265"/>
      <c r="AJ23" s="265"/>
    </row>
    <row r="24" spans="1:36">
      <c r="A24" s="267" t="s">
        <v>315</v>
      </c>
      <c r="B24" s="268">
        <v>46036</v>
      </c>
      <c r="C24" s="269" t="s">
        <v>630</v>
      </c>
      <c r="D24" s="270" t="s">
        <v>698</v>
      </c>
      <c r="E24" s="269" t="s">
        <v>601</v>
      </c>
      <c r="F24" s="269" t="s">
        <v>232</v>
      </c>
      <c r="G24" s="271">
        <v>4.4400000000000002E-2</v>
      </c>
      <c r="H24" s="272">
        <v>180</v>
      </c>
      <c r="I24" s="272">
        <v>8</v>
      </c>
      <c r="J24" s="272">
        <v>0</v>
      </c>
      <c r="K24" s="269" t="s">
        <v>233</v>
      </c>
      <c r="L24" s="273">
        <v>46342</v>
      </c>
      <c r="M24" s="272">
        <v>0</v>
      </c>
      <c r="N24" s="272">
        <v>0</v>
      </c>
      <c r="O24" s="272">
        <v>8</v>
      </c>
      <c r="P24" s="269" t="s">
        <v>298</v>
      </c>
      <c r="Q24" s="265"/>
      <c r="R24" s="265"/>
      <c r="S24" s="265"/>
      <c r="T24" s="265"/>
      <c r="U24" s="265"/>
      <c r="V24" s="265"/>
      <c r="W24" s="265"/>
      <c r="X24" s="265"/>
      <c r="Y24" s="265"/>
      <c r="Z24" s="265"/>
      <c r="AA24" s="265"/>
      <c r="AB24" s="265"/>
      <c r="AC24" s="272" t="s">
        <v>301</v>
      </c>
      <c r="AD24" s="265"/>
      <c r="AE24" s="265"/>
      <c r="AF24" s="265"/>
      <c r="AG24" s="265"/>
      <c r="AH24" s="265"/>
      <c r="AI24" s="265"/>
      <c r="AJ24" s="265"/>
    </row>
    <row r="25" spans="1:36">
      <c r="A25" s="267" t="s">
        <v>315</v>
      </c>
      <c r="B25" s="268">
        <v>46036</v>
      </c>
      <c r="C25" s="269" t="s">
        <v>646</v>
      </c>
      <c r="D25" s="270" t="s">
        <v>699</v>
      </c>
      <c r="E25" s="269" t="s">
        <v>601</v>
      </c>
      <c r="F25" s="269" t="s">
        <v>232</v>
      </c>
      <c r="G25" s="271">
        <v>1.11E-2</v>
      </c>
      <c r="H25" s="272">
        <v>180</v>
      </c>
      <c r="I25" s="272">
        <v>2</v>
      </c>
      <c r="J25" s="272">
        <v>0</v>
      </c>
      <c r="K25" s="269" t="s">
        <v>233</v>
      </c>
      <c r="L25" s="273">
        <v>46340</v>
      </c>
      <c r="M25" s="272">
        <v>0</v>
      </c>
      <c r="N25" s="272">
        <v>0</v>
      </c>
      <c r="O25" s="272">
        <v>2</v>
      </c>
      <c r="P25" s="269" t="s">
        <v>301</v>
      </c>
      <c r="Q25" s="265"/>
      <c r="R25" s="265"/>
      <c r="S25" s="265"/>
      <c r="T25" s="265"/>
      <c r="U25" s="265"/>
      <c r="V25" s="265"/>
      <c r="W25" s="265"/>
      <c r="X25" s="265"/>
      <c r="Y25" s="265"/>
      <c r="Z25" s="265"/>
      <c r="AA25" s="265"/>
      <c r="AB25" s="265"/>
      <c r="AC25" s="272" t="s">
        <v>298</v>
      </c>
      <c r="AD25" s="265"/>
      <c r="AE25" s="265"/>
      <c r="AF25" s="265"/>
      <c r="AG25" s="265"/>
      <c r="AH25" s="265"/>
      <c r="AI25" s="265"/>
      <c r="AJ25" s="265"/>
    </row>
    <row r="26" spans="1:36">
      <c r="A26" s="267" t="s">
        <v>230</v>
      </c>
      <c r="B26" s="268">
        <v>46037</v>
      </c>
      <c r="C26" s="269" t="s">
        <v>613</v>
      </c>
      <c r="D26" s="270" t="s">
        <v>687</v>
      </c>
      <c r="E26" s="269" t="s">
        <v>601</v>
      </c>
      <c r="F26" s="269" t="s">
        <v>232</v>
      </c>
      <c r="G26" s="271">
        <v>0.05</v>
      </c>
      <c r="H26" s="272">
        <v>180</v>
      </c>
      <c r="I26" s="272">
        <v>9</v>
      </c>
      <c r="J26" s="272">
        <v>0</v>
      </c>
      <c r="K26" s="269" t="s">
        <v>233</v>
      </c>
      <c r="L26" s="273">
        <v>46344</v>
      </c>
      <c r="M26" s="272">
        <v>0</v>
      </c>
      <c r="N26" s="272">
        <v>0</v>
      </c>
      <c r="O26" s="272">
        <v>9</v>
      </c>
      <c r="P26" s="269" t="s">
        <v>302</v>
      </c>
      <c r="Q26" s="265"/>
      <c r="R26" s="265"/>
      <c r="S26" s="265"/>
      <c r="T26" s="265"/>
      <c r="U26" s="265"/>
      <c r="V26" s="265"/>
      <c r="W26" s="265"/>
      <c r="X26" s="265"/>
      <c r="Y26" s="265"/>
      <c r="Z26" s="265"/>
      <c r="AA26" s="265"/>
      <c r="AB26" s="265"/>
      <c r="AC26" s="272" t="s">
        <v>292</v>
      </c>
      <c r="AD26" s="265"/>
      <c r="AE26" s="265"/>
      <c r="AF26" s="265"/>
      <c r="AG26" s="265"/>
      <c r="AH26" s="265"/>
      <c r="AI26" s="265"/>
      <c r="AJ26" s="265"/>
    </row>
    <row r="27" spans="1:36">
      <c r="A27" s="267" t="s">
        <v>560</v>
      </c>
      <c r="B27" s="268">
        <v>46038</v>
      </c>
      <c r="C27" s="269" t="s">
        <v>613</v>
      </c>
      <c r="D27" s="270" t="s">
        <v>257</v>
      </c>
      <c r="E27" s="269" t="s">
        <v>601</v>
      </c>
      <c r="F27" s="269" t="s">
        <v>232</v>
      </c>
      <c r="G27" s="271">
        <v>2.7799999999999998E-2</v>
      </c>
      <c r="H27" s="272">
        <v>180</v>
      </c>
      <c r="I27" s="272">
        <v>5</v>
      </c>
      <c r="J27" s="272">
        <v>0</v>
      </c>
      <c r="K27" s="269" t="s">
        <v>233</v>
      </c>
      <c r="L27" s="273">
        <v>46253</v>
      </c>
      <c r="M27" s="272">
        <v>0</v>
      </c>
      <c r="N27" s="272">
        <v>0</v>
      </c>
      <c r="O27" s="272">
        <v>5</v>
      </c>
      <c r="P27" s="269" t="s">
        <v>667</v>
      </c>
      <c r="Q27" s="265"/>
      <c r="R27" s="265"/>
      <c r="S27" s="265"/>
      <c r="T27" s="265"/>
      <c r="U27" s="265"/>
      <c r="V27" s="265"/>
      <c r="W27" s="265"/>
      <c r="X27" s="265"/>
      <c r="Y27" s="265"/>
      <c r="Z27" s="265"/>
      <c r="AA27" s="265"/>
      <c r="AB27" s="272" t="s">
        <v>471</v>
      </c>
      <c r="AC27" s="265"/>
      <c r="AD27" s="265"/>
      <c r="AE27" s="265"/>
      <c r="AF27" s="265"/>
      <c r="AG27" s="265"/>
      <c r="AH27" s="265"/>
      <c r="AI27" s="265"/>
      <c r="AJ27" s="265"/>
    </row>
    <row r="28" spans="1:36">
      <c r="A28" s="267" t="s">
        <v>234</v>
      </c>
      <c r="B28" s="268">
        <v>46039</v>
      </c>
      <c r="C28" s="269" t="s">
        <v>630</v>
      </c>
      <c r="D28" s="270" t="s">
        <v>689</v>
      </c>
      <c r="E28" s="269" t="s">
        <v>601</v>
      </c>
      <c r="F28" s="269" t="s">
        <v>232</v>
      </c>
      <c r="G28" s="271">
        <v>3.8899999999999997E-2</v>
      </c>
      <c r="H28" s="272">
        <v>180</v>
      </c>
      <c r="I28" s="272">
        <v>7</v>
      </c>
      <c r="J28" s="272">
        <v>0</v>
      </c>
      <c r="K28" s="269" t="s">
        <v>233</v>
      </c>
      <c r="L28" s="273">
        <v>46331</v>
      </c>
      <c r="M28" s="272">
        <v>0</v>
      </c>
      <c r="N28" s="272">
        <v>0</v>
      </c>
      <c r="O28" s="272">
        <v>8</v>
      </c>
      <c r="P28" s="269" t="s">
        <v>310</v>
      </c>
      <c r="Q28" s="265"/>
      <c r="R28" s="265"/>
      <c r="S28" s="265"/>
      <c r="T28" s="265"/>
      <c r="U28" s="265"/>
      <c r="V28" s="265"/>
      <c r="W28" s="265"/>
      <c r="X28" s="265"/>
      <c r="Y28" s="265"/>
      <c r="Z28" s="265"/>
      <c r="AA28" s="272" t="s">
        <v>670</v>
      </c>
      <c r="AB28" s="265"/>
      <c r="AC28" s="265"/>
      <c r="AD28" s="265"/>
      <c r="AE28" s="265"/>
      <c r="AF28" s="265"/>
      <c r="AG28" s="265"/>
      <c r="AH28" s="265"/>
      <c r="AI28" s="265"/>
      <c r="AJ28" s="265"/>
    </row>
    <row r="29" spans="1:36">
      <c r="A29" s="267" t="s">
        <v>234</v>
      </c>
      <c r="B29" s="268">
        <v>46039</v>
      </c>
      <c r="C29" s="269" t="s">
        <v>613</v>
      </c>
      <c r="D29" s="270" t="s">
        <v>690</v>
      </c>
      <c r="E29" s="269" t="s">
        <v>601</v>
      </c>
      <c r="F29" s="269" t="s">
        <v>232</v>
      </c>
      <c r="G29" s="271">
        <v>0.1</v>
      </c>
      <c r="H29" s="272">
        <v>180</v>
      </c>
      <c r="I29" s="272">
        <v>18</v>
      </c>
      <c r="J29" s="272">
        <v>0</v>
      </c>
      <c r="K29" s="269" t="s">
        <v>233</v>
      </c>
      <c r="L29" s="273">
        <v>46340</v>
      </c>
      <c r="M29" s="272">
        <v>0</v>
      </c>
      <c r="N29" s="272">
        <v>0</v>
      </c>
      <c r="O29" s="272">
        <v>18</v>
      </c>
      <c r="P29" s="269" t="s">
        <v>672</v>
      </c>
      <c r="Q29" s="265"/>
      <c r="R29" s="265"/>
      <c r="S29" s="265"/>
      <c r="T29" s="265"/>
      <c r="U29" s="265"/>
      <c r="V29" s="265"/>
      <c r="W29" s="265"/>
      <c r="X29" s="265"/>
      <c r="Y29" s="265"/>
      <c r="Z29" s="272" t="s">
        <v>158</v>
      </c>
      <c r="AA29" s="272" t="s">
        <v>701</v>
      </c>
      <c r="AB29" s="265"/>
      <c r="AC29" s="272" t="s">
        <v>304</v>
      </c>
      <c r="AD29" s="265"/>
      <c r="AE29" s="265"/>
      <c r="AF29" s="265"/>
      <c r="AG29" s="265"/>
      <c r="AH29" s="265"/>
      <c r="AI29" s="265"/>
      <c r="AJ29" s="265"/>
    </row>
    <row r="30" spans="1:36">
      <c r="A30" s="267" t="s">
        <v>236</v>
      </c>
      <c r="B30" s="268">
        <v>46040</v>
      </c>
      <c r="C30" s="269" t="s">
        <v>613</v>
      </c>
      <c r="D30" s="270" t="s">
        <v>692</v>
      </c>
      <c r="E30" s="269" t="s">
        <v>601</v>
      </c>
      <c r="F30" s="269" t="s">
        <v>232</v>
      </c>
      <c r="G30" s="271">
        <v>5.5999999999999999E-3</v>
      </c>
      <c r="H30" s="272">
        <v>180</v>
      </c>
      <c r="I30" s="272">
        <v>1</v>
      </c>
      <c r="J30" s="272">
        <v>0</v>
      </c>
      <c r="K30" s="269" t="s">
        <v>233</v>
      </c>
      <c r="L30" s="273">
        <v>46333</v>
      </c>
      <c r="M30" s="272">
        <v>0</v>
      </c>
      <c r="N30" s="272">
        <v>0</v>
      </c>
      <c r="O30" s="272">
        <v>3</v>
      </c>
      <c r="P30" s="269" t="s">
        <v>292</v>
      </c>
      <c r="Q30" s="265"/>
      <c r="R30" s="265"/>
      <c r="S30" s="265"/>
      <c r="T30" s="265"/>
      <c r="U30" s="265"/>
      <c r="V30" s="265"/>
      <c r="W30" s="265"/>
      <c r="X30" s="265"/>
      <c r="Y30" s="265"/>
      <c r="Z30" s="265"/>
      <c r="AA30" s="265"/>
      <c r="AB30" s="265"/>
      <c r="AC30" s="272" t="s">
        <v>302</v>
      </c>
      <c r="AD30" s="265"/>
      <c r="AE30" s="265"/>
      <c r="AF30" s="265"/>
      <c r="AG30" s="265"/>
      <c r="AH30" s="265"/>
      <c r="AI30" s="265"/>
      <c r="AJ30" s="265"/>
    </row>
    <row r="31" spans="1:36">
      <c r="A31" s="267" t="s">
        <v>236</v>
      </c>
      <c r="B31" s="268">
        <v>46040</v>
      </c>
      <c r="C31" s="269" t="s">
        <v>630</v>
      </c>
      <c r="D31" s="270" t="s">
        <v>693</v>
      </c>
      <c r="E31" s="269" t="s">
        <v>601</v>
      </c>
      <c r="F31" s="269" t="s">
        <v>232</v>
      </c>
      <c r="G31" s="271">
        <v>3.3300000000000003E-2</v>
      </c>
      <c r="H31" s="272">
        <v>180</v>
      </c>
      <c r="I31" s="272">
        <v>6</v>
      </c>
      <c r="J31" s="272">
        <v>0</v>
      </c>
      <c r="K31" s="269" t="s">
        <v>233</v>
      </c>
      <c r="L31" s="265"/>
      <c r="M31" s="272">
        <v>0</v>
      </c>
      <c r="N31" s="272">
        <v>0</v>
      </c>
      <c r="O31" s="272">
        <v>0</v>
      </c>
      <c r="P31" s="269" t="s">
        <v>307</v>
      </c>
      <c r="Q31" s="265"/>
      <c r="R31" s="265"/>
      <c r="S31" s="265"/>
      <c r="T31" s="265"/>
      <c r="U31" s="265"/>
      <c r="V31" s="265"/>
      <c r="W31" s="265"/>
      <c r="X31" s="265"/>
      <c r="Y31" s="265"/>
      <c r="Z31" s="265"/>
      <c r="AA31" s="265"/>
      <c r="AB31" s="265"/>
      <c r="AC31" s="272" t="s">
        <v>305</v>
      </c>
      <c r="AD31" s="265"/>
      <c r="AE31" s="265"/>
      <c r="AF31" s="265"/>
      <c r="AG31" s="265"/>
      <c r="AH31" s="265"/>
      <c r="AI31" s="265"/>
      <c r="AJ31" s="265"/>
    </row>
    <row r="32" spans="1:36">
      <c r="A32" s="267" t="s">
        <v>240</v>
      </c>
      <c r="B32" s="268">
        <v>46041</v>
      </c>
      <c r="C32" s="269" t="s">
        <v>630</v>
      </c>
      <c r="D32" s="270" t="s">
        <v>694</v>
      </c>
      <c r="E32" s="269" t="s">
        <v>601</v>
      </c>
      <c r="F32" s="269" t="s">
        <v>232</v>
      </c>
      <c r="G32" s="271">
        <v>0</v>
      </c>
      <c r="H32" s="272">
        <v>180</v>
      </c>
      <c r="I32" s="272">
        <v>0</v>
      </c>
      <c r="J32" s="272">
        <v>0</v>
      </c>
      <c r="K32" s="269" t="s">
        <v>233</v>
      </c>
      <c r="L32" s="273" t="s">
        <v>66</v>
      </c>
      <c r="M32" s="272">
        <v>0</v>
      </c>
      <c r="N32" s="272">
        <v>0</v>
      </c>
      <c r="O32" s="272">
        <v>0</v>
      </c>
      <c r="P32" s="269" t="s">
        <v>292</v>
      </c>
      <c r="Q32" s="265"/>
      <c r="R32" s="265"/>
      <c r="S32" s="265"/>
      <c r="T32" s="265"/>
      <c r="U32" s="265"/>
      <c r="V32" s="265"/>
      <c r="W32" s="265"/>
      <c r="X32" s="265"/>
      <c r="Y32" s="265"/>
      <c r="Z32" s="265"/>
      <c r="AA32" s="265"/>
      <c r="AB32" s="265"/>
      <c r="AC32" s="265"/>
      <c r="AD32" s="265"/>
      <c r="AE32" s="265"/>
      <c r="AF32" s="265"/>
      <c r="AG32" s="265"/>
      <c r="AH32" s="265"/>
      <c r="AI32" s="265"/>
      <c r="AJ32" s="265"/>
    </row>
    <row r="33" spans="1:36">
      <c r="A33" s="267" t="s">
        <v>240</v>
      </c>
      <c r="B33" s="268">
        <v>46041</v>
      </c>
      <c r="C33" s="269" t="s">
        <v>613</v>
      </c>
      <c r="D33" s="270" t="s">
        <v>695</v>
      </c>
      <c r="E33" s="269" t="s">
        <v>601</v>
      </c>
      <c r="F33" s="269" t="s">
        <v>232</v>
      </c>
      <c r="G33" s="271">
        <v>2.7799999999999998E-2</v>
      </c>
      <c r="H33" s="272">
        <v>180</v>
      </c>
      <c r="I33" s="272">
        <v>5</v>
      </c>
      <c r="J33" s="272">
        <v>0</v>
      </c>
      <c r="K33" s="269" t="s">
        <v>233</v>
      </c>
      <c r="L33" s="273">
        <v>46341</v>
      </c>
      <c r="M33" s="272">
        <v>0</v>
      </c>
      <c r="N33" s="272">
        <v>0</v>
      </c>
      <c r="O33" s="272">
        <v>6</v>
      </c>
      <c r="P33" s="269" t="s">
        <v>306</v>
      </c>
      <c r="Q33" s="265"/>
      <c r="R33" s="265"/>
      <c r="S33" s="265"/>
      <c r="T33" s="265"/>
      <c r="U33" s="265"/>
      <c r="V33" s="265"/>
      <c r="W33" s="265"/>
      <c r="X33" s="265"/>
      <c r="Y33" s="265"/>
      <c r="Z33" s="265"/>
      <c r="AA33" s="265"/>
      <c r="AB33" s="265"/>
      <c r="AC33" s="272" t="s">
        <v>306</v>
      </c>
      <c r="AD33" s="265"/>
      <c r="AE33" s="265"/>
      <c r="AF33" s="265"/>
      <c r="AG33" s="265"/>
      <c r="AH33" s="265"/>
      <c r="AI33" s="265"/>
      <c r="AJ33" s="265"/>
    </row>
    <row r="34" spans="1:36">
      <c r="A34" s="267" t="s">
        <v>242</v>
      </c>
      <c r="B34" s="268">
        <v>46042</v>
      </c>
      <c r="C34" s="269" t="s">
        <v>613</v>
      </c>
      <c r="D34" s="270" t="s">
        <v>696</v>
      </c>
      <c r="E34" s="269" t="s">
        <v>601</v>
      </c>
      <c r="F34" s="269" t="s">
        <v>232</v>
      </c>
      <c r="G34" s="271">
        <v>5.5999999999999999E-3</v>
      </c>
      <c r="H34" s="272">
        <v>180</v>
      </c>
      <c r="I34" s="272">
        <v>1</v>
      </c>
      <c r="J34" s="272">
        <v>0</v>
      </c>
      <c r="K34" s="269" t="s">
        <v>233</v>
      </c>
      <c r="L34" s="273">
        <v>46343</v>
      </c>
      <c r="M34" s="272">
        <v>0</v>
      </c>
      <c r="N34" s="272">
        <v>0</v>
      </c>
      <c r="O34" s="272">
        <v>2</v>
      </c>
      <c r="P34" s="269" t="s">
        <v>292</v>
      </c>
      <c r="Q34" s="265"/>
      <c r="R34" s="265"/>
      <c r="S34" s="265"/>
      <c r="T34" s="265"/>
      <c r="U34" s="265"/>
      <c r="V34" s="265"/>
      <c r="W34" s="265"/>
      <c r="X34" s="265"/>
      <c r="Y34" s="265"/>
      <c r="Z34" s="265"/>
      <c r="AA34" s="265"/>
      <c r="AB34" s="265"/>
      <c r="AC34" s="272" t="s">
        <v>302</v>
      </c>
      <c r="AD34" s="265"/>
      <c r="AE34" s="265"/>
      <c r="AF34" s="265"/>
      <c r="AG34" s="265"/>
      <c r="AH34" s="265"/>
      <c r="AI34" s="265"/>
      <c r="AJ34" s="265"/>
    </row>
    <row r="35" spans="1:36">
      <c r="A35" s="267" t="s">
        <v>315</v>
      </c>
      <c r="B35" s="268">
        <v>46043</v>
      </c>
      <c r="C35" s="269" t="s">
        <v>613</v>
      </c>
      <c r="D35" s="270" t="s">
        <v>697</v>
      </c>
      <c r="E35" s="269" t="s">
        <v>601</v>
      </c>
      <c r="F35" s="269" t="s">
        <v>232</v>
      </c>
      <c r="G35" s="271">
        <v>0</v>
      </c>
      <c r="H35" s="272">
        <v>180</v>
      </c>
      <c r="I35" s="272">
        <v>0</v>
      </c>
      <c r="J35" s="272">
        <v>0</v>
      </c>
      <c r="K35" s="269" t="s">
        <v>233</v>
      </c>
      <c r="L35" s="273" t="s">
        <v>66</v>
      </c>
      <c r="M35" s="272">
        <v>0</v>
      </c>
      <c r="N35" s="272">
        <v>0</v>
      </c>
      <c r="O35" s="272">
        <v>0</v>
      </c>
      <c r="P35" s="269" t="s">
        <v>292</v>
      </c>
      <c r="Q35" s="265"/>
      <c r="R35" s="265"/>
      <c r="S35" s="265"/>
      <c r="T35" s="265"/>
      <c r="U35" s="265"/>
      <c r="V35" s="265"/>
      <c r="W35" s="265"/>
      <c r="X35" s="265"/>
      <c r="Y35" s="265"/>
      <c r="Z35" s="265"/>
      <c r="AA35" s="265"/>
      <c r="AB35" s="265"/>
      <c r="AC35" s="265"/>
      <c r="AD35" s="265"/>
      <c r="AE35" s="265"/>
      <c r="AF35" s="265"/>
      <c r="AG35" s="265"/>
      <c r="AH35" s="265"/>
      <c r="AI35" s="265"/>
      <c r="AJ35" s="265"/>
    </row>
    <row r="36" spans="1:36">
      <c r="A36" s="267" t="s">
        <v>315</v>
      </c>
      <c r="B36" s="268">
        <v>46043</v>
      </c>
      <c r="C36" s="269" t="s">
        <v>630</v>
      </c>
      <c r="D36" s="270" t="s">
        <v>698</v>
      </c>
      <c r="E36" s="269" t="s">
        <v>601</v>
      </c>
      <c r="F36" s="269" t="s">
        <v>232</v>
      </c>
      <c r="G36" s="271">
        <v>2.7799999999999998E-2</v>
      </c>
      <c r="H36" s="272">
        <v>180</v>
      </c>
      <c r="I36" s="272">
        <v>5</v>
      </c>
      <c r="J36" s="272">
        <v>0</v>
      </c>
      <c r="K36" s="269" t="s">
        <v>233</v>
      </c>
      <c r="L36" s="273">
        <v>46344</v>
      </c>
      <c r="M36" s="272">
        <v>0</v>
      </c>
      <c r="N36" s="272">
        <v>0</v>
      </c>
      <c r="O36" s="272">
        <v>5</v>
      </c>
      <c r="P36" s="269" t="s">
        <v>306</v>
      </c>
      <c r="Q36" s="265"/>
      <c r="R36" s="265"/>
      <c r="S36" s="265"/>
      <c r="T36" s="265"/>
      <c r="U36" s="265"/>
      <c r="V36" s="265"/>
      <c r="W36" s="265"/>
      <c r="X36" s="265"/>
      <c r="Y36" s="265"/>
      <c r="Z36" s="265"/>
      <c r="AA36" s="265"/>
      <c r="AB36" s="265"/>
      <c r="AC36" s="272" t="s">
        <v>306</v>
      </c>
      <c r="AD36" s="265"/>
      <c r="AE36" s="265"/>
      <c r="AF36" s="265"/>
      <c r="AG36" s="265"/>
      <c r="AH36" s="265"/>
      <c r="AI36" s="265"/>
      <c r="AJ36" s="265"/>
    </row>
    <row r="37" spans="1:36">
      <c r="A37" s="267" t="s">
        <v>315</v>
      </c>
      <c r="B37" s="268">
        <v>46043</v>
      </c>
      <c r="C37" s="269" t="s">
        <v>646</v>
      </c>
      <c r="D37" s="270" t="s">
        <v>699</v>
      </c>
      <c r="E37" s="269" t="s">
        <v>601</v>
      </c>
      <c r="F37" s="269" t="s">
        <v>232</v>
      </c>
      <c r="G37" s="271">
        <v>0</v>
      </c>
      <c r="H37" s="272">
        <v>180</v>
      </c>
      <c r="I37" s="272">
        <v>0</v>
      </c>
      <c r="J37" s="272">
        <v>0</v>
      </c>
      <c r="K37" s="269" t="s">
        <v>233</v>
      </c>
      <c r="L37" s="273" t="s">
        <v>66</v>
      </c>
      <c r="M37" s="272">
        <v>0</v>
      </c>
      <c r="N37" s="272">
        <v>0</v>
      </c>
      <c r="O37" s="272">
        <v>0</v>
      </c>
      <c r="P37" s="269" t="s">
        <v>292</v>
      </c>
      <c r="Q37" s="265"/>
      <c r="R37" s="265"/>
      <c r="S37" s="265"/>
      <c r="T37" s="265"/>
      <c r="U37" s="265"/>
      <c r="V37" s="265"/>
      <c r="W37" s="265"/>
      <c r="X37" s="265"/>
      <c r="Y37" s="265"/>
      <c r="Z37" s="265"/>
      <c r="AA37" s="265"/>
      <c r="AB37" s="265"/>
      <c r="AC37" s="265"/>
      <c r="AD37" s="265"/>
      <c r="AE37" s="265"/>
      <c r="AF37" s="265"/>
      <c r="AG37" s="265"/>
      <c r="AH37" s="265"/>
      <c r="AI37" s="265"/>
      <c r="AJ37" s="265"/>
    </row>
    <row r="38" spans="1:36">
      <c r="A38" s="267" t="s">
        <v>230</v>
      </c>
      <c r="B38" s="268">
        <v>46044</v>
      </c>
      <c r="C38" s="269" t="s">
        <v>613</v>
      </c>
      <c r="D38" s="270" t="s">
        <v>687</v>
      </c>
      <c r="E38" s="269" t="s">
        <v>601</v>
      </c>
      <c r="F38" s="269" t="s">
        <v>232</v>
      </c>
      <c r="G38" s="271">
        <v>1.11E-2</v>
      </c>
      <c r="H38" s="272">
        <v>180</v>
      </c>
      <c r="I38" s="272">
        <v>2</v>
      </c>
      <c r="J38" s="272">
        <v>0</v>
      </c>
      <c r="K38" s="269" t="s">
        <v>233</v>
      </c>
      <c r="L38" s="273">
        <v>46344</v>
      </c>
      <c r="M38" s="272">
        <v>0</v>
      </c>
      <c r="N38" s="272">
        <v>0</v>
      </c>
      <c r="O38" s="272">
        <v>2</v>
      </c>
      <c r="P38" s="269" t="s">
        <v>301</v>
      </c>
      <c r="Q38" s="265"/>
      <c r="R38" s="265"/>
      <c r="S38" s="265"/>
      <c r="T38" s="265"/>
      <c r="U38" s="265"/>
      <c r="V38" s="265"/>
      <c r="W38" s="265"/>
      <c r="X38" s="265"/>
      <c r="Y38" s="265"/>
      <c r="Z38" s="265"/>
      <c r="AA38" s="265"/>
      <c r="AB38" s="265"/>
      <c r="AC38" s="272" t="s">
        <v>298</v>
      </c>
      <c r="AD38" s="265"/>
      <c r="AE38" s="265"/>
      <c r="AF38" s="265"/>
      <c r="AG38" s="265"/>
      <c r="AH38" s="265"/>
      <c r="AI38" s="265"/>
      <c r="AJ38" s="265"/>
    </row>
    <row r="39" spans="1:36">
      <c r="A39" s="267" t="s">
        <v>560</v>
      </c>
      <c r="B39" s="268">
        <v>46045</v>
      </c>
      <c r="C39" s="269" t="s">
        <v>613</v>
      </c>
      <c r="D39" s="270" t="s">
        <v>257</v>
      </c>
      <c r="E39" s="269" t="s">
        <v>601</v>
      </c>
      <c r="F39" s="269" t="s">
        <v>232</v>
      </c>
      <c r="G39" s="271">
        <v>3.8899999999999997E-2</v>
      </c>
      <c r="H39" s="272">
        <v>180</v>
      </c>
      <c r="I39" s="272">
        <v>7</v>
      </c>
      <c r="J39" s="272">
        <v>0</v>
      </c>
      <c r="K39" s="269" t="s">
        <v>233</v>
      </c>
      <c r="L39" s="273">
        <v>46333</v>
      </c>
      <c r="M39" s="272">
        <v>0</v>
      </c>
      <c r="N39" s="272">
        <v>0</v>
      </c>
      <c r="O39" s="272">
        <v>7</v>
      </c>
      <c r="P39" s="269" t="s">
        <v>310</v>
      </c>
      <c r="Q39" s="265"/>
      <c r="R39" s="265"/>
      <c r="S39" s="265"/>
      <c r="T39" s="265"/>
      <c r="U39" s="265"/>
      <c r="V39" s="265"/>
      <c r="W39" s="265"/>
      <c r="X39" s="265"/>
      <c r="Y39" s="265"/>
      <c r="Z39" s="265"/>
      <c r="AA39" s="272" t="s">
        <v>670</v>
      </c>
      <c r="AB39" s="265"/>
      <c r="AC39" s="265"/>
      <c r="AD39" s="265"/>
      <c r="AE39" s="265"/>
      <c r="AF39" s="265"/>
      <c r="AG39" s="265"/>
      <c r="AH39" s="265"/>
      <c r="AI39" s="265"/>
      <c r="AJ39" s="265"/>
    </row>
    <row r="40" spans="1:36">
      <c r="A40" s="267" t="s">
        <v>234</v>
      </c>
      <c r="B40" s="268">
        <v>46046</v>
      </c>
      <c r="C40" s="269" t="s">
        <v>630</v>
      </c>
      <c r="D40" s="270" t="s">
        <v>689</v>
      </c>
      <c r="E40" s="269" t="s">
        <v>601</v>
      </c>
      <c r="F40" s="269" t="s">
        <v>232</v>
      </c>
      <c r="G40" s="271">
        <v>0.05</v>
      </c>
      <c r="H40" s="272">
        <v>180</v>
      </c>
      <c r="I40" s="272">
        <v>9</v>
      </c>
      <c r="J40" s="272">
        <v>0</v>
      </c>
      <c r="K40" s="269" t="s">
        <v>233</v>
      </c>
      <c r="L40" s="273">
        <v>46325</v>
      </c>
      <c r="M40" s="272">
        <v>0</v>
      </c>
      <c r="N40" s="272">
        <v>0</v>
      </c>
      <c r="O40" s="272">
        <v>10</v>
      </c>
      <c r="P40" s="269" t="s">
        <v>299</v>
      </c>
      <c r="Q40" s="265"/>
      <c r="R40" s="265"/>
      <c r="S40" s="265"/>
      <c r="T40" s="265"/>
      <c r="U40" s="265"/>
      <c r="V40" s="265"/>
      <c r="W40" s="265"/>
      <c r="X40" s="265"/>
      <c r="Y40" s="265"/>
      <c r="Z40" s="272" t="s">
        <v>569</v>
      </c>
      <c r="AA40" s="272" t="s">
        <v>587</v>
      </c>
      <c r="AB40" s="265"/>
      <c r="AC40" s="272" t="s">
        <v>304</v>
      </c>
      <c r="AD40" s="265"/>
      <c r="AE40" s="265"/>
      <c r="AF40" s="265"/>
      <c r="AG40" s="265"/>
      <c r="AH40" s="265"/>
      <c r="AI40" s="265"/>
      <c r="AJ40" s="265"/>
    </row>
    <row r="41" spans="1:36">
      <c r="A41" s="267" t="s">
        <v>234</v>
      </c>
      <c r="B41" s="268">
        <v>46046</v>
      </c>
      <c r="C41" s="269" t="s">
        <v>613</v>
      </c>
      <c r="D41" s="270" t="s">
        <v>690</v>
      </c>
      <c r="E41" s="269" t="s">
        <v>601</v>
      </c>
      <c r="F41" s="269" t="s">
        <v>232</v>
      </c>
      <c r="G41" s="271">
        <v>3.8899999999999997E-2</v>
      </c>
      <c r="H41" s="272">
        <v>180</v>
      </c>
      <c r="I41" s="272">
        <v>7</v>
      </c>
      <c r="J41" s="272">
        <v>0</v>
      </c>
      <c r="K41" s="269" t="s">
        <v>233</v>
      </c>
      <c r="L41" s="273">
        <v>46345</v>
      </c>
      <c r="M41" s="272">
        <v>0</v>
      </c>
      <c r="N41" s="272">
        <v>0</v>
      </c>
      <c r="O41" s="272">
        <v>7</v>
      </c>
      <c r="P41" s="269" t="s">
        <v>304</v>
      </c>
      <c r="Q41" s="265"/>
      <c r="R41" s="265"/>
      <c r="S41" s="265"/>
      <c r="T41" s="265"/>
      <c r="U41" s="265"/>
      <c r="V41" s="265"/>
      <c r="W41" s="265"/>
      <c r="X41" s="265"/>
      <c r="Y41" s="265"/>
      <c r="Z41" s="265"/>
      <c r="AA41" s="265"/>
      <c r="AB41" s="265"/>
      <c r="AC41" s="272" t="s">
        <v>299</v>
      </c>
      <c r="AD41" s="265"/>
      <c r="AE41" s="265"/>
      <c r="AF41" s="265"/>
      <c r="AG41" s="265"/>
      <c r="AH41" s="265"/>
      <c r="AI41" s="265"/>
      <c r="AJ41" s="265"/>
    </row>
    <row r="42" spans="1:36">
      <c r="A42" s="267" t="s">
        <v>236</v>
      </c>
      <c r="B42" s="268">
        <v>46047</v>
      </c>
      <c r="C42" s="269" t="s">
        <v>613</v>
      </c>
      <c r="D42" s="270" t="s">
        <v>692</v>
      </c>
      <c r="E42" s="269" t="s">
        <v>601</v>
      </c>
      <c r="F42" s="269" t="s">
        <v>232</v>
      </c>
      <c r="G42" s="271">
        <v>5.5999999999999999E-3</v>
      </c>
      <c r="H42" s="272">
        <v>180</v>
      </c>
      <c r="I42" s="272">
        <v>1</v>
      </c>
      <c r="J42" s="272">
        <v>0</v>
      </c>
      <c r="K42" s="269" t="s">
        <v>233</v>
      </c>
      <c r="L42" s="273">
        <v>46325</v>
      </c>
      <c r="M42" s="272">
        <v>0</v>
      </c>
      <c r="N42" s="272">
        <v>0</v>
      </c>
      <c r="O42" s="272">
        <v>3</v>
      </c>
      <c r="P42" s="269" t="s">
        <v>292</v>
      </c>
      <c r="Q42" s="265"/>
      <c r="R42" s="265"/>
      <c r="S42" s="265"/>
      <c r="T42" s="265"/>
      <c r="U42" s="265"/>
      <c r="V42" s="265"/>
      <c r="W42" s="265"/>
      <c r="X42" s="265"/>
      <c r="Y42" s="265"/>
      <c r="Z42" s="265"/>
      <c r="AA42" s="265"/>
      <c r="AB42" s="265"/>
      <c r="AC42" s="272" t="s">
        <v>302</v>
      </c>
      <c r="AD42" s="265"/>
      <c r="AE42" s="265"/>
      <c r="AF42" s="265"/>
      <c r="AG42" s="265"/>
      <c r="AH42" s="265"/>
      <c r="AI42" s="265"/>
      <c r="AJ42" s="265"/>
    </row>
    <row r="43" spans="1:36">
      <c r="A43" s="267" t="s">
        <v>236</v>
      </c>
      <c r="B43" s="268">
        <v>46047</v>
      </c>
      <c r="C43" s="269" t="s">
        <v>630</v>
      </c>
      <c r="D43" s="270" t="s">
        <v>693</v>
      </c>
      <c r="E43" s="269" t="s">
        <v>601</v>
      </c>
      <c r="F43" s="269" t="s">
        <v>232</v>
      </c>
      <c r="G43" s="271">
        <v>1.67E-2</v>
      </c>
      <c r="H43" s="272">
        <v>180</v>
      </c>
      <c r="I43" s="272">
        <v>3</v>
      </c>
      <c r="J43" s="272">
        <v>0</v>
      </c>
      <c r="K43" s="269" t="s">
        <v>233</v>
      </c>
      <c r="L43" s="273">
        <v>46342</v>
      </c>
      <c r="M43" s="272">
        <v>0</v>
      </c>
      <c r="N43" s="272">
        <v>0</v>
      </c>
      <c r="O43" s="272">
        <v>4</v>
      </c>
      <c r="P43" s="269" t="s">
        <v>299</v>
      </c>
      <c r="Q43" s="265"/>
      <c r="R43" s="265"/>
      <c r="S43" s="265"/>
      <c r="T43" s="265"/>
      <c r="U43" s="265"/>
      <c r="V43" s="265"/>
      <c r="W43" s="265"/>
      <c r="X43" s="265"/>
      <c r="Y43" s="265"/>
      <c r="Z43" s="265"/>
      <c r="AA43" s="265"/>
      <c r="AB43" s="265"/>
      <c r="AC43" s="272" t="s">
        <v>304</v>
      </c>
      <c r="AD43" s="265"/>
      <c r="AE43" s="265"/>
      <c r="AF43" s="265"/>
      <c r="AG43" s="265"/>
      <c r="AH43" s="265"/>
      <c r="AI43" s="265"/>
      <c r="AJ43" s="265"/>
    </row>
    <row r="44" spans="1:36">
      <c r="A44" s="267" t="s">
        <v>240</v>
      </c>
      <c r="B44" s="268">
        <v>46048</v>
      </c>
      <c r="C44" s="269" t="s">
        <v>630</v>
      </c>
      <c r="D44" s="270" t="s">
        <v>694</v>
      </c>
      <c r="E44" s="269" t="s">
        <v>601</v>
      </c>
      <c r="F44" s="269" t="s">
        <v>232</v>
      </c>
      <c r="G44" s="271">
        <v>0</v>
      </c>
      <c r="H44" s="272">
        <v>180</v>
      </c>
      <c r="I44" s="272">
        <v>0</v>
      </c>
      <c r="J44" s="272">
        <v>0</v>
      </c>
      <c r="K44" s="269" t="s">
        <v>233</v>
      </c>
      <c r="L44" s="273" t="s">
        <v>66</v>
      </c>
      <c r="M44" s="272">
        <v>0</v>
      </c>
      <c r="N44" s="272">
        <v>0</v>
      </c>
      <c r="O44" s="272">
        <v>0</v>
      </c>
      <c r="P44" s="269" t="s">
        <v>292</v>
      </c>
      <c r="Q44" s="265"/>
      <c r="R44" s="265"/>
      <c r="S44" s="265"/>
      <c r="T44" s="265"/>
      <c r="U44" s="265"/>
      <c r="V44" s="265"/>
      <c r="W44" s="265"/>
      <c r="X44" s="265"/>
      <c r="Y44" s="265"/>
      <c r="Z44" s="265"/>
      <c r="AA44" s="265"/>
      <c r="AB44" s="265"/>
      <c r="AC44" s="265"/>
      <c r="AD44" s="265"/>
      <c r="AE44" s="265"/>
      <c r="AF44" s="265"/>
      <c r="AG44" s="265"/>
      <c r="AH44" s="265"/>
      <c r="AI44" s="265"/>
      <c r="AJ44" s="265"/>
    </row>
    <row r="45" spans="1:36">
      <c r="A45" s="267" t="s">
        <v>240</v>
      </c>
      <c r="B45" s="268">
        <v>46048</v>
      </c>
      <c r="C45" s="269" t="s">
        <v>613</v>
      </c>
      <c r="D45" s="270" t="s">
        <v>695</v>
      </c>
      <c r="E45" s="269" t="s">
        <v>601</v>
      </c>
      <c r="F45" s="269" t="s">
        <v>232</v>
      </c>
      <c r="G45" s="271">
        <v>1.11E-2</v>
      </c>
      <c r="H45" s="272">
        <v>180</v>
      </c>
      <c r="I45" s="272">
        <v>2</v>
      </c>
      <c r="J45" s="272">
        <v>0</v>
      </c>
      <c r="K45" s="269" t="s">
        <v>233</v>
      </c>
      <c r="L45" s="273">
        <v>46339</v>
      </c>
      <c r="M45" s="272">
        <v>0</v>
      </c>
      <c r="N45" s="272">
        <v>0</v>
      </c>
      <c r="O45" s="272">
        <v>3</v>
      </c>
      <c r="P45" s="269" t="s">
        <v>301</v>
      </c>
      <c r="Q45" s="265"/>
      <c r="R45" s="265"/>
      <c r="S45" s="265"/>
      <c r="T45" s="265"/>
      <c r="U45" s="265"/>
      <c r="V45" s="265"/>
      <c r="W45" s="265"/>
      <c r="X45" s="265"/>
      <c r="Y45" s="265"/>
      <c r="Z45" s="265"/>
      <c r="AA45" s="265"/>
      <c r="AB45" s="265"/>
      <c r="AC45" s="272" t="s">
        <v>298</v>
      </c>
      <c r="AD45" s="265"/>
      <c r="AE45" s="265"/>
      <c r="AF45" s="265"/>
      <c r="AG45" s="265"/>
      <c r="AH45" s="265"/>
      <c r="AI45" s="265"/>
      <c r="AJ45" s="265"/>
    </row>
    <row r="46" spans="1:36">
      <c r="A46" s="267" t="s">
        <v>242</v>
      </c>
      <c r="B46" s="268">
        <v>46049</v>
      </c>
      <c r="C46" s="269" t="s">
        <v>613</v>
      </c>
      <c r="D46" s="270" t="s">
        <v>696</v>
      </c>
      <c r="E46" s="269" t="s">
        <v>601</v>
      </c>
      <c r="F46" s="269" t="s">
        <v>232</v>
      </c>
      <c r="G46" s="271">
        <v>5.5999999999999999E-3</v>
      </c>
      <c r="H46" s="272">
        <v>180</v>
      </c>
      <c r="I46" s="272">
        <v>1</v>
      </c>
      <c r="J46" s="272">
        <v>0</v>
      </c>
      <c r="K46" s="269" t="s">
        <v>233</v>
      </c>
      <c r="L46" s="273">
        <v>46335</v>
      </c>
      <c r="M46" s="272">
        <v>0</v>
      </c>
      <c r="N46" s="272">
        <v>0</v>
      </c>
      <c r="O46" s="272">
        <v>2</v>
      </c>
      <c r="P46" s="269" t="s">
        <v>292</v>
      </c>
      <c r="Q46" s="265"/>
      <c r="R46" s="265"/>
      <c r="S46" s="265"/>
      <c r="T46" s="265"/>
      <c r="U46" s="265"/>
      <c r="V46" s="265"/>
      <c r="W46" s="265"/>
      <c r="X46" s="265"/>
      <c r="Y46" s="265"/>
      <c r="Z46" s="265"/>
      <c r="AA46" s="265"/>
      <c r="AB46" s="265"/>
      <c r="AC46" s="272" t="s">
        <v>302</v>
      </c>
      <c r="AD46" s="265"/>
      <c r="AE46" s="265"/>
      <c r="AF46" s="265"/>
      <c r="AG46" s="265"/>
      <c r="AH46" s="265"/>
      <c r="AI46" s="265"/>
      <c r="AJ46" s="265"/>
    </row>
    <row r="47" spans="1:36">
      <c r="A47" s="267" t="s">
        <v>315</v>
      </c>
      <c r="B47" s="268">
        <v>46050</v>
      </c>
      <c r="C47" s="269" t="s">
        <v>613</v>
      </c>
      <c r="D47" s="270" t="s">
        <v>697</v>
      </c>
      <c r="E47" s="269" t="s">
        <v>601</v>
      </c>
      <c r="F47" s="269" t="s">
        <v>232</v>
      </c>
      <c r="G47" s="271">
        <v>0</v>
      </c>
      <c r="H47" s="272">
        <v>180</v>
      </c>
      <c r="I47" s="272">
        <v>0</v>
      </c>
      <c r="J47" s="272">
        <v>0</v>
      </c>
      <c r="K47" s="269" t="s">
        <v>233</v>
      </c>
      <c r="L47" s="273" t="s">
        <v>66</v>
      </c>
      <c r="M47" s="272">
        <v>0</v>
      </c>
      <c r="N47" s="272">
        <v>0</v>
      </c>
      <c r="O47" s="272">
        <v>0</v>
      </c>
      <c r="P47" s="269" t="s">
        <v>292</v>
      </c>
      <c r="Q47" s="265"/>
      <c r="R47" s="265"/>
      <c r="S47" s="265"/>
      <c r="T47" s="265"/>
      <c r="U47" s="265"/>
      <c r="V47" s="265"/>
      <c r="W47" s="265"/>
      <c r="X47" s="265"/>
      <c r="Y47" s="265"/>
      <c r="Z47" s="265"/>
      <c r="AA47" s="265"/>
      <c r="AB47" s="265"/>
      <c r="AC47" s="265"/>
      <c r="AD47" s="265"/>
      <c r="AE47" s="265"/>
      <c r="AF47" s="265"/>
      <c r="AG47" s="265"/>
      <c r="AH47" s="265"/>
      <c r="AI47" s="265"/>
      <c r="AJ47" s="265"/>
    </row>
    <row r="48" spans="1:36">
      <c r="A48" s="267" t="s">
        <v>315</v>
      </c>
      <c r="B48" s="268">
        <v>46050</v>
      </c>
      <c r="C48" s="269" t="s">
        <v>630</v>
      </c>
      <c r="D48" s="270" t="s">
        <v>698</v>
      </c>
      <c r="E48" s="269" t="s">
        <v>601</v>
      </c>
      <c r="F48" s="269" t="s">
        <v>232</v>
      </c>
      <c r="G48" s="271">
        <v>5.5999999999999999E-3</v>
      </c>
      <c r="H48" s="272">
        <v>180</v>
      </c>
      <c r="I48" s="272">
        <v>1</v>
      </c>
      <c r="J48" s="272">
        <v>0</v>
      </c>
      <c r="K48" s="269" t="s">
        <v>233</v>
      </c>
      <c r="L48" s="273">
        <v>46332</v>
      </c>
      <c r="M48" s="272">
        <v>0</v>
      </c>
      <c r="N48" s="272">
        <v>0</v>
      </c>
      <c r="O48" s="272">
        <v>1</v>
      </c>
      <c r="P48" s="269" t="s">
        <v>292</v>
      </c>
      <c r="Q48" s="265"/>
      <c r="R48" s="265"/>
      <c r="S48" s="265"/>
      <c r="T48" s="265"/>
      <c r="U48" s="265"/>
      <c r="V48" s="265"/>
      <c r="W48" s="265"/>
      <c r="X48" s="265"/>
      <c r="Y48" s="265"/>
      <c r="Z48" s="265"/>
      <c r="AA48" s="265"/>
      <c r="AB48" s="265"/>
      <c r="AC48" s="272" t="s">
        <v>302</v>
      </c>
      <c r="AD48" s="265"/>
      <c r="AE48" s="265"/>
      <c r="AF48" s="265"/>
      <c r="AG48" s="265"/>
      <c r="AH48" s="265"/>
      <c r="AI48" s="265"/>
      <c r="AJ48" s="265"/>
    </row>
    <row r="49" spans="1:36">
      <c r="A49" s="267" t="s">
        <v>315</v>
      </c>
      <c r="B49" s="268">
        <v>46050</v>
      </c>
      <c r="C49" s="269" t="s">
        <v>646</v>
      </c>
      <c r="D49" s="270" t="s">
        <v>699</v>
      </c>
      <c r="E49" s="269" t="s">
        <v>601</v>
      </c>
      <c r="F49" s="269" t="s">
        <v>232</v>
      </c>
      <c r="G49" s="271">
        <v>5.5999999999999999E-3</v>
      </c>
      <c r="H49" s="272">
        <v>180</v>
      </c>
      <c r="I49" s="272">
        <v>1</v>
      </c>
      <c r="J49" s="272">
        <v>0</v>
      </c>
      <c r="K49" s="269" t="s">
        <v>233</v>
      </c>
      <c r="L49" s="273">
        <v>46302</v>
      </c>
      <c r="M49" s="272">
        <v>0</v>
      </c>
      <c r="N49" s="272">
        <v>0</v>
      </c>
      <c r="O49" s="272">
        <v>1</v>
      </c>
      <c r="P49" s="269" t="s">
        <v>292</v>
      </c>
      <c r="Q49" s="265"/>
      <c r="R49" s="265"/>
      <c r="S49" s="265"/>
      <c r="T49" s="265"/>
      <c r="U49" s="265"/>
      <c r="V49" s="265"/>
      <c r="W49" s="265"/>
      <c r="X49" s="265"/>
      <c r="Y49" s="265"/>
      <c r="Z49" s="265"/>
      <c r="AA49" s="265"/>
      <c r="AB49" s="265"/>
      <c r="AC49" s="272" t="s">
        <v>302</v>
      </c>
      <c r="AD49" s="265"/>
      <c r="AE49" s="265"/>
      <c r="AF49" s="265"/>
      <c r="AG49" s="265"/>
      <c r="AH49" s="265"/>
      <c r="AI49" s="265"/>
      <c r="AJ49" s="265"/>
    </row>
    <row r="50" spans="1:36">
      <c r="A50" s="267" t="s">
        <v>230</v>
      </c>
      <c r="B50" s="268">
        <v>46051</v>
      </c>
      <c r="C50" s="269" t="s">
        <v>613</v>
      </c>
      <c r="D50" s="270" t="s">
        <v>687</v>
      </c>
      <c r="E50" s="269" t="s">
        <v>601</v>
      </c>
      <c r="F50" s="269" t="s">
        <v>232</v>
      </c>
      <c r="G50" s="271">
        <v>0</v>
      </c>
      <c r="H50" s="272">
        <v>180</v>
      </c>
      <c r="I50" s="272">
        <v>0</v>
      </c>
      <c r="J50" s="272">
        <v>0</v>
      </c>
      <c r="K50" s="269" t="s">
        <v>233</v>
      </c>
      <c r="L50" s="273" t="s">
        <v>66</v>
      </c>
      <c r="M50" s="272">
        <v>0</v>
      </c>
      <c r="N50" s="272">
        <v>0</v>
      </c>
      <c r="O50" s="272">
        <v>0</v>
      </c>
      <c r="P50" s="269" t="s">
        <v>292</v>
      </c>
      <c r="Q50" s="265"/>
      <c r="R50" s="265"/>
      <c r="S50" s="265"/>
      <c r="T50" s="265"/>
      <c r="U50" s="265"/>
      <c r="V50" s="265"/>
      <c r="W50" s="265"/>
      <c r="X50" s="265"/>
      <c r="Y50" s="265"/>
      <c r="Z50" s="265"/>
      <c r="AA50" s="265"/>
      <c r="AB50" s="265"/>
      <c r="AC50" s="265"/>
      <c r="AD50" s="265"/>
      <c r="AE50" s="265"/>
      <c r="AF50" s="265"/>
      <c r="AG50" s="265"/>
      <c r="AH50" s="265"/>
      <c r="AI50" s="265"/>
      <c r="AJ50" s="265"/>
    </row>
    <row r="51" spans="1:36">
      <c r="A51" s="267" t="s">
        <v>560</v>
      </c>
      <c r="B51" s="268">
        <v>46052</v>
      </c>
      <c r="C51" s="269" t="s">
        <v>613</v>
      </c>
      <c r="D51" s="270" t="s">
        <v>257</v>
      </c>
      <c r="E51" s="269" t="s">
        <v>601</v>
      </c>
      <c r="F51" s="269" t="s">
        <v>232</v>
      </c>
      <c r="G51" s="271">
        <v>5.5999999999999999E-3</v>
      </c>
      <c r="H51" s="272">
        <v>180</v>
      </c>
      <c r="I51" s="272">
        <v>1</v>
      </c>
      <c r="J51" s="272">
        <v>0</v>
      </c>
      <c r="K51" s="269" t="s">
        <v>233</v>
      </c>
      <c r="L51" s="273">
        <v>46328</v>
      </c>
      <c r="M51" s="272">
        <v>0</v>
      </c>
      <c r="N51" s="272">
        <v>0</v>
      </c>
      <c r="O51" s="272">
        <v>1</v>
      </c>
      <c r="P51" s="269" t="s">
        <v>514</v>
      </c>
      <c r="Q51" s="265"/>
      <c r="R51" s="265"/>
      <c r="S51" s="265"/>
      <c r="T51" s="265"/>
      <c r="U51" s="265"/>
      <c r="V51" s="265"/>
      <c r="W51" s="265"/>
      <c r="X51" s="265"/>
      <c r="Y51" s="265"/>
      <c r="Z51" s="265"/>
      <c r="AA51" s="272" t="s">
        <v>686</v>
      </c>
      <c r="AB51" s="265"/>
      <c r="AC51" s="265"/>
      <c r="AD51" s="265"/>
      <c r="AE51" s="265"/>
      <c r="AF51" s="265"/>
      <c r="AG51" s="265"/>
      <c r="AH51" s="265"/>
      <c r="AI51" s="265"/>
      <c r="AJ51" s="265"/>
    </row>
    <row r="52" spans="1:36">
      <c r="A52" s="267" t="s">
        <v>234</v>
      </c>
      <c r="B52" s="268">
        <v>46053</v>
      </c>
      <c r="C52" s="269" t="s">
        <v>630</v>
      </c>
      <c r="D52" s="270" t="s">
        <v>689</v>
      </c>
      <c r="E52" s="269" t="s">
        <v>601</v>
      </c>
      <c r="F52" s="269" t="s">
        <v>232</v>
      </c>
      <c r="G52" s="271">
        <v>0</v>
      </c>
      <c r="H52" s="272">
        <v>180</v>
      </c>
      <c r="I52" s="272">
        <v>0</v>
      </c>
      <c r="J52" s="272">
        <v>0</v>
      </c>
      <c r="K52" s="269" t="s">
        <v>233</v>
      </c>
      <c r="L52" s="273" t="s">
        <v>66</v>
      </c>
      <c r="M52" s="272">
        <v>0</v>
      </c>
      <c r="N52" s="272">
        <v>0</v>
      </c>
      <c r="O52" s="272">
        <v>0</v>
      </c>
      <c r="P52" s="269" t="s">
        <v>292</v>
      </c>
      <c r="Q52" s="265"/>
      <c r="R52" s="265"/>
      <c r="S52" s="265"/>
      <c r="T52" s="265"/>
      <c r="U52" s="265"/>
      <c r="V52" s="265"/>
      <c r="W52" s="265"/>
      <c r="X52" s="265"/>
      <c r="Y52" s="265"/>
      <c r="Z52" s="265"/>
      <c r="AA52" s="265"/>
      <c r="AB52" s="265"/>
      <c r="AC52" s="265"/>
      <c r="AD52" s="265"/>
      <c r="AE52" s="265"/>
      <c r="AF52" s="265"/>
      <c r="AG52" s="265"/>
      <c r="AH52" s="265"/>
      <c r="AI52" s="265"/>
      <c r="AJ52" s="265"/>
    </row>
    <row r="53" spans="1:36">
      <c r="A53" s="267" t="s">
        <v>234</v>
      </c>
      <c r="B53" s="268">
        <v>46053</v>
      </c>
      <c r="C53" s="269" t="s">
        <v>613</v>
      </c>
      <c r="D53" s="270" t="s">
        <v>690</v>
      </c>
      <c r="E53" s="269" t="s">
        <v>601</v>
      </c>
      <c r="F53" s="269" t="s">
        <v>232</v>
      </c>
      <c r="G53" s="271">
        <v>2.2200000000000001E-2</v>
      </c>
      <c r="H53" s="272">
        <v>180</v>
      </c>
      <c r="I53" s="272">
        <v>4</v>
      </c>
      <c r="J53" s="272">
        <v>0</v>
      </c>
      <c r="K53" s="269" t="s">
        <v>233</v>
      </c>
      <c r="L53" s="273">
        <v>46341</v>
      </c>
      <c r="M53" s="272">
        <v>0</v>
      </c>
      <c r="N53" s="272">
        <v>0</v>
      </c>
      <c r="O53" s="272">
        <v>4</v>
      </c>
      <c r="P53" s="269" t="s">
        <v>299</v>
      </c>
      <c r="Q53" s="265"/>
      <c r="R53" s="265"/>
      <c r="S53" s="265"/>
      <c r="T53" s="265"/>
      <c r="U53" s="265"/>
      <c r="V53" s="265"/>
      <c r="W53" s="265"/>
      <c r="X53" s="265"/>
      <c r="Y53" s="265"/>
      <c r="Z53" s="265"/>
      <c r="AA53" s="265"/>
      <c r="AB53" s="265"/>
      <c r="AC53" s="272" t="s">
        <v>307</v>
      </c>
      <c r="AD53" s="265"/>
      <c r="AE53" s="265"/>
      <c r="AF53" s="265"/>
      <c r="AG53" s="265"/>
      <c r="AH53" s="265"/>
      <c r="AI53" s="265"/>
      <c r="AJ53" s="265"/>
    </row>
    <row r="54" spans="1:36" ht="21">
      <c r="A54" s="274" t="s">
        <v>251</v>
      </c>
      <c r="B54" s="275"/>
      <c r="C54" s="274">
        <f>SUBTOTAL(103,HBE_JED_LF_LEGACY[Flt])</f>
        <v>52</v>
      </c>
      <c r="D54" s="274"/>
      <c r="E54" s="274">
        <f>SUBTOTAL(103,HBE_JED_LF_LEGACY[Brd-Off])</f>
        <v>52</v>
      </c>
      <c r="F54" s="274"/>
      <c r="G54" s="276">
        <f>SUBTOTAL(101,HBE_JED_LF_LEGACY[LF%])</f>
        <v>3.3232692307692338E-2</v>
      </c>
      <c r="H54" s="277">
        <f>SUBTOTAL(109,HBE_JED_LF_LEGACY[CAP])</f>
        <v>9360</v>
      </c>
      <c r="I54" s="277">
        <f>SUBTOTAL(109,HBE_JED_LF_LEGACY[BKG(Y)])</f>
        <v>311</v>
      </c>
      <c r="J54" s="277">
        <f>SUBTOTAL(109,HBE_JED_LF_LEGACY[GRP(Y)])</f>
        <v>125</v>
      </c>
      <c r="K54" s="274"/>
      <c r="L54" s="275"/>
      <c r="M54" s="277">
        <f>SUBTOTAL(109,HBE_JED_LF_LEGACY[TO-DAY])</f>
        <v>0</v>
      </c>
      <c r="N54" s="277">
        <f>SUBTOTAL(109,HBE_JED_LF_LEGACY[Y-DAY])</f>
        <v>0</v>
      </c>
      <c r="O54" s="277">
        <f>SUBTOTAL(109,HBE_JED_LF_LEGACY[WEEKLY])</f>
        <v>209</v>
      </c>
      <c r="P54" s="274"/>
      <c r="Q54" s="277">
        <f>SUBTOTAL(109,HBE_JED_LF_LEGACY[Y])</f>
        <v>0</v>
      </c>
      <c r="R54" s="277">
        <f>SUBTOTAL(109,HBE_JED_LF_LEGACY[B])</f>
        <v>0</v>
      </c>
      <c r="S54" s="277">
        <f>SUBTOTAL(109,HBE_JED_LF_LEGACY[M])</f>
        <v>0</v>
      </c>
      <c r="T54" s="277">
        <f>SUBTOTAL(109,HBE_JED_LF_LEGACY[H])</f>
        <v>0</v>
      </c>
      <c r="U54" s="277">
        <f>SUBTOTAL(109,HBE_JED_LF_LEGACY[Q])</f>
        <v>0</v>
      </c>
      <c r="V54" s="277">
        <f>SUBTOTAL(109,HBE_JED_LF_LEGACY[K])</f>
        <v>0</v>
      </c>
      <c r="W54" s="277">
        <f>SUBTOTAL(109,HBE_JED_LF_LEGACY[V])</f>
        <v>0</v>
      </c>
      <c r="X54" s="277">
        <f>SUBTOTAL(109,HBE_JED_LF_LEGACY[L])</f>
        <v>0</v>
      </c>
      <c r="Y54" s="277">
        <f>SUBTOTAL(109,HBE_JED_LF_LEGACY[G])</f>
        <v>0</v>
      </c>
      <c r="Z54" s="277">
        <f>SUBTOTAL(109,HBE_JED_LF_LEGACY[S])</f>
        <v>0</v>
      </c>
      <c r="AA54" s="277">
        <f>SUBTOTAL(109,HBE_JED_LF_LEGACY[W])</f>
        <v>0</v>
      </c>
      <c r="AB54" s="277">
        <f>SUBTOTAL(109,HBE_JED_LF_LEGACY[T])</f>
        <v>0</v>
      </c>
      <c r="AC54" s="277">
        <f>SUBTOTAL(109,HBE_JED_LF_LEGACY[X])</f>
        <v>0</v>
      </c>
      <c r="AD54" s="277">
        <f>SUBTOTAL(109,HBE_JED_LF_LEGACY[U])</f>
        <v>0</v>
      </c>
      <c r="AE54" s="277">
        <f>SUBTOTAL(109,HBE_JED_LF_LEGACY[O])</f>
        <v>0</v>
      </c>
      <c r="AF54" s="277">
        <f>SUBTOTAL(109,HBE_JED_LF_LEGACY[I])</f>
        <v>0</v>
      </c>
      <c r="AG54" s="277">
        <f>SUBTOTAL(109,HBE_JED_LF_LEGACY[E])</f>
        <v>0</v>
      </c>
      <c r="AH54" s="277">
        <f>SUBTOTAL(109,HBE_JED_LF_LEGACY[A])</f>
        <v>0</v>
      </c>
      <c r="AI54" s="277">
        <f>SUBTOTAL(109,HBE_JED_LF_LEGACY[P])</f>
        <v>0</v>
      </c>
      <c r="AJ54" s="277">
        <f>SUBTOTAL(103,HBE_JED_LF_LEGACY[N])</f>
        <v>1</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637"/>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60.140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1" t="s">
        <v>254</v>
      </c>
      <c r="B2" s="112" t="s">
        <v>359</v>
      </c>
      <c r="C2" s="113" t="s">
        <v>602</v>
      </c>
      <c r="D2" s="112" t="s">
        <v>601</v>
      </c>
      <c r="E2" s="112" t="s">
        <v>702</v>
      </c>
      <c r="F2" s="112" t="s">
        <v>603</v>
      </c>
      <c r="G2" s="114">
        <v>9</v>
      </c>
      <c r="H2" s="115" t="s">
        <v>604</v>
      </c>
    </row>
    <row r="3" spans="1:8" ht="19.899999999999999" customHeight="1">
      <c r="A3" s="111" t="s">
        <v>254</v>
      </c>
      <c r="B3" s="112" t="s">
        <v>359</v>
      </c>
      <c r="C3" s="113" t="s">
        <v>608</v>
      </c>
      <c r="D3" s="112" t="s">
        <v>601</v>
      </c>
      <c r="E3" s="112" t="s">
        <v>703</v>
      </c>
      <c r="F3" s="112" t="s">
        <v>603</v>
      </c>
      <c r="G3" s="114">
        <v>9</v>
      </c>
      <c r="H3" s="115" t="s">
        <v>604</v>
      </c>
    </row>
    <row r="4" spans="1:8" ht="19.899999999999999" customHeight="1">
      <c r="A4" s="111" t="s">
        <v>254</v>
      </c>
      <c r="B4" s="112" t="s">
        <v>359</v>
      </c>
      <c r="C4" s="113" t="s">
        <v>602</v>
      </c>
      <c r="D4" s="112" t="s">
        <v>601</v>
      </c>
      <c r="E4" s="112" t="s">
        <v>702</v>
      </c>
      <c r="F4" s="112" t="s">
        <v>605</v>
      </c>
      <c r="G4" s="114">
        <v>9</v>
      </c>
      <c r="H4" s="115" t="s">
        <v>606</v>
      </c>
    </row>
    <row r="5" spans="1:8" ht="19.899999999999999" customHeight="1">
      <c r="A5" s="111" t="s">
        <v>254</v>
      </c>
      <c r="B5" s="112" t="s">
        <v>359</v>
      </c>
      <c r="C5" s="113" t="s">
        <v>608</v>
      </c>
      <c r="D5" s="112" t="s">
        <v>601</v>
      </c>
      <c r="E5" s="112" t="s">
        <v>703</v>
      </c>
      <c r="F5" s="112" t="s">
        <v>605</v>
      </c>
      <c r="G5" s="114">
        <v>9</v>
      </c>
      <c r="H5" s="115" t="s">
        <v>606</v>
      </c>
    </row>
    <row r="6" spans="1:8" ht="19.899999999999999" customHeight="1">
      <c r="A6" s="111" t="s">
        <v>254</v>
      </c>
      <c r="B6" s="112" t="s">
        <v>48</v>
      </c>
      <c r="C6" s="113" t="s">
        <v>609</v>
      </c>
      <c r="D6" s="112" t="s">
        <v>601</v>
      </c>
      <c r="E6" s="112" t="s">
        <v>704</v>
      </c>
      <c r="F6" s="112" t="s">
        <v>50</v>
      </c>
      <c r="G6" s="114">
        <v>9</v>
      </c>
      <c r="H6" s="115" t="s">
        <v>133</v>
      </c>
    </row>
    <row r="7" spans="1:8" ht="19.899999999999999" customHeight="1">
      <c r="A7" s="111" t="s">
        <v>254</v>
      </c>
      <c r="B7" s="112" t="s">
        <v>48</v>
      </c>
      <c r="C7" s="113" t="s">
        <v>611</v>
      </c>
      <c r="D7" s="112" t="s">
        <v>601</v>
      </c>
      <c r="E7" s="112" t="s">
        <v>243</v>
      </c>
      <c r="F7" s="112" t="s">
        <v>50</v>
      </c>
      <c r="G7" s="114">
        <v>9</v>
      </c>
      <c r="H7" s="115" t="s">
        <v>133</v>
      </c>
    </row>
    <row r="8" spans="1:8" ht="19.899999999999999" customHeight="1">
      <c r="A8" s="116" t="s">
        <v>254</v>
      </c>
      <c r="B8" s="117" t="s">
        <v>61</v>
      </c>
      <c r="C8" s="118" t="s">
        <v>612</v>
      </c>
      <c r="D8" s="117" t="s">
        <v>601</v>
      </c>
      <c r="E8" s="117" t="s">
        <v>687</v>
      </c>
      <c r="F8" s="117" t="s">
        <v>63</v>
      </c>
      <c r="G8" s="119">
        <v>6</v>
      </c>
      <c r="H8" s="120" t="s">
        <v>449</v>
      </c>
    </row>
    <row r="9" spans="1:8" ht="19.899999999999999" customHeight="1">
      <c r="A9" s="121">
        <v>46023</v>
      </c>
      <c r="B9" s="112" t="s">
        <v>48</v>
      </c>
      <c r="C9" s="113" t="s">
        <v>609</v>
      </c>
      <c r="D9" s="112" t="s">
        <v>601</v>
      </c>
      <c r="E9" s="122">
        <v>1.4513888888888891</v>
      </c>
      <c r="F9" s="112" t="s">
        <v>53</v>
      </c>
      <c r="G9" s="114">
        <v>9</v>
      </c>
      <c r="H9" s="115" t="s">
        <v>610</v>
      </c>
    </row>
    <row r="10" spans="1:8" ht="19.899999999999999" customHeight="1">
      <c r="A10" s="121">
        <v>46023</v>
      </c>
      <c r="B10" s="112" t="s">
        <v>48</v>
      </c>
      <c r="C10" s="113" t="s">
        <v>611</v>
      </c>
      <c r="D10" s="112" t="s">
        <v>601</v>
      </c>
      <c r="E10" s="122">
        <v>1.819444444444444</v>
      </c>
      <c r="F10" s="112" t="s">
        <v>53</v>
      </c>
      <c r="G10" s="114">
        <v>9</v>
      </c>
      <c r="H10" s="115" t="s">
        <v>610</v>
      </c>
    </row>
    <row r="11" spans="1:8" ht="19.899999999999999" customHeight="1">
      <c r="A11" s="121">
        <v>46023</v>
      </c>
      <c r="B11" s="112" t="s">
        <v>359</v>
      </c>
      <c r="C11" s="113" t="s">
        <v>602</v>
      </c>
      <c r="D11" s="112" t="s">
        <v>601</v>
      </c>
      <c r="E11" s="122">
        <v>1.3611111111111109</v>
      </c>
      <c r="F11" s="112" t="s">
        <v>46</v>
      </c>
      <c r="G11" s="114">
        <v>9</v>
      </c>
      <c r="H11" s="115" t="s">
        <v>607</v>
      </c>
    </row>
    <row r="12" spans="1:8" ht="19.899999999999999" customHeight="1">
      <c r="A12" s="121">
        <v>46023</v>
      </c>
      <c r="B12" s="112" t="s">
        <v>359</v>
      </c>
      <c r="C12" s="113" t="s">
        <v>608</v>
      </c>
      <c r="D12" s="112" t="s">
        <v>601</v>
      </c>
      <c r="E12" s="122">
        <v>1.631944444444444</v>
      </c>
      <c r="F12" s="112" t="s">
        <v>46</v>
      </c>
      <c r="G12" s="114">
        <v>9</v>
      </c>
      <c r="H12" s="115" t="s">
        <v>607</v>
      </c>
    </row>
    <row r="13" spans="1:8" ht="19.899999999999999" customHeight="1">
      <c r="A13" s="143"/>
      <c r="B13" s="144"/>
      <c r="C13" s="144"/>
      <c r="D13" s="144"/>
      <c r="E13" s="144"/>
      <c r="F13" s="145" t="s">
        <v>705</v>
      </c>
      <c r="G13" s="144"/>
      <c r="H13" s="146"/>
    </row>
    <row r="14" spans="1:8" ht="19.899999999999999" customHeight="1">
      <c r="A14" s="121">
        <v>46023</v>
      </c>
      <c r="B14" s="112" t="s">
        <v>38</v>
      </c>
      <c r="C14" s="113" t="s">
        <v>342</v>
      </c>
      <c r="D14" s="112" t="s">
        <v>341</v>
      </c>
      <c r="E14" s="122">
        <v>1.489583333333333</v>
      </c>
      <c r="F14" s="112" t="s">
        <v>40</v>
      </c>
      <c r="G14" s="114">
        <v>15</v>
      </c>
      <c r="H14" s="115" t="s">
        <v>343</v>
      </c>
    </row>
    <row r="15" spans="1:8" ht="19.899999999999999" customHeight="1">
      <c r="A15" s="121">
        <v>46023</v>
      </c>
      <c r="B15" s="112" t="s">
        <v>38</v>
      </c>
      <c r="C15" s="113" t="s">
        <v>344</v>
      </c>
      <c r="D15" s="112" t="s">
        <v>341</v>
      </c>
      <c r="E15" s="122">
        <v>1.8888888888888891</v>
      </c>
      <c r="F15" s="112" t="s">
        <v>40</v>
      </c>
      <c r="G15" s="114">
        <v>19</v>
      </c>
      <c r="H15" s="115" t="s">
        <v>343</v>
      </c>
    </row>
    <row r="16" spans="1:8" ht="19.899999999999999" customHeight="1">
      <c r="A16" s="121">
        <v>46023</v>
      </c>
      <c r="B16" s="112" t="s">
        <v>38</v>
      </c>
      <c r="C16" s="113" t="s">
        <v>345</v>
      </c>
      <c r="D16" s="112" t="s">
        <v>341</v>
      </c>
      <c r="E16" s="122">
        <v>1.989583333333333</v>
      </c>
      <c r="F16" s="112" t="s">
        <v>40</v>
      </c>
      <c r="G16" s="114">
        <v>20</v>
      </c>
      <c r="H16" s="115" t="s">
        <v>343</v>
      </c>
    </row>
    <row r="17" spans="1:8" ht="19.899999999999999" customHeight="1">
      <c r="A17" s="121">
        <v>46023</v>
      </c>
      <c r="B17" s="112" t="s">
        <v>26</v>
      </c>
      <c r="C17" s="113" t="s">
        <v>348</v>
      </c>
      <c r="D17" s="112" t="s">
        <v>341</v>
      </c>
      <c r="E17" s="122">
        <v>1.993055555555556</v>
      </c>
      <c r="F17" s="112" t="s">
        <v>28</v>
      </c>
      <c r="G17" s="114">
        <v>5</v>
      </c>
      <c r="H17" s="115" t="s">
        <v>131</v>
      </c>
    </row>
    <row r="18" spans="1:8" ht="19.899999999999999" customHeight="1">
      <c r="A18" s="121">
        <v>46023</v>
      </c>
      <c r="B18" s="112" t="s">
        <v>26</v>
      </c>
      <c r="C18" s="113" t="s">
        <v>350</v>
      </c>
      <c r="D18" s="112" t="s">
        <v>341</v>
      </c>
      <c r="E18" s="122">
        <v>1.7361111111111109</v>
      </c>
      <c r="F18" s="112" t="s">
        <v>28</v>
      </c>
      <c r="G18" s="114">
        <v>1</v>
      </c>
      <c r="H18" s="115" t="s">
        <v>131</v>
      </c>
    </row>
    <row r="19" spans="1:8" ht="19.899999999999999" customHeight="1">
      <c r="A19" s="121">
        <v>46023</v>
      </c>
      <c r="B19" s="112" t="s">
        <v>26</v>
      </c>
      <c r="C19" s="113" t="s">
        <v>351</v>
      </c>
      <c r="D19" s="112" t="s">
        <v>341</v>
      </c>
      <c r="E19" s="122">
        <v>1.836805555555556</v>
      </c>
      <c r="F19" s="112" t="s">
        <v>28</v>
      </c>
      <c r="G19" s="114">
        <v>2</v>
      </c>
      <c r="H19" s="115" t="s">
        <v>131</v>
      </c>
    </row>
    <row r="20" spans="1:8" ht="19.899999999999999" customHeight="1">
      <c r="A20" s="121">
        <v>46023</v>
      </c>
      <c r="B20" s="112" t="s">
        <v>26</v>
      </c>
      <c r="C20" s="113" t="s">
        <v>352</v>
      </c>
      <c r="D20" s="112" t="s">
        <v>341</v>
      </c>
      <c r="E20" s="122">
        <v>1.944444444444444</v>
      </c>
      <c r="F20" s="112" t="s">
        <v>28</v>
      </c>
      <c r="G20" s="114">
        <v>4</v>
      </c>
      <c r="H20" s="115" t="s">
        <v>131</v>
      </c>
    </row>
    <row r="21" spans="1:8" ht="19.899999999999999" customHeight="1">
      <c r="A21" s="121">
        <v>46023</v>
      </c>
      <c r="B21" s="112" t="s">
        <v>26</v>
      </c>
      <c r="C21" s="113" t="s">
        <v>353</v>
      </c>
      <c r="D21" s="112" t="s">
        <v>341</v>
      </c>
      <c r="E21" s="122">
        <v>1.8888888888888891</v>
      </c>
      <c r="F21" s="112" t="s">
        <v>28</v>
      </c>
      <c r="G21" s="114">
        <v>5</v>
      </c>
      <c r="H21" s="115" t="s">
        <v>131</v>
      </c>
    </row>
    <row r="22" spans="1:8" ht="19.899999999999999" customHeight="1">
      <c r="A22" s="121">
        <v>46023</v>
      </c>
      <c r="B22" s="112" t="s">
        <v>359</v>
      </c>
      <c r="C22" s="113" t="s">
        <v>360</v>
      </c>
      <c r="D22" s="112" t="s">
        <v>341</v>
      </c>
      <c r="E22" s="122">
        <v>1.1701388888888891</v>
      </c>
      <c r="F22" s="112" t="s">
        <v>361</v>
      </c>
      <c r="G22" s="114">
        <v>9</v>
      </c>
      <c r="H22" s="115" t="s">
        <v>362</v>
      </c>
    </row>
    <row r="23" spans="1:8" ht="19.899999999999999" customHeight="1">
      <c r="A23" s="123">
        <v>46023</v>
      </c>
      <c r="B23" s="124" t="s">
        <v>38</v>
      </c>
      <c r="C23" s="125" t="s">
        <v>346</v>
      </c>
      <c r="D23" s="124" t="s">
        <v>341</v>
      </c>
      <c r="E23" s="126">
        <v>1.399305555555556</v>
      </c>
      <c r="F23" s="124" t="s">
        <v>40</v>
      </c>
      <c r="G23" s="127">
        <v>20</v>
      </c>
      <c r="H23" s="128" t="s">
        <v>347</v>
      </c>
    </row>
    <row r="24" spans="1:8" ht="19.899999999999999" customHeight="1">
      <c r="A24" s="121">
        <v>46024</v>
      </c>
      <c r="B24" s="112" t="s">
        <v>359</v>
      </c>
      <c r="C24" s="113" t="s">
        <v>616</v>
      </c>
      <c r="D24" s="112" t="s">
        <v>601</v>
      </c>
      <c r="E24" s="122">
        <v>1.010416666666667</v>
      </c>
      <c r="F24" s="112" t="s">
        <v>603</v>
      </c>
      <c r="G24" s="114">
        <v>9</v>
      </c>
      <c r="H24" s="115" t="s">
        <v>617</v>
      </c>
    </row>
    <row r="25" spans="1:8" ht="19.899999999999999" customHeight="1">
      <c r="A25" s="129">
        <v>46024</v>
      </c>
      <c r="B25" s="117" t="s">
        <v>61</v>
      </c>
      <c r="C25" s="118" t="s">
        <v>612</v>
      </c>
      <c r="D25" s="117" t="s">
        <v>601</v>
      </c>
      <c r="E25" s="130">
        <v>1.229166666666667</v>
      </c>
      <c r="F25" s="117" t="s">
        <v>63</v>
      </c>
      <c r="G25" s="119">
        <v>4</v>
      </c>
      <c r="H25" s="120" t="s">
        <v>449</v>
      </c>
    </row>
    <row r="26" spans="1:8" ht="19.899999999999999" customHeight="1">
      <c r="A26" s="121">
        <v>46024</v>
      </c>
      <c r="B26" s="112" t="s">
        <v>48</v>
      </c>
      <c r="C26" s="113" t="s">
        <v>611</v>
      </c>
      <c r="D26" s="112" t="s">
        <v>601</v>
      </c>
      <c r="E26" s="122">
        <v>1.819444444444444</v>
      </c>
      <c r="F26" s="112" t="s">
        <v>53</v>
      </c>
      <c r="G26" s="114">
        <v>9</v>
      </c>
      <c r="H26" s="115" t="s">
        <v>191</v>
      </c>
    </row>
    <row r="27" spans="1:8" ht="19.899999999999999" customHeight="1">
      <c r="A27" s="143"/>
      <c r="B27" s="144"/>
      <c r="C27" s="144"/>
      <c r="D27" s="144"/>
      <c r="E27" s="144"/>
      <c r="F27" s="145" t="s">
        <v>705</v>
      </c>
      <c r="G27" s="144"/>
      <c r="H27" s="146"/>
    </row>
    <row r="28" spans="1:8" ht="19.899999999999999" customHeight="1">
      <c r="A28" s="121">
        <v>46024</v>
      </c>
      <c r="B28" s="112" t="s">
        <v>38</v>
      </c>
      <c r="C28" s="113" t="s">
        <v>346</v>
      </c>
      <c r="D28" s="112" t="s">
        <v>341</v>
      </c>
      <c r="E28" s="122">
        <v>1.399305555555556</v>
      </c>
      <c r="F28" s="112" t="s">
        <v>40</v>
      </c>
      <c r="G28" s="114">
        <v>7</v>
      </c>
      <c r="H28" s="115" t="s">
        <v>343</v>
      </c>
    </row>
    <row r="29" spans="1:8" ht="19.899999999999999" customHeight="1">
      <c r="A29" s="121">
        <v>46024</v>
      </c>
      <c r="B29" s="112" t="s">
        <v>38</v>
      </c>
      <c r="C29" s="113" t="s">
        <v>344</v>
      </c>
      <c r="D29" s="112" t="s">
        <v>341</v>
      </c>
      <c r="E29" s="122">
        <v>1.8888888888888891</v>
      </c>
      <c r="F29" s="112" t="s">
        <v>40</v>
      </c>
      <c r="G29" s="114">
        <v>19</v>
      </c>
      <c r="H29" s="115" t="s">
        <v>30</v>
      </c>
    </row>
    <row r="30" spans="1:8" ht="19.899999999999999" customHeight="1">
      <c r="A30" s="121">
        <v>46024</v>
      </c>
      <c r="B30" s="112" t="s">
        <v>359</v>
      </c>
      <c r="C30" s="113" t="s">
        <v>422</v>
      </c>
      <c r="D30" s="112" t="s">
        <v>341</v>
      </c>
      <c r="E30" s="122">
        <v>1.8090277777777779</v>
      </c>
      <c r="F30" s="112" t="s">
        <v>361</v>
      </c>
      <c r="G30" s="114">
        <v>9</v>
      </c>
      <c r="H30" s="115" t="s">
        <v>423</v>
      </c>
    </row>
    <row r="31" spans="1:8" ht="19.899999999999999" customHeight="1">
      <c r="A31" s="121">
        <v>46024</v>
      </c>
      <c r="B31" s="112" t="s">
        <v>359</v>
      </c>
      <c r="C31" s="113" t="s">
        <v>360</v>
      </c>
      <c r="D31" s="112" t="s">
        <v>341</v>
      </c>
      <c r="E31" s="122">
        <v>1.225694444444444</v>
      </c>
      <c r="F31" s="112" t="s">
        <v>361</v>
      </c>
      <c r="G31" s="114">
        <v>9</v>
      </c>
      <c r="H31" s="115" t="s">
        <v>423</v>
      </c>
    </row>
    <row r="32" spans="1:8" ht="19.899999999999999" customHeight="1">
      <c r="A32" s="121">
        <v>46024</v>
      </c>
      <c r="B32" s="112" t="s">
        <v>359</v>
      </c>
      <c r="C32" s="113" t="s">
        <v>425</v>
      </c>
      <c r="D32" s="112" t="s">
        <v>341</v>
      </c>
      <c r="E32" s="122">
        <v>1.510416666666667</v>
      </c>
      <c r="F32" s="112" t="s">
        <v>361</v>
      </c>
      <c r="G32" s="114">
        <v>9</v>
      </c>
      <c r="H32" s="115" t="s">
        <v>423</v>
      </c>
    </row>
    <row r="33" spans="1:8" ht="19.899999999999999" customHeight="1">
      <c r="A33" s="121">
        <v>46024</v>
      </c>
      <c r="B33" s="112" t="s">
        <v>38</v>
      </c>
      <c r="C33" s="113" t="s">
        <v>342</v>
      </c>
      <c r="D33" s="112" t="s">
        <v>341</v>
      </c>
      <c r="E33" s="122">
        <v>1.489583333333333</v>
      </c>
      <c r="F33" s="112" t="s">
        <v>40</v>
      </c>
      <c r="G33" s="114">
        <v>19</v>
      </c>
      <c r="H33" s="115" t="s">
        <v>347</v>
      </c>
    </row>
    <row r="34" spans="1:8" ht="19.899999999999999" customHeight="1">
      <c r="A34" s="121">
        <v>46024</v>
      </c>
      <c r="B34" s="112" t="s">
        <v>38</v>
      </c>
      <c r="C34" s="113" t="s">
        <v>345</v>
      </c>
      <c r="D34" s="112" t="s">
        <v>341</v>
      </c>
      <c r="E34" s="122">
        <v>1.989583333333333</v>
      </c>
      <c r="F34" s="112" t="s">
        <v>40</v>
      </c>
      <c r="G34" s="114">
        <v>16</v>
      </c>
      <c r="H34" s="115" t="s">
        <v>347</v>
      </c>
    </row>
    <row r="35" spans="1:8" ht="19.899999999999999" customHeight="1">
      <c r="A35" s="121">
        <v>46024</v>
      </c>
      <c r="B35" s="112" t="s">
        <v>26</v>
      </c>
      <c r="C35" s="113" t="s">
        <v>348</v>
      </c>
      <c r="D35" s="112" t="s">
        <v>341</v>
      </c>
      <c r="E35" s="122">
        <v>1.993055555555556</v>
      </c>
      <c r="F35" s="112" t="s">
        <v>28</v>
      </c>
      <c r="G35" s="114">
        <v>1</v>
      </c>
      <c r="H35" s="115" t="s">
        <v>347</v>
      </c>
    </row>
    <row r="36" spans="1:8" ht="19.899999999999999" customHeight="1">
      <c r="A36" s="121">
        <v>46024</v>
      </c>
      <c r="B36" s="112" t="s">
        <v>26</v>
      </c>
      <c r="C36" s="113" t="s">
        <v>350</v>
      </c>
      <c r="D36" s="112" t="s">
        <v>341</v>
      </c>
      <c r="E36" s="122">
        <v>1.7361111111111109</v>
      </c>
      <c r="F36" s="112" t="s">
        <v>28</v>
      </c>
      <c r="G36" s="114">
        <v>1</v>
      </c>
      <c r="H36" s="115" t="s">
        <v>347</v>
      </c>
    </row>
    <row r="37" spans="1:8" ht="19.899999999999999" customHeight="1">
      <c r="A37" s="123">
        <v>46024</v>
      </c>
      <c r="B37" s="124" t="s">
        <v>61</v>
      </c>
      <c r="C37" s="125" t="s">
        <v>428</v>
      </c>
      <c r="D37" s="124" t="s">
        <v>341</v>
      </c>
      <c r="E37" s="126">
        <v>1.5590277777777779</v>
      </c>
      <c r="F37" s="124" t="s">
        <v>63</v>
      </c>
      <c r="G37" s="127">
        <v>1</v>
      </c>
      <c r="H37" s="128" t="s">
        <v>365</v>
      </c>
    </row>
    <row r="38" spans="1:8" ht="19.899999999999999" customHeight="1">
      <c r="A38" s="121">
        <v>46025</v>
      </c>
      <c r="B38" s="112" t="s">
        <v>38</v>
      </c>
      <c r="C38" s="113" t="s">
        <v>621</v>
      </c>
      <c r="D38" s="112" t="s">
        <v>601</v>
      </c>
      <c r="E38" s="122">
        <v>1.3611111111111109</v>
      </c>
      <c r="F38" s="112" t="s">
        <v>622</v>
      </c>
      <c r="G38" s="114">
        <v>19</v>
      </c>
      <c r="H38" s="115" t="s">
        <v>121</v>
      </c>
    </row>
    <row r="39" spans="1:8" ht="19.899999999999999" customHeight="1">
      <c r="A39" s="121">
        <v>46025</v>
      </c>
      <c r="B39" s="112" t="s">
        <v>359</v>
      </c>
      <c r="C39" s="113" t="s">
        <v>602</v>
      </c>
      <c r="D39" s="112" t="s">
        <v>601</v>
      </c>
      <c r="E39" s="122">
        <v>1.3611111111111109</v>
      </c>
      <c r="F39" s="112" t="s">
        <v>603</v>
      </c>
      <c r="G39" s="114">
        <v>9</v>
      </c>
      <c r="H39" s="115" t="s">
        <v>617</v>
      </c>
    </row>
    <row r="40" spans="1:8" ht="19.899999999999999" customHeight="1">
      <c r="A40" s="121">
        <v>46025</v>
      </c>
      <c r="B40" s="112" t="s">
        <v>359</v>
      </c>
      <c r="C40" s="113" t="s">
        <v>628</v>
      </c>
      <c r="D40" s="112" t="s">
        <v>601</v>
      </c>
      <c r="E40" s="122">
        <v>1.0277777777777779</v>
      </c>
      <c r="F40" s="112" t="s">
        <v>603</v>
      </c>
      <c r="G40" s="114">
        <v>9</v>
      </c>
      <c r="H40" s="115" t="s">
        <v>617</v>
      </c>
    </row>
    <row r="41" spans="1:8" ht="19.899999999999999" customHeight="1">
      <c r="A41" s="129">
        <v>46025</v>
      </c>
      <c r="B41" s="117" t="s">
        <v>61</v>
      </c>
      <c r="C41" s="118" t="s">
        <v>629</v>
      </c>
      <c r="D41" s="117" t="s">
        <v>601</v>
      </c>
      <c r="E41" s="130">
        <v>1.270833333333333</v>
      </c>
      <c r="F41" s="117" t="s">
        <v>63</v>
      </c>
      <c r="G41" s="119">
        <v>2</v>
      </c>
      <c r="H41" s="120" t="s">
        <v>79</v>
      </c>
    </row>
    <row r="42" spans="1:8" ht="19.899999999999999" customHeight="1">
      <c r="A42" s="121">
        <v>46025</v>
      </c>
      <c r="B42" s="112" t="s">
        <v>38</v>
      </c>
      <c r="C42" s="113" t="s">
        <v>621</v>
      </c>
      <c r="D42" s="112" t="s">
        <v>601</v>
      </c>
      <c r="E42" s="122">
        <v>1.3611111111111109</v>
      </c>
      <c r="F42" s="112" t="s">
        <v>603</v>
      </c>
      <c r="G42" s="114">
        <v>19</v>
      </c>
      <c r="H42" s="115" t="s">
        <v>623</v>
      </c>
    </row>
    <row r="43" spans="1:8" ht="19.899999999999999" customHeight="1">
      <c r="A43" s="121">
        <v>46025</v>
      </c>
      <c r="B43" s="112" t="s">
        <v>68</v>
      </c>
      <c r="C43" s="113" t="s">
        <v>633</v>
      </c>
      <c r="D43" s="112" t="s">
        <v>601</v>
      </c>
      <c r="E43" s="122">
        <v>1.458333333333333</v>
      </c>
      <c r="F43" s="112" t="s">
        <v>70</v>
      </c>
      <c r="G43" s="114">
        <v>9</v>
      </c>
      <c r="H43" s="115" t="s">
        <v>634</v>
      </c>
    </row>
    <row r="44" spans="1:8" ht="19.899999999999999" customHeight="1">
      <c r="A44" s="121">
        <v>46025</v>
      </c>
      <c r="B44" s="112" t="s">
        <v>38</v>
      </c>
      <c r="C44" s="113" t="s">
        <v>621</v>
      </c>
      <c r="D44" s="112" t="s">
        <v>601</v>
      </c>
      <c r="E44" s="122">
        <v>1.3611111111111109</v>
      </c>
      <c r="F44" s="112" t="s">
        <v>605</v>
      </c>
      <c r="G44" s="114">
        <v>19</v>
      </c>
      <c r="H44" s="115" t="s">
        <v>624</v>
      </c>
    </row>
    <row r="45" spans="1:8" ht="19.899999999999999" customHeight="1">
      <c r="A45" s="121">
        <v>46025</v>
      </c>
      <c r="B45" s="112" t="s">
        <v>359</v>
      </c>
      <c r="C45" s="113" t="s">
        <v>602</v>
      </c>
      <c r="D45" s="112" t="s">
        <v>601</v>
      </c>
      <c r="E45" s="122">
        <v>1.3611111111111109</v>
      </c>
      <c r="F45" s="112" t="s">
        <v>605</v>
      </c>
      <c r="G45" s="114">
        <v>9</v>
      </c>
      <c r="H45" s="115" t="s">
        <v>626</v>
      </c>
    </row>
    <row r="46" spans="1:8" ht="19.899999999999999" customHeight="1">
      <c r="A46" s="121">
        <v>46025</v>
      </c>
      <c r="B46" s="112" t="s">
        <v>359</v>
      </c>
      <c r="C46" s="113" t="s">
        <v>628</v>
      </c>
      <c r="D46" s="112" t="s">
        <v>601</v>
      </c>
      <c r="E46" s="122">
        <v>1.0277777777777779</v>
      </c>
      <c r="F46" s="112" t="s">
        <v>605</v>
      </c>
      <c r="G46" s="114">
        <v>9</v>
      </c>
      <c r="H46" s="115" t="s">
        <v>626</v>
      </c>
    </row>
    <row r="47" spans="1:8" ht="19.899999999999999" customHeight="1">
      <c r="A47" s="129">
        <v>46025</v>
      </c>
      <c r="B47" s="117" t="s">
        <v>61</v>
      </c>
      <c r="C47" s="118" t="s">
        <v>612</v>
      </c>
      <c r="D47" s="117" t="s">
        <v>601</v>
      </c>
      <c r="E47" s="130">
        <v>1.604166666666667</v>
      </c>
      <c r="F47" s="117" t="s">
        <v>63</v>
      </c>
      <c r="G47" s="119">
        <v>8</v>
      </c>
      <c r="H47" s="120" t="s">
        <v>449</v>
      </c>
    </row>
    <row r="48" spans="1:8" ht="19.899999999999999" customHeight="1">
      <c r="A48" s="121">
        <v>46025</v>
      </c>
      <c r="B48" s="112" t="s">
        <v>38</v>
      </c>
      <c r="C48" s="113" t="s">
        <v>621</v>
      </c>
      <c r="D48" s="112" t="s">
        <v>601</v>
      </c>
      <c r="E48" s="122">
        <v>1.3611111111111109</v>
      </c>
      <c r="F48" s="112" t="s">
        <v>625</v>
      </c>
      <c r="G48" s="114">
        <v>19</v>
      </c>
      <c r="H48" s="115" t="s">
        <v>163</v>
      </c>
    </row>
    <row r="49" spans="1:8" ht="19.899999999999999" customHeight="1">
      <c r="A49" s="121">
        <v>46025</v>
      </c>
      <c r="B49" s="112" t="s">
        <v>359</v>
      </c>
      <c r="C49" s="113" t="s">
        <v>602</v>
      </c>
      <c r="D49" s="112" t="s">
        <v>601</v>
      </c>
      <c r="E49" s="122">
        <v>1.3611111111111109</v>
      </c>
      <c r="F49" s="112" t="s">
        <v>46</v>
      </c>
      <c r="G49" s="114">
        <v>9</v>
      </c>
      <c r="H49" s="115" t="s">
        <v>627</v>
      </c>
    </row>
    <row r="50" spans="1:8" ht="19.899999999999999" customHeight="1">
      <c r="A50" s="121">
        <v>46025</v>
      </c>
      <c r="B50" s="112" t="s">
        <v>359</v>
      </c>
      <c r="C50" s="113" t="s">
        <v>628</v>
      </c>
      <c r="D50" s="112" t="s">
        <v>601</v>
      </c>
      <c r="E50" s="122">
        <v>1.0277777777777779</v>
      </c>
      <c r="F50" s="112" t="s">
        <v>46</v>
      </c>
      <c r="G50" s="114">
        <v>9</v>
      </c>
      <c r="H50" s="115" t="s">
        <v>627</v>
      </c>
    </row>
    <row r="51" spans="1:8" ht="19.899999999999999" customHeight="1">
      <c r="A51" s="121">
        <v>46025</v>
      </c>
      <c r="B51" s="112" t="s">
        <v>48</v>
      </c>
      <c r="C51" s="113" t="s">
        <v>609</v>
      </c>
      <c r="D51" s="112" t="s">
        <v>601</v>
      </c>
      <c r="E51" s="122">
        <v>1.4513888888888891</v>
      </c>
      <c r="F51" s="112" t="s">
        <v>53</v>
      </c>
      <c r="G51" s="114">
        <v>9</v>
      </c>
      <c r="H51" s="115" t="s">
        <v>191</v>
      </c>
    </row>
    <row r="52" spans="1:8" ht="19.899999999999999" customHeight="1">
      <c r="A52" s="121">
        <v>46025</v>
      </c>
      <c r="B52" s="112" t="s">
        <v>48</v>
      </c>
      <c r="C52" s="113" t="s">
        <v>611</v>
      </c>
      <c r="D52" s="112" t="s">
        <v>601</v>
      </c>
      <c r="E52" s="122">
        <v>1.819444444444444</v>
      </c>
      <c r="F52" s="112" t="s">
        <v>53</v>
      </c>
      <c r="G52" s="114">
        <v>9</v>
      </c>
      <c r="H52" s="115" t="s">
        <v>191</v>
      </c>
    </row>
    <row r="53" spans="1:8" ht="19.899999999999999" customHeight="1">
      <c r="A53" s="143"/>
      <c r="B53" s="144"/>
      <c r="C53" s="144"/>
      <c r="D53" s="144"/>
      <c r="E53" s="144"/>
      <c r="F53" s="145" t="s">
        <v>705</v>
      </c>
      <c r="G53" s="144"/>
      <c r="H53" s="146"/>
    </row>
    <row r="54" spans="1:8" ht="19.899999999999999" customHeight="1">
      <c r="A54" s="121">
        <v>46025</v>
      </c>
      <c r="B54" s="112" t="s">
        <v>38</v>
      </c>
      <c r="C54" s="113" t="s">
        <v>346</v>
      </c>
      <c r="D54" s="112" t="s">
        <v>341</v>
      </c>
      <c r="E54" s="122">
        <v>1.399305555555556</v>
      </c>
      <c r="F54" s="112" t="s">
        <v>440</v>
      </c>
      <c r="G54" s="114">
        <v>15</v>
      </c>
      <c r="H54" s="115" t="s">
        <v>30</v>
      </c>
    </row>
    <row r="55" spans="1:8" ht="19.899999999999999" customHeight="1">
      <c r="A55" s="121">
        <v>46025</v>
      </c>
      <c r="B55" s="112" t="s">
        <v>38</v>
      </c>
      <c r="C55" s="113" t="s">
        <v>346</v>
      </c>
      <c r="D55" s="112" t="s">
        <v>341</v>
      </c>
      <c r="E55" s="122">
        <v>1.399305555555556</v>
      </c>
      <c r="F55" s="112" t="s">
        <v>40</v>
      </c>
      <c r="G55" s="114">
        <v>15</v>
      </c>
      <c r="H55" s="115" t="s">
        <v>30</v>
      </c>
    </row>
    <row r="56" spans="1:8" ht="19.899999999999999" customHeight="1">
      <c r="A56" s="121">
        <v>46025</v>
      </c>
      <c r="B56" s="112" t="s">
        <v>38</v>
      </c>
      <c r="C56" s="113" t="s">
        <v>345</v>
      </c>
      <c r="D56" s="112" t="s">
        <v>341</v>
      </c>
      <c r="E56" s="122">
        <v>1.989583333333333</v>
      </c>
      <c r="F56" s="112" t="s">
        <v>440</v>
      </c>
      <c r="G56" s="114">
        <v>11</v>
      </c>
      <c r="H56" s="115" t="s">
        <v>30</v>
      </c>
    </row>
    <row r="57" spans="1:8" ht="19.899999999999999" customHeight="1">
      <c r="A57" s="121">
        <v>46025</v>
      </c>
      <c r="B57" s="112" t="s">
        <v>38</v>
      </c>
      <c r="C57" s="113" t="s">
        <v>345</v>
      </c>
      <c r="D57" s="112" t="s">
        <v>341</v>
      </c>
      <c r="E57" s="122">
        <v>1.989583333333333</v>
      </c>
      <c r="F57" s="112" t="s">
        <v>40</v>
      </c>
      <c r="G57" s="114">
        <v>11</v>
      </c>
      <c r="H57" s="115" t="s">
        <v>30</v>
      </c>
    </row>
    <row r="58" spans="1:8" ht="19.899999999999999" customHeight="1">
      <c r="A58" s="121">
        <v>46025</v>
      </c>
      <c r="B58" s="112" t="s">
        <v>359</v>
      </c>
      <c r="C58" s="113" t="s">
        <v>360</v>
      </c>
      <c r="D58" s="112" t="s">
        <v>341</v>
      </c>
      <c r="E58" s="122">
        <v>1.1701388888888891</v>
      </c>
      <c r="F58" s="112" t="s">
        <v>361</v>
      </c>
      <c r="G58" s="114">
        <v>9</v>
      </c>
      <c r="H58" s="115" t="s">
        <v>423</v>
      </c>
    </row>
    <row r="59" spans="1:8" ht="19.899999999999999" customHeight="1">
      <c r="A59" s="121">
        <v>46025</v>
      </c>
      <c r="B59" s="112" t="s">
        <v>359</v>
      </c>
      <c r="C59" s="113" t="s">
        <v>445</v>
      </c>
      <c r="D59" s="112" t="s">
        <v>341</v>
      </c>
      <c r="E59" s="122">
        <v>1.055555555555556</v>
      </c>
      <c r="F59" s="112" t="s">
        <v>361</v>
      </c>
      <c r="G59" s="114">
        <v>9</v>
      </c>
      <c r="H59" s="115" t="s">
        <v>423</v>
      </c>
    </row>
    <row r="60" spans="1:8" ht="19.899999999999999" customHeight="1">
      <c r="A60" s="121">
        <v>46025</v>
      </c>
      <c r="B60" s="112" t="s">
        <v>61</v>
      </c>
      <c r="C60" s="113" t="s">
        <v>371</v>
      </c>
      <c r="D60" s="112" t="s">
        <v>341</v>
      </c>
      <c r="E60" s="122">
        <v>1.0486111111111109</v>
      </c>
      <c r="F60" s="112" t="s">
        <v>63</v>
      </c>
      <c r="G60" s="114">
        <v>3</v>
      </c>
      <c r="H60" s="115" t="s">
        <v>365</v>
      </c>
    </row>
    <row r="61" spans="1:8" ht="19.899999999999999" customHeight="1">
      <c r="A61" s="121">
        <v>46025</v>
      </c>
      <c r="B61" s="112" t="s">
        <v>38</v>
      </c>
      <c r="C61" s="113" t="s">
        <v>342</v>
      </c>
      <c r="D61" s="112" t="s">
        <v>341</v>
      </c>
      <c r="E61" s="122">
        <v>1.489583333333333</v>
      </c>
      <c r="F61" s="112" t="s">
        <v>40</v>
      </c>
      <c r="G61" s="114">
        <v>18</v>
      </c>
      <c r="H61" s="115" t="s">
        <v>349</v>
      </c>
    </row>
    <row r="62" spans="1:8" ht="19.899999999999999" customHeight="1">
      <c r="A62" s="121">
        <v>46025</v>
      </c>
      <c r="B62" s="112" t="s">
        <v>38</v>
      </c>
      <c r="C62" s="113" t="s">
        <v>344</v>
      </c>
      <c r="D62" s="112" t="s">
        <v>341</v>
      </c>
      <c r="E62" s="122">
        <v>1.8888888888888891</v>
      </c>
      <c r="F62" s="112" t="s">
        <v>440</v>
      </c>
      <c r="G62" s="114">
        <v>13</v>
      </c>
      <c r="H62" s="115" t="s">
        <v>349</v>
      </c>
    </row>
    <row r="63" spans="1:8" ht="19.899999999999999" customHeight="1">
      <c r="A63" s="123">
        <v>46025</v>
      </c>
      <c r="B63" s="124" t="s">
        <v>38</v>
      </c>
      <c r="C63" s="125" t="s">
        <v>344</v>
      </c>
      <c r="D63" s="124" t="s">
        <v>341</v>
      </c>
      <c r="E63" s="126">
        <v>1.8888888888888891</v>
      </c>
      <c r="F63" s="124" t="s">
        <v>40</v>
      </c>
      <c r="G63" s="127">
        <v>13</v>
      </c>
      <c r="H63" s="128" t="s">
        <v>349</v>
      </c>
    </row>
    <row r="64" spans="1:8" ht="19.899999999999999" customHeight="1">
      <c r="A64" s="121">
        <v>46026</v>
      </c>
      <c r="B64" s="112" t="s">
        <v>359</v>
      </c>
      <c r="C64" s="113" t="s">
        <v>602</v>
      </c>
      <c r="D64" s="112" t="s">
        <v>601</v>
      </c>
      <c r="E64" s="122">
        <v>1.3611111111111109</v>
      </c>
      <c r="F64" s="112" t="s">
        <v>603</v>
      </c>
      <c r="G64" s="114">
        <v>9</v>
      </c>
      <c r="H64" s="115" t="s">
        <v>617</v>
      </c>
    </row>
    <row r="65" spans="1:8" ht="19.899999999999999" customHeight="1">
      <c r="A65" s="129">
        <v>46026</v>
      </c>
      <c r="B65" s="117" t="s">
        <v>61</v>
      </c>
      <c r="C65" s="118" t="s">
        <v>612</v>
      </c>
      <c r="D65" s="117" t="s">
        <v>601</v>
      </c>
      <c r="E65" s="130">
        <v>1.4965277777777779</v>
      </c>
      <c r="F65" s="117" t="s">
        <v>63</v>
      </c>
      <c r="G65" s="119">
        <v>9</v>
      </c>
      <c r="H65" s="120" t="s">
        <v>79</v>
      </c>
    </row>
    <row r="66" spans="1:8" ht="19.899999999999999" customHeight="1">
      <c r="A66" s="129">
        <v>46026</v>
      </c>
      <c r="B66" s="117" t="s">
        <v>61</v>
      </c>
      <c r="C66" s="118" t="s">
        <v>629</v>
      </c>
      <c r="D66" s="117" t="s">
        <v>601</v>
      </c>
      <c r="E66" s="130">
        <v>1.5798611111111109</v>
      </c>
      <c r="F66" s="117" t="s">
        <v>63</v>
      </c>
      <c r="G66" s="119">
        <v>9</v>
      </c>
      <c r="H66" s="120" t="s">
        <v>79</v>
      </c>
    </row>
    <row r="67" spans="1:8" ht="19.899999999999999" customHeight="1">
      <c r="A67" s="121">
        <v>46026</v>
      </c>
      <c r="B67" s="112" t="s">
        <v>48</v>
      </c>
      <c r="C67" s="113" t="s">
        <v>611</v>
      </c>
      <c r="D67" s="112" t="s">
        <v>601</v>
      </c>
      <c r="E67" s="122">
        <v>1.819444444444444</v>
      </c>
      <c r="F67" s="112" t="s">
        <v>50</v>
      </c>
      <c r="G67" s="114">
        <v>1</v>
      </c>
      <c r="H67" s="115" t="s">
        <v>133</v>
      </c>
    </row>
    <row r="68" spans="1:8" ht="19.899999999999999" customHeight="1">
      <c r="A68" s="121">
        <v>46026</v>
      </c>
      <c r="B68" s="112" t="s">
        <v>359</v>
      </c>
      <c r="C68" s="113" t="s">
        <v>602</v>
      </c>
      <c r="D68" s="112" t="s">
        <v>601</v>
      </c>
      <c r="E68" s="122">
        <v>1.3611111111111109</v>
      </c>
      <c r="F68" s="112" t="s">
        <v>605</v>
      </c>
      <c r="G68" s="114">
        <v>9</v>
      </c>
      <c r="H68" s="115" t="s">
        <v>626</v>
      </c>
    </row>
    <row r="69" spans="1:8" ht="19.899999999999999" customHeight="1">
      <c r="A69" s="121">
        <v>46026</v>
      </c>
      <c r="B69" s="112" t="s">
        <v>48</v>
      </c>
      <c r="C69" s="113" t="s">
        <v>611</v>
      </c>
      <c r="D69" s="112" t="s">
        <v>601</v>
      </c>
      <c r="E69" s="122">
        <v>1.819444444444444</v>
      </c>
      <c r="F69" s="112" t="s">
        <v>53</v>
      </c>
      <c r="G69" s="114">
        <v>1</v>
      </c>
      <c r="H69" s="115" t="s">
        <v>610</v>
      </c>
    </row>
    <row r="70" spans="1:8" ht="19.899999999999999" customHeight="1">
      <c r="A70" s="121">
        <v>46026</v>
      </c>
      <c r="B70" s="112" t="s">
        <v>359</v>
      </c>
      <c r="C70" s="113" t="s">
        <v>602</v>
      </c>
      <c r="D70" s="112" t="s">
        <v>601</v>
      </c>
      <c r="E70" s="122">
        <v>1.3611111111111109</v>
      </c>
      <c r="F70" s="112" t="s">
        <v>46</v>
      </c>
      <c r="G70" s="114">
        <v>9</v>
      </c>
      <c r="H70" s="115" t="s">
        <v>627</v>
      </c>
    </row>
    <row r="71" spans="1:8" ht="19.899999999999999" customHeight="1">
      <c r="A71" s="143"/>
      <c r="B71" s="144"/>
      <c r="C71" s="144"/>
      <c r="D71" s="144"/>
      <c r="E71" s="144"/>
      <c r="F71" s="145" t="s">
        <v>705</v>
      </c>
      <c r="G71" s="144"/>
      <c r="H71" s="146"/>
    </row>
    <row r="72" spans="1:8" ht="19.899999999999999" customHeight="1">
      <c r="A72" s="121">
        <v>46026</v>
      </c>
      <c r="B72" s="112" t="s">
        <v>26</v>
      </c>
      <c r="C72" s="113" t="s">
        <v>348</v>
      </c>
      <c r="D72" s="112" t="s">
        <v>341</v>
      </c>
      <c r="E72" s="122">
        <v>1.993055555555556</v>
      </c>
      <c r="F72" s="112" t="s">
        <v>28</v>
      </c>
      <c r="G72" s="114">
        <v>6</v>
      </c>
      <c r="H72" s="115" t="s">
        <v>131</v>
      </c>
    </row>
    <row r="73" spans="1:8" ht="19.899999999999999" customHeight="1">
      <c r="A73" s="121">
        <v>46026</v>
      </c>
      <c r="B73" s="112" t="s">
        <v>26</v>
      </c>
      <c r="C73" s="113" t="s">
        <v>351</v>
      </c>
      <c r="D73" s="112" t="s">
        <v>341</v>
      </c>
      <c r="E73" s="122">
        <v>1.836805555555556</v>
      </c>
      <c r="F73" s="112" t="s">
        <v>28</v>
      </c>
      <c r="G73" s="114">
        <v>1</v>
      </c>
      <c r="H73" s="115" t="s">
        <v>131</v>
      </c>
    </row>
    <row r="74" spans="1:8" ht="19.899999999999999" customHeight="1">
      <c r="A74" s="121">
        <v>46026</v>
      </c>
      <c r="B74" s="112" t="s">
        <v>38</v>
      </c>
      <c r="C74" s="113" t="s">
        <v>346</v>
      </c>
      <c r="D74" s="112" t="s">
        <v>341</v>
      </c>
      <c r="E74" s="122">
        <v>1.399305555555556</v>
      </c>
      <c r="F74" s="112" t="s">
        <v>40</v>
      </c>
      <c r="G74" s="114">
        <v>19</v>
      </c>
      <c r="H74" s="115" t="s">
        <v>30</v>
      </c>
    </row>
    <row r="75" spans="1:8" ht="19.899999999999999" customHeight="1">
      <c r="A75" s="121">
        <v>46026</v>
      </c>
      <c r="B75" s="112" t="s">
        <v>38</v>
      </c>
      <c r="C75" s="113" t="s">
        <v>342</v>
      </c>
      <c r="D75" s="112" t="s">
        <v>341</v>
      </c>
      <c r="E75" s="122">
        <v>1.489583333333333</v>
      </c>
      <c r="F75" s="112" t="s">
        <v>40</v>
      </c>
      <c r="G75" s="114">
        <v>15</v>
      </c>
      <c r="H75" s="115" t="s">
        <v>30</v>
      </c>
    </row>
    <row r="76" spans="1:8" ht="19.899999999999999" customHeight="1">
      <c r="A76" s="121">
        <v>46026</v>
      </c>
      <c r="B76" s="112" t="s">
        <v>359</v>
      </c>
      <c r="C76" s="113" t="s">
        <v>360</v>
      </c>
      <c r="D76" s="112" t="s">
        <v>341</v>
      </c>
      <c r="E76" s="122">
        <v>1.229166666666667</v>
      </c>
      <c r="F76" s="112" t="s">
        <v>361</v>
      </c>
      <c r="G76" s="114">
        <v>9</v>
      </c>
      <c r="H76" s="115" t="s">
        <v>423</v>
      </c>
    </row>
    <row r="77" spans="1:8" ht="19.899999999999999" customHeight="1">
      <c r="A77" s="121">
        <v>46026</v>
      </c>
      <c r="B77" s="112" t="s">
        <v>26</v>
      </c>
      <c r="C77" s="113" t="s">
        <v>350</v>
      </c>
      <c r="D77" s="112" t="s">
        <v>341</v>
      </c>
      <c r="E77" s="122">
        <v>1.7361111111111109</v>
      </c>
      <c r="F77" s="112" t="s">
        <v>28</v>
      </c>
      <c r="G77" s="114">
        <v>4</v>
      </c>
      <c r="H77" s="115" t="s">
        <v>347</v>
      </c>
    </row>
    <row r="78" spans="1:8" ht="19.899999999999999" customHeight="1">
      <c r="A78" s="121">
        <v>46026</v>
      </c>
      <c r="B78" s="112" t="s">
        <v>26</v>
      </c>
      <c r="C78" s="113" t="s">
        <v>352</v>
      </c>
      <c r="D78" s="112" t="s">
        <v>341</v>
      </c>
      <c r="E78" s="122">
        <v>1.944444444444444</v>
      </c>
      <c r="F78" s="112" t="s">
        <v>28</v>
      </c>
      <c r="G78" s="114">
        <v>5</v>
      </c>
      <c r="H78" s="115" t="s">
        <v>347</v>
      </c>
    </row>
    <row r="79" spans="1:8" ht="19.899999999999999" customHeight="1">
      <c r="A79" s="121">
        <v>46026</v>
      </c>
      <c r="B79" s="112" t="s">
        <v>26</v>
      </c>
      <c r="C79" s="113" t="s">
        <v>353</v>
      </c>
      <c r="D79" s="112" t="s">
        <v>341</v>
      </c>
      <c r="E79" s="122">
        <v>1.8888888888888891</v>
      </c>
      <c r="F79" s="112" t="s">
        <v>28</v>
      </c>
      <c r="G79" s="114">
        <v>5</v>
      </c>
      <c r="H79" s="115" t="s">
        <v>347</v>
      </c>
    </row>
    <row r="80" spans="1:8" ht="19.899999999999999" customHeight="1">
      <c r="A80" s="121">
        <v>46026</v>
      </c>
      <c r="B80" s="112" t="s">
        <v>61</v>
      </c>
      <c r="C80" s="113" t="s">
        <v>432</v>
      </c>
      <c r="D80" s="112" t="s">
        <v>341</v>
      </c>
      <c r="E80" s="122">
        <v>1.333333333333333</v>
      </c>
      <c r="F80" s="112" t="s">
        <v>63</v>
      </c>
      <c r="G80" s="114">
        <v>6</v>
      </c>
      <c r="H80" s="115" t="s">
        <v>365</v>
      </c>
    </row>
    <row r="81" spans="1:8" ht="19.899999999999999" customHeight="1">
      <c r="A81" s="123">
        <v>46026</v>
      </c>
      <c r="B81" s="124" t="s">
        <v>61</v>
      </c>
      <c r="C81" s="125" t="s">
        <v>375</v>
      </c>
      <c r="D81" s="124" t="s">
        <v>341</v>
      </c>
      <c r="E81" s="126">
        <v>1.1423611111111109</v>
      </c>
      <c r="F81" s="124" t="s">
        <v>63</v>
      </c>
      <c r="G81" s="127">
        <v>4</v>
      </c>
      <c r="H81" s="128" t="s">
        <v>365</v>
      </c>
    </row>
    <row r="82" spans="1:8" ht="19.899999999999999" customHeight="1">
      <c r="A82" s="121">
        <v>46027</v>
      </c>
      <c r="B82" s="112" t="s">
        <v>359</v>
      </c>
      <c r="C82" s="113" t="s">
        <v>637</v>
      </c>
      <c r="D82" s="112" t="s">
        <v>601</v>
      </c>
      <c r="E82" s="122">
        <v>1.1284722222222221</v>
      </c>
      <c r="F82" s="112" t="s">
        <v>603</v>
      </c>
      <c r="G82" s="114">
        <v>9</v>
      </c>
      <c r="H82" s="115" t="s">
        <v>638</v>
      </c>
    </row>
    <row r="83" spans="1:8" ht="19.899999999999999" customHeight="1">
      <c r="A83" s="129">
        <v>46027</v>
      </c>
      <c r="B83" s="117" t="s">
        <v>61</v>
      </c>
      <c r="C83" s="118" t="s">
        <v>612</v>
      </c>
      <c r="D83" s="117" t="s">
        <v>601</v>
      </c>
      <c r="E83" s="130">
        <v>1.458333333333333</v>
      </c>
      <c r="F83" s="117" t="s">
        <v>63</v>
      </c>
      <c r="G83" s="119">
        <v>5</v>
      </c>
      <c r="H83" s="120" t="s">
        <v>79</v>
      </c>
    </row>
    <row r="84" spans="1:8" ht="19.899999999999999" customHeight="1">
      <c r="A84" s="129">
        <v>46027</v>
      </c>
      <c r="B84" s="117" t="s">
        <v>61</v>
      </c>
      <c r="C84" s="118" t="s">
        <v>629</v>
      </c>
      <c r="D84" s="117" t="s">
        <v>601</v>
      </c>
      <c r="E84" s="130">
        <v>1.149305555555556</v>
      </c>
      <c r="F84" s="117" t="s">
        <v>63</v>
      </c>
      <c r="G84" s="119">
        <v>9</v>
      </c>
      <c r="H84" s="120" t="s">
        <v>79</v>
      </c>
    </row>
    <row r="85" spans="1:8" ht="19.899999999999999" customHeight="1">
      <c r="A85" s="121">
        <v>46027</v>
      </c>
      <c r="B85" s="112" t="s">
        <v>48</v>
      </c>
      <c r="C85" s="113" t="s">
        <v>611</v>
      </c>
      <c r="D85" s="112" t="s">
        <v>601</v>
      </c>
      <c r="E85" s="122">
        <v>1.819444444444444</v>
      </c>
      <c r="F85" s="112" t="s">
        <v>50</v>
      </c>
      <c r="G85" s="114">
        <v>1</v>
      </c>
      <c r="H85" s="115" t="s">
        <v>133</v>
      </c>
    </row>
    <row r="86" spans="1:8" ht="19.899999999999999" customHeight="1">
      <c r="A86" s="121">
        <v>46027</v>
      </c>
      <c r="B86" s="112" t="s">
        <v>48</v>
      </c>
      <c r="C86" s="113" t="s">
        <v>611</v>
      </c>
      <c r="D86" s="112" t="s">
        <v>601</v>
      </c>
      <c r="E86" s="122">
        <v>1.819444444444444</v>
      </c>
      <c r="F86" s="112" t="s">
        <v>53</v>
      </c>
      <c r="G86" s="114">
        <v>1</v>
      </c>
      <c r="H86" s="115" t="s">
        <v>610</v>
      </c>
    </row>
    <row r="87" spans="1:8" ht="19.899999999999999" customHeight="1">
      <c r="A87" s="121">
        <v>46027</v>
      </c>
      <c r="B87" s="112" t="s">
        <v>68</v>
      </c>
      <c r="C87" s="113" t="s">
        <v>633</v>
      </c>
      <c r="D87" s="112" t="s">
        <v>601</v>
      </c>
      <c r="E87" s="122">
        <v>1.4236111111111109</v>
      </c>
      <c r="F87" s="112" t="s">
        <v>70</v>
      </c>
      <c r="G87" s="114">
        <v>9</v>
      </c>
      <c r="H87" s="115" t="s">
        <v>640</v>
      </c>
    </row>
    <row r="88" spans="1:8" ht="19.899999999999999" customHeight="1">
      <c r="A88" s="143"/>
      <c r="B88" s="144"/>
      <c r="C88" s="144"/>
      <c r="D88" s="144"/>
      <c r="E88" s="144"/>
      <c r="F88" s="145" t="s">
        <v>705</v>
      </c>
      <c r="G88" s="144"/>
      <c r="H88" s="146"/>
    </row>
    <row r="89" spans="1:8" ht="19.899999999999999" customHeight="1">
      <c r="A89" s="121">
        <v>46027</v>
      </c>
      <c r="B89" s="112" t="s">
        <v>38</v>
      </c>
      <c r="C89" s="113" t="s">
        <v>342</v>
      </c>
      <c r="D89" s="112" t="s">
        <v>341</v>
      </c>
      <c r="E89" s="122">
        <v>1.489583333333333</v>
      </c>
      <c r="F89" s="112" t="s">
        <v>440</v>
      </c>
      <c r="G89" s="114">
        <v>14</v>
      </c>
      <c r="H89" s="115" t="s">
        <v>88</v>
      </c>
    </row>
    <row r="90" spans="1:8" ht="19.899999999999999" customHeight="1">
      <c r="A90" s="121">
        <v>46027</v>
      </c>
      <c r="B90" s="112" t="s">
        <v>38</v>
      </c>
      <c r="C90" s="113" t="s">
        <v>342</v>
      </c>
      <c r="D90" s="112" t="s">
        <v>341</v>
      </c>
      <c r="E90" s="122">
        <v>1.489583333333333</v>
      </c>
      <c r="F90" s="112" t="s">
        <v>40</v>
      </c>
      <c r="G90" s="114">
        <v>14</v>
      </c>
      <c r="H90" s="115" t="s">
        <v>88</v>
      </c>
    </row>
    <row r="91" spans="1:8" ht="19.899999999999999" customHeight="1">
      <c r="A91" s="121">
        <v>46027</v>
      </c>
      <c r="B91" s="112" t="s">
        <v>38</v>
      </c>
      <c r="C91" s="113" t="s">
        <v>346</v>
      </c>
      <c r="D91" s="112" t="s">
        <v>341</v>
      </c>
      <c r="E91" s="122">
        <v>1.399305555555556</v>
      </c>
      <c r="F91" s="112" t="s">
        <v>440</v>
      </c>
      <c r="G91" s="114">
        <v>20</v>
      </c>
      <c r="H91" s="115" t="s">
        <v>343</v>
      </c>
    </row>
    <row r="92" spans="1:8" ht="19.899999999999999" customHeight="1">
      <c r="A92" s="121">
        <v>46027</v>
      </c>
      <c r="B92" s="112" t="s">
        <v>38</v>
      </c>
      <c r="C92" s="113" t="s">
        <v>346</v>
      </c>
      <c r="D92" s="112" t="s">
        <v>341</v>
      </c>
      <c r="E92" s="122">
        <v>1.399305555555556</v>
      </c>
      <c r="F92" s="112" t="s">
        <v>40</v>
      </c>
      <c r="G92" s="114">
        <v>20</v>
      </c>
      <c r="H92" s="115" t="s">
        <v>343</v>
      </c>
    </row>
    <row r="93" spans="1:8" ht="19.899999999999999" customHeight="1">
      <c r="A93" s="121">
        <v>46027</v>
      </c>
      <c r="B93" s="112" t="s">
        <v>38</v>
      </c>
      <c r="C93" s="113" t="s">
        <v>345</v>
      </c>
      <c r="D93" s="112" t="s">
        <v>341</v>
      </c>
      <c r="E93" s="122">
        <v>1.989583333333333</v>
      </c>
      <c r="F93" s="112" t="s">
        <v>440</v>
      </c>
      <c r="G93" s="114">
        <v>19</v>
      </c>
      <c r="H93" s="115" t="s">
        <v>343</v>
      </c>
    </row>
    <row r="94" spans="1:8" ht="19.899999999999999" customHeight="1">
      <c r="A94" s="121">
        <v>46027</v>
      </c>
      <c r="B94" s="112" t="s">
        <v>38</v>
      </c>
      <c r="C94" s="113" t="s">
        <v>345</v>
      </c>
      <c r="D94" s="112" t="s">
        <v>341</v>
      </c>
      <c r="E94" s="122">
        <v>1.989583333333333</v>
      </c>
      <c r="F94" s="112" t="s">
        <v>40</v>
      </c>
      <c r="G94" s="114">
        <v>19</v>
      </c>
      <c r="H94" s="115" t="s">
        <v>343</v>
      </c>
    </row>
    <row r="95" spans="1:8" ht="19.899999999999999" customHeight="1">
      <c r="A95" s="121">
        <v>46027</v>
      </c>
      <c r="B95" s="112" t="s">
        <v>26</v>
      </c>
      <c r="C95" s="113" t="s">
        <v>348</v>
      </c>
      <c r="D95" s="112" t="s">
        <v>341</v>
      </c>
      <c r="E95" s="122">
        <v>1.993055555555556</v>
      </c>
      <c r="F95" s="112" t="s">
        <v>28</v>
      </c>
      <c r="G95" s="114">
        <v>3</v>
      </c>
      <c r="H95" s="115" t="s">
        <v>131</v>
      </c>
    </row>
    <row r="96" spans="1:8" ht="19.899999999999999" customHeight="1">
      <c r="A96" s="121">
        <v>46027</v>
      </c>
      <c r="B96" s="112" t="s">
        <v>26</v>
      </c>
      <c r="C96" s="113" t="s">
        <v>352</v>
      </c>
      <c r="D96" s="112" t="s">
        <v>341</v>
      </c>
      <c r="E96" s="122">
        <v>1.944444444444444</v>
      </c>
      <c r="F96" s="112" t="s">
        <v>28</v>
      </c>
      <c r="G96" s="114">
        <v>2</v>
      </c>
      <c r="H96" s="115" t="s">
        <v>131</v>
      </c>
    </row>
    <row r="97" spans="1:8" ht="19.899999999999999" customHeight="1">
      <c r="A97" s="121">
        <v>46027</v>
      </c>
      <c r="B97" s="112" t="s">
        <v>26</v>
      </c>
      <c r="C97" s="113" t="s">
        <v>353</v>
      </c>
      <c r="D97" s="112" t="s">
        <v>341</v>
      </c>
      <c r="E97" s="122">
        <v>1.8888888888888891</v>
      </c>
      <c r="F97" s="112" t="s">
        <v>28</v>
      </c>
      <c r="G97" s="114">
        <v>5</v>
      </c>
      <c r="H97" s="115" t="s">
        <v>131</v>
      </c>
    </row>
    <row r="98" spans="1:8" ht="19.899999999999999" customHeight="1">
      <c r="A98" s="123">
        <v>46027</v>
      </c>
      <c r="B98" s="124" t="s">
        <v>359</v>
      </c>
      <c r="C98" s="125" t="s">
        <v>445</v>
      </c>
      <c r="D98" s="124" t="s">
        <v>341</v>
      </c>
      <c r="E98" s="126">
        <v>1.0138888888888891</v>
      </c>
      <c r="F98" s="124" t="s">
        <v>361</v>
      </c>
      <c r="G98" s="127">
        <v>9</v>
      </c>
      <c r="H98" s="128" t="s">
        <v>362</v>
      </c>
    </row>
    <row r="99" spans="1:8" ht="19.899999999999999" customHeight="1">
      <c r="A99" s="121">
        <v>46028</v>
      </c>
      <c r="B99" s="112" t="s">
        <v>38</v>
      </c>
      <c r="C99" s="113" t="s">
        <v>621</v>
      </c>
      <c r="D99" s="112" t="s">
        <v>601</v>
      </c>
      <c r="E99" s="122">
        <v>1.3611111111111109</v>
      </c>
      <c r="F99" s="112" t="s">
        <v>622</v>
      </c>
      <c r="G99" s="114">
        <v>20</v>
      </c>
      <c r="H99" s="115" t="s">
        <v>121</v>
      </c>
    </row>
    <row r="100" spans="1:8" ht="19.899999999999999" customHeight="1">
      <c r="A100" s="121">
        <v>46028</v>
      </c>
      <c r="B100" s="112" t="s">
        <v>38</v>
      </c>
      <c r="C100" s="113" t="s">
        <v>621</v>
      </c>
      <c r="D100" s="112" t="s">
        <v>601</v>
      </c>
      <c r="E100" s="122">
        <v>1.3611111111111109</v>
      </c>
      <c r="F100" s="112" t="s">
        <v>642</v>
      </c>
      <c r="G100" s="114">
        <v>20</v>
      </c>
      <c r="H100" s="115" t="s">
        <v>121</v>
      </c>
    </row>
    <row r="101" spans="1:8" ht="19.899999999999999" customHeight="1">
      <c r="A101" s="121">
        <v>46028</v>
      </c>
      <c r="B101" s="112" t="s">
        <v>359</v>
      </c>
      <c r="C101" s="113" t="s">
        <v>616</v>
      </c>
      <c r="D101" s="112" t="s">
        <v>601</v>
      </c>
      <c r="E101" s="122">
        <v>1.010416666666667</v>
      </c>
      <c r="F101" s="112" t="s">
        <v>603</v>
      </c>
      <c r="G101" s="114">
        <v>9</v>
      </c>
      <c r="H101" s="115" t="s">
        <v>604</v>
      </c>
    </row>
    <row r="102" spans="1:8" ht="19.899999999999999" customHeight="1">
      <c r="A102" s="121">
        <v>46028</v>
      </c>
      <c r="B102" s="112" t="s">
        <v>359</v>
      </c>
      <c r="C102" s="113" t="s">
        <v>602</v>
      </c>
      <c r="D102" s="112" t="s">
        <v>601</v>
      </c>
      <c r="E102" s="122">
        <v>1.3611111111111109</v>
      </c>
      <c r="F102" s="112" t="s">
        <v>603</v>
      </c>
      <c r="G102" s="114">
        <v>9</v>
      </c>
      <c r="H102" s="115" t="s">
        <v>638</v>
      </c>
    </row>
    <row r="103" spans="1:8" ht="19.899999999999999" customHeight="1">
      <c r="A103" s="129">
        <v>46028</v>
      </c>
      <c r="B103" s="117" t="s">
        <v>61</v>
      </c>
      <c r="C103" s="118" t="s">
        <v>612</v>
      </c>
      <c r="D103" s="117" t="s">
        <v>601</v>
      </c>
      <c r="E103" s="130">
        <v>1.520833333333333</v>
      </c>
      <c r="F103" s="117" t="s">
        <v>63</v>
      </c>
      <c r="G103" s="119">
        <v>9</v>
      </c>
      <c r="H103" s="120" t="s">
        <v>79</v>
      </c>
    </row>
    <row r="104" spans="1:8" ht="19.899999999999999" customHeight="1">
      <c r="A104" s="121">
        <v>46028</v>
      </c>
      <c r="B104" s="112" t="s">
        <v>38</v>
      </c>
      <c r="C104" s="113" t="s">
        <v>621</v>
      </c>
      <c r="D104" s="112" t="s">
        <v>601</v>
      </c>
      <c r="E104" s="122">
        <v>1.3611111111111109</v>
      </c>
      <c r="F104" s="112" t="s">
        <v>603</v>
      </c>
      <c r="G104" s="114">
        <v>20</v>
      </c>
      <c r="H104" s="115" t="s">
        <v>623</v>
      </c>
    </row>
    <row r="105" spans="1:8" ht="19.899999999999999" customHeight="1">
      <c r="A105" s="121">
        <v>46028</v>
      </c>
      <c r="B105" s="112" t="s">
        <v>359</v>
      </c>
      <c r="C105" s="113" t="s">
        <v>616</v>
      </c>
      <c r="D105" s="112" t="s">
        <v>601</v>
      </c>
      <c r="E105" s="122">
        <v>1.010416666666667</v>
      </c>
      <c r="F105" s="112" t="s">
        <v>605</v>
      </c>
      <c r="G105" s="114">
        <v>9</v>
      </c>
      <c r="H105" s="115" t="s">
        <v>606</v>
      </c>
    </row>
    <row r="106" spans="1:8" ht="19.899999999999999" customHeight="1">
      <c r="A106" s="121">
        <v>46028</v>
      </c>
      <c r="B106" s="112" t="s">
        <v>48</v>
      </c>
      <c r="C106" s="113" t="s">
        <v>609</v>
      </c>
      <c r="D106" s="112" t="s">
        <v>601</v>
      </c>
      <c r="E106" s="122">
        <v>1.4513888888888891</v>
      </c>
      <c r="F106" s="112" t="s">
        <v>643</v>
      </c>
      <c r="G106" s="114">
        <v>9</v>
      </c>
      <c r="H106" s="115" t="s">
        <v>133</v>
      </c>
    </row>
    <row r="107" spans="1:8" ht="19.899999999999999" customHeight="1">
      <c r="A107" s="121">
        <v>46028</v>
      </c>
      <c r="B107" s="112" t="s">
        <v>48</v>
      </c>
      <c r="C107" s="113" t="s">
        <v>609</v>
      </c>
      <c r="D107" s="112" t="s">
        <v>601</v>
      </c>
      <c r="E107" s="122">
        <v>1.4513888888888891</v>
      </c>
      <c r="F107" s="112" t="s">
        <v>50</v>
      </c>
      <c r="G107" s="114">
        <v>9</v>
      </c>
      <c r="H107" s="115" t="s">
        <v>133</v>
      </c>
    </row>
    <row r="108" spans="1:8" ht="19.899999999999999" customHeight="1">
      <c r="A108" s="121">
        <v>46028</v>
      </c>
      <c r="B108" s="112" t="s">
        <v>48</v>
      </c>
      <c r="C108" s="113" t="s">
        <v>611</v>
      </c>
      <c r="D108" s="112" t="s">
        <v>601</v>
      </c>
      <c r="E108" s="122">
        <v>1.819444444444444</v>
      </c>
      <c r="F108" s="112" t="s">
        <v>50</v>
      </c>
      <c r="G108" s="114">
        <v>9</v>
      </c>
      <c r="H108" s="115" t="s">
        <v>133</v>
      </c>
    </row>
    <row r="109" spans="1:8" ht="19.899999999999999" customHeight="1">
      <c r="A109" s="121">
        <v>46028</v>
      </c>
      <c r="B109" s="112" t="s">
        <v>48</v>
      </c>
      <c r="C109" s="113" t="s">
        <v>611</v>
      </c>
      <c r="D109" s="112" t="s">
        <v>601</v>
      </c>
      <c r="E109" s="122">
        <v>1.819444444444444</v>
      </c>
      <c r="F109" s="112" t="s">
        <v>643</v>
      </c>
      <c r="G109" s="114">
        <v>9</v>
      </c>
      <c r="H109" s="115" t="s">
        <v>133</v>
      </c>
    </row>
    <row r="110" spans="1:8" ht="19.899999999999999" customHeight="1">
      <c r="A110" s="121">
        <v>46028</v>
      </c>
      <c r="B110" s="112" t="s">
        <v>38</v>
      </c>
      <c r="C110" s="113" t="s">
        <v>621</v>
      </c>
      <c r="D110" s="112" t="s">
        <v>601</v>
      </c>
      <c r="E110" s="122">
        <v>1.3611111111111109</v>
      </c>
      <c r="F110" s="112" t="s">
        <v>605</v>
      </c>
      <c r="G110" s="114">
        <v>20</v>
      </c>
      <c r="H110" s="115" t="s">
        <v>624</v>
      </c>
    </row>
    <row r="111" spans="1:8" ht="19.899999999999999" customHeight="1">
      <c r="A111" s="121">
        <v>46028</v>
      </c>
      <c r="B111" s="112" t="s">
        <v>48</v>
      </c>
      <c r="C111" s="113" t="s">
        <v>609</v>
      </c>
      <c r="D111" s="112" t="s">
        <v>601</v>
      </c>
      <c r="E111" s="122">
        <v>1.4513888888888891</v>
      </c>
      <c r="F111" s="112" t="s">
        <v>53</v>
      </c>
      <c r="G111" s="114">
        <v>9</v>
      </c>
      <c r="H111" s="115" t="s">
        <v>610</v>
      </c>
    </row>
    <row r="112" spans="1:8" ht="19.899999999999999" customHeight="1">
      <c r="A112" s="121">
        <v>46028</v>
      </c>
      <c r="B112" s="112" t="s">
        <v>48</v>
      </c>
      <c r="C112" s="113" t="s">
        <v>611</v>
      </c>
      <c r="D112" s="112" t="s">
        <v>601</v>
      </c>
      <c r="E112" s="122">
        <v>1.819444444444444</v>
      </c>
      <c r="F112" s="112" t="s">
        <v>53</v>
      </c>
      <c r="G112" s="114">
        <v>9</v>
      </c>
      <c r="H112" s="115" t="s">
        <v>610</v>
      </c>
    </row>
    <row r="113" spans="1:8" ht="19.899999999999999" customHeight="1">
      <c r="A113" s="121">
        <v>46028</v>
      </c>
      <c r="B113" s="112" t="s">
        <v>359</v>
      </c>
      <c r="C113" s="113" t="s">
        <v>616</v>
      </c>
      <c r="D113" s="112" t="s">
        <v>601</v>
      </c>
      <c r="E113" s="122">
        <v>1.010416666666667</v>
      </c>
      <c r="F113" s="112" t="s">
        <v>46</v>
      </c>
      <c r="G113" s="114">
        <v>9</v>
      </c>
      <c r="H113" s="115" t="s">
        <v>607</v>
      </c>
    </row>
    <row r="114" spans="1:8" ht="19.899999999999999" customHeight="1">
      <c r="A114" s="121">
        <v>46028</v>
      </c>
      <c r="B114" s="112" t="s">
        <v>38</v>
      </c>
      <c r="C114" s="113" t="s">
        <v>621</v>
      </c>
      <c r="D114" s="112" t="s">
        <v>601</v>
      </c>
      <c r="E114" s="122">
        <v>1.3611111111111109</v>
      </c>
      <c r="F114" s="112" t="s">
        <v>625</v>
      </c>
      <c r="G114" s="114">
        <v>20</v>
      </c>
      <c r="H114" s="115" t="s">
        <v>163</v>
      </c>
    </row>
    <row r="115" spans="1:8" ht="19.899999999999999" customHeight="1">
      <c r="A115" s="143"/>
      <c r="B115" s="144"/>
      <c r="C115" s="144"/>
      <c r="D115" s="144"/>
      <c r="E115" s="144"/>
      <c r="F115" s="145" t="s">
        <v>705</v>
      </c>
      <c r="G115" s="144"/>
      <c r="H115" s="146"/>
    </row>
    <row r="116" spans="1:8" ht="19.899999999999999" customHeight="1">
      <c r="A116" s="121">
        <v>46028</v>
      </c>
      <c r="B116" s="112" t="s">
        <v>38</v>
      </c>
      <c r="C116" s="113" t="s">
        <v>342</v>
      </c>
      <c r="D116" s="112" t="s">
        <v>341</v>
      </c>
      <c r="E116" s="122">
        <v>1.489583333333333</v>
      </c>
      <c r="F116" s="112" t="s">
        <v>40</v>
      </c>
      <c r="G116" s="114">
        <v>2</v>
      </c>
      <c r="H116" s="115" t="s">
        <v>475</v>
      </c>
    </row>
    <row r="117" spans="1:8" ht="19.899999999999999" customHeight="1">
      <c r="A117" s="121">
        <v>46028</v>
      </c>
      <c r="B117" s="112" t="s">
        <v>38</v>
      </c>
      <c r="C117" s="113" t="s">
        <v>345</v>
      </c>
      <c r="D117" s="112" t="s">
        <v>341</v>
      </c>
      <c r="E117" s="122">
        <v>1.989583333333333</v>
      </c>
      <c r="F117" s="112" t="s">
        <v>40</v>
      </c>
      <c r="G117" s="114">
        <v>19</v>
      </c>
      <c r="H117" s="115" t="s">
        <v>343</v>
      </c>
    </row>
    <row r="118" spans="1:8" ht="19.899999999999999" customHeight="1">
      <c r="A118" s="121">
        <v>46028</v>
      </c>
      <c r="B118" s="112" t="s">
        <v>26</v>
      </c>
      <c r="C118" s="113" t="s">
        <v>348</v>
      </c>
      <c r="D118" s="112" t="s">
        <v>341</v>
      </c>
      <c r="E118" s="122">
        <v>1.993055555555556</v>
      </c>
      <c r="F118" s="112" t="s">
        <v>28</v>
      </c>
      <c r="G118" s="114">
        <v>1</v>
      </c>
      <c r="H118" s="115" t="s">
        <v>131</v>
      </c>
    </row>
    <row r="119" spans="1:8" ht="19.899999999999999" customHeight="1">
      <c r="A119" s="121">
        <v>46028</v>
      </c>
      <c r="B119" s="112" t="s">
        <v>26</v>
      </c>
      <c r="C119" s="113" t="s">
        <v>351</v>
      </c>
      <c r="D119" s="112" t="s">
        <v>341</v>
      </c>
      <c r="E119" s="122">
        <v>1.836805555555556</v>
      </c>
      <c r="F119" s="112" t="s">
        <v>28</v>
      </c>
      <c r="G119" s="114">
        <v>3</v>
      </c>
      <c r="H119" s="115" t="s">
        <v>131</v>
      </c>
    </row>
    <row r="120" spans="1:8" ht="19.899999999999999" customHeight="1">
      <c r="A120" s="121">
        <v>46028</v>
      </c>
      <c r="B120" s="112" t="s">
        <v>26</v>
      </c>
      <c r="C120" s="113" t="s">
        <v>352</v>
      </c>
      <c r="D120" s="112" t="s">
        <v>341</v>
      </c>
      <c r="E120" s="122">
        <v>1.944444444444444</v>
      </c>
      <c r="F120" s="112" t="s">
        <v>28</v>
      </c>
      <c r="G120" s="114">
        <v>5</v>
      </c>
      <c r="H120" s="115" t="s">
        <v>131</v>
      </c>
    </row>
    <row r="121" spans="1:8" ht="19.899999999999999" customHeight="1">
      <c r="A121" s="121">
        <v>46028</v>
      </c>
      <c r="B121" s="112" t="s">
        <v>26</v>
      </c>
      <c r="C121" s="113" t="s">
        <v>353</v>
      </c>
      <c r="D121" s="112" t="s">
        <v>341</v>
      </c>
      <c r="E121" s="122">
        <v>1.8888888888888891</v>
      </c>
      <c r="F121" s="112" t="s">
        <v>28</v>
      </c>
      <c r="G121" s="114">
        <v>4</v>
      </c>
      <c r="H121" s="115" t="s">
        <v>131</v>
      </c>
    </row>
    <row r="122" spans="1:8" ht="19.899999999999999" customHeight="1">
      <c r="A122" s="121">
        <v>46028</v>
      </c>
      <c r="B122" s="112" t="s">
        <v>38</v>
      </c>
      <c r="C122" s="113" t="s">
        <v>344</v>
      </c>
      <c r="D122" s="112" t="s">
        <v>341</v>
      </c>
      <c r="E122" s="122">
        <v>1.8888888888888891</v>
      </c>
      <c r="F122" s="112" t="s">
        <v>40</v>
      </c>
      <c r="G122" s="114">
        <v>20</v>
      </c>
      <c r="H122" s="115" t="s">
        <v>30</v>
      </c>
    </row>
    <row r="123" spans="1:8" ht="19.899999999999999" customHeight="1">
      <c r="A123" s="121">
        <v>46028</v>
      </c>
      <c r="B123" s="112" t="s">
        <v>359</v>
      </c>
      <c r="C123" s="113" t="s">
        <v>445</v>
      </c>
      <c r="D123" s="112" t="s">
        <v>341</v>
      </c>
      <c r="E123" s="122">
        <v>1.055555555555556</v>
      </c>
      <c r="F123" s="112" t="s">
        <v>361</v>
      </c>
      <c r="G123" s="114">
        <v>9</v>
      </c>
      <c r="H123" s="115" t="s">
        <v>362</v>
      </c>
    </row>
    <row r="124" spans="1:8" ht="19.899999999999999" customHeight="1">
      <c r="A124" s="121">
        <v>46028</v>
      </c>
      <c r="B124" s="112" t="s">
        <v>38</v>
      </c>
      <c r="C124" s="113" t="s">
        <v>346</v>
      </c>
      <c r="D124" s="112" t="s">
        <v>341</v>
      </c>
      <c r="E124" s="122">
        <v>1.399305555555556</v>
      </c>
      <c r="F124" s="112" t="s">
        <v>40</v>
      </c>
      <c r="G124" s="114">
        <v>20</v>
      </c>
      <c r="H124" s="115" t="s">
        <v>347</v>
      </c>
    </row>
    <row r="125" spans="1:8" ht="19.899999999999999" customHeight="1">
      <c r="A125" s="123">
        <v>46028</v>
      </c>
      <c r="B125" s="124" t="s">
        <v>61</v>
      </c>
      <c r="C125" s="125" t="s">
        <v>364</v>
      </c>
      <c r="D125" s="124" t="s">
        <v>341</v>
      </c>
      <c r="E125" s="126">
        <v>1.756944444444444</v>
      </c>
      <c r="F125" s="124" t="s">
        <v>63</v>
      </c>
      <c r="G125" s="127">
        <v>4</v>
      </c>
      <c r="H125" s="128" t="s">
        <v>365</v>
      </c>
    </row>
    <row r="126" spans="1:8" ht="19.899999999999999" customHeight="1">
      <c r="A126" s="121">
        <v>46029</v>
      </c>
      <c r="B126" s="112" t="s">
        <v>359</v>
      </c>
      <c r="C126" s="113" t="s">
        <v>616</v>
      </c>
      <c r="D126" s="112" t="s">
        <v>601</v>
      </c>
      <c r="E126" s="122">
        <v>1.163194444444444</v>
      </c>
      <c r="F126" s="112" t="s">
        <v>603</v>
      </c>
      <c r="G126" s="114">
        <v>9</v>
      </c>
      <c r="H126" s="115" t="s">
        <v>604</v>
      </c>
    </row>
    <row r="127" spans="1:8" ht="19.899999999999999" customHeight="1">
      <c r="A127" s="129">
        <v>46029</v>
      </c>
      <c r="B127" s="117" t="s">
        <v>61</v>
      </c>
      <c r="C127" s="118" t="s">
        <v>612</v>
      </c>
      <c r="D127" s="117" t="s">
        <v>601</v>
      </c>
      <c r="E127" s="130">
        <v>1.145833333333333</v>
      </c>
      <c r="F127" s="117" t="s">
        <v>63</v>
      </c>
      <c r="G127" s="119">
        <v>1</v>
      </c>
      <c r="H127" s="120" t="s">
        <v>79</v>
      </c>
    </row>
    <row r="128" spans="1:8" ht="19.899999999999999" customHeight="1">
      <c r="A128" s="129">
        <v>46029</v>
      </c>
      <c r="B128" s="117" t="s">
        <v>61</v>
      </c>
      <c r="C128" s="118" t="s">
        <v>629</v>
      </c>
      <c r="D128" s="117" t="s">
        <v>601</v>
      </c>
      <c r="E128" s="130">
        <v>1.53125</v>
      </c>
      <c r="F128" s="117" t="s">
        <v>63</v>
      </c>
      <c r="G128" s="119">
        <v>4</v>
      </c>
      <c r="H128" s="120" t="s">
        <v>79</v>
      </c>
    </row>
    <row r="129" spans="1:8" ht="19.899999999999999" customHeight="1">
      <c r="A129" s="129">
        <v>46029</v>
      </c>
      <c r="B129" s="117" t="s">
        <v>61</v>
      </c>
      <c r="C129" s="118" t="s">
        <v>645</v>
      </c>
      <c r="D129" s="117" t="s">
        <v>601</v>
      </c>
      <c r="E129" s="130">
        <v>1.8611111111111109</v>
      </c>
      <c r="F129" s="117" t="s">
        <v>63</v>
      </c>
      <c r="G129" s="119">
        <v>9</v>
      </c>
      <c r="H129" s="120" t="s">
        <v>79</v>
      </c>
    </row>
    <row r="130" spans="1:8" ht="19.899999999999999" customHeight="1">
      <c r="A130" s="121">
        <v>46029</v>
      </c>
      <c r="B130" s="112" t="s">
        <v>359</v>
      </c>
      <c r="C130" s="113" t="s">
        <v>616</v>
      </c>
      <c r="D130" s="112" t="s">
        <v>601</v>
      </c>
      <c r="E130" s="122">
        <v>1.163194444444444</v>
      </c>
      <c r="F130" s="112" t="s">
        <v>605</v>
      </c>
      <c r="G130" s="114">
        <v>9</v>
      </c>
      <c r="H130" s="115" t="s">
        <v>606</v>
      </c>
    </row>
    <row r="131" spans="1:8" ht="19.899999999999999" customHeight="1">
      <c r="A131" s="121">
        <v>46029</v>
      </c>
      <c r="B131" s="112" t="s">
        <v>48</v>
      </c>
      <c r="C131" s="113" t="s">
        <v>611</v>
      </c>
      <c r="D131" s="112" t="s">
        <v>601</v>
      </c>
      <c r="E131" s="122">
        <v>1.819444444444444</v>
      </c>
      <c r="F131" s="112" t="s">
        <v>50</v>
      </c>
      <c r="G131" s="114">
        <v>9</v>
      </c>
      <c r="H131" s="115" t="s">
        <v>133</v>
      </c>
    </row>
    <row r="132" spans="1:8" ht="19.899999999999999" customHeight="1">
      <c r="A132" s="121">
        <v>46029</v>
      </c>
      <c r="B132" s="112" t="s">
        <v>68</v>
      </c>
      <c r="C132" s="113" t="s">
        <v>633</v>
      </c>
      <c r="D132" s="112" t="s">
        <v>601</v>
      </c>
      <c r="E132" s="122">
        <v>1.458333333333333</v>
      </c>
      <c r="F132" s="112" t="s">
        <v>70</v>
      </c>
      <c r="G132" s="114">
        <v>9</v>
      </c>
      <c r="H132" s="115" t="s">
        <v>647</v>
      </c>
    </row>
    <row r="133" spans="1:8" ht="19.899999999999999" customHeight="1">
      <c r="A133" s="121">
        <v>46029</v>
      </c>
      <c r="B133" s="112" t="s">
        <v>48</v>
      </c>
      <c r="C133" s="113" t="s">
        <v>611</v>
      </c>
      <c r="D133" s="112" t="s">
        <v>601</v>
      </c>
      <c r="E133" s="122">
        <v>1.819444444444444</v>
      </c>
      <c r="F133" s="112" t="s">
        <v>53</v>
      </c>
      <c r="G133" s="114">
        <v>9</v>
      </c>
      <c r="H133" s="115" t="s">
        <v>610</v>
      </c>
    </row>
    <row r="134" spans="1:8" ht="19.899999999999999" customHeight="1">
      <c r="A134" s="121">
        <v>46029</v>
      </c>
      <c r="B134" s="112" t="s">
        <v>359</v>
      </c>
      <c r="C134" s="113" t="s">
        <v>616</v>
      </c>
      <c r="D134" s="112" t="s">
        <v>601</v>
      </c>
      <c r="E134" s="122">
        <v>1.163194444444444</v>
      </c>
      <c r="F134" s="112" t="s">
        <v>46</v>
      </c>
      <c r="G134" s="114">
        <v>9</v>
      </c>
      <c r="H134" s="115" t="s">
        <v>607</v>
      </c>
    </row>
    <row r="135" spans="1:8" ht="19.899999999999999" customHeight="1">
      <c r="A135" s="143"/>
      <c r="B135" s="144"/>
      <c r="C135" s="144"/>
      <c r="D135" s="144"/>
      <c r="E135" s="144"/>
      <c r="F135" s="145" t="s">
        <v>705</v>
      </c>
      <c r="G135" s="144"/>
      <c r="H135" s="146"/>
    </row>
    <row r="136" spans="1:8" ht="19.899999999999999" customHeight="1">
      <c r="A136" s="121">
        <v>46029</v>
      </c>
      <c r="B136" s="112" t="s">
        <v>38</v>
      </c>
      <c r="C136" s="113" t="s">
        <v>342</v>
      </c>
      <c r="D136" s="112" t="s">
        <v>341</v>
      </c>
      <c r="E136" s="122">
        <v>1.489583333333333</v>
      </c>
      <c r="F136" s="112" t="s">
        <v>40</v>
      </c>
      <c r="G136" s="114">
        <v>11</v>
      </c>
      <c r="H136" s="115" t="s">
        <v>88</v>
      </c>
    </row>
    <row r="137" spans="1:8" ht="19.899999999999999" customHeight="1">
      <c r="A137" s="121">
        <v>46029</v>
      </c>
      <c r="B137" s="112" t="s">
        <v>38</v>
      </c>
      <c r="C137" s="113" t="s">
        <v>344</v>
      </c>
      <c r="D137" s="112" t="s">
        <v>341</v>
      </c>
      <c r="E137" s="122">
        <v>1.8888888888888891</v>
      </c>
      <c r="F137" s="112" t="s">
        <v>40</v>
      </c>
      <c r="G137" s="114">
        <v>20</v>
      </c>
      <c r="H137" s="115" t="s">
        <v>343</v>
      </c>
    </row>
    <row r="138" spans="1:8" ht="19.899999999999999" customHeight="1">
      <c r="A138" s="121">
        <v>46029</v>
      </c>
      <c r="B138" s="112" t="s">
        <v>38</v>
      </c>
      <c r="C138" s="113" t="s">
        <v>345</v>
      </c>
      <c r="D138" s="112" t="s">
        <v>341</v>
      </c>
      <c r="E138" s="122">
        <v>1.989583333333333</v>
      </c>
      <c r="F138" s="112" t="s">
        <v>40</v>
      </c>
      <c r="G138" s="114">
        <v>19</v>
      </c>
      <c r="H138" s="115" t="s">
        <v>343</v>
      </c>
    </row>
    <row r="139" spans="1:8" ht="19.899999999999999" customHeight="1">
      <c r="A139" s="121">
        <v>46029</v>
      </c>
      <c r="B139" s="112" t="s">
        <v>26</v>
      </c>
      <c r="C139" s="113" t="s">
        <v>348</v>
      </c>
      <c r="D139" s="112" t="s">
        <v>341</v>
      </c>
      <c r="E139" s="122">
        <v>1.993055555555556</v>
      </c>
      <c r="F139" s="112" t="s">
        <v>28</v>
      </c>
      <c r="G139" s="114">
        <v>5</v>
      </c>
      <c r="H139" s="115" t="s">
        <v>131</v>
      </c>
    </row>
    <row r="140" spans="1:8" ht="19.899999999999999" customHeight="1">
      <c r="A140" s="121">
        <v>46029</v>
      </c>
      <c r="B140" s="112" t="s">
        <v>26</v>
      </c>
      <c r="C140" s="113" t="s">
        <v>351</v>
      </c>
      <c r="D140" s="112" t="s">
        <v>341</v>
      </c>
      <c r="E140" s="122">
        <v>1.836805555555556</v>
      </c>
      <c r="F140" s="112" t="s">
        <v>28</v>
      </c>
      <c r="G140" s="114">
        <v>5</v>
      </c>
      <c r="H140" s="115" t="s">
        <v>131</v>
      </c>
    </row>
    <row r="141" spans="1:8" ht="19.899999999999999" customHeight="1">
      <c r="A141" s="121">
        <v>46029</v>
      </c>
      <c r="B141" s="112" t="s">
        <v>26</v>
      </c>
      <c r="C141" s="113" t="s">
        <v>352</v>
      </c>
      <c r="D141" s="112" t="s">
        <v>341</v>
      </c>
      <c r="E141" s="122">
        <v>1.944444444444444</v>
      </c>
      <c r="F141" s="112" t="s">
        <v>28</v>
      </c>
      <c r="G141" s="114">
        <v>2</v>
      </c>
      <c r="H141" s="115" t="s">
        <v>131</v>
      </c>
    </row>
    <row r="142" spans="1:8" ht="19.899999999999999" customHeight="1">
      <c r="A142" s="121">
        <v>46029</v>
      </c>
      <c r="B142" s="112" t="s">
        <v>26</v>
      </c>
      <c r="C142" s="113" t="s">
        <v>353</v>
      </c>
      <c r="D142" s="112" t="s">
        <v>341</v>
      </c>
      <c r="E142" s="122">
        <v>1.8888888888888891</v>
      </c>
      <c r="F142" s="112" t="s">
        <v>28</v>
      </c>
      <c r="G142" s="114">
        <v>2</v>
      </c>
      <c r="H142" s="115" t="s">
        <v>131</v>
      </c>
    </row>
    <row r="143" spans="1:8" ht="19.899999999999999" customHeight="1">
      <c r="A143" s="121">
        <v>46029</v>
      </c>
      <c r="B143" s="112" t="s">
        <v>38</v>
      </c>
      <c r="C143" s="113" t="s">
        <v>346</v>
      </c>
      <c r="D143" s="112" t="s">
        <v>341</v>
      </c>
      <c r="E143" s="122">
        <v>1.399305555555556</v>
      </c>
      <c r="F143" s="112" t="s">
        <v>40</v>
      </c>
      <c r="G143" s="114">
        <v>20</v>
      </c>
      <c r="H143" s="115" t="s">
        <v>30</v>
      </c>
    </row>
    <row r="144" spans="1:8" ht="19.899999999999999" customHeight="1">
      <c r="A144" s="121">
        <v>46029</v>
      </c>
      <c r="B144" s="112" t="s">
        <v>359</v>
      </c>
      <c r="C144" s="113" t="s">
        <v>360</v>
      </c>
      <c r="D144" s="112" t="s">
        <v>341</v>
      </c>
      <c r="E144" s="122">
        <v>1.225694444444444</v>
      </c>
      <c r="F144" s="112" t="s">
        <v>361</v>
      </c>
      <c r="G144" s="114">
        <v>9</v>
      </c>
      <c r="H144" s="115" t="s">
        <v>362</v>
      </c>
    </row>
    <row r="145" spans="1:8" ht="19.899999999999999" customHeight="1">
      <c r="A145" s="123">
        <v>46029</v>
      </c>
      <c r="B145" s="124" t="s">
        <v>61</v>
      </c>
      <c r="C145" s="125" t="s">
        <v>364</v>
      </c>
      <c r="D145" s="124" t="s">
        <v>341</v>
      </c>
      <c r="E145" s="126">
        <v>1.2326388888888891</v>
      </c>
      <c r="F145" s="124" t="s">
        <v>63</v>
      </c>
      <c r="G145" s="127">
        <v>1</v>
      </c>
      <c r="H145" s="128" t="s">
        <v>365</v>
      </c>
    </row>
    <row r="146" spans="1:8" ht="19.899999999999999" customHeight="1">
      <c r="A146" s="121">
        <v>46030</v>
      </c>
      <c r="B146" s="112" t="s">
        <v>359</v>
      </c>
      <c r="C146" s="113" t="s">
        <v>602</v>
      </c>
      <c r="D146" s="112" t="s">
        <v>601</v>
      </c>
      <c r="E146" s="122">
        <v>1.3611111111111109</v>
      </c>
      <c r="F146" s="112" t="s">
        <v>603</v>
      </c>
      <c r="G146" s="114">
        <v>9</v>
      </c>
      <c r="H146" s="115" t="s">
        <v>604</v>
      </c>
    </row>
    <row r="147" spans="1:8" ht="19.899999999999999" customHeight="1">
      <c r="A147" s="121">
        <v>46030</v>
      </c>
      <c r="B147" s="112" t="s">
        <v>359</v>
      </c>
      <c r="C147" s="113" t="s">
        <v>608</v>
      </c>
      <c r="D147" s="112" t="s">
        <v>601</v>
      </c>
      <c r="E147" s="122">
        <v>1.631944444444444</v>
      </c>
      <c r="F147" s="112" t="s">
        <v>603</v>
      </c>
      <c r="G147" s="114">
        <v>9</v>
      </c>
      <c r="H147" s="115" t="s">
        <v>604</v>
      </c>
    </row>
    <row r="148" spans="1:8" ht="19.899999999999999" customHeight="1">
      <c r="A148" s="129">
        <v>46030</v>
      </c>
      <c r="B148" s="117" t="s">
        <v>61</v>
      </c>
      <c r="C148" s="118" t="s">
        <v>612</v>
      </c>
      <c r="D148" s="117" t="s">
        <v>601</v>
      </c>
      <c r="E148" s="130">
        <v>1.086805555555556</v>
      </c>
      <c r="F148" s="117" t="s">
        <v>63</v>
      </c>
      <c r="G148" s="119">
        <v>9</v>
      </c>
      <c r="H148" s="120" t="s">
        <v>79</v>
      </c>
    </row>
    <row r="149" spans="1:8" ht="19.899999999999999" customHeight="1">
      <c r="A149" s="121">
        <v>46030</v>
      </c>
      <c r="B149" s="112" t="s">
        <v>359</v>
      </c>
      <c r="C149" s="113" t="s">
        <v>602</v>
      </c>
      <c r="D149" s="112" t="s">
        <v>601</v>
      </c>
      <c r="E149" s="122">
        <v>1.3611111111111109</v>
      </c>
      <c r="F149" s="112" t="s">
        <v>605</v>
      </c>
      <c r="G149" s="114">
        <v>9</v>
      </c>
      <c r="H149" s="115" t="s">
        <v>606</v>
      </c>
    </row>
    <row r="150" spans="1:8" ht="19.899999999999999" customHeight="1">
      <c r="A150" s="121">
        <v>46030</v>
      </c>
      <c r="B150" s="112" t="s">
        <v>359</v>
      </c>
      <c r="C150" s="113" t="s">
        <v>608</v>
      </c>
      <c r="D150" s="112" t="s">
        <v>601</v>
      </c>
      <c r="E150" s="122">
        <v>1.631944444444444</v>
      </c>
      <c r="F150" s="112" t="s">
        <v>605</v>
      </c>
      <c r="G150" s="114">
        <v>9</v>
      </c>
      <c r="H150" s="115" t="s">
        <v>606</v>
      </c>
    </row>
    <row r="151" spans="1:8" ht="19.899999999999999" customHeight="1">
      <c r="A151" s="121">
        <v>46030</v>
      </c>
      <c r="B151" s="112" t="s">
        <v>48</v>
      </c>
      <c r="C151" s="113" t="s">
        <v>609</v>
      </c>
      <c r="D151" s="112" t="s">
        <v>601</v>
      </c>
      <c r="E151" s="122">
        <v>1.4513888888888891</v>
      </c>
      <c r="F151" s="112" t="s">
        <v>50</v>
      </c>
      <c r="G151" s="114">
        <v>9</v>
      </c>
      <c r="H151" s="115" t="s">
        <v>133</v>
      </c>
    </row>
    <row r="152" spans="1:8" ht="19.899999999999999" customHeight="1">
      <c r="A152" s="121">
        <v>46030</v>
      </c>
      <c r="B152" s="112" t="s">
        <v>48</v>
      </c>
      <c r="C152" s="113" t="s">
        <v>611</v>
      </c>
      <c r="D152" s="112" t="s">
        <v>601</v>
      </c>
      <c r="E152" s="122">
        <v>1.819444444444444</v>
      </c>
      <c r="F152" s="112" t="s">
        <v>50</v>
      </c>
      <c r="G152" s="114">
        <v>9</v>
      </c>
      <c r="H152" s="115" t="s">
        <v>133</v>
      </c>
    </row>
    <row r="153" spans="1:8" ht="19.899999999999999" customHeight="1">
      <c r="A153" s="121">
        <v>46030</v>
      </c>
      <c r="B153" s="112" t="s">
        <v>48</v>
      </c>
      <c r="C153" s="113" t="s">
        <v>609</v>
      </c>
      <c r="D153" s="112" t="s">
        <v>601</v>
      </c>
      <c r="E153" s="122">
        <v>1.4513888888888891</v>
      </c>
      <c r="F153" s="112" t="s">
        <v>53</v>
      </c>
      <c r="G153" s="114">
        <v>9</v>
      </c>
      <c r="H153" s="115" t="s">
        <v>610</v>
      </c>
    </row>
    <row r="154" spans="1:8" ht="19.899999999999999" customHeight="1">
      <c r="A154" s="121">
        <v>46030</v>
      </c>
      <c r="B154" s="112" t="s">
        <v>48</v>
      </c>
      <c r="C154" s="113" t="s">
        <v>611</v>
      </c>
      <c r="D154" s="112" t="s">
        <v>601</v>
      </c>
      <c r="E154" s="122">
        <v>1.819444444444444</v>
      </c>
      <c r="F154" s="112" t="s">
        <v>53</v>
      </c>
      <c r="G154" s="114">
        <v>9</v>
      </c>
      <c r="H154" s="115" t="s">
        <v>610</v>
      </c>
    </row>
    <row r="155" spans="1:8" ht="19.899999999999999" customHeight="1">
      <c r="A155" s="121">
        <v>46030</v>
      </c>
      <c r="B155" s="112" t="s">
        <v>359</v>
      </c>
      <c r="C155" s="113" t="s">
        <v>602</v>
      </c>
      <c r="D155" s="112" t="s">
        <v>601</v>
      </c>
      <c r="E155" s="122">
        <v>1.3611111111111109</v>
      </c>
      <c r="F155" s="112" t="s">
        <v>46</v>
      </c>
      <c r="G155" s="114">
        <v>9</v>
      </c>
      <c r="H155" s="115" t="s">
        <v>607</v>
      </c>
    </row>
    <row r="156" spans="1:8" ht="19.899999999999999" customHeight="1">
      <c r="A156" s="121">
        <v>46030</v>
      </c>
      <c r="B156" s="112" t="s">
        <v>359</v>
      </c>
      <c r="C156" s="113" t="s">
        <v>608</v>
      </c>
      <c r="D156" s="112" t="s">
        <v>601</v>
      </c>
      <c r="E156" s="122">
        <v>1.631944444444444</v>
      </c>
      <c r="F156" s="112" t="s">
        <v>46</v>
      </c>
      <c r="G156" s="114">
        <v>9</v>
      </c>
      <c r="H156" s="115" t="s">
        <v>607</v>
      </c>
    </row>
    <row r="157" spans="1:8" ht="19.899999999999999" customHeight="1">
      <c r="A157" s="143"/>
      <c r="B157" s="144"/>
      <c r="C157" s="144"/>
      <c r="D157" s="144"/>
      <c r="E157" s="144"/>
      <c r="F157" s="145" t="s">
        <v>705</v>
      </c>
      <c r="G157" s="144"/>
      <c r="H157" s="146"/>
    </row>
    <row r="158" spans="1:8" ht="19.899999999999999" customHeight="1">
      <c r="A158" s="121">
        <v>46030</v>
      </c>
      <c r="B158" s="112" t="s">
        <v>38</v>
      </c>
      <c r="C158" s="113" t="s">
        <v>344</v>
      </c>
      <c r="D158" s="112" t="s">
        <v>341</v>
      </c>
      <c r="E158" s="122">
        <v>1.8888888888888891</v>
      </c>
      <c r="F158" s="112" t="s">
        <v>40</v>
      </c>
      <c r="G158" s="114">
        <v>16</v>
      </c>
      <c r="H158" s="115" t="s">
        <v>343</v>
      </c>
    </row>
    <row r="159" spans="1:8" ht="19.899999999999999" customHeight="1">
      <c r="A159" s="121">
        <v>46030</v>
      </c>
      <c r="B159" s="112" t="s">
        <v>38</v>
      </c>
      <c r="C159" s="113" t="s">
        <v>345</v>
      </c>
      <c r="D159" s="112" t="s">
        <v>341</v>
      </c>
      <c r="E159" s="122">
        <v>1.989583333333333</v>
      </c>
      <c r="F159" s="112" t="s">
        <v>40</v>
      </c>
      <c r="G159" s="114">
        <v>15</v>
      </c>
      <c r="H159" s="115" t="s">
        <v>343</v>
      </c>
    </row>
    <row r="160" spans="1:8" ht="19.899999999999999" customHeight="1">
      <c r="A160" s="121">
        <v>46030</v>
      </c>
      <c r="B160" s="112" t="s">
        <v>38</v>
      </c>
      <c r="C160" s="113" t="s">
        <v>342</v>
      </c>
      <c r="D160" s="112" t="s">
        <v>341</v>
      </c>
      <c r="E160" s="122">
        <v>1.489583333333333</v>
      </c>
      <c r="F160" s="112" t="s">
        <v>40</v>
      </c>
      <c r="G160" s="114">
        <v>15</v>
      </c>
      <c r="H160" s="115" t="s">
        <v>81</v>
      </c>
    </row>
    <row r="161" spans="1:8" ht="19.899999999999999" customHeight="1">
      <c r="A161" s="121">
        <v>46030</v>
      </c>
      <c r="B161" s="112" t="s">
        <v>26</v>
      </c>
      <c r="C161" s="113" t="s">
        <v>348</v>
      </c>
      <c r="D161" s="112" t="s">
        <v>341</v>
      </c>
      <c r="E161" s="122">
        <v>1.993055555555556</v>
      </c>
      <c r="F161" s="112" t="s">
        <v>28</v>
      </c>
      <c r="G161" s="114">
        <v>4</v>
      </c>
      <c r="H161" s="115" t="s">
        <v>131</v>
      </c>
    </row>
    <row r="162" spans="1:8" ht="19.899999999999999" customHeight="1">
      <c r="A162" s="121">
        <v>46030</v>
      </c>
      <c r="B162" s="112" t="s">
        <v>26</v>
      </c>
      <c r="C162" s="113" t="s">
        <v>351</v>
      </c>
      <c r="D162" s="112" t="s">
        <v>341</v>
      </c>
      <c r="E162" s="122">
        <v>1.836805555555556</v>
      </c>
      <c r="F162" s="112" t="s">
        <v>28</v>
      </c>
      <c r="G162" s="114">
        <v>2</v>
      </c>
      <c r="H162" s="115" t="s">
        <v>131</v>
      </c>
    </row>
    <row r="163" spans="1:8" ht="19.899999999999999" customHeight="1">
      <c r="A163" s="121">
        <v>46030</v>
      </c>
      <c r="B163" s="112" t="s">
        <v>26</v>
      </c>
      <c r="C163" s="113" t="s">
        <v>353</v>
      </c>
      <c r="D163" s="112" t="s">
        <v>341</v>
      </c>
      <c r="E163" s="122">
        <v>1.8888888888888891</v>
      </c>
      <c r="F163" s="112" t="s">
        <v>28</v>
      </c>
      <c r="G163" s="114">
        <v>5</v>
      </c>
      <c r="H163" s="115" t="s">
        <v>131</v>
      </c>
    </row>
    <row r="164" spans="1:8" ht="19.899999999999999" customHeight="1">
      <c r="A164" s="121">
        <v>46030</v>
      </c>
      <c r="B164" s="112" t="s">
        <v>38</v>
      </c>
      <c r="C164" s="113" t="s">
        <v>346</v>
      </c>
      <c r="D164" s="112" t="s">
        <v>341</v>
      </c>
      <c r="E164" s="122">
        <v>1.399305555555556</v>
      </c>
      <c r="F164" s="112" t="s">
        <v>40</v>
      </c>
      <c r="G164" s="114">
        <v>20</v>
      </c>
      <c r="H164" s="115" t="s">
        <v>30</v>
      </c>
    </row>
    <row r="165" spans="1:8" ht="19.899999999999999" customHeight="1">
      <c r="A165" s="121">
        <v>46030</v>
      </c>
      <c r="B165" s="112" t="s">
        <v>359</v>
      </c>
      <c r="C165" s="113" t="s">
        <v>360</v>
      </c>
      <c r="D165" s="112" t="s">
        <v>341</v>
      </c>
      <c r="E165" s="122">
        <v>1.1701388888888891</v>
      </c>
      <c r="F165" s="112" t="s">
        <v>361</v>
      </c>
      <c r="G165" s="114">
        <v>9</v>
      </c>
      <c r="H165" s="115" t="s">
        <v>362</v>
      </c>
    </row>
    <row r="166" spans="1:8" ht="19.899999999999999" customHeight="1">
      <c r="A166" s="121">
        <v>46030</v>
      </c>
      <c r="B166" s="112" t="s">
        <v>26</v>
      </c>
      <c r="C166" s="113" t="s">
        <v>352</v>
      </c>
      <c r="D166" s="112" t="s">
        <v>341</v>
      </c>
      <c r="E166" s="122">
        <v>1.944444444444444</v>
      </c>
      <c r="F166" s="112" t="s">
        <v>28</v>
      </c>
      <c r="G166" s="114">
        <v>5</v>
      </c>
      <c r="H166" s="115" t="s">
        <v>347</v>
      </c>
    </row>
    <row r="167" spans="1:8" ht="19.899999999999999" customHeight="1">
      <c r="A167" s="123">
        <v>46030</v>
      </c>
      <c r="B167" s="124" t="s">
        <v>61</v>
      </c>
      <c r="C167" s="125" t="s">
        <v>364</v>
      </c>
      <c r="D167" s="124" t="s">
        <v>341</v>
      </c>
      <c r="E167" s="126">
        <v>1.9375</v>
      </c>
      <c r="F167" s="124" t="s">
        <v>63</v>
      </c>
      <c r="G167" s="127">
        <v>6</v>
      </c>
      <c r="H167" s="128" t="s">
        <v>365</v>
      </c>
    </row>
    <row r="168" spans="1:8" ht="19.899999999999999" customHeight="1">
      <c r="A168" s="121">
        <v>46031</v>
      </c>
      <c r="B168" s="112" t="s">
        <v>359</v>
      </c>
      <c r="C168" s="113" t="s">
        <v>616</v>
      </c>
      <c r="D168" s="112" t="s">
        <v>601</v>
      </c>
      <c r="E168" s="122">
        <v>1.010416666666667</v>
      </c>
      <c r="F168" s="112" t="s">
        <v>603</v>
      </c>
      <c r="G168" s="114">
        <v>9</v>
      </c>
      <c r="H168" s="115" t="s">
        <v>617</v>
      </c>
    </row>
    <row r="169" spans="1:8" ht="19.899999999999999" customHeight="1">
      <c r="A169" s="121">
        <v>46031</v>
      </c>
      <c r="B169" s="112" t="s">
        <v>359</v>
      </c>
      <c r="C169" s="113" t="s">
        <v>616</v>
      </c>
      <c r="D169" s="112" t="s">
        <v>601</v>
      </c>
      <c r="E169" s="122">
        <v>1.010416666666667</v>
      </c>
      <c r="F169" s="112" t="s">
        <v>605</v>
      </c>
      <c r="G169" s="114">
        <v>9</v>
      </c>
      <c r="H169" s="115" t="s">
        <v>626</v>
      </c>
    </row>
    <row r="170" spans="1:8" ht="19.899999999999999" customHeight="1">
      <c r="A170" s="129">
        <v>46031</v>
      </c>
      <c r="B170" s="117" t="s">
        <v>61</v>
      </c>
      <c r="C170" s="118" t="s">
        <v>612</v>
      </c>
      <c r="D170" s="117" t="s">
        <v>601</v>
      </c>
      <c r="E170" s="130">
        <v>1.229166666666667</v>
      </c>
      <c r="F170" s="117" t="s">
        <v>63</v>
      </c>
      <c r="G170" s="119">
        <v>9</v>
      </c>
      <c r="H170" s="120" t="s">
        <v>449</v>
      </c>
    </row>
    <row r="171" spans="1:8" ht="19.899999999999999" customHeight="1">
      <c r="A171" s="121">
        <v>46031</v>
      </c>
      <c r="B171" s="112" t="s">
        <v>48</v>
      </c>
      <c r="C171" s="113" t="s">
        <v>611</v>
      </c>
      <c r="D171" s="112" t="s">
        <v>601</v>
      </c>
      <c r="E171" s="122">
        <v>1.819444444444444</v>
      </c>
      <c r="F171" s="112" t="s">
        <v>50</v>
      </c>
      <c r="G171" s="114">
        <v>9</v>
      </c>
      <c r="H171" s="115" t="s">
        <v>649</v>
      </c>
    </row>
    <row r="172" spans="1:8" ht="19.899999999999999" customHeight="1">
      <c r="A172" s="121">
        <v>46031</v>
      </c>
      <c r="B172" s="112" t="s">
        <v>359</v>
      </c>
      <c r="C172" s="113" t="s">
        <v>616</v>
      </c>
      <c r="D172" s="112" t="s">
        <v>601</v>
      </c>
      <c r="E172" s="122">
        <v>1.010416666666667</v>
      </c>
      <c r="F172" s="112" t="s">
        <v>46</v>
      </c>
      <c r="G172" s="114">
        <v>9</v>
      </c>
      <c r="H172" s="115" t="s">
        <v>627</v>
      </c>
    </row>
    <row r="173" spans="1:8" ht="19.899999999999999" customHeight="1">
      <c r="A173" s="121">
        <v>46031</v>
      </c>
      <c r="B173" s="112" t="s">
        <v>48</v>
      </c>
      <c r="C173" s="113" t="s">
        <v>611</v>
      </c>
      <c r="D173" s="112" t="s">
        <v>601</v>
      </c>
      <c r="E173" s="122">
        <v>1.819444444444444</v>
      </c>
      <c r="F173" s="112" t="s">
        <v>53</v>
      </c>
      <c r="G173" s="114">
        <v>9</v>
      </c>
      <c r="H173" s="115" t="s">
        <v>650</v>
      </c>
    </row>
    <row r="174" spans="1:8" ht="19.899999999999999" customHeight="1">
      <c r="A174" s="143"/>
      <c r="B174" s="144"/>
      <c r="C174" s="144"/>
      <c r="D174" s="144"/>
      <c r="E174" s="144"/>
      <c r="F174" s="145" t="s">
        <v>705</v>
      </c>
      <c r="G174" s="144"/>
      <c r="H174" s="146"/>
    </row>
    <row r="175" spans="1:8" ht="19.899999999999999" customHeight="1">
      <c r="A175" s="121">
        <v>46031</v>
      </c>
      <c r="B175" s="112" t="s">
        <v>38</v>
      </c>
      <c r="C175" s="113" t="s">
        <v>342</v>
      </c>
      <c r="D175" s="112" t="s">
        <v>341</v>
      </c>
      <c r="E175" s="122">
        <v>1.489583333333333</v>
      </c>
      <c r="F175" s="112" t="s">
        <v>40</v>
      </c>
      <c r="G175" s="114">
        <v>5</v>
      </c>
      <c r="H175" s="115" t="s">
        <v>88</v>
      </c>
    </row>
    <row r="176" spans="1:8" ht="19.899999999999999" customHeight="1">
      <c r="A176" s="121">
        <v>46031</v>
      </c>
      <c r="B176" s="112" t="s">
        <v>38</v>
      </c>
      <c r="C176" s="113" t="s">
        <v>346</v>
      </c>
      <c r="D176" s="112" t="s">
        <v>341</v>
      </c>
      <c r="E176" s="122">
        <v>1.399305555555556</v>
      </c>
      <c r="F176" s="112" t="s">
        <v>40</v>
      </c>
      <c r="G176" s="114">
        <v>17</v>
      </c>
      <c r="H176" s="115" t="s">
        <v>81</v>
      </c>
    </row>
    <row r="177" spans="1:8" ht="19.899999999999999" customHeight="1">
      <c r="A177" s="121">
        <v>46031</v>
      </c>
      <c r="B177" s="112" t="s">
        <v>38</v>
      </c>
      <c r="C177" s="113" t="s">
        <v>344</v>
      </c>
      <c r="D177" s="112" t="s">
        <v>341</v>
      </c>
      <c r="E177" s="122">
        <v>1.8888888888888891</v>
      </c>
      <c r="F177" s="112" t="s">
        <v>40</v>
      </c>
      <c r="G177" s="114">
        <v>17</v>
      </c>
      <c r="H177" s="115" t="s">
        <v>81</v>
      </c>
    </row>
    <row r="178" spans="1:8" ht="19.899999999999999" customHeight="1">
      <c r="A178" s="121">
        <v>46031</v>
      </c>
      <c r="B178" s="112" t="s">
        <v>38</v>
      </c>
      <c r="C178" s="113" t="s">
        <v>345</v>
      </c>
      <c r="D178" s="112" t="s">
        <v>341</v>
      </c>
      <c r="E178" s="122">
        <v>1.989583333333333</v>
      </c>
      <c r="F178" s="112" t="s">
        <v>40</v>
      </c>
      <c r="G178" s="114">
        <v>18</v>
      </c>
      <c r="H178" s="115" t="s">
        <v>30</v>
      </c>
    </row>
    <row r="179" spans="1:8" ht="19.899999999999999" customHeight="1">
      <c r="A179" s="121">
        <v>46031</v>
      </c>
      <c r="B179" s="112" t="s">
        <v>359</v>
      </c>
      <c r="C179" s="113" t="s">
        <v>422</v>
      </c>
      <c r="D179" s="112" t="s">
        <v>341</v>
      </c>
      <c r="E179" s="122">
        <v>1.8090277777777779</v>
      </c>
      <c r="F179" s="112" t="s">
        <v>361</v>
      </c>
      <c r="G179" s="114">
        <v>9</v>
      </c>
      <c r="H179" s="115" t="s">
        <v>423</v>
      </c>
    </row>
    <row r="180" spans="1:8" ht="19.899999999999999" customHeight="1">
      <c r="A180" s="121">
        <v>46031</v>
      </c>
      <c r="B180" s="112" t="s">
        <v>359</v>
      </c>
      <c r="C180" s="113" t="s">
        <v>360</v>
      </c>
      <c r="D180" s="112" t="s">
        <v>341</v>
      </c>
      <c r="E180" s="122">
        <v>1.225694444444444</v>
      </c>
      <c r="F180" s="112" t="s">
        <v>361</v>
      </c>
      <c r="G180" s="114">
        <v>9</v>
      </c>
      <c r="H180" s="115" t="s">
        <v>423</v>
      </c>
    </row>
    <row r="181" spans="1:8" ht="19.899999999999999" customHeight="1">
      <c r="A181" s="121">
        <v>46031</v>
      </c>
      <c r="B181" s="112" t="s">
        <v>359</v>
      </c>
      <c r="C181" s="113" t="s">
        <v>425</v>
      </c>
      <c r="D181" s="112" t="s">
        <v>341</v>
      </c>
      <c r="E181" s="122">
        <v>1.510416666666667</v>
      </c>
      <c r="F181" s="112" t="s">
        <v>361</v>
      </c>
      <c r="G181" s="114">
        <v>9</v>
      </c>
      <c r="H181" s="115" t="s">
        <v>423</v>
      </c>
    </row>
    <row r="182" spans="1:8" ht="19.899999999999999" customHeight="1">
      <c r="A182" s="121">
        <v>46031</v>
      </c>
      <c r="B182" s="112" t="s">
        <v>61</v>
      </c>
      <c r="C182" s="113" t="s">
        <v>428</v>
      </c>
      <c r="D182" s="112" t="s">
        <v>341</v>
      </c>
      <c r="E182" s="122">
        <v>1.5590277777777779</v>
      </c>
      <c r="F182" s="112" t="s">
        <v>63</v>
      </c>
      <c r="G182" s="114">
        <v>1</v>
      </c>
      <c r="H182" s="115" t="s">
        <v>365</v>
      </c>
    </row>
    <row r="183" spans="1:8" ht="19.899999999999999" customHeight="1">
      <c r="A183" s="121">
        <v>46031</v>
      </c>
      <c r="B183" s="112" t="s">
        <v>61</v>
      </c>
      <c r="C183" s="113" t="s">
        <v>375</v>
      </c>
      <c r="D183" s="112" t="s">
        <v>341</v>
      </c>
      <c r="E183" s="122">
        <v>1.1423611111111109</v>
      </c>
      <c r="F183" s="112" t="s">
        <v>63</v>
      </c>
      <c r="G183" s="114">
        <v>3</v>
      </c>
      <c r="H183" s="115" t="s">
        <v>365</v>
      </c>
    </row>
    <row r="184" spans="1:8" ht="19.899999999999999" customHeight="1">
      <c r="A184" s="123">
        <v>46031</v>
      </c>
      <c r="B184" s="124" t="s">
        <v>61</v>
      </c>
      <c r="C184" s="125" t="s">
        <v>377</v>
      </c>
      <c r="D184" s="124" t="s">
        <v>341</v>
      </c>
      <c r="E184" s="126">
        <v>1.28125</v>
      </c>
      <c r="F184" s="124" t="s">
        <v>63</v>
      </c>
      <c r="G184" s="127">
        <v>6</v>
      </c>
      <c r="H184" s="128" t="s">
        <v>365</v>
      </c>
    </row>
    <row r="185" spans="1:8" ht="19.899999999999999" customHeight="1">
      <c r="A185" s="121">
        <v>46032</v>
      </c>
      <c r="B185" s="112" t="s">
        <v>38</v>
      </c>
      <c r="C185" s="113" t="s">
        <v>621</v>
      </c>
      <c r="D185" s="112" t="s">
        <v>601</v>
      </c>
      <c r="E185" s="122">
        <v>1.3611111111111109</v>
      </c>
      <c r="F185" s="112" t="s">
        <v>622</v>
      </c>
      <c r="G185" s="114">
        <v>19</v>
      </c>
      <c r="H185" s="115" t="s">
        <v>121</v>
      </c>
    </row>
    <row r="186" spans="1:8" ht="19.899999999999999" customHeight="1">
      <c r="A186" s="121">
        <v>46032</v>
      </c>
      <c r="B186" s="112" t="s">
        <v>359</v>
      </c>
      <c r="C186" s="113" t="s">
        <v>602</v>
      </c>
      <c r="D186" s="112" t="s">
        <v>601</v>
      </c>
      <c r="E186" s="122">
        <v>1.3611111111111109</v>
      </c>
      <c r="F186" s="112" t="s">
        <v>603</v>
      </c>
      <c r="G186" s="114">
        <v>9</v>
      </c>
      <c r="H186" s="115" t="s">
        <v>617</v>
      </c>
    </row>
    <row r="187" spans="1:8" ht="19.899999999999999" customHeight="1">
      <c r="A187" s="121">
        <v>46032</v>
      </c>
      <c r="B187" s="112" t="s">
        <v>359</v>
      </c>
      <c r="C187" s="113" t="s">
        <v>628</v>
      </c>
      <c r="D187" s="112" t="s">
        <v>601</v>
      </c>
      <c r="E187" s="122">
        <v>1.0277777777777779</v>
      </c>
      <c r="F187" s="112" t="s">
        <v>603</v>
      </c>
      <c r="G187" s="114">
        <v>9</v>
      </c>
      <c r="H187" s="115" t="s">
        <v>617</v>
      </c>
    </row>
    <row r="188" spans="1:8" ht="19.899999999999999" customHeight="1">
      <c r="A188" s="129">
        <v>46032</v>
      </c>
      <c r="B188" s="117" t="s">
        <v>61</v>
      </c>
      <c r="C188" s="118" t="s">
        <v>612</v>
      </c>
      <c r="D188" s="117" t="s">
        <v>601</v>
      </c>
      <c r="E188" s="130">
        <v>1.604166666666667</v>
      </c>
      <c r="F188" s="117" t="s">
        <v>63</v>
      </c>
      <c r="G188" s="119">
        <v>2</v>
      </c>
      <c r="H188" s="120" t="s">
        <v>79</v>
      </c>
    </row>
    <row r="189" spans="1:8" ht="19.899999999999999" customHeight="1">
      <c r="A189" s="129">
        <v>46032</v>
      </c>
      <c r="B189" s="117" t="s">
        <v>61</v>
      </c>
      <c r="C189" s="118" t="s">
        <v>629</v>
      </c>
      <c r="D189" s="117" t="s">
        <v>601</v>
      </c>
      <c r="E189" s="130">
        <v>1.270833333333333</v>
      </c>
      <c r="F189" s="117" t="s">
        <v>63</v>
      </c>
      <c r="G189" s="119">
        <v>7</v>
      </c>
      <c r="H189" s="120" t="s">
        <v>79</v>
      </c>
    </row>
    <row r="190" spans="1:8" ht="19.899999999999999" customHeight="1">
      <c r="A190" s="121">
        <v>46032</v>
      </c>
      <c r="B190" s="112" t="s">
        <v>38</v>
      </c>
      <c r="C190" s="113" t="s">
        <v>621</v>
      </c>
      <c r="D190" s="112" t="s">
        <v>601</v>
      </c>
      <c r="E190" s="122">
        <v>1.3611111111111109</v>
      </c>
      <c r="F190" s="112" t="s">
        <v>603</v>
      </c>
      <c r="G190" s="114">
        <v>19</v>
      </c>
      <c r="H190" s="115" t="s">
        <v>623</v>
      </c>
    </row>
    <row r="191" spans="1:8" ht="19.899999999999999" customHeight="1">
      <c r="A191" s="121">
        <v>46032</v>
      </c>
      <c r="B191" s="112" t="s">
        <v>38</v>
      </c>
      <c r="C191" s="113" t="s">
        <v>621</v>
      </c>
      <c r="D191" s="112" t="s">
        <v>601</v>
      </c>
      <c r="E191" s="122">
        <v>1.3611111111111109</v>
      </c>
      <c r="F191" s="112" t="s">
        <v>605</v>
      </c>
      <c r="G191" s="114">
        <v>19</v>
      </c>
      <c r="H191" s="115" t="s">
        <v>624</v>
      </c>
    </row>
    <row r="192" spans="1:8" ht="19.899999999999999" customHeight="1">
      <c r="A192" s="121">
        <v>46032</v>
      </c>
      <c r="B192" s="112" t="s">
        <v>359</v>
      </c>
      <c r="C192" s="113" t="s">
        <v>602</v>
      </c>
      <c r="D192" s="112" t="s">
        <v>601</v>
      </c>
      <c r="E192" s="122">
        <v>1.3611111111111109</v>
      </c>
      <c r="F192" s="112" t="s">
        <v>605</v>
      </c>
      <c r="G192" s="114">
        <v>9</v>
      </c>
      <c r="H192" s="115" t="s">
        <v>626</v>
      </c>
    </row>
    <row r="193" spans="1:8" ht="19.899999999999999" customHeight="1">
      <c r="A193" s="121">
        <v>46032</v>
      </c>
      <c r="B193" s="112" t="s">
        <v>359</v>
      </c>
      <c r="C193" s="113" t="s">
        <v>628</v>
      </c>
      <c r="D193" s="112" t="s">
        <v>601</v>
      </c>
      <c r="E193" s="122">
        <v>1.0277777777777779</v>
      </c>
      <c r="F193" s="112" t="s">
        <v>605</v>
      </c>
      <c r="G193" s="114">
        <v>9</v>
      </c>
      <c r="H193" s="115" t="s">
        <v>626</v>
      </c>
    </row>
    <row r="194" spans="1:8" ht="19.899999999999999" customHeight="1">
      <c r="A194" s="121">
        <v>46032</v>
      </c>
      <c r="B194" s="112" t="s">
        <v>48</v>
      </c>
      <c r="C194" s="113" t="s">
        <v>609</v>
      </c>
      <c r="D194" s="112" t="s">
        <v>601</v>
      </c>
      <c r="E194" s="122">
        <v>1.4513888888888891</v>
      </c>
      <c r="F194" s="112" t="s">
        <v>50</v>
      </c>
      <c r="G194" s="114">
        <v>9</v>
      </c>
      <c r="H194" s="115" t="s">
        <v>649</v>
      </c>
    </row>
    <row r="195" spans="1:8" ht="19.899999999999999" customHeight="1">
      <c r="A195" s="121">
        <v>46032</v>
      </c>
      <c r="B195" s="112" t="s">
        <v>48</v>
      </c>
      <c r="C195" s="113" t="s">
        <v>611</v>
      </c>
      <c r="D195" s="112" t="s">
        <v>601</v>
      </c>
      <c r="E195" s="122">
        <v>1.819444444444444</v>
      </c>
      <c r="F195" s="112" t="s">
        <v>50</v>
      </c>
      <c r="G195" s="114">
        <v>9</v>
      </c>
      <c r="H195" s="115" t="s">
        <v>649</v>
      </c>
    </row>
    <row r="196" spans="1:8" ht="19.899999999999999" customHeight="1">
      <c r="A196" s="121">
        <v>46032</v>
      </c>
      <c r="B196" s="112" t="s">
        <v>38</v>
      </c>
      <c r="C196" s="113" t="s">
        <v>621</v>
      </c>
      <c r="D196" s="112" t="s">
        <v>601</v>
      </c>
      <c r="E196" s="122">
        <v>1.3611111111111109</v>
      </c>
      <c r="F196" s="112" t="s">
        <v>625</v>
      </c>
      <c r="G196" s="114">
        <v>19</v>
      </c>
      <c r="H196" s="115" t="s">
        <v>163</v>
      </c>
    </row>
    <row r="197" spans="1:8" ht="19.899999999999999" customHeight="1">
      <c r="A197" s="121">
        <v>46032</v>
      </c>
      <c r="B197" s="112" t="s">
        <v>359</v>
      </c>
      <c r="C197" s="113" t="s">
        <v>602</v>
      </c>
      <c r="D197" s="112" t="s">
        <v>601</v>
      </c>
      <c r="E197" s="122">
        <v>1.3611111111111109</v>
      </c>
      <c r="F197" s="112" t="s">
        <v>46</v>
      </c>
      <c r="G197" s="114">
        <v>9</v>
      </c>
      <c r="H197" s="115" t="s">
        <v>627</v>
      </c>
    </row>
    <row r="198" spans="1:8" ht="19.899999999999999" customHeight="1">
      <c r="A198" s="121">
        <v>46032</v>
      </c>
      <c r="B198" s="112" t="s">
        <v>359</v>
      </c>
      <c r="C198" s="113" t="s">
        <v>628</v>
      </c>
      <c r="D198" s="112" t="s">
        <v>601</v>
      </c>
      <c r="E198" s="122">
        <v>1.0277777777777779</v>
      </c>
      <c r="F198" s="112" t="s">
        <v>46</v>
      </c>
      <c r="G198" s="114">
        <v>9</v>
      </c>
      <c r="H198" s="115" t="s">
        <v>627</v>
      </c>
    </row>
    <row r="199" spans="1:8" ht="19.899999999999999" customHeight="1">
      <c r="A199" s="121">
        <v>46032</v>
      </c>
      <c r="B199" s="112" t="s">
        <v>48</v>
      </c>
      <c r="C199" s="113" t="s">
        <v>609</v>
      </c>
      <c r="D199" s="112" t="s">
        <v>601</v>
      </c>
      <c r="E199" s="122">
        <v>1.4513888888888891</v>
      </c>
      <c r="F199" s="112" t="s">
        <v>53</v>
      </c>
      <c r="G199" s="114">
        <v>9</v>
      </c>
      <c r="H199" s="115" t="s">
        <v>650</v>
      </c>
    </row>
    <row r="200" spans="1:8" ht="19.899999999999999" customHeight="1">
      <c r="A200" s="121">
        <v>46032</v>
      </c>
      <c r="B200" s="112" t="s">
        <v>48</v>
      </c>
      <c r="C200" s="113" t="s">
        <v>611</v>
      </c>
      <c r="D200" s="112" t="s">
        <v>601</v>
      </c>
      <c r="E200" s="122">
        <v>1.819444444444444</v>
      </c>
      <c r="F200" s="112" t="s">
        <v>53</v>
      </c>
      <c r="G200" s="114">
        <v>9</v>
      </c>
      <c r="H200" s="115" t="s">
        <v>650</v>
      </c>
    </row>
    <row r="201" spans="1:8" ht="19.899999999999999" customHeight="1">
      <c r="A201" s="121">
        <v>46032</v>
      </c>
      <c r="B201" s="112" t="s">
        <v>68</v>
      </c>
      <c r="C201" s="113" t="s">
        <v>633</v>
      </c>
      <c r="D201" s="112" t="s">
        <v>601</v>
      </c>
      <c r="E201" s="122">
        <v>1.458333333333333</v>
      </c>
      <c r="F201" s="112" t="s">
        <v>70</v>
      </c>
      <c r="G201" s="114">
        <v>9</v>
      </c>
      <c r="H201" s="115" t="s">
        <v>651</v>
      </c>
    </row>
    <row r="202" spans="1:8" ht="19.899999999999999" customHeight="1">
      <c r="A202" s="143"/>
      <c r="B202" s="144"/>
      <c r="C202" s="144"/>
      <c r="D202" s="144"/>
      <c r="E202" s="144"/>
      <c r="F202" s="145" t="s">
        <v>705</v>
      </c>
      <c r="G202" s="144"/>
      <c r="H202" s="146"/>
    </row>
    <row r="203" spans="1:8" ht="19.899999999999999" customHeight="1">
      <c r="A203" s="121">
        <v>46032</v>
      </c>
      <c r="B203" s="112" t="s">
        <v>38</v>
      </c>
      <c r="C203" s="113" t="s">
        <v>345</v>
      </c>
      <c r="D203" s="112" t="s">
        <v>341</v>
      </c>
      <c r="E203" s="122">
        <v>1.989583333333333</v>
      </c>
      <c r="F203" s="112" t="s">
        <v>40</v>
      </c>
      <c r="G203" s="114">
        <v>10</v>
      </c>
      <c r="H203" s="115" t="s">
        <v>81</v>
      </c>
    </row>
    <row r="204" spans="1:8" ht="19.899999999999999" customHeight="1">
      <c r="A204" s="121">
        <v>46032</v>
      </c>
      <c r="B204" s="112" t="s">
        <v>38</v>
      </c>
      <c r="C204" s="113" t="s">
        <v>342</v>
      </c>
      <c r="D204" s="112" t="s">
        <v>341</v>
      </c>
      <c r="E204" s="122">
        <v>1.489583333333333</v>
      </c>
      <c r="F204" s="112" t="s">
        <v>40</v>
      </c>
      <c r="G204" s="114">
        <v>17</v>
      </c>
      <c r="H204" s="115" t="s">
        <v>30</v>
      </c>
    </row>
    <row r="205" spans="1:8" ht="19.899999999999999" customHeight="1">
      <c r="A205" s="121">
        <v>46032</v>
      </c>
      <c r="B205" s="112" t="s">
        <v>359</v>
      </c>
      <c r="C205" s="113" t="s">
        <v>445</v>
      </c>
      <c r="D205" s="112" t="s">
        <v>341</v>
      </c>
      <c r="E205" s="122">
        <v>1.055555555555556</v>
      </c>
      <c r="F205" s="112" t="s">
        <v>361</v>
      </c>
      <c r="G205" s="114">
        <v>9</v>
      </c>
      <c r="H205" s="115" t="s">
        <v>423</v>
      </c>
    </row>
    <row r="206" spans="1:8" ht="19.899999999999999" customHeight="1">
      <c r="A206" s="121">
        <v>46032</v>
      </c>
      <c r="B206" s="112" t="s">
        <v>359</v>
      </c>
      <c r="C206" s="113" t="s">
        <v>360</v>
      </c>
      <c r="D206" s="112" t="s">
        <v>341</v>
      </c>
      <c r="E206" s="122">
        <v>1.1701388888888891</v>
      </c>
      <c r="F206" s="112" t="s">
        <v>361</v>
      </c>
      <c r="G206" s="114">
        <v>9</v>
      </c>
      <c r="H206" s="115" t="s">
        <v>484</v>
      </c>
    </row>
    <row r="207" spans="1:8" ht="19.899999999999999" customHeight="1">
      <c r="A207" s="121">
        <v>46032</v>
      </c>
      <c r="B207" s="112" t="s">
        <v>38</v>
      </c>
      <c r="C207" s="113" t="s">
        <v>346</v>
      </c>
      <c r="D207" s="112" t="s">
        <v>341</v>
      </c>
      <c r="E207" s="122">
        <v>1.399305555555556</v>
      </c>
      <c r="F207" s="112" t="s">
        <v>40</v>
      </c>
      <c r="G207" s="114">
        <v>17</v>
      </c>
      <c r="H207" s="115" t="s">
        <v>347</v>
      </c>
    </row>
    <row r="208" spans="1:8" ht="19.899999999999999" customHeight="1">
      <c r="A208" s="121">
        <v>46032</v>
      </c>
      <c r="B208" s="112" t="s">
        <v>61</v>
      </c>
      <c r="C208" s="113" t="s">
        <v>371</v>
      </c>
      <c r="D208" s="112" t="s">
        <v>341</v>
      </c>
      <c r="E208" s="122">
        <v>1.0486111111111109</v>
      </c>
      <c r="F208" s="112" t="s">
        <v>63</v>
      </c>
      <c r="G208" s="114">
        <v>3</v>
      </c>
      <c r="H208" s="115" t="s">
        <v>365</v>
      </c>
    </row>
    <row r="209" spans="1:8" ht="19.899999999999999" customHeight="1">
      <c r="A209" s="121">
        <v>46032</v>
      </c>
      <c r="B209" s="112" t="s">
        <v>61</v>
      </c>
      <c r="C209" s="113" t="s">
        <v>375</v>
      </c>
      <c r="D209" s="112" t="s">
        <v>341</v>
      </c>
      <c r="E209" s="122">
        <v>1.15625</v>
      </c>
      <c r="F209" s="112" t="s">
        <v>63</v>
      </c>
      <c r="G209" s="114">
        <v>4</v>
      </c>
      <c r="H209" s="115" t="s">
        <v>365</v>
      </c>
    </row>
    <row r="210" spans="1:8" ht="19.899999999999999" customHeight="1">
      <c r="A210" s="121">
        <v>46032</v>
      </c>
      <c r="B210" s="112" t="s">
        <v>61</v>
      </c>
      <c r="C210" s="113" t="s">
        <v>377</v>
      </c>
      <c r="D210" s="112" t="s">
        <v>341</v>
      </c>
      <c r="E210" s="122">
        <v>1.5034722222222221</v>
      </c>
      <c r="F210" s="112" t="s">
        <v>63</v>
      </c>
      <c r="G210" s="114">
        <v>1</v>
      </c>
      <c r="H210" s="115" t="s">
        <v>365</v>
      </c>
    </row>
    <row r="211" spans="1:8" ht="19.899999999999999" customHeight="1">
      <c r="A211" s="121">
        <v>46032</v>
      </c>
      <c r="B211" s="112" t="s">
        <v>38</v>
      </c>
      <c r="C211" s="113" t="s">
        <v>344</v>
      </c>
      <c r="D211" s="112" t="s">
        <v>341</v>
      </c>
      <c r="E211" s="122">
        <v>1.8888888888888891</v>
      </c>
      <c r="F211" s="112" t="s">
        <v>40</v>
      </c>
      <c r="G211" s="114">
        <v>12</v>
      </c>
      <c r="H211" s="115" t="s">
        <v>121</v>
      </c>
    </row>
    <row r="212" spans="1:8" ht="19.899999999999999" customHeight="1">
      <c r="A212" s="123">
        <v>46032</v>
      </c>
      <c r="B212" s="124" t="s">
        <v>26</v>
      </c>
      <c r="C212" s="125" t="s">
        <v>348</v>
      </c>
      <c r="D212" s="124" t="s">
        <v>341</v>
      </c>
      <c r="E212" s="126">
        <v>1.993055555555556</v>
      </c>
      <c r="F212" s="124" t="s">
        <v>28</v>
      </c>
      <c r="G212" s="127">
        <v>4</v>
      </c>
      <c r="H212" s="128" t="s">
        <v>83</v>
      </c>
    </row>
    <row r="213" spans="1:8" ht="19.899999999999999" customHeight="1">
      <c r="A213" s="121">
        <v>46033</v>
      </c>
      <c r="B213" s="112" t="s">
        <v>359</v>
      </c>
      <c r="C213" s="113" t="s">
        <v>602</v>
      </c>
      <c r="D213" s="112" t="s">
        <v>601</v>
      </c>
      <c r="E213" s="122">
        <v>1.3611111111111109</v>
      </c>
      <c r="F213" s="112" t="s">
        <v>603</v>
      </c>
      <c r="G213" s="114">
        <v>9</v>
      </c>
      <c r="H213" s="115" t="s">
        <v>617</v>
      </c>
    </row>
    <row r="214" spans="1:8" ht="19.899999999999999" customHeight="1">
      <c r="A214" s="129">
        <v>46033</v>
      </c>
      <c r="B214" s="117" t="s">
        <v>61</v>
      </c>
      <c r="C214" s="118" t="s">
        <v>612</v>
      </c>
      <c r="D214" s="117" t="s">
        <v>601</v>
      </c>
      <c r="E214" s="130">
        <v>1.4965277777777779</v>
      </c>
      <c r="F214" s="117" t="s">
        <v>63</v>
      </c>
      <c r="G214" s="119">
        <v>9</v>
      </c>
      <c r="H214" s="120" t="s">
        <v>79</v>
      </c>
    </row>
    <row r="215" spans="1:8" ht="19.899999999999999" customHeight="1">
      <c r="A215" s="129">
        <v>46033</v>
      </c>
      <c r="B215" s="117" t="s">
        <v>61</v>
      </c>
      <c r="C215" s="118" t="s">
        <v>629</v>
      </c>
      <c r="D215" s="117" t="s">
        <v>601</v>
      </c>
      <c r="E215" s="130">
        <v>1.5798611111111109</v>
      </c>
      <c r="F215" s="117" t="s">
        <v>63</v>
      </c>
      <c r="G215" s="119">
        <v>9</v>
      </c>
      <c r="H215" s="120" t="s">
        <v>79</v>
      </c>
    </row>
    <row r="216" spans="1:8" ht="19.899999999999999" customHeight="1">
      <c r="A216" s="121">
        <v>46033</v>
      </c>
      <c r="B216" s="112" t="s">
        <v>48</v>
      </c>
      <c r="C216" s="113" t="s">
        <v>611</v>
      </c>
      <c r="D216" s="112" t="s">
        <v>601</v>
      </c>
      <c r="E216" s="122">
        <v>1.819444444444444</v>
      </c>
      <c r="F216" s="112" t="s">
        <v>50</v>
      </c>
      <c r="G216" s="114">
        <v>9</v>
      </c>
      <c r="H216" s="115" t="s">
        <v>133</v>
      </c>
    </row>
    <row r="217" spans="1:8" ht="19.899999999999999" customHeight="1">
      <c r="A217" s="121">
        <v>46033</v>
      </c>
      <c r="B217" s="112" t="s">
        <v>359</v>
      </c>
      <c r="C217" s="113" t="s">
        <v>602</v>
      </c>
      <c r="D217" s="112" t="s">
        <v>601</v>
      </c>
      <c r="E217" s="122">
        <v>1.3611111111111109</v>
      </c>
      <c r="F217" s="112" t="s">
        <v>605</v>
      </c>
      <c r="G217" s="114">
        <v>9</v>
      </c>
      <c r="H217" s="115" t="s">
        <v>626</v>
      </c>
    </row>
    <row r="218" spans="1:8" ht="19.899999999999999" customHeight="1">
      <c r="A218" s="121">
        <v>46033</v>
      </c>
      <c r="B218" s="112" t="s">
        <v>48</v>
      </c>
      <c r="C218" s="113" t="s">
        <v>611</v>
      </c>
      <c r="D218" s="112" t="s">
        <v>601</v>
      </c>
      <c r="E218" s="122">
        <v>1.819444444444444</v>
      </c>
      <c r="F218" s="112" t="s">
        <v>53</v>
      </c>
      <c r="G218" s="114">
        <v>9</v>
      </c>
      <c r="H218" s="115" t="s">
        <v>610</v>
      </c>
    </row>
    <row r="219" spans="1:8" ht="19.899999999999999" customHeight="1">
      <c r="A219" s="121">
        <v>46033</v>
      </c>
      <c r="B219" s="112" t="s">
        <v>359</v>
      </c>
      <c r="C219" s="113" t="s">
        <v>602</v>
      </c>
      <c r="D219" s="112" t="s">
        <v>601</v>
      </c>
      <c r="E219" s="122">
        <v>1.3611111111111109</v>
      </c>
      <c r="F219" s="112" t="s">
        <v>46</v>
      </c>
      <c r="G219" s="114">
        <v>9</v>
      </c>
      <c r="H219" s="115" t="s">
        <v>627</v>
      </c>
    </row>
    <row r="220" spans="1:8" ht="19.899999999999999" customHeight="1">
      <c r="A220" s="143"/>
      <c r="B220" s="144"/>
      <c r="C220" s="144"/>
      <c r="D220" s="144"/>
      <c r="E220" s="144"/>
      <c r="F220" s="145" t="s">
        <v>705</v>
      </c>
      <c r="G220" s="144"/>
      <c r="H220" s="146"/>
    </row>
    <row r="221" spans="1:8" ht="19.899999999999999" customHeight="1">
      <c r="A221" s="121">
        <v>46033</v>
      </c>
      <c r="B221" s="112" t="s">
        <v>38</v>
      </c>
      <c r="C221" s="113" t="s">
        <v>344</v>
      </c>
      <c r="D221" s="112" t="s">
        <v>341</v>
      </c>
      <c r="E221" s="122">
        <v>1.8888888888888891</v>
      </c>
      <c r="F221" s="112" t="s">
        <v>40</v>
      </c>
      <c r="G221" s="114">
        <v>20</v>
      </c>
      <c r="H221" s="115" t="s">
        <v>81</v>
      </c>
    </row>
    <row r="222" spans="1:8" ht="19.899999999999999" customHeight="1">
      <c r="A222" s="121">
        <v>46033</v>
      </c>
      <c r="B222" s="112" t="s">
        <v>38</v>
      </c>
      <c r="C222" s="113" t="s">
        <v>345</v>
      </c>
      <c r="D222" s="112" t="s">
        <v>341</v>
      </c>
      <c r="E222" s="122">
        <v>1.989583333333333</v>
      </c>
      <c r="F222" s="112" t="s">
        <v>40</v>
      </c>
      <c r="G222" s="114">
        <v>20</v>
      </c>
      <c r="H222" s="115" t="s">
        <v>81</v>
      </c>
    </row>
    <row r="223" spans="1:8" ht="19.899999999999999" customHeight="1">
      <c r="A223" s="121">
        <v>46033</v>
      </c>
      <c r="B223" s="112" t="s">
        <v>38</v>
      </c>
      <c r="C223" s="113" t="s">
        <v>346</v>
      </c>
      <c r="D223" s="112" t="s">
        <v>341</v>
      </c>
      <c r="E223" s="122">
        <v>1.399305555555556</v>
      </c>
      <c r="F223" s="112" t="s">
        <v>40</v>
      </c>
      <c r="G223" s="114">
        <v>20</v>
      </c>
      <c r="H223" s="115" t="s">
        <v>30</v>
      </c>
    </row>
    <row r="224" spans="1:8" ht="19.899999999999999" customHeight="1">
      <c r="A224" s="121">
        <v>46033</v>
      </c>
      <c r="B224" s="112" t="s">
        <v>38</v>
      </c>
      <c r="C224" s="113" t="s">
        <v>342</v>
      </c>
      <c r="D224" s="112" t="s">
        <v>341</v>
      </c>
      <c r="E224" s="122">
        <v>1.489583333333333</v>
      </c>
      <c r="F224" s="112" t="s">
        <v>40</v>
      </c>
      <c r="G224" s="114">
        <v>11</v>
      </c>
      <c r="H224" s="115" t="s">
        <v>30</v>
      </c>
    </row>
    <row r="225" spans="1:8" ht="19.899999999999999" customHeight="1">
      <c r="A225" s="121">
        <v>46033</v>
      </c>
      <c r="B225" s="112" t="s">
        <v>359</v>
      </c>
      <c r="C225" s="113" t="s">
        <v>360</v>
      </c>
      <c r="D225" s="112" t="s">
        <v>341</v>
      </c>
      <c r="E225" s="122">
        <v>1.229166666666667</v>
      </c>
      <c r="F225" s="112" t="s">
        <v>361</v>
      </c>
      <c r="G225" s="114">
        <v>9</v>
      </c>
      <c r="H225" s="115" t="s">
        <v>423</v>
      </c>
    </row>
    <row r="226" spans="1:8" ht="19.899999999999999" customHeight="1">
      <c r="A226" s="121">
        <v>46033</v>
      </c>
      <c r="B226" s="112" t="s">
        <v>61</v>
      </c>
      <c r="C226" s="113" t="s">
        <v>432</v>
      </c>
      <c r="D226" s="112" t="s">
        <v>341</v>
      </c>
      <c r="E226" s="122">
        <v>1.333333333333333</v>
      </c>
      <c r="F226" s="112" t="s">
        <v>63</v>
      </c>
      <c r="G226" s="114">
        <v>5</v>
      </c>
      <c r="H226" s="115" t="s">
        <v>365</v>
      </c>
    </row>
    <row r="227" spans="1:8" ht="19.899999999999999" customHeight="1">
      <c r="A227" s="121">
        <v>46033</v>
      </c>
      <c r="B227" s="112" t="s">
        <v>61</v>
      </c>
      <c r="C227" s="113" t="s">
        <v>375</v>
      </c>
      <c r="D227" s="112" t="s">
        <v>341</v>
      </c>
      <c r="E227" s="122">
        <v>1.1423611111111109</v>
      </c>
      <c r="F227" s="112" t="s">
        <v>63</v>
      </c>
      <c r="G227" s="114">
        <v>3</v>
      </c>
      <c r="H227" s="115" t="s">
        <v>365</v>
      </c>
    </row>
    <row r="228" spans="1:8" ht="19.899999999999999" customHeight="1">
      <c r="A228" s="121">
        <v>46033</v>
      </c>
      <c r="B228" s="112" t="s">
        <v>61</v>
      </c>
      <c r="C228" s="113" t="s">
        <v>377</v>
      </c>
      <c r="D228" s="112" t="s">
        <v>341</v>
      </c>
      <c r="E228" s="122">
        <v>1.4548611111111109</v>
      </c>
      <c r="F228" s="112" t="s">
        <v>63</v>
      </c>
      <c r="G228" s="114">
        <v>5</v>
      </c>
      <c r="H228" s="115" t="s">
        <v>365</v>
      </c>
    </row>
    <row r="229" spans="1:8" ht="19.899999999999999" customHeight="1">
      <c r="A229" s="121">
        <v>46033</v>
      </c>
      <c r="B229" s="112" t="s">
        <v>61</v>
      </c>
      <c r="C229" s="113" t="s">
        <v>379</v>
      </c>
      <c r="D229" s="112" t="s">
        <v>341</v>
      </c>
      <c r="E229" s="122">
        <v>1.8298611111111109</v>
      </c>
      <c r="F229" s="112" t="s">
        <v>63</v>
      </c>
      <c r="G229" s="114">
        <v>3</v>
      </c>
      <c r="H229" s="115" t="s">
        <v>365</v>
      </c>
    </row>
    <row r="230" spans="1:8" ht="19.899999999999999" customHeight="1">
      <c r="A230" s="123">
        <v>46033</v>
      </c>
      <c r="B230" s="124" t="s">
        <v>26</v>
      </c>
      <c r="C230" s="125" t="s">
        <v>348</v>
      </c>
      <c r="D230" s="124" t="s">
        <v>341</v>
      </c>
      <c r="E230" s="126">
        <v>1.993055555555556</v>
      </c>
      <c r="F230" s="124" t="s">
        <v>28</v>
      </c>
      <c r="G230" s="127">
        <v>4</v>
      </c>
      <c r="H230" s="128" t="s">
        <v>83</v>
      </c>
    </row>
    <row r="231" spans="1:8" ht="19.899999999999999" customHeight="1">
      <c r="A231" s="121">
        <v>46034</v>
      </c>
      <c r="B231" s="112" t="s">
        <v>359</v>
      </c>
      <c r="C231" s="113" t="s">
        <v>637</v>
      </c>
      <c r="D231" s="112" t="s">
        <v>601</v>
      </c>
      <c r="E231" s="122">
        <v>1.1284722222222221</v>
      </c>
      <c r="F231" s="112" t="s">
        <v>603</v>
      </c>
      <c r="G231" s="114">
        <v>9</v>
      </c>
      <c r="H231" s="115" t="s">
        <v>604</v>
      </c>
    </row>
    <row r="232" spans="1:8" ht="19.899999999999999" customHeight="1">
      <c r="A232" s="129">
        <v>46034</v>
      </c>
      <c r="B232" s="117" t="s">
        <v>61</v>
      </c>
      <c r="C232" s="118" t="s">
        <v>612</v>
      </c>
      <c r="D232" s="117" t="s">
        <v>601</v>
      </c>
      <c r="E232" s="130">
        <v>1.458333333333333</v>
      </c>
      <c r="F232" s="117" t="s">
        <v>63</v>
      </c>
      <c r="G232" s="119">
        <v>9</v>
      </c>
      <c r="H232" s="120" t="s">
        <v>79</v>
      </c>
    </row>
    <row r="233" spans="1:8" ht="19.899999999999999" customHeight="1">
      <c r="A233" s="129">
        <v>46034</v>
      </c>
      <c r="B233" s="117" t="s">
        <v>61</v>
      </c>
      <c r="C233" s="118" t="s">
        <v>629</v>
      </c>
      <c r="D233" s="117" t="s">
        <v>601</v>
      </c>
      <c r="E233" s="130">
        <v>1.149305555555556</v>
      </c>
      <c r="F233" s="117" t="s">
        <v>63</v>
      </c>
      <c r="G233" s="119">
        <v>9</v>
      </c>
      <c r="H233" s="120" t="s">
        <v>79</v>
      </c>
    </row>
    <row r="234" spans="1:8" ht="19.899999999999999" customHeight="1">
      <c r="A234" s="121">
        <v>46034</v>
      </c>
      <c r="B234" s="112" t="s">
        <v>359</v>
      </c>
      <c r="C234" s="113" t="s">
        <v>637</v>
      </c>
      <c r="D234" s="112" t="s">
        <v>601</v>
      </c>
      <c r="E234" s="122">
        <v>1.1284722222222221</v>
      </c>
      <c r="F234" s="112" t="s">
        <v>605</v>
      </c>
      <c r="G234" s="114">
        <v>9</v>
      </c>
      <c r="H234" s="115" t="s">
        <v>606</v>
      </c>
    </row>
    <row r="235" spans="1:8" ht="19.899999999999999" customHeight="1">
      <c r="A235" s="121">
        <v>46034</v>
      </c>
      <c r="B235" s="112" t="s">
        <v>48</v>
      </c>
      <c r="C235" s="113" t="s">
        <v>611</v>
      </c>
      <c r="D235" s="112" t="s">
        <v>601</v>
      </c>
      <c r="E235" s="122">
        <v>1.819444444444444</v>
      </c>
      <c r="F235" s="112" t="s">
        <v>50</v>
      </c>
      <c r="G235" s="114">
        <v>3</v>
      </c>
      <c r="H235" s="115" t="s">
        <v>649</v>
      </c>
    </row>
    <row r="236" spans="1:8" ht="19.899999999999999" customHeight="1">
      <c r="A236" s="121">
        <v>46034</v>
      </c>
      <c r="B236" s="112" t="s">
        <v>359</v>
      </c>
      <c r="C236" s="113" t="s">
        <v>637</v>
      </c>
      <c r="D236" s="112" t="s">
        <v>601</v>
      </c>
      <c r="E236" s="122">
        <v>1.1284722222222221</v>
      </c>
      <c r="F236" s="112" t="s">
        <v>46</v>
      </c>
      <c r="G236" s="114">
        <v>9</v>
      </c>
      <c r="H236" s="115" t="s">
        <v>607</v>
      </c>
    </row>
    <row r="237" spans="1:8" ht="19.899999999999999" customHeight="1">
      <c r="A237" s="121">
        <v>46034</v>
      </c>
      <c r="B237" s="112" t="s">
        <v>48</v>
      </c>
      <c r="C237" s="113" t="s">
        <v>611</v>
      </c>
      <c r="D237" s="112" t="s">
        <v>601</v>
      </c>
      <c r="E237" s="122">
        <v>1.819444444444444</v>
      </c>
      <c r="F237" s="112" t="s">
        <v>53</v>
      </c>
      <c r="G237" s="114">
        <v>3</v>
      </c>
      <c r="H237" s="115" t="s">
        <v>650</v>
      </c>
    </row>
    <row r="238" spans="1:8" ht="19.899999999999999" customHeight="1">
      <c r="A238" s="143"/>
      <c r="B238" s="144"/>
      <c r="C238" s="144"/>
      <c r="D238" s="144"/>
      <c r="E238" s="144"/>
      <c r="F238" s="145" t="s">
        <v>705</v>
      </c>
      <c r="G238" s="144"/>
      <c r="H238" s="146"/>
    </row>
    <row r="239" spans="1:8" ht="19.899999999999999" customHeight="1">
      <c r="A239" s="121">
        <v>46034</v>
      </c>
      <c r="B239" s="112" t="s">
        <v>38</v>
      </c>
      <c r="C239" s="113" t="s">
        <v>342</v>
      </c>
      <c r="D239" s="112" t="s">
        <v>341</v>
      </c>
      <c r="E239" s="122">
        <v>1.489583333333333</v>
      </c>
      <c r="F239" s="112" t="s">
        <v>40</v>
      </c>
      <c r="G239" s="114">
        <v>15</v>
      </c>
      <c r="H239" s="115" t="s">
        <v>475</v>
      </c>
    </row>
    <row r="240" spans="1:8" ht="19.899999999999999" customHeight="1">
      <c r="A240" s="121">
        <v>46034</v>
      </c>
      <c r="B240" s="112" t="s">
        <v>38</v>
      </c>
      <c r="C240" s="113" t="s">
        <v>344</v>
      </c>
      <c r="D240" s="112" t="s">
        <v>341</v>
      </c>
      <c r="E240" s="122">
        <v>1.8888888888888891</v>
      </c>
      <c r="F240" s="112" t="s">
        <v>40</v>
      </c>
      <c r="G240" s="114">
        <v>18</v>
      </c>
      <c r="H240" s="115" t="s">
        <v>30</v>
      </c>
    </row>
    <row r="241" spans="1:8" ht="19.899999999999999" customHeight="1">
      <c r="A241" s="121">
        <v>46034</v>
      </c>
      <c r="B241" s="112" t="s">
        <v>359</v>
      </c>
      <c r="C241" s="113" t="s">
        <v>360</v>
      </c>
      <c r="D241" s="112" t="s">
        <v>341</v>
      </c>
      <c r="E241" s="122">
        <v>1.225694444444444</v>
      </c>
      <c r="F241" s="112" t="s">
        <v>361</v>
      </c>
      <c r="G241" s="114">
        <v>9</v>
      </c>
      <c r="H241" s="115" t="s">
        <v>362</v>
      </c>
    </row>
    <row r="242" spans="1:8" ht="19.899999999999999" customHeight="1">
      <c r="A242" s="121">
        <v>46034</v>
      </c>
      <c r="B242" s="112" t="s">
        <v>359</v>
      </c>
      <c r="C242" s="113" t="s">
        <v>445</v>
      </c>
      <c r="D242" s="112" t="s">
        <v>341</v>
      </c>
      <c r="E242" s="122">
        <v>1.0138888888888891</v>
      </c>
      <c r="F242" s="112" t="s">
        <v>361</v>
      </c>
      <c r="G242" s="114">
        <v>9</v>
      </c>
      <c r="H242" s="115" t="s">
        <v>362</v>
      </c>
    </row>
    <row r="243" spans="1:8" ht="19.899999999999999" customHeight="1">
      <c r="A243" s="121">
        <v>46034</v>
      </c>
      <c r="B243" s="112" t="s">
        <v>38</v>
      </c>
      <c r="C243" s="113" t="s">
        <v>346</v>
      </c>
      <c r="D243" s="112" t="s">
        <v>341</v>
      </c>
      <c r="E243" s="122">
        <v>1.399305555555556</v>
      </c>
      <c r="F243" s="112" t="s">
        <v>440</v>
      </c>
      <c r="G243" s="114">
        <v>20</v>
      </c>
      <c r="H243" s="115" t="s">
        <v>347</v>
      </c>
    </row>
    <row r="244" spans="1:8" ht="19.899999999999999" customHeight="1">
      <c r="A244" s="121">
        <v>46034</v>
      </c>
      <c r="B244" s="112" t="s">
        <v>38</v>
      </c>
      <c r="C244" s="113" t="s">
        <v>345</v>
      </c>
      <c r="D244" s="112" t="s">
        <v>341</v>
      </c>
      <c r="E244" s="122">
        <v>1.989583333333333</v>
      </c>
      <c r="F244" s="112" t="s">
        <v>40</v>
      </c>
      <c r="G244" s="114">
        <v>20</v>
      </c>
      <c r="H244" s="115" t="s">
        <v>347</v>
      </c>
    </row>
    <row r="245" spans="1:8" ht="19.899999999999999" customHeight="1">
      <c r="A245" s="121">
        <v>46034</v>
      </c>
      <c r="B245" s="112" t="s">
        <v>61</v>
      </c>
      <c r="C245" s="113" t="s">
        <v>432</v>
      </c>
      <c r="D245" s="112" t="s">
        <v>341</v>
      </c>
      <c r="E245" s="122">
        <v>1.802083333333333</v>
      </c>
      <c r="F245" s="112" t="s">
        <v>63</v>
      </c>
      <c r="G245" s="114">
        <v>5</v>
      </c>
      <c r="H245" s="115" t="s">
        <v>365</v>
      </c>
    </row>
    <row r="246" spans="1:8" ht="19.899999999999999" customHeight="1">
      <c r="A246" s="121">
        <v>46034</v>
      </c>
      <c r="B246" s="112" t="s">
        <v>61</v>
      </c>
      <c r="C246" s="113" t="s">
        <v>375</v>
      </c>
      <c r="D246" s="112" t="s">
        <v>341</v>
      </c>
      <c r="E246" s="122">
        <v>1.2465277777777779</v>
      </c>
      <c r="F246" s="112" t="s">
        <v>63</v>
      </c>
      <c r="G246" s="114">
        <v>4</v>
      </c>
      <c r="H246" s="115" t="s">
        <v>365</v>
      </c>
    </row>
    <row r="247" spans="1:8" ht="19.899999999999999" customHeight="1">
      <c r="A247" s="121">
        <v>46034</v>
      </c>
      <c r="B247" s="112" t="s">
        <v>61</v>
      </c>
      <c r="C247" s="113" t="s">
        <v>377</v>
      </c>
      <c r="D247" s="112" t="s">
        <v>341</v>
      </c>
      <c r="E247" s="122">
        <v>1.4375</v>
      </c>
      <c r="F247" s="112" t="s">
        <v>63</v>
      </c>
      <c r="G247" s="114">
        <v>4</v>
      </c>
      <c r="H247" s="115" t="s">
        <v>365</v>
      </c>
    </row>
    <row r="248" spans="1:8" ht="19.899999999999999" customHeight="1">
      <c r="A248" s="123">
        <v>46034</v>
      </c>
      <c r="B248" s="124" t="s">
        <v>38</v>
      </c>
      <c r="C248" s="125" t="s">
        <v>342</v>
      </c>
      <c r="D248" s="124" t="s">
        <v>341</v>
      </c>
      <c r="E248" s="126">
        <v>1.489583333333333</v>
      </c>
      <c r="F248" s="124" t="s">
        <v>43</v>
      </c>
      <c r="G248" s="127">
        <v>15</v>
      </c>
      <c r="H248" s="128" t="s">
        <v>121</v>
      </c>
    </row>
    <row r="249" spans="1:8" ht="19.899999999999999" customHeight="1">
      <c r="A249" s="121">
        <v>46035</v>
      </c>
      <c r="B249" s="112" t="s">
        <v>359</v>
      </c>
      <c r="C249" s="113" t="s">
        <v>602</v>
      </c>
      <c r="D249" s="112" t="s">
        <v>601</v>
      </c>
      <c r="E249" s="122">
        <v>1.3611111111111109</v>
      </c>
      <c r="F249" s="112" t="s">
        <v>603</v>
      </c>
      <c r="G249" s="114">
        <v>9</v>
      </c>
      <c r="H249" s="115" t="s">
        <v>604</v>
      </c>
    </row>
    <row r="250" spans="1:8" ht="19.899999999999999" customHeight="1">
      <c r="A250" s="121">
        <v>46035</v>
      </c>
      <c r="B250" s="112" t="s">
        <v>359</v>
      </c>
      <c r="C250" s="113" t="s">
        <v>616</v>
      </c>
      <c r="D250" s="112" t="s">
        <v>601</v>
      </c>
      <c r="E250" s="122">
        <v>1.010416666666667</v>
      </c>
      <c r="F250" s="112" t="s">
        <v>603</v>
      </c>
      <c r="G250" s="114">
        <v>9</v>
      </c>
      <c r="H250" s="115" t="s">
        <v>604</v>
      </c>
    </row>
    <row r="251" spans="1:8" ht="19.899999999999999" customHeight="1">
      <c r="A251" s="129">
        <v>46035</v>
      </c>
      <c r="B251" s="117" t="s">
        <v>61</v>
      </c>
      <c r="C251" s="118" t="s">
        <v>612</v>
      </c>
      <c r="D251" s="117" t="s">
        <v>601</v>
      </c>
      <c r="E251" s="130">
        <v>1.520833333333333</v>
      </c>
      <c r="F251" s="117" t="s">
        <v>63</v>
      </c>
      <c r="G251" s="119">
        <v>8</v>
      </c>
      <c r="H251" s="120" t="s">
        <v>79</v>
      </c>
    </row>
    <row r="252" spans="1:8" ht="19.899999999999999" customHeight="1">
      <c r="A252" s="121">
        <v>46035</v>
      </c>
      <c r="B252" s="112" t="s">
        <v>359</v>
      </c>
      <c r="C252" s="113" t="s">
        <v>602</v>
      </c>
      <c r="D252" s="112" t="s">
        <v>601</v>
      </c>
      <c r="E252" s="122">
        <v>1.3611111111111109</v>
      </c>
      <c r="F252" s="112" t="s">
        <v>605</v>
      </c>
      <c r="G252" s="114">
        <v>9</v>
      </c>
      <c r="H252" s="115" t="s">
        <v>606</v>
      </c>
    </row>
    <row r="253" spans="1:8" ht="19.899999999999999" customHeight="1">
      <c r="A253" s="121">
        <v>46035</v>
      </c>
      <c r="B253" s="112" t="s">
        <v>359</v>
      </c>
      <c r="C253" s="113" t="s">
        <v>616</v>
      </c>
      <c r="D253" s="112" t="s">
        <v>601</v>
      </c>
      <c r="E253" s="122">
        <v>1.010416666666667</v>
      </c>
      <c r="F253" s="112" t="s">
        <v>605</v>
      </c>
      <c r="G253" s="114">
        <v>9</v>
      </c>
      <c r="H253" s="115" t="s">
        <v>606</v>
      </c>
    </row>
    <row r="254" spans="1:8" ht="19.899999999999999" customHeight="1">
      <c r="A254" s="121">
        <v>46035</v>
      </c>
      <c r="B254" s="112" t="s">
        <v>48</v>
      </c>
      <c r="C254" s="113" t="s">
        <v>609</v>
      </c>
      <c r="D254" s="112" t="s">
        <v>601</v>
      </c>
      <c r="E254" s="122">
        <v>1.4513888888888891</v>
      </c>
      <c r="F254" s="112" t="s">
        <v>50</v>
      </c>
      <c r="G254" s="114">
        <v>9</v>
      </c>
      <c r="H254" s="115" t="s">
        <v>133</v>
      </c>
    </row>
    <row r="255" spans="1:8" ht="19.899999999999999" customHeight="1">
      <c r="A255" s="121">
        <v>46035</v>
      </c>
      <c r="B255" s="112" t="s">
        <v>48</v>
      </c>
      <c r="C255" s="113" t="s">
        <v>611</v>
      </c>
      <c r="D255" s="112" t="s">
        <v>601</v>
      </c>
      <c r="E255" s="122">
        <v>1.819444444444444</v>
      </c>
      <c r="F255" s="112" t="s">
        <v>50</v>
      </c>
      <c r="G255" s="114">
        <v>9</v>
      </c>
      <c r="H255" s="115" t="s">
        <v>133</v>
      </c>
    </row>
    <row r="256" spans="1:8" ht="19.899999999999999" customHeight="1">
      <c r="A256" s="121">
        <v>46035</v>
      </c>
      <c r="B256" s="112" t="s">
        <v>48</v>
      </c>
      <c r="C256" s="113" t="s">
        <v>609</v>
      </c>
      <c r="D256" s="112" t="s">
        <v>601</v>
      </c>
      <c r="E256" s="122">
        <v>1.4513888888888891</v>
      </c>
      <c r="F256" s="112" t="s">
        <v>53</v>
      </c>
      <c r="G256" s="114">
        <v>9</v>
      </c>
      <c r="H256" s="115" t="s">
        <v>610</v>
      </c>
    </row>
    <row r="257" spans="1:8" ht="19.899999999999999" customHeight="1">
      <c r="A257" s="121">
        <v>46035</v>
      </c>
      <c r="B257" s="112" t="s">
        <v>48</v>
      </c>
      <c r="C257" s="113" t="s">
        <v>611</v>
      </c>
      <c r="D257" s="112" t="s">
        <v>601</v>
      </c>
      <c r="E257" s="122">
        <v>1.819444444444444</v>
      </c>
      <c r="F257" s="112" t="s">
        <v>53</v>
      </c>
      <c r="G257" s="114">
        <v>9</v>
      </c>
      <c r="H257" s="115" t="s">
        <v>610</v>
      </c>
    </row>
    <row r="258" spans="1:8" ht="19.899999999999999" customHeight="1">
      <c r="A258" s="121">
        <v>46035</v>
      </c>
      <c r="B258" s="112" t="s">
        <v>359</v>
      </c>
      <c r="C258" s="113" t="s">
        <v>602</v>
      </c>
      <c r="D258" s="112" t="s">
        <v>601</v>
      </c>
      <c r="E258" s="122">
        <v>1.3611111111111109</v>
      </c>
      <c r="F258" s="112" t="s">
        <v>46</v>
      </c>
      <c r="G258" s="114">
        <v>9</v>
      </c>
      <c r="H258" s="115" t="s">
        <v>607</v>
      </c>
    </row>
    <row r="259" spans="1:8" ht="19.899999999999999" customHeight="1">
      <c r="A259" s="121">
        <v>46035</v>
      </c>
      <c r="B259" s="112" t="s">
        <v>359</v>
      </c>
      <c r="C259" s="113" t="s">
        <v>616</v>
      </c>
      <c r="D259" s="112" t="s">
        <v>601</v>
      </c>
      <c r="E259" s="122">
        <v>1.010416666666667</v>
      </c>
      <c r="F259" s="112" t="s">
        <v>46</v>
      </c>
      <c r="G259" s="114">
        <v>9</v>
      </c>
      <c r="H259" s="115" t="s">
        <v>607</v>
      </c>
    </row>
    <row r="260" spans="1:8" ht="19.899999999999999" customHeight="1">
      <c r="A260" s="121">
        <v>46035</v>
      </c>
      <c r="B260" s="112" t="s">
        <v>68</v>
      </c>
      <c r="C260" s="113" t="s">
        <v>633</v>
      </c>
      <c r="D260" s="112" t="s">
        <v>601</v>
      </c>
      <c r="E260" s="122">
        <v>1.4236111111111109</v>
      </c>
      <c r="F260" s="112" t="s">
        <v>70</v>
      </c>
      <c r="G260" s="114">
        <v>9</v>
      </c>
      <c r="H260" s="115" t="s">
        <v>651</v>
      </c>
    </row>
    <row r="261" spans="1:8" ht="19.899999999999999" customHeight="1">
      <c r="A261" s="121">
        <v>46035</v>
      </c>
      <c r="B261" s="112" t="s">
        <v>38</v>
      </c>
      <c r="C261" s="113" t="s">
        <v>621</v>
      </c>
      <c r="D261" s="112" t="s">
        <v>601</v>
      </c>
      <c r="E261" s="122">
        <v>1.3611111111111109</v>
      </c>
      <c r="F261" s="112" t="s">
        <v>622</v>
      </c>
      <c r="G261" s="114">
        <v>8</v>
      </c>
      <c r="H261" s="115" t="s">
        <v>653</v>
      </c>
    </row>
    <row r="262" spans="1:8" ht="19.899999999999999" customHeight="1">
      <c r="A262" s="121">
        <v>46035</v>
      </c>
      <c r="B262" s="112" t="s">
        <v>38</v>
      </c>
      <c r="C262" s="113" t="s">
        <v>621</v>
      </c>
      <c r="D262" s="112" t="s">
        <v>601</v>
      </c>
      <c r="E262" s="122">
        <v>1.3611111111111109</v>
      </c>
      <c r="F262" s="112" t="s">
        <v>603</v>
      </c>
      <c r="G262" s="114">
        <v>8</v>
      </c>
      <c r="H262" s="115" t="s">
        <v>654</v>
      </c>
    </row>
    <row r="263" spans="1:8" ht="19.899999999999999" customHeight="1">
      <c r="A263" s="121">
        <v>46035</v>
      </c>
      <c r="B263" s="112" t="s">
        <v>38</v>
      </c>
      <c r="C263" s="113" t="s">
        <v>621</v>
      </c>
      <c r="D263" s="112" t="s">
        <v>601</v>
      </c>
      <c r="E263" s="122">
        <v>1.3611111111111109</v>
      </c>
      <c r="F263" s="112" t="s">
        <v>605</v>
      </c>
      <c r="G263" s="114">
        <v>8</v>
      </c>
      <c r="H263" s="115" t="s">
        <v>655</v>
      </c>
    </row>
    <row r="264" spans="1:8" ht="19.899999999999999" customHeight="1">
      <c r="A264" s="121">
        <v>46035</v>
      </c>
      <c r="B264" s="112" t="s">
        <v>38</v>
      </c>
      <c r="C264" s="113" t="s">
        <v>621</v>
      </c>
      <c r="D264" s="112" t="s">
        <v>601</v>
      </c>
      <c r="E264" s="122">
        <v>1.3611111111111109</v>
      </c>
      <c r="F264" s="112" t="s">
        <v>625</v>
      </c>
      <c r="G264" s="114">
        <v>8</v>
      </c>
      <c r="H264" s="115" t="s">
        <v>478</v>
      </c>
    </row>
    <row r="265" spans="1:8" ht="19.899999999999999" customHeight="1">
      <c r="A265" s="143"/>
      <c r="B265" s="144"/>
      <c r="C265" s="144"/>
      <c r="D265" s="144"/>
      <c r="E265" s="144"/>
      <c r="F265" s="145" t="s">
        <v>705</v>
      </c>
      <c r="G265" s="144"/>
      <c r="H265" s="146"/>
    </row>
    <row r="266" spans="1:8" ht="19.899999999999999" customHeight="1">
      <c r="A266" s="121">
        <v>46035</v>
      </c>
      <c r="B266" s="112" t="s">
        <v>38</v>
      </c>
      <c r="C266" s="113" t="s">
        <v>342</v>
      </c>
      <c r="D266" s="112" t="s">
        <v>341</v>
      </c>
      <c r="E266" s="122">
        <v>1.489583333333333</v>
      </c>
      <c r="F266" s="112" t="s">
        <v>40</v>
      </c>
      <c r="G266" s="114">
        <v>10</v>
      </c>
      <c r="H266" s="115" t="s">
        <v>475</v>
      </c>
    </row>
    <row r="267" spans="1:8" ht="19.899999999999999" customHeight="1">
      <c r="A267" s="121">
        <v>46035</v>
      </c>
      <c r="B267" s="112" t="s">
        <v>38</v>
      </c>
      <c r="C267" s="113" t="s">
        <v>344</v>
      </c>
      <c r="D267" s="112" t="s">
        <v>341</v>
      </c>
      <c r="E267" s="122">
        <v>1.8888888888888891</v>
      </c>
      <c r="F267" s="112" t="s">
        <v>40</v>
      </c>
      <c r="G267" s="114">
        <v>19</v>
      </c>
      <c r="H267" s="115" t="s">
        <v>30</v>
      </c>
    </row>
    <row r="268" spans="1:8" ht="19.899999999999999" customHeight="1">
      <c r="A268" s="121">
        <v>46035</v>
      </c>
      <c r="B268" s="112" t="s">
        <v>38</v>
      </c>
      <c r="C268" s="113" t="s">
        <v>346</v>
      </c>
      <c r="D268" s="112" t="s">
        <v>341</v>
      </c>
      <c r="E268" s="122">
        <v>1.399305555555556</v>
      </c>
      <c r="F268" s="112" t="s">
        <v>40</v>
      </c>
      <c r="G268" s="114">
        <v>20</v>
      </c>
      <c r="H268" s="115" t="s">
        <v>347</v>
      </c>
    </row>
    <row r="269" spans="1:8" ht="19.899999999999999" customHeight="1">
      <c r="A269" s="121">
        <v>46035</v>
      </c>
      <c r="B269" s="112" t="s">
        <v>38</v>
      </c>
      <c r="C269" s="113" t="s">
        <v>345</v>
      </c>
      <c r="D269" s="112" t="s">
        <v>341</v>
      </c>
      <c r="E269" s="122">
        <v>1.989583333333333</v>
      </c>
      <c r="F269" s="112" t="s">
        <v>40</v>
      </c>
      <c r="G269" s="114">
        <v>20</v>
      </c>
      <c r="H269" s="115" t="s">
        <v>347</v>
      </c>
    </row>
    <row r="270" spans="1:8" ht="19.899999999999999" customHeight="1">
      <c r="A270" s="121">
        <v>46035</v>
      </c>
      <c r="B270" s="112" t="s">
        <v>61</v>
      </c>
      <c r="C270" s="113" t="s">
        <v>432</v>
      </c>
      <c r="D270" s="112" t="s">
        <v>341</v>
      </c>
      <c r="E270" s="122">
        <v>1.552083333333333</v>
      </c>
      <c r="F270" s="112" t="s">
        <v>63</v>
      </c>
      <c r="G270" s="114">
        <v>6</v>
      </c>
      <c r="H270" s="115" t="s">
        <v>365</v>
      </c>
    </row>
    <row r="271" spans="1:8" ht="19.899999999999999" customHeight="1">
      <c r="A271" s="121">
        <v>46035</v>
      </c>
      <c r="B271" s="112" t="s">
        <v>61</v>
      </c>
      <c r="C271" s="113" t="s">
        <v>428</v>
      </c>
      <c r="D271" s="112" t="s">
        <v>341</v>
      </c>
      <c r="E271" s="122">
        <v>1.052083333333333</v>
      </c>
      <c r="F271" s="112" t="s">
        <v>63</v>
      </c>
      <c r="G271" s="114">
        <v>6</v>
      </c>
      <c r="H271" s="115" t="s">
        <v>365</v>
      </c>
    </row>
    <row r="272" spans="1:8" ht="19.899999999999999" customHeight="1">
      <c r="A272" s="121">
        <v>46035</v>
      </c>
      <c r="B272" s="112" t="s">
        <v>61</v>
      </c>
      <c r="C272" s="113" t="s">
        <v>375</v>
      </c>
      <c r="D272" s="112" t="s">
        <v>341</v>
      </c>
      <c r="E272" s="122">
        <v>1.791666666666667</v>
      </c>
      <c r="F272" s="112" t="s">
        <v>63</v>
      </c>
      <c r="G272" s="114">
        <v>3</v>
      </c>
      <c r="H272" s="115" t="s">
        <v>365</v>
      </c>
    </row>
    <row r="273" spans="1:8" ht="19.899999999999999" customHeight="1">
      <c r="A273" s="121">
        <v>46035</v>
      </c>
      <c r="B273" s="112" t="s">
        <v>61</v>
      </c>
      <c r="C273" s="113" t="s">
        <v>377</v>
      </c>
      <c r="D273" s="112" t="s">
        <v>341</v>
      </c>
      <c r="E273" s="122">
        <v>1.4375</v>
      </c>
      <c r="F273" s="112" t="s">
        <v>63</v>
      </c>
      <c r="G273" s="114">
        <v>2</v>
      </c>
      <c r="H273" s="115" t="s">
        <v>365</v>
      </c>
    </row>
    <row r="274" spans="1:8" ht="19.899999999999999" customHeight="1">
      <c r="A274" s="121">
        <v>46035</v>
      </c>
      <c r="B274" s="112" t="s">
        <v>61</v>
      </c>
      <c r="C274" s="113" t="s">
        <v>379</v>
      </c>
      <c r="D274" s="112" t="s">
        <v>341</v>
      </c>
      <c r="E274" s="122">
        <v>1.381944444444444</v>
      </c>
      <c r="F274" s="112" t="s">
        <v>63</v>
      </c>
      <c r="G274" s="114">
        <v>6</v>
      </c>
      <c r="H274" s="115" t="s">
        <v>365</v>
      </c>
    </row>
    <row r="275" spans="1:8" ht="19.899999999999999" customHeight="1">
      <c r="A275" s="123">
        <v>46035</v>
      </c>
      <c r="B275" s="124" t="s">
        <v>38</v>
      </c>
      <c r="C275" s="125" t="s">
        <v>342</v>
      </c>
      <c r="D275" s="124" t="s">
        <v>341</v>
      </c>
      <c r="E275" s="126">
        <v>1.489583333333333</v>
      </c>
      <c r="F275" s="124" t="s">
        <v>43</v>
      </c>
      <c r="G275" s="127">
        <v>10</v>
      </c>
      <c r="H275" s="128" t="s">
        <v>121</v>
      </c>
    </row>
    <row r="276" spans="1:8" ht="19.899999999999999" customHeight="1">
      <c r="A276" s="121">
        <v>46036</v>
      </c>
      <c r="B276" s="112" t="s">
        <v>359</v>
      </c>
      <c r="C276" s="113" t="s">
        <v>616</v>
      </c>
      <c r="D276" s="112" t="s">
        <v>601</v>
      </c>
      <c r="E276" s="122">
        <v>1.163194444444444</v>
      </c>
      <c r="F276" s="112" t="s">
        <v>603</v>
      </c>
      <c r="G276" s="114">
        <v>9</v>
      </c>
      <c r="H276" s="115" t="s">
        <v>604</v>
      </c>
    </row>
    <row r="277" spans="1:8" ht="19.899999999999999" customHeight="1">
      <c r="A277" s="129">
        <v>46036</v>
      </c>
      <c r="B277" s="117" t="s">
        <v>61</v>
      </c>
      <c r="C277" s="118" t="s">
        <v>612</v>
      </c>
      <c r="D277" s="117" t="s">
        <v>601</v>
      </c>
      <c r="E277" s="130">
        <v>1.145833333333333</v>
      </c>
      <c r="F277" s="117" t="s">
        <v>63</v>
      </c>
      <c r="G277" s="119">
        <v>8</v>
      </c>
      <c r="H277" s="120" t="s">
        <v>79</v>
      </c>
    </row>
    <row r="278" spans="1:8" ht="19.899999999999999" customHeight="1">
      <c r="A278" s="129">
        <v>46036</v>
      </c>
      <c r="B278" s="117" t="s">
        <v>61</v>
      </c>
      <c r="C278" s="118" t="s">
        <v>629</v>
      </c>
      <c r="D278" s="117" t="s">
        <v>601</v>
      </c>
      <c r="E278" s="130">
        <v>1.53125</v>
      </c>
      <c r="F278" s="117" t="s">
        <v>63</v>
      </c>
      <c r="G278" s="119">
        <v>2</v>
      </c>
      <c r="H278" s="120" t="s">
        <v>79</v>
      </c>
    </row>
    <row r="279" spans="1:8" ht="19.899999999999999" customHeight="1">
      <c r="A279" s="129">
        <v>46036</v>
      </c>
      <c r="B279" s="117" t="s">
        <v>61</v>
      </c>
      <c r="C279" s="118" t="s">
        <v>645</v>
      </c>
      <c r="D279" s="117" t="s">
        <v>601</v>
      </c>
      <c r="E279" s="130">
        <v>1.8611111111111109</v>
      </c>
      <c r="F279" s="117" t="s">
        <v>63</v>
      </c>
      <c r="G279" s="119">
        <v>8</v>
      </c>
      <c r="H279" s="120" t="s">
        <v>79</v>
      </c>
    </row>
    <row r="280" spans="1:8" ht="19.899999999999999" customHeight="1">
      <c r="A280" s="121">
        <v>46036</v>
      </c>
      <c r="B280" s="112" t="s">
        <v>68</v>
      </c>
      <c r="C280" s="113" t="s">
        <v>633</v>
      </c>
      <c r="D280" s="112" t="s">
        <v>601</v>
      </c>
      <c r="E280" s="122">
        <v>1.458333333333333</v>
      </c>
      <c r="F280" s="112" t="s">
        <v>70</v>
      </c>
      <c r="G280" s="114">
        <v>9</v>
      </c>
      <c r="H280" s="115" t="s">
        <v>634</v>
      </c>
    </row>
    <row r="281" spans="1:8" ht="19.899999999999999" customHeight="1">
      <c r="A281" s="121">
        <v>46036</v>
      </c>
      <c r="B281" s="112" t="s">
        <v>359</v>
      </c>
      <c r="C281" s="113" t="s">
        <v>616</v>
      </c>
      <c r="D281" s="112" t="s">
        <v>601</v>
      </c>
      <c r="E281" s="122">
        <v>1.163194444444444</v>
      </c>
      <c r="F281" s="112" t="s">
        <v>605</v>
      </c>
      <c r="G281" s="114">
        <v>9</v>
      </c>
      <c r="H281" s="115" t="s">
        <v>606</v>
      </c>
    </row>
    <row r="282" spans="1:8" ht="19.899999999999999" customHeight="1">
      <c r="A282" s="121">
        <v>46036</v>
      </c>
      <c r="B282" s="112" t="s">
        <v>48</v>
      </c>
      <c r="C282" s="113" t="s">
        <v>611</v>
      </c>
      <c r="D282" s="112" t="s">
        <v>601</v>
      </c>
      <c r="E282" s="122">
        <v>1.819444444444444</v>
      </c>
      <c r="F282" s="112" t="s">
        <v>50</v>
      </c>
      <c r="G282" s="114">
        <v>9</v>
      </c>
      <c r="H282" s="115" t="s">
        <v>133</v>
      </c>
    </row>
    <row r="283" spans="1:8" ht="19.899999999999999" customHeight="1">
      <c r="A283" s="121">
        <v>46036</v>
      </c>
      <c r="B283" s="112" t="s">
        <v>48</v>
      </c>
      <c r="C283" s="113" t="s">
        <v>611</v>
      </c>
      <c r="D283" s="112" t="s">
        <v>601</v>
      </c>
      <c r="E283" s="122">
        <v>1.819444444444444</v>
      </c>
      <c r="F283" s="112" t="s">
        <v>53</v>
      </c>
      <c r="G283" s="114">
        <v>9</v>
      </c>
      <c r="H283" s="115" t="s">
        <v>610</v>
      </c>
    </row>
    <row r="284" spans="1:8" ht="19.899999999999999" customHeight="1">
      <c r="A284" s="121">
        <v>46036</v>
      </c>
      <c r="B284" s="112" t="s">
        <v>359</v>
      </c>
      <c r="C284" s="113" t="s">
        <v>616</v>
      </c>
      <c r="D284" s="112" t="s">
        <v>601</v>
      </c>
      <c r="E284" s="122">
        <v>1.163194444444444</v>
      </c>
      <c r="F284" s="112" t="s">
        <v>46</v>
      </c>
      <c r="G284" s="114">
        <v>9</v>
      </c>
      <c r="H284" s="115" t="s">
        <v>607</v>
      </c>
    </row>
    <row r="285" spans="1:8" ht="19.899999999999999" customHeight="1">
      <c r="A285" s="143"/>
      <c r="B285" s="144"/>
      <c r="C285" s="144"/>
      <c r="D285" s="144"/>
      <c r="E285" s="144"/>
      <c r="F285" s="145" t="s">
        <v>705</v>
      </c>
      <c r="G285" s="144"/>
      <c r="H285" s="146"/>
    </row>
    <row r="286" spans="1:8" ht="19.899999999999999" customHeight="1">
      <c r="A286" s="121">
        <v>46036</v>
      </c>
      <c r="B286" s="112" t="s">
        <v>38</v>
      </c>
      <c r="C286" s="113" t="s">
        <v>342</v>
      </c>
      <c r="D286" s="112" t="s">
        <v>341</v>
      </c>
      <c r="E286" s="122">
        <v>1.489583333333333</v>
      </c>
      <c r="F286" s="112" t="s">
        <v>40</v>
      </c>
      <c r="G286" s="114">
        <v>16</v>
      </c>
      <c r="H286" s="115" t="s">
        <v>343</v>
      </c>
    </row>
    <row r="287" spans="1:8" ht="19.899999999999999" customHeight="1">
      <c r="A287" s="121">
        <v>46036</v>
      </c>
      <c r="B287" s="112" t="s">
        <v>38</v>
      </c>
      <c r="C287" s="113" t="s">
        <v>346</v>
      </c>
      <c r="D287" s="112" t="s">
        <v>341</v>
      </c>
      <c r="E287" s="122">
        <v>1.399305555555556</v>
      </c>
      <c r="F287" s="112" t="s">
        <v>40</v>
      </c>
      <c r="G287" s="114">
        <v>20</v>
      </c>
      <c r="H287" s="115" t="s">
        <v>30</v>
      </c>
    </row>
    <row r="288" spans="1:8" ht="19.899999999999999" customHeight="1">
      <c r="A288" s="121">
        <v>46036</v>
      </c>
      <c r="B288" s="112" t="s">
        <v>38</v>
      </c>
      <c r="C288" s="113" t="s">
        <v>345</v>
      </c>
      <c r="D288" s="112" t="s">
        <v>341</v>
      </c>
      <c r="E288" s="122">
        <v>1.989583333333333</v>
      </c>
      <c r="F288" s="112" t="s">
        <v>40</v>
      </c>
      <c r="G288" s="114">
        <v>19</v>
      </c>
      <c r="H288" s="115" t="s">
        <v>347</v>
      </c>
    </row>
    <row r="289" spans="1:8" ht="19.899999999999999" customHeight="1">
      <c r="A289" s="121">
        <v>46036</v>
      </c>
      <c r="B289" s="112" t="s">
        <v>61</v>
      </c>
      <c r="C289" s="113" t="s">
        <v>364</v>
      </c>
      <c r="D289" s="112" t="s">
        <v>341</v>
      </c>
      <c r="E289" s="122">
        <v>1.2326388888888891</v>
      </c>
      <c r="F289" s="112" t="s">
        <v>63</v>
      </c>
      <c r="G289" s="114">
        <v>6</v>
      </c>
      <c r="H289" s="115" t="s">
        <v>365</v>
      </c>
    </row>
    <row r="290" spans="1:8" ht="19.899999999999999" customHeight="1">
      <c r="A290" s="121">
        <v>46036</v>
      </c>
      <c r="B290" s="112" t="s">
        <v>61</v>
      </c>
      <c r="C290" s="113" t="s">
        <v>432</v>
      </c>
      <c r="D290" s="112" t="s">
        <v>341</v>
      </c>
      <c r="E290" s="122">
        <v>1.34375</v>
      </c>
      <c r="F290" s="112" t="s">
        <v>63</v>
      </c>
      <c r="G290" s="114">
        <v>6</v>
      </c>
      <c r="H290" s="115" t="s">
        <v>365</v>
      </c>
    </row>
    <row r="291" spans="1:8" ht="19.899999999999999" customHeight="1">
      <c r="A291" s="121">
        <v>46036</v>
      </c>
      <c r="B291" s="112" t="s">
        <v>61</v>
      </c>
      <c r="C291" s="113" t="s">
        <v>428</v>
      </c>
      <c r="D291" s="112" t="s">
        <v>341</v>
      </c>
      <c r="E291" s="122">
        <v>1.9375</v>
      </c>
      <c r="F291" s="112" t="s">
        <v>63</v>
      </c>
      <c r="G291" s="114">
        <v>3</v>
      </c>
      <c r="H291" s="115" t="s">
        <v>365</v>
      </c>
    </row>
    <row r="292" spans="1:8" ht="19.899999999999999" customHeight="1">
      <c r="A292" s="121">
        <v>46036</v>
      </c>
      <c r="B292" s="112" t="s">
        <v>61</v>
      </c>
      <c r="C292" s="113" t="s">
        <v>375</v>
      </c>
      <c r="D292" s="112" t="s">
        <v>341</v>
      </c>
      <c r="E292" s="122">
        <v>1.3402777777777779</v>
      </c>
      <c r="F292" s="112" t="s">
        <v>63</v>
      </c>
      <c r="G292" s="114">
        <v>6</v>
      </c>
      <c r="H292" s="115" t="s">
        <v>365</v>
      </c>
    </row>
    <row r="293" spans="1:8" ht="19.899999999999999" customHeight="1">
      <c r="A293" s="121">
        <v>46036</v>
      </c>
      <c r="B293" s="112" t="s">
        <v>26</v>
      </c>
      <c r="C293" s="113" t="s">
        <v>354</v>
      </c>
      <c r="D293" s="112" t="s">
        <v>341</v>
      </c>
      <c r="E293" s="122">
        <v>1.3472222222222221</v>
      </c>
      <c r="F293" s="112" t="s">
        <v>28</v>
      </c>
      <c r="G293" s="114">
        <v>5</v>
      </c>
      <c r="H293" s="115" t="s">
        <v>83</v>
      </c>
    </row>
    <row r="294" spans="1:8" ht="19.899999999999999" customHeight="1">
      <c r="A294" s="121">
        <v>46036</v>
      </c>
      <c r="B294" s="112" t="s">
        <v>26</v>
      </c>
      <c r="C294" s="113" t="s">
        <v>348</v>
      </c>
      <c r="D294" s="112" t="s">
        <v>341</v>
      </c>
      <c r="E294" s="122">
        <v>1.993055555555556</v>
      </c>
      <c r="F294" s="112" t="s">
        <v>28</v>
      </c>
      <c r="G294" s="114">
        <v>4</v>
      </c>
      <c r="H294" s="115" t="s">
        <v>83</v>
      </c>
    </row>
    <row r="295" spans="1:8" ht="19.899999999999999" customHeight="1">
      <c r="A295" s="123">
        <v>46036</v>
      </c>
      <c r="B295" s="124" t="s">
        <v>26</v>
      </c>
      <c r="C295" s="125" t="s">
        <v>351</v>
      </c>
      <c r="D295" s="124" t="s">
        <v>341</v>
      </c>
      <c r="E295" s="126">
        <v>1.836805555555556</v>
      </c>
      <c r="F295" s="124" t="s">
        <v>28</v>
      </c>
      <c r="G295" s="127">
        <v>1</v>
      </c>
      <c r="H295" s="128" t="s">
        <v>83</v>
      </c>
    </row>
    <row r="296" spans="1:8" ht="19.899999999999999" customHeight="1">
      <c r="A296" s="129">
        <v>46037</v>
      </c>
      <c r="B296" s="117" t="s">
        <v>61</v>
      </c>
      <c r="C296" s="118" t="s">
        <v>612</v>
      </c>
      <c r="D296" s="117" t="s">
        <v>601</v>
      </c>
      <c r="E296" s="130">
        <v>1.086805555555556</v>
      </c>
      <c r="F296" s="117" t="s">
        <v>63</v>
      </c>
      <c r="G296" s="119">
        <v>1</v>
      </c>
      <c r="H296" s="120" t="s">
        <v>79</v>
      </c>
    </row>
    <row r="297" spans="1:8" ht="19.899999999999999" customHeight="1">
      <c r="A297" s="121">
        <v>46037</v>
      </c>
      <c r="B297" s="112" t="s">
        <v>359</v>
      </c>
      <c r="C297" s="113" t="s">
        <v>602</v>
      </c>
      <c r="D297" s="112" t="s">
        <v>601</v>
      </c>
      <c r="E297" s="122">
        <v>1.3611111111111109</v>
      </c>
      <c r="F297" s="112" t="s">
        <v>603</v>
      </c>
      <c r="G297" s="114">
        <v>9</v>
      </c>
      <c r="H297" s="115" t="s">
        <v>657</v>
      </c>
    </row>
    <row r="298" spans="1:8" ht="19.899999999999999" customHeight="1">
      <c r="A298" s="121">
        <v>46037</v>
      </c>
      <c r="B298" s="112" t="s">
        <v>359</v>
      </c>
      <c r="C298" s="113" t="s">
        <v>608</v>
      </c>
      <c r="D298" s="112" t="s">
        <v>601</v>
      </c>
      <c r="E298" s="122">
        <v>1.631944444444444</v>
      </c>
      <c r="F298" s="112" t="s">
        <v>603</v>
      </c>
      <c r="G298" s="114">
        <v>9</v>
      </c>
      <c r="H298" s="115" t="s">
        <v>657</v>
      </c>
    </row>
    <row r="299" spans="1:8" ht="19.899999999999999" customHeight="1">
      <c r="A299" s="121">
        <v>46037</v>
      </c>
      <c r="B299" s="112" t="s">
        <v>359</v>
      </c>
      <c r="C299" s="113" t="s">
        <v>602</v>
      </c>
      <c r="D299" s="112" t="s">
        <v>601</v>
      </c>
      <c r="E299" s="122">
        <v>1.3611111111111109</v>
      </c>
      <c r="F299" s="112" t="s">
        <v>605</v>
      </c>
      <c r="G299" s="114">
        <v>9</v>
      </c>
      <c r="H299" s="115" t="s">
        <v>658</v>
      </c>
    </row>
    <row r="300" spans="1:8" ht="19.899999999999999" customHeight="1">
      <c r="A300" s="121">
        <v>46037</v>
      </c>
      <c r="B300" s="112" t="s">
        <v>359</v>
      </c>
      <c r="C300" s="113" t="s">
        <v>608</v>
      </c>
      <c r="D300" s="112" t="s">
        <v>601</v>
      </c>
      <c r="E300" s="122">
        <v>1.631944444444444</v>
      </c>
      <c r="F300" s="112" t="s">
        <v>605</v>
      </c>
      <c r="G300" s="114">
        <v>9</v>
      </c>
      <c r="H300" s="115" t="s">
        <v>658</v>
      </c>
    </row>
    <row r="301" spans="1:8" ht="19.899999999999999" customHeight="1">
      <c r="A301" s="121">
        <v>46037</v>
      </c>
      <c r="B301" s="112" t="s">
        <v>48</v>
      </c>
      <c r="C301" s="113" t="s">
        <v>609</v>
      </c>
      <c r="D301" s="112" t="s">
        <v>601</v>
      </c>
      <c r="E301" s="122">
        <v>1.4513888888888891</v>
      </c>
      <c r="F301" s="112" t="s">
        <v>50</v>
      </c>
      <c r="G301" s="114">
        <v>9</v>
      </c>
      <c r="H301" s="115" t="s">
        <v>660</v>
      </c>
    </row>
    <row r="302" spans="1:8" ht="19.899999999999999" customHeight="1">
      <c r="A302" s="121">
        <v>46037</v>
      </c>
      <c r="B302" s="112" t="s">
        <v>48</v>
      </c>
      <c r="C302" s="113" t="s">
        <v>611</v>
      </c>
      <c r="D302" s="112" t="s">
        <v>601</v>
      </c>
      <c r="E302" s="122">
        <v>1.819444444444444</v>
      </c>
      <c r="F302" s="112" t="s">
        <v>50</v>
      </c>
      <c r="G302" s="114">
        <v>9</v>
      </c>
      <c r="H302" s="115" t="s">
        <v>660</v>
      </c>
    </row>
    <row r="303" spans="1:8" ht="19.899999999999999" customHeight="1">
      <c r="A303" s="121">
        <v>46037</v>
      </c>
      <c r="B303" s="112" t="s">
        <v>359</v>
      </c>
      <c r="C303" s="113" t="s">
        <v>602</v>
      </c>
      <c r="D303" s="112" t="s">
        <v>601</v>
      </c>
      <c r="E303" s="122">
        <v>1.3611111111111109</v>
      </c>
      <c r="F303" s="112" t="s">
        <v>46</v>
      </c>
      <c r="G303" s="114">
        <v>9</v>
      </c>
      <c r="H303" s="115" t="s">
        <v>659</v>
      </c>
    </row>
    <row r="304" spans="1:8" ht="19.899999999999999" customHeight="1">
      <c r="A304" s="121">
        <v>46037</v>
      </c>
      <c r="B304" s="112" t="s">
        <v>359</v>
      </c>
      <c r="C304" s="113" t="s">
        <v>608</v>
      </c>
      <c r="D304" s="112" t="s">
        <v>601</v>
      </c>
      <c r="E304" s="122">
        <v>1.631944444444444</v>
      </c>
      <c r="F304" s="112" t="s">
        <v>46</v>
      </c>
      <c r="G304" s="114">
        <v>9</v>
      </c>
      <c r="H304" s="115" t="s">
        <v>659</v>
      </c>
    </row>
    <row r="305" spans="1:8" ht="19.899999999999999" customHeight="1">
      <c r="A305" s="121">
        <v>46037</v>
      </c>
      <c r="B305" s="112" t="s">
        <v>48</v>
      </c>
      <c r="C305" s="113" t="s">
        <v>609</v>
      </c>
      <c r="D305" s="112" t="s">
        <v>601</v>
      </c>
      <c r="E305" s="122">
        <v>1.4513888888888891</v>
      </c>
      <c r="F305" s="112" t="s">
        <v>53</v>
      </c>
      <c r="G305" s="114">
        <v>9</v>
      </c>
      <c r="H305" s="115" t="s">
        <v>661</v>
      </c>
    </row>
    <row r="306" spans="1:8" ht="19.899999999999999" customHeight="1">
      <c r="A306" s="121">
        <v>46037</v>
      </c>
      <c r="B306" s="112" t="s">
        <v>48</v>
      </c>
      <c r="C306" s="113" t="s">
        <v>611</v>
      </c>
      <c r="D306" s="112" t="s">
        <v>601</v>
      </c>
      <c r="E306" s="122">
        <v>1.819444444444444</v>
      </c>
      <c r="F306" s="112" t="s">
        <v>53</v>
      </c>
      <c r="G306" s="114">
        <v>9</v>
      </c>
      <c r="H306" s="115" t="s">
        <v>661</v>
      </c>
    </row>
    <row r="307" spans="1:8" ht="19.899999999999999" customHeight="1">
      <c r="A307" s="143"/>
      <c r="B307" s="144"/>
      <c r="C307" s="144"/>
      <c r="D307" s="144"/>
      <c r="E307" s="144"/>
      <c r="F307" s="145" t="s">
        <v>705</v>
      </c>
      <c r="G307" s="144"/>
      <c r="H307" s="146"/>
    </row>
    <row r="308" spans="1:8" ht="19.899999999999999" customHeight="1">
      <c r="A308" s="121">
        <v>46037</v>
      </c>
      <c r="B308" s="112" t="s">
        <v>38</v>
      </c>
      <c r="C308" s="113" t="s">
        <v>344</v>
      </c>
      <c r="D308" s="112" t="s">
        <v>341</v>
      </c>
      <c r="E308" s="122">
        <v>1.8888888888888891</v>
      </c>
      <c r="F308" s="112" t="s">
        <v>40</v>
      </c>
      <c r="G308" s="114">
        <v>17</v>
      </c>
      <c r="H308" s="115" t="s">
        <v>347</v>
      </c>
    </row>
    <row r="309" spans="1:8" ht="19.899999999999999" customHeight="1">
      <c r="A309" s="121">
        <v>46037</v>
      </c>
      <c r="B309" s="112" t="s">
        <v>38</v>
      </c>
      <c r="C309" s="113" t="s">
        <v>345</v>
      </c>
      <c r="D309" s="112" t="s">
        <v>341</v>
      </c>
      <c r="E309" s="122">
        <v>1.989583333333333</v>
      </c>
      <c r="F309" s="112" t="s">
        <v>40</v>
      </c>
      <c r="G309" s="114">
        <v>20</v>
      </c>
      <c r="H309" s="115" t="s">
        <v>347</v>
      </c>
    </row>
    <row r="310" spans="1:8" ht="19.899999999999999" customHeight="1">
      <c r="A310" s="121">
        <v>46037</v>
      </c>
      <c r="B310" s="112" t="s">
        <v>61</v>
      </c>
      <c r="C310" s="113" t="s">
        <v>371</v>
      </c>
      <c r="D310" s="112" t="s">
        <v>341</v>
      </c>
      <c r="E310" s="122">
        <v>1.0659722222222221</v>
      </c>
      <c r="F310" s="112" t="s">
        <v>63</v>
      </c>
      <c r="G310" s="114">
        <v>1</v>
      </c>
      <c r="H310" s="115" t="s">
        <v>365</v>
      </c>
    </row>
    <row r="311" spans="1:8" ht="19.899999999999999" customHeight="1">
      <c r="A311" s="121">
        <v>46037</v>
      </c>
      <c r="B311" s="112" t="s">
        <v>38</v>
      </c>
      <c r="C311" s="113" t="s">
        <v>342</v>
      </c>
      <c r="D311" s="112" t="s">
        <v>341</v>
      </c>
      <c r="E311" s="122">
        <v>1.489583333333333</v>
      </c>
      <c r="F311" s="112" t="s">
        <v>40</v>
      </c>
      <c r="G311" s="114">
        <v>16</v>
      </c>
      <c r="H311" s="115" t="s">
        <v>121</v>
      </c>
    </row>
    <row r="312" spans="1:8" ht="19.899999999999999" customHeight="1">
      <c r="A312" s="121">
        <v>46037</v>
      </c>
      <c r="B312" s="112" t="s">
        <v>48</v>
      </c>
      <c r="C312" s="113" t="s">
        <v>386</v>
      </c>
      <c r="D312" s="112" t="s">
        <v>341</v>
      </c>
      <c r="E312" s="122">
        <v>1.8298611111111109</v>
      </c>
      <c r="F312" s="112" t="s">
        <v>50</v>
      </c>
      <c r="G312" s="114">
        <v>1</v>
      </c>
      <c r="H312" s="115" t="s">
        <v>383</v>
      </c>
    </row>
    <row r="313" spans="1:8" ht="19.899999999999999" customHeight="1">
      <c r="A313" s="121">
        <v>46037</v>
      </c>
      <c r="B313" s="112" t="s">
        <v>48</v>
      </c>
      <c r="C313" s="113" t="s">
        <v>385</v>
      </c>
      <c r="D313" s="112" t="s">
        <v>341</v>
      </c>
      <c r="E313" s="122">
        <v>1.9409722222222221</v>
      </c>
      <c r="F313" s="112" t="s">
        <v>50</v>
      </c>
      <c r="G313" s="114">
        <v>1</v>
      </c>
      <c r="H313" s="115" t="s">
        <v>383</v>
      </c>
    </row>
    <row r="314" spans="1:8" ht="19.899999999999999" customHeight="1">
      <c r="A314" s="121">
        <v>46037</v>
      </c>
      <c r="B314" s="112" t="s">
        <v>359</v>
      </c>
      <c r="C314" s="113" t="s">
        <v>360</v>
      </c>
      <c r="D314" s="112" t="s">
        <v>341</v>
      </c>
      <c r="E314" s="122">
        <v>1.1701388888888891</v>
      </c>
      <c r="F314" s="112" t="s">
        <v>361</v>
      </c>
      <c r="G314" s="114">
        <v>9</v>
      </c>
      <c r="H314" s="115" t="s">
        <v>493</v>
      </c>
    </row>
    <row r="315" spans="1:8" ht="19.899999999999999" customHeight="1">
      <c r="A315" s="121">
        <v>46037</v>
      </c>
      <c r="B315" s="112" t="s">
        <v>38</v>
      </c>
      <c r="C315" s="113" t="s">
        <v>346</v>
      </c>
      <c r="D315" s="112" t="s">
        <v>341</v>
      </c>
      <c r="E315" s="122">
        <v>1.399305555555556</v>
      </c>
      <c r="F315" s="112" t="s">
        <v>40</v>
      </c>
      <c r="G315" s="114">
        <v>14</v>
      </c>
      <c r="H315" s="115" t="s">
        <v>349</v>
      </c>
    </row>
    <row r="316" spans="1:8" ht="19.899999999999999" customHeight="1">
      <c r="A316" s="121">
        <v>46037</v>
      </c>
      <c r="B316" s="112" t="s">
        <v>402</v>
      </c>
      <c r="C316" s="113" t="s">
        <v>403</v>
      </c>
      <c r="D316" s="112" t="s">
        <v>341</v>
      </c>
      <c r="E316" s="122">
        <v>1.493055555555556</v>
      </c>
      <c r="F316" s="112" t="s">
        <v>63</v>
      </c>
      <c r="G316" s="114">
        <v>5</v>
      </c>
      <c r="H316" s="115" t="s">
        <v>404</v>
      </c>
    </row>
    <row r="317" spans="1:8" ht="19.899999999999999" customHeight="1">
      <c r="A317" s="123">
        <v>46037</v>
      </c>
      <c r="B317" s="124" t="s">
        <v>61</v>
      </c>
      <c r="C317" s="125" t="s">
        <v>369</v>
      </c>
      <c r="D317" s="124" t="s">
        <v>341</v>
      </c>
      <c r="E317" s="126">
        <v>1.1875</v>
      </c>
      <c r="F317" s="124" t="s">
        <v>63</v>
      </c>
      <c r="G317" s="127">
        <v>9</v>
      </c>
      <c r="H317" s="128" t="s">
        <v>79</v>
      </c>
    </row>
    <row r="318" spans="1:8" ht="19.899999999999999" customHeight="1">
      <c r="A318" s="121">
        <v>46038</v>
      </c>
      <c r="B318" s="112" t="s">
        <v>359</v>
      </c>
      <c r="C318" s="113" t="s">
        <v>616</v>
      </c>
      <c r="D318" s="112" t="s">
        <v>601</v>
      </c>
      <c r="E318" s="122">
        <v>1.010416666666667</v>
      </c>
      <c r="F318" s="112" t="s">
        <v>603</v>
      </c>
      <c r="G318" s="114">
        <v>9</v>
      </c>
      <c r="H318" s="115" t="s">
        <v>663</v>
      </c>
    </row>
    <row r="319" spans="1:8" ht="19.899999999999999" customHeight="1">
      <c r="A319" s="121">
        <v>46038</v>
      </c>
      <c r="B319" s="112" t="s">
        <v>359</v>
      </c>
      <c r="C319" s="113" t="s">
        <v>616</v>
      </c>
      <c r="D319" s="112" t="s">
        <v>601</v>
      </c>
      <c r="E319" s="122">
        <v>1.010416666666667</v>
      </c>
      <c r="F319" s="112" t="s">
        <v>605</v>
      </c>
      <c r="G319" s="114">
        <v>9</v>
      </c>
      <c r="H319" s="115" t="s">
        <v>664</v>
      </c>
    </row>
    <row r="320" spans="1:8" ht="19.899999999999999" customHeight="1">
      <c r="A320" s="129">
        <v>46038</v>
      </c>
      <c r="B320" s="117" t="s">
        <v>61</v>
      </c>
      <c r="C320" s="118" t="s">
        <v>612</v>
      </c>
      <c r="D320" s="117" t="s">
        <v>601</v>
      </c>
      <c r="E320" s="130">
        <v>1.229166666666667</v>
      </c>
      <c r="F320" s="117" t="s">
        <v>63</v>
      </c>
      <c r="G320" s="119">
        <v>9</v>
      </c>
      <c r="H320" s="120" t="s">
        <v>666</v>
      </c>
    </row>
    <row r="321" spans="1:8" ht="19.899999999999999" customHeight="1">
      <c r="A321" s="121">
        <v>46038</v>
      </c>
      <c r="B321" s="112" t="s">
        <v>359</v>
      </c>
      <c r="C321" s="113" t="s">
        <v>616</v>
      </c>
      <c r="D321" s="112" t="s">
        <v>601</v>
      </c>
      <c r="E321" s="122">
        <v>1.010416666666667</v>
      </c>
      <c r="F321" s="112" t="s">
        <v>46</v>
      </c>
      <c r="G321" s="114">
        <v>9</v>
      </c>
      <c r="H321" s="115" t="s">
        <v>665</v>
      </c>
    </row>
    <row r="322" spans="1:8" ht="19.899999999999999" customHeight="1">
      <c r="A322" s="121">
        <v>46038</v>
      </c>
      <c r="B322" s="112" t="s">
        <v>48</v>
      </c>
      <c r="C322" s="113" t="s">
        <v>611</v>
      </c>
      <c r="D322" s="112" t="s">
        <v>601</v>
      </c>
      <c r="E322" s="122">
        <v>1.819444444444444</v>
      </c>
      <c r="F322" s="112" t="s">
        <v>53</v>
      </c>
      <c r="G322" s="114">
        <v>9</v>
      </c>
      <c r="H322" s="115" t="s">
        <v>191</v>
      </c>
    </row>
    <row r="323" spans="1:8" ht="19.899999999999999" customHeight="1">
      <c r="A323" s="143"/>
      <c r="B323" s="144"/>
      <c r="C323" s="144"/>
      <c r="D323" s="144"/>
      <c r="E323" s="144"/>
      <c r="F323" s="145" t="s">
        <v>705</v>
      </c>
      <c r="G323" s="144"/>
      <c r="H323" s="146"/>
    </row>
    <row r="324" spans="1:8" ht="19.899999999999999" customHeight="1">
      <c r="A324" s="121">
        <v>46038</v>
      </c>
      <c r="B324" s="112" t="s">
        <v>38</v>
      </c>
      <c r="C324" s="113" t="s">
        <v>346</v>
      </c>
      <c r="D324" s="112" t="s">
        <v>341</v>
      </c>
      <c r="E324" s="122">
        <v>1.399305555555556</v>
      </c>
      <c r="F324" s="112" t="s">
        <v>40</v>
      </c>
      <c r="G324" s="114">
        <v>14</v>
      </c>
      <c r="H324" s="115" t="s">
        <v>121</v>
      </c>
    </row>
    <row r="325" spans="1:8" ht="19.899999999999999" customHeight="1">
      <c r="A325" s="121">
        <v>46038</v>
      </c>
      <c r="B325" s="112" t="s">
        <v>359</v>
      </c>
      <c r="C325" s="113" t="s">
        <v>422</v>
      </c>
      <c r="D325" s="112" t="s">
        <v>341</v>
      </c>
      <c r="E325" s="122">
        <v>1.8090277777777779</v>
      </c>
      <c r="F325" s="112" t="s">
        <v>361</v>
      </c>
      <c r="G325" s="114">
        <v>9</v>
      </c>
      <c r="H325" s="115" t="s">
        <v>504</v>
      </c>
    </row>
    <row r="326" spans="1:8" ht="19.899999999999999" customHeight="1">
      <c r="A326" s="121">
        <v>46038</v>
      </c>
      <c r="B326" s="112" t="s">
        <v>359</v>
      </c>
      <c r="C326" s="113" t="s">
        <v>360</v>
      </c>
      <c r="D326" s="112" t="s">
        <v>341</v>
      </c>
      <c r="E326" s="122">
        <v>1.225694444444444</v>
      </c>
      <c r="F326" s="112" t="s">
        <v>361</v>
      </c>
      <c r="G326" s="114">
        <v>9</v>
      </c>
      <c r="H326" s="115" t="s">
        <v>504</v>
      </c>
    </row>
    <row r="327" spans="1:8" ht="19.899999999999999" customHeight="1">
      <c r="A327" s="121">
        <v>46038</v>
      </c>
      <c r="B327" s="112" t="s">
        <v>359</v>
      </c>
      <c r="C327" s="113" t="s">
        <v>425</v>
      </c>
      <c r="D327" s="112" t="s">
        <v>341</v>
      </c>
      <c r="E327" s="122">
        <v>1.510416666666667</v>
      </c>
      <c r="F327" s="112" t="s">
        <v>361</v>
      </c>
      <c r="G327" s="114">
        <v>9</v>
      </c>
      <c r="H327" s="115" t="s">
        <v>504</v>
      </c>
    </row>
    <row r="328" spans="1:8" ht="19.899999999999999" customHeight="1">
      <c r="A328" s="121">
        <v>46038</v>
      </c>
      <c r="B328" s="112" t="s">
        <v>38</v>
      </c>
      <c r="C328" s="113" t="s">
        <v>342</v>
      </c>
      <c r="D328" s="112" t="s">
        <v>341</v>
      </c>
      <c r="E328" s="122">
        <v>1.489583333333333</v>
      </c>
      <c r="F328" s="112" t="s">
        <v>40</v>
      </c>
      <c r="G328" s="114">
        <v>20</v>
      </c>
      <c r="H328" s="115" t="s">
        <v>349</v>
      </c>
    </row>
    <row r="329" spans="1:8" ht="19.899999999999999" customHeight="1">
      <c r="A329" s="121">
        <v>46038</v>
      </c>
      <c r="B329" s="112" t="s">
        <v>402</v>
      </c>
      <c r="C329" s="113" t="s">
        <v>403</v>
      </c>
      <c r="D329" s="112" t="s">
        <v>341</v>
      </c>
      <c r="E329" s="122">
        <v>1.493055555555556</v>
      </c>
      <c r="F329" s="112" t="s">
        <v>63</v>
      </c>
      <c r="G329" s="114">
        <v>5</v>
      </c>
      <c r="H329" s="115" t="s">
        <v>404</v>
      </c>
    </row>
    <row r="330" spans="1:8" ht="19.899999999999999" customHeight="1">
      <c r="A330" s="121">
        <v>46038</v>
      </c>
      <c r="B330" s="112" t="s">
        <v>61</v>
      </c>
      <c r="C330" s="113" t="s">
        <v>428</v>
      </c>
      <c r="D330" s="112" t="s">
        <v>341</v>
      </c>
      <c r="E330" s="122">
        <v>1.5590277777777779</v>
      </c>
      <c r="F330" s="112" t="s">
        <v>63</v>
      </c>
      <c r="G330" s="114">
        <v>2</v>
      </c>
      <c r="H330" s="115" t="s">
        <v>79</v>
      </c>
    </row>
    <row r="331" spans="1:8" ht="19.899999999999999" customHeight="1">
      <c r="A331" s="121">
        <v>46038</v>
      </c>
      <c r="B331" s="112" t="s">
        <v>61</v>
      </c>
      <c r="C331" s="113" t="s">
        <v>375</v>
      </c>
      <c r="D331" s="112" t="s">
        <v>341</v>
      </c>
      <c r="E331" s="122">
        <v>1.1423611111111109</v>
      </c>
      <c r="F331" s="112" t="s">
        <v>63</v>
      </c>
      <c r="G331" s="114">
        <v>1</v>
      </c>
      <c r="H331" s="115" t="s">
        <v>79</v>
      </c>
    </row>
    <row r="332" spans="1:8" ht="19.899999999999999" customHeight="1">
      <c r="A332" s="121">
        <v>46038</v>
      </c>
      <c r="B332" s="112" t="s">
        <v>61</v>
      </c>
      <c r="C332" s="113" t="s">
        <v>377</v>
      </c>
      <c r="D332" s="112" t="s">
        <v>341</v>
      </c>
      <c r="E332" s="122">
        <v>1.28125</v>
      </c>
      <c r="F332" s="112" t="s">
        <v>63</v>
      </c>
      <c r="G332" s="114">
        <v>5</v>
      </c>
      <c r="H332" s="115" t="s">
        <v>79</v>
      </c>
    </row>
    <row r="333" spans="1:8" ht="19.899999999999999" customHeight="1">
      <c r="A333" s="123">
        <v>46038</v>
      </c>
      <c r="B333" s="124" t="s">
        <v>61</v>
      </c>
      <c r="C333" s="125" t="s">
        <v>379</v>
      </c>
      <c r="D333" s="124" t="s">
        <v>341</v>
      </c>
      <c r="E333" s="126">
        <v>1.4375</v>
      </c>
      <c r="F333" s="124" t="s">
        <v>63</v>
      </c>
      <c r="G333" s="127">
        <v>2</v>
      </c>
      <c r="H333" s="128" t="s">
        <v>79</v>
      </c>
    </row>
    <row r="334" spans="1:8" ht="19.899999999999999" customHeight="1">
      <c r="A334" s="121">
        <v>46039</v>
      </c>
      <c r="B334" s="112" t="s">
        <v>38</v>
      </c>
      <c r="C334" s="113" t="s">
        <v>621</v>
      </c>
      <c r="D334" s="112" t="s">
        <v>601</v>
      </c>
      <c r="E334" s="122">
        <v>1.3611111111111109</v>
      </c>
      <c r="F334" s="112" t="s">
        <v>622</v>
      </c>
      <c r="G334" s="114">
        <v>14</v>
      </c>
      <c r="H334" s="115" t="s">
        <v>33</v>
      </c>
    </row>
    <row r="335" spans="1:8" ht="19.899999999999999" customHeight="1">
      <c r="A335" s="121">
        <v>46039</v>
      </c>
      <c r="B335" s="112" t="s">
        <v>38</v>
      </c>
      <c r="C335" s="113" t="s">
        <v>621</v>
      </c>
      <c r="D335" s="112" t="s">
        <v>601</v>
      </c>
      <c r="E335" s="122">
        <v>1.3611111111111109</v>
      </c>
      <c r="F335" s="112" t="s">
        <v>603</v>
      </c>
      <c r="G335" s="114">
        <v>14</v>
      </c>
      <c r="H335" s="115" t="s">
        <v>668</v>
      </c>
    </row>
    <row r="336" spans="1:8" ht="19.899999999999999" customHeight="1">
      <c r="A336" s="121">
        <v>46039</v>
      </c>
      <c r="B336" s="112" t="s">
        <v>359</v>
      </c>
      <c r="C336" s="113" t="s">
        <v>602</v>
      </c>
      <c r="D336" s="112" t="s">
        <v>601</v>
      </c>
      <c r="E336" s="122">
        <v>1.3611111111111109</v>
      </c>
      <c r="F336" s="112" t="s">
        <v>603</v>
      </c>
      <c r="G336" s="114">
        <v>9</v>
      </c>
      <c r="H336" s="115" t="s">
        <v>663</v>
      </c>
    </row>
    <row r="337" spans="1:8" ht="19.899999999999999" customHeight="1">
      <c r="A337" s="121">
        <v>46039</v>
      </c>
      <c r="B337" s="112" t="s">
        <v>359</v>
      </c>
      <c r="C337" s="113" t="s">
        <v>628</v>
      </c>
      <c r="D337" s="112" t="s">
        <v>601</v>
      </c>
      <c r="E337" s="122">
        <v>1.0277777777777779</v>
      </c>
      <c r="F337" s="112" t="s">
        <v>603</v>
      </c>
      <c r="G337" s="114">
        <v>9</v>
      </c>
      <c r="H337" s="115" t="s">
        <v>663</v>
      </c>
    </row>
    <row r="338" spans="1:8" ht="19.899999999999999" customHeight="1">
      <c r="A338" s="121">
        <v>46039</v>
      </c>
      <c r="B338" s="112" t="s">
        <v>38</v>
      </c>
      <c r="C338" s="113" t="s">
        <v>621</v>
      </c>
      <c r="D338" s="112" t="s">
        <v>601</v>
      </c>
      <c r="E338" s="122">
        <v>1.3611111111111109</v>
      </c>
      <c r="F338" s="112" t="s">
        <v>605</v>
      </c>
      <c r="G338" s="114">
        <v>14</v>
      </c>
      <c r="H338" s="115" t="s">
        <v>669</v>
      </c>
    </row>
    <row r="339" spans="1:8" ht="19.899999999999999" customHeight="1">
      <c r="A339" s="129">
        <v>46039</v>
      </c>
      <c r="B339" s="117" t="s">
        <v>61</v>
      </c>
      <c r="C339" s="118" t="s">
        <v>629</v>
      </c>
      <c r="D339" s="117" t="s">
        <v>601</v>
      </c>
      <c r="E339" s="130">
        <v>1.270833333333333</v>
      </c>
      <c r="F339" s="117" t="s">
        <v>63</v>
      </c>
      <c r="G339" s="119">
        <v>3</v>
      </c>
      <c r="H339" s="120" t="s">
        <v>513</v>
      </c>
    </row>
    <row r="340" spans="1:8" ht="19.899999999999999" customHeight="1">
      <c r="A340" s="121">
        <v>46039</v>
      </c>
      <c r="B340" s="112" t="s">
        <v>359</v>
      </c>
      <c r="C340" s="113" t="s">
        <v>602</v>
      </c>
      <c r="D340" s="112" t="s">
        <v>601</v>
      </c>
      <c r="E340" s="122">
        <v>1.3611111111111109</v>
      </c>
      <c r="F340" s="112" t="s">
        <v>605</v>
      </c>
      <c r="G340" s="114">
        <v>9</v>
      </c>
      <c r="H340" s="115" t="s">
        <v>664</v>
      </c>
    </row>
    <row r="341" spans="1:8" ht="19.899999999999999" customHeight="1">
      <c r="A341" s="121">
        <v>46039</v>
      </c>
      <c r="B341" s="112" t="s">
        <v>359</v>
      </c>
      <c r="C341" s="113" t="s">
        <v>628</v>
      </c>
      <c r="D341" s="112" t="s">
        <v>601</v>
      </c>
      <c r="E341" s="122">
        <v>1.0277777777777779</v>
      </c>
      <c r="F341" s="112" t="s">
        <v>605</v>
      </c>
      <c r="G341" s="114">
        <v>9</v>
      </c>
      <c r="H341" s="115" t="s">
        <v>664</v>
      </c>
    </row>
    <row r="342" spans="1:8" ht="19.899999999999999" customHeight="1">
      <c r="A342" s="121">
        <v>46039</v>
      </c>
      <c r="B342" s="112" t="s">
        <v>68</v>
      </c>
      <c r="C342" s="113" t="s">
        <v>633</v>
      </c>
      <c r="D342" s="112" t="s">
        <v>601</v>
      </c>
      <c r="E342" s="122">
        <v>1.458333333333333</v>
      </c>
      <c r="F342" s="112" t="s">
        <v>70</v>
      </c>
      <c r="G342" s="114">
        <v>9</v>
      </c>
      <c r="H342" s="115" t="s">
        <v>674</v>
      </c>
    </row>
    <row r="343" spans="1:8" ht="19.899999999999999" customHeight="1">
      <c r="A343" s="129">
        <v>46039</v>
      </c>
      <c r="B343" s="117" t="s">
        <v>61</v>
      </c>
      <c r="C343" s="118" t="s">
        <v>612</v>
      </c>
      <c r="D343" s="117" t="s">
        <v>601</v>
      </c>
      <c r="E343" s="130">
        <v>1.604166666666667</v>
      </c>
      <c r="F343" s="117" t="s">
        <v>63</v>
      </c>
      <c r="G343" s="119">
        <v>9</v>
      </c>
      <c r="H343" s="120" t="s">
        <v>671</v>
      </c>
    </row>
    <row r="344" spans="1:8" ht="19.899999999999999" customHeight="1">
      <c r="A344" s="121">
        <v>46039</v>
      </c>
      <c r="B344" s="112" t="s">
        <v>38</v>
      </c>
      <c r="C344" s="113" t="s">
        <v>621</v>
      </c>
      <c r="D344" s="112" t="s">
        <v>601</v>
      </c>
      <c r="E344" s="122">
        <v>1.3611111111111109</v>
      </c>
      <c r="F344" s="112" t="s">
        <v>625</v>
      </c>
      <c r="G344" s="114">
        <v>14</v>
      </c>
      <c r="H344" s="115" t="s">
        <v>358</v>
      </c>
    </row>
    <row r="345" spans="1:8" ht="19.899999999999999" customHeight="1">
      <c r="A345" s="121">
        <v>46039</v>
      </c>
      <c r="B345" s="112" t="s">
        <v>359</v>
      </c>
      <c r="C345" s="113" t="s">
        <v>602</v>
      </c>
      <c r="D345" s="112" t="s">
        <v>601</v>
      </c>
      <c r="E345" s="122">
        <v>1.3611111111111109</v>
      </c>
      <c r="F345" s="112" t="s">
        <v>46</v>
      </c>
      <c r="G345" s="114">
        <v>9</v>
      </c>
      <c r="H345" s="115" t="s">
        <v>665</v>
      </c>
    </row>
    <row r="346" spans="1:8" ht="19.899999999999999" customHeight="1">
      <c r="A346" s="121">
        <v>46039</v>
      </c>
      <c r="B346" s="112" t="s">
        <v>359</v>
      </c>
      <c r="C346" s="113" t="s">
        <v>628</v>
      </c>
      <c r="D346" s="112" t="s">
        <v>601</v>
      </c>
      <c r="E346" s="122">
        <v>1.0277777777777779</v>
      </c>
      <c r="F346" s="112" t="s">
        <v>46</v>
      </c>
      <c r="G346" s="114">
        <v>9</v>
      </c>
      <c r="H346" s="115" t="s">
        <v>665</v>
      </c>
    </row>
    <row r="347" spans="1:8" ht="19.899999999999999" customHeight="1">
      <c r="A347" s="121">
        <v>46039</v>
      </c>
      <c r="B347" s="112" t="s">
        <v>48</v>
      </c>
      <c r="C347" s="113" t="s">
        <v>609</v>
      </c>
      <c r="D347" s="112" t="s">
        <v>601</v>
      </c>
      <c r="E347" s="122">
        <v>1.4513888888888891</v>
      </c>
      <c r="F347" s="112" t="s">
        <v>53</v>
      </c>
      <c r="G347" s="114">
        <v>9</v>
      </c>
      <c r="H347" s="115" t="s">
        <v>191</v>
      </c>
    </row>
    <row r="348" spans="1:8" ht="19.899999999999999" customHeight="1">
      <c r="A348" s="121">
        <v>46039</v>
      </c>
      <c r="B348" s="112" t="s">
        <v>48</v>
      </c>
      <c r="C348" s="113" t="s">
        <v>611</v>
      </c>
      <c r="D348" s="112" t="s">
        <v>601</v>
      </c>
      <c r="E348" s="122">
        <v>1.819444444444444</v>
      </c>
      <c r="F348" s="112" t="s">
        <v>53</v>
      </c>
      <c r="G348" s="114">
        <v>9</v>
      </c>
      <c r="H348" s="115" t="s">
        <v>191</v>
      </c>
    </row>
    <row r="349" spans="1:8" ht="19.899999999999999" customHeight="1">
      <c r="A349" s="143"/>
      <c r="B349" s="144"/>
      <c r="C349" s="144"/>
      <c r="D349" s="144"/>
      <c r="E349" s="144"/>
      <c r="F349" s="145" t="s">
        <v>705</v>
      </c>
      <c r="G349" s="144"/>
      <c r="H349" s="146"/>
    </row>
    <row r="350" spans="1:8" ht="19.899999999999999" customHeight="1">
      <c r="A350" s="121">
        <v>46039</v>
      </c>
      <c r="B350" s="112" t="s">
        <v>38</v>
      </c>
      <c r="C350" s="113" t="s">
        <v>346</v>
      </c>
      <c r="D350" s="112" t="s">
        <v>341</v>
      </c>
      <c r="E350" s="122">
        <v>1.399305555555556</v>
      </c>
      <c r="F350" s="112" t="s">
        <v>40</v>
      </c>
      <c r="G350" s="114">
        <v>10</v>
      </c>
      <c r="H350" s="115" t="s">
        <v>121</v>
      </c>
    </row>
    <row r="351" spans="1:8" ht="19.899999999999999" customHeight="1">
      <c r="A351" s="121">
        <v>46039</v>
      </c>
      <c r="B351" s="112" t="s">
        <v>359</v>
      </c>
      <c r="C351" s="113" t="s">
        <v>360</v>
      </c>
      <c r="D351" s="112" t="s">
        <v>341</v>
      </c>
      <c r="E351" s="122">
        <v>1.1701388888888891</v>
      </c>
      <c r="F351" s="112" t="s">
        <v>361</v>
      </c>
      <c r="G351" s="114">
        <v>9</v>
      </c>
      <c r="H351" s="115" t="s">
        <v>504</v>
      </c>
    </row>
    <row r="352" spans="1:8" ht="19.899999999999999" customHeight="1">
      <c r="A352" s="121">
        <v>46039</v>
      </c>
      <c r="B352" s="112" t="s">
        <v>359</v>
      </c>
      <c r="C352" s="113" t="s">
        <v>445</v>
      </c>
      <c r="D352" s="112" t="s">
        <v>341</v>
      </c>
      <c r="E352" s="122">
        <v>1.055555555555556</v>
      </c>
      <c r="F352" s="112" t="s">
        <v>361</v>
      </c>
      <c r="G352" s="114">
        <v>9</v>
      </c>
      <c r="H352" s="115" t="s">
        <v>504</v>
      </c>
    </row>
    <row r="353" spans="1:8" ht="19.899999999999999" customHeight="1">
      <c r="A353" s="121">
        <v>46039</v>
      </c>
      <c r="B353" s="112" t="s">
        <v>402</v>
      </c>
      <c r="C353" s="113" t="s">
        <v>403</v>
      </c>
      <c r="D353" s="112" t="s">
        <v>341</v>
      </c>
      <c r="E353" s="122">
        <v>1.493055555555556</v>
      </c>
      <c r="F353" s="112" t="s">
        <v>63</v>
      </c>
      <c r="G353" s="114">
        <v>3</v>
      </c>
      <c r="H353" s="115" t="s">
        <v>404</v>
      </c>
    </row>
    <row r="354" spans="1:8" ht="19.899999999999999" customHeight="1">
      <c r="A354" s="121">
        <v>46039</v>
      </c>
      <c r="B354" s="112" t="s">
        <v>38</v>
      </c>
      <c r="C354" s="113" t="s">
        <v>345</v>
      </c>
      <c r="D354" s="112" t="s">
        <v>341</v>
      </c>
      <c r="E354" s="122">
        <v>1.989583333333333</v>
      </c>
      <c r="F354" s="112" t="s">
        <v>40</v>
      </c>
      <c r="G354" s="114">
        <v>17</v>
      </c>
      <c r="H354" s="115" t="s">
        <v>426</v>
      </c>
    </row>
    <row r="355" spans="1:8" ht="19.899999999999999" customHeight="1">
      <c r="A355" s="121">
        <v>46039</v>
      </c>
      <c r="B355" s="112" t="s">
        <v>26</v>
      </c>
      <c r="C355" s="113" t="s">
        <v>357</v>
      </c>
      <c r="D355" s="112" t="s">
        <v>341</v>
      </c>
      <c r="E355" s="122">
        <v>1.3923611111111109</v>
      </c>
      <c r="F355" s="112" t="s">
        <v>28</v>
      </c>
      <c r="G355" s="114">
        <v>6</v>
      </c>
      <c r="H355" s="115" t="s">
        <v>45</v>
      </c>
    </row>
    <row r="356" spans="1:8" ht="19.899999999999999" customHeight="1">
      <c r="A356" s="121">
        <v>46039</v>
      </c>
      <c r="B356" s="112" t="s">
        <v>61</v>
      </c>
      <c r="C356" s="113" t="s">
        <v>371</v>
      </c>
      <c r="D356" s="112" t="s">
        <v>341</v>
      </c>
      <c r="E356" s="122">
        <v>1.0486111111111109</v>
      </c>
      <c r="F356" s="112" t="s">
        <v>63</v>
      </c>
      <c r="G356" s="114">
        <v>5</v>
      </c>
      <c r="H356" s="115" t="s">
        <v>449</v>
      </c>
    </row>
    <row r="357" spans="1:8" ht="19.899999999999999" customHeight="1">
      <c r="A357" s="121">
        <v>46039</v>
      </c>
      <c r="B357" s="112" t="s">
        <v>61</v>
      </c>
      <c r="C357" s="113" t="s">
        <v>375</v>
      </c>
      <c r="D357" s="112" t="s">
        <v>341</v>
      </c>
      <c r="E357" s="122">
        <v>1.15625</v>
      </c>
      <c r="F357" s="112" t="s">
        <v>63</v>
      </c>
      <c r="G357" s="114">
        <v>9</v>
      </c>
      <c r="H357" s="115" t="s">
        <v>449</v>
      </c>
    </row>
    <row r="358" spans="1:8" ht="19.899999999999999" customHeight="1">
      <c r="A358" s="121">
        <v>46039</v>
      </c>
      <c r="B358" s="112" t="s">
        <v>38</v>
      </c>
      <c r="C358" s="113" t="s">
        <v>342</v>
      </c>
      <c r="D358" s="112" t="s">
        <v>341</v>
      </c>
      <c r="E358" s="122">
        <v>1.489583333333333</v>
      </c>
      <c r="F358" s="112" t="s">
        <v>40</v>
      </c>
      <c r="G358" s="114">
        <v>13</v>
      </c>
      <c r="H358" s="115" t="s">
        <v>138</v>
      </c>
    </row>
    <row r="359" spans="1:8" ht="19.899999999999999" customHeight="1">
      <c r="A359" s="123">
        <v>46039</v>
      </c>
      <c r="B359" s="124" t="s">
        <v>38</v>
      </c>
      <c r="C359" s="125" t="s">
        <v>346</v>
      </c>
      <c r="D359" s="124" t="s">
        <v>341</v>
      </c>
      <c r="E359" s="126">
        <v>1.399305555555556</v>
      </c>
      <c r="F359" s="124" t="s">
        <v>43</v>
      </c>
      <c r="G359" s="127">
        <v>10</v>
      </c>
      <c r="H359" s="128" t="s">
        <v>123</v>
      </c>
    </row>
    <row r="360" spans="1:8" ht="19.899999999999999" customHeight="1">
      <c r="A360" s="129">
        <v>46040</v>
      </c>
      <c r="B360" s="117" t="s">
        <v>61</v>
      </c>
      <c r="C360" s="118" t="s">
        <v>612</v>
      </c>
      <c r="D360" s="117" t="s">
        <v>601</v>
      </c>
      <c r="E360" s="130">
        <v>1.4965277777777779</v>
      </c>
      <c r="F360" s="117" t="s">
        <v>63</v>
      </c>
      <c r="G360" s="119">
        <v>9</v>
      </c>
      <c r="H360" s="120" t="s">
        <v>79</v>
      </c>
    </row>
    <row r="361" spans="1:8" ht="19.899999999999999" customHeight="1">
      <c r="A361" s="129">
        <v>46040</v>
      </c>
      <c r="B361" s="117" t="s">
        <v>61</v>
      </c>
      <c r="C361" s="118" t="s">
        <v>629</v>
      </c>
      <c r="D361" s="117" t="s">
        <v>601</v>
      </c>
      <c r="E361" s="130">
        <v>1.5798611111111109</v>
      </c>
      <c r="F361" s="117" t="s">
        <v>63</v>
      </c>
      <c r="G361" s="119">
        <v>4</v>
      </c>
      <c r="H361" s="120" t="s">
        <v>79</v>
      </c>
    </row>
    <row r="362" spans="1:8" ht="19.899999999999999" customHeight="1">
      <c r="A362" s="121">
        <v>46040</v>
      </c>
      <c r="B362" s="112" t="s">
        <v>359</v>
      </c>
      <c r="C362" s="113" t="s">
        <v>602</v>
      </c>
      <c r="D362" s="112" t="s">
        <v>601</v>
      </c>
      <c r="E362" s="122">
        <v>1.3611111111111109</v>
      </c>
      <c r="F362" s="112" t="s">
        <v>603</v>
      </c>
      <c r="G362" s="114">
        <v>9</v>
      </c>
      <c r="H362" s="115" t="s">
        <v>663</v>
      </c>
    </row>
    <row r="363" spans="1:8" ht="19.899999999999999" customHeight="1">
      <c r="A363" s="121">
        <v>46040</v>
      </c>
      <c r="B363" s="112" t="s">
        <v>359</v>
      </c>
      <c r="C363" s="113" t="s">
        <v>602</v>
      </c>
      <c r="D363" s="112" t="s">
        <v>601</v>
      </c>
      <c r="E363" s="122">
        <v>1.3611111111111109</v>
      </c>
      <c r="F363" s="112" t="s">
        <v>605</v>
      </c>
      <c r="G363" s="114">
        <v>9</v>
      </c>
      <c r="H363" s="115" t="s">
        <v>664</v>
      </c>
    </row>
    <row r="364" spans="1:8" ht="19.899999999999999" customHeight="1">
      <c r="A364" s="121">
        <v>46040</v>
      </c>
      <c r="B364" s="112" t="s">
        <v>359</v>
      </c>
      <c r="C364" s="113" t="s">
        <v>602</v>
      </c>
      <c r="D364" s="112" t="s">
        <v>601</v>
      </c>
      <c r="E364" s="122">
        <v>1.3611111111111109</v>
      </c>
      <c r="F364" s="112" t="s">
        <v>46</v>
      </c>
      <c r="G364" s="114">
        <v>9</v>
      </c>
      <c r="H364" s="115" t="s">
        <v>665</v>
      </c>
    </row>
    <row r="365" spans="1:8" ht="19.899999999999999" customHeight="1">
      <c r="A365" s="121">
        <v>46040</v>
      </c>
      <c r="B365" s="112" t="s">
        <v>48</v>
      </c>
      <c r="C365" s="113" t="s">
        <v>611</v>
      </c>
      <c r="D365" s="112" t="s">
        <v>601</v>
      </c>
      <c r="E365" s="122">
        <v>1.819444444444444</v>
      </c>
      <c r="F365" s="112" t="s">
        <v>53</v>
      </c>
      <c r="G365" s="114">
        <v>9</v>
      </c>
      <c r="H365" s="115" t="s">
        <v>191</v>
      </c>
    </row>
    <row r="366" spans="1:8" ht="19.899999999999999" customHeight="1">
      <c r="A366" s="143"/>
      <c r="B366" s="144"/>
      <c r="C366" s="144"/>
      <c r="D366" s="144"/>
      <c r="E366" s="144"/>
      <c r="F366" s="145" t="s">
        <v>705</v>
      </c>
      <c r="G366" s="144"/>
      <c r="H366" s="146"/>
    </row>
    <row r="367" spans="1:8" ht="19.899999999999999" customHeight="1">
      <c r="A367" s="121">
        <v>46040</v>
      </c>
      <c r="B367" s="112" t="s">
        <v>38</v>
      </c>
      <c r="C367" s="113" t="s">
        <v>346</v>
      </c>
      <c r="D367" s="112" t="s">
        <v>341</v>
      </c>
      <c r="E367" s="122">
        <v>1.399305555555556</v>
      </c>
      <c r="F367" s="112" t="s">
        <v>40</v>
      </c>
      <c r="G367" s="114">
        <v>13</v>
      </c>
      <c r="H367" s="115" t="s">
        <v>347</v>
      </c>
    </row>
    <row r="368" spans="1:8" ht="19.899999999999999" customHeight="1">
      <c r="A368" s="121">
        <v>46040</v>
      </c>
      <c r="B368" s="112" t="s">
        <v>38</v>
      </c>
      <c r="C368" s="113" t="s">
        <v>342</v>
      </c>
      <c r="D368" s="112" t="s">
        <v>341</v>
      </c>
      <c r="E368" s="122">
        <v>1.489583333333333</v>
      </c>
      <c r="F368" s="112" t="s">
        <v>40</v>
      </c>
      <c r="G368" s="114">
        <v>20</v>
      </c>
      <c r="H368" s="115" t="s">
        <v>347</v>
      </c>
    </row>
    <row r="369" spans="1:8" ht="19.899999999999999" customHeight="1">
      <c r="A369" s="121">
        <v>46040</v>
      </c>
      <c r="B369" s="112" t="s">
        <v>359</v>
      </c>
      <c r="C369" s="113" t="s">
        <v>360</v>
      </c>
      <c r="D369" s="112" t="s">
        <v>341</v>
      </c>
      <c r="E369" s="122">
        <v>1.229166666666667</v>
      </c>
      <c r="F369" s="112" t="s">
        <v>361</v>
      </c>
      <c r="G369" s="114">
        <v>9</v>
      </c>
      <c r="H369" s="115" t="s">
        <v>504</v>
      </c>
    </row>
    <row r="370" spans="1:8" ht="19.899999999999999" customHeight="1">
      <c r="A370" s="121">
        <v>46040</v>
      </c>
      <c r="B370" s="112" t="s">
        <v>38</v>
      </c>
      <c r="C370" s="113" t="s">
        <v>345</v>
      </c>
      <c r="D370" s="112" t="s">
        <v>341</v>
      </c>
      <c r="E370" s="122">
        <v>1.989583333333333</v>
      </c>
      <c r="F370" s="112" t="s">
        <v>40</v>
      </c>
      <c r="G370" s="114">
        <v>13</v>
      </c>
      <c r="H370" s="115" t="s">
        <v>349</v>
      </c>
    </row>
    <row r="371" spans="1:8" ht="19.899999999999999" customHeight="1">
      <c r="A371" s="121">
        <v>46040</v>
      </c>
      <c r="B371" s="112" t="s">
        <v>402</v>
      </c>
      <c r="C371" s="113" t="s">
        <v>403</v>
      </c>
      <c r="D371" s="112" t="s">
        <v>341</v>
      </c>
      <c r="E371" s="122">
        <v>1.493055555555556</v>
      </c>
      <c r="F371" s="112" t="s">
        <v>63</v>
      </c>
      <c r="G371" s="114">
        <v>5</v>
      </c>
      <c r="H371" s="115" t="s">
        <v>404</v>
      </c>
    </row>
    <row r="372" spans="1:8" ht="19.899999999999999" customHeight="1">
      <c r="A372" s="121">
        <v>46040</v>
      </c>
      <c r="B372" s="112" t="s">
        <v>402</v>
      </c>
      <c r="C372" s="113" t="s">
        <v>465</v>
      </c>
      <c r="D372" s="112" t="s">
        <v>341</v>
      </c>
      <c r="E372" s="122">
        <v>1.2048611111111109</v>
      </c>
      <c r="F372" s="112" t="s">
        <v>63</v>
      </c>
      <c r="G372" s="114">
        <v>5</v>
      </c>
      <c r="H372" s="115" t="s">
        <v>404</v>
      </c>
    </row>
    <row r="373" spans="1:8" ht="19.899999999999999" customHeight="1">
      <c r="A373" s="121">
        <v>46040</v>
      </c>
      <c r="B373" s="112" t="s">
        <v>61</v>
      </c>
      <c r="C373" s="113" t="s">
        <v>369</v>
      </c>
      <c r="D373" s="112" t="s">
        <v>341</v>
      </c>
      <c r="E373" s="122">
        <v>1.15625</v>
      </c>
      <c r="F373" s="112" t="s">
        <v>63</v>
      </c>
      <c r="G373" s="114">
        <v>9</v>
      </c>
      <c r="H373" s="115" t="s">
        <v>79</v>
      </c>
    </row>
    <row r="374" spans="1:8" ht="19.899999999999999" customHeight="1">
      <c r="A374" s="121">
        <v>46040</v>
      </c>
      <c r="B374" s="112" t="s">
        <v>61</v>
      </c>
      <c r="C374" s="113" t="s">
        <v>432</v>
      </c>
      <c r="D374" s="112" t="s">
        <v>341</v>
      </c>
      <c r="E374" s="122">
        <v>1.333333333333333</v>
      </c>
      <c r="F374" s="112" t="s">
        <v>63</v>
      </c>
      <c r="G374" s="114">
        <v>7</v>
      </c>
      <c r="H374" s="115" t="s">
        <v>79</v>
      </c>
    </row>
    <row r="375" spans="1:8" ht="19.899999999999999" customHeight="1">
      <c r="A375" s="121">
        <v>46040</v>
      </c>
      <c r="B375" s="112" t="s">
        <v>61</v>
      </c>
      <c r="C375" s="113" t="s">
        <v>377</v>
      </c>
      <c r="D375" s="112" t="s">
        <v>341</v>
      </c>
      <c r="E375" s="122">
        <v>1.4548611111111109</v>
      </c>
      <c r="F375" s="112" t="s">
        <v>63</v>
      </c>
      <c r="G375" s="114">
        <v>1</v>
      </c>
      <c r="H375" s="115" t="s">
        <v>79</v>
      </c>
    </row>
    <row r="376" spans="1:8" ht="19.899999999999999" customHeight="1">
      <c r="A376" s="123">
        <v>46040</v>
      </c>
      <c r="B376" s="124" t="s">
        <v>61</v>
      </c>
      <c r="C376" s="125" t="s">
        <v>379</v>
      </c>
      <c r="D376" s="124" t="s">
        <v>341</v>
      </c>
      <c r="E376" s="126">
        <v>1.8298611111111109</v>
      </c>
      <c r="F376" s="124" t="s">
        <v>63</v>
      </c>
      <c r="G376" s="127">
        <v>1</v>
      </c>
      <c r="H376" s="128" t="s">
        <v>79</v>
      </c>
    </row>
    <row r="377" spans="1:8" ht="19.899999999999999" customHeight="1">
      <c r="A377" s="121">
        <v>46041</v>
      </c>
      <c r="B377" s="112" t="s">
        <v>359</v>
      </c>
      <c r="C377" s="113" t="s">
        <v>637</v>
      </c>
      <c r="D377" s="112" t="s">
        <v>601</v>
      </c>
      <c r="E377" s="122">
        <v>1.1284722222222221</v>
      </c>
      <c r="F377" s="112" t="s">
        <v>603</v>
      </c>
      <c r="G377" s="114">
        <v>9</v>
      </c>
      <c r="H377" s="115" t="s">
        <v>677</v>
      </c>
    </row>
    <row r="378" spans="1:8" ht="19.899999999999999" customHeight="1">
      <c r="A378" s="121">
        <v>46041</v>
      </c>
      <c r="B378" s="112" t="s">
        <v>359</v>
      </c>
      <c r="C378" s="113" t="s">
        <v>637</v>
      </c>
      <c r="D378" s="112" t="s">
        <v>601</v>
      </c>
      <c r="E378" s="122">
        <v>1.1284722222222221</v>
      </c>
      <c r="F378" s="112" t="s">
        <v>605</v>
      </c>
      <c r="G378" s="114">
        <v>9</v>
      </c>
      <c r="H378" s="115" t="s">
        <v>678</v>
      </c>
    </row>
    <row r="379" spans="1:8" ht="19.899999999999999" customHeight="1">
      <c r="A379" s="129">
        <v>46041</v>
      </c>
      <c r="B379" s="117" t="s">
        <v>61</v>
      </c>
      <c r="C379" s="118" t="s">
        <v>612</v>
      </c>
      <c r="D379" s="117" t="s">
        <v>601</v>
      </c>
      <c r="E379" s="130">
        <v>1.458333333333333</v>
      </c>
      <c r="F379" s="117" t="s">
        <v>63</v>
      </c>
      <c r="G379" s="119">
        <v>5</v>
      </c>
      <c r="H379" s="120" t="s">
        <v>79</v>
      </c>
    </row>
    <row r="380" spans="1:8" ht="19.899999999999999" customHeight="1">
      <c r="A380" s="129">
        <v>46041</v>
      </c>
      <c r="B380" s="117" t="s">
        <v>61</v>
      </c>
      <c r="C380" s="118" t="s">
        <v>629</v>
      </c>
      <c r="D380" s="117" t="s">
        <v>601</v>
      </c>
      <c r="E380" s="130">
        <v>1.149305555555556</v>
      </c>
      <c r="F380" s="117" t="s">
        <v>63</v>
      </c>
      <c r="G380" s="119">
        <v>9</v>
      </c>
      <c r="H380" s="120" t="s">
        <v>79</v>
      </c>
    </row>
    <row r="381" spans="1:8" ht="19.899999999999999" customHeight="1">
      <c r="A381" s="121">
        <v>46041</v>
      </c>
      <c r="B381" s="112" t="s">
        <v>48</v>
      </c>
      <c r="C381" s="113" t="s">
        <v>611</v>
      </c>
      <c r="D381" s="112" t="s">
        <v>601</v>
      </c>
      <c r="E381" s="122">
        <v>1.819444444444444</v>
      </c>
      <c r="F381" s="112" t="s">
        <v>50</v>
      </c>
      <c r="G381" s="114">
        <v>9</v>
      </c>
      <c r="H381" s="115" t="s">
        <v>133</v>
      </c>
    </row>
    <row r="382" spans="1:8" ht="19.899999999999999" customHeight="1">
      <c r="A382" s="121">
        <v>46041</v>
      </c>
      <c r="B382" s="112" t="s">
        <v>359</v>
      </c>
      <c r="C382" s="113" t="s">
        <v>637</v>
      </c>
      <c r="D382" s="112" t="s">
        <v>601</v>
      </c>
      <c r="E382" s="122">
        <v>1.1284722222222221</v>
      </c>
      <c r="F382" s="112" t="s">
        <v>46</v>
      </c>
      <c r="G382" s="114">
        <v>9</v>
      </c>
      <c r="H382" s="115" t="s">
        <v>679</v>
      </c>
    </row>
    <row r="383" spans="1:8" ht="19.899999999999999" customHeight="1">
      <c r="A383" s="121">
        <v>46041</v>
      </c>
      <c r="B383" s="112" t="s">
        <v>48</v>
      </c>
      <c r="C383" s="113" t="s">
        <v>611</v>
      </c>
      <c r="D383" s="112" t="s">
        <v>601</v>
      </c>
      <c r="E383" s="122">
        <v>1.819444444444444</v>
      </c>
      <c r="F383" s="112" t="s">
        <v>53</v>
      </c>
      <c r="G383" s="114">
        <v>9</v>
      </c>
      <c r="H383" s="115" t="s">
        <v>610</v>
      </c>
    </row>
    <row r="384" spans="1:8" ht="19.899999999999999" customHeight="1">
      <c r="A384" s="143"/>
      <c r="B384" s="144"/>
      <c r="C384" s="144"/>
      <c r="D384" s="144"/>
      <c r="E384" s="144"/>
      <c r="F384" s="145" t="s">
        <v>705</v>
      </c>
      <c r="G384" s="144"/>
      <c r="H384" s="146"/>
    </row>
    <row r="385" spans="1:8" ht="19.899999999999999" customHeight="1">
      <c r="A385" s="121">
        <v>46041</v>
      </c>
      <c r="B385" s="112" t="s">
        <v>38</v>
      </c>
      <c r="C385" s="113" t="s">
        <v>342</v>
      </c>
      <c r="D385" s="112" t="s">
        <v>341</v>
      </c>
      <c r="E385" s="122">
        <v>1.489583333333333</v>
      </c>
      <c r="F385" s="112" t="s">
        <v>40</v>
      </c>
      <c r="G385" s="114">
        <v>14</v>
      </c>
      <c r="H385" s="115" t="s">
        <v>81</v>
      </c>
    </row>
    <row r="386" spans="1:8" ht="19.899999999999999" customHeight="1">
      <c r="A386" s="121">
        <v>46041</v>
      </c>
      <c r="B386" s="112" t="s">
        <v>38</v>
      </c>
      <c r="C386" s="113" t="s">
        <v>346</v>
      </c>
      <c r="D386" s="112" t="s">
        <v>341</v>
      </c>
      <c r="E386" s="122">
        <v>1.399305555555556</v>
      </c>
      <c r="F386" s="112" t="s">
        <v>40</v>
      </c>
      <c r="G386" s="114">
        <v>20</v>
      </c>
      <c r="H386" s="115" t="s">
        <v>347</v>
      </c>
    </row>
    <row r="387" spans="1:8" ht="19.899999999999999" customHeight="1">
      <c r="A387" s="121">
        <v>46041</v>
      </c>
      <c r="B387" s="112" t="s">
        <v>38</v>
      </c>
      <c r="C387" s="113" t="s">
        <v>345</v>
      </c>
      <c r="D387" s="112" t="s">
        <v>341</v>
      </c>
      <c r="E387" s="122">
        <v>1.989583333333333</v>
      </c>
      <c r="F387" s="112" t="s">
        <v>40</v>
      </c>
      <c r="G387" s="114">
        <v>20</v>
      </c>
      <c r="H387" s="115" t="s">
        <v>347</v>
      </c>
    </row>
    <row r="388" spans="1:8" ht="19.899999999999999" customHeight="1">
      <c r="A388" s="121">
        <v>46041</v>
      </c>
      <c r="B388" s="112" t="s">
        <v>359</v>
      </c>
      <c r="C388" s="113" t="s">
        <v>360</v>
      </c>
      <c r="D388" s="112" t="s">
        <v>341</v>
      </c>
      <c r="E388" s="122">
        <v>1.225694444444444</v>
      </c>
      <c r="F388" s="112" t="s">
        <v>361</v>
      </c>
      <c r="G388" s="114">
        <v>9</v>
      </c>
      <c r="H388" s="115" t="s">
        <v>525</v>
      </c>
    </row>
    <row r="389" spans="1:8" ht="19.899999999999999" customHeight="1">
      <c r="A389" s="121">
        <v>46041</v>
      </c>
      <c r="B389" s="112" t="s">
        <v>359</v>
      </c>
      <c r="C389" s="113" t="s">
        <v>445</v>
      </c>
      <c r="D389" s="112" t="s">
        <v>341</v>
      </c>
      <c r="E389" s="122">
        <v>1.0138888888888891</v>
      </c>
      <c r="F389" s="112" t="s">
        <v>361</v>
      </c>
      <c r="G389" s="114">
        <v>9</v>
      </c>
      <c r="H389" s="115" t="s">
        <v>525</v>
      </c>
    </row>
    <row r="390" spans="1:8" ht="19.899999999999999" customHeight="1">
      <c r="A390" s="121">
        <v>46041</v>
      </c>
      <c r="B390" s="112" t="s">
        <v>61</v>
      </c>
      <c r="C390" s="113" t="s">
        <v>375</v>
      </c>
      <c r="D390" s="112" t="s">
        <v>341</v>
      </c>
      <c r="E390" s="122">
        <v>1.2465277777777779</v>
      </c>
      <c r="F390" s="112" t="s">
        <v>63</v>
      </c>
      <c r="G390" s="114">
        <v>3</v>
      </c>
      <c r="H390" s="115" t="s">
        <v>365</v>
      </c>
    </row>
    <row r="391" spans="1:8" ht="19.899999999999999" customHeight="1">
      <c r="A391" s="121">
        <v>46041</v>
      </c>
      <c r="B391" s="112" t="s">
        <v>61</v>
      </c>
      <c r="C391" s="113" t="s">
        <v>377</v>
      </c>
      <c r="D391" s="112" t="s">
        <v>341</v>
      </c>
      <c r="E391" s="122">
        <v>1.4375</v>
      </c>
      <c r="F391" s="112" t="s">
        <v>63</v>
      </c>
      <c r="G391" s="114">
        <v>2</v>
      </c>
      <c r="H391" s="115" t="s">
        <v>365</v>
      </c>
    </row>
    <row r="392" spans="1:8" ht="19.899999999999999" customHeight="1">
      <c r="A392" s="121">
        <v>46041</v>
      </c>
      <c r="B392" s="112" t="s">
        <v>38</v>
      </c>
      <c r="C392" s="113" t="s">
        <v>344</v>
      </c>
      <c r="D392" s="112" t="s">
        <v>341</v>
      </c>
      <c r="E392" s="122">
        <v>1.8888888888888891</v>
      </c>
      <c r="F392" s="112" t="s">
        <v>40</v>
      </c>
      <c r="G392" s="114">
        <v>14</v>
      </c>
      <c r="H392" s="115" t="s">
        <v>121</v>
      </c>
    </row>
    <row r="393" spans="1:8" ht="19.899999999999999" customHeight="1">
      <c r="A393" s="121">
        <v>46041</v>
      </c>
      <c r="B393" s="112" t="s">
        <v>48</v>
      </c>
      <c r="C393" s="113" t="s">
        <v>386</v>
      </c>
      <c r="D393" s="112" t="s">
        <v>341</v>
      </c>
      <c r="E393" s="122">
        <v>1.8298611111111109</v>
      </c>
      <c r="F393" s="112" t="s">
        <v>50</v>
      </c>
      <c r="G393" s="114">
        <v>1</v>
      </c>
      <c r="H393" s="115" t="s">
        <v>383</v>
      </c>
    </row>
    <row r="394" spans="1:8" ht="19.899999999999999" customHeight="1">
      <c r="A394" s="123">
        <v>46041</v>
      </c>
      <c r="B394" s="124" t="s">
        <v>48</v>
      </c>
      <c r="C394" s="125" t="s">
        <v>382</v>
      </c>
      <c r="D394" s="124" t="s">
        <v>341</v>
      </c>
      <c r="E394" s="126">
        <v>1.118055555555556</v>
      </c>
      <c r="F394" s="124" t="s">
        <v>50</v>
      </c>
      <c r="G394" s="127">
        <v>2</v>
      </c>
      <c r="H394" s="128" t="s">
        <v>383</v>
      </c>
    </row>
    <row r="395" spans="1:8" ht="19.899999999999999" customHeight="1">
      <c r="A395" s="121">
        <v>46042</v>
      </c>
      <c r="B395" s="112" t="s">
        <v>359</v>
      </c>
      <c r="C395" s="113" t="s">
        <v>602</v>
      </c>
      <c r="D395" s="112" t="s">
        <v>601</v>
      </c>
      <c r="E395" s="122">
        <v>1.3611111111111109</v>
      </c>
      <c r="F395" s="112" t="s">
        <v>603</v>
      </c>
      <c r="G395" s="114">
        <v>9</v>
      </c>
      <c r="H395" s="115" t="s">
        <v>677</v>
      </c>
    </row>
    <row r="396" spans="1:8" ht="19.899999999999999" customHeight="1">
      <c r="A396" s="121">
        <v>46042</v>
      </c>
      <c r="B396" s="112" t="s">
        <v>359</v>
      </c>
      <c r="C396" s="113" t="s">
        <v>616</v>
      </c>
      <c r="D396" s="112" t="s">
        <v>601</v>
      </c>
      <c r="E396" s="122">
        <v>1.010416666666667</v>
      </c>
      <c r="F396" s="112" t="s">
        <v>603</v>
      </c>
      <c r="G396" s="114">
        <v>9</v>
      </c>
      <c r="H396" s="115" t="s">
        <v>677</v>
      </c>
    </row>
    <row r="397" spans="1:8" ht="19.899999999999999" customHeight="1">
      <c r="A397" s="121">
        <v>46042</v>
      </c>
      <c r="B397" s="112" t="s">
        <v>38</v>
      </c>
      <c r="C397" s="113" t="s">
        <v>621</v>
      </c>
      <c r="D397" s="112" t="s">
        <v>601</v>
      </c>
      <c r="E397" s="122">
        <v>1.3611111111111109</v>
      </c>
      <c r="F397" s="112" t="s">
        <v>622</v>
      </c>
      <c r="G397" s="114">
        <v>20</v>
      </c>
      <c r="H397" s="115" t="s">
        <v>121</v>
      </c>
    </row>
    <row r="398" spans="1:8" ht="19.899999999999999" customHeight="1">
      <c r="A398" s="121">
        <v>46042</v>
      </c>
      <c r="B398" s="112" t="s">
        <v>359</v>
      </c>
      <c r="C398" s="113" t="s">
        <v>602</v>
      </c>
      <c r="D398" s="112" t="s">
        <v>601</v>
      </c>
      <c r="E398" s="122">
        <v>1.3611111111111109</v>
      </c>
      <c r="F398" s="112" t="s">
        <v>605</v>
      </c>
      <c r="G398" s="114">
        <v>9</v>
      </c>
      <c r="H398" s="115" t="s">
        <v>678</v>
      </c>
    </row>
    <row r="399" spans="1:8" ht="19.899999999999999" customHeight="1">
      <c r="A399" s="121">
        <v>46042</v>
      </c>
      <c r="B399" s="112" t="s">
        <v>359</v>
      </c>
      <c r="C399" s="113" t="s">
        <v>616</v>
      </c>
      <c r="D399" s="112" t="s">
        <v>601</v>
      </c>
      <c r="E399" s="122">
        <v>1.010416666666667</v>
      </c>
      <c r="F399" s="112" t="s">
        <v>605</v>
      </c>
      <c r="G399" s="114">
        <v>9</v>
      </c>
      <c r="H399" s="115" t="s">
        <v>678</v>
      </c>
    </row>
    <row r="400" spans="1:8" ht="19.899999999999999" customHeight="1">
      <c r="A400" s="129">
        <v>46042</v>
      </c>
      <c r="B400" s="117" t="s">
        <v>61</v>
      </c>
      <c r="C400" s="118" t="s">
        <v>612</v>
      </c>
      <c r="D400" s="117" t="s">
        <v>601</v>
      </c>
      <c r="E400" s="130">
        <v>1.520833333333333</v>
      </c>
      <c r="F400" s="117" t="s">
        <v>63</v>
      </c>
      <c r="G400" s="119">
        <v>9</v>
      </c>
      <c r="H400" s="120" t="s">
        <v>79</v>
      </c>
    </row>
    <row r="401" spans="1:8" ht="19.899999999999999" customHeight="1">
      <c r="A401" s="121">
        <v>46042</v>
      </c>
      <c r="B401" s="112" t="s">
        <v>38</v>
      </c>
      <c r="C401" s="113" t="s">
        <v>621</v>
      </c>
      <c r="D401" s="112" t="s">
        <v>601</v>
      </c>
      <c r="E401" s="122">
        <v>1.3611111111111109</v>
      </c>
      <c r="F401" s="112" t="s">
        <v>603</v>
      </c>
      <c r="G401" s="114">
        <v>20</v>
      </c>
      <c r="H401" s="115" t="s">
        <v>623</v>
      </c>
    </row>
    <row r="402" spans="1:8" ht="19.899999999999999" customHeight="1">
      <c r="A402" s="121">
        <v>46042</v>
      </c>
      <c r="B402" s="112" t="s">
        <v>48</v>
      </c>
      <c r="C402" s="113" t="s">
        <v>609</v>
      </c>
      <c r="D402" s="112" t="s">
        <v>601</v>
      </c>
      <c r="E402" s="122">
        <v>1.4513888888888891</v>
      </c>
      <c r="F402" s="112" t="s">
        <v>50</v>
      </c>
      <c r="G402" s="114">
        <v>9</v>
      </c>
      <c r="H402" s="115" t="s">
        <v>133</v>
      </c>
    </row>
    <row r="403" spans="1:8" ht="19.899999999999999" customHeight="1">
      <c r="A403" s="121">
        <v>46042</v>
      </c>
      <c r="B403" s="112" t="s">
        <v>48</v>
      </c>
      <c r="C403" s="113" t="s">
        <v>611</v>
      </c>
      <c r="D403" s="112" t="s">
        <v>601</v>
      </c>
      <c r="E403" s="122">
        <v>1.819444444444444</v>
      </c>
      <c r="F403" s="112" t="s">
        <v>50</v>
      </c>
      <c r="G403" s="114">
        <v>9</v>
      </c>
      <c r="H403" s="115" t="s">
        <v>133</v>
      </c>
    </row>
    <row r="404" spans="1:8" ht="19.899999999999999" customHeight="1">
      <c r="A404" s="121">
        <v>46042</v>
      </c>
      <c r="B404" s="112" t="s">
        <v>38</v>
      </c>
      <c r="C404" s="113" t="s">
        <v>621</v>
      </c>
      <c r="D404" s="112" t="s">
        <v>601</v>
      </c>
      <c r="E404" s="122">
        <v>1.3611111111111109</v>
      </c>
      <c r="F404" s="112" t="s">
        <v>605</v>
      </c>
      <c r="G404" s="114">
        <v>20</v>
      </c>
      <c r="H404" s="115" t="s">
        <v>624</v>
      </c>
    </row>
    <row r="405" spans="1:8" ht="19.899999999999999" customHeight="1">
      <c r="A405" s="121">
        <v>46042</v>
      </c>
      <c r="B405" s="112" t="s">
        <v>359</v>
      </c>
      <c r="C405" s="113" t="s">
        <v>602</v>
      </c>
      <c r="D405" s="112" t="s">
        <v>601</v>
      </c>
      <c r="E405" s="122">
        <v>1.3611111111111109</v>
      </c>
      <c r="F405" s="112" t="s">
        <v>46</v>
      </c>
      <c r="G405" s="114">
        <v>9</v>
      </c>
      <c r="H405" s="115" t="s">
        <v>679</v>
      </c>
    </row>
    <row r="406" spans="1:8" ht="19.899999999999999" customHeight="1">
      <c r="A406" s="121">
        <v>46042</v>
      </c>
      <c r="B406" s="112" t="s">
        <v>359</v>
      </c>
      <c r="C406" s="113" t="s">
        <v>616</v>
      </c>
      <c r="D406" s="112" t="s">
        <v>601</v>
      </c>
      <c r="E406" s="122">
        <v>1.010416666666667</v>
      </c>
      <c r="F406" s="112" t="s">
        <v>46</v>
      </c>
      <c r="G406" s="114">
        <v>9</v>
      </c>
      <c r="H406" s="115" t="s">
        <v>679</v>
      </c>
    </row>
    <row r="407" spans="1:8" ht="19.899999999999999" customHeight="1">
      <c r="A407" s="121">
        <v>46042</v>
      </c>
      <c r="B407" s="112" t="s">
        <v>48</v>
      </c>
      <c r="C407" s="113" t="s">
        <v>609</v>
      </c>
      <c r="D407" s="112" t="s">
        <v>601</v>
      </c>
      <c r="E407" s="122">
        <v>1.4513888888888891</v>
      </c>
      <c r="F407" s="112" t="s">
        <v>53</v>
      </c>
      <c r="G407" s="114">
        <v>9</v>
      </c>
      <c r="H407" s="115" t="s">
        <v>610</v>
      </c>
    </row>
    <row r="408" spans="1:8" ht="19.899999999999999" customHeight="1">
      <c r="A408" s="121">
        <v>46042</v>
      </c>
      <c r="B408" s="112" t="s">
        <v>48</v>
      </c>
      <c r="C408" s="113" t="s">
        <v>611</v>
      </c>
      <c r="D408" s="112" t="s">
        <v>601</v>
      </c>
      <c r="E408" s="122">
        <v>1.819444444444444</v>
      </c>
      <c r="F408" s="112" t="s">
        <v>53</v>
      </c>
      <c r="G408" s="114">
        <v>9</v>
      </c>
      <c r="H408" s="115" t="s">
        <v>610</v>
      </c>
    </row>
    <row r="409" spans="1:8" ht="19.899999999999999" customHeight="1">
      <c r="A409" s="121">
        <v>46042</v>
      </c>
      <c r="B409" s="112" t="s">
        <v>38</v>
      </c>
      <c r="C409" s="113" t="s">
        <v>621</v>
      </c>
      <c r="D409" s="112" t="s">
        <v>601</v>
      </c>
      <c r="E409" s="122">
        <v>1.3611111111111109</v>
      </c>
      <c r="F409" s="112" t="s">
        <v>625</v>
      </c>
      <c r="G409" s="114">
        <v>20</v>
      </c>
      <c r="H409" s="115" t="s">
        <v>163</v>
      </c>
    </row>
    <row r="410" spans="1:8" ht="19.899999999999999" customHeight="1">
      <c r="A410" s="143"/>
      <c r="B410" s="144"/>
      <c r="C410" s="144"/>
      <c r="D410" s="144"/>
      <c r="E410" s="144"/>
      <c r="F410" s="145" t="s">
        <v>705</v>
      </c>
      <c r="G410" s="144"/>
      <c r="H410" s="146"/>
    </row>
    <row r="411" spans="1:8" ht="19.899999999999999" customHeight="1">
      <c r="A411" s="121">
        <v>46042</v>
      </c>
      <c r="B411" s="112" t="s">
        <v>38</v>
      </c>
      <c r="C411" s="113" t="s">
        <v>342</v>
      </c>
      <c r="D411" s="112" t="s">
        <v>341</v>
      </c>
      <c r="E411" s="122">
        <v>1.489583333333333</v>
      </c>
      <c r="F411" s="112" t="s">
        <v>40</v>
      </c>
      <c r="G411" s="114">
        <v>16</v>
      </c>
      <c r="H411" s="115" t="s">
        <v>81</v>
      </c>
    </row>
    <row r="412" spans="1:8" ht="19.899999999999999" customHeight="1">
      <c r="A412" s="121">
        <v>46042</v>
      </c>
      <c r="B412" s="112" t="s">
        <v>38</v>
      </c>
      <c r="C412" s="113" t="s">
        <v>344</v>
      </c>
      <c r="D412" s="112" t="s">
        <v>341</v>
      </c>
      <c r="E412" s="122">
        <v>1.8888888888888891</v>
      </c>
      <c r="F412" s="112" t="s">
        <v>40</v>
      </c>
      <c r="G412" s="114">
        <v>20</v>
      </c>
      <c r="H412" s="115" t="s">
        <v>30</v>
      </c>
    </row>
    <row r="413" spans="1:8" ht="19.899999999999999" customHeight="1">
      <c r="A413" s="121">
        <v>46042</v>
      </c>
      <c r="B413" s="112" t="s">
        <v>38</v>
      </c>
      <c r="C413" s="113" t="s">
        <v>346</v>
      </c>
      <c r="D413" s="112" t="s">
        <v>341</v>
      </c>
      <c r="E413" s="122">
        <v>1.399305555555556</v>
      </c>
      <c r="F413" s="112" t="s">
        <v>40</v>
      </c>
      <c r="G413" s="114">
        <v>20</v>
      </c>
      <c r="H413" s="115" t="s">
        <v>347</v>
      </c>
    </row>
    <row r="414" spans="1:8" ht="19.899999999999999" customHeight="1">
      <c r="A414" s="121">
        <v>46042</v>
      </c>
      <c r="B414" s="112" t="s">
        <v>38</v>
      </c>
      <c r="C414" s="113" t="s">
        <v>345</v>
      </c>
      <c r="D414" s="112" t="s">
        <v>341</v>
      </c>
      <c r="E414" s="122">
        <v>1.989583333333333</v>
      </c>
      <c r="F414" s="112" t="s">
        <v>40</v>
      </c>
      <c r="G414" s="114">
        <v>20</v>
      </c>
      <c r="H414" s="115" t="s">
        <v>347</v>
      </c>
    </row>
    <row r="415" spans="1:8" ht="19.899999999999999" customHeight="1">
      <c r="A415" s="121">
        <v>46042</v>
      </c>
      <c r="B415" s="112" t="s">
        <v>359</v>
      </c>
      <c r="C415" s="113" t="s">
        <v>445</v>
      </c>
      <c r="D415" s="112" t="s">
        <v>341</v>
      </c>
      <c r="E415" s="122">
        <v>1.055555555555556</v>
      </c>
      <c r="F415" s="112" t="s">
        <v>361</v>
      </c>
      <c r="G415" s="114">
        <v>9</v>
      </c>
      <c r="H415" s="115" t="s">
        <v>525</v>
      </c>
    </row>
    <row r="416" spans="1:8" ht="19.899999999999999" customHeight="1">
      <c r="A416" s="121">
        <v>46042</v>
      </c>
      <c r="B416" s="112" t="s">
        <v>61</v>
      </c>
      <c r="C416" s="113" t="s">
        <v>364</v>
      </c>
      <c r="D416" s="112" t="s">
        <v>341</v>
      </c>
      <c r="E416" s="122">
        <v>1.756944444444444</v>
      </c>
      <c r="F416" s="112" t="s">
        <v>63</v>
      </c>
      <c r="G416" s="114">
        <v>5</v>
      </c>
      <c r="H416" s="115" t="s">
        <v>365</v>
      </c>
    </row>
    <row r="417" spans="1:8" ht="19.899999999999999" customHeight="1">
      <c r="A417" s="121">
        <v>46042</v>
      </c>
      <c r="B417" s="112" t="s">
        <v>61</v>
      </c>
      <c r="C417" s="113" t="s">
        <v>432</v>
      </c>
      <c r="D417" s="112" t="s">
        <v>341</v>
      </c>
      <c r="E417" s="122">
        <v>1.552083333333333</v>
      </c>
      <c r="F417" s="112" t="s">
        <v>63</v>
      </c>
      <c r="G417" s="114">
        <v>2</v>
      </c>
      <c r="H417" s="115" t="s">
        <v>365</v>
      </c>
    </row>
    <row r="418" spans="1:8" ht="19.899999999999999" customHeight="1">
      <c r="A418" s="121">
        <v>46042</v>
      </c>
      <c r="B418" s="112" t="s">
        <v>61</v>
      </c>
      <c r="C418" s="113" t="s">
        <v>428</v>
      </c>
      <c r="D418" s="112" t="s">
        <v>341</v>
      </c>
      <c r="E418" s="122">
        <v>1.052083333333333</v>
      </c>
      <c r="F418" s="112" t="s">
        <v>63</v>
      </c>
      <c r="G418" s="114">
        <v>5</v>
      </c>
      <c r="H418" s="115" t="s">
        <v>365</v>
      </c>
    </row>
    <row r="419" spans="1:8" ht="19.899999999999999" customHeight="1">
      <c r="A419" s="121">
        <v>46042</v>
      </c>
      <c r="B419" s="112" t="s">
        <v>61</v>
      </c>
      <c r="C419" s="113" t="s">
        <v>375</v>
      </c>
      <c r="D419" s="112" t="s">
        <v>341</v>
      </c>
      <c r="E419" s="122">
        <v>1.791666666666667</v>
      </c>
      <c r="F419" s="112" t="s">
        <v>63</v>
      </c>
      <c r="G419" s="114">
        <v>5</v>
      </c>
      <c r="H419" s="115" t="s">
        <v>365</v>
      </c>
    </row>
    <row r="420" spans="1:8" ht="19.899999999999999" customHeight="1">
      <c r="A420" s="123">
        <v>46042</v>
      </c>
      <c r="B420" s="124" t="s">
        <v>61</v>
      </c>
      <c r="C420" s="125" t="s">
        <v>377</v>
      </c>
      <c r="D420" s="124" t="s">
        <v>341</v>
      </c>
      <c r="E420" s="126">
        <v>1.4375</v>
      </c>
      <c r="F420" s="124" t="s">
        <v>63</v>
      </c>
      <c r="G420" s="127">
        <v>5</v>
      </c>
      <c r="H420" s="128" t="s">
        <v>365</v>
      </c>
    </row>
    <row r="421" spans="1:8" ht="19.899999999999999" customHeight="1">
      <c r="A421" s="121">
        <v>46043</v>
      </c>
      <c r="B421" s="112" t="s">
        <v>359</v>
      </c>
      <c r="C421" s="113" t="s">
        <v>616</v>
      </c>
      <c r="D421" s="112" t="s">
        <v>601</v>
      </c>
      <c r="E421" s="122">
        <v>1.163194444444444</v>
      </c>
      <c r="F421" s="112" t="s">
        <v>603</v>
      </c>
      <c r="G421" s="114">
        <v>9</v>
      </c>
      <c r="H421" s="115" t="s">
        <v>677</v>
      </c>
    </row>
    <row r="422" spans="1:8" ht="19.899999999999999" customHeight="1">
      <c r="A422" s="121">
        <v>46043</v>
      </c>
      <c r="B422" s="112" t="s">
        <v>359</v>
      </c>
      <c r="C422" s="113" t="s">
        <v>616</v>
      </c>
      <c r="D422" s="112" t="s">
        <v>601</v>
      </c>
      <c r="E422" s="122">
        <v>1.163194444444444</v>
      </c>
      <c r="F422" s="112" t="s">
        <v>605</v>
      </c>
      <c r="G422" s="114">
        <v>9</v>
      </c>
      <c r="H422" s="115" t="s">
        <v>678</v>
      </c>
    </row>
    <row r="423" spans="1:8" ht="19.899999999999999" customHeight="1">
      <c r="A423" s="129">
        <v>46043</v>
      </c>
      <c r="B423" s="117" t="s">
        <v>61</v>
      </c>
      <c r="C423" s="118" t="s">
        <v>612</v>
      </c>
      <c r="D423" s="117" t="s">
        <v>601</v>
      </c>
      <c r="E423" s="130">
        <v>1.145833333333333</v>
      </c>
      <c r="F423" s="117" t="s">
        <v>63</v>
      </c>
      <c r="G423" s="119">
        <v>9</v>
      </c>
      <c r="H423" s="120" t="s">
        <v>79</v>
      </c>
    </row>
    <row r="424" spans="1:8" ht="19.899999999999999" customHeight="1">
      <c r="A424" s="129">
        <v>46043</v>
      </c>
      <c r="B424" s="117" t="s">
        <v>61</v>
      </c>
      <c r="C424" s="118" t="s">
        <v>629</v>
      </c>
      <c r="D424" s="117" t="s">
        <v>601</v>
      </c>
      <c r="E424" s="130">
        <v>1.53125</v>
      </c>
      <c r="F424" s="117" t="s">
        <v>63</v>
      </c>
      <c r="G424" s="119">
        <v>5</v>
      </c>
      <c r="H424" s="120" t="s">
        <v>79</v>
      </c>
    </row>
    <row r="425" spans="1:8" ht="19.899999999999999" customHeight="1">
      <c r="A425" s="129">
        <v>46043</v>
      </c>
      <c r="B425" s="117" t="s">
        <v>61</v>
      </c>
      <c r="C425" s="118" t="s">
        <v>645</v>
      </c>
      <c r="D425" s="117" t="s">
        <v>601</v>
      </c>
      <c r="E425" s="130">
        <v>1.8611111111111109</v>
      </c>
      <c r="F425" s="117" t="s">
        <v>63</v>
      </c>
      <c r="G425" s="119">
        <v>9</v>
      </c>
      <c r="H425" s="120" t="s">
        <v>79</v>
      </c>
    </row>
    <row r="426" spans="1:8" ht="19.899999999999999" customHeight="1">
      <c r="A426" s="121">
        <v>46043</v>
      </c>
      <c r="B426" s="112" t="s">
        <v>48</v>
      </c>
      <c r="C426" s="113" t="s">
        <v>611</v>
      </c>
      <c r="D426" s="112" t="s">
        <v>601</v>
      </c>
      <c r="E426" s="122">
        <v>1.819444444444444</v>
      </c>
      <c r="F426" s="112" t="s">
        <v>50</v>
      </c>
      <c r="G426" s="114">
        <v>9</v>
      </c>
      <c r="H426" s="115" t="s">
        <v>133</v>
      </c>
    </row>
    <row r="427" spans="1:8" ht="19.899999999999999" customHeight="1">
      <c r="A427" s="121">
        <v>46043</v>
      </c>
      <c r="B427" s="112" t="s">
        <v>359</v>
      </c>
      <c r="C427" s="113" t="s">
        <v>616</v>
      </c>
      <c r="D427" s="112" t="s">
        <v>601</v>
      </c>
      <c r="E427" s="122">
        <v>1.163194444444444</v>
      </c>
      <c r="F427" s="112" t="s">
        <v>46</v>
      </c>
      <c r="G427" s="114">
        <v>9</v>
      </c>
      <c r="H427" s="115" t="s">
        <v>679</v>
      </c>
    </row>
    <row r="428" spans="1:8" ht="19.899999999999999" customHeight="1">
      <c r="A428" s="121">
        <v>46043</v>
      </c>
      <c r="B428" s="112" t="s">
        <v>48</v>
      </c>
      <c r="C428" s="113" t="s">
        <v>611</v>
      </c>
      <c r="D428" s="112" t="s">
        <v>601</v>
      </c>
      <c r="E428" s="122">
        <v>1.819444444444444</v>
      </c>
      <c r="F428" s="112" t="s">
        <v>53</v>
      </c>
      <c r="G428" s="114">
        <v>9</v>
      </c>
      <c r="H428" s="115" t="s">
        <v>610</v>
      </c>
    </row>
    <row r="429" spans="1:8" ht="19.899999999999999" customHeight="1">
      <c r="A429" s="121">
        <v>46043</v>
      </c>
      <c r="B429" s="112" t="s">
        <v>68</v>
      </c>
      <c r="C429" s="113" t="s">
        <v>633</v>
      </c>
      <c r="D429" s="112" t="s">
        <v>601</v>
      </c>
      <c r="E429" s="122">
        <v>1.458333333333333</v>
      </c>
      <c r="F429" s="112" t="s">
        <v>70</v>
      </c>
      <c r="G429" s="114">
        <v>9</v>
      </c>
      <c r="H429" s="115" t="s">
        <v>651</v>
      </c>
    </row>
    <row r="430" spans="1:8" ht="19.899999999999999" customHeight="1">
      <c r="A430" s="143"/>
      <c r="B430" s="144"/>
      <c r="C430" s="144"/>
      <c r="D430" s="144"/>
      <c r="E430" s="144"/>
      <c r="F430" s="145" t="s">
        <v>705</v>
      </c>
      <c r="G430" s="144"/>
      <c r="H430" s="146"/>
    </row>
    <row r="431" spans="1:8" ht="19.899999999999999" customHeight="1">
      <c r="A431" s="121">
        <v>46043</v>
      </c>
      <c r="B431" s="112" t="s">
        <v>38</v>
      </c>
      <c r="C431" s="113" t="s">
        <v>342</v>
      </c>
      <c r="D431" s="112" t="s">
        <v>341</v>
      </c>
      <c r="E431" s="122">
        <v>1.489583333333333</v>
      </c>
      <c r="F431" s="112" t="s">
        <v>40</v>
      </c>
      <c r="G431" s="114">
        <v>17</v>
      </c>
      <c r="H431" s="115" t="s">
        <v>81</v>
      </c>
    </row>
    <row r="432" spans="1:8" ht="19.899999999999999" customHeight="1">
      <c r="A432" s="121">
        <v>46043</v>
      </c>
      <c r="B432" s="112" t="s">
        <v>38</v>
      </c>
      <c r="C432" s="113" t="s">
        <v>346</v>
      </c>
      <c r="D432" s="112" t="s">
        <v>341</v>
      </c>
      <c r="E432" s="122">
        <v>1.399305555555556</v>
      </c>
      <c r="F432" s="112" t="s">
        <v>40</v>
      </c>
      <c r="G432" s="114">
        <v>20</v>
      </c>
      <c r="H432" s="115" t="s">
        <v>30</v>
      </c>
    </row>
    <row r="433" spans="1:8" ht="19.899999999999999" customHeight="1">
      <c r="A433" s="121">
        <v>46043</v>
      </c>
      <c r="B433" s="112" t="s">
        <v>38</v>
      </c>
      <c r="C433" s="113" t="s">
        <v>344</v>
      </c>
      <c r="D433" s="112" t="s">
        <v>341</v>
      </c>
      <c r="E433" s="122">
        <v>1.8888888888888891</v>
      </c>
      <c r="F433" s="112" t="s">
        <v>40</v>
      </c>
      <c r="G433" s="114">
        <v>20</v>
      </c>
      <c r="H433" s="115" t="s">
        <v>30</v>
      </c>
    </row>
    <row r="434" spans="1:8" ht="19.899999999999999" customHeight="1">
      <c r="A434" s="121">
        <v>46043</v>
      </c>
      <c r="B434" s="112" t="s">
        <v>38</v>
      </c>
      <c r="C434" s="113" t="s">
        <v>345</v>
      </c>
      <c r="D434" s="112" t="s">
        <v>341</v>
      </c>
      <c r="E434" s="122">
        <v>1.989583333333333</v>
      </c>
      <c r="F434" s="112" t="s">
        <v>40</v>
      </c>
      <c r="G434" s="114">
        <v>20</v>
      </c>
      <c r="H434" s="115" t="s">
        <v>347</v>
      </c>
    </row>
    <row r="435" spans="1:8" ht="19.899999999999999" customHeight="1">
      <c r="A435" s="121">
        <v>46043</v>
      </c>
      <c r="B435" s="112" t="s">
        <v>359</v>
      </c>
      <c r="C435" s="113" t="s">
        <v>360</v>
      </c>
      <c r="D435" s="112" t="s">
        <v>341</v>
      </c>
      <c r="E435" s="122">
        <v>1.225694444444444</v>
      </c>
      <c r="F435" s="112" t="s">
        <v>361</v>
      </c>
      <c r="G435" s="114">
        <v>9</v>
      </c>
      <c r="H435" s="115" t="s">
        <v>525</v>
      </c>
    </row>
    <row r="436" spans="1:8" ht="19.899999999999999" customHeight="1">
      <c r="A436" s="121">
        <v>46043</v>
      </c>
      <c r="B436" s="112" t="s">
        <v>61</v>
      </c>
      <c r="C436" s="113" t="s">
        <v>364</v>
      </c>
      <c r="D436" s="112" t="s">
        <v>341</v>
      </c>
      <c r="E436" s="122">
        <v>1.2326388888888891</v>
      </c>
      <c r="F436" s="112" t="s">
        <v>63</v>
      </c>
      <c r="G436" s="114">
        <v>6</v>
      </c>
      <c r="H436" s="115" t="s">
        <v>365</v>
      </c>
    </row>
    <row r="437" spans="1:8" ht="19.899999999999999" customHeight="1">
      <c r="A437" s="121">
        <v>46043</v>
      </c>
      <c r="B437" s="112" t="s">
        <v>61</v>
      </c>
      <c r="C437" s="113" t="s">
        <v>432</v>
      </c>
      <c r="D437" s="112" t="s">
        <v>341</v>
      </c>
      <c r="E437" s="122">
        <v>1.34375</v>
      </c>
      <c r="F437" s="112" t="s">
        <v>63</v>
      </c>
      <c r="G437" s="114">
        <v>6</v>
      </c>
      <c r="H437" s="115" t="s">
        <v>365</v>
      </c>
    </row>
    <row r="438" spans="1:8" ht="19.899999999999999" customHeight="1">
      <c r="A438" s="121">
        <v>46043</v>
      </c>
      <c r="B438" s="112" t="s">
        <v>61</v>
      </c>
      <c r="C438" s="113" t="s">
        <v>428</v>
      </c>
      <c r="D438" s="112" t="s">
        <v>341</v>
      </c>
      <c r="E438" s="122">
        <v>1.9375</v>
      </c>
      <c r="F438" s="112" t="s">
        <v>63</v>
      </c>
      <c r="G438" s="114">
        <v>1</v>
      </c>
      <c r="H438" s="115" t="s">
        <v>365</v>
      </c>
    </row>
    <row r="439" spans="1:8" ht="19.899999999999999" customHeight="1">
      <c r="A439" s="121">
        <v>46043</v>
      </c>
      <c r="B439" s="112" t="s">
        <v>61</v>
      </c>
      <c r="C439" s="113" t="s">
        <v>375</v>
      </c>
      <c r="D439" s="112" t="s">
        <v>341</v>
      </c>
      <c r="E439" s="122">
        <v>1.3402777777777779</v>
      </c>
      <c r="F439" s="112" t="s">
        <v>63</v>
      </c>
      <c r="G439" s="114">
        <v>6</v>
      </c>
      <c r="H439" s="115" t="s">
        <v>365</v>
      </c>
    </row>
    <row r="440" spans="1:8" ht="19.899999999999999" customHeight="1">
      <c r="A440" s="123">
        <v>46043</v>
      </c>
      <c r="B440" s="124" t="s">
        <v>26</v>
      </c>
      <c r="C440" s="125" t="s">
        <v>348</v>
      </c>
      <c r="D440" s="124" t="s">
        <v>341</v>
      </c>
      <c r="E440" s="126">
        <v>1.993055555555556</v>
      </c>
      <c r="F440" s="124" t="s">
        <v>28</v>
      </c>
      <c r="G440" s="127">
        <v>4</v>
      </c>
      <c r="H440" s="128" t="s">
        <v>83</v>
      </c>
    </row>
    <row r="441" spans="1:8" ht="19.899999999999999" customHeight="1">
      <c r="A441" s="121">
        <v>46044</v>
      </c>
      <c r="B441" s="112" t="s">
        <v>359</v>
      </c>
      <c r="C441" s="113" t="s">
        <v>602</v>
      </c>
      <c r="D441" s="112" t="s">
        <v>601</v>
      </c>
      <c r="E441" s="122">
        <v>1.3611111111111109</v>
      </c>
      <c r="F441" s="112" t="s">
        <v>603</v>
      </c>
      <c r="G441" s="114">
        <v>9</v>
      </c>
      <c r="H441" s="115" t="s">
        <v>677</v>
      </c>
    </row>
    <row r="442" spans="1:8" ht="19.899999999999999" customHeight="1">
      <c r="A442" s="121">
        <v>46044</v>
      </c>
      <c r="B442" s="112" t="s">
        <v>359</v>
      </c>
      <c r="C442" s="113" t="s">
        <v>608</v>
      </c>
      <c r="D442" s="112" t="s">
        <v>601</v>
      </c>
      <c r="E442" s="122">
        <v>1.631944444444444</v>
      </c>
      <c r="F442" s="112" t="s">
        <v>603</v>
      </c>
      <c r="G442" s="114">
        <v>9</v>
      </c>
      <c r="H442" s="115" t="s">
        <v>677</v>
      </c>
    </row>
    <row r="443" spans="1:8" ht="19.899999999999999" customHeight="1">
      <c r="A443" s="121">
        <v>46044</v>
      </c>
      <c r="B443" s="112" t="s">
        <v>359</v>
      </c>
      <c r="C443" s="113" t="s">
        <v>602</v>
      </c>
      <c r="D443" s="112" t="s">
        <v>601</v>
      </c>
      <c r="E443" s="122">
        <v>1.3611111111111109</v>
      </c>
      <c r="F443" s="112" t="s">
        <v>605</v>
      </c>
      <c r="G443" s="114">
        <v>9</v>
      </c>
      <c r="H443" s="115" t="s">
        <v>678</v>
      </c>
    </row>
    <row r="444" spans="1:8" ht="19.899999999999999" customHeight="1">
      <c r="A444" s="121">
        <v>46044</v>
      </c>
      <c r="B444" s="112" t="s">
        <v>359</v>
      </c>
      <c r="C444" s="113" t="s">
        <v>608</v>
      </c>
      <c r="D444" s="112" t="s">
        <v>601</v>
      </c>
      <c r="E444" s="122">
        <v>1.631944444444444</v>
      </c>
      <c r="F444" s="112" t="s">
        <v>605</v>
      </c>
      <c r="G444" s="114">
        <v>9</v>
      </c>
      <c r="H444" s="115" t="s">
        <v>678</v>
      </c>
    </row>
    <row r="445" spans="1:8" ht="19.899999999999999" customHeight="1">
      <c r="A445" s="129">
        <v>46044</v>
      </c>
      <c r="B445" s="117" t="s">
        <v>61</v>
      </c>
      <c r="C445" s="118" t="s">
        <v>612</v>
      </c>
      <c r="D445" s="117" t="s">
        <v>601</v>
      </c>
      <c r="E445" s="130">
        <v>1.086805555555556</v>
      </c>
      <c r="F445" s="117" t="s">
        <v>63</v>
      </c>
      <c r="G445" s="119">
        <v>8</v>
      </c>
      <c r="H445" s="120" t="s">
        <v>79</v>
      </c>
    </row>
    <row r="446" spans="1:8" ht="19.899999999999999" customHeight="1">
      <c r="A446" s="121">
        <v>46044</v>
      </c>
      <c r="B446" s="112" t="s">
        <v>359</v>
      </c>
      <c r="C446" s="113" t="s">
        <v>602</v>
      </c>
      <c r="D446" s="112" t="s">
        <v>601</v>
      </c>
      <c r="E446" s="122">
        <v>1.3611111111111109</v>
      </c>
      <c r="F446" s="112" t="s">
        <v>46</v>
      </c>
      <c r="G446" s="114">
        <v>9</v>
      </c>
      <c r="H446" s="115" t="s">
        <v>679</v>
      </c>
    </row>
    <row r="447" spans="1:8" ht="19.899999999999999" customHeight="1">
      <c r="A447" s="121">
        <v>46044</v>
      </c>
      <c r="B447" s="112" t="s">
        <v>359</v>
      </c>
      <c r="C447" s="113" t="s">
        <v>608</v>
      </c>
      <c r="D447" s="112" t="s">
        <v>601</v>
      </c>
      <c r="E447" s="122">
        <v>1.631944444444444</v>
      </c>
      <c r="F447" s="112" t="s">
        <v>46</v>
      </c>
      <c r="G447" s="114">
        <v>9</v>
      </c>
      <c r="H447" s="115" t="s">
        <v>679</v>
      </c>
    </row>
    <row r="448" spans="1:8" ht="19.899999999999999" customHeight="1">
      <c r="A448" s="121">
        <v>46044</v>
      </c>
      <c r="B448" s="112" t="s">
        <v>48</v>
      </c>
      <c r="C448" s="113" t="s">
        <v>609</v>
      </c>
      <c r="D448" s="112" t="s">
        <v>601</v>
      </c>
      <c r="E448" s="122">
        <v>1.4513888888888891</v>
      </c>
      <c r="F448" s="112" t="s">
        <v>53</v>
      </c>
      <c r="G448" s="114">
        <v>9</v>
      </c>
      <c r="H448" s="115" t="s">
        <v>681</v>
      </c>
    </row>
    <row r="449" spans="1:8" ht="19.899999999999999" customHeight="1">
      <c r="A449" s="121">
        <v>46044</v>
      </c>
      <c r="B449" s="112" t="s">
        <v>48</v>
      </c>
      <c r="C449" s="113" t="s">
        <v>611</v>
      </c>
      <c r="D449" s="112" t="s">
        <v>601</v>
      </c>
      <c r="E449" s="122">
        <v>1.819444444444444</v>
      </c>
      <c r="F449" s="112" t="s">
        <v>53</v>
      </c>
      <c r="G449" s="114">
        <v>9</v>
      </c>
      <c r="H449" s="115" t="s">
        <v>681</v>
      </c>
    </row>
    <row r="450" spans="1:8" ht="19.899999999999999" customHeight="1">
      <c r="A450" s="143"/>
      <c r="B450" s="144"/>
      <c r="C450" s="144"/>
      <c r="D450" s="144"/>
      <c r="E450" s="144"/>
      <c r="F450" s="145" t="s">
        <v>705</v>
      </c>
      <c r="G450" s="144"/>
      <c r="H450" s="146"/>
    </row>
    <row r="451" spans="1:8" ht="19.899999999999999" customHeight="1">
      <c r="A451" s="121">
        <v>46044</v>
      </c>
      <c r="B451" s="112" t="s">
        <v>38</v>
      </c>
      <c r="C451" s="113" t="s">
        <v>342</v>
      </c>
      <c r="D451" s="112" t="s">
        <v>341</v>
      </c>
      <c r="E451" s="122">
        <v>1.489583333333333</v>
      </c>
      <c r="F451" s="112" t="s">
        <v>40</v>
      </c>
      <c r="G451" s="114">
        <v>20</v>
      </c>
      <c r="H451" s="115" t="s">
        <v>347</v>
      </c>
    </row>
    <row r="452" spans="1:8" ht="19.899999999999999" customHeight="1">
      <c r="A452" s="121">
        <v>46044</v>
      </c>
      <c r="B452" s="112" t="s">
        <v>38</v>
      </c>
      <c r="C452" s="113" t="s">
        <v>344</v>
      </c>
      <c r="D452" s="112" t="s">
        <v>341</v>
      </c>
      <c r="E452" s="122">
        <v>1.8888888888888891</v>
      </c>
      <c r="F452" s="112" t="s">
        <v>40</v>
      </c>
      <c r="G452" s="114">
        <v>12</v>
      </c>
      <c r="H452" s="115" t="s">
        <v>347</v>
      </c>
    </row>
    <row r="453" spans="1:8" ht="19.899999999999999" customHeight="1">
      <c r="A453" s="121">
        <v>46044</v>
      </c>
      <c r="B453" s="112" t="s">
        <v>38</v>
      </c>
      <c r="C453" s="113" t="s">
        <v>345</v>
      </c>
      <c r="D453" s="112" t="s">
        <v>341</v>
      </c>
      <c r="E453" s="122">
        <v>1.989583333333333</v>
      </c>
      <c r="F453" s="112" t="s">
        <v>40</v>
      </c>
      <c r="G453" s="114">
        <v>16</v>
      </c>
      <c r="H453" s="115" t="s">
        <v>347</v>
      </c>
    </row>
    <row r="454" spans="1:8" ht="19.899999999999999" customHeight="1">
      <c r="A454" s="121">
        <v>46044</v>
      </c>
      <c r="B454" s="112" t="s">
        <v>359</v>
      </c>
      <c r="C454" s="113" t="s">
        <v>360</v>
      </c>
      <c r="D454" s="112" t="s">
        <v>341</v>
      </c>
      <c r="E454" s="122">
        <v>1.1701388888888891</v>
      </c>
      <c r="F454" s="112" t="s">
        <v>361</v>
      </c>
      <c r="G454" s="114">
        <v>9</v>
      </c>
      <c r="H454" s="115" t="s">
        <v>525</v>
      </c>
    </row>
    <row r="455" spans="1:8" ht="19.899999999999999" customHeight="1">
      <c r="A455" s="121">
        <v>46044</v>
      </c>
      <c r="B455" s="112" t="s">
        <v>38</v>
      </c>
      <c r="C455" s="113" t="s">
        <v>346</v>
      </c>
      <c r="D455" s="112" t="s">
        <v>341</v>
      </c>
      <c r="E455" s="122">
        <v>1.399305555555556</v>
      </c>
      <c r="F455" s="112" t="s">
        <v>40</v>
      </c>
      <c r="G455" s="114">
        <v>20</v>
      </c>
      <c r="H455" s="115" t="s">
        <v>121</v>
      </c>
    </row>
    <row r="456" spans="1:8" ht="19.899999999999999" customHeight="1">
      <c r="A456" s="121">
        <v>46044</v>
      </c>
      <c r="B456" s="112" t="s">
        <v>402</v>
      </c>
      <c r="C456" s="113" t="s">
        <v>403</v>
      </c>
      <c r="D456" s="112" t="s">
        <v>341</v>
      </c>
      <c r="E456" s="122">
        <v>1.493055555555556</v>
      </c>
      <c r="F456" s="112" t="s">
        <v>63</v>
      </c>
      <c r="G456" s="114">
        <v>5</v>
      </c>
      <c r="H456" s="115" t="s">
        <v>404</v>
      </c>
    </row>
    <row r="457" spans="1:8" ht="19.899999999999999" customHeight="1">
      <c r="A457" s="121">
        <v>46044</v>
      </c>
      <c r="B457" s="112" t="s">
        <v>61</v>
      </c>
      <c r="C457" s="113" t="s">
        <v>369</v>
      </c>
      <c r="D457" s="112" t="s">
        <v>341</v>
      </c>
      <c r="E457" s="122">
        <v>1.1875</v>
      </c>
      <c r="F457" s="112" t="s">
        <v>63</v>
      </c>
      <c r="G457" s="114">
        <v>7</v>
      </c>
      <c r="H457" s="115" t="s">
        <v>79</v>
      </c>
    </row>
    <row r="458" spans="1:8" ht="19.899999999999999" customHeight="1">
      <c r="A458" s="121">
        <v>46044</v>
      </c>
      <c r="B458" s="112" t="s">
        <v>61</v>
      </c>
      <c r="C458" s="113" t="s">
        <v>371</v>
      </c>
      <c r="D458" s="112" t="s">
        <v>341</v>
      </c>
      <c r="E458" s="122">
        <v>1.0659722222222221</v>
      </c>
      <c r="F458" s="112" t="s">
        <v>63</v>
      </c>
      <c r="G458" s="114">
        <v>3</v>
      </c>
      <c r="H458" s="115" t="s">
        <v>79</v>
      </c>
    </row>
    <row r="459" spans="1:8" ht="19.899999999999999" customHeight="1">
      <c r="A459" s="121">
        <v>46044</v>
      </c>
      <c r="B459" s="112" t="s">
        <v>61</v>
      </c>
      <c r="C459" s="113" t="s">
        <v>375</v>
      </c>
      <c r="D459" s="112" t="s">
        <v>341</v>
      </c>
      <c r="E459" s="122">
        <v>1.15625</v>
      </c>
      <c r="F459" s="112" t="s">
        <v>63</v>
      </c>
      <c r="G459" s="114">
        <v>3</v>
      </c>
      <c r="H459" s="115" t="s">
        <v>79</v>
      </c>
    </row>
    <row r="460" spans="1:8" ht="19.899999999999999" customHeight="1">
      <c r="A460" s="123">
        <v>46044</v>
      </c>
      <c r="B460" s="124" t="s">
        <v>61</v>
      </c>
      <c r="C460" s="125" t="s">
        <v>377</v>
      </c>
      <c r="D460" s="124" t="s">
        <v>341</v>
      </c>
      <c r="E460" s="126">
        <v>1.40625</v>
      </c>
      <c r="F460" s="124" t="s">
        <v>63</v>
      </c>
      <c r="G460" s="127">
        <v>2</v>
      </c>
      <c r="H460" s="128" t="s">
        <v>79</v>
      </c>
    </row>
    <row r="461" spans="1:8" ht="19.899999999999999" customHeight="1">
      <c r="A461" s="121">
        <v>46045</v>
      </c>
      <c r="B461" s="112" t="s">
        <v>359</v>
      </c>
      <c r="C461" s="113" t="s">
        <v>616</v>
      </c>
      <c r="D461" s="112" t="s">
        <v>601</v>
      </c>
      <c r="E461" s="122">
        <v>1.010416666666667</v>
      </c>
      <c r="F461" s="112" t="s">
        <v>603</v>
      </c>
      <c r="G461" s="114">
        <v>9</v>
      </c>
      <c r="H461" s="115" t="s">
        <v>682</v>
      </c>
    </row>
    <row r="462" spans="1:8" ht="19.899999999999999" customHeight="1">
      <c r="A462" s="121">
        <v>46045</v>
      </c>
      <c r="B462" s="112" t="s">
        <v>359</v>
      </c>
      <c r="C462" s="113" t="s">
        <v>616</v>
      </c>
      <c r="D462" s="112" t="s">
        <v>601</v>
      </c>
      <c r="E462" s="122">
        <v>1.010416666666667</v>
      </c>
      <c r="F462" s="112" t="s">
        <v>605</v>
      </c>
      <c r="G462" s="114">
        <v>9</v>
      </c>
      <c r="H462" s="115" t="s">
        <v>683</v>
      </c>
    </row>
    <row r="463" spans="1:8" ht="19.899999999999999" customHeight="1">
      <c r="A463" s="129">
        <v>46045</v>
      </c>
      <c r="B463" s="117" t="s">
        <v>61</v>
      </c>
      <c r="C463" s="118" t="s">
        <v>612</v>
      </c>
      <c r="D463" s="117" t="s">
        <v>601</v>
      </c>
      <c r="E463" s="130">
        <v>1.229166666666667</v>
      </c>
      <c r="F463" s="117" t="s">
        <v>63</v>
      </c>
      <c r="G463" s="119">
        <v>3</v>
      </c>
      <c r="H463" s="120" t="s">
        <v>513</v>
      </c>
    </row>
    <row r="464" spans="1:8" ht="19.899999999999999" customHeight="1">
      <c r="A464" s="121">
        <v>46045</v>
      </c>
      <c r="B464" s="112" t="s">
        <v>359</v>
      </c>
      <c r="C464" s="113" t="s">
        <v>616</v>
      </c>
      <c r="D464" s="112" t="s">
        <v>601</v>
      </c>
      <c r="E464" s="122">
        <v>1.010416666666667</v>
      </c>
      <c r="F464" s="112" t="s">
        <v>46</v>
      </c>
      <c r="G464" s="114">
        <v>9</v>
      </c>
      <c r="H464" s="115" t="s">
        <v>684</v>
      </c>
    </row>
    <row r="465" spans="1:8" ht="19.899999999999999" customHeight="1">
      <c r="A465" s="121">
        <v>46045</v>
      </c>
      <c r="B465" s="112" t="s">
        <v>48</v>
      </c>
      <c r="C465" s="113" t="s">
        <v>611</v>
      </c>
      <c r="D465" s="112" t="s">
        <v>601</v>
      </c>
      <c r="E465" s="122">
        <v>1.819444444444444</v>
      </c>
      <c r="F465" s="112" t="s">
        <v>53</v>
      </c>
      <c r="G465" s="114">
        <v>9</v>
      </c>
      <c r="H465" s="115" t="s">
        <v>681</v>
      </c>
    </row>
    <row r="466" spans="1:8" ht="19.899999999999999" customHeight="1">
      <c r="A466" s="143"/>
      <c r="B466" s="144"/>
      <c r="C466" s="144"/>
      <c r="D466" s="144"/>
      <c r="E466" s="144"/>
      <c r="F466" s="145" t="s">
        <v>705</v>
      </c>
      <c r="G466" s="144"/>
      <c r="H466" s="146"/>
    </row>
    <row r="467" spans="1:8" ht="19.899999999999999" customHeight="1">
      <c r="A467" s="121">
        <v>46045</v>
      </c>
      <c r="B467" s="112" t="s">
        <v>38</v>
      </c>
      <c r="C467" s="113" t="s">
        <v>342</v>
      </c>
      <c r="D467" s="112" t="s">
        <v>341</v>
      </c>
      <c r="E467" s="122">
        <v>1.489583333333333</v>
      </c>
      <c r="F467" s="112" t="s">
        <v>40</v>
      </c>
      <c r="G467" s="114">
        <v>13</v>
      </c>
      <c r="H467" s="115" t="s">
        <v>347</v>
      </c>
    </row>
    <row r="468" spans="1:8" ht="19.899999999999999" customHeight="1">
      <c r="A468" s="121">
        <v>46045</v>
      </c>
      <c r="B468" s="112" t="s">
        <v>359</v>
      </c>
      <c r="C468" s="113" t="s">
        <v>422</v>
      </c>
      <c r="D468" s="112" t="s">
        <v>341</v>
      </c>
      <c r="E468" s="122">
        <v>1.8090277777777779</v>
      </c>
      <c r="F468" s="112" t="s">
        <v>361</v>
      </c>
      <c r="G468" s="114">
        <v>9</v>
      </c>
      <c r="H468" s="115" t="s">
        <v>534</v>
      </c>
    </row>
    <row r="469" spans="1:8" ht="19.899999999999999" customHeight="1">
      <c r="A469" s="121">
        <v>46045</v>
      </c>
      <c r="B469" s="112" t="s">
        <v>359</v>
      </c>
      <c r="C469" s="113" t="s">
        <v>360</v>
      </c>
      <c r="D469" s="112" t="s">
        <v>341</v>
      </c>
      <c r="E469" s="122">
        <v>1.225694444444444</v>
      </c>
      <c r="F469" s="112" t="s">
        <v>361</v>
      </c>
      <c r="G469" s="114">
        <v>9</v>
      </c>
      <c r="H469" s="115" t="s">
        <v>534</v>
      </c>
    </row>
    <row r="470" spans="1:8" ht="19.899999999999999" customHeight="1">
      <c r="A470" s="121">
        <v>46045</v>
      </c>
      <c r="B470" s="112" t="s">
        <v>38</v>
      </c>
      <c r="C470" s="113" t="s">
        <v>346</v>
      </c>
      <c r="D470" s="112" t="s">
        <v>341</v>
      </c>
      <c r="E470" s="122">
        <v>1.399305555555556</v>
      </c>
      <c r="F470" s="112" t="s">
        <v>40</v>
      </c>
      <c r="G470" s="114">
        <v>20</v>
      </c>
      <c r="H470" s="115" t="s">
        <v>121</v>
      </c>
    </row>
    <row r="471" spans="1:8" ht="19.899999999999999" customHeight="1">
      <c r="A471" s="121">
        <v>46045</v>
      </c>
      <c r="B471" s="112" t="s">
        <v>38</v>
      </c>
      <c r="C471" s="113" t="s">
        <v>344</v>
      </c>
      <c r="D471" s="112" t="s">
        <v>341</v>
      </c>
      <c r="E471" s="122">
        <v>1.8888888888888891</v>
      </c>
      <c r="F471" s="112" t="s">
        <v>40</v>
      </c>
      <c r="G471" s="114">
        <v>17</v>
      </c>
      <c r="H471" s="115" t="s">
        <v>121</v>
      </c>
    </row>
    <row r="472" spans="1:8" ht="19.899999999999999" customHeight="1">
      <c r="A472" s="121">
        <v>46045</v>
      </c>
      <c r="B472" s="112" t="s">
        <v>38</v>
      </c>
      <c r="C472" s="113" t="s">
        <v>345</v>
      </c>
      <c r="D472" s="112" t="s">
        <v>341</v>
      </c>
      <c r="E472" s="122">
        <v>1.989583333333333</v>
      </c>
      <c r="F472" s="112" t="s">
        <v>40</v>
      </c>
      <c r="G472" s="114">
        <v>18</v>
      </c>
      <c r="H472" s="115" t="s">
        <v>121</v>
      </c>
    </row>
    <row r="473" spans="1:8" ht="19.899999999999999" customHeight="1">
      <c r="A473" s="121">
        <v>46045</v>
      </c>
      <c r="B473" s="112" t="s">
        <v>26</v>
      </c>
      <c r="C473" s="113" t="s">
        <v>348</v>
      </c>
      <c r="D473" s="112" t="s">
        <v>341</v>
      </c>
      <c r="E473" s="122">
        <v>1.993055555555556</v>
      </c>
      <c r="F473" s="112" t="s">
        <v>28</v>
      </c>
      <c r="G473" s="114">
        <v>1</v>
      </c>
      <c r="H473" s="115" t="s">
        <v>83</v>
      </c>
    </row>
    <row r="474" spans="1:8" ht="19.899999999999999" customHeight="1">
      <c r="A474" s="121">
        <v>46045</v>
      </c>
      <c r="B474" s="112" t="s">
        <v>359</v>
      </c>
      <c r="C474" s="113" t="s">
        <v>425</v>
      </c>
      <c r="D474" s="112" t="s">
        <v>341</v>
      </c>
      <c r="E474" s="122">
        <v>1.510416666666667</v>
      </c>
      <c r="F474" s="112" t="s">
        <v>361</v>
      </c>
      <c r="G474" s="114">
        <v>9</v>
      </c>
      <c r="H474" s="115" t="s">
        <v>504</v>
      </c>
    </row>
    <row r="475" spans="1:8" ht="19.899999999999999" customHeight="1">
      <c r="A475" s="121">
        <v>46045</v>
      </c>
      <c r="B475" s="112" t="s">
        <v>402</v>
      </c>
      <c r="C475" s="113" t="s">
        <v>403</v>
      </c>
      <c r="D475" s="112" t="s">
        <v>341</v>
      </c>
      <c r="E475" s="122">
        <v>1.493055555555556</v>
      </c>
      <c r="F475" s="112" t="s">
        <v>63</v>
      </c>
      <c r="G475" s="114">
        <v>4</v>
      </c>
      <c r="H475" s="115" t="s">
        <v>404</v>
      </c>
    </row>
    <row r="476" spans="1:8" ht="19.899999999999999" customHeight="1">
      <c r="A476" s="123">
        <v>46045</v>
      </c>
      <c r="B476" s="124" t="s">
        <v>61</v>
      </c>
      <c r="C476" s="125" t="s">
        <v>377</v>
      </c>
      <c r="D476" s="124" t="s">
        <v>341</v>
      </c>
      <c r="E476" s="126">
        <v>1.28125</v>
      </c>
      <c r="F476" s="124" t="s">
        <v>63</v>
      </c>
      <c r="G476" s="127">
        <v>5</v>
      </c>
      <c r="H476" s="128" t="s">
        <v>79</v>
      </c>
    </row>
    <row r="477" spans="1:8" ht="19.899999999999999" customHeight="1">
      <c r="A477" s="121">
        <v>46046</v>
      </c>
      <c r="B477" s="112" t="s">
        <v>359</v>
      </c>
      <c r="C477" s="113" t="s">
        <v>602</v>
      </c>
      <c r="D477" s="112" t="s">
        <v>601</v>
      </c>
      <c r="E477" s="122">
        <v>1.3611111111111109</v>
      </c>
      <c r="F477" s="112" t="s">
        <v>603</v>
      </c>
      <c r="G477" s="114">
        <v>9</v>
      </c>
      <c r="H477" s="115" t="s">
        <v>682</v>
      </c>
    </row>
    <row r="478" spans="1:8" ht="19.899999999999999" customHeight="1">
      <c r="A478" s="121">
        <v>46046</v>
      </c>
      <c r="B478" s="112" t="s">
        <v>359</v>
      </c>
      <c r="C478" s="113" t="s">
        <v>628</v>
      </c>
      <c r="D478" s="112" t="s">
        <v>601</v>
      </c>
      <c r="E478" s="122">
        <v>1.0277777777777779</v>
      </c>
      <c r="F478" s="112" t="s">
        <v>603</v>
      </c>
      <c r="G478" s="114">
        <v>9</v>
      </c>
      <c r="H478" s="115" t="s">
        <v>682</v>
      </c>
    </row>
    <row r="479" spans="1:8" ht="19.899999999999999" customHeight="1">
      <c r="A479" s="121">
        <v>46046</v>
      </c>
      <c r="B479" s="112" t="s">
        <v>38</v>
      </c>
      <c r="C479" s="113" t="s">
        <v>621</v>
      </c>
      <c r="D479" s="112" t="s">
        <v>601</v>
      </c>
      <c r="E479" s="122">
        <v>1.3611111111111109</v>
      </c>
      <c r="F479" s="112" t="s">
        <v>622</v>
      </c>
      <c r="G479" s="114">
        <v>14</v>
      </c>
      <c r="H479" s="115" t="s">
        <v>121</v>
      </c>
    </row>
    <row r="480" spans="1:8" ht="19.899999999999999" customHeight="1">
      <c r="A480" s="121">
        <v>46046</v>
      </c>
      <c r="B480" s="112" t="s">
        <v>359</v>
      </c>
      <c r="C480" s="113" t="s">
        <v>602</v>
      </c>
      <c r="D480" s="112" t="s">
        <v>601</v>
      </c>
      <c r="E480" s="122">
        <v>1.3611111111111109</v>
      </c>
      <c r="F480" s="112" t="s">
        <v>605</v>
      </c>
      <c r="G480" s="114">
        <v>9</v>
      </c>
      <c r="H480" s="115" t="s">
        <v>683</v>
      </c>
    </row>
    <row r="481" spans="1:8" ht="19.899999999999999" customHeight="1">
      <c r="A481" s="121">
        <v>46046</v>
      </c>
      <c r="B481" s="112" t="s">
        <v>359</v>
      </c>
      <c r="C481" s="113" t="s">
        <v>628</v>
      </c>
      <c r="D481" s="112" t="s">
        <v>601</v>
      </c>
      <c r="E481" s="122">
        <v>1.0277777777777779</v>
      </c>
      <c r="F481" s="112" t="s">
        <v>605</v>
      </c>
      <c r="G481" s="114">
        <v>9</v>
      </c>
      <c r="H481" s="115" t="s">
        <v>683</v>
      </c>
    </row>
    <row r="482" spans="1:8" ht="19.899999999999999" customHeight="1">
      <c r="A482" s="129">
        <v>46046</v>
      </c>
      <c r="B482" s="117" t="s">
        <v>61</v>
      </c>
      <c r="C482" s="118" t="s">
        <v>612</v>
      </c>
      <c r="D482" s="117" t="s">
        <v>601</v>
      </c>
      <c r="E482" s="130">
        <v>1.604166666666667</v>
      </c>
      <c r="F482" s="117" t="s">
        <v>63</v>
      </c>
      <c r="G482" s="119">
        <v>3</v>
      </c>
      <c r="H482" s="120" t="s">
        <v>79</v>
      </c>
    </row>
    <row r="483" spans="1:8" ht="19.899999999999999" customHeight="1">
      <c r="A483" s="129">
        <v>46046</v>
      </c>
      <c r="B483" s="117" t="s">
        <v>61</v>
      </c>
      <c r="C483" s="118" t="s">
        <v>629</v>
      </c>
      <c r="D483" s="117" t="s">
        <v>601</v>
      </c>
      <c r="E483" s="130">
        <v>1.270833333333333</v>
      </c>
      <c r="F483" s="117" t="s">
        <v>63</v>
      </c>
      <c r="G483" s="119">
        <v>7</v>
      </c>
      <c r="H483" s="120" t="s">
        <v>79</v>
      </c>
    </row>
    <row r="484" spans="1:8" ht="19.899999999999999" customHeight="1">
      <c r="A484" s="121">
        <v>46046</v>
      </c>
      <c r="B484" s="112" t="s">
        <v>38</v>
      </c>
      <c r="C484" s="113" t="s">
        <v>621</v>
      </c>
      <c r="D484" s="112" t="s">
        <v>601</v>
      </c>
      <c r="E484" s="122">
        <v>1.3611111111111109</v>
      </c>
      <c r="F484" s="112" t="s">
        <v>603</v>
      </c>
      <c r="G484" s="114">
        <v>14</v>
      </c>
      <c r="H484" s="115" t="s">
        <v>623</v>
      </c>
    </row>
    <row r="485" spans="1:8" ht="19.899999999999999" customHeight="1">
      <c r="A485" s="121">
        <v>46046</v>
      </c>
      <c r="B485" s="112" t="s">
        <v>38</v>
      </c>
      <c r="C485" s="113" t="s">
        <v>621</v>
      </c>
      <c r="D485" s="112" t="s">
        <v>601</v>
      </c>
      <c r="E485" s="122">
        <v>1.3611111111111109</v>
      </c>
      <c r="F485" s="112" t="s">
        <v>605</v>
      </c>
      <c r="G485" s="114">
        <v>14</v>
      </c>
      <c r="H485" s="115" t="s">
        <v>624</v>
      </c>
    </row>
    <row r="486" spans="1:8" ht="19.899999999999999" customHeight="1">
      <c r="A486" s="121">
        <v>46046</v>
      </c>
      <c r="B486" s="112" t="s">
        <v>359</v>
      </c>
      <c r="C486" s="113" t="s">
        <v>602</v>
      </c>
      <c r="D486" s="112" t="s">
        <v>601</v>
      </c>
      <c r="E486" s="122">
        <v>1.3611111111111109</v>
      </c>
      <c r="F486" s="112" t="s">
        <v>46</v>
      </c>
      <c r="G486" s="114">
        <v>9</v>
      </c>
      <c r="H486" s="115" t="s">
        <v>684</v>
      </c>
    </row>
    <row r="487" spans="1:8" ht="19.899999999999999" customHeight="1">
      <c r="A487" s="121">
        <v>46046</v>
      </c>
      <c r="B487" s="112" t="s">
        <v>359</v>
      </c>
      <c r="C487" s="113" t="s">
        <v>628</v>
      </c>
      <c r="D487" s="112" t="s">
        <v>601</v>
      </c>
      <c r="E487" s="122">
        <v>1.0277777777777779</v>
      </c>
      <c r="F487" s="112" t="s">
        <v>46</v>
      </c>
      <c r="G487" s="114">
        <v>9</v>
      </c>
      <c r="H487" s="115" t="s">
        <v>684</v>
      </c>
    </row>
    <row r="488" spans="1:8" ht="19.899999999999999" customHeight="1">
      <c r="A488" s="121">
        <v>46046</v>
      </c>
      <c r="B488" s="112" t="s">
        <v>38</v>
      </c>
      <c r="C488" s="113" t="s">
        <v>621</v>
      </c>
      <c r="D488" s="112" t="s">
        <v>601</v>
      </c>
      <c r="E488" s="122">
        <v>1.3611111111111109</v>
      </c>
      <c r="F488" s="112" t="s">
        <v>625</v>
      </c>
      <c r="G488" s="114">
        <v>14</v>
      </c>
      <c r="H488" s="115" t="s">
        <v>163</v>
      </c>
    </row>
    <row r="489" spans="1:8" ht="19.899999999999999" customHeight="1">
      <c r="A489" s="121">
        <v>46046</v>
      </c>
      <c r="B489" s="112" t="s">
        <v>48</v>
      </c>
      <c r="C489" s="113" t="s">
        <v>609</v>
      </c>
      <c r="D489" s="112" t="s">
        <v>601</v>
      </c>
      <c r="E489" s="122">
        <v>1.4513888888888891</v>
      </c>
      <c r="F489" s="112" t="s">
        <v>53</v>
      </c>
      <c r="G489" s="114">
        <v>9</v>
      </c>
      <c r="H489" s="115" t="s">
        <v>681</v>
      </c>
    </row>
    <row r="490" spans="1:8" ht="19.899999999999999" customHeight="1">
      <c r="A490" s="121">
        <v>46046</v>
      </c>
      <c r="B490" s="112" t="s">
        <v>48</v>
      </c>
      <c r="C490" s="113" t="s">
        <v>611</v>
      </c>
      <c r="D490" s="112" t="s">
        <v>601</v>
      </c>
      <c r="E490" s="122">
        <v>1.819444444444444</v>
      </c>
      <c r="F490" s="112" t="s">
        <v>53</v>
      </c>
      <c r="G490" s="114">
        <v>9</v>
      </c>
      <c r="H490" s="115" t="s">
        <v>681</v>
      </c>
    </row>
    <row r="491" spans="1:8" ht="19.899999999999999" customHeight="1">
      <c r="A491" s="143"/>
      <c r="B491" s="144"/>
      <c r="C491" s="144"/>
      <c r="D491" s="144"/>
      <c r="E491" s="144"/>
      <c r="F491" s="145" t="s">
        <v>705</v>
      </c>
      <c r="G491" s="144"/>
      <c r="H491" s="146"/>
    </row>
    <row r="492" spans="1:8" ht="19.899999999999999" customHeight="1">
      <c r="A492" s="121">
        <v>46046</v>
      </c>
      <c r="B492" s="112" t="s">
        <v>38</v>
      </c>
      <c r="C492" s="113" t="s">
        <v>346</v>
      </c>
      <c r="D492" s="112" t="s">
        <v>341</v>
      </c>
      <c r="E492" s="122">
        <v>1.399305555555556</v>
      </c>
      <c r="F492" s="112" t="s">
        <v>40</v>
      </c>
      <c r="G492" s="114">
        <v>11</v>
      </c>
      <c r="H492" s="115" t="s">
        <v>347</v>
      </c>
    </row>
    <row r="493" spans="1:8" ht="19.899999999999999" customHeight="1">
      <c r="A493" s="121">
        <v>46046</v>
      </c>
      <c r="B493" s="112" t="s">
        <v>38</v>
      </c>
      <c r="C493" s="113" t="s">
        <v>344</v>
      </c>
      <c r="D493" s="112" t="s">
        <v>341</v>
      </c>
      <c r="E493" s="122">
        <v>1.8888888888888891</v>
      </c>
      <c r="F493" s="112" t="s">
        <v>40</v>
      </c>
      <c r="G493" s="114">
        <v>16</v>
      </c>
      <c r="H493" s="115" t="s">
        <v>347</v>
      </c>
    </row>
    <row r="494" spans="1:8" ht="19.899999999999999" customHeight="1">
      <c r="A494" s="121">
        <v>46046</v>
      </c>
      <c r="B494" s="112" t="s">
        <v>38</v>
      </c>
      <c r="C494" s="113" t="s">
        <v>345</v>
      </c>
      <c r="D494" s="112" t="s">
        <v>341</v>
      </c>
      <c r="E494" s="122">
        <v>1.989583333333333</v>
      </c>
      <c r="F494" s="112" t="s">
        <v>40</v>
      </c>
      <c r="G494" s="114">
        <v>18</v>
      </c>
      <c r="H494" s="115" t="s">
        <v>347</v>
      </c>
    </row>
    <row r="495" spans="1:8" ht="19.899999999999999" customHeight="1">
      <c r="A495" s="121">
        <v>46046</v>
      </c>
      <c r="B495" s="112" t="s">
        <v>359</v>
      </c>
      <c r="C495" s="113" t="s">
        <v>360</v>
      </c>
      <c r="D495" s="112" t="s">
        <v>341</v>
      </c>
      <c r="E495" s="122">
        <v>1.1701388888888891</v>
      </c>
      <c r="F495" s="112" t="s">
        <v>361</v>
      </c>
      <c r="G495" s="114">
        <v>9</v>
      </c>
      <c r="H495" s="115" t="s">
        <v>534</v>
      </c>
    </row>
    <row r="496" spans="1:8" ht="19.899999999999999" customHeight="1">
      <c r="A496" s="121">
        <v>46046</v>
      </c>
      <c r="B496" s="112" t="s">
        <v>359</v>
      </c>
      <c r="C496" s="113" t="s">
        <v>445</v>
      </c>
      <c r="D496" s="112" t="s">
        <v>341</v>
      </c>
      <c r="E496" s="122">
        <v>1.055555555555556</v>
      </c>
      <c r="F496" s="112" t="s">
        <v>361</v>
      </c>
      <c r="G496" s="114">
        <v>9</v>
      </c>
      <c r="H496" s="115" t="s">
        <v>534</v>
      </c>
    </row>
    <row r="497" spans="1:8" ht="19.899999999999999" customHeight="1">
      <c r="A497" s="121">
        <v>46046</v>
      </c>
      <c r="B497" s="112" t="s">
        <v>38</v>
      </c>
      <c r="C497" s="113" t="s">
        <v>342</v>
      </c>
      <c r="D497" s="112" t="s">
        <v>341</v>
      </c>
      <c r="E497" s="122">
        <v>1.489583333333333</v>
      </c>
      <c r="F497" s="112" t="s">
        <v>40</v>
      </c>
      <c r="G497" s="114">
        <v>17</v>
      </c>
      <c r="H497" s="115" t="s">
        <v>121</v>
      </c>
    </row>
    <row r="498" spans="1:8" ht="19.899999999999999" customHeight="1">
      <c r="A498" s="121">
        <v>46046</v>
      </c>
      <c r="B498" s="112" t="s">
        <v>26</v>
      </c>
      <c r="C498" s="113" t="s">
        <v>348</v>
      </c>
      <c r="D498" s="112" t="s">
        <v>341</v>
      </c>
      <c r="E498" s="122">
        <v>1.993055555555556</v>
      </c>
      <c r="F498" s="112" t="s">
        <v>28</v>
      </c>
      <c r="G498" s="114">
        <v>2</v>
      </c>
      <c r="H498" s="115" t="s">
        <v>83</v>
      </c>
    </row>
    <row r="499" spans="1:8" ht="19.899999999999999" customHeight="1">
      <c r="A499" s="121">
        <v>46046</v>
      </c>
      <c r="B499" s="112" t="s">
        <v>26</v>
      </c>
      <c r="C499" s="113" t="s">
        <v>351</v>
      </c>
      <c r="D499" s="112" t="s">
        <v>341</v>
      </c>
      <c r="E499" s="122">
        <v>1.836805555555556</v>
      </c>
      <c r="F499" s="112" t="s">
        <v>28</v>
      </c>
      <c r="G499" s="114">
        <v>3</v>
      </c>
      <c r="H499" s="115" t="s">
        <v>83</v>
      </c>
    </row>
    <row r="500" spans="1:8" ht="19.899999999999999" customHeight="1">
      <c r="A500" s="121">
        <v>46046</v>
      </c>
      <c r="B500" s="112" t="s">
        <v>402</v>
      </c>
      <c r="C500" s="113" t="s">
        <v>403</v>
      </c>
      <c r="D500" s="112" t="s">
        <v>341</v>
      </c>
      <c r="E500" s="122">
        <v>1.493055555555556</v>
      </c>
      <c r="F500" s="112" t="s">
        <v>63</v>
      </c>
      <c r="G500" s="114">
        <v>5</v>
      </c>
      <c r="H500" s="115" t="s">
        <v>404</v>
      </c>
    </row>
    <row r="501" spans="1:8" ht="19.899999999999999" customHeight="1">
      <c r="A501" s="123">
        <v>46046</v>
      </c>
      <c r="B501" s="124" t="s">
        <v>61</v>
      </c>
      <c r="C501" s="125" t="s">
        <v>364</v>
      </c>
      <c r="D501" s="124" t="s">
        <v>341</v>
      </c>
      <c r="E501" s="126">
        <v>1.90625</v>
      </c>
      <c r="F501" s="124" t="s">
        <v>63</v>
      </c>
      <c r="G501" s="127">
        <v>4</v>
      </c>
      <c r="H501" s="128" t="s">
        <v>79</v>
      </c>
    </row>
    <row r="502" spans="1:8" ht="19.899999999999999" customHeight="1">
      <c r="A502" s="121">
        <v>46047</v>
      </c>
      <c r="B502" s="112" t="s">
        <v>359</v>
      </c>
      <c r="C502" s="113" t="s">
        <v>602</v>
      </c>
      <c r="D502" s="112" t="s">
        <v>601</v>
      </c>
      <c r="E502" s="122">
        <v>1.3611111111111109</v>
      </c>
      <c r="F502" s="112" t="s">
        <v>603</v>
      </c>
      <c r="G502" s="114">
        <v>9</v>
      </c>
      <c r="H502" s="115" t="s">
        <v>682</v>
      </c>
    </row>
    <row r="503" spans="1:8" ht="19.899999999999999" customHeight="1">
      <c r="A503" s="129">
        <v>46047</v>
      </c>
      <c r="B503" s="117" t="s">
        <v>61</v>
      </c>
      <c r="C503" s="118" t="s">
        <v>612</v>
      </c>
      <c r="D503" s="117" t="s">
        <v>601</v>
      </c>
      <c r="E503" s="130">
        <v>1.4965277777777779</v>
      </c>
      <c r="F503" s="117" t="s">
        <v>63</v>
      </c>
      <c r="G503" s="119">
        <v>9</v>
      </c>
      <c r="H503" s="120" t="s">
        <v>79</v>
      </c>
    </row>
    <row r="504" spans="1:8" ht="19.899999999999999" customHeight="1">
      <c r="A504" s="129">
        <v>46047</v>
      </c>
      <c r="B504" s="117" t="s">
        <v>61</v>
      </c>
      <c r="C504" s="118" t="s">
        <v>629</v>
      </c>
      <c r="D504" s="117" t="s">
        <v>601</v>
      </c>
      <c r="E504" s="130">
        <v>1.5798611111111109</v>
      </c>
      <c r="F504" s="117" t="s">
        <v>63</v>
      </c>
      <c r="G504" s="119">
        <v>7</v>
      </c>
      <c r="H504" s="120" t="s">
        <v>79</v>
      </c>
    </row>
    <row r="505" spans="1:8" ht="19.899999999999999" customHeight="1">
      <c r="A505" s="121">
        <v>46047</v>
      </c>
      <c r="B505" s="112" t="s">
        <v>359</v>
      </c>
      <c r="C505" s="113" t="s">
        <v>602</v>
      </c>
      <c r="D505" s="112" t="s">
        <v>601</v>
      </c>
      <c r="E505" s="122">
        <v>1.3611111111111109</v>
      </c>
      <c r="F505" s="112" t="s">
        <v>46</v>
      </c>
      <c r="G505" s="114">
        <v>9</v>
      </c>
      <c r="H505" s="115" t="s">
        <v>684</v>
      </c>
    </row>
    <row r="506" spans="1:8" ht="19.899999999999999" customHeight="1">
      <c r="A506" s="121">
        <v>46047</v>
      </c>
      <c r="B506" s="112" t="s">
        <v>48</v>
      </c>
      <c r="C506" s="113" t="s">
        <v>611</v>
      </c>
      <c r="D506" s="112" t="s">
        <v>601</v>
      </c>
      <c r="E506" s="122">
        <v>1.819444444444444</v>
      </c>
      <c r="F506" s="112" t="s">
        <v>53</v>
      </c>
      <c r="G506" s="114">
        <v>9</v>
      </c>
      <c r="H506" s="115" t="s">
        <v>681</v>
      </c>
    </row>
    <row r="507" spans="1:8" ht="19.899999999999999" customHeight="1">
      <c r="A507" s="143"/>
      <c r="B507" s="144"/>
      <c r="C507" s="144"/>
      <c r="D507" s="144"/>
      <c r="E507" s="144"/>
      <c r="F507" s="145" t="s">
        <v>705</v>
      </c>
      <c r="G507" s="144"/>
      <c r="H507" s="146"/>
    </row>
    <row r="508" spans="1:8" ht="19.899999999999999" customHeight="1">
      <c r="A508" s="121">
        <v>46047</v>
      </c>
      <c r="B508" s="112" t="s">
        <v>38</v>
      </c>
      <c r="C508" s="113" t="s">
        <v>342</v>
      </c>
      <c r="D508" s="112" t="s">
        <v>341</v>
      </c>
      <c r="E508" s="122">
        <v>1.489583333333333</v>
      </c>
      <c r="F508" s="112" t="s">
        <v>40</v>
      </c>
      <c r="G508" s="114">
        <v>14</v>
      </c>
      <c r="H508" s="115" t="s">
        <v>81</v>
      </c>
    </row>
    <row r="509" spans="1:8" ht="19.899999999999999" customHeight="1">
      <c r="A509" s="121">
        <v>46047</v>
      </c>
      <c r="B509" s="112" t="s">
        <v>38</v>
      </c>
      <c r="C509" s="113" t="s">
        <v>346</v>
      </c>
      <c r="D509" s="112" t="s">
        <v>341</v>
      </c>
      <c r="E509" s="122">
        <v>1.399305555555556</v>
      </c>
      <c r="F509" s="112" t="s">
        <v>40</v>
      </c>
      <c r="G509" s="114">
        <v>20</v>
      </c>
      <c r="H509" s="115" t="s">
        <v>347</v>
      </c>
    </row>
    <row r="510" spans="1:8" ht="19.899999999999999" customHeight="1">
      <c r="A510" s="121">
        <v>46047</v>
      </c>
      <c r="B510" s="112" t="s">
        <v>38</v>
      </c>
      <c r="C510" s="113" t="s">
        <v>344</v>
      </c>
      <c r="D510" s="112" t="s">
        <v>341</v>
      </c>
      <c r="E510" s="122">
        <v>1.8888888888888891</v>
      </c>
      <c r="F510" s="112" t="s">
        <v>40</v>
      </c>
      <c r="G510" s="114">
        <v>20</v>
      </c>
      <c r="H510" s="115" t="s">
        <v>347</v>
      </c>
    </row>
    <row r="511" spans="1:8" ht="19.899999999999999" customHeight="1">
      <c r="A511" s="121">
        <v>46047</v>
      </c>
      <c r="B511" s="112" t="s">
        <v>38</v>
      </c>
      <c r="C511" s="113" t="s">
        <v>345</v>
      </c>
      <c r="D511" s="112" t="s">
        <v>341</v>
      </c>
      <c r="E511" s="122">
        <v>1.989583333333333</v>
      </c>
      <c r="F511" s="112" t="s">
        <v>40</v>
      </c>
      <c r="G511" s="114">
        <v>19</v>
      </c>
      <c r="H511" s="115" t="s">
        <v>347</v>
      </c>
    </row>
    <row r="512" spans="1:8" ht="19.899999999999999" customHeight="1">
      <c r="A512" s="121">
        <v>46047</v>
      </c>
      <c r="B512" s="112" t="s">
        <v>359</v>
      </c>
      <c r="C512" s="113" t="s">
        <v>360</v>
      </c>
      <c r="D512" s="112" t="s">
        <v>341</v>
      </c>
      <c r="E512" s="122">
        <v>1.229166666666667</v>
      </c>
      <c r="F512" s="112" t="s">
        <v>361</v>
      </c>
      <c r="G512" s="114">
        <v>9</v>
      </c>
      <c r="H512" s="115" t="s">
        <v>534</v>
      </c>
    </row>
    <row r="513" spans="1:8" ht="19.899999999999999" customHeight="1">
      <c r="A513" s="121">
        <v>46047</v>
      </c>
      <c r="B513" s="112" t="s">
        <v>61</v>
      </c>
      <c r="C513" s="113" t="s">
        <v>432</v>
      </c>
      <c r="D513" s="112" t="s">
        <v>341</v>
      </c>
      <c r="E513" s="122">
        <v>1.333333333333333</v>
      </c>
      <c r="F513" s="112" t="s">
        <v>63</v>
      </c>
      <c r="G513" s="114">
        <v>1</v>
      </c>
      <c r="H513" s="115" t="s">
        <v>365</v>
      </c>
    </row>
    <row r="514" spans="1:8" ht="19.899999999999999" customHeight="1">
      <c r="A514" s="121">
        <v>46047</v>
      </c>
      <c r="B514" s="112" t="s">
        <v>26</v>
      </c>
      <c r="C514" s="113" t="s">
        <v>354</v>
      </c>
      <c r="D514" s="112" t="s">
        <v>341</v>
      </c>
      <c r="E514" s="122">
        <v>1.3472222222222221</v>
      </c>
      <c r="F514" s="112" t="s">
        <v>28</v>
      </c>
      <c r="G514" s="114">
        <v>1</v>
      </c>
      <c r="H514" s="115" t="s">
        <v>83</v>
      </c>
    </row>
    <row r="515" spans="1:8" ht="19.899999999999999" customHeight="1">
      <c r="A515" s="121">
        <v>46047</v>
      </c>
      <c r="B515" s="112" t="s">
        <v>26</v>
      </c>
      <c r="C515" s="113" t="s">
        <v>348</v>
      </c>
      <c r="D515" s="112" t="s">
        <v>341</v>
      </c>
      <c r="E515" s="122">
        <v>1.993055555555556</v>
      </c>
      <c r="F515" s="112" t="s">
        <v>28</v>
      </c>
      <c r="G515" s="114">
        <v>2</v>
      </c>
      <c r="H515" s="115" t="s">
        <v>83</v>
      </c>
    </row>
    <row r="516" spans="1:8" ht="19.899999999999999" customHeight="1">
      <c r="A516" s="121">
        <v>46047</v>
      </c>
      <c r="B516" s="112" t="s">
        <v>26</v>
      </c>
      <c r="C516" s="113" t="s">
        <v>350</v>
      </c>
      <c r="D516" s="112" t="s">
        <v>341</v>
      </c>
      <c r="E516" s="122">
        <v>1.7361111111111109</v>
      </c>
      <c r="F516" s="112" t="s">
        <v>28</v>
      </c>
      <c r="G516" s="114">
        <v>1</v>
      </c>
      <c r="H516" s="115" t="s">
        <v>83</v>
      </c>
    </row>
    <row r="517" spans="1:8" ht="19.899999999999999" customHeight="1">
      <c r="A517" s="123">
        <v>46047</v>
      </c>
      <c r="B517" s="124" t="s">
        <v>26</v>
      </c>
      <c r="C517" s="125" t="s">
        <v>353</v>
      </c>
      <c r="D517" s="124" t="s">
        <v>341</v>
      </c>
      <c r="E517" s="126">
        <v>1.8888888888888891</v>
      </c>
      <c r="F517" s="124" t="s">
        <v>28</v>
      </c>
      <c r="G517" s="127">
        <v>3</v>
      </c>
      <c r="H517" s="128" t="s">
        <v>83</v>
      </c>
    </row>
    <row r="518" spans="1:8" ht="19.899999999999999" customHeight="1">
      <c r="A518" s="121">
        <v>46048</v>
      </c>
      <c r="B518" s="112" t="s">
        <v>359</v>
      </c>
      <c r="C518" s="113" t="s">
        <v>637</v>
      </c>
      <c r="D518" s="112" t="s">
        <v>601</v>
      </c>
      <c r="E518" s="122">
        <v>1.1284722222222221</v>
      </c>
      <c r="F518" s="112" t="s">
        <v>603</v>
      </c>
      <c r="G518" s="114">
        <v>9</v>
      </c>
      <c r="H518" s="115" t="s">
        <v>677</v>
      </c>
    </row>
    <row r="519" spans="1:8" ht="19.899999999999999" customHeight="1">
      <c r="A519" s="121">
        <v>46048</v>
      </c>
      <c r="B519" s="112" t="s">
        <v>359</v>
      </c>
      <c r="C519" s="113" t="s">
        <v>637</v>
      </c>
      <c r="D519" s="112" t="s">
        <v>601</v>
      </c>
      <c r="E519" s="122">
        <v>1.1284722222222221</v>
      </c>
      <c r="F519" s="112" t="s">
        <v>605</v>
      </c>
      <c r="G519" s="114">
        <v>9</v>
      </c>
      <c r="H519" s="115" t="s">
        <v>678</v>
      </c>
    </row>
    <row r="520" spans="1:8" ht="19.899999999999999" customHeight="1">
      <c r="A520" s="129">
        <v>46048</v>
      </c>
      <c r="B520" s="117" t="s">
        <v>61</v>
      </c>
      <c r="C520" s="118" t="s">
        <v>612</v>
      </c>
      <c r="D520" s="117" t="s">
        <v>601</v>
      </c>
      <c r="E520" s="130">
        <v>1.458333333333333</v>
      </c>
      <c r="F520" s="117" t="s">
        <v>63</v>
      </c>
      <c r="G520" s="119">
        <v>8</v>
      </c>
      <c r="H520" s="120" t="s">
        <v>79</v>
      </c>
    </row>
    <row r="521" spans="1:8" ht="19.899999999999999" customHeight="1">
      <c r="A521" s="129">
        <v>46048</v>
      </c>
      <c r="B521" s="117" t="s">
        <v>61</v>
      </c>
      <c r="C521" s="118" t="s">
        <v>629</v>
      </c>
      <c r="D521" s="117" t="s">
        <v>601</v>
      </c>
      <c r="E521" s="130">
        <v>1.149305555555556</v>
      </c>
      <c r="F521" s="117" t="s">
        <v>63</v>
      </c>
      <c r="G521" s="119">
        <v>9</v>
      </c>
      <c r="H521" s="120" t="s">
        <v>79</v>
      </c>
    </row>
    <row r="522" spans="1:8" ht="19.899999999999999" customHeight="1">
      <c r="A522" s="121">
        <v>46048</v>
      </c>
      <c r="B522" s="112" t="s">
        <v>359</v>
      </c>
      <c r="C522" s="113" t="s">
        <v>637</v>
      </c>
      <c r="D522" s="112" t="s">
        <v>601</v>
      </c>
      <c r="E522" s="122">
        <v>1.1284722222222221</v>
      </c>
      <c r="F522" s="112" t="s">
        <v>46</v>
      </c>
      <c r="G522" s="114">
        <v>9</v>
      </c>
      <c r="H522" s="115" t="s">
        <v>679</v>
      </c>
    </row>
    <row r="523" spans="1:8" ht="19.899999999999999" customHeight="1">
      <c r="A523" s="121">
        <v>46048</v>
      </c>
      <c r="B523" s="112" t="s">
        <v>48</v>
      </c>
      <c r="C523" s="113" t="s">
        <v>611</v>
      </c>
      <c r="D523" s="112" t="s">
        <v>601</v>
      </c>
      <c r="E523" s="122">
        <v>1.819444444444444</v>
      </c>
      <c r="F523" s="112" t="s">
        <v>53</v>
      </c>
      <c r="G523" s="114">
        <v>9</v>
      </c>
      <c r="H523" s="115" t="s">
        <v>681</v>
      </c>
    </row>
    <row r="524" spans="1:8" ht="19.899999999999999" customHeight="1">
      <c r="A524" s="143"/>
      <c r="B524" s="144"/>
      <c r="C524" s="144"/>
      <c r="D524" s="144"/>
      <c r="E524" s="144"/>
      <c r="F524" s="145" t="s">
        <v>705</v>
      </c>
      <c r="G524" s="144"/>
      <c r="H524" s="146"/>
    </row>
    <row r="525" spans="1:8" ht="19.899999999999999" customHeight="1">
      <c r="A525" s="121">
        <v>46048</v>
      </c>
      <c r="B525" s="112" t="s">
        <v>38</v>
      </c>
      <c r="C525" s="113" t="s">
        <v>342</v>
      </c>
      <c r="D525" s="112" t="s">
        <v>341</v>
      </c>
      <c r="E525" s="122">
        <v>1.489583333333333</v>
      </c>
      <c r="F525" s="112" t="s">
        <v>40</v>
      </c>
      <c r="G525" s="114">
        <v>16</v>
      </c>
      <c r="H525" s="115" t="s">
        <v>81</v>
      </c>
    </row>
    <row r="526" spans="1:8" ht="19.899999999999999" customHeight="1">
      <c r="A526" s="121">
        <v>46048</v>
      </c>
      <c r="B526" s="112" t="s">
        <v>38</v>
      </c>
      <c r="C526" s="113" t="s">
        <v>346</v>
      </c>
      <c r="D526" s="112" t="s">
        <v>341</v>
      </c>
      <c r="E526" s="122">
        <v>1.399305555555556</v>
      </c>
      <c r="F526" s="112" t="s">
        <v>40</v>
      </c>
      <c r="G526" s="114">
        <v>20</v>
      </c>
      <c r="H526" s="115" t="s">
        <v>347</v>
      </c>
    </row>
    <row r="527" spans="1:8" ht="19.899999999999999" customHeight="1">
      <c r="A527" s="121">
        <v>46048</v>
      </c>
      <c r="B527" s="112" t="s">
        <v>38</v>
      </c>
      <c r="C527" s="113" t="s">
        <v>344</v>
      </c>
      <c r="D527" s="112" t="s">
        <v>341</v>
      </c>
      <c r="E527" s="122">
        <v>1.8888888888888891</v>
      </c>
      <c r="F527" s="112" t="s">
        <v>40</v>
      </c>
      <c r="G527" s="114">
        <v>20</v>
      </c>
      <c r="H527" s="115" t="s">
        <v>347</v>
      </c>
    </row>
    <row r="528" spans="1:8" ht="19.899999999999999" customHeight="1">
      <c r="A528" s="121">
        <v>46048</v>
      </c>
      <c r="B528" s="112" t="s">
        <v>38</v>
      </c>
      <c r="C528" s="113" t="s">
        <v>345</v>
      </c>
      <c r="D528" s="112" t="s">
        <v>341</v>
      </c>
      <c r="E528" s="122">
        <v>1.989583333333333</v>
      </c>
      <c r="F528" s="112" t="s">
        <v>40</v>
      </c>
      <c r="G528" s="114">
        <v>20</v>
      </c>
      <c r="H528" s="115" t="s">
        <v>347</v>
      </c>
    </row>
    <row r="529" spans="1:8" ht="19.899999999999999" customHeight="1">
      <c r="A529" s="121">
        <v>46048</v>
      </c>
      <c r="B529" s="112" t="s">
        <v>359</v>
      </c>
      <c r="C529" s="113" t="s">
        <v>360</v>
      </c>
      <c r="D529" s="112" t="s">
        <v>341</v>
      </c>
      <c r="E529" s="122">
        <v>1.225694444444444</v>
      </c>
      <c r="F529" s="112" t="s">
        <v>361</v>
      </c>
      <c r="G529" s="114">
        <v>9</v>
      </c>
      <c r="H529" s="115" t="s">
        <v>525</v>
      </c>
    </row>
    <row r="530" spans="1:8" ht="19.899999999999999" customHeight="1">
      <c r="A530" s="121">
        <v>46048</v>
      </c>
      <c r="B530" s="112" t="s">
        <v>359</v>
      </c>
      <c r="C530" s="113" t="s">
        <v>445</v>
      </c>
      <c r="D530" s="112" t="s">
        <v>341</v>
      </c>
      <c r="E530" s="122">
        <v>1.0138888888888891</v>
      </c>
      <c r="F530" s="112" t="s">
        <v>361</v>
      </c>
      <c r="G530" s="114">
        <v>9</v>
      </c>
      <c r="H530" s="115" t="s">
        <v>525</v>
      </c>
    </row>
    <row r="531" spans="1:8" ht="19.899999999999999" customHeight="1">
      <c r="A531" s="121">
        <v>46048</v>
      </c>
      <c r="B531" s="112" t="s">
        <v>26</v>
      </c>
      <c r="C531" s="113" t="s">
        <v>348</v>
      </c>
      <c r="D531" s="112" t="s">
        <v>341</v>
      </c>
      <c r="E531" s="122">
        <v>1.993055555555556</v>
      </c>
      <c r="F531" s="112" t="s">
        <v>28</v>
      </c>
      <c r="G531" s="114">
        <v>4</v>
      </c>
      <c r="H531" s="115" t="s">
        <v>83</v>
      </c>
    </row>
    <row r="532" spans="1:8" ht="19.899999999999999" customHeight="1">
      <c r="A532" s="121">
        <v>46048</v>
      </c>
      <c r="B532" s="112" t="s">
        <v>26</v>
      </c>
      <c r="C532" s="113" t="s">
        <v>351</v>
      </c>
      <c r="D532" s="112" t="s">
        <v>341</v>
      </c>
      <c r="E532" s="122">
        <v>1.836805555555556</v>
      </c>
      <c r="F532" s="112" t="s">
        <v>28</v>
      </c>
      <c r="G532" s="114">
        <v>2</v>
      </c>
      <c r="H532" s="115" t="s">
        <v>83</v>
      </c>
    </row>
    <row r="533" spans="1:8" ht="19.899999999999999" customHeight="1">
      <c r="A533" s="121">
        <v>46048</v>
      </c>
      <c r="B533" s="112" t="s">
        <v>26</v>
      </c>
      <c r="C533" s="113" t="s">
        <v>353</v>
      </c>
      <c r="D533" s="112" t="s">
        <v>341</v>
      </c>
      <c r="E533" s="122">
        <v>1.8888888888888891</v>
      </c>
      <c r="F533" s="112" t="s">
        <v>28</v>
      </c>
      <c r="G533" s="114">
        <v>4</v>
      </c>
      <c r="H533" s="115" t="s">
        <v>83</v>
      </c>
    </row>
    <row r="534" spans="1:8" ht="19.899999999999999" customHeight="1">
      <c r="A534" s="123">
        <v>46048</v>
      </c>
      <c r="B534" s="124" t="s">
        <v>402</v>
      </c>
      <c r="C534" s="125" t="s">
        <v>403</v>
      </c>
      <c r="D534" s="124" t="s">
        <v>341</v>
      </c>
      <c r="E534" s="126">
        <v>1.493055555555556</v>
      </c>
      <c r="F534" s="124" t="s">
        <v>63</v>
      </c>
      <c r="G534" s="127">
        <v>5</v>
      </c>
      <c r="H534" s="128" t="s">
        <v>404</v>
      </c>
    </row>
    <row r="535" spans="1:8" ht="19.899999999999999" customHeight="1">
      <c r="A535" s="121">
        <v>46049</v>
      </c>
      <c r="B535" s="112" t="s">
        <v>359</v>
      </c>
      <c r="C535" s="113" t="s">
        <v>602</v>
      </c>
      <c r="D535" s="112" t="s">
        <v>601</v>
      </c>
      <c r="E535" s="122">
        <v>1.3611111111111109</v>
      </c>
      <c r="F535" s="112" t="s">
        <v>603</v>
      </c>
      <c r="G535" s="114">
        <v>9</v>
      </c>
      <c r="H535" s="115" t="s">
        <v>677</v>
      </c>
    </row>
    <row r="536" spans="1:8" ht="19.899999999999999" customHeight="1">
      <c r="A536" s="121">
        <v>46049</v>
      </c>
      <c r="B536" s="112" t="s">
        <v>359</v>
      </c>
      <c r="C536" s="113" t="s">
        <v>616</v>
      </c>
      <c r="D536" s="112" t="s">
        <v>601</v>
      </c>
      <c r="E536" s="122">
        <v>1.010416666666667</v>
      </c>
      <c r="F536" s="112" t="s">
        <v>603</v>
      </c>
      <c r="G536" s="114">
        <v>9</v>
      </c>
      <c r="H536" s="115" t="s">
        <v>677</v>
      </c>
    </row>
    <row r="537" spans="1:8" ht="19.899999999999999" customHeight="1">
      <c r="A537" s="121">
        <v>46049</v>
      </c>
      <c r="B537" s="112" t="s">
        <v>38</v>
      </c>
      <c r="C537" s="113" t="s">
        <v>621</v>
      </c>
      <c r="D537" s="112" t="s">
        <v>601</v>
      </c>
      <c r="E537" s="122">
        <v>1.3611111111111109</v>
      </c>
      <c r="F537" s="112" t="s">
        <v>622</v>
      </c>
      <c r="G537" s="114">
        <v>19</v>
      </c>
      <c r="H537" s="115" t="s">
        <v>121</v>
      </c>
    </row>
    <row r="538" spans="1:8" ht="19.899999999999999" customHeight="1">
      <c r="A538" s="121">
        <v>46049</v>
      </c>
      <c r="B538" s="112" t="s">
        <v>359</v>
      </c>
      <c r="C538" s="113" t="s">
        <v>602</v>
      </c>
      <c r="D538" s="112" t="s">
        <v>601</v>
      </c>
      <c r="E538" s="122">
        <v>1.3611111111111109</v>
      </c>
      <c r="F538" s="112" t="s">
        <v>605</v>
      </c>
      <c r="G538" s="114">
        <v>9</v>
      </c>
      <c r="H538" s="115" t="s">
        <v>678</v>
      </c>
    </row>
    <row r="539" spans="1:8" ht="19.899999999999999" customHeight="1">
      <c r="A539" s="121">
        <v>46049</v>
      </c>
      <c r="B539" s="112" t="s">
        <v>359</v>
      </c>
      <c r="C539" s="113" t="s">
        <v>616</v>
      </c>
      <c r="D539" s="112" t="s">
        <v>601</v>
      </c>
      <c r="E539" s="122">
        <v>1.010416666666667</v>
      </c>
      <c r="F539" s="112" t="s">
        <v>605</v>
      </c>
      <c r="G539" s="114">
        <v>9</v>
      </c>
      <c r="H539" s="115" t="s">
        <v>678</v>
      </c>
    </row>
    <row r="540" spans="1:8" ht="19.899999999999999" customHeight="1">
      <c r="A540" s="129">
        <v>46049</v>
      </c>
      <c r="B540" s="117" t="s">
        <v>61</v>
      </c>
      <c r="C540" s="118" t="s">
        <v>612</v>
      </c>
      <c r="D540" s="117" t="s">
        <v>601</v>
      </c>
      <c r="E540" s="130">
        <v>1.520833333333333</v>
      </c>
      <c r="F540" s="117" t="s">
        <v>63</v>
      </c>
      <c r="G540" s="119">
        <v>9</v>
      </c>
      <c r="H540" s="120" t="s">
        <v>79</v>
      </c>
    </row>
    <row r="541" spans="1:8" ht="19.899999999999999" customHeight="1">
      <c r="A541" s="121">
        <v>46049</v>
      </c>
      <c r="B541" s="112" t="s">
        <v>38</v>
      </c>
      <c r="C541" s="113" t="s">
        <v>621</v>
      </c>
      <c r="D541" s="112" t="s">
        <v>601</v>
      </c>
      <c r="E541" s="122">
        <v>1.3611111111111109</v>
      </c>
      <c r="F541" s="112" t="s">
        <v>603</v>
      </c>
      <c r="G541" s="114">
        <v>19</v>
      </c>
      <c r="H541" s="115" t="s">
        <v>623</v>
      </c>
    </row>
    <row r="542" spans="1:8" ht="19.899999999999999" customHeight="1">
      <c r="A542" s="121">
        <v>46049</v>
      </c>
      <c r="B542" s="112" t="s">
        <v>38</v>
      </c>
      <c r="C542" s="113" t="s">
        <v>621</v>
      </c>
      <c r="D542" s="112" t="s">
        <v>601</v>
      </c>
      <c r="E542" s="122">
        <v>1.3611111111111109</v>
      </c>
      <c r="F542" s="112" t="s">
        <v>605</v>
      </c>
      <c r="G542" s="114">
        <v>19</v>
      </c>
      <c r="H542" s="115" t="s">
        <v>624</v>
      </c>
    </row>
    <row r="543" spans="1:8" ht="19.899999999999999" customHeight="1">
      <c r="A543" s="121">
        <v>46049</v>
      </c>
      <c r="B543" s="112" t="s">
        <v>359</v>
      </c>
      <c r="C543" s="113" t="s">
        <v>602</v>
      </c>
      <c r="D543" s="112" t="s">
        <v>601</v>
      </c>
      <c r="E543" s="122">
        <v>1.3611111111111109</v>
      </c>
      <c r="F543" s="112" t="s">
        <v>46</v>
      </c>
      <c r="G543" s="114">
        <v>9</v>
      </c>
      <c r="H543" s="115" t="s">
        <v>679</v>
      </c>
    </row>
    <row r="544" spans="1:8" ht="19.899999999999999" customHeight="1">
      <c r="A544" s="121">
        <v>46049</v>
      </c>
      <c r="B544" s="112" t="s">
        <v>359</v>
      </c>
      <c r="C544" s="113" t="s">
        <v>616</v>
      </c>
      <c r="D544" s="112" t="s">
        <v>601</v>
      </c>
      <c r="E544" s="122">
        <v>1.010416666666667</v>
      </c>
      <c r="F544" s="112" t="s">
        <v>46</v>
      </c>
      <c r="G544" s="114">
        <v>9</v>
      </c>
      <c r="H544" s="115" t="s">
        <v>679</v>
      </c>
    </row>
    <row r="545" spans="1:8" ht="19.899999999999999" customHeight="1">
      <c r="A545" s="121">
        <v>46049</v>
      </c>
      <c r="B545" s="112" t="s">
        <v>38</v>
      </c>
      <c r="C545" s="113" t="s">
        <v>621</v>
      </c>
      <c r="D545" s="112" t="s">
        <v>601</v>
      </c>
      <c r="E545" s="122">
        <v>1.3611111111111109</v>
      </c>
      <c r="F545" s="112" t="s">
        <v>625</v>
      </c>
      <c r="G545" s="114">
        <v>19</v>
      </c>
      <c r="H545" s="115" t="s">
        <v>163</v>
      </c>
    </row>
    <row r="546" spans="1:8" ht="19.899999999999999" customHeight="1">
      <c r="A546" s="121">
        <v>46049</v>
      </c>
      <c r="B546" s="112" t="s">
        <v>48</v>
      </c>
      <c r="C546" s="113" t="s">
        <v>609</v>
      </c>
      <c r="D546" s="112" t="s">
        <v>601</v>
      </c>
      <c r="E546" s="122">
        <v>1.4513888888888891</v>
      </c>
      <c r="F546" s="112" t="s">
        <v>53</v>
      </c>
      <c r="G546" s="114">
        <v>9</v>
      </c>
      <c r="H546" s="115" t="s">
        <v>681</v>
      </c>
    </row>
    <row r="547" spans="1:8" ht="19.899999999999999" customHeight="1">
      <c r="A547" s="121">
        <v>46049</v>
      </c>
      <c r="B547" s="112" t="s">
        <v>48</v>
      </c>
      <c r="C547" s="113" t="s">
        <v>611</v>
      </c>
      <c r="D547" s="112" t="s">
        <v>601</v>
      </c>
      <c r="E547" s="122">
        <v>1.819444444444444</v>
      </c>
      <c r="F547" s="112" t="s">
        <v>53</v>
      </c>
      <c r="G547" s="114">
        <v>9</v>
      </c>
      <c r="H547" s="115" t="s">
        <v>681</v>
      </c>
    </row>
    <row r="548" spans="1:8" ht="19.899999999999999" customHeight="1">
      <c r="A548" s="143"/>
      <c r="B548" s="144"/>
      <c r="C548" s="144"/>
      <c r="D548" s="144"/>
      <c r="E548" s="144"/>
      <c r="F548" s="145" t="s">
        <v>705</v>
      </c>
      <c r="G548" s="144"/>
      <c r="H548" s="146"/>
    </row>
    <row r="549" spans="1:8" ht="19.899999999999999" customHeight="1">
      <c r="A549" s="121">
        <v>46049</v>
      </c>
      <c r="B549" s="112" t="s">
        <v>38</v>
      </c>
      <c r="C549" s="113" t="s">
        <v>342</v>
      </c>
      <c r="D549" s="112" t="s">
        <v>341</v>
      </c>
      <c r="E549" s="122">
        <v>1.489583333333333</v>
      </c>
      <c r="F549" s="112" t="s">
        <v>40</v>
      </c>
      <c r="G549" s="114">
        <v>14</v>
      </c>
      <c r="H549" s="115" t="s">
        <v>81</v>
      </c>
    </row>
    <row r="550" spans="1:8" ht="19.899999999999999" customHeight="1">
      <c r="A550" s="121">
        <v>46049</v>
      </c>
      <c r="B550" s="112" t="s">
        <v>38</v>
      </c>
      <c r="C550" s="113" t="s">
        <v>346</v>
      </c>
      <c r="D550" s="112" t="s">
        <v>341</v>
      </c>
      <c r="E550" s="122">
        <v>1.399305555555556</v>
      </c>
      <c r="F550" s="112" t="s">
        <v>40</v>
      </c>
      <c r="G550" s="114">
        <v>20</v>
      </c>
      <c r="H550" s="115" t="s">
        <v>347</v>
      </c>
    </row>
    <row r="551" spans="1:8" ht="19.899999999999999" customHeight="1">
      <c r="A551" s="121">
        <v>46049</v>
      </c>
      <c r="B551" s="112" t="s">
        <v>38</v>
      </c>
      <c r="C551" s="113" t="s">
        <v>344</v>
      </c>
      <c r="D551" s="112" t="s">
        <v>341</v>
      </c>
      <c r="E551" s="122">
        <v>1.8888888888888891</v>
      </c>
      <c r="F551" s="112" t="s">
        <v>40</v>
      </c>
      <c r="G551" s="114">
        <v>20</v>
      </c>
      <c r="H551" s="115" t="s">
        <v>347</v>
      </c>
    </row>
    <row r="552" spans="1:8" ht="19.899999999999999" customHeight="1">
      <c r="A552" s="121">
        <v>46049</v>
      </c>
      <c r="B552" s="112" t="s">
        <v>38</v>
      </c>
      <c r="C552" s="113" t="s">
        <v>345</v>
      </c>
      <c r="D552" s="112" t="s">
        <v>341</v>
      </c>
      <c r="E552" s="122">
        <v>1.989583333333333</v>
      </c>
      <c r="F552" s="112" t="s">
        <v>40</v>
      </c>
      <c r="G552" s="114">
        <v>20</v>
      </c>
      <c r="H552" s="115" t="s">
        <v>347</v>
      </c>
    </row>
    <row r="553" spans="1:8" ht="19.899999999999999" customHeight="1">
      <c r="A553" s="121">
        <v>46049</v>
      </c>
      <c r="B553" s="112" t="s">
        <v>359</v>
      </c>
      <c r="C553" s="113" t="s">
        <v>445</v>
      </c>
      <c r="D553" s="112" t="s">
        <v>341</v>
      </c>
      <c r="E553" s="122">
        <v>1.055555555555556</v>
      </c>
      <c r="F553" s="112" t="s">
        <v>361</v>
      </c>
      <c r="G553" s="114">
        <v>9</v>
      </c>
      <c r="H553" s="115" t="s">
        <v>525</v>
      </c>
    </row>
    <row r="554" spans="1:8" ht="19.899999999999999" customHeight="1">
      <c r="A554" s="121">
        <v>46049</v>
      </c>
      <c r="B554" s="112" t="s">
        <v>61</v>
      </c>
      <c r="C554" s="113" t="s">
        <v>432</v>
      </c>
      <c r="D554" s="112" t="s">
        <v>341</v>
      </c>
      <c r="E554" s="122">
        <v>1.552083333333333</v>
      </c>
      <c r="F554" s="112" t="s">
        <v>63</v>
      </c>
      <c r="G554" s="114">
        <v>6</v>
      </c>
      <c r="H554" s="115" t="s">
        <v>365</v>
      </c>
    </row>
    <row r="555" spans="1:8" ht="19.899999999999999" customHeight="1">
      <c r="A555" s="121">
        <v>46049</v>
      </c>
      <c r="B555" s="112" t="s">
        <v>61</v>
      </c>
      <c r="C555" s="113" t="s">
        <v>428</v>
      </c>
      <c r="D555" s="112" t="s">
        <v>341</v>
      </c>
      <c r="E555" s="122">
        <v>1.052083333333333</v>
      </c>
      <c r="F555" s="112" t="s">
        <v>63</v>
      </c>
      <c r="G555" s="114">
        <v>4</v>
      </c>
      <c r="H555" s="115" t="s">
        <v>365</v>
      </c>
    </row>
    <row r="556" spans="1:8" ht="19.899999999999999" customHeight="1">
      <c r="A556" s="121">
        <v>46049</v>
      </c>
      <c r="B556" s="112" t="s">
        <v>61</v>
      </c>
      <c r="C556" s="113" t="s">
        <v>377</v>
      </c>
      <c r="D556" s="112" t="s">
        <v>341</v>
      </c>
      <c r="E556" s="122">
        <v>1.4375</v>
      </c>
      <c r="F556" s="112" t="s">
        <v>63</v>
      </c>
      <c r="G556" s="114">
        <v>1</v>
      </c>
      <c r="H556" s="115" t="s">
        <v>365</v>
      </c>
    </row>
    <row r="557" spans="1:8" ht="19.899999999999999" customHeight="1">
      <c r="A557" s="121">
        <v>46049</v>
      </c>
      <c r="B557" s="112" t="s">
        <v>61</v>
      </c>
      <c r="C557" s="113" t="s">
        <v>379</v>
      </c>
      <c r="D557" s="112" t="s">
        <v>341</v>
      </c>
      <c r="E557" s="122">
        <v>1.381944444444444</v>
      </c>
      <c r="F557" s="112" t="s">
        <v>63</v>
      </c>
      <c r="G557" s="114">
        <v>3</v>
      </c>
      <c r="H557" s="115" t="s">
        <v>365</v>
      </c>
    </row>
    <row r="558" spans="1:8" ht="19.899999999999999" customHeight="1">
      <c r="A558" s="123">
        <v>46049</v>
      </c>
      <c r="B558" s="124" t="s">
        <v>26</v>
      </c>
      <c r="C558" s="125" t="s">
        <v>348</v>
      </c>
      <c r="D558" s="124" t="s">
        <v>341</v>
      </c>
      <c r="E558" s="126">
        <v>1.993055555555556</v>
      </c>
      <c r="F558" s="124" t="s">
        <v>28</v>
      </c>
      <c r="G558" s="127">
        <v>4</v>
      </c>
      <c r="H558" s="128" t="s">
        <v>83</v>
      </c>
    </row>
    <row r="559" spans="1:8" ht="19.899999999999999" customHeight="1">
      <c r="A559" s="121">
        <v>46050</v>
      </c>
      <c r="B559" s="112" t="s">
        <v>359</v>
      </c>
      <c r="C559" s="113" t="s">
        <v>616</v>
      </c>
      <c r="D559" s="112" t="s">
        <v>601</v>
      </c>
      <c r="E559" s="122">
        <v>1.163194444444444</v>
      </c>
      <c r="F559" s="112" t="s">
        <v>603</v>
      </c>
      <c r="G559" s="114">
        <v>9</v>
      </c>
      <c r="H559" s="115" t="s">
        <v>677</v>
      </c>
    </row>
    <row r="560" spans="1:8" ht="19.899999999999999" customHeight="1">
      <c r="A560" s="121">
        <v>46050</v>
      </c>
      <c r="B560" s="112" t="s">
        <v>359</v>
      </c>
      <c r="C560" s="113" t="s">
        <v>616</v>
      </c>
      <c r="D560" s="112" t="s">
        <v>601</v>
      </c>
      <c r="E560" s="122">
        <v>1.163194444444444</v>
      </c>
      <c r="F560" s="112" t="s">
        <v>605</v>
      </c>
      <c r="G560" s="114">
        <v>9</v>
      </c>
      <c r="H560" s="115" t="s">
        <v>678</v>
      </c>
    </row>
    <row r="561" spans="1:8" ht="19.899999999999999" customHeight="1">
      <c r="A561" s="129">
        <v>46050</v>
      </c>
      <c r="B561" s="117" t="s">
        <v>61</v>
      </c>
      <c r="C561" s="118" t="s">
        <v>612</v>
      </c>
      <c r="D561" s="117" t="s">
        <v>601</v>
      </c>
      <c r="E561" s="130">
        <v>1.145833333333333</v>
      </c>
      <c r="F561" s="117" t="s">
        <v>63</v>
      </c>
      <c r="G561" s="119">
        <v>9</v>
      </c>
      <c r="H561" s="120" t="s">
        <v>79</v>
      </c>
    </row>
    <row r="562" spans="1:8" ht="19.899999999999999" customHeight="1">
      <c r="A562" s="129">
        <v>46050</v>
      </c>
      <c r="B562" s="117" t="s">
        <v>61</v>
      </c>
      <c r="C562" s="118" t="s">
        <v>629</v>
      </c>
      <c r="D562" s="117" t="s">
        <v>601</v>
      </c>
      <c r="E562" s="130">
        <v>1.53125</v>
      </c>
      <c r="F562" s="117" t="s">
        <v>63</v>
      </c>
      <c r="G562" s="119">
        <v>9</v>
      </c>
      <c r="H562" s="120" t="s">
        <v>79</v>
      </c>
    </row>
    <row r="563" spans="1:8" ht="19.899999999999999" customHeight="1">
      <c r="A563" s="129">
        <v>46050</v>
      </c>
      <c r="B563" s="117" t="s">
        <v>61</v>
      </c>
      <c r="C563" s="118" t="s">
        <v>645</v>
      </c>
      <c r="D563" s="117" t="s">
        <v>601</v>
      </c>
      <c r="E563" s="130">
        <v>1.8611111111111109</v>
      </c>
      <c r="F563" s="117" t="s">
        <v>63</v>
      </c>
      <c r="G563" s="119">
        <v>9</v>
      </c>
      <c r="H563" s="120" t="s">
        <v>79</v>
      </c>
    </row>
    <row r="564" spans="1:8" ht="19.899999999999999" customHeight="1">
      <c r="A564" s="121">
        <v>46050</v>
      </c>
      <c r="B564" s="112" t="s">
        <v>359</v>
      </c>
      <c r="C564" s="113" t="s">
        <v>616</v>
      </c>
      <c r="D564" s="112" t="s">
        <v>601</v>
      </c>
      <c r="E564" s="122">
        <v>1.163194444444444</v>
      </c>
      <c r="F564" s="112" t="s">
        <v>46</v>
      </c>
      <c r="G564" s="114">
        <v>9</v>
      </c>
      <c r="H564" s="115" t="s">
        <v>679</v>
      </c>
    </row>
    <row r="565" spans="1:8" ht="19.899999999999999" customHeight="1">
      <c r="A565" s="121">
        <v>46050</v>
      </c>
      <c r="B565" s="112" t="s">
        <v>48</v>
      </c>
      <c r="C565" s="113" t="s">
        <v>611</v>
      </c>
      <c r="D565" s="112" t="s">
        <v>601</v>
      </c>
      <c r="E565" s="122">
        <v>1.819444444444444</v>
      </c>
      <c r="F565" s="112" t="s">
        <v>53</v>
      </c>
      <c r="G565" s="114">
        <v>9</v>
      </c>
      <c r="H565" s="115" t="s">
        <v>681</v>
      </c>
    </row>
    <row r="566" spans="1:8" ht="19.899999999999999" customHeight="1">
      <c r="A566" s="143"/>
      <c r="B566" s="144"/>
      <c r="C566" s="144"/>
      <c r="D566" s="144"/>
      <c r="E566" s="144"/>
      <c r="F566" s="145" t="s">
        <v>705</v>
      </c>
      <c r="G566" s="144"/>
      <c r="H566" s="146"/>
    </row>
    <row r="567" spans="1:8" ht="19.899999999999999" customHeight="1">
      <c r="A567" s="121">
        <v>46050</v>
      </c>
      <c r="B567" s="112" t="s">
        <v>38</v>
      </c>
      <c r="C567" s="113" t="s">
        <v>342</v>
      </c>
      <c r="D567" s="112" t="s">
        <v>341</v>
      </c>
      <c r="E567" s="122">
        <v>1.489583333333333</v>
      </c>
      <c r="F567" s="112" t="s">
        <v>40</v>
      </c>
      <c r="G567" s="114">
        <v>9</v>
      </c>
      <c r="H567" s="115" t="s">
        <v>343</v>
      </c>
    </row>
    <row r="568" spans="1:8" ht="19.899999999999999" customHeight="1">
      <c r="A568" s="121">
        <v>46050</v>
      </c>
      <c r="B568" s="112" t="s">
        <v>38</v>
      </c>
      <c r="C568" s="113" t="s">
        <v>346</v>
      </c>
      <c r="D568" s="112" t="s">
        <v>341</v>
      </c>
      <c r="E568" s="122">
        <v>1.399305555555556</v>
      </c>
      <c r="F568" s="112" t="s">
        <v>40</v>
      </c>
      <c r="G568" s="114">
        <v>20</v>
      </c>
      <c r="H568" s="115" t="s">
        <v>347</v>
      </c>
    </row>
    <row r="569" spans="1:8" ht="19.899999999999999" customHeight="1">
      <c r="A569" s="121">
        <v>46050</v>
      </c>
      <c r="B569" s="112" t="s">
        <v>38</v>
      </c>
      <c r="C569" s="113" t="s">
        <v>344</v>
      </c>
      <c r="D569" s="112" t="s">
        <v>341</v>
      </c>
      <c r="E569" s="122">
        <v>1.8888888888888891</v>
      </c>
      <c r="F569" s="112" t="s">
        <v>40</v>
      </c>
      <c r="G569" s="114">
        <v>20</v>
      </c>
      <c r="H569" s="115" t="s">
        <v>347</v>
      </c>
    </row>
    <row r="570" spans="1:8" ht="19.899999999999999" customHeight="1">
      <c r="A570" s="121">
        <v>46050</v>
      </c>
      <c r="B570" s="112" t="s">
        <v>38</v>
      </c>
      <c r="C570" s="113" t="s">
        <v>345</v>
      </c>
      <c r="D570" s="112" t="s">
        <v>341</v>
      </c>
      <c r="E570" s="122">
        <v>1.989583333333333</v>
      </c>
      <c r="F570" s="112" t="s">
        <v>40</v>
      </c>
      <c r="G570" s="114">
        <v>20</v>
      </c>
      <c r="H570" s="115" t="s">
        <v>347</v>
      </c>
    </row>
    <row r="571" spans="1:8" ht="19.899999999999999" customHeight="1">
      <c r="A571" s="121">
        <v>46050</v>
      </c>
      <c r="B571" s="112" t="s">
        <v>359</v>
      </c>
      <c r="C571" s="113" t="s">
        <v>360</v>
      </c>
      <c r="D571" s="112" t="s">
        <v>341</v>
      </c>
      <c r="E571" s="122">
        <v>1.225694444444444</v>
      </c>
      <c r="F571" s="112" t="s">
        <v>361</v>
      </c>
      <c r="G571" s="114">
        <v>9</v>
      </c>
      <c r="H571" s="115" t="s">
        <v>525</v>
      </c>
    </row>
    <row r="572" spans="1:8" ht="19.899999999999999" customHeight="1">
      <c r="A572" s="121">
        <v>46050</v>
      </c>
      <c r="B572" s="112" t="s">
        <v>61</v>
      </c>
      <c r="C572" s="113" t="s">
        <v>364</v>
      </c>
      <c r="D572" s="112" t="s">
        <v>341</v>
      </c>
      <c r="E572" s="122">
        <v>1.2326388888888891</v>
      </c>
      <c r="F572" s="112" t="s">
        <v>63</v>
      </c>
      <c r="G572" s="114">
        <v>1</v>
      </c>
      <c r="H572" s="115" t="s">
        <v>365</v>
      </c>
    </row>
    <row r="573" spans="1:8" ht="19.899999999999999" customHeight="1">
      <c r="A573" s="121">
        <v>46050</v>
      </c>
      <c r="B573" s="112" t="s">
        <v>61</v>
      </c>
      <c r="C573" s="113" t="s">
        <v>432</v>
      </c>
      <c r="D573" s="112" t="s">
        <v>341</v>
      </c>
      <c r="E573" s="122">
        <v>1.34375</v>
      </c>
      <c r="F573" s="112" t="s">
        <v>63</v>
      </c>
      <c r="G573" s="114">
        <v>6</v>
      </c>
      <c r="H573" s="115" t="s">
        <v>365</v>
      </c>
    </row>
    <row r="574" spans="1:8" ht="19.899999999999999" customHeight="1">
      <c r="A574" s="121">
        <v>46050</v>
      </c>
      <c r="B574" s="112" t="s">
        <v>61</v>
      </c>
      <c r="C574" s="113" t="s">
        <v>375</v>
      </c>
      <c r="D574" s="112" t="s">
        <v>341</v>
      </c>
      <c r="E574" s="122">
        <v>1.3402777777777779</v>
      </c>
      <c r="F574" s="112" t="s">
        <v>63</v>
      </c>
      <c r="G574" s="114">
        <v>6</v>
      </c>
      <c r="H574" s="115" t="s">
        <v>365</v>
      </c>
    </row>
    <row r="575" spans="1:8" ht="19.899999999999999" customHeight="1">
      <c r="A575" s="121">
        <v>46050</v>
      </c>
      <c r="B575" s="112" t="s">
        <v>61</v>
      </c>
      <c r="C575" s="113" t="s">
        <v>377</v>
      </c>
      <c r="D575" s="112" t="s">
        <v>341</v>
      </c>
      <c r="E575" s="122">
        <v>1.4375</v>
      </c>
      <c r="F575" s="112" t="s">
        <v>63</v>
      </c>
      <c r="G575" s="114">
        <v>2</v>
      </c>
      <c r="H575" s="115" t="s">
        <v>365</v>
      </c>
    </row>
    <row r="576" spans="1:8" ht="19.899999999999999" customHeight="1">
      <c r="A576" s="123">
        <v>46050</v>
      </c>
      <c r="B576" s="124" t="s">
        <v>26</v>
      </c>
      <c r="C576" s="125" t="s">
        <v>348</v>
      </c>
      <c r="D576" s="124" t="s">
        <v>341</v>
      </c>
      <c r="E576" s="126">
        <v>1.993055555555556</v>
      </c>
      <c r="F576" s="124" t="s">
        <v>28</v>
      </c>
      <c r="G576" s="127">
        <v>4</v>
      </c>
      <c r="H576" s="128" t="s">
        <v>83</v>
      </c>
    </row>
    <row r="577" spans="1:8" ht="19.899999999999999" customHeight="1">
      <c r="A577" s="121">
        <v>46051</v>
      </c>
      <c r="B577" s="112" t="s">
        <v>359</v>
      </c>
      <c r="C577" s="113" t="s">
        <v>602</v>
      </c>
      <c r="D577" s="112" t="s">
        <v>601</v>
      </c>
      <c r="E577" s="122">
        <v>1.3611111111111109</v>
      </c>
      <c r="F577" s="112" t="s">
        <v>603</v>
      </c>
      <c r="G577" s="114">
        <v>9</v>
      </c>
      <c r="H577" s="115" t="s">
        <v>677</v>
      </c>
    </row>
    <row r="578" spans="1:8" ht="19.899999999999999" customHeight="1">
      <c r="A578" s="121">
        <v>46051</v>
      </c>
      <c r="B578" s="112" t="s">
        <v>359</v>
      </c>
      <c r="C578" s="113" t="s">
        <v>608</v>
      </c>
      <c r="D578" s="112" t="s">
        <v>601</v>
      </c>
      <c r="E578" s="122">
        <v>1.631944444444444</v>
      </c>
      <c r="F578" s="112" t="s">
        <v>603</v>
      </c>
      <c r="G578" s="114">
        <v>9</v>
      </c>
      <c r="H578" s="115" t="s">
        <v>677</v>
      </c>
    </row>
    <row r="579" spans="1:8" ht="19.899999999999999" customHeight="1">
      <c r="A579" s="121">
        <v>46051</v>
      </c>
      <c r="B579" s="112" t="s">
        <v>359</v>
      </c>
      <c r="C579" s="113" t="s">
        <v>602</v>
      </c>
      <c r="D579" s="112" t="s">
        <v>601</v>
      </c>
      <c r="E579" s="122">
        <v>1.3611111111111109</v>
      </c>
      <c r="F579" s="112" t="s">
        <v>605</v>
      </c>
      <c r="G579" s="114">
        <v>9</v>
      </c>
      <c r="H579" s="115" t="s">
        <v>678</v>
      </c>
    </row>
    <row r="580" spans="1:8" ht="19.899999999999999" customHeight="1">
      <c r="A580" s="121">
        <v>46051</v>
      </c>
      <c r="B580" s="112" t="s">
        <v>359</v>
      </c>
      <c r="C580" s="113" t="s">
        <v>608</v>
      </c>
      <c r="D580" s="112" t="s">
        <v>601</v>
      </c>
      <c r="E580" s="122">
        <v>1.631944444444444</v>
      </c>
      <c r="F580" s="112" t="s">
        <v>605</v>
      </c>
      <c r="G580" s="114">
        <v>9</v>
      </c>
      <c r="H580" s="115" t="s">
        <v>678</v>
      </c>
    </row>
    <row r="581" spans="1:8" ht="19.899999999999999" customHeight="1">
      <c r="A581" s="129">
        <v>46051</v>
      </c>
      <c r="B581" s="117" t="s">
        <v>61</v>
      </c>
      <c r="C581" s="118" t="s">
        <v>612</v>
      </c>
      <c r="D581" s="117" t="s">
        <v>601</v>
      </c>
      <c r="E581" s="130">
        <v>1.086805555555556</v>
      </c>
      <c r="F581" s="117" t="s">
        <v>63</v>
      </c>
      <c r="G581" s="119">
        <v>9</v>
      </c>
      <c r="H581" s="120" t="s">
        <v>79</v>
      </c>
    </row>
    <row r="582" spans="1:8" ht="19.899999999999999" customHeight="1">
      <c r="A582" s="121">
        <v>46051</v>
      </c>
      <c r="B582" s="112" t="s">
        <v>359</v>
      </c>
      <c r="C582" s="113" t="s">
        <v>602</v>
      </c>
      <c r="D582" s="112" t="s">
        <v>601</v>
      </c>
      <c r="E582" s="122">
        <v>1.3611111111111109</v>
      </c>
      <c r="F582" s="112" t="s">
        <v>46</v>
      </c>
      <c r="G582" s="114">
        <v>9</v>
      </c>
      <c r="H582" s="115" t="s">
        <v>679</v>
      </c>
    </row>
    <row r="583" spans="1:8" ht="19.899999999999999" customHeight="1">
      <c r="A583" s="121">
        <v>46051</v>
      </c>
      <c r="B583" s="112" t="s">
        <v>359</v>
      </c>
      <c r="C583" s="113" t="s">
        <v>608</v>
      </c>
      <c r="D583" s="112" t="s">
        <v>601</v>
      </c>
      <c r="E583" s="122">
        <v>1.631944444444444</v>
      </c>
      <c r="F583" s="112" t="s">
        <v>46</v>
      </c>
      <c r="G583" s="114">
        <v>9</v>
      </c>
      <c r="H583" s="115" t="s">
        <v>679</v>
      </c>
    </row>
    <row r="584" spans="1:8" ht="19.899999999999999" customHeight="1">
      <c r="A584" s="121">
        <v>46051</v>
      </c>
      <c r="B584" s="112" t="s">
        <v>48</v>
      </c>
      <c r="C584" s="113" t="s">
        <v>609</v>
      </c>
      <c r="D584" s="112" t="s">
        <v>601</v>
      </c>
      <c r="E584" s="122">
        <v>1.4513888888888891</v>
      </c>
      <c r="F584" s="112" t="s">
        <v>53</v>
      </c>
      <c r="G584" s="114">
        <v>9</v>
      </c>
      <c r="H584" s="115" t="s">
        <v>681</v>
      </c>
    </row>
    <row r="585" spans="1:8" ht="19.899999999999999" customHeight="1">
      <c r="A585" s="121">
        <v>46051</v>
      </c>
      <c r="B585" s="112" t="s">
        <v>48</v>
      </c>
      <c r="C585" s="113" t="s">
        <v>611</v>
      </c>
      <c r="D585" s="112" t="s">
        <v>601</v>
      </c>
      <c r="E585" s="122">
        <v>1.819444444444444</v>
      </c>
      <c r="F585" s="112" t="s">
        <v>53</v>
      </c>
      <c r="G585" s="114">
        <v>9</v>
      </c>
      <c r="H585" s="115" t="s">
        <v>681</v>
      </c>
    </row>
    <row r="586" spans="1:8" ht="19.899999999999999" customHeight="1">
      <c r="A586" s="143"/>
      <c r="B586" s="144"/>
      <c r="C586" s="144"/>
      <c r="D586" s="144"/>
      <c r="E586" s="144"/>
      <c r="F586" s="145" t="s">
        <v>705</v>
      </c>
      <c r="G586" s="144"/>
      <c r="H586" s="146"/>
    </row>
    <row r="587" spans="1:8" ht="19.899999999999999" customHeight="1">
      <c r="A587" s="121">
        <v>46051</v>
      </c>
      <c r="B587" s="112" t="s">
        <v>38</v>
      </c>
      <c r="C587" s="113" t="s">
        <v>342</v>
      </c>
      <c r="D587" s="112" t="s">
        <v>341</v>
      </c>
      <c r="E587" s="122">
        <v>1.489583333333333</v>
      </c>
      <c r="F587" s="112" t="s">
        <v>40</v>
      </c>
      <c r="G587" s="114">
        <v>14</v>
      </c>
      <c r="H587" s="115" t="s">
        <v>30</v>
      </c>
    </row>
    <row r="588" spans="1:8" ht="19.899999999999999" customHeight="1">
      <c r="A588" s="121">
        <v>46051</v>
      </c>
      <c r="B588" s="112" t="s">
        <v>38</v>
      </c>
      <c r="C588" s="113" t="s">
        <v>346</v>
      </c>
      <c r="D588" s="112" t="s">
        <v>341</v>
      </c>
      <c r="E588" s="122">
        <v>1.399305555555556</v>
      </c>
      <c r="F588" s="112" t="s">
        <v>40</v>
      </c>
      <c r="G588" s="114">
        <v>20</v>
      </c>
      <c r="H588" s="115" t="s">
        <v>347</v>
      </c>
    </row>
    <row r="589" spans="1:8" ht="19.899999999999999" customHeight="1">
      <c r="A589" s="121">
        <v>46051</v>
      </c>
      <c r="B589" s="112" t="s">
        <v>38</v>
      </c>
      <c r="C589" s="113" t="s">
        <v>344</v>
      </c>
      <c r="D589" s="112" t="s">
        <v>341</v>
      </c>
      <c r="E589" s="122">
        <v>1.8888888888888891</v>
      </c>
      <c r="F589" s="112" t="s">
        <v>40</v>
      </c>
      <c r="G589" s="114">
        <v>17</v>
      </c>
      <c r="H589" s="115" t="s">
        <v>347</v>
      </c>
    </row>
    <row r="590" spans="1:8" ht="19.899999999999999" customHeight="1">
      <c r="A590" s="121">
        <v>46051</v>
      </c>
      <c r="B590" s="112" t="s">
        <v>38</v>
      </c>
      <c r="C590" s="113" t="s">
        <v>345</v>
      </c>
      <c r="D590" s="112" t="s">
        <v>341</v>
      </c>
      <c r="E590" s="122">
        <v>1.989583333333333</v>
      </c>
      <c r="F590" s="112" t="s">
        <v>40</v>
      </c>
      <c r="G590" s="114">
        <v>20</v>
      </c>
      <c r="H590" s="115" t="s">
        <v>347</v>
      </c>
    </row>
    <row r="591" spans="1:8" ht="19.899999999999999" customHeight="1">
      <c r="A591" s="121">
        <v>46051</v>
      </c>
      <c r="B591" s="112" t="s">
        <v>359</v>
      </c>
      <c r="C591" s="113" t="s">
        <v>360</v>
      </c>
      <c r="D591" s="112" t="s">
        <v>341</v>
      </c>
      <c r="E591" s="122">
        <v>1.1701388888888891</v>
      </c>
      <c r="F591" s="112" t="s">
        <v>361</v>
      </c>
      <c r="G591" s="114">
        <v>9</v>
      </c>
      <c r="H591" s="115" t="s">
        <v>525</v>
      </c>
    </row>
    <row r="592" spans="1:8" ht="19.899999999999999" customHeight="1">
      <c r="A592" s="121">
        <v>46051</v>
      </c>
      <c r="B592" s="112" t="s">
        <v>61</v>
      </c>
      <c r="C592" s="113" t="s">
        <v>371</v>
      </c>
      <c r="D592" s="112" t="s">
        <v>341</v>
      </c>
      <c r="E592" s="122">
        <v>1.0659722222222221</v>
      </c>
      <c r="F592" s="112" t="s">
        <v>63</v>
      </c>
      <c r="G592" s="114">
        <v>4</v>
      </c>
      <c r="H592" s="115" t="s">
        <v>365</v>
      </c>
    </row>
    <row r="593" spans="1:8" ht="19.899999999999999" customHeight="1">
      <c r="A593" s="121">
        <v>46051</v>
      </c>
      <c r="B593" s="112" t="s">
        <v>61</v>
      </c>
      <c r="C593" s="113" t="s">
        <v>375</v>
      </c>
      <c r="D593" s="112" t="s">
        <v>341</v>
      </c>
      <c r="E593" s="122">
        <v>1.15625</v>
      </c>
      <c r="F593" s="112" t="s">
        <v>63</v>
      </c>
      <c r="G593" s="114">
        <v>6</v>
      </c>
      <c r="H593" s="115" t="s">
        <v>365</v>
      </c>
    </row>
    <row r="594" spans="1:8" ht="19.899999999999999" customHeight="1">
      <c r="A594" s="121">
        <v>46051</v>
      </c>
      <c r="B594" s="112" t="s">
        <v>61</v>
      </c>
      <c r="C594" s="113" t="s">
        <v>379</v>
      </c>
      <c r="D594" s="112" t="s">
        <v>341</v>
      </c>
      <c r="E594" s="122">
        <v>1.5625</v>
      </c>
      <c r="F594" s="112" t="s">
        <v>63</v>
      </c>
      <c r="G594" s="114">
        <v>4</v>
      </c>
      <c r="H594" s="115" t="s">
        <v>365</v>
      </c>
    </row>
    <row r="595" spans="1:8" ht="19.899999999999999" customHeight="1">
      <c r="A595" s="121">
        <v>46051</v>
      </c>
      <c r="B595" s="112" t="s">
        <v>26</v>
      </c>
      <c r="C595" s="113" t="s">
        <v>348</v>
      </c>
      <c r="D595" s="112" t="s">
        <v>341</v>
      </c>
      <c r="E595" s="122">
        <v>1.993055555555556</v>
      </c>
      <c r="F595" s="112" t="s">
        <v>28</v>
      </c>
      <c r="G595" s="114">
        <v>5</v>
      </c>
      <c r="H595" s="115" t="s">
        <v>83</v>
      </c>
    </row>
    <row r="596" spans="1:8" ht="19.899999999999999" customHeight="1">
      <c r="A596" s="123">
        <v>46051</v>
      </c>
      <c r="B596" s="124" t="s">
        <v>26</v>
      </c>
      <c r="C596" s="125" t="s">
        <v>350</v>
      </c>
      <c r="D596" s="124" t="s">
        <v>341</v>
      </c>
      <c r="E596" s="126">
        <v>1.7361111111111109</v>
      </c>
      <c r="F596" s="124" t="s">
        <v>28</v>
      </c>
      <c r="G596" s="127">
        <v>3</v>
      </c>
      <c r="H596" s="128" t="s">
        <v>83</v>
      </c>
    </row>
    <row r="597" spans="1:8" ht="19.899999999999999" customHeight="1">
      <c r="A597" s="121">
        <v>46052</v>
      </c>
      <c r="B597" s="112" t="s">
        <v>359</v>
      </c>
      <c r="C597" s="113" t="s">
        <v>616</v>
      </c>
      <c r="D597" s="112" t="s">
        <v>601</v>
      </c>
      <c r="E597" s="122">
        <v>1.010416666666667</v>
      </c>
      <c r="F597" s="112" t="s">
        <v>603</v>
      </c>
      <c r="G597" s="114">
        <v>9</v>
      </c>
      <c r="H597" s="115" t="s">
        <v>682</v>
      </c>
    </row>
    <row r="598" spans="1:8" ht="19.899999999999999" customHeight="1">
      <c r="A598" s="121">
        <v>46052</v>
      </c>
      <c r="B598" s="112" t="s">
        <v>359</v>
      </c>
      <c r="C598" s="113" t="s">
        <v>616</v>
      </c>
      <c r="D598" s="112" t="s">
        <v>601</v>
      </c>
      <c r="E598" s="122">
        <v>1.010416666666667</v>
      </c>
      <c r="F598" s="112" t="s">
        <v>605</v>
      </c>
      <c r="G598" s="114">
        <v>9</v>
      </c>
      <c r="H598" s="115" t="s">
        <v>683</v>
      </c>
    </row>
    <row r="599" spans="1:8" ht="19.899999999999999" customHeight="1">
      <c r="A599" s="129">
        <v>46052</v>
      </c>
      <c r="B599" s="117" t="s">
        <v>61</v>
      </c>
      <c r="C599" s="118" t="s">
        <v>612</v>
      </c>
      <c r="D599" s="117" t="s">
        <v>601</v>
      </c>
      <c r="E599" s="130">
        <v>1.229166666666667</v>
      </c>
      <c r="F599" s="117" t="s">
        <v>63</v>
      </c>
      <c r="G599" s="119">
        <v>9</v>
      </c>
      <c r="H599" s="120" t="s">
        <v>513</v>
      </c>
    </row>
    <row r="600" spans="1:8" ht="19.899999999999999" customHeight="1">
      <c r="A600" s="121">
        <v>46052</v>
      </c>
      <c r="B600" s="112" t="s">
        <v>359</v>
      </c>
      <c r="C600" s="113" t="s">
        <v>616</v>
      </c>
      <c r="D600" s="112" t="s">
        <v>601</v>
      </c>
      <c r="E600" s="122">
        <v>1.010416666666667</v>
      </c>
      <c r="F600" s="112" t="s">
        <v>46</v>
      </c>
      <c r="G600" s="114">
        <v>9</v>
      </c>
      <c r="H600" s="115" t="s">
        <v>684</v>
      </c>
    </row>
    <row r="601" spans="1:8" ht="19.899999999999999" customHeight="1">
      <c r="A601" s="121">
        <v>46052</v>
      </c>
      <c r="B601" s="112" t="s">
        <v>48</v>
      </c>
      <c r="C601" s="113" t="s">
        <v>611</v>
      </c>
      <c r="D601" s="112" t="s">
        <v>601</v>
      </c>
      <c r="E601" s="122">
        <v>1.819444444444444</v>
      </c>
      <c r="F601" s="112" t="s">
        <v>53</v>
      </c>
      <c r="G601" s="114">
        <v>9</v>
      </c>
      <c r="H601" s="115" t="s">
        <v>681</v>
      </c>
    </row>
    <row r="602" spans="1:8" ht="19.899999999999999" customHeight="1">
      <c r="A602" s="143"/>
      <c r="B602" s="144"/>
      <c r="C602" s="144"/>
      <c r="D602" s="144"/>
      <c r="E602" s="144"/>
      <c r="F602" s="145" t="s">
        <v>705</v>
      </c>
      <c r="G602" s="144"/>
      <c r="H602" s="146"/>
    </row>
    <row r="603" spans="1:8" ht="19.899999999999999" customHeight="1">
      <c r="A603" s="121">
        <v>46052</v>
      </c>
      <c r="B603" s="112" t="s">
        <v>38</v>
      </c>
      <c r="C603" s="113" t="s">
        <v>342</v>
      </c>
      <c r="D603" s="112" t="s">
        <v>341</v>
      </c>
      <c r="E603" s="122">
        <v>1.489583333333333</v>
      </c>
      <c r="F603" s="112" t="s">
        <v>40</v>
      </c>
      <c r="G603" s="114">
        <v>16</v>
      </c>
      <c r="H603" s="115" t="s">
        <v>81</v>
      </c>
    </row>
    <row r="604" spans="1:8" ht="19.899999999999999" customHeight="1">
      <c r="A604" s="121">
        <v>46052</v>
      </c>
      <c r="B604" s="112" t="s">
        <v>38</v>
      </c>
      <c r="C604" s="113" t="s">
        <v>346</v>
      </c>
      <c r="D604" s="112" t="s">
        <v>341</v>
      </c>
      <c r="E604" s="122">
        <v>1.399305555555556</v>
      </c>
      <c r="F604" s="112" t="s">
        <v>40</v>
      </c>
      <c r="G604" s="114">
        <v>20</v>
      </c>
      <c r="H604" s="115" t="s">
        <v>347</v>
      </c>
    </row>
    <row r="605" spans="1:8" ht="19.899999999999999" customHeight="1">
      <c r="A605" s="121">
        <v>46052</v>
      </c>
      <c r="B605" s="112" t="s">
        <v>38</v>
      </c>
      <c r="C605" s="113" t="s">
        <v>344</v>
      </c>
      <c r="D605" s="112" t="s">
        <v>341</v>
      </c>
      <c r="E605" s="122">
        <v>1.8888888888888891</v>
      </c>
      <c r="F605" s="112" t="s">
        <v>40</v>
      </c>
      <c r="G605" s="114">
        <v>20</v>
      </c>
      <c r="H605" s="115" t="s">
        <v>347</v>
      </c>
    </row>
    <row r="606" spans="1:8" ht="19.899999999999999" customHeight="1">
      <c r="A606" s="121">
        <v>46052</v>
      </c>
      <c r="B606" s="112" t="s">
        <v>38</v>
      </c>
      <c r="C606" s="113" t="s">
        <v>345</v>
      </c>
      <c r="D606" s="112" t="s">
        <v>341</v>
      </c>
      <c r="E606" s="122">
        <v>1.989583333333333</v>
      </c>
      <c r="F606" s="112" t="s">
        <v>40</v>
      </c>
      <c r="G606" s="114">
        <v>20</v>
      </c>
      <c r="H606" s="115" t="s">
        <v>347</v>
      </c>
    </row>
    <row r="607" spans="1:8" ht="19.899999999999999" customHeight="1">
      <c r="A607" s="121">
        <v>46052</v>
      </c>
      <c r="B607" s="112" t="s">
        <v>359</v>
      </c>
      <c r="C607" s="113" t="s">
        <v>422</v>
      </c>
      <c r="D607" s="112" t="s">
        <v>341</v>
      </c>
      <c r="E607" s="122">
        <v>1.8090277777777779</v>
      </c>
      <c r="F607" s="112" t="s">
        <v>361</v>
      </c>
      <c r="G607" s="114">
        <v>9</v>
      </c>
      <c r="H607" s="115" t="s">
        <v>534</v>
      </c>
    </row>
    <row r="608" spans="1:8" ht="19.899999999999999" customHeight="1">
      <c r="A608" s="121">
        <v>46052</v>
      </c>
      <c r="B608" s="112" t="s">
        <v>359</v>
      </c>
      <c r="C608" s="113" t="s">
        <v>360</v>
      </c>
      <c r="D608" s="112" t="s">
        <v>341</v>
      </c>
      <c r="E608" s="122">
        <v>1.225694444444444</v>
      </c>
      <c r="F608" s="112" t="s">
        <v>361</v>
      </c>
      <c r="G608" s="114">
        <v>9</v>
      </c>
      <c r="H608" s="115" t="s">
        <v>534</v>
      </c>
    </row>
    <row r="609" spans="1:8" ht="19.899999999999999" customHeight="1">
      <c r="A609" s="121">
        <v>46052</v>
      </c>
      <c r="B609" s="112" t="s">
        <v>359</v>
      </c>
      <c r="C609" s="113" t="s">
        <v>425</v>
      </c>
      <c r="D609" s="112" t="s">
        <v>341</v>
      </c>
      <c r="E609" s="122">
        <v>1.510416666666667</v>
      </c>
      <c r="F609" s="112" t="s">
        <v>361</v>
      </c>
      <c r="G609" s="114">
        <v>9</v>
      </c>
      <c r="H609" s="115" t="s">
        <v>534</v>
      </c>
    </row>
    <row r="610" spans="1:8" ht="19.899999999999999" customHeight="1">
      <c r="A610" s="121">
        <v>46052</v>
      </c>
      <c r="B610" s="112" t="s">
        <v>61</v>
      </c>
      <c r="C610" s="113" t="s">
        <v>428</v>
      </c>
      <c r="D610" s="112" t="s">
        <v>341</v>
      </c>
      <c r="E610" s="122">
        <v>1.5590277777777779</v>
      </c>
      <c r="F610" s="112" t="s">
        <v>63</v>
      </c>
      <c r="G610" s="114">
        <v>2</v>
      </c>
      <c r="H610" s="115" t="s">
        <v>365</v>
      </c>
    </row>
    <row r="611" spans="1:8" ht="19.899999999999999" customHeight="1">
      <c r="A611" s="121">
        <v>46052</v>
      </c>
      <c r="B611" s="112" t="s">
        <v>61</v>
      </c>
      <c r="C611" s="113" t="s">
        <v>377</v>
      </c>
      <c r="D611" s="112" t="s">
        <v>341</v>
      </c>
      <c r="E611" s="122">
        <v>1.28125</v>
      </c>
      <c r="F611" s="112" t="s">
        <v>63</v>
      </c>
      <c r="G611" s="114">
        <v>1</v>
      </c>
      <c r="H611" s="115" t="s">
        <v>365</v>
      </c>
    </row>
    <row r="612" spans="1:8" ht="19.899999999999999" customHeight="1">
      <c r="A612" s="123">
        <v>46052</v>
      </c>
      <c r="B612" s="124" t="s">
        <v>61</v>
      </c>
      <c r="C612" s="125" t="s">
        <v>379</v>
      </c>
      <c r="D612" s="124" t="s">
        <v>341</v>
      </c>
      <c r="E612" s="126">
        <v>1.4375</v>
      </c>
      <c r="F612" s="124" t="s">
        <v>63</v>
      </c>
      <c r="G612" s="127">
        <v>1</v>
      </c>
      <c r="H612" s="128" t="s">
        <v>365</v>
      </c>
    </row>
    <row r="613" spans="1:8" ht="19.899999999999999" customHeight="1">
      <c r="A613" s="121">
        <v>46053</v>
      </c>
      <c r="B613" s="112" t="s">
        <v>359</v>
      </c>
      <c r="C613" s="113" t="s">
        <v>602</v>
      </c>
      <c r="D613" s="112" t="s">
        <v>601</v>
      </c>
      <c r="E613" s="122">
        <v>1.3611111111111109</v>
      </c>
      <c r="F613" s="112" t="s">
        <v>603</v>
      </c>
      <c r="G613" s="114">
        <v>9</v>
      </c>
      <c r="H613" s="115" t="s">
        <v>682</v>
      </c>
    </row>
    <row r="614" spans="1:8" ht="19.899999999999999" customHeight="1">
      <c r="A614" s="121">
        <v>46053</v>
      </c>
      <c r="B614" s="112" t="s">
        <v>359</v>
      </c>
      <c r="C614" s="113" t="s">
        <v>628</v>
      </c>
      <c r="D614" s="112" t="s">
        <v>601</v>
      </c>
      <c r="E614" s="122">
        <v>1.0277777777777779</v>
      </c>
      <c r="F614" s="112" t="s">
        <v>603</v>
      </c>
      <c r="G614" s="114">
        <v>9</v>
      </c>
      <c r="H614" s="115" t="s">
        <v>682</v>
      </c>
    </row>
    <row r="615" spans="1:8" ht="19.899999999999999" customHeight="1">
      <c r="A615" s="121">
        <v>46053</v>
      </c>
      <c r="B615" s="112" t="s">
        <v>38</v>
      </c>
      <c r="C615" s="113" t="s">
        <v>621</v>
      </c>
      <c r="D615" s="112" t="s">
        <v>601</v>
      </c>
      <c r="E615" s="122">
        <v>1.3611111111111109</v>
      </c>
      <c r="F615" s="112" t="s">
        <v>622</v>
      </c>
      <c r="G615" s="114">
        <v>18</v>
      </c>
      <c r="H615" s="115" t="s">
        <v>121</v>
      </c>
    </row>
    <row r="616" spans="1:8" ht="19.899999999999999" customHeight="1">
      <c r="A616" s="121">
        <v>46053</v>
      </c>
      <c r="B616" s="112" t="s">
        <v>359</v>
      </c>
      <c r="C616" s="113" t="s">
        <v>602</v>
      </c>
      <c r="D616" s="112" t="s">
        <v>601</v>
      </c>
      <c r="E616" s="122">
        <v>1.3611111111111109</v>
      </c>
      <c r="F616" s="112" t="s">
        <v>605</v>
      </c>
      <c r="G616" s="114">
        <v>9</v>
      </c>
      <c r="H616" s="115" t="s">
        <v>683</v>
      </c>
    </row>
    <row r="617" spans="1:8" ht="19.899999999999999" customHeight="1">
      <c r="A617" s="121">
        <v>46053</v>
      </c>
      <c r="B617" s="112" t="s">
        <v>359</v>
      </c>
      <c r="C617" s="113" t="s">
        <v>628</v>
      </c>
      <c r="D617" s="112" t="s">
        <v>601</v>
      </c>
      <c r="E617" s="122">
        <v>1.0277777777777779</v>
      </c>
      <c r="F617" s="112" t="s">
        <v>605</v>
      </c>
      <c r="G617" s="114">
        <v>9</v>
      </c>
      <c r="H617" s="115" t="s">
        <v>683</v>
      </c>
    </row>
    <row r="618" spans="1:8" ht="19.899999999999999" customHeight="1">
      <c r="A618" s="129">
        <v>46053</v>
      </c>
      <c r="B618" s="117" t="s">
        <v>61</v>
      </c>
      <c r="C618" s="118" t="s">
        <v>612</v>
      </c>
      <c r="D618" s="117" t="s">
        <v>601</v>
      </c>
      <c r="E618" s="130">
        <v>1.604166666666667</v>
      </c>
      <c r="F618" s="117" t="s">
        <v>63</v>
      </c>
      <c r="G618" s="119">
        <v>7</v>
      </c>
      <c r="H618" s="120" t="s">
        <v>79</v>
      </c>
    </row>
    <row r="619" spans="1:8" ht="19.899999999999999" customHeight="1">
      <c r="A619" s="129">
        <v>46053</v>
      </c>
      <c r="B619" s="117" t="s">
        <v>61</v>
      </c>
      <c r="C619" s="118" t="s">
        <v>629</v>
      </c>
      <c r="D619" s="117" t="s">
        <v>601</v>
      </c>
      <c r="E619" s="130">
        <v>1.270833333333333</v>
      </c>
      <c r="F619" s="117" t="s">
        <v>63</v>
      </c>
      <c r="G619" s="119">
        <v>9</v>
      </c>
      <c r="H619" s="120" t="s">
        <v>79</v>
      </c>
    </row>
    <row r="620" spans="1:8" ht="19.899999999999999" customHeight="1">
      <c r="A620" s="121">
        <v>46053</v>
      </c>
      <c r="B620" s="112" t="s">
        <v>38</v>
      </c>
      <c r="C620" s="113" t="s">
        <v>621</v>
      </c>
      <c r="D620" s="112" t="s">
        <v>601</v>
      </c>
      <c r="E620" s="122">
        <v>1.3611111111111109</v>
      </c>
      <c r="F620" s="112" t="s">
        <v>603</v>
      </c>
      <c r="G620" s="114">
        <v>18</v>
      </c>
      <c r="H620" s="115" t="s">
        <v>623</v>
      </c>
    </row>
    <row r="621" spans="1:8" ht="19.899999999999999" customHeight="1">
      <c r="A621" s="121">
        <v>46053</v>
      </c>
      <c r="B621" s="112" t="s">
        <v>38</v>
      </c>
      <c r="C621" s="113" t="s">
        <v>621</v>
      </c>
      <c r="D621" s="112" t="s">
        <v>601</v>
      </c>
      <c r="E621" s="122">
        <v>1.3611111111111109</v>
      </c>
      <c r="F621" s="112" t="s">
        <v>605</v>
      </c>
      <c r="G621" s="114">
        <v>18</v>
      </c>
      <c r="H621" s="115" t="s">
        <v>624</v>
      </c>
    </row>
    <row r="622" spans="1:8" ht="19.899999999999999" customHeight="1">
      <c r="A622" s="121">
        <v>46053</v>
      </c>
      <c r="B622" s="112" t="s">
        <v>359</v>
      </c>
      <c r="C622" s="113" t="s">
        <v>602</v>
      </c>
      <c r="D622" s="112" t="s">
        <v>601</v>
      </c>
      <c r="E622" s="122">
        <v>1.3611111111111109</v>
      </c>
      <c r="F622" s="112" t="s">
        <v>46</v>
      </c>
      <c r="G622" s="114">
        <v>9</v>
      </c>
      <c r="H622" s="115" t="s">
        <v>684</v>
      </c>
    </row>
    <row r="623" spans="1:8" ht="19.899999999999999" customHeight="1">
      <c r="A623" s="121">
        <v>46053</v>
      </c>
      <c r="B623" s="112" t="s">
        <v>359</v>
      </c>
      <c r="C623" s="113" t="s">
        <v>628</v>
      </c>
      <c r="D623" s="112" t="s">
        <v>601</v>
      </c>
      <c r="E623" s="122">
        <v>1.0277777777777779</v>
      </c>
      <c r="F623" s="112" t="s">
        <v>46</v>
      </c>
      <c r="G623" s="114">
        <v>9</v>
      </c>
      <c r="H623" s="115" t="s">
        <v>684</v>
      </c>
    </row>
    <row r="624" spans="1:8" ht="19.899999999999999" customHeight="1">
      <c r="A624" s="121">
        <v>46053</v>
      </c>
      <c r="B624" s="112" t="s">
        <v>38</v>
      </c>
      <c r="C624" s="113" t="s">
        <v>621</v>
      </c>
      <c r="D624" s="112" t="s">
        <v>601</v>
      </c>
      <c r="E624" s="122">
        <v>1.3611111111111109</v>
      </c>
      <c r="F624" s="112" t="s">
        <v>625</v>
      </c>
      <c r="G624" s="114">
        <v>18</v>
      </c>
      <c r="H624" s="115" t="s">
        <v>163</v>
      </c>
    </row>
    <row r="625" spans="1:8" ht="19.899999999999999" customHeight="1">
      <c r="A625" s="121">
        <v>46053</v>
      </c>
      <c r="B625" s="112" t="s">
        <v>48</v>
      </c>
      <c r="C625" s="113" t="s">
        <v>609</v>
      </c>
      <c r="D625" s="112" t="s">
        <v>601</v>
      </c>
      <c r="E625" s="122">
        <v>1.4513888888888891</v>
      </c>
      <c r="F625" s="112" t="s">
        <v>53</v>
      </c>
      <c r="G625" s="114">
        <v>9</v>
      </c>
      <c r="H625" s="115" t="s">
        <v>681</v>
      </c>
    </row>
    <row r="626" spans="1:8" ht="19.899999999999999" customHeight="1">
      <c r="A626" s="121">
        <v>46053</v>
      </c>
      <c r="B626" s="112" t="s">
        <v>48</v>
      </c>
      <c r="C626" s="113" t="s">
        <v>611</v>
      </c>
      <c r="D626" s="112" t="s">
        <v>601</v>
      </c>
      <c r="E626" s="122">
        <v>1.819444444444444</v>
      </c>
      <c r="F626" s="112" t="s">
        <v>53</v>
      </c>
      <c r="G626" s="114">
        <v>9</v>
      </c>
      <c r="H626" s="115" t="s">
        <v>681</v>
      </c>
    </row>
    <row r="627" spans="1:8" ht="19.899999999999999" customHeight="1">
      <c r="A627" s="143"/>
      <c r="B627" s="144"/>
      <c r="C627" s="144"/>
      <c r="D627" s="144"/>
      <c r="E627" s="144"/>
      <c r="F627" s="145" t="s">
        <v>705</v>
      </c>
      <c r="G627" s="144"/>
      <c r="H627" s="146"/>
    </row>
    <row r="628" spans="1:8" ht="19.899999999999999" customHeight="1">
      <c r="A628" s="121">
        <v>46053</v>
      </c>
      <c r="B628" s="112" t="s">
        <v>38</v>
      </c>
      <c r="C628" s="113" t="s">
        <v>342</v>
      </c>
      <c r="D628" s="112" t="s">
        <v>341</v>
      </c>
      <c r="E628" s="122">
        <v>1.489583333333333</v>
      </c>
      <c r="F628" s="112" t="s">
        <v>40</v>
      </c>
      <c r="G628" s="114">
        <v>17</v>
      </c>
      <c r="H628" s="115" t="s">
        <v>30</v>
      </c>
    </row>
    <row r="629" spans="1:8" ht="19.899999999999999" customHeight="1">
      <c r="A629" s="121">
        <v>46053</v>
      </c>
      <c r="B629" s="112" t="s">
        <v>38</v>
      </c>
      <c r="C629" s="113" t="s">
        <v>346</v>
      </c>
      <c r="D629" s="112" t="s">
        <v>341</v>
      </c>
      <c r="E629" s="122">
        <v>1.399305555555556</v>
      </c>
      <c r="F629" s="112" t="s">
        <v>40</v>
      </c>
      <c r="G629" s="114">
        <v>18</v>
      </c>
      <c r="H629" s="115" t="s">
        <v>347</v>
      </c>
    </row>
    <row r="630" spans="1:8" ht="19.899999999999999" customHeight="1">
      <c r="A630" s="121">
        <v>46053</v>
      </c>
      <c r="B630" s="112" t="s">
        <v>38</v>
      </c>
      <c r="C630" s="113" t="s">
        <v>344</v>
      </c>
      <c r="D630" s="112" t="s">
        <v>341</v>
      </c>
      <c r="E630" s="122">
        <v>1.8888888888888891</v>
      </c>
      <c r="F630" s="112" t="s">
        <v>40</v>
      </c>
      <c r="G630" s="114">
        <v>20</v>
      </c>
      <c r="H630" s="115" t="s">
        <v>347</v>
      </c>
    </row>
    <row r="631" spans="1:8" ht="19.899999999999999" customHeight="1">
      <c r="A631" s="121">
        <v>46053</v>
      </c>
      <c r="B631" s="112" t="s">
        <v>38</v>
      </c>
      <c r="C631" s="113" t="s">
        <v>345</v>
      </c>
      <c r="D631" s="112" t="s">
        <v>341</v>
      </c>
      <c r="E631" s="122">
        <v>1.989583333333333</v>
      </c>
      <c r="F631" s="112" t="s">
        <v>40</v>
      </c>
      <c r="G631" s="114">
        <v>19</v>
      </c>
      <c r="H631" s="115" t="s">
        <v>347</v>
      </c>
    </row>
    <row r="632" spans="1:8" ht="19.899999999999999" customHeight="1">
      <c r="A632" s="121">
        <v>46053</v>
      </c>
      <c r="B632" s="112" t="s">
        <v>359</v>
      </c>
      <c r="C632" s="113" t="s">
        <v>360</v>
      </c>
      <c r="D632" s="112" t="s">
        <v>341</v>
      </c>
      <c r="E632" s="122">
        <v>1.1701388888888891</v>
      </c>
      <c r="F632" s="112" t="s">
        <v>361</v>
      </c>
      <c r="G632" s="114">
        <v>9</v>
      </c>
      <c r="H632" s="115" t="s">
        <v>534</v>
      </c>
    </row>
    <row r="633" spans="1:8" ht="19.899999999999999" customHeight="1">
      <c r="A633" s="121">
        <v>46053</v>
      </c>
      <c r="B633" s="112" t="s">
        <v>359</v>
      </c>
      <c r="C633" s="113" t="s">
        <v>445</v>
      </c>
      <c r="D633" s="112" t="s">
        <v>341</v>
      </c>
      <c r="E633" s="122">
        <v>1.055555555555556</v>
      </c>
      <c r="F633" s="112" t="s">
        <v>361</v>
      </c>
      <c r="G633" s="114">
        <v>9</v>
      </c>
      <c r="H633" s="115" t="s">
        <v>534</v>
      </c>
    </row>
    <row r="634" spans="1:8" ht="19.899999999999999" customHeight="1">
      <c r="A634" s="121">
        <v>46053</v>
      </c>
      <c r="B634" s="112" t="s">
        <v>61</v>
      </c>
      <c r="C634" s="113" t="s">
        <v>371</v>
      </c>
      <c r="D634" s="112" t="s">
        <v>341</v>
      </c>
      <c r="E634" s="122">
        <v>1.0486111111111109</v>
      </c>
      <c r="F634" s="112" t="s">
        <v>63</v>
      </c>
      <c r="G634" s="114">
        <v>5</v>
      </c>
      <c r="H634" s="115" t="s">
        <v>365</v>
      </c>
    </row>
    <row r="635" spans="1:8" ht="19.899999999999999" customHeight="1">
      <c r="A635" s="121">
        <v>46053</v>
      </c>
      <c r="B635" s="112" t="s">
        <v>61</v>
      </c>
      <c r="C635" s="113" t="s">
        <v>377</v>
      </c>
      <c r="D635" s="112" t="s">
        <v>341</v>
      </c>
      <c r="E635" s="122">
        <v>1.5034722222222221</v>
      </c>
      <c r="F635" s="112" t="s">
        <v>63</v>
      </c>
      <c r="G635" s="114">
        <v>3</v>
      </c>
      <c r="H635" s="115" t="s">
        <v>365</v>
      </c>
    </row>
    <row r="636" spans="1:8" ht="19.899999999999999" customHeight="1">
      <c r="A636" s="121">
        <v>46053</v>
      </c>
      <c r="B636" s="112" t="s">
        <v>26</v>
      </c>
      <c r="C636" s="113" t="s">
        <v>354</v>
      </c>
      <c r="D636" s="112" t="s">
        <v>341</v>
      </c>
      <c r="E636" s="122">
        <v>1.3472222222222221</v>
      </c>
      <c r="F636" s="112" t="s">
        <v>28</v>
      </c>
      <c r="G636" s="114">
        <v>2</v>
      </c>
      <c r="H636" s="115" t="s">
        <v>83</v>
      </c>
    </row>
    <row r="637" spans="1:8" ht="19.899999999999999" customHeight="1">
      <c r="A637" s="123">
        <v>46053</v>
      </c>
      <c r="B637" s="124" t="s">
        <v>26</v>
      </c>
      <c r="C637" s="125" t="s">
        <v>351</v>
      </c>
      <c r="D637" s="124" t="s">
        <v>341</v>
      </c>
      <c r="E637" s="126">
        <v>1.836805555555556</v>
      </c>
      <c r="F637" s="124" t="s">
        <v>28</v>
      </c>
      <c r="G637" s="127">
        <v>4</v>
      </c>
      <c r="H637" s="128" t="s">
        <v>83</v>
      </c>
    </row>
  </sheetData>
  <pageMargins left="0.75" right="0.75" top="1" bottom="1" header="0.5" footer="0.5"/>
  <legacy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N568"/>
  <sheetViews>
    <sheetView workbookViewId="0"/>
  </sheetViews>
  <sheetFormatPr defaultRowHeight="14.45"/>
  <cols>
    <col min="1" max="1" width="17.28515625" bestFit="1" customWidth="1"/>
    <col min="2" max="2" width="15.7109375" bestFit="1" customWidth="1"/>
    <col min="3" max="3" width="14.7109375" bestFit="1" customWidth="1"/>
    <col min="4" max="4" width="31.28515625" bestFit="1" customWidth="1"/>
    <col min="5" max="5" width="20.140625" bestFit="1" customWidth="1"/>
    <col min="6" max="6" width="23.42578125" bestFit="1" customWidth="1"/>
    <col min="7" max="7" width="45.140625" bestFit="1" customWidth="1"/>
    <col min="8" max="8" width="9.42578125" bestFit="1" customWidth="1"/>
    <col min="9" max="9" width="6.710937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16.28515625" bestFit="1" customWidth="1"/>
  </cols>
  <sheetData>
    <row r="1" spans="1:92" ht="28.9" customHeight="1">
      <c r="A1" s="291" t="s">
        <v>0</v>
      </c>
      <c r="B1" s="294"/>
      <c r="C1" s="294"/>
      <c r="D1" s="294"/>
      <c r="E1" s="294"/>
      <c r="F1" s="1" t="s">
        <v>706</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45980.609818712037</v>
      </c>
      <c r="H2" s="294"/>
      <c r="I2" s="294"/>
      <c r="J2" s="294"/>
      <c r="K2" s="287">
        <v>45980.60981871243</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46023</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98" t="s">
        <v>61</v>
      </c>
      <c r="B6" s="98" t="s">
        <v>707</v>
      </c>
      <c r="C6" s="99">
        <v>0.52430555555555558</v>
      </c>
      <c r="D6" s="98" t="s">
        <v>63</v>
      </c>
      <c r="E6" s="98" t="s">
        <v>143</v>
      </c>
      <c r="F6" s="98" t="s">
        <v>708</v>
      </c>
      <c r="G6" s="297"/>
      <c r="H6" s="100" t="s">
        <v>709</v>
      </c>
      <c r="I6" s="101">
        <v>1.11E-2</v>
      </c>
      <c r="J6" s="102">
        <v>2</v>
      </c>
      <c r="K6" s="103">
        <v>46289</v>
      </c>
      <c r="L6" s="102">
        <v>2</v>
      </c>
      <c r="M6" s="102">
        <v>0</v>
      </c>
      <c r="N6" s="102">
        <v>0</v>
      </c>
      <c r="O6" s="104" t="s">
        <v>298</v>
      </c>
      <c r="P6" s="105">
        <v>0.52430555555555558</v>
      </c>
      <c r="Q6" s="102">
        <v>180</v>
      </c>
      <c r="R6" s="106" t="s">
        <v>298</v>
      </c>
    </row>
    <row r="7" spans="1:92" ht="15" customHeight="1">
      <c r="A7" s="148" t="s">
        <v>61</v>
      </c>
      <c r="B7" s="148" t="s">
        <v>710</v>
      </c>
      <c r="C7" s="149">
        <v>0.54861111111111105</v>
      </c>
      <c r="D7" s="148" t="s">
        <v>63</v>
      </c>
      <c r="E7" s="148" t="s">
        <v>37</v>
      </c>
      <c r="F7" s="148" t="s">
        <v>711</v>
      </c>
      <c r="G7" s="298"/>
      <c r="H7" s="51" t="s">
        <v>712</v>
      </c>
      <c r="I7" s="52">
        <v>2.2200000000000001E-2</v>
      </c>
      <c r="J7" s="53">
        <v>4</v>
      </c>
      <c r="K7" s="54">
        <v>46343</v>
      </c>
      <c r="L7" s="53">
        <v>4</v>
      </c>
      <c r="M7" s="53">
        <v>0</v>
      </c>
      <c r="N7" s="53">
        <v>0</v>
      </c>
      <c r="O7" s="55" t="s">
        <v>300</v>
      </c>
      <c r="P7" s="56">
        <v>0.54861111111111105</v>
      </c>
      <c r="Q7" s="53">
        <v>180</v>
      </c>
      <c r="R7" s="57" t="s">
        <v>307</v>
      </c>
    </row>
    <row r="8" spans="1:92" ht="15" customHeight="1">
      <c r="A8" s="19" t="s">
        <v>68</v>
      </c>
      <c r="B8" s="19" t="s">
        <v>713</v>
      </c>
      <c r="C8" s="20">
        <v>0.52430555555555558</v>
      </c>
      <c r="D8" s="19" t="s">
        <v>643</v>
      </c>
      <c r="E8" s="19" t="s">
        <v>29</v>
      </c>
      <c r="F8" s="19" t="s">
        <v>714</v>
      </c>
      <c r="G8" s="298"/>
      <c r="H8" s="10"/>
      <c r="I8" s="11"/>
      <c r="J8" s="11"/>
      <c r="K8" s="11"/>
      <c r="L8" s="11"/>
      <c r="M8" s="11"/>
      <c r="N8" s="11"/>
      <c r="O8" s="12"/>
      <c r="P8" s="11"/>
      <c r="Q8" s="13"/>
      <c r="R8" s="14"/>
    </row>
    <row r="9" spans="1:92" ht="18">
      <c r="A9" s="292" t="s">
        <v>615</v>
      </c>
      <c r="B9" s="303"/>
      <c r="C9" s="303"/>
      <c r="D9" s="303"/>
      <c r="E9" s="303"/>
      <c r="F9" s="304"/>
      <c r="G9" s="298"/>
      <c r="H9" s="138"/>
      <c r="I9" s="138"/>
      <c r="J9" s="138"/>
      <c r="K9" s="138"/>
      <c r="L9" s="138"/>
      <c r="M9" s="138"/>
      <c r="N9" s="138"/>
      <c r="O9" s="139"/>
      <c r="P9" s="138"/>
      <c r="Q9" s="107"/>
      <c r="R9" s="107"/>
    </row>
    <row r="10" spans="1:92" ht="15" customHeight="1">
      <c r="A10" s="17" t="s">
        <v>38</v>
      </c>
      <c r="B10" s="17" t="s">
        <v>342</v>
      </c>
      <c r="C10" s="18" t="s">
        <v>592</v>
      </c>
      <c r="D10" s="17" t="s">
        <v>40</v>
      </c>
      <c r="E10" s="17" t="s">
        <v>295</v>
      </c>
      <c r="F10" s="17" t="s">
        <v>343</v>
      </c>
      <c r="G10" s="298"/>
      <c r="H10" s="138"/>
      <c r="I10" s="138"/>
      <c r="J10" s="138"/>
      <c r="K10" s="138"/>
      <c r="L10" s="138"/>
      <c r="M10" s="138"/>
      <c r="N10" s="138"/>
      <c r="O10" s="139"/>
      <c r="P10" s="138"/>
      <c r="Q10" s="107"/>
      <c r="R10" s="107"/>
    </row>
    <row r="11" spans="1:92" ht="15" customHeight="1">
      <c r="A11" s="17" t="s">
        <v>38</v>
      </c>
      <c r="B11" s="17" t="s">
        <v>344</v>
      </c>
      <c r="C11" s="18" t="s">
        <v>593</v>
      </c>
      <c r="D11" s="17" t="s">
        <v>40</v>
      </c>
      <c r="E11" s="17" t="s">
        <v>293</v>
      </c>
      <c r="F11" s="17" t="s">
        <v>343</v>
      </c>
      <c r="G11" s="298"/>
      <c r="H11" s="138"/>
      <c r="I11" s="138"/>
      <c r="J11" s="138"/>
      <c r="K11" s="138"/>
      <c r="L11" s="138"/>
      <c r="M11" s="138"/>
      <c r="N11" s="138"/>
      <c r="O11" s="139"/>
      <c r="P11" s="138"/>
      <c r="Q11" s="107"/>
      <c r="R11" s="107"/>
    </row>
    <row r="12" spans="1:92" ht="15" customHeight="1">
      <c r="A12" s="17" t="s">
        <v>38</v>
      </c>
      <c r="B12" s="17" t="s">
        <v>345</v>
      </c>
      <c r="C12" s="18" t="s">
        <v>594</v>
      </c>
      <c r="D12" s="17" t="s">
        <v>40</v>
      </c>
      <c r="E12" s="17" t="s">
        <v>268</v>
      </c>
      <c r="F12" s="17" t="s">
        <v>343</v>
      </c>
      <c r="G12" s="298"/>
      <c r="H12" s="138"/>
      <c r="I12" s="138"/>
      <c r="J12" s="138"/>
      <c r="K12" s="138"/>
      <c r="L12" s="138"/>
      <c r="M12" s="138"/>
      <c r="N12" s="138"/>
      <c r="O12" s="139"/>
      <c r="P12" s="138"/>
      <c r="Q12" s="107"/>
      <c r="R12" s="107"/>
    </row>
    <row r="13" spans="1:92" ht="15" customHeight="1">
      <c r="A13" s="17" t="s">
        <v>26</v>
      </c>
      <c r="B13" s="17" t="s">
        <v>348</v>
      </c>
      <c r="C13" s="18" t="s">
        <v>595</v>
      </c>
      <c r="D13" s="17" t="s">
        <v>28</v>
      </c>
      <c r="E13" s="17" t="s">
        <v>277</v>
      </c>
      <c r="F13" s="17" t="s">
        <v>131</v>
      </c>
      <c r="G13" s="298"/>
      <c r="H13" s="138"/>
      <c r="I13" s="138"/>
      <c r="J13" s="138"/>
      <c r="K13" s="138"/>
      <c r="L13" s="138"/>
      <c r="M13" s="138"/>
      <c r="N13" s="138"/>
      <c r="O13" s="139"/>
      <c r="P13" s="138"/>
      <c r="Q13" s="107"/>
      <c r="R13" s="107"/>
    </row>
    <row r="14" spans="1:92" ht="15" customHeight="1">
      <c r="A14" s="17" t="s">
        <v>26</v>
      </c>
      <c r="B14" s="17" t="s">
        <v>350</v>
      </c>
      <c r="C14" s="18" t="s">
        <v>596</v>
      </c>
      <c r="D14" s="17" t="s">
        <v>28</v>
      </c>
      <c r="E14" s="17" t="s">
        <v>288</v>
      </c>
      <c r="F14" s="17" t="s">
        <v>131</v>
      </c>
      <c r="G14" s="298"/>
      <c r="H14" s="138"/>
      <c r="I14" s="138"/>
      <c r="J14" s="138"/>
      <c r="K14" s="138"/>
      <c r="L14" s="138"/>
      <c r="M14" s="138"/>
      <c r="N14" s="138"/>
      <c r="O14" s="139"/>
      <c r="P14" s="138"/>
      <c r="Q14" s="107"/>
      <c r="R14" s="107"/>
    </row>
    <row r="15" spans="1:92" ht="15" customHeight="1">
      <c r="A15" s="17" t="s">
        <v>26</v>
      </c>
      <c r="B15" s="17" t="s">
        <v>351</v>
      </c>
      <c r="C15" s="18" t="s">
        <v>597</v>
      </c>
      <c r="D15" s="17" t="s">
        <v>28</v>
      </c>
      <c r="E15" s="17" t="s">
        <v>294</v>
      </c>
      <c r="F15" s="17" t="s">
        <v>131</v>
      </c>
      <c r="G15" s="298"/>
      <c r="H15" s="138"/>
      <c r="I15" s="138"/>
      <c r="J15" s="138"/>
      <c r="K15" s="138"/>
      <c r="L15" s="138"/>
      <c r="M15" s="138"/>
      <c r="N15" s="138"/>
      <c r="O15" s="139"/>
      <c r="P15" s="138"/>
      <c r="Q15" s="107"/>
      <c r="R15" s="107"/>
    </row>
    <row r="16" spans="1:92" ht="15" customHeight="1">
      <c r="A16" s="17" t="s">
        <v>26</v>
      </c>
      <c r="B16" s="17" t="s">
        <v>352</v>
      </c>
      <c r="C16" s="18" t="s">
        <v>598</v>
      </c>
      <c r="D16" s="17" t="s">
        <v>28</v>
      </c>
      <c r="E16" s="17" t="s">
        <v>267</v>
      </c>
      <c r="F16" s="17" t="s">
        <v>131</v>
      </c>
      <c r="G16" s="298"/>
      <c r="H16" s="138"/>
      <c r="I16" s="138"/>
      <c r="J16" s="138"/>
      <c r="K16" s="138"/>
      <c r="L16" s="138"/>
      <c r="M16" s="138"/>
      <c r="N16" s="138"/>
      <c r="O16" s="139"/>
      <c r="P16" s="138"/>
      <c r="Q16" s="107"/>
      <c r="R16" s="107"/>
    </row>
    <row r="17" spans="1:18" ht="15" customHeight="1">
      <c r="A17" s="17" t="s">
        <v>26</v>
      </c>
      <c r="B17" s="17" t="s">
        <v>353</v>
      </c>
      <c r="C17" s="18" t="s">
        <v>593</v>
      </c>
      <c r="D17" s="17" t="s">
        <v>28</v>
      </c>
      <c r="E17" s="17" t="s">
        <v>277</v>
      </c>
      <c r="F17" s="17" t="s">
        <v>131</v>
      </c>
      <c r="G17" s="298"/>
      <c r="H17" s="138"/>
      <c r="I17" s="138"/>
      <c r="J17" s="138"/>
      <c r="K17" s="138"/>
      <c r="L17" s="138"/>
      <c r="M17" s="138"/>
      <c r="N17" s="138"/>
      <c r="O17" s="139"/>
      <c r="P17" s="138"/>
      <c r="Q17" s="107"/>
      <c r="R17" s="107"/>
    </row>
    <row r="18" spans="1:18" ht="15" customHeight="1">
      <c r="A18" s="17" t="s">
        <v>359</v>
      </c>
      <c r="B18" s="17" t="s">
        <v>360</v>
      </c>
      <c r="C18" s="18" t="s">
        <v>599</v>
      </c>
      <c r="D18" s="17" t="s">
        <v>361</v>
      </c>
      <c r="E18" s="17" t="s">
        <v>270</v>
      </c>
      <c r="F18" s="17" t="s">
        <v>362</v>
      </c>
      <c r="G18" s="298"/>
      <c r="H18" s="138"/>
      <c r="I18" s="138"/>
      <c r="J18" s="138"/>
      <c r="K18" s="138"/>
      <c r="L18" s="138"/>
      <c r="M18" s="138"/>
      <c r="N18" s="138"/>
      <c r="O18" s="139"/>
      <c r="P18" s="138"/>
      <c r="Q18" s="107"/>
      <c r="R18" s="107"/>
    </row>
    <row r="19" spans="1:18" ht="15" customHeight="1" thickBot="1">
      <c r="A19" s="30" t="s">
        <v>38</v>
      </c>
      <c r="B19" s="30" t="s">
        <v>346</v>
      </c>
      <c r="C19" s="31" t="s">
        <v>600</v>
      </c>
      <c r="D19" s="30" t="s">
        <v>40</v>
      </c>
      <c r="E19" s="30" t="s">
        <v>268</v>
      </c>
      <c r="F19" s="30" t="s">
        <v>347</v>
      </c>
      <c r="G19" s="299"/>
      <c r="H19" s="140"/>
      <c r="I19" s="140"/>
      <c r="J19" s="140"/>
      <c r="K19" s="140"/>
      <c r="L19" s="140"/>
      <c r="M19" s="140"/>
      <c r="N19" s="140"/>
      <c r="O19" s="141"/>
      <c r="P19" s="140"/>
      <c r="Q19" s="142"/>
      <c r="R19" s="142"/>
    </row>
    <row r="20" spans="1:18" ht="17.45" customHeight="1" thickBot="1">
      <c r="A20" s="283"/>
      <c r="B20" s="284"/>
      <c r="C20" s="284"/>
      <c r="D20" s="284"/>
      <c r="E20" s="284"/>
      <c r="F20" s="284"/>
      <c r="G20" s="284"/>
      <c r="H20" s="284"/>
      <c r="I20" s="284"/>
      <c r="J20" s="284"/>
      <c r="K20" s="284"/>
      <c r="L20" s="284"/>
      <c r="M20" s="284"/>
      <c r="N20" s="284"/>
      <c r="O20" s="284"/>
      <c r="P20" s="284"/>
      <c r="Q20" s="284"/>
      <c r="R20" s="285"/>
    </row>
    <row r="21" spans="1:18" ht="22.15" customHeight="1" thickTop="1" thickBot="1">
      <c r="A21" s="279" t="s">
        <v>6</v>
      </c>
      <c r="B21" s="295"/>
      <c r="C21" s="295"/>
      <c r="D21" s="295"/>
      <c r="E21" s="295"/>
      <c r="F21" s="296"/>
      <c r="G21" s="32">
        <v>46024</v>
      </c>
      <c r="H21" s="278" t="s">
        <v>7</v>
      </c>
      <c r="I21" s="295"/>
      <c r="J21" s="295"/>
      <c r="K21" s="295"/>
      <c r="L21" s="295"/>
      <c r="M21" s="295"/>
      <c r="N21" s="295"/>
      <c r="O21" s="295"/>
      <c r="P21" s="295"/>
      <c r="Q21" s="295"/>
      <c r="R21" s="296"/>
    </row>
    <row r="22" spans="1:18" ht="24" customHeight="1">
      <c r="A22" s="33" t="s">
        <v>8</v>
      </c>
      <c r="B22" s="33" t="s">
        <v>9</v>
      </c>
      <c r="C22" s="34" t="s">
        <v>10</v>
      </c>
      <c r="D22" s="33" t="s">
        <v>11</v>
      </c>
      <c r="E22" s="33" t="s">
        <v>12</v>
      </c>
      <c r="F22" s="35" t="s">
        <v>13</v>
      </c>
      <c r="G22" s="36" t="s">
        <v>14</v>
      </c>
      <c r="H22" s="33" t="s">
        <v>15</v>
      </c>
      <c r="I22" s="37" t="s">
        <v>16</v>
      </c>
      <c r="J22" s="38" t="s">
        <v>17</v>
      </c>
      <c r="K22" s="39" t="s">
        <v>18</v>
      </c>
      <c r="L22" s="38" t="s">
        <v>19</v>
      </c>
      <c r="M22" s="38" t="s">
        <v>20</v>
      </c>
      <c r="N22" s="38" t="s">
        <v>21</v>
      </c>
      <c r="O22" s="33" t="s">
        <v>22</v>
      </c>
      <c r="P22" s="34" t="s">
        <v>23</v>
      </c>
      <c r="Q22" s="38" t="s">
        <v>24</v>
      </c>
      <c r="R22" s="33" t="s">
        <v>25</v>
      </c>
    </row>
    <row r="23" spans="1:18" ht="15" customHeight="1">
      <c r="A23" s="21" t="s">
        <v>61</v>
      </c>
      <c r="B23" s="21" t="s">
        <v>715</v>
      </c>
      <c r="C23" s="22">
        <v>0.13541666666666671</v>
      </c>
      <c r="D23" s="21" t="s">
        <v>63</v>
      </c>
      <c r="E23" s="21" t="s">
        <v>156</v>
      </c>
      <c r="F23" s="21" t="s">
        <v>708</v>
      </c>
      <c r="G23" s="297"/>
      <c r="H23" s="23" t="s">
        <v>716</v>
      </c>
      <c r="I23" s="24">
        <v>2.7799999999999998E-2</v>
      </c>
      <c r="J23" s="25">
        <v>5</v>
      </c>
      <c r="K23" s="26">
        <v>46342</v>
      </c>
      <c r="L23" s="25">
        <v>5</v>
      </c>
      <c r="M23" s="25">
        <v>0</v>
      </c>
      <c r="N23" s="25">
        <v>0</v>
      </c>
      <c r="O23" s="27" t="s">
        <v>302</v>
      </c>
      <c r="P23" s="28">
        <v>0.13541666666666671</v>
      </c>
      <c r="Q23" s="25">
        <v>180</v>
      </c>
      <c r="R23" s="29" t="s">
        <v>717</v>
      </c>
    </row>
    <row r="24" spans="1:18" ht="18">
      <c r="A24" s="292" t="s">
        <v>615</v>
      </c>
      <c r="B24" s="303"/>
      <c r="C24" s="303"/>
      <c r="D24" s="303"/>
      <c r="E24" s="303"/>
      <c r="F24" s="304"/>
      <c r="G24" s="298"/>
      <c r="H24" s="138"/>
      <c r="I24" s="138"/>
      <c r="J24" s="138"/>
      <c r="K24" s="138"/>
      <c r="L24" s="138"/>
      <c r="M24" s="138"/>
      <c r="N24" s="138"/>
      <c r="O24" s="139"/>
      <c r="P24" s="138"/>
      <c r="Q24" s="107"/>
      <c r="R24" s="107"/>
    </row>
    <row r="25" spans="1:18" ht="15" customHeight="1">
      <c r="A25" s="17" t="s">
        <v>38</v>
      </c>
      <c r="B25" s="17" t="s">
        <v>346</v>
      </c>
      <c r="C25" s="18" t="s">
        <v>600</v>
      </c>
      <c r="D25" s="17" t="s">
        <v>40</v>
      </c>
      <c r="E25" s="17" t="s">
        <v>303</v>
      </c>
      <c r="F25" s="17" t="s">
        <v>343</v>
      </c>
      <c r="G25" s="298"/>
      <c r="H25" s="138"/>
      <c r="I25" s="138"/>
      <c r="J25" s="138"/>
      <c r="K25" s="138"/>
      <c r="L25" s="138"/>
      <c r="M25" s="138"/>
      <c r="N25" s="138"/>
      <c r="O25" s="139"/>
      <c r="P25" s="138"/>
      <c r="Q25" s="107"/>
      <c r="R25" s="107"/>
    </row>
    <row r="26" spans="1:18" ht="15" customHeight="1">
      <c r="A26" s="17" t="s">
        <v>38</v>
      </c>
      <c r="B26" s="17" t="s">
        <v>344</v>
      </c>
      <c r="C26" s="18" t="s">
        <v>593</v>
      </c>
      <c r="D26" s="17" t="s">
        <v>40</v>
      </c>
      <c r="E26" s="17" t="s">
        <v>293</v>
      </c>
      <c r="F26" s="17" t="s">
        <v>30</v>
      </c>
      <c r="G26" s="298"/>
      <c r="H26" s="138"/>
      <c r="I26" s="138"/>
      <c r="J26" s="138"/>
      <c r="K26" s="138"/>
      <c r="L26" s="138"/>
      <c r="M26" s="138"/>
      <c r="N26" s="138"/>
      <c r="O26" s="139"/>
      <c r="P26" s="138"/>
      <c r="Q26" s="107"/>
      <c r="R26" s="107"/>
    </row>
    <row r="27" spans="1:18" ht="15" customHeight="1">
      <c r="A27" s="17" t="s">
        <v>359</v>
      </c>
      <c r="B27" s="17" t="s">
        <v>422</v>
      </c>
      <c r="C27" s="18" t="s">
        <v>618</v>
      </c>
      <c r="D27" s="17" t="s">
        <v>361</v>
      </c>
      <c r="E27" s="17" t="s">
        <v>270</v>
      </c>
      <c r="F27" s="17" t="s">
        <v>423</v>
      </c>
      <c r="G27" s="298"/>
      <c r="H27" s="138"/>
      <c r="I27" s="138"/>
      <c r="J27" s="138"/>
      <c r="K27" s="138"/>
      <c r="L27" s="138"/>
      <c r="M27" s="138"/>
      <c r="N27" s="138"/>
      <c r="O27" s="139"/>
      <c r="P27" s="138"/>
      <c r="Q27" s="107"/>
      <c r="R27" s="107"/>
    </row>
    <row r="28" spans="1:18" ht="15" customHeight="1">
      <c r="A28" s="17" t="s">
        <v>359</v>
      </c>
      <c r="B28" s="17" t="s">
        <v>360</v>
      </c>
      <c r="C28" s="18" t="s">
        <v>619</v>
      </c>
      <c r="D28" s="17" t="s">
        <v>361</v>
      </c>
      <c r="E28" s="17" t="s">
        <v>270</v>
      </c>
      <c r="F28" s="17" t="s">
        <v>423</v>
      </c>
      <c r="G28" s="298"/>
      <c r="H28" s="138"/>
      <c r="I28" s="138"/>
      <c r="J28" s="138"/>
      <c r="K28" s="138"/>
      <c r="L28" s="138"/>
      <c r="M28" s="138"/>
      <c r="N28" s="138"/>
      <c r="O28" s="139"/>
      <c r="P28" s="138"/>
      <c r="Q28" s="107"/>
      <c r="R28" s="107"/>
    </row>
    <row r="29" spans="1:18" ht="15" customHeight="1">
      <c r="A29" s="17" t="s">
        <v>359</v>
      </c>
      <c r="B29" s="17" t="s">
        <v>425</v>
      </c>
      <c r="C29" s="18" t="s">
        <v>620</v>
      </c>
      <c r="D29" s="17" t="s">
        <v>361</v>
      </c>
      <c r="E29" s="17" t="s">
        <v>270</v>
      </c>
      <c r="F29" s="17" t="s">
        <v>423</v>
      </c>
      <c r="G29" s="298"/>
      <c r="H29" s="138"/>
      <c r="I29" s="138"/>
      <c r="J29" s="138"/>
      <c r="K29" s="138"/>
      <c r="L29" s="138"/>
      <c r="M29" s="138"/>
      <c r="N29" s="138"/>
      <c r="O29" s="139"/>
      <c r="P29" s="138"/>
      <c r="Q29" s="107"/>
      <c r="R29" s="107"/>
    </row>
    <row r="30" spans="1:18" ht="15" customHeight="1">
      <c r="A30" s="17" t="s">
        <v>38</v>
      </c>
      <c r="B30" s="17" t="s">
        <v>342</v>
      </c>
      <c r="C30" s="18" t="s">
        <v>592</v>
      </c>
      <c r="D30" s="17" t="s">
        <v>40</v>
      </c>
      <c r="E30" s="17" t="s">
        <v>293</v>
      </c>
      <c r="F30" s="17" t="s">
        <v>347</v>
      </c>
      <c r="G30" s="298"/>
      <c r="H30" s="138"/>
      <c r="I30" s="138"/>
      <c r="J30" s="138"/>
      <c r="K30" s="138"/>
      <c r="L30" s="138"/>
      <c r="M30" s="138"/>
      <c r="N30" s="138"/>
      <c r="O30" s="139"/>
      <c r="P30" s="138"/>
      <c r="Q30" s="107"/>
      <c r="R30" s="107"/>
    </row>
    <row r="31" spans="1:18" ht="15" customHeight="1">
      <c r="A31" s="17" t="s">
        <v>38</v>
      </c>
      <c r="B31" s="17" t="s">
        <v>345</v>
      </c>
      <c r="C31" s="18" t="s">
        <v>594</v>
      </c>
      <c r="D31" s="17" t="s">
        <v>40</v>
      </c>
      <c r="E31" s="17" t="s">
        <v>308</v>
      </c>
      <c r="F31" s="17" t="s">
        <v>347</v>
      </c>
      <c r="G31" s="298"/>
      <c r="H31" s="138"/>
      <c r="I31" s="138"/>
      <c r="J31" s="138"/>
      <c r="K31" s="138"/>
      <c r="L31" s="138"/>
      <c r="M31" s="138"/>
      <c r="N31" s="138"/>
      <c r="O31" s="139"/>
      <c r="P31" s="138"/>
      <c r="Q31" s="107"/>
      <c r="R31" s="107"/>
    </row>
    <row r="32" spans="1:18" ht="15" customHeight="1">
      <c r="A32" s="17" t="s">
        <v>26</v>
      </c>
      <c r="B32" s="17" t="s">
        <v>348</v>
      </c>
      <c r="C32" s="18" t="s">
        <v>595</v>
      </c>
      <c r="D32" s="17" t="s">
        <v>28</v>
      </c>
      <c r="E32" s="17" t="s">
        <v>288</v>
      </c>
      <c r="F32" s="17" t="s">
        <v>347</v>
      </c>
      <c r="G32" s="298"/>
      <c r="H32" s="138"/>
      <c r="I32" s="138"/>
      <c r="J32" s="138"/>
      <c r="K32" s="138"/>
      <c r="L32" s="138"/>
      <c r="M32" s="138"/>
      <c r="N32" s="138"/>
      <c r="O32" s="139"/>
      <c r="P32" s="138"/>
      <c r="Q32" s="107"/>
      <c r="R32" s="107"/>
    </row>
    <row r="33" spans="1:18" ht="15" customHeight="1">
      <c r="A33" s="17" t="s">
        <v>26</v>
      </c>
      <c r="B33" s="17" t="s">
        <v>350</v>
      </c>
      <c r="C33" s="18" t="s">
        <v>596</v>
      </c>
      <c r="D33" s="17" t="s">
        <v>28</v>
      </c>
      <c r="E33" s="17" t="s">
        <v>288</v>
      </c>
      <c r="F33" s="17" t="s">
        <v>347</v>
      </c>
      <c r="G33" s="298"/>
      <c r="H33" s="138"/>
      <c r="I33" s="138"/>
      <c r="J33" s="138"/>
      <c r="K33" s="138"/>
      <c r="L33" s="138"/>
      <c r="M33" s="138"/>
      <c r="N33" s="138"/>
      <c r="O33" s="139"/>
      <c r="P33" s="138"/>
      <c r="Q33" s="107"/>
      <c r="R33" s="107"/>
    </row>
    <row r="34" spans="1:18" ht="15" customHeight="1" thickBot="1">
      <c r="A34" s="30" t="s">
        <v>61</v>
      </c>
      <c r="B34" s="30" t="s">
        <v>428</v>
      </c>
      <c r="C34" s="31" t="s">
        <v>564</v>
      </c>
      <c r="D34" s="30" t="s">
        <v>63</v>
      </c>
      <c r="E34" s="30" t="s">
        <v>288</v>
      </c>
      <c r="F34" s="30" t="s">
        <v>365</v>
      </c>
      <c r="G34" s="299"/>
      <c r="H34" s="140"/>
      <c r="I34" s="140"/>
      <c r="J34" s="140"/>
      <c r="K34" s="140"/>
      <c r="L34" s="140"/>
      <c r="M34" s="140"/>
      <c r="N34" s="140"/>
      <c r="O34" s="141"/>
      <c r="P34" s="140"/>
      <c r="Q34" s="142"/>
      <c r="R34" s="142"/>
    </row>
    <row r="35" spans="1:18" ht="17.45" customHeight="1" thickBot="1">
      <c r="A35" s="283"/>
      <c r="B35" s="284"/>
      <c r="C35" s="284"/>
      <c r="D35" s="284"/>
      <c r="E35" s="284"/>
      <c r="F35" s="284"/>
      <c r="G35" s="284"/>
      <c r="H35" s="284"/>
      <c r="I35" s="284"/>
      <c r="J35" s="284"/>
      <c r="K35" s="284"/>
      <c r="L35" s="284"/>
      <c r="M35" s="284"/>
      <c r="N35" s="284"/>
      <c r="O35" s="284"/>
      <c r="P35" s="284"/>
      <c r="Q35" s="284"/>
      <c r="R35" s="285"/>
    </row>
    <row r="36" spans="1:18" ht="22.15" customHeight="1" thickTop="1" thickBot="1">
      <c r="A36" s="279" t="s">
        <v>6</v>
      </c>
      <c r="B36" s="295"/>
      <c r="C36" s="295"/>
      <c r="D36" s="295"/>
      <c r="E36" s="295"/>
      <c r="F36" s="296"/>
      <c r="G36" s="32">
        <v>46025</v>
      </c>
      <c r="H36" s="278" t="s">
        <v>7</v>
      </c>
      <c r="I36" s="295"/>
      <c r="J36" s="295"/>
      <c r="K36" s="295"/>
      <c r="L36" s="295"/>
      <c r="M36" s="295"/>
      <c r="N36" s="295"/>
      <c r="O36" s="295"/>
      <c r="P36" s="295"/>
      <c r="Q36" s="295"/>
      <c r="R36" s="296"/>
    </row>
    <row r="37" spans="1:18" ht="24" customHeight="1">
      <c r="A37" s="33" t="s">
        <v>8</v>
      </c>
      <c r="B37" s="33" t="s">
        <v>9</v>
      </c>
      <c r="C37" s="34" t="s">
        <v>10</v>
      </c>
      <c r="D37" s="33" t="s">
        <v>11</v>
      </c>
      <c r="E37" s="33" t="s">
        <v>12</v>
      </c>
      <c r="F37" s="35" t="s">
        <v>13</v>
      </c>
      <c r="G37" s="36" t="s">
        <v>14</v>
      </c>
      <c r="H37" s="33" t="s">
        <v>15</v>
      </c>
      <c r="I37" s="37" t="s">
        <v>16</v>
      </c>
      <c r="J37" s="38" t="s">
        <v>17</v>
      </c>
      <c r="K37" s="39" t="s">
        <v>18</v>
      </c>
      <c r="L37" s="38" t="s">
        <v>19</v>
      </c>
      <c r="M37" s="38" t="s">
        <v>20</v>
      </c>
      <c r="N37" s="38" t="s">
        <v>21</v>
      </c>
      <c r="O37" s="33" t="s">
        <v>22</v>
      </c>
      <c r="P37" s="34" t="s">
        <v>23</v>
      </c>
      <c r="Q37" s="38" t="s">
        <v>24</v>
      </c>
      <c r="R37" s="33" t="s">
        <v>25</v>
      </c>
    </row>
    <row r="38" spans="1:18" ht="15" customHeight="1">
      <c r="A38" s="87" t="s">
        <v>61</v>
      </c>
      <c r="B38" s="87" t="s">
        <v>707</v>
      </c>
      <c r="C38" s="88">
        <v>0.30208333333333331</v>
      </c>
      <c r="D38" s="87" t="s">
        <v>63</v>
      </c>
      <c r="E38" s="87" t="s">
        <v>29</v>
      </c>
      <c r="F38" s="87" t="s">
        <v>708</v>
      </c>
      <c r="G38" s="297"/>
      <c r="H38" s="89" t="s">
        <v>709</v>
      </c>
      <c r="I38" s="90">
        <v>0</v>
      </c>
      <c r="J38" s="91">
        <v>0</v>
      </c>
      <c r="K38" s="92" t="s">
        <v>66</v>
      </c>
      <c r="L38" s="91">
        <v>0</v>
      </c>
      <c r="M38" s="91">
        <v>0</v>
      </c>
      <c r="N38" s="91">
        <v>0</v>
      </c>
      <c r="O38" s="93" t="s">
        <v>307</v>
      </c>
      <c r="P38" s="94">
        <v>0.30208333333333331</v>
      </c>
      <c r="Q38" s="91">
        <v>180</v>
      </c>
      <c r="R38" s="95" t="s">
        <v>66</v>
      </c>
    </row>
    <row r="39" spans="1:18" ht="15" customHeight="1">
      <c r="A39" s="154" t="s">
        <v>61</v>
      </c>
      <c r="B39" s="154" t="s">
        <v>710</v>
      </c>
      <c r="C39" s="155">
        <v>0.52777777777777779</v>
      </c>
      <c r="D39" s="154" t="s">
        <v>63</v>
      </c>
      <c r="E39" s="154" t="s">
        <v>134</v>
      </c>
      <c r="F39" s="154" t="s">
        <v>708</v>
      </c>
      <c r="G39" s="298"/>
      <c r="H39" s="69" t="s">
        <v>712</v>
      </c>
      <c r="I39" s="70">
        <v>2.2200000000000001E-2</v>
      </c>
      <c r="J39" s="71">
        <v>4</v>
      </c>
      <c r="K39" s="72">
        <v>46333</v>
      </c>
      <c r="L39" s="71">
        <v>4</v>
      </c>
      <c r="M39" s="71">
        <v>0</v>
      </c>
      <c r="N39" s="71">
        <v>0</v>
      </c>
      <c r="O39" s="73" t="s">
        <v>302</v>
      </c>
      <c r="P39" s="74">
        <v>0.52777777777777779</v>
      </c>
      <c r="Q39" s="71">
        <v>180</v>
      </c>
      <c r="R39" s="75" t="s">
        <v>718</v>
      </c>
    </row>
    <row r="40" spans="1:18" ht="15" customHeight="1">
      <c r="A40" s="162" t="s">
        <v>61</v>
      </c>
      <c r="B40" s="162" t="s">
        <v>715</v>
      </c>
      <c r="C40" s="163">
        <v>0.1423611111111111</v>
      </c>
      <c r="D40" s="162" t="s">
        <v>63</v>
      </c>
      <c r="E40" s="162" t="s">
        <v>134</v>
      </c>
      <c r="F40" s="162" t="s">
        <v>708</v>
      </c>
      <c r="G40" s="298"/>
      <c r="H40" s="60" t="s">
        <v>716</v>
      </c>
      <c r="I40" s="61">
        <v>1.67E-2</v>
      </c>
      <c r="J40" s="62">
        <v>3</v>
      </c>
      <c r="K40" s="63">
        <v>46341</v>
      </c>
      <c r="L40" s="62">
        <v>3</v>
      </c>
      <c r="M40" s="62">
        <v>0</v>
      </c>
      <c r="N40" s="62">
        <v>0</v>
      </c>
      <c r="O40" s="64" t="s">
        <v>302</v>
      </c>
      <c r="P40" s="65">
        <v>0.1423611111111111</v>
      </c>
      <c r="Q40" s="62">
        <v>180</v>
      </c>
      <c r="R40" s="66" t="s">
        <v>304</v>
      </c>
    </row>
    <row r="41" spans="1:18" ht="15" customHeight="1">
      <c r="A41" s="19" t="s">
        <v>68</v>
      </c>
      <c r="B41" s="19" t="s">
        <v>713</v>
      </c>
      <c r="C41" s="20">
        <v>0.30208333333333331</v>
      </c>
      <c r="D41" s="19" t="s">
        <v>643</v>
      </c>
      <c r="E41" s="19" t="s">
        <v>29</v>
      </c>
      <c r="F41" s="19" t="s">
        <v>714</v>
      </c>
      <c r="G41" s="298"/>
      <c r="H41" s="10"/>
      <c r="I41" s="11"/>
      <c r="J41" s="11"/>
      <c r="K41" s="11"/>
      <c r="L41" s="11"/>
      <c r="M41" s="11"/>
      <c r="N41" s="11"/>
      <c r="O41" s="12"/>
      <c r="P41" s="11"/>
      <c r="Q41" s="13"/>
      <c r="R41" s="14"/>
    </row>
    <row r="42" spans="1:18" ht="18">
      <c r="A42" s="292" t="s">
        <v>615</v>
      </c>
      <c r="B42" s="303"/>
      <c r="C42" s="303"/>
      <c r="D42" s="303"/>
      <c r="E42" s="303"/>
      <c r="F42" s="304"/>
      <c r="G42" s="298"/>
      <c r="H42" s="138"/>
      <c r="I42" s="138"/>
      <c r="J42" s="138"/>
      <c r="K42" s="138"/>
      <c r="L42" s="138"/>
      <c r="M42" s="138"/>
      <c r="N42" s="138"/>
      <c r="O42" s="139"/>
      <c r="P42" s="138"/>
      <c r="Q42" s="107"/>
      <c r="R42" s="107"/>
    </row>
    <row r="43" spans="1:18" ht="15" customHeight="1">
      <c r="A43" s="17" t="s">
        <v>38</v>
      </c>
      <c r="B43" s="17" t="s">
        <v>346</v>
      </c>
      <c r="C43" s="18" t="s">
        <v>600</v>
      </c>
      <c r="D43" s="17" t="s">
        <v>440</v>
      </c>
      <c r="E43" s="17" t="s">
        <v>295</v>
      </c>
      <c r="F43" s="17" t="s">
        <v>30</v>
      </c>
      <c r="G43" s="298"/>
      <c r="H43" s="138"/>
      <c r="I43" s="138"/>
      <c r="J43" s="138"/>
      <c r="K43" s="138"/>
      <c r="L43" s="138"/>
      <c r="M43" s="138"/>
      <c r="N43" s="138"/>
      <c r="O43" s="139"/>
      <c r="P43" s="138"/>
      <c r="Q43" s="107"/>
      <c r="R43" s="107"/>
    </row>
    <row r="44" spans="1:18" ht="15" customHeight="1">
      <c r="A44" s="17" t="s">
        <v>38</v>
      </c>
      <c r="B44" s="17" t="s">
        <v>346</v>
      </c>
      <c r="C44" s="18" t="s">
        <v>600</v>
      </c>
      <c r="D44" s="17" t="s">
        <v>40</v>
      </c>
      <c r="E44" s="17" t="s">
        <v>295</v>
      </c>
      <c r="F44" s="17" t="s">
        <v>30</v>
      </c>
      <c r="G44" s="298"/>
      <c r="H44" s="138"/>
      <c r="I44" s="138"/>
      <c r="J44" s="138"/>
      <c r="K44" s="138"/>
      <c r="L44" s="138"/>
      <c r="M44" s="138"/>
      <c r="N44" s="138"/>
      <c r="O44" s="139"/>
      <c r="P44" s="138"/>
      <c r="Q44" s="107"/>
      <c r="R44" s="107"/>
    </row>
    <row r="45" spans="1:18" ht="15" customHeight="1">
      <c r="A45" s="17" t="s">
        <v>38</v>
      </c>
      <c r="B45" s="17" t="s">
        <v>345</v>
      </c>
      <c r="C45" s="18" t="s">
        <v>594</v>
      </c>
      <c r="D45" s="17" t="s">
        <v>440</v>
      </c>
      <c r="E45" s="17" t="s">
        <v>287</v>
      </c>
      <c r="F45" s="17" t="s">
        <v>30</v>
      </c>
      <c r="G45" s="298"/>
      <c r="H45" s="138"/>
      <c r="I45" s="138"/>
      <c r="J45" s="138"/>
      <c r="K45" s="138"/>
      <c r="L45" s="138"/>
      <c r="M45" s="138"/>
      <c r="N45" s="138"/>
      <c r="O45" s="139"/>
      <c r="P45" s="138"/>
      <c r="Q45" s="107"/>
      <c r="R45" s="107"/>
    </row>
    <row r="46" spans="1:18" ht="15" customHeight="1">
      <c r="A46" s="17" t="s">
        <v>38</v>
      </c>
      <c r="B46" s="17" t="s">
        <v>345</v>
      </c>
      <c r="C46" s="18" t="s">
        <v>594</v>
      </c>
      <c r="D46" s="17" t="s">
        <v>40</v>
      </c>
      <c r="E46" s="17" t="s">
        <v>287</v>
      </c>
      <c r="F46" s="17" t="s">
        <v>30</v>
      </c>
      <c r="G46" s="298"/>
      <c r="H46" s="138"/>
      <c r="I46" s="138"/>
      <c r="J46" s="138"/>
      <c r="K46" s="138"/>
      <c r="L46" s="138"/>
      <c r="M46" s="138"/>
      <c r="N46" s="138"/>
      <c r="O46" s="139"/>
      <c r="P46" s="138"/>
      <c r="Q46" s="107"/>
      <c r="R46" s="107"/>
    </row>
    <row r="47" spans="1:18" ht="15" customHeight="1">
      <c r="A47" s="17" t="s">
        <v>359</v>
      </c>
      <c r="B47" s="17" t="s">
        <v>360</v>
      </c>
      <c r="C47" s="18" t="s">
        <v>599</v>
      </c>
      <c r="D47" s="17" t="s">
        <v>361</v>
      </c>
      <c r="E47" s="17" t="s">
        <v>270</v>
      </c>
      <c r="F47" s="17" t="s">
        <v>423</v>
      </c>
      <c r="G47" s="298"/>
      <c r="H47" s="138"/>
      <c r="I47" s="138"/>
      <c r="J47" s="138"/>
      <c r="K47" s="138"/>
      <c r="L47" s="138"/>
      <c r="M47" s="138"/>
      <c r="N47" s="138"/>
      <c r="O47" s="139"/>
      <c r="P47" s="138"/>
      <c r="Q47" s="107"/>
      <c r="R47" s="107"/>
    </row>
    <row r="48" spans="1:18" ht="15" customHeight="1">
      <c r="A48" s="17" t="s">
        <v>359</v>
      </c>
      <c r="B48" s="17" t="s">
        <v>445</v>
      </c>
      <c r="C48" s="18" t="s">
        <v>635</v>
      </c>
      <c r="D48" s="17" t="s">
        <v>361</v>
      </c>
      <c r="E48" s="17" t="s">
        <v>270</v>
      </c>
      <c r="F48" s="17" t="s">
        <v>423</v>
      </c>
      <c r="G48" s="298"/>
      <c r="H48" s="138"/>
      <c r="I48" s="138"/>
      <c r="J48" s="138"/>
      <c r="K48" s="138"/>
      <c r="L48" s="138"/>
      <c r="M48" s="138"/>
      <c r="N48" s="138"/>
      <c r="O48" s="139"/>
      <c r="P48" s="138"/>
      <c r="Q48" s="107"/>
      <c r="R48" s="107"/>
    </row>
    <row r="49" spans="1:18" ht="15" customHeight="1">
      <c r="A49" s="17" t="s">
        <v>61</v>
      </c>
      <c r="B49" s="17" t="s">
        <v>371</v>
      </c>
      <c r="C49" s="18" t="s">
        <v>566</v>
      </c>
      <c r="D49" s="17" t="s">
        <v>63</v>
      </c>
      <c r="E49" s="17" t="s">
        <v>286</v>
      </c>
      <c r="F49" s="17" t="s">
        <v>365</v>
      </c>
      <c r="G49" s="298"/>
      <c r="H49" s="138"/>
      <c r="I49" s="138"/>
      <c r="J49" s="138"/>
      <c r="K49" s="138"/>
      <c r="L49" s="138"/>
      <c r="M49" s="138"/>
      <c r="N49" s="138"/>
      <c r="O49" s="139"/>
      <c r="P49" s="138"/>
      <c r="Q49" s="107"/>
      <c r="R49" s="107"/>
    </row>
    <row r="50" spans="1:18" ht="15" customHeight="1">
      <c r="A50" s="17" t="s">
        <v>38</v>
      </c>
      <c r="B50" s="17" t="s">
        <v>342</v>
      </c>
      <c r="C50" s="18" t="s">
        <v>592</v>
      </c>
      <c r="D50" s="17" t="s">
        <v>40</v>
      </c>
      <c r="E50" s="17" t="s">
        <v>284</v>
      </c>
      <c r="F50" s="17" t="s">
        <v>349</v>
      </c>
      <c r="G50" s="298"/>
      <c r="H50" s="138"/>
      <c r="I50" s="138"/>
      <c r="J50" s="138"/>
      <c r="K50" s="138"/>
      <c r="L50" s="138"/>
      <c r="M50" s="138"/>
      <c r="N50" s="138"/>
      <c r="O50" s="139"/>
      <c r="P50" s="138"/>
      <c r="Q50" s="107"/>
      <c r="R50" s="107"/>
    </row>
    <row r="51" spans="1:18" ht="15" customHeight="1">
      <c r="A51" s="17" t="s">
        <v>38</v>
      </c>
      <c r="B51" s="17" t="s">
        <v>344</v>
      </c>
      <c r="C51" s="18" t="s">
        <v>593</v>
      </c>
      <c r="D51" s="17" t="s">
        <v>440</v>
      </c>
      <c r="E51" s="17" t="s">
        <v>275</v>
      </c>
      <c r="F51" s="17" t="s">
        <v>349</v>
      </c>
      <c r="G51" s="298"/>
      <c r="H51" s="138"/>
      <c r="I51" s="138"/>
      <c r="J51" s="138"/>
      <c r="K51" s="138"/>
      <c r="L51" s="138"/>
      <c r="M51" s="138"/>
      <c r="N51" s="138"/>
      <c r="O51" s="139"/>
      <c r="P51" s="138"/>
      <c r="Q51" s="107"/>
      <c r="R51" s="107"/>
    </row>
    <row r="52" spans="1:18" ht="15" customHeight="1" thickBot="1">
      <c r="A52" s="30" t="s">
        <v>38</v>
      </c>
      <c r="B52" s="30" t="s">
        <v>344</v>
      </c>
      <c r="C52" s="31" t="s">
        <v>593</v>
      </c>
      <c r="D52" s="30" t="s">
        <v>40</v>
      </c>
      <c r="E52" s="30" t="s">
        <v>275</v>
      </c>
      <c r="F52" s="30" t="s">
        <v>349</v>
      </c>
      <c r="G52" s="299"/>
      <c r="H52" s="140"/>
      <c r="I52" s="140"/>
      <c r="J52" s="140"/>
      <c r="K52" s="140"/>
      <c r="L52" s="140"/>
      <c r="M52" s="140"/>
      <c r="N52" s="140"/>
      <c r="O52" s="141"/>
      <c r="P52" s="140"/>
      <c r="Q52" s="142"/>
      <c r="R52" s="142"/>
    </row>
    <row r="53" spans="1:18" ht="17.45" customHeight="1" thickBot="1">
      <c r="A53" s="283"/>
      <c r="B53" s="284"/>
      <c r="C53" s="284"/>
      <c r="D53" s="284"/>
      <c r="E53" s="284"/>
      <c r="F53" s="284"/>
      <c r="G53" s="284"/>
      <c r="H53" s="284"/>
      <c r="I53" s="284"/>
      <c r="J53" s="284"/>
      <c r="K53" s="284"/>
      <c r="L53" s="284"/>
      <c r="M53" s="284"/>
      <c r="N53" s="284"/>
      <c r="O53" s="284"/>
      <c r="P53" s="284"/>
      <c r="Q53" s="284"/>
      <c r="R53" s="285"/>
    </row>
    <row r="54" spans="1:18" ht="22.15" customHeight="1" thickTop="1" thickBot="1">
      <c r="A54" s="279" t="s">
        <v>6</v>
      </c>
      <c r="B54" s="295"/>
      <c r="C54" s="295"/>
      <c r="D54" s="295"/>
      <c r="E54" s="295"/>
      <c r="F54" s="296"/>
      <c r="G54" s="32">
        <v>46026</v>
      </c>
      <c r="H54" s="278" t="s">
        <v>7</v>
      </c>
      <c r="I54" s="295"/>
      <c r="J54" s="295"/>
      <c r="K54" s="295"/>
      <c r="L54" s="295"/>
      <c r="M54" s="295"/>
      <c r="N54" s="295"/>
      <c r="O54" s="295"/>
      <c r="P54" s="295"/>
      <c r="Q54" s="295"/>
      <c r="R54" s="296"/>
    </row>
    <row r="55" spans="1:18" ht="24" customHeight="1">
      <c r="A55" s="33" t="s">
        <v>8</v>
      </c>
      <c r="B55" s="33" t="s">
        <v>9</v>
      </c>
      <c r="C55" s="34" t="s">
        <v>10</v>
      </c>
      <c r="D55" s="33" t="s">
        <v>11</v>
      </c>
      <c r="E55" s="33" t="s">
        <v>12</v>
      </c>
      <c r="F55" s="35" t="s">
        <v>13</v>
      </c>
      <c r="G55" s="36" t="s">
        <v>14</v>
      </c>
      <c r="H55" s="33" t="s">
        <v>15</v>
      </c>
      <c r="I55" s="37" t="s">
        <v>16</v>
      </c>
      <c r="J55" s="38" t="s">
        <v>17</v>
      </c>
      <c r="K55" s="39" t="s">
        <v>18</v>
      </c>
      <c r="L55" s="38" t="s">
        <v>19</v>
      </c>
      <c r="M55" s="38" t="s">
        <v>20</v>
      </c>
      <c r="N55" s="38" t="s">
        <v>21</v>
      </c>
      <c r="O55" s="33" t="s">
        <v>22</v>
      </c>
      <c r="P55" s="34" t="s">
        <v>23</v>
      </c>
      <c r="Q55" s="38" t="s">
        <v>24</v>
      </c>
      <c r="R55" s="33" t="s">
        <v>25</v>
      </c>
    </row>
    <row r="56" spans="1:18" ht="15" customHeight="1">
      <c r="A56" s="8" t="s">
        <v>38</v>
      </c>
      <c r="B56" s="8" t="s">
        <v>719</v>
      </c>
      <c r="C56" s="9">
        <v>0.36458333333333331</v>
      </c>
      <c r="D56" s="8" t="s">
        <v>622</v>
      </c>
      <c r="E56" s="8" t="s">
        <v>41</v>
      </c>
      <c r="F56" s="8" t="s">
        <v>347</v>
      </c>
      <c r="G56" s="297"/>
      <c r="H56" s="10"/>
      <c r="I56" s="11"/>
      <c r="J56" s="11"/>
      <c r="K56" s="11"/>
      <c r="L56" s="11"/>
      <c r="M56" s="11"/>
      <c r="N56" s="11"/>
      <c r="O56" s="12"/>
      <c r="P56" s="11"/>
      <c r="Q56" s="13"/>
      <c r="R56" s="14"/>
    </row>
    <row r="57" spans="1:18" ht="15" customHeight="1">
      <c r="A57" s="15" t="s">
        <v>38</v>
      </c>
      <c r="B57" s="15" t="s">
        <v>719</v>
      </c>
      <c r="C57" s="16">
        <v>0.36458333333333331</v>
      </c>
      <c r="D57" s="15" t="s">
        <v>603</v>
      </c>
      <c r="E57" s="15" t="s">
        <v>44</v>
      </c>
      <c r="F57" s="15" t="s">
        <v>720</v>
      </c>
      <c r="G57" s="298"/>
      <c r="H57" s="10"/>
      <c r="I57" s="11"/>
      <c r="J57" s="11"/>
      <c r="K57" s="11"/>
      <c r="L57" s="11"/>
      <c r="M57" s="11"/>
      <c r="N57" s="11"/>
      <c r="O57" s="12"/>
      <c r="P57" s="11"/>
      <c r="Q57" s="13"/>
      <c r="R57" s="14"/>
    </row>
    <row r="58" spans="1:18" ht="15" customHeight="1">
      <c r="A58" s="15" t="s">
        <v>38</v>
      </c>
      <c r="B58" s="15" t="s">
        <v>719</v>
      </c>
      <c r="C58" s="16">
        <v>0.36458333333333331</v>
      </c>
      <c r="D58" s="15" t="s">
        <v>605</v>
      </c>
      <c r="E58" s="15" t="s">
        <v>44</v>
      </c>
      <c r="F58" s="15" t="s">
        <v>721</v>
      </c>
      <c r="G58" s="298"/>
      <c r="H58" s="10"/>
      <c r="I58" s="11"/>
      <c r="J58" s="11"/>
      <c r="K58" s="11"/>
      <c r="L58" s="11"/>
      <c r="M58" s="11"/>
      <c r="N58" s="11"/>
      <c r="O58" s="12"/>
      <c r="P58" s="11"/>
      <c r="Q58" s="13"/>
      <c r="R58" s="14"/>
    </row>
    <row r="59" spans="1:18" ht="15" customHeight="1">
      <c r="A59" s="15" t="s">
        <v>38</v>
      </c>
      <c r="B59" s="15" t="s">
        <v>719</v>
      </c>
      <c r="C59" s="16">
        <v>0.36458333333333331</v>
      </c>
      <c r="D59" s="15" t="s">
        <v>625</v>
      </c>
      <c r="E59" s="15" t="s">
        <v>44</v>
      </c>
      <c r="F59" s="15" t="s">
        <v>503</v>
      </c>
      <c r="G59" s="298"/>
      <c r="H59" s="10"/>
      <c r="I59" s="11"/>
      <c r="J59" s="11"/>
      <c r="K59" s="11"/>
      <c r="L59" s="11"/>
      <c r="M59" s="11"/>
      <c r="N59" s="11"/>
      <c r="O59" s="12"/>
      <c r="P59" s="11"/>
      <c r="Q59" s="13"/>
      <c r="R59" s="14"/>
    </row>
    <row r="60" spans="1:18" ht="15" customHeight="1">
      <c r="A60" s="40" t="s">
        <v>61</v>
      </c>
      <c r="B60" s="40" t="s">
        <v>715</v>
      </c>
      <c r="C60" s="41">
        <v>0.3298611111111111</v>
      </c>
      <c r="D60" s="40" t="s">
        <v>63</v>
      </c>
      <c r="E60" s="40" t="s">
        <v>29</v>
      </c>
      <c r="F60" s="40" t="s">
        <v>708</v>
      </c>
      <c r="G60" s="298"/>
      <c r="H60" s="42" t="s">
        <v>716</v>
      </c>
      <c r="I60" s="43">
        <v>0</v>
      </c>
      <c r="J60" s="44">
        <v>0</v>
      </c>
      <c r="K60" s="45" t="s">
        <v>66</v>
      </c>
      <c r="L60" s="44">
        <v>0</v>
      </c>
      <c r="M60" s="44">
        <v>0</v>
      </c>
      <c r="N60" s="44">
        <v>0</v>
      </c>
      <c r="O60" s="46" t="s">
        <v>307</v>
      </c>
      <c r="P60" s="47">
        <v>0.3298611111111111</v>
      </c>
      <c r="Q60" s="44">
        <v>180</v>
      </c>
      <c r="R60" s="48" t="s">
        <v>66</v>
      </c>
    </row>
    <row r="61" spans="1:18" ht="15" customHeight="1">
      <c r="A61" s="154" t="s">
        <v>61</v>
      </c>
      <c r="B61" s="154" t="s">
        <v>710</v>
      </c>
      <c r="C61" s="155">
        <v>0.69097222222222221</v>
      </c>
      <c r="D61" s="154" t="s">
        <v>63</v>
      </c>
      <c r="E61" s="154" t="s">
        <v>37</v>
      </c>
      <c r="F61" s="154" t="s">
        <v>711</v>
      </c>
      <c r="G61" s="298"/>
      <c r="H61" s="69" t="s">
        <v>712</v>
      </c>
      <c r="I61" s="70">
        <v>2.2200000000000001E-2</v>
      </c>
      <c r="J61" s="71">
        <v>4</v>
      </c>
      <c r="K61" s="72">
        <v>46334</v>
      </c>
      <c r="L61" s="71">
        <v>4</v>
      </c>
      <c r="M61" s="71">
        <v>0</v>
      </c>
      <c r="N61" s="71">
        <v>0</v>
      </c>
      <c r="O61" s="73" t="s">
        <v>300</v>
      </c>
      <c r="P61" s="74">
        <v>0.69097222222222221</v>
      </c>
      <c r="Q61" s="71">
        <v>180</v>
      </c>
      <c r="R61" s="75" t="s">
        <v>307</v>
      </c>
    </row>
    <row r="62" spans="1:18" ht="18">
      <c r="A62" s="292" t="s">
        <v>615</v>
      </c>
      <c r="B62" s="303"/>
      <c r="C62" s="303"/>
      <c r="D62" s="303"/>
      <c r="E62" s="303"/>
      <c r="F62" s="304"/>
      <c r="G62" s="298"/>
      <c r="H62" s="138"/>
      <c r="I62" s="138"/>
      <c r="J62" s="138"/>
      <c r="K62" s="138"/>
      <c r="L62" s="138"/>
      <c r="M62" s="138"/>
      <c r="N62" s="138"/>
      <c r="O62" s="139"/>
      <c r="P62" s="138"/>
      <c r="Q62" s="107"/>
      <c r="R62" s="107"/>
    </row>
    <row r="63" spans="1:18" ht="15" customHeight="1">
      <c r="A63" s="17" t="s">
        <v>26</v>
      </c>
      <c r="B63" s="17" t="s">
        <v>348</v>
      </c>
      <c r="C63" s="18" t="s">
        <v>595</v>
      </c>
      <c r="D63" s="17" t="s">
        <v>28</v>
      </c>
      <c r="E63" s="17" t="s">
        <v>636</v>
      </c>
      <c r="F63" s="17" t="s">
        <v>131</v>
      </c>
      <c r="G63" s="298"/>
      <c r="H63" s="138"/>
      <c r="I63" s="138"/>
      <c r="J63" s="138"/>
      <c r="K63" s="138"/>
      <c r="L63" s="138"/>
      <c r="M63" s="138"/>
      <c r="N63" s="138"/>
      <c r="O63" s="139"/>
      <c r="P63" s="138"/>
      <c r="Q63" s="107"/>
      <c r="R63" s="107"/>
    </row>
    <row r="64" spans="1:18" ht="15" customHeight="1">
      <c r="A64" s="17" t="s">
        <v>26</v>
      </c>
      <c r="B64" s="17" t="s">
        <v>351</v>
      </c>
      <c r="C64" s="18" t="s">
        <v>597</v>
      </c>
      <c r="D64" s="17" t="s">
        <v>28</v>
      </c>
      <c r="E64" s="17" t="s">
        <v>288</v>
      </c>
      <c r="F64" s="17" t="s">
        <v>131</v>
      </c>
      <c r="G64" s="298"/>
      <c r="H64" s="138"/>
      <c r="I64" s="138"/>
      <c r="J64" s="138"/>
      <c r="K64" s="138"/>
      <c r="L64" s="138"/>
      <c r="M64" s="138"/>
      <c r="N64" s="138"/>
      <c r="O64" s="139"/>
      <c r="P64" s="138"/>
      <c r="Q64" s="107"/>
      <c r="R64" s="107"/>
    </row>
    <row r="65" spans="1:18" ht="15" customHeight="1">
      <c r="A65" s="17" t="s">
        <v>38</v>
      </c>
      <c r="B65" s="17" t="s">
        <v>346</v>
      </c>
      <c r="C65" s="18" t="s">
        <v>600</v>
      </c>
      <c r="D65" s="17" t="s">
        <v>40</v>
      </c>
      <c r="E65" s="17" t="s">
        <v>293</v>
      </c>
      <c r="F65" s="17" t="s">
        <v>30</v>
      </c>
      <c r="G65" s="298"/>
      <c r="H65" s="138"/>
      <c r="I65" s="138"/>
      <c r="J65" s="138"/>
      <c r="K65" s="138"/>
      <c r="L65" s="138"/>
      <c r="M65" s="138"/>
      <c r="N65" s="138"/>
      <c r="O65" s="139"/>
      <c r="P65" s="138"/>
      <c r="Q65" s="107"/>
      <c r="R65" s="107"/>
    </row>
    <row r="66" spans="1:18" ht="15" customHeight="1">
      <c r="A66" s="17" t="s">
        <v>38</v>
      </c>
      <c r="B66" s="17" t="s">
        <v>342</v>
      </c>
      <c r="C66" s="18" t="s">
        <v>592</v>
      </c>
      <c r="D66" s="17" t="s">
        <v>40</v>
      </c>
      <c r="E66" s="17" t="s">
        <v>295</v>
      </c>
      <c r="F66" s="17" t="s">
        <v>30</v>
      </c>
      <c r="G66" s="298"/>
      <c r="H66" s="138"/>
      <c r="I66" s="138"/>
      <c r="J66" s="138"/>
      <c r="K66" s="138"/>
      <c r="L66" s="138"/>
      <c r="M66" s="138"/>
      <c r="N66" s="138"/>
      <c r="O66" s="139"/>
      <c r="P66" s="138"/>
      <c r="Q66" s="107"/>
      <c r="R66" s="107"/>
    </row>
    <row r="67" spans="1:18" ht="15" customHeight="1">
      <c r="A67" s="17" t="s">
        <v>359</v>
      </c>
      <c r="B67" s="17" t="s">
        <v>360</v>
      </c>
      <c r="C67" s="18" t="s">
        <v>257</v>
      </c>
      <c r="D67" s="17" t="s">
        <v>361</v>
      </c>
      <c r="E67" s="17" t="s">
        <v>270</v>
      </c>
      <c r="F67" s="17" t="s">
        <v>423</v>
      </c>
      <c r="G67" s="298"/>
      <c r="H67" s="138"/>
      <c r="I67" s="138"/>
      <c r="J67" s="138"/>
      <c r="K67" s="138"/>
      <c r="L67" s="138"/>
      <c r="M67" s="138"/>
      <c r="N67" s="138"/>
      <c r="O67" s="139"/>
      <c r="P67" s="138"/>
      <c r="Q67" s="107"/>
      <c r="R67" s="107"/>
    </row>
    <row r="68" spans="1:18" ht="15" customHeight="1">
      <c r="A68" s="17" t="s">
        <v>26</v>
      </c>
      <c r="B68" s="17" t="s">
        <v>350</v>
      </c>
      <c r="C68" s="18" t="s">
        <v>596</v>
      </c>
      <c r="D68" s="17" t="s">
        <v>28</v>
      </c>
      <c r="E68" s="17" t="s">
        <v>267</v>
      </c>
      <c r="F68" s="17" t="s">
        <v>347</v>
      </c>
      <c r="G68" s="298"/>
      <c r="H68" s="138"/>
      <c r="I68" s="138"/>
      <c r="J68" s="138"/>
      <c r="K68" s="138"/>
      <c r="L68" s="138"/>
      <c r="M68" s="138"/>
      <c r="N68" s="138"/>
      <c r="O68" s="139"/>
      <c r="P68" s="138"/>
      <c r="Q68" s="107"/>
      <c r="R68" s="107"/>
    </row>
    <row r="69" spans="1:18" ht="15" customHeight="1">
      <c r="A69" s="17" t="s">
        <v>26</v>
      </c>
      <c r="B69" s="17" t="s">
        <v>352</v>
      </c>
      <c r="C69" s="18" t="s">
        <v>598</v>
      </c>
      <c r="D69" s="17" t="s">
        <v>28</v>
      </c>
      <c r="E69" s="17" t="s">
        <v>277</v>
      </c>
      <c r="F69" s="17" t="s">
        <v>347</v>
      </c>
      <c r="G69" s="298"/>
      <c r="H69" s="138"/>
      <c r="I69" s="138"/>
      <c r="J69" s="138"/>
      <c r="K69" s="138"/>
      <c r="L69" s="138"/>
      <c r="M69" s="138"/>
      <c r="N69" s="138"/>
      <c r="O69" s="139"/>
      <c r="P69" s="138"/>
      <c r="Q69" s="107"/>
      <c r="R69" s="107"/>
    </row>
    <row r="70" spans="1:18" ht="15" customHeight="1">
      <c r="A70" s="17" t="s">
        <v>26</v>
      </c>
      <c r="B70" s="17" t="s">
        <v>353</v>
      </c>
      <c r="C70" s="18" t="s">
        <v>593</v>
      </c>
      <c r="D70" s="17" t="s">
        <v>28</v>
      </c>
      <c r="E70" s="17" t="s">
        <v>277</v>
      </c>
      <c r="F70" s="17" t="s">
        <v>347</v>
      </c>
      <c r="G70" s="298"/>
      <c r="H70" s="138"/>
      <c r="I70" s="138"/>
      <c r="J70" s="138"/>
      <c r="K70" s="138"/>
      <c r="L70" s="138"/>
      <c r="M70" s="138"/>
      <c r="N70" s="138"/>
      <c r="O70" s="139"/>
      <c r="P70" s="138"/>
      <c r="Q70" s="107"/>
      <c r="R70" s="107"/>
    </row>
    <row r="71" spans="1:18" ht="15" customHeight="1">
      <c r="A71" s="17" t="s">
        <v>61</v>
      </c>
      <c r="B71" s="17" t="s">
        <v>432</v>
      </c>
      <c r="C71" s="18" t="s">
        <v>572</v>
      </c>
      <c r="D71" s="17" t="s">
        <v>63</v>
      </c>
      <c r="E71" s="17" t="s">
        <v>636</v>
      </c>
      <c r="F71" s="17" t="s">
        <v>365</v>
      </c>
      <c r="G71" s="298"/>
      <c r="H71" s="138"/>
      <c r="I71" s="138"/>
      <c r="J71" s="138"/>
      <c r="K71" s="138"/>
      <c r="L71" s="138"/>
      <c r="M71" s="138"/>
      <c r="N71" s="138"/>
      <c r="O71" s="139"/>
      <c r="P71" s="138"/>
      <c r="Q71" s="107"/>
      <c r="R71" s="107"/>
    </row>
    <row r="72" spans="1:18" ht="15" customHeight="1" thickBot="1">
      <c r="A72" s="30" t="s">
        <v>61</v>
      </c>
      <c r="B72" s="30" t="s">
        <v>375</v>
      </c>
      <c r="C72" s="31" t="s">
        <v>561</v>
      </c>
      <c r="D72" s="30" t="s">
        <v>63</v>
      </c>
      <c r="E72" s="30" t="s">
        <v>267</v>
      </c>
      <c r="F72" s="30" t="s">
        <v>365</v>
      </c>
      <c r="G72" s="299"/>
      <c r="H72" s="140"/>
      <c r="I72" s="140"/>
      <c r="J72" s="140"/>
      <c r="K72" s="140"/>
      <c r="L72" s="140"/>
      <c r="M72" s="140"/>
      <c r="N72" s="140"/>
      <c r="O72" s="141"/>
      <c r="P72" s="140"/>
      <c r="Q72" s="142"/>
      <c r="R72" s="142"/>
    </row>
    <row r="73" spans="1:18" ht="17.45" customHeight="1" thickBot="1">
      <c r="A73" s="283"/>
      <c r="B73" s="284"/>
      <c r="C73" s="284"/>
      <c r="D73" s="284"/>
      <c r="E73" s="284"/>
      <c r="F73" s="284"/>
      <c r="G73" s="284"/>
      <c r="H73" s="284"/>
      <c r="I73" s="284"/>
      <c r="J73" s="284"/>
      <c r="K73" s="284"/>
      <c r="L73" s="284"/>
      <c r="M73" s="284"/>
      <c r="N73" s="284"/>
      <c r="O73" s="284"/>
      <c r="P73" s="284"/>
      <c r="Q73" s="284"/>
      <c r="R73" s="285"/>
    </row>
    <row r="74" spans="1:18" ht="22.15" customHeight="1" thickTop="1" thickBot="1">
      <c r="A74" s="279" t="s">
        <v>6</v>
      </c>
      <c r="B74" s="295"/>
      <c r="C74" s="295"/>
      <c r="D74" s="295"/>
      <c r="E74" s="295"/>
      <c r="F74" s="296"/>
      <c r="G74" s="32">
        <v>46027</v>
      </c>
      <c r="H74" s="278" t="s">
        <v>7</v>
      </c>
      <c r="I74" s="295"/>
      <c r="J74" s="295"/>
      <c r="K74" s="295"/>
      <c r="L74" s="295"/>
      <c r="M74" s="295"/>
      <c r="N74" s="295"/>
      <c r="O74" s="295"/>
      <c r="P74" s="295"/>
      <c r="Q74" s="295"/>
      <c r="R74" s="296"/>
    </row>
    <row r="75" spans="1:18" ht="24" customHeight="1">
      <c r="A75" s="33" t="s">
        <v>8</v>
      </c>
      <c r="B75" s="33" t="s">
        <v>9</v>
      </c>
      <c r="C75" s="34" t="s">
        <v>10</v>
      </c>
      <c r="D75" s="33" t="s">
        <v>11</v>
      </c>
      <c r="E75" s="33" t="s">
        <v>12</v>
      </c>
      <c r="F75" s="35" t="s">
        <v>13</v>
      </c>
      <c r="G75" s="36" t="s">
        <v>14</v>
      </c>
      <c r="H75" s="33" t="s">
        <v>15</v>
      </c>
      <c r="I75" s="37" t="s">
        <v>16</v>
      </c>
      <c r="J75" s="38" t="s">
        <v>17</v>
      </c>
      <c r="K75" s="39" t="s">
        <v>18</v>
      </c>
      <c r="L75" s="38" t="s">
        <v>19</v>
      </c>
      <c r="M75" s="38" t="s">
        <v>20</v>
      </c>
      <c r="N75" s="38" t="s">
        <v>21</v>
      </c>
      <c r="O75" s="33" t="s">
        <v>22</v>
      </c>
      <c r="P75" s="34" t="s">
        <v>23</v>
      </c>
      <c r="Q75" s="38" t="s">
        <v>24</v>
      </c>
      <c r="R75" s="33" t="s">
        <v>25</v>
      </c>
    </row>
    <row r="76" spans="1:18" ht="15" customHeight="1">
      <c r="A76" s="67" t="s">
        <v>61</v>
      </c>
      <c r="B76" s="67" t="s">
        <v>722</v>
      </c>
      <c r="C76" s="68">
        <v>0.34722222222222232</v>
      </c>
      <c r="D76" s="67" t="s">
        <v>63</v>
      </c>
      <c r="E76" s="67" t="s">
        <v>29</v>
      </c>
      <c r="F76" s="67" t="s">
        <v>708</v>
      </c>
      <c r="G76" s="297"/>
      <c r="H76" s="69" t="s">
        <v>723</v>
      </c>
      <c r="I76" s="70">
        <v>5.5999999999999999E-3</v>
      </c>
      <c r="J76" s="71">
        <v>1</v>
      </c>
      <c r="K76" s="72">
        <v>46286</v>
      </c>
      <c r="L76" s="71">
        <v>1</v>
      </c>
      <c r="M76" s="71">
        <v>0</v>
      </c>
      <c r="N76" s="71">
        <v>0</v>
      </c>
      <c r="O76" s="73" t="s">
        <v>307</v>
      </c>
      <c r="P76" s="74">
        <v>0.34722222222222232</v>
      </c>
      <c r="Q76" s="71">
        <v>180</v>
      </c>
      <c r="R76" s="75" t="s">
        <v>686</v>
      </c>
    </row>
    <row r="77" spans="1:18" ht="15" customHeight="1">
      <c r="A77" s="160" t="s">
        <v>61</v>
      </c>
      <c r="B77" s="160" t="s">
        <v>707</v>
      </c>
      <c r="C77" s="161">
        <v>0.54861111111111105</v>
      </c>
      <c r="D77" s="160" t="s">
        <v>63</v>
      </c>
      <c r="E77" s="160" t="s">
        <v>200</v>
      </c>
      <c r="F77" s="160" t="s">
        <v>708</v>
      </c>
      <c r="G77" s="298"/>
      <c r="H77" s="23" t="s">
        <v>709</v>
      </c>
      <c r="I77" s="24">
        <v>3.8899999999999997E-2</v>
      </c>
      <c r="J77" s="25">
        <v>7</v>
      </c>
      <c r="K77" s="26">
        <v>46344</v>
      </c>
      <c r="L77" s="25">
        <v>7</v>
      </c>
      <c r="M77" s="25">
        <v>0</v>
      </c>
      <c r="N77" s="25">
        <v>0</v>
      </c>
      <c r="O77" s="27" t="s">
        <v>304</v>
      </c>
      <c r="P77" s="28">
        <v>0.54861111111111105</v>
      </c>
      <c r="Q77" s="25">
        <v>180</v>
      </c>
      <c r="R77" s="29" t="s">
        <v>724</v>
      </c>
    </row>
    <row r="78" spans="1:18" ht="15" customHeight="1">
      <c r="A78" s="148" t="s">
        <v>61</v>
      </c>
      <c r="B78" s="148" t="s">
        <v>710</v>
      </c>
      <c r="C78" s="149">
        <v>0.19444444444444439</v>
      </c>
      <c r="D78" s="148" t="s">
        <v>63</v>
      </c>
      <c r="E78" s="148" t="s">
        <v>37</v>
      </c>
      <c r="F78" s="148" t="s">
        <v>708</v>
      </c>
      <c r="G78" s="298"/>
      <c r="H78" s="51" t="s">
        <v>712</v>
      </c>
      <c r="I78" s="52">
        <v>0</v>
      </c>
      <c r="J78" s="53">
        <v>0</v>
      </c>
      <c r="K78" s="54" t="s">
        <v>66</v>
      </c>
      <c r="L78" s="53">
        <v>0</v>
      </c>
      <c r="M78" s="53">
        <v>0</v>
      </c>
      <c r="N78" s="53">
        <v>0</v>
      </c>
      <c r="O78" s="55" t="s">
        <v>307</v>
      </c>
      <c r="P78" s="56">
        <v>0.19444444444444439</v>
      </c>
      <c r="Q78" s="53">
        <v>180</v>
      </c>
      <c r="R78" s="57" t="s">
        <v>66</v>
      </c>
    </row>
    <row r="79" spans="1:18" ht="15" customHeight="1">
      <c r="A79" s="152" t="s">
        <v>61</v>
      </c>
      <c r="B79" s="152" t="s">
        <v>715</v>
      </c>
      <c r="C79" s="153">
        <v>9.375E-2</v>
      </c>
      <c r="D79" s="152" t="s">
        <v>63</v>
      </c>
      <c r="E79" s="152" t="s">
        <v>37</v>
      </c>
      <c r="F79" s="152" t="s">
        <v>708</v>
      </c>
      <c r="G79" s="298"/>
      <c r="H79" s="100" t="s">
        <v>716</v>
      </c>
      <c r="I79" s="101">
        <v>0</v>
      </c>
      <c r="J79" s="102">
        <v>0</v>
      </c>
      <c r="K79" s="103" t="s">
        <v>66</v>
      </c>
      <c r="L79" s="102">
        <v>0</v>
      </c>
      <c r="M79" s="102">
        <v>0</v>
      </c>
      <c r="N79" s="102">
        <v>0</v>
      </c>
      <c r="O79" s="104" t="s">
        <v>307</v>
      </c>
      <c r="P79" s="105">
        <v>9.375E-2</v>
      </c>
      <c r="Q79" s="102">
        <v>180</v>
      </c>
      <c r="R79" s="106" t="s">
        <v>66</v>
      </c>
    </row>
    <row r="80" spans="1:18" ht="15" customHeight="1">
      <c r="A80" s="19" t="s">
        <v>68</v>
      </c>
      <c r="B80" s="19" t="s">
        <v>713</v>
      </c>
      <c r="C80" s="20">
        <v>0.54861111111111105</v>
      </c>
      <c r="D80" s="19" t="s">
        <v>643</v>
      </c>
      <c r="E80" s="19" t="s">
        <v>29</v>
      </c>
      <c r="F80" s="19" t="s">
        <v>714</v>
      </c>
      <c r="G80" s="298"/>
      <c r="H80" s="10"/>
      <c r="I80" s="11"/>
      <c r="J80" s="11"/>
      <c r="K80" s="11"/>
      <c r="L80" s="11"/>
      <c r="M80" s="11"/>
      <c r="N80" s="11"/>
      <c r="O80" s="12"/>
      <c r="P80" s="11"/>
      <c r="Q80" s="13"/>
      <c r="R80" s="14"/>
    </row>
    <row r="81" spans="1:18" ht="15" customHeight="1">
      <c r="A81" s="17" t="s">
        <v>68</v>
      </c>
      <c r="B81" s="17" t="s">
        <v>725</v>
      </c>
      <c r="C81" s="18">
        <v>0.34722222222222232</v>
      </c>
      <c r="D81" s="17" t="s">
        <v>643</v>
      </c>
      <c r="E81" s="17" t="s">
        <v>37</v>
      </c>
      <c r="F81" s="17" t="s">
        <v>714</v>
      </c>
      <c r="G81" s="298"/>
      <c r="H81" s="10"/>
      <c r="I81" s="11"/>
      <c r="J81" s="11"/>
      <c r="K81" s="11"/>
      <c r="L81" s="11"/>
      <c r="M81" s="11"/>
      <c r="N81" s="11"/>
      <c r="O81" s="12"/>
      <c r="P81" s="11"/>
      <c r="Q81" s="13"/>
      <c r="R81" s="14"/>
    </row>
    <row r="82" spans="1:18" ht="18">
      <c r="A82" s="292" t="s">
        <v>615</v>
      </c>
      <c r="B82" s="303"/>
      <c r="C82" s="303"/>
      <c r="D82" s="303"/>
      <c r="E82" s="303"/>
      <c r="F82" s="304"/>
      <c r="G82" s="298"/>
      <c r="H82" s="138"/>
      <c r="I82" s="138"/>
      <c r="J82" s="138"/>
      <c r="K82" s="138"/>
      <c r="L82" s="138"/>
      <c r="M82" s="138"/>
      <c r="N82" s="138"/>
      <c r="O82" s="139"/>
      <c r="P82" s="138"/>
      <c r="Q82" s="107"/>
      <c r="R82" s="107"/>
    </row>
    <row r="83" spans="1:18" ht="15" customHeight="1">
      <c r="A83" s="17" t="s">
        <v>38</v>
      </c>
      <c r="B83" s="17" t="s">
        <v>342</v>
      </c>
      <c r="C83" s="18" t="s">
        <v>592</v>
      </c>
      <c r="D83" s="17" t="s">
        <v>440</v>
      </c>
      <c r="E83" s="17" t="s">
        <v>281</v>
      </c>
      <c r="F83" s="17" t="s">
        <v>88</v>
      </c>
      <c r="G83" s="298"/>
      <c r="H83" s="138"/>
      <c r="I83" s="138"/>
      <c r="J83" s="138"/>
      <c r="K83" s="138"/>
      <c r="L83" s="138"/>
      <c r="M83" s="138"/>
      <c r="N83" s="138"/>
      <c r="O83" s="139"/>
      <c r="P83" s="138"/>
      <c r="Q83" s="107"/>
      <c r="R83" s="107"/>
    </row>
    <row r="84" spans="1:18" ht="15" customHeight="1">
      <c r="A84" s="17" t="s">
        <v>38</v>
      </c>
      <c r="B84" s="17" t="s">
        <v>342</v>
      </c>
      <c r="C84" s="18" t="s">
        <v>592</v>
      </c>
      <c r="D84" s="17" t="s">
        <v>40</v>
      </c>
      <c r="E84" s="17" t="s">
        <v>281</v>
      </c>
      <c r="F84" s="17" t="s">
        <v>88</v>
      </c>
      <c r="G84" s="298"/>
      <c r="H84" s="138"/>
      <c r="I84" s="138"/>
      <c r="J84" s="138"/>
      <c r="K84" s="138"/>
      <c r="L84" s="138"/>
      <c r="M84" s="138"/>
      <c r="N84" s="138"/>
      <c r="O84" s="139"/>
      <c r="P84" s="138"/>
      <c r="Q84" s="107"/>
      <c r="R84" s="107"/>
    </row>
    <row r="85" spans="1:18" ht="15" customHeight="1">
      <c r="A85" s="17" t="s">
        <v>38</v>
      </c>
      <c r="B85" s="17" t="s">
        <v>346</v>
      </c>
      <c r="C85" s="18" t="s">
        <v>600</v>
      </c>
      <c r="D85" s="17" t="s">
        <v>440</v>
      </c>
      <c r="E85" s="17" t="s">
        <v>268</v>
      </c>
      <c r="F85" s="17" t="s">
        <v>343</v>
      </c>
      <c r="G85" s="298"/>
      <c r="H85" s="138"/>
      <c r="I85" s="138"/>
      <c r="J85" s="138"/>
      <c r="K85" s="138"/>
      <c r="L85" s="138"/>
      <c r="M85" s="138"/>
      <c r="N85" s="138"/>
      <c r="O85" s="139"/>
      <c r="P85" s="138"/>
      <c r="Q85" s="107"/>
      <c r="R85" s="107"/>
    </row>
    <row r="86" spans="1:18" ht="15" customHeight="1">
      <c r="A86" s="17" t="s">
        <v>38</v>
      </c>
      <c r="B86" s="17" t="s">
        <v>346</v>
      </c>
      <c r="C86" s="18" t="s">
        <v>600</v>
      </c>
      <c r="D86" s="17" t="s">
        <v>40</v>
      </c>
      <c r="E86" s="17" t="s">
        <v>268</v>
      </c>
      <c r="F86" s="17" t="s">
        <v>343</v>
      </c>
      <c r="G86" s="298"/>
      <c r="H86" s="138"/>
      <c r="I86" s="138"/>
      <c r="J86" s="138"/>
      <c r="K86" s="138"/>
      <c r="L86" s="138"/>
      <c r="M86" s="138"/>
      <c r="N86" s="138"/>
      <c r="O86" s="139"/>
      <c r="P86" s="138"/>
      <c r="Q86" s="107"/>
      <c r="R86" s="107"/>
    </row>
    <row r="87" spans="1:18" ht="15" customHeight="1">
      <c r="A87" s="17" t="s">
        <v>38</v>
      </c>
      <c r="B87" s="17" t="s">
        <v>345</v>
      </c>
      <c r="C87" s="18" t="s">
        <v>594</v>
      </c>
      <c r="D87" s="17" t="s">
        <v>440</v>
      </c>
      <c r="E87" s="17" t="s">
        <v>293</v>
      </c>
      <c r="F87" s="17" t="s">
        <v>343</v>
      </c>
      <c r="G87" s="298"/>
      <c r="H87" s="138"/>
      <c r="I87" s="138"/>
      <c r="J87" s="138"/>
      <c r="K87" s="138"/>
      <c r="L87" s="138"/>
      <c r="M87" s="138"/>
      <c r="N87" s="138"/>
      <c r="O87" s="139"/>
      <c r="P87" s="138"/>
      <c r="Q87" s="107"/>
      <c r="R87" s="107"/>
    </row>
    <row r="88" spans="1:18" ht="15" customHeight="1">
      <c r="A88" s="17" t="s">
        <v>38</v>
      </c>
      <c r="B88" s="17" t="s">
        <v>345</v>
      </c>
      <c r="C88" s="18" t="s">
        <v>594</v>
      </c>
      <c r="D88" s="17" t="s">
        <v>40</v>
      </c>
      <c r="E88" s="17" t="s">
        <v>293</v>
      </c>
      <c r="F88" s="17" t="s">
        <v>343</v>
      </c>
      <c r="G88" s="298"/>
      <c r="H88" s="138"/>
      <c r="I88" s="138"/>
      <c r="J88" s="138"/>
      <c r="K88" s="138"/>
      <c r="L88" s="138"/>
      <c r="M88" s="138"/>
      <c r="N88" s="138"/>
      <c r="O88" s="139"/>
      <c r="P88" s="138"/>
      <c r="Q88" s="107"/>
      <c r="R88" s="107"/>
    </row>
    <row r="89" spans="1:18" ht="15" customHeight="1">
      <c r="A89" s="17" t="s">
        <v>26</v>
      </c>
      <c r="B89" s="17" t="s">
        <v>348</v>
      </c>
      <c r="C89" s="18" t="s">
        <v>595</v>
      </c>
      <c r="D89" s="17" t="s">
        <v>28</v>
      </c>
      <c r="E89" s="17" t="s">
        <v>286</v>
      </c>
      <c r="F89" s="17" t="s">
        <v>131</v>
      </c>
      <c r="G89" s="298"/>
      <c r="H89" s="138"/>
      <c r="I89" s="138"/>
      <c r="J89" s="138"/>
      <c r="K89" s="138"/>
      <c r="L89" s="138"/>
      <c r="M89" s="138"/>
      <c r="N89" s="138"/>
      <c r="O89" s="139"/>
      <c r="P89" s="138"/>
      <c r="Q89" s="107"/>
      <c r="R89" s="107"/>
    </row>
    <row r="90" spans="1:18" ht="15" customHeight="1">
      <c r="A90" s="17" t="s">
        <v>26</v>
      </c>
      <c r="B90" s="17" t="s">
        <v>352</v>
      </c>
      <c r="C90" s="18" t="s">
        <v>598</v>
      </c>
      <c r="D90" s="17" t="s">
        <v>28</v>
      </c>
      <c r="E90" s="17" t="s">
        <v>294</v>
      </c>
      <c r="F90" s="17" t="s">
        <v>131</v>
      </c>
      <c r="G90" s="298"/>
      <c r="H90" s="138"/>
      <c r="I90" s="138"/>
      <c r="J90" s="138"/>
      <c r="K90" s="138"/>
      <c r="L90" s="138"/>
      <c r="M90" s="138"/>
      <c r="N90" s="138"/>
      <c r="O90" s="139"/>
      <c r="P90" s="138"/>
      <c r="Q90" s="107"/>
      <c r="R90" s="107"/>
    </row>
    <row r="91" spans="1:18" ht="15" customHeight="1">
      <c r="A91" s="17" t="s">
        <v>26</v>
      </c>
      <c r="B91" s="17" t="s">
        <v>353</v>
      </c>
      <c r="C91" s="18" t="s">
        <v>593</v>
      </c>
      <c r="D91" s="17" t="s">
        <v>28</v>
      </c>
      <c r="E91" s="17" t="s">
        <v>277</v>
      </c>
      <c r="F91" s="17" t="s">
        <v>131</v>
      </c>
      <c r="G91" s="298"/>
      <c r="H91" s="138"/>
      <c r="I91" s="138"/>
      <c r="J91" s="138"/>
      <c r="K91" s="138"/>
      <c r="L91" s="138"/>
      <c r="M91" s="138"/>
      <c r="N91" s="138"/>
      <c r="O91" s="139"/>
      <c r="P91" s="138"/>
      <c r="Q91" s="107"/>
      <c r="R91" s="107"/>
    </row>
    <row r="92" spans="1:18" ht="15" customHeight="1" thickBot="1">
      <c r="A92" s="30" t="s">
        <v>359</v>
      </c>
      <c r="B92" s="30" t="s">
        <v>445</v>
      </c>
      <c r="C92" s="31" t="s">
        <v>641</v>
      </c>
      <c r="D92" s="30" t="s">
        <v>361</v>
      </c>
      <c r="E92" s="30" t="s">
        <v>270</v>
      </c>
      <c r="F92" s="30" t="s">
        <v>362</v>
      </c>
      <c r="G92" s="299"/>
      <c r="H92" s="140"/>
      <c r="I92" s="140"/>
      <c r="J92" s="140"/>
      <c r="K92" s="140"/>
      <c r="L92" s="140"/>
      <c r="M92" s="140"/>
      <c r="N92" s="140"/>
      <c r="O92" s="141"/>
      <c r="P92" s="140"/>
      <c r="Q92" s="142"/>
      <c r="R92" s="142"/>
    </row>
    <row r="93" spans="1:18" ht="17.45" customHeight="1" thickBot="1">
      <c r="A93" s="283"/>
      <c r="B93" s="284"/>
      <c r="C93" s="284"/>
      <c r="D93" s="284"/>
      <c r="E93" s="284"/>
      <c r="F93" s="284"/>
      <c r="G93" s="284"/>
      <c r="H93" s="284"/>
      <c r="I93" s="284"/>
      <c r="J93" s="284"/>
      <c r="K93" s="284"/>
      <c r="L93" s="284"/>
      <c r="M93" s="284"/>
      <c r="N93" s="284"/>
      <c r="O93" s="284"/>
      <c r="P93" s="284"/>
      <c r="Q93" s="284"/>
      <c r="R93" s="285"/>
    </row>
    <row r="94" spans="1:18" ht="22.15" customHeight="1" thickTop="1" thickBot="1">
      <c r="A94" s="279" t="s">
        <v>6</v>
      </c>
      <c r="B94" s="295"/>
      <c r="C94" s="295"/>
      <c r="D94" s="295"/>
      <c r="E94" s="295"/>
      <c r="F94" s="296"/>
      <c r="G94" s="32">
        <v>46028</v>
      </c>
      <c r="H94" s="278" t="s">
        <v>7</v>
      </c>
      <c r="I94" s="295"/>
      <c r="J94" s="295"/>
      <c r="K94" s="295"/>
      <c r="L94" s="295"/>
      <c r="M94" s="295"/>
      <c r="N94" s="295"/>
      <c r="O94" s="295"/>
      <c r="P94" s="295"/>
      <c r="Q94" s="295"/>
      <c r="R94" s="296"/>
    </row>
    <row r="95" spans="1:18" ht="24" customHeight="1">
      <c r="A95" s="33" t="s">
        <v>8</v>
      </c>
      <c r="B95" s="33" t="s">
        <v>9</v>
      </c>
      <c r="C95" s="34" t="s">
        <v>10</v>
      </c>
      <c r="D95" s="33" t="s">
        <v>11</v>
      </c>
      <c r="E95" s="33" t="s">
        <v>12</v>
      </c>
      <c r="F95" s="35" t="s">
        <v>13</v>
      </c>
      <c r="G95" s="36" t="s">
        <v>14</v>
      </c>
      <c r="H95" s="33" t="s">
        <v>15</v>
      </c>
      <c r="I95" s="37" t="s">
        <v>16</v>
      </c>
      <c r="J95" s="38" t="s">
        <v>17</v>
      </c>
      <c r="K95" s="39" t="s">
        <v>18</v>
      </c>
      <c r="L95" s="38" t="s">
        <v>19</v>
      </c>
      <c r="M95" s="38" t="s">
        <v>20</v>
      </c>
      <c r="N95" s="38" t="s">
        <v>21</v>
      </c>
      <c r="O95" s="33" t="s">
        <v>22</v>
      </c>
      <c r="P95" s="34" t="s">
        <v>23</v>
      </c>
      <c r="Q95" s="38" t="s">
        <v>24</v>
      </c>
      <c r="R95" s="33" t="s">
        <v>25</v>
      </c>
    </row>
    <row r="96" spans="1:18" ht="15" customHeight="1">
      <c r="A96" s="78" t="s">
        <v>61</v>
      </c>
      <c r="B96" s="78" t="s">
        <v>707</v>
      </c>
      <c r="C96" s="79">
        <v>0.16666666666666671</v>
      </c>
      <c r="D96" s="78" t="s">
        <v>63</v>
      </c>
      <c r="E96" s="78" t="s">
        <v>29</v>
      </c>
      <c r="F96" s="78" t="s">
        <v>708</v>
      </c>
      <c r="G96" s="297"/>
      <c r="H96" s="80" t="s">
        <v>709</v>
      </c>
      <c r="I96" s="81">
        <v>0</v>
      </c>
      <c r="J96" s="82">
        <v>0</v>
      </c>
      <c r="K96" s="83" t="s">
        <v>66</v>
      </c>
      <c r="L96" s="82">
        <v>0</v>
      </c>
      <c r="M96" s="82">
        <v>0</v>
      </c>
      <c r="N96" s="82">
        <v>0</v>
      </c>
      <c r="O96" s="84" t="s">
        <v>307</v>
      </c>
      <c r="P96" s="85">
        <v>0.16666666666666671</v>
      </c>
      <c r="Q96" s="82">
        <v>180</v>
      </c>
      <c r="R96" s="86" t="s">
        <v>66</v>
      </c>
    </row>
    <row r="97" spans="1:18" ht="15" customHeight="1">
      <c r="A97" s="152" t="s">
        <v>61</v>
      </c>
      <c r="B97" s="152" t="s">
        <v>710</v>
      </c>
      <c r="C97" s="153">
        <v>0.52777777777777779</v>
      </c>
      <c r="D97" s="152" t="s">
        <v>63</v>
      </c>
      <c r="E97" s="152" t="s">
        <v>37</v>
      </c>
      <c r="F97" s="152" t="s">
        <v>708</v>
      </c>
      <c r="G97" s="298"/>
      <c r="H97" s="100" t="s">
        <v>712</v>
      </c>
      <c r="I97" s="101">
        <v>0</v>
      </c>
      <c r="J97" s="102">
        <v>0</v>
      </c>
      <c r="K97" s="103" t="s">
        <v>66</v>
      </c>
      <c r="L97" s="102">
        <v>0</v>
      </c>
      <c r="M97" s="102">
        <v>0</v>
      </c>
      <c r="N97" s="102">
        <v>0</v>
      </c>
      <c r="O97" s="104" t="s">
        <v>307</v>
      </c>
      <c r="P97" s="105">
        <v>0.52777777777777779</v>
      </c>
      <c r="Q97" s="102">
        <v>180</v>
      </c>
      <c r="R97" s="106" t="s">
        <v>66</v>
      </c>
    </row>
    <row r="98" spans="1:18" ht="15" customHeight="1">
      <c r="A98" s="19" t="s">
        <v>68</v>
      </c>
      <c r="B98" s="19" t="s">
        <v>713</v>
      </c>
      <c r="C98" s="20">
        <v>0.16666666666666671</v>
      </c>
      <c r="D98" s="19" t="s">
        <v>643</v>
      </c>
      <c r="E98" s="19" t="s">
        <v>29</v>
      </c>
      <c r="F98" s="19" t="s">
        <v>714</v>
      </c>
      <c r="G98" s="298"/>
      <c r="H98" s="10"/>
      <c r="I98" s="11"/>
      <c r="J98" s="11"/>
      <c r="K98" s="11"/>
      <c r="L98" s="11"/>
      <c r="M98" s="11"/>
      <c r="N98" s="11"/>
      <c r="O98" s="12"/>
      <c r="P98" s="11"/>
      <c r="Q98" s="13"/>
      <c r="R98" s="14"/>
    </row>
    <row r="99" spans="1:18" ht="18">
      <c r="A99" s="292" t="s">
        <v>615</v>
      </c>
      <c r="B99" s="303"/>
      <c r="C99" s="303"/>
      <c r="D99" s="303"/>
      <c r="E99" s="303"/>
      <c r="F99" s="304"/>
      <c r="G99" s="298"/>
      <c r="H99" s="138"/>
      <c r="I99" s="138"/>
      <c r="J99" s="138"/>
      <c r="K99" s="138"/>
      <c r="L99" s="138"/>
      <c r="M99" s="138"/>
      <c r="N99" s="138"/>
      <c r="O99" s="139"/>
      <c r="P99" s="138"/>
      <c r="Q99" s="107"/>
      <c r="R99" s="107"/>
    </row>
    <row r="100" spans="1:18" ht="15" customHeight="1">
      <c r="A100" s="17" t="s">
        <v>38</v>
      </c>
      <c r="B100" s="17" t="s">
        <v>342</v>
      </c>
      <c r="C100" s="18" t="s">
        <v>592</v>
      </c>
      <c r="D100" s="17" t="s">
        <v>40</v>
      </c>
      <c r="E100" s="17" t="s">
        <v>294</v>
      </c>
      <c r="F100" s="17" t="s">
        <v>475</v>
      </c>
      <c r="G100" s="298"/>
      <c r="H100" s="138"/>
      <c r="I100" s="138"/>
      <c r="J100" s="138"/>
      <c r="K100" s="138"/>
      <c r="L100" s="138"/>
      <c r="M100" s="138"/>
      <c r="N100" s="138"/>
      <c r="O100" s="139"/>
      <c r="P100" s="138"/>
      <c r="Q100" s="107"/>
      <c r="R100" s="107"/>
    </row>
    <row r="101" spans="1:18" ht="15" customHeight="1">
      <c r="A101" s="17" t="s">
        <v>38</v>
      </c>
      <c r="B101" s="17" t="s">
        <v>345</v>
      </c>
      <c r="C101" s="18" t="s">
        <v>594</v>
      </c>
      <c r="D101" s="17" t="s">
        <v>40</v>
      </c>
      <c r="E101" s="17" t="s">
        <v>293</v>
      </c>
      <c r="F101" s="17" t="s">
        <v>343</v>
      </c>
      <c r="G101" s="298"/>
      <c r="H101" s="138"/>
      <c r="I101" s="138"/>
      <c r="J101" s="138"/>
      <c r="K101" s="138"/>
      <c r="L101" s="138"/>
      <c r="M101" s="138"/>
      <c r="N101" s="138"/>
      <c r="O101" s="139"/>
      <c r="P101" s="138"/>
      <c r="Q101" s="107"/>
      <c r="R101" s="107"/>
    </row>
    <row r="102" spans="1:18" ht="15" customHeight="1">
      <c r="A102" s="17" t="s">
        <v>26</v>
      </c>
      <c r="B102" s="17" t="s">
        <v>348</v>
      </c>
      <c r="C102" s="18" t="s">
        <v>595</v>
      </c>
      <c r="D102" s="17" t="s">
        <v>28</v>
      </c>
      <c r="E102" s="17" t="s">
        <v>288</v>
      </c>
      <c r="F102" s="17" t="s">
        <v>131</v>
      </c>
      <c r="G102" s="298"/>
      <c r="H102" s="138"/>
      <c r="I102" s="138"/>
      <c r="J102" s="138"/>
      <c r="K102" s="138"/>
      <c r="L102" s="138"/>
      <c r="M102" s="138"/>
      <c r="N102" s="138"/>
      <c r="O102" s="139"/>
      <c r="P102" s="138"/>
      <c r="Q102" s="107"/>
      <c r="R102" s="107"/>
    </row>
    <row r="103" spans="1:18" ht="15" customHeight="1">
      <c r="A103" s="17" t="s">
        <v>26</v>
      </c>
      <c r="B103" s="17" t="s">
        <v>351</v>
      </c>
      <c r="C103" s="18" t="s">
        <v>597</v>
      </c>
      <c r="D103" s="17" t="s">
        <v>28</v>
      </c>
      <c r="E103" s="17" t="s">
        <v>286</v>
      </c>
      <c r="F103" s="17" t="s">
        <v>131</v>
      </c>
      <c r="G103" s="298"/>
      <c r="H103" s="138"/>
      <c r="I103" s="138"/>
      <c r="J103" s="138"/>
      <c r="K103" s="138"/>
      <c r="L103" s="138"/>
      <c r="M103" s="138"/>
      <c r="N103" s="138"/>
      <c r="O103" s="139"/>
      <c r="P103" s="138"/>
      <c r="Q103" s="107"/>
      <c r="R103" s="107"/>
    </row>
    <row r="104" spans="1:18" ht="15" customHeight="1">
      <c r="A104" s="17" t="s">
        <v>26</v>
      </c>
      <c r="B104" s="17" t="s">
        <v>352</v>
      </c>
      <c r="C104" s="18" t="s">
        <v>598</v>
      </c>
      <c r="D104" s="17" t="s">
        <v>28</v>
      </c>
      <c r="E104" s="17" t="s">
        <v>277</v>
      </c>
      <c r="F104" s="17" t="s">
        <v>131</v>
      </c>
      <c r="G104" s="298"/>
      <c r="H104" s="138"/>
      <c r="I104" s="138"/>
      <c r="J104" s="138"/>
      <c r="K104" s="138"/>
      <c r="L104" s="138"/>
      <c r="M104" s="138"/>
      <c r="N104" s="138"/>
      <c r="O104" s="139"/>
      <c r="P104" s="138"/>
      <c r="Q104" s="107"/>
      <c r="R104" s="107"/>
    </row>
    <row r="105" spans="1:18" ht="15" customHeight="1">
      <c r="A105" s="17" t="s">
        <v>26</v>
      </c>
      <c r="B105" s="17" t="s">
        <v>353</v>
      </c>
      <c r="C105" s="18" t="s">
        <v>593</v>
      </c>
      <c r="D105" s="17" t="s">
        <v>28</v>
      </c>
      <c r="E105" s="17" t="s">
        <v>267</v>
      </c>
      <c r="F105" s="17" t="s">
        <v>131</v>
      </c>
      <c r="G105" s="298"/>
      <c r="H105" s="138"/>
      <c r="I105" s="138"/>
      <c r="J105" s="138"/>
      <c r="K105" s="138"/>
      <c r="L105" s="138"/>
      <c r="M105" s="138"/>
      <c r="N105" s="138"/>
      <c r="O105" s="139"/>
      <c r="P105" s="138"/>
      <c r="Q105" s="107"/>
      <c r="R105" s="107"/>
    </row>
    <row r="106" spans="1:18" ht="15" customHeight="1">
      <c r="A106" s="17" t="s">
        <v>38</v>
      </c>
      <c r="B106" s="17" t="s">
        <v>344</v>
      </c>
      <c r="C106" s="18" t="s">
        <v>593</v>
      </c>
      <c r="D106" s="17" t="s">
        <v>40</v>
      </c>
      <c r="E106" s="17" t="s">
        <v>268</v>
      </c>
      <c r="F106" s="17" t="s">
        <v>30</v>
      </c>
      <c r="G106" s="298"/>
      <c r="H106" s="138"/>
      <c r="I106" s="138"/>
      <c r="J106" s="138"/>
      <c r="K106" s="138"/>
      <c r="L106" s="138"/>
      <c r="M106" s="138"/>
      <c r="N106" s="138"/>
      <c r="O106" s="139"/>
      <c r="P106" s="138"/>
      <c r="Q106" s="107"/>
      <c r="R106" s="107"/>
    </row>
    <row r="107" spans="1:18" ht="15" customHeight="1">
      <c r="A107" s="17" t="s">
        <v>359</v>
      </c>
      <c r="B107" s="17" t="s">
        <v>445</v>
      </c>
      <c r="C107" s="18" t="s">
        <v>635</v>
      </c>
      <c r="D107" s="17" t="s">
        <v>361</v>
      </c>
      <c r="E107" s="17" t="s">
        <v>270</v>
      </c>
      <c r="F107" s="17" t="s">
        <v>362</v>
      </c>
      <c r="G107" s="298"/>
      <c r="H107" s="138"/>
      <c r="I107" s="138"/>
      <c r="J107" s="138"/>
      <c r="K107" s="138"/>
      <c r="L107" s="138"/>
      <c r="M107" s="138"/>
      <c r="N107" s="138"/>
      <c r="O107" s="139"/>
      <c r="P107" s="138"/>
      <c r="Q107" s="107"/>
      <c r="R107" s="107"/>
    </row>
    <row r="108" spans="1:18" ht="15" customHeight="1">
      <c r="A108" s="17" t="s">
        <v>38</v>
      </c>
      <c r="B108" s="17" t="s">
        <v>346</v>
      </c>
      <c r="C108" s="18" t="s">
        <v>600</v>
      </c>
      <c r="D108" s="17" t="s">
        <v>40</v>
      </c>
      <c r="E108" s="17" t="s">
        <v>268</v>
      </c>
      <c r="F108" s="17" t="s">
        <v>347</v>
      </c>
      <c r="G108" s="298"/>
      <c r="H108" s="138"/>
      <c r="I108" s="138"/>
      <c r="J108" s="138"/>
      <c r="K108" s="138"/>
      <c r="L108" s="138"/>
      <c r="M108" s="138"/>
      <c r="N108" s="138"/>
      <c r="O108" s="139"/>
      <c r="P108" s="138"/>
      <c r="Q108" s="107"/>
      <c r="R108" s="107"/>
    </row>
    <row r="109" spans="1:18" ht="15" customHeight="1" thickBot="1">
      <c r="A109" s="30" t="s">
        <v>61</v>
      </c>
      <c r="B109" s="30" t="s">
        <v>364</v>
      </c>
      <c r="C109" s="31" t="s">
        <v>578</v>
      </c>
      <c r="D109" s="30" t="s">
        <v>63</v>
      </c>
      <c r="E109" s="30" t="s">
        <v>267</v>
      </c>
      <c r="F109" s="30" t="s">
        <v>365</v>
      </c>
      <c r="G109" s="299"/>
      <c r="H109" s="140"/>
      <c r="I109" s="140"/>
      <c r="J109" s="140"/>
      <c r="K109" s="140"/>
      <c r="L109" s="140"/>
      <c r="M109" s="140"/>
      <c r="N109" s="140"/>
      <c r="O109" s="141"/>
      <c r="P109" s="140"/>
      <c r="Q109" s="142"/>
      <c r="R109" s="142"/>
    </row>
    <row r="110" spans="1:18" ht="17.45" customHeight="1" thickBot="1">
      <c r="A110" s="283"/>
      <c r="B110" s="284"/>
      <c r="C110" s="284"/>
      <c r="D110" s="284"/>
      <c r="E110" s="284"/>
      <c r="F110" s="284"/>
      <c r="G110" s="284"/>
      <c r="H110" s="284"/>
      <c r="I110" s="284"/>
      <c r="J110" s="284"/>
      <c r="K110" s="284"/>
      <c r="L110" s="284"/>
      <c r="M110" s="284"/>
      <c r="N110" s="284"/>
      <c r="O110" s="284"/>
      <c r="P110" s="284"/>
      <c r="Q110" s="284"/>
      <c r="R110" s="285"/>
    </row>
    <row r="111" spans="1:18" ht="22.15" customHeight="1" thickTop="1" thickBot="1">
      <c r="A111" s="279" t="s">
        <v>6</v>
      </c>
      <c r="B111" s="295"/>
      <c r="C111" s="295"/>
      <c r="D111" s="295"/>
      <c r="E111" s="295"/>
      <c r="F111" s="296"/>
      <c r="G111" s="32">
        <v>46029</v>
      </c>
      <c r="H111" s="278" t="s">
        <v>7</v>
      </c>
      <c r="I111" s="295"/>
      <c r="J111" s="295"/>
      <c r="K111" s="295"/>
      <c r="L111" s="295"/>
      <c r="M111" s="295"/>
      <c r="N111" s="295"/>
      <c r="O111" s="295"/>
      <c r="P111" s="295"/>
      <c r="Q111" s="295"/>
      <c r="R111" s="296"/>
    </row>
    <row r="112" spans="1:18" ht="24" customHeight="1">
      <c r="A112" s="33" t="s">
        <v>8</v>
      </c>
      <c r="B112" s="33" t="s">
        <v>9</v>
      </c>
      <c r="C112" s="34" t="s">
        <v>10</v>
      </c>
      <c r="D112" s="33" t="s">
        <v>11</v>
      </c>
      <c r="E112" s="33" t="s">
        <v>12</v>
      </c>
      <c r="F112" s="35" t="s">
        <v>13</v>
      </c>
      <c r="G112" s="36" t="s">
        <v>14</v>
      </c>
      <c r="H112" s="33" t="s">
        <v>15</v>
      </c>
      <c r="I112" s="37" t="s">
        <v>16</v>
      </c>
      <c r="J112" s="38" t="s">
        <v>17</v>
      </c>
      <c r="K112" s="39" t="s">
        <v>18</v>
      </c>
      <c r="L112" s="38" t="s">
        <v>19</v>
      </c>
      <c r="M112" s="38" t="s">
        <v>20</v>
      </c>
      <c r="N112" s="38" t="s">
        <v>21</v>
      </c>
      <c r="O112" s="33" t="s">
        <v>22</v>
      </c>
      <c r="P112" s="34" t="s">
        <v>23</v>
      </c>
      <c r="Q112" s="38" t="s">
        <v>24</v>
      </c>
      <c r="R112" s="33" t="s">
        <v>25</v>
      </c>
    </row>
    <row r="113" spans="1:18" ht="15" customHeight="1">
      <c r="A113" s="8" t="s">
        <v>38</v>
      </c>
      <c r="B113" s="8" t="s">
        <v>719</v>
      </c>
      <c r="C113" s="9">
        <v>0.36458333333333331</v>
      </c>
      <c r="D113" s="8" t="s">
        <v>622</v>
      </c>
      <c r="E113" s="8" t="s">
        <v>80</v>
      </c>
      <c r="F113" s="8" t="s">
        <v>347</v>
      </c>
      <c r="G113" s="297"/>
      <c r="H113" s="10"/>
      <c r="I113" s="11"/>
      <c r="J113" s="11"/>
      <c r="K113" s="11"/>
      <c r="L113" s="11"/>
      <c r="M113" s="11"/>
      <c r="N113" s="11"/>
      <c r="O113" s="12"/>
      <c r="P113" s="11"/>
      <c r="Q113" s="13"/>
      <c r="R113" s="14"/>
    </row>
    <row r="114" spans="1:18" ht="15" customHeight="1">
      <c r="A114" s="15" t="s">
        <v>38</v>
      </c>
      <c r="B114" s="15" t="s">
        <v>719</v>
      </c>
      <c r="C114" s="16">
        <v>0.36458333333333331</v>
      </c>
      <c r="D114" s="15" t="s">
        <v>603</v>
      </c>
      <c r="E114" s="15" t="s">
        <v>82</v>
      </c>
      <c r="F114" s="15" t="s">
        <v>720</v>
      </c>
      <c r="G114" s="298"/>
      <c r="H114" s="10"/>
      <c r="I114" s="11"/>
      <c r="J114" s="11"/>
      <c r="K114" s="11"/>
      <c r="L114" s="11"/>
      <c r="M114" s="11"/>
      <c r="N114" s="11"/>
      <c r="O114" s="12"/>
      <c r="P114" s="11"/>
      <c r="Q114" s="13"/>
      <c r="R114" s="14"/>
    </row>
    <row r="115" spans="1:18" ht="15" customHeight="1">
      <c r="A115" s="15" t="s">
        <v>38</v>
      </c>
      <c r="B115" s="15" t="s">
        <v>719</v>
      </c>
      <c r="C115" s="16">
        <v>0.36458333333333331</v>
      </c>
      <c r="D115" s="15" t="s">
        <v>605</v>
      </c>
      <c r="E115" s="15" t="s">
        <v>82</v>
      </c>
      <c r="F115" s="15" t="s">
        <v>721</v>
      </c>
      <c r="G115" s="298"/>
      <c r="H115" s="10"/>
      <c r="I115" s="11"/>
      <c r="J115" s="11"/>
      <c r="K115" s="11"/>
      <c r="L115" s="11"/>
      <c r="M115" s="11"/>
      <c r="N115" s="11"/>
      <c r="O115" s="12"/>
      <c r="P115" s="11"/>
      <c r="Q115" s="13"/>
      <c r="R115" s="14"/>
    </row>
    <row r="116" spans="1:18" ht="15" customHeight="1">
      <c r="A116" s="15" t="s">
        <v>38</v>
      </c>
      <c r="B116" s="15" t="s">
        <v>719</v>
      </c>
      <c r="C116" s="16">
        <v>0.36458333333333331</v>
      </c>
      <c r="D116" s="15" t="s">
        <v>625</v>
      </c>
      <c r="E116" s="15" t="s">
        <v>82</v>
      </c>
      <c r="F116" s="15" t="s">
        <v>503</v>
      </c>
      <c r="G116" s="298"/>
      <c r="H116" s="10"/>
      <c r="I116" s="11"/>
      <c r="J116" s="11"/>
      <c r="K116" s="11"/>
      <c r="L116" s="11"/>
      <c r="M116" s="11"/>
      <c r="N116" s="11"/>
      <c r="O116" s="12"/>
      <c r="P116" s="11"/>
      <c r="Q116" s="13"/>
      <c r="R116" s="14"/>
    </row>
    <row r="117" spans="1:18" ht="15" customHeight="1">
      <c r="A117" s="98" t="s">
        <v>61</v>
      </c>
      <c r="B117" s="98" t="s">
        <v>722</v>
      </c>
      <c r="C117" s="99">
        <v>0.92361111111111116</v>
      </c>
      <c r="D117" s="98" t="s">
        <v>63</v>
      </c>
      <c r="E117" s="98" t="s">
        <v>126</v>
      </c>
      <c r="F117" s="98" t="s">
        <v>708</v>
      </c>
      <c r="G117" s="298"/>
      <c r="H117" s="100" t="s">
        <v>723</v>
      </c>
      <c r="I117" s="101">
        <v>5.5999999999999999E-3</v>
      </c>
      <c r="J117" s="102">
        <v>1</v>
      </c>
      <c r="K117" s="103">
        <v>46268</v>
      </c>
      <c r="L117" s="102">
        <v>1</v>
      </c>
      <c r="M117" s="102">
        <v>0</v>
      </c>
      <c r="N117" s="102">
        <v>0</v>
      </c>
      <c r="O117" s="104" t="s">
        <v>304</v>
      </c>
      <c r="P117" s="105">
        <v>0.92361111111111116</v>
      </c>
      <c r="Q117" s="102">
        <v>180</v>
      </c>
      <c r="R117" s="106" t="s">
        <v>302</v>
      </c>
    </row>
    <row r="118" spans="1:18" ht="15" customHeight="1">
      <c r="A118" s="156" t="s">
        <v>61</v>
      </c>
      <c r="B118" s="156" t="s">
        <v>707</v>
      </c>
      <c r="C118" s="157">
        <v>0.1076388888888889</v>
      </c>
      <c r="D118" s="156" t="s">
        <v>63</v>
      </c>
      <c r="E118" s="156" t="s">
        <v>37</v>
      </c>
      <c r="F118" s="156" t="s">
        <v>708</v>
      </c>
      <c r="G118" s="298"/>
      <c r="H118" s="42" t="s">
        <v>709</v>
      </c>
      <c r="I118" s="43">
        <v>0</v>
      </c>
      <c r="J118" s="44">
        <v>0</v>
      </c>
      <c r="K118" s="45" t="s">
        <v>66</v>
      </c>
      <c r="L118" s="44">
        <v>0</v>
      </c>
      <c r="M118" s="44">
        <v>0</v>
      </c>
      <c r="N118" s="44">
        <v>0</v>
      </c>
      <c r="O118" s="46" t="s">
        <v>307</v>
      </c>
      <c r="P118" s="47">
        <v>0.1076388888888889</v>
      </c>
      <c r="Q118" s="44">
        <v>180</v>
      </c>
      <c r="R118" s="48" t="s">
        <v>66</v>
      </c>
    </row>
    <row r="119" spans="1:18" ht="15" customHeight="1">
      <c r="A119" s="148" t="s">
        <v>61</v>
      </c>
      <c r="B119" s="148" t="s">
        <v>715</v>
      </c>
      <c r="C119" s="149">
        <v>0.5</v>
      </c>
      <c r="D119" s="148" t="s">
        <v>63</v>
      </c>
      <c r="E119" s="148" t="s">
        <v>134</v>
      </c>
      <c r="F119" s="148" t="s">
        <v>708</v>
      </c>
      <c r="G119" s="298"/>
      <c r="H119" s="51" t="s">
        <v>716</v>
      </c>
      <c r="I119" s="52">
        <v>2.7799999999999998E-2</v>
      </c>
      <c r="J119" s="53">
        <v>5</v>
      </c>
      <c r="K119" s="54">
        <v>46340</v>
      </c>
      <c r="L119" s="53">
        <v>5</v>
      </c>
      <c r="M119" s="53">
        <v>0</v>
      </c>
      <c r="N119" s="53">
        <v>0</v>
      </c>
      <c r="O119" s="55" t="s">
        <v>302</v>
      </c>
      <c r="P119" s="56">
        <v>0.5</v>
      </c>
      <c r="Q119" s="53">
        <v>180</v>
      </c>
      <c r="R119" s="57" t="s">
        <v>717</v>
      </c>
    </row>
    <row r="120" spans="1:18" ht="15" customHeight="1">
      <c r="A120" s="19" t="s">
        <v>68</v>
      </c>
      <c r="B120" s="19" t="s">
        <v>713</v>
      </c>
      <c r="C120" s="20">
        <v>0.1076388888888889</v>
      </c>
      <c r="D120" s="19" t="s">
        <v>643</v>
      </c>
      <c r="E120" s="19" t="s">
        <v>29</v>
      </c>
      <c r="F120" s="19" t="s">
        <v>714</v>
      </c>
      <c r="G120" s="298"/>
      <c r="H120" s="10"/>
      <c r="I120" s="11"/>
      <c r="J120" s="11"/>
      <c r="K120" s="11"/>
      <c r="L120" s="11"/>
      <c r="M120" s="11"/>
      <c r="N120" s="11"/>
      <c r="O120" s="12"/>
      <c r="P120" s="11"/>
      <c r="Q120" s="13"/>
      <c r="R120" s="14"/>
    </row>
    <row r="121" spans="1:18" ht="15" customHeight="1">
      <c r="A121" s="17" t="s">
        <v>68</v>
      </c>
      <c r="B121" s="17" t="s">
        <v>725</v>
      </c>
      <c r="C121" s="18">
        <v>0.92361111111111116</v>
      </c>
      <c r="D121" s="17" t="s">
        <v>643</v>
      </c>
      <c r="E121" s="17" t="s">
        <v>37</v>
      </c>
      <c r="F121" s="17" t="s">
        <v>714</v>
      </c>
      <c r="G121" s="298"/>
      <c r="H121" s="10"/>
      <c r="I121" s="11"/>
      <c r="J121" s="11"/>
      <c r="K121" s="11"/>
      <c r="L121" s="11"/>
      <c r="M121" s="11"/>
      <c r="N121" s="11"/>
      <c r="O121" s="12"/>
      <c r="P121" s="11"/>
      <c r="Q121" s="13"/>
      <c r="R121" s="14"/>
    </row>
    <row r="122" spans="1:18" ht="18">
      <c r="A122" s="292" t="s">
        <v>615</v>
      </c>
      <c r="B122" s="303"/>
      <c r="C122" s="303"/>
      <c r="D122" s="303"/>
      <c r="E122" s="303"/>
      <c r="F122" s="304"/>
      <c r="G122" s="298"/>
      <c r="H122" s="138"/>
      <c r="I122" s="138"/>
      <c r="J122" s="138"/>
      <c r="K122" s="138"/>
      <c r="L122" s="138"/>
      <c r="M122" s="138"/>
      <c r="N122" s="138"/>
      <c r="O122" s="139"/>
      <c r="P122" s="138"/>
      <c r="Q122" s="107"/>
      <c r="R122" s="107"/>
    </row>
    <row r="123" spans="1:18" ht="15" customHeight="1">
      <c r="A123" s="17" t="s">
        <v>38</v>
      </c>
      <c r="B123" s="17" t="s">
        <v>342</v>
      </c>
      <c r="C123" s="18" t="s">
        <v>592</v>
      </c>
      <c r="D123" s="17" t="s">
        <v>40</v>
      </c>
      <c r="E123" s="17" t="s">
        <v>287</v>
      </c>
      <c r="F123" s="17" t="s">
        <v>88</v>
      </c>
      <c r="G123" s="298"/>
      <c r="H123" s="138"/>
      <c r="I123" s="138"/>
      <c r="J123" s="138"/>
      <c r="K123" s="138"/>
      <c r="L123" s="138"/>
      <c r="M123" s="138"/>
      <c r="N123" s="138"/>
      <c r="O123" s="139"/>
      <c r="P123" s="138"/>
      <c r="Q123" s="107"/>
      <c r="R123" s="107"/>
    </row>
    <row r="124" spans="1:18" ht="15" customHeight="1">
      <c r="A124" s="17" t="s">
        <v>38</v>
      </c>
      <c r="B124" s="17" t="s">
        <v>344</v>
      </c>
      <c r="C124" s="18" t="s">
        <v>593</v>
      </c>
      <c r="D124" s="17" t="s">
        <v>40</v>
      </c>
      <c r="E124" s="17" t="s">
        <v>268</v>
      </c>
      <c r="F124" s="17" t="s">
        <v>343</v>
      </c>
      <c r="G124" s="298"/>
      <c r="H124" s="138"/>
      <c r="I124" s="138"/>
      <c r="J124" s="138"/>
      <c r="K124" s="138"/>
      <c r="L124" s="138"/>
      <c r="M124" s="138"/>
      <c r="N124" s="138"/>
      <c r="O124" s="139"/>
      <c r="P124" s="138"/>
      <c r="Q124" s="107"/>
      <c r="R124" s="107"/>
    </row>
    <row r="125" spans="1:18" ht="15" customHeight="1">
      <c r="A125" s="17" t="s">
        <v>38</v>
      </c>
      <c r="B125" s="17" t="s">
        <v>345</v>
      </c>
      <c r="C125" s="18" t="s">
        <v>594</v>
      </c>
      <c r="D125" s="17" t="s">
        <v>40</v>
      </c>
      <c r="E125" s="17" t="s">
        <v>293</v>
      </c>
      <c r="F125" s="17" t="s">
        <v>343</v>
      </c>
      <c r="G125" s="298"/>
      <c r="H125" s="138"/>
      <c r="I125" s="138"/>
      <c r="J125" s="138"/>
      <c r="K125" s="138"/>
      <c r="L125" s="138"/>
      <c r="M125" s="138"/>
      <c r="N125" s="138"/>
      <c r="O125" s="139"/>
      <c r="P125" s="138"/>
      <c r="Q125" s="107"/>
      <c r="R125" s="107"/>
    </row>
    <row r="126" spans="1:18" ht="15" customHeight="1">
      <c r="A126" s="17" t="s">
        <v>26</v>
      </c>
      <c r="B126" s="17" t="s">
        <v>348</v>
      </c>
      <c r="C126" s="18" t="s">
        <v>595</v>
      </c>
      <c r="D126" s="17" t="s">
        <v>28</v>
      </c>
      <c r="E126" s="17" t="s">
        <v>277</v>
      </c>
      <c r="F126" s="17" t="s">
        <v>131</v>
      </c>
      <c r="G126" s="298"/>
      <c r="H126" s="138"/>
      <c r="I126" s="138"/>
      <c r="J126" s="138"/>
      <c r="K126" s="138"/>
      <c r="L126" s="138"/>
      <c r="M126" s="138"/>
      <c r="N126" s="138"/>
      <c r="O126" s="139"/>
      <c r="P126" s="138"/>
      <c r="Q126" s="107"/>
      <c r="R126" s="107"/>
    </row>
    <row r="127" spans="1:18" ht="15" customHeight="1">
      <c r="A127" s="17" t="s">
        <v>26</v>
      </c>
      <c r="B127" s="17" t="s">
        <v>351</v>
      </c>
      <c r="C127" s="18" t="s">
        <v>597</v>
      </c>
      <c r="D127" s="17" t="s">
        <v>28</v>
      </c>
      <c r="E127" s="17" t="s">
        <v>277</v>
      </c>
      <c r="F127" s="17" t="s">
        <v>131</v>
      </c>
      <c r="G127" s="298"/>
      <c r="H127" s="138"/>
      <c r="I127" s="138"/>
      <c r="J127" s="138"/>
      <c r="K127" s="138"/>
      <c r="L127" s="138"/>
      <c r="M127" s="138"/>
      <c r="N127" s="138"/>
      <c r="O127" s="139"/>
      <c r="P127" s="138"/>
      <c r="Q127" s="107"/>
      <c r="R127" s="107"/>
    </row>
    <row r="128" spans="1:18" ht="15" customHeight="1">
      <c r="A128" s="17" t="s">
        <v>26</v>
      </c>
      <c r="B128" s="17" t="s">
        <v>352</v>
      </c>
      <c r="C128" s="18" t="s">
        <v>598</v>
      </c>
      <c r="D128" s="17" t="s">
        <v>28</v>
      </c>
      <c r="E128" s="17" t="s">
        <v>294</v>
      </c>
      <c r="F128" s="17" t="s">
        <v>131</v>
      </c>
      <c r="G128" s="298"/>
      <c r="H128" s="138"/>
      <c r="I128" s="138"/>
      <c r="J128" s="138"/>
      <c r="K128" s="138"/>
      <c r="L128" s="138"/>
      <c r="M128" s="138"/>
      <c r="N128" s="138"/>
      <c r="O128" s="139"/>
      <c r="P128" s="138"/>
      <c r="Q128" s="107"/>
      <c r="R128" s="107"/>
    </row>
    <row r="129" spans="1:18" ht="15" customHeight="1">
      <c r="A129" s="17" t="s">
        <v>26</v>
      </c>
      <c r="B129" s="17" t="s">
        <v>353</v>
      </c>
      <c r="C129" s="18" t="s">
        <v>593</v>
      </c>
      <c r="D129" s="17" t="s">
        <v>28</v>
      </c>
      <c r="E129" s="17" t="s">
        <v>294</v>
      </c>
      <c r="F129" s="17" t="s">
        <v>131</v>
      </c>
      <c r="G129" s="298"/>
      <c r="H129" s="138"/>
      <c r="I129" s="138"/>
      <c r="J129" s="138"/>
      <c r="K129" s="138"/>
      <c r="L129" s="138"/>
      <c r="M129" s="138"/>
      <c r="N129" s="138"/>
      <c r="O129" s="139"/>
      <c r="P129" s="138"/>
      <c r="Q129" s="107"/>
      <c r="R129" s="107"/>
    </row>
    <row r="130" spans="1:18" ht="15" customHeight="1">
      <c r="A130" s="17" t="s">
        <v>38</v>
      </c>
      <c r="B130" s="17" t="s">
        <v>346</v>
      </c>
      <c r="C130" s="18" t="s">
        <v>600</v>
      </c>
      <c r="D130" s="17" t="s">
        <v>40</v>
      </c>
      <c r="E130" s="17" t="s">
        <v>268</v>
      </c>
      <c r="F130" s="17" t="s">
        <v>30</v>
      </c>
      <c r="G130" s="298"/>
      <c r="H130" s="138"/>
      <c r="I130" s="138"/>
      <c r="J130" s="138"/>
      <c r="K130" s="138"/>
      <c r="L130" s="138"/>
      <c r="M130" s="138"/>
      <c r="N130" s="138"/>
      <c r="O130" s="139"/>
      <c r="P130" s="138"/>
      <c r="Q130" s="107"/>
      <c r="R130" s="107"/>
    </row>
    <row r="131" spans="1:18" ht="15" customHeight="1">
      <c r="A131" s="17" t="s">
        <v>359</v>
      </c>
      <c r="B131" s="17" t="s">
        <v>360</v>
      </c>
      <c r="C131" s="18" t="s">
        <v>619</v>
      </c>
      <c r="D131" s="17" t="s">
        <v>361</v>
      </c>
      <c r="E131" s="17" t="s">
        <v>270</v>
      </c>
      <c r="F131" s="17" t="s">
        <v>362</v>
      </c>
      <c r="G131" s="298"/>
      <c r="H131" s="138"/>
      <c r="I131" s="138"/>
      <c r="J131" s="138"/>
      <c r="K131" s="138"/>
      <c r="L131" s="138"/>
      <c r="M131" s="138"/>
      <c r="N131" s="138"/>
      <c r="O131" s="139"/>
      <c r="P131" s="138"/>
      <c r="Q131" s="107"/>
      <c r="R131" s="107"/>
    </row>
    <row r="132" spans="1:18" ht="15" customHeight="1" thickBot="1">
      <c r="A132" s="30" t="s">
        <v>61</v>
      </c>
      <c r="B132" s="30" t="s">
        <v>364</v>
      </c>
      <c r="C132" s="31" t="s">
        <v>580</v>
      </c>
      <c r="D132" s="30" t="s">
        <v>63</v>
      </c>
      <c r="E132" s="30" t="s">
        <v>288</v>
      </c>
      <c r="F132" s="30" t="s">
        <v>365</v>
      </c>
      <c r="G132" s="299"/>
      <c r="H132" s="140"/>
      <c r="I132" s="140"/>
      <c r="J132" s="140"/>
      <c r="K132" s="140"/>
      <c r="L132" s="140"/>
      <c r="M132" s="140"/>
      <c r="N132" s="140"/>
      <c r="O132" s="141"/>
      <c r="P132" s="140"/>
      <c r="Q132" s="142"/>
      <c r="R132" s="142"/>
    </row>
    <row r="133" spans="1:18" ht="17.45" customHeight="1" thickBot="1">
      <c r="A133" s="283"/>
      <c r="B133" s="284"/>
      <c r="C133" s="284"/>
      <c r="D133" s="284"/>
      <c r="E133" s="284"/>
      <c r="F133" s="284"/>
      <c r="G133" s="284"/>
      <c r="H133" s="284"/>
      <c r="I133" s="284"/>
      <c r="J133" s="284"/>
      <c r="K133" s="284"/>
      <c r="L133" s="284"/>
      <c r="M133" s="284"/>
      <c r="N133" s="284"/>
      <c r="O133" s="284"/>
      <c r="P133" s="284"/>
      <c r="Q133" s="284"/>
      <c r="R133" s="285"/>
    </row>
    <row r="134" spans="1:18" ht="22.15" customHeight="1" thickTop="1" thickBot="1">
      <c r="A134" s="279" t="s">
        <v>6</v>
      </c>
      <c r="B134" s="295"/>
      <c r="C134" s="295"/>
      <c r="D134" s="295"/>
      <c r="E134" s="295"/>
      <c r="F134" s="296"/>
      <c r="G134" s="32">
        <v>46030</v>
      </c>
      <c r="H134" s="278" t="s">
        <v>7</v>
      </c>
      <c r="I134" s="295"/>
      <c r="J134" s="295"/>
      <c r="K134" s="295"/>
      <c r="L134" s="295"/>
      <c r="M134" s="295"/>
      <c r="N134" s="295"/>
      <c r="O134" s="295"/>
      <c r="P134" s="295"/>
      <c r="Q134" s="295"/>
      <c r="R134" s="296"/>
    </row>
    <row r="135" spans="1:18" ht="24" customHeight="1">
      <c r="A135" s="33" t="s">
        <v>8</v>
      </c>
      <c r="B135" s="33" t="s">
        <v>9</v>
      </c>
      <c r="C135" s="34" t="s">
        <v>10</v>
      </c>
      <c r="D135" s="33" t="s">
        <v>11</v>
      </c>
      <c r="E135" s="33" t="s">
        <v>12</v>
      </c>
      <c r="F135" s="35" t="s">
        <v>13</v>
      </c>
      <c r="G135" s="36" t="s">
        <v>14</v>
      </c>
      <c r="H135" s="33" t="s">
        <v>15</v>
      </c>
      <c r="I135" s="37" t="s">
        <v>16</v>
      </c>
      <c r="J135" s="38" t="s">
        <v>17</v>
      </c>
      <c r="K135" s="39" t="s">
        <v>18</v>
      </c>
      <c r="L135" s="38" t="s">
        <v>19</v>
      </c>
      <c r="M135" s="38" t="s">
        <v>20</v>
      </c>
      <c r="N135" s="38" t="s">
        <v>21</v>
      </c>
      <c r="O135" s="33" t="s">
        <v>22</v>
      </c>
      <c r="P135" s="34" t="s">
        <v>23</v>
      </c>
      <c r="Q135" s="38" t="s">
        <v>24</v>
      </c>
      <c r="R135" s="33" t="s">
        <v>25</v>
      </c>
    </row>
    <row r="136" spans="1:18" ht="15" customHeight="1">
      <c r="A136" s="21" t="s">
        <v>61</v>
      </c>
      <c r="B136" s="21" t="s">
        <v>707</v>
      </c>
      <c r="C136" s="22">
        <v>0.52430555555555558</v>
      </c>
      <c r="D136" s="21" t="s">
        <v>63</v>
      </c>
      <c r="E136" s="21" t="s">
        <v>156</v>
      </c>
      <c r="F136" s="21" t="s">
        <v>708</v>
      </c>
      <c r="G136" s="297"/>
      <c r="H136" s="23" t="s">
        <v>709</v>
      </c>
      <c r="I136" s="24">
        <v>0.05</v>
      </c>
      <c r="J136" s="25">
        <v>9</v>
      </c>
      <c r="K136" s="26">
        <v>46320</v>
      </c>
      <c r="L136" s="25">
        <v>9</v>
      </c>
      <c r="M136" s="25">
        <v>0</v>
      </c>
      <c r="N136" s="25">
        <v>0</v>
      </c>
      <c r="O136" s="27" t="s">
        <v>302</v>
      </c>
      <c r="P136" s="28">
        <v>0.52430555555555558</v>
      </c>
      <c r="Q136" s="25">
        <v>180</v>
      </c>
      <c r="R136" s="29" t="s">
        <v>726</v>
      </c>
    </row>
    <row r="137" spans="1:18" ht="15" customHeight="1">
      <c r="A137" s="152" t="s">
        <v>61</v>
      </c>
      <c r="B137" s="152" t="s">
        <v>710</v>
      </c>
      <c r="C137" s="153">
        <v>0.54861111111111105</v>
      </c>
      <c r="D137" s="152" t="s">
        <v>63</v>
      </c>
      <c r="E137" s="152" t="s">
        <v>37</v>
      </c>
      <c r="F137" s="152" t="s">
        <v>708</v>
      </c>
      <c r="G137" s="298"/>
      <c r="H137" s="100" t="s">
        <v>712</v>
      </c>
      <c r="I137" s="101">
        <v>1.11E-2</v>
      </c>
      <c r="J137" s="102">
        <v>2</v>
      </c>
      <c r="K137" s="103">
        <v>46329</v>
      </c>
      <c r="L137" s="102">
        <v>2</v>
      </c>
      <c r="M137" s="102">
        <v>0</v>
      </c>
      <c r="N137" s="102">
        <v>0</v>
      </c>
      <c r="O137" s="104" t="s">
        <v>307</v>
      </c>
      <c r="P137" s="105">
        <v>0.54861111111111105</v>
      </c>
      <c r="Q137" s="102">
        <v>180</v>
      </c>
      <c r="R137" s="106" t="s">
        <v>318</v>
      </c>
    </row>
    <row r="138" spans="1:18" ht="15" customHeight="1">
      <c r="A138" s="19" t="s">
        <v>68</v>
      </c>
      <c r="B138" s="19" t="s">
        <v>713</v>
      </c>
      <c r="C138" s="20">
        <v>0.52430555555555558</v>
      </c>
      <c r="D138" s="19" t="s">
        <v>70</v>
      </c>
      <c r="E138" s="19" t="s">
        <v>29</v>
      </c>
      <c r="F138" s="19" t="s">
        <v>727</v>
      </c>
      <c r="G138" s="298"/>
      <c r="H138" s="10"/>
      <c r="I138" s="11"/>
      <c r="J138" s="11"/>
      <c r="K138" s="11"/>
      <c r="L138" s="11"/>
      <c r="M138" s="11"/>
      <c r="N138" s="11"/>
      <c r="O138" s="12"/>
      <c r="P138" s="11"/>
      <c r="Q138" s="13"/>
      <c r="R138" s="14"/>
    </row>
    <row r="139" spans="1:18" ht="18">
      <c r="A139" s="292" t="s">
        <v>615</v>
      </c>
      <c r="B139" s="303"/>
      <c r="C139" s="303"/>
      <c r="D139" s="303"/>
      <c r="E139" s="303"/>
      <c r="F139" s="304"/>
      <c r="G139" s="298"/>
      <c r="H139" s="138"/>
      <c r="I139" s="138"/>
      <c r="J139" s="138"/>
      <c r="K139" s="138"/>
      <c r="L139" s="138"/>
      <c r="M139" s="138"/>
      <c r="N139" s="138"/>
      <c r="O139" s="139"/>
      <c r="P139" s="138"/>
      <c r="Q139" s="107"/>
      <c r="R139" s="107"/>
    </row>
    <row r="140" spans="1:18" ht="15" customHeight="1">
      <c r="A140" s="17" t="s">
        <v>38</v>
      </c>
      <c r="B140" s="17" t="s">
        <v>344</v>
      </c>
      <c r="C140" s="18" t="s">
        <v>593</v>
      </c>
      <c r="D140" s="17" t="s">
        <v>40</v>
      </c>
      <c r="E140" s="17" t="s">
        <v>308</v>
      </c>
      <c r="F140" s="17" t="s">
        <v>343</v>
      </c>
      <c r="G140" s="298"/>
      <c r="H140" s="138"/>
      <c r="I140" s="138"/>
      <c r="J140" s="138"/>
      <c r="K140" s="138"/>
      <c r="L140" s="138"/>
      <c r="M140" s="138"/>
      <c r="N140" s="138"/>
      <c r="O140" s="139"/>
      <c r="P140" s="138"/>
      <c r="Q140" s="107"/>
      <c r="R140" s="107"/>
    </row>
    <row r="141" spans="1:18" ht="15" customHeight="1">
      <c r="A141" s="17" t="s">
        <v>38</v>
      </c>
      <c r="B141" s="17" t="s">
        <v>345</v>
      </c>
      <c r="C141" s="18" t="s">
        <v>594</v>
      </c>
      <c r="D141" s="17" t="s">
        <v>40</v>
      </c>
      <c r="E141" s="17" t="s">
        <v>295</v>
      </c>
      <c r="F141" s="17" t="s">
        <v>343</v>
      </c>
      <c r="G141" s="298"/>
      <c r="H141" s="138"/>
      <c r="I141" s="138"/>
      <c r="J141" s="138"/>
      <c r="K141" s="138"/>
      <c r="L141" s="138"/>
      <c r="M141" s="138"/>
      <c r="N141" s="138"/>
      <c r="O141" s="139"/>
      <c r="P141" s="138"/>
      <c r="Q141" s="107"/>
      <c r="R141" s="107"/>
    </row>
    <row r="142" spans="1:18" ht="15" customHeight="1">
      <c r="A142" s="17" t="s">
        <v>38</v>
      </c>
      <c r="B142" s="17" t="s">
        <v>342</v>
      </c>
      <c r="C142" s="18" t="s">
        <v>592</v>
      </c>
      <c r="D142" s="17" t="s">
        <v>40</v>
      </c>
      <c r="E142" s="17" t="s">
        <v>295</v>
      </c>
      <c r="F142" s="17" t="s">
        <v>81</v>
      </c>
      <c r="G142" s="298"/>
      <c r="H142" s="138"/>
      <c r="I142" s="138"/>
      <c r="J142" s="138"/>
      <c r="K142" s="138"/>
      <c r="L142" s="138"/>
      <c r="M142" s="138"/>
      <c r="N142" s="138"/>
      <c r="O142" s="139"/>
      <c r="P142" s="138"/>
      <c r="Q142" s="107"/>
      <c r="R142" s="107"/>
    </row>
    <row r="143" spans="1:18" ht="15" customHeight="1">
      <c r="A143" s="17" t="s">
        <v>26</v>
      </c>
      <c r="B143" s="17" t="s">
        <v>348</v>
      </c>
      <c r="C143" s="18" t="s">
        <v>595</v>
      </c>
      <c r="D143" s="17" t="s">
        <v>28</v>
      </c>
      <c r="E143" s="17" t="s">
        <v>267</v>
      </c>
      <c r="F143" s="17" t="s">
        <v>131</v>
      </c>
      <c r="G143" s="298"/>
      <c r="H143" s="138"/>
      <c r="I143" s="138"/>
      <c r="J143" s="138"/>
      <c r="K143" s="138"/>
      <c r="L143" s="138"/>
      <c r="M143" s="138"/>
      <c r="N143" s="138"/>
      <c r="O143" s="139"/>
      <c r="P143" s="138"/>
      <c r="Q143" s="107"/>
      <c r="R143" s="107"/>
    </row>
    <row r="144" spans="1:18" ht="15" customHeight="1">
      <c r="A144" s="17" t="s">
        <v>26</v>
      </c>
      <c r="B144" s="17" t="s">
        <v>351</v>
      </c>
      <c r="C144" s="18" t="s">
        <v>597</v>
      </c>
      <c r="D144" s="17" t="s">
        <v>28</v>
      </c>
      <c r="E144" s="17" t="s">
        <v>294</v>
      </c>
      <c r="F144" s="17" t="s">
        <v>131</v>
      </c>
      <c r="G144" s="298"/>
      <c r="H144" s="138"/>
      <c r="I144" s="138"/>
      <c r="J144" s="138"/>
      <c r="K144" s="138"/>
      <c r="L144" s="138"/>
      <c r="M144" s="138"/>
      <c r="N144" s="138"/>
      <c r="O144" s="139"/>
      <c r="P144" s="138"/>
      <c r="Q144" s="107"/>
      <c r="R144" s="107"/>
    </row>
    <row r="145" spans="1:18" ht="15" customHeight="1">
      <c r="A145" s="17" t="s">
        <v>26</v>
      </c>
      <c r="B145" s="17" t="s">
        <v>353</v>
      </c>
      <c r="C145" s="18" t="s">
        <v>593</v>
      </c>
      <c r="D145" s="17" t="s">
        <v>28</v>
      </c>
      <c r="E145" s="17" t="s">
        <v>277</v>
      </c>
      <c r="F145" s="17" t="s">
        <v>131</v>
      </c>
      <c r="G145" s="298"/>
      <c r="H145" s="138"/>
      <c r="I145" s="138"/>
      <c r="J145" s="138"/>
      <c r="K145" s="138"/>
      <c r="L145" s="138"/>
      <c r="M145" s="138"/>
      <c r="N145" s="138"/>
      <c r="O145" s="139"/>
      <c r="P145" s="138"/>
      <c r="Q145" s="107"/>
      <c r="R145" s="107"/>
    </row>
    <row r="146" spans="1:18" ht="15" customHeight="1">
      <c r="A146" s="17" t="s">
        <v>38</v>
      </c>
      <c r="B146" s="17" t="s">
        <v>346</v>
      </c>
      <c r="C146" s="18" t="s">
        <v>600</v>
      </c>
      <c r="D146" s="17" t="s">
        <v>40</v>
      </c>
      <c r="E146" s="17" t="s">
        <v>268</v>
      </c>
      <c r="F146" s="17" t="s">
        <v>30</v>
      </c>
      <c r="G146" s="298"/>
      <c r="H146" s="138"/>
      <c r="I146" s="138"/>
      <c r="J146" s="138"/>
      <c r="K146" s="138"/>
      <c r="L146" s="138"/>
      <c r="M146" s="138"/>
      <c r="N146" s="138"/>
      <c r="O146" s="139"/>
      <c r="P146" s="138"/>
      <c r="Q146" s="107"/>
      <c r="R146" s="107"/>
    </row>
    <row r="147" spans="1:18" ht="15" customHeight="1">
      <c r="A147" s="17" t="s">
        <v>359</v>
      </c>
      <c r="B147" s="17" t="s">
        <v>360</v>
      </c>
      <c r="C147" s="18" t="s">
        <v>599</v>
      </c>
      <c r="D147" s="17" t="s">
        <v>361</v>
      </c>
      <c r="E147" s="17" t="s">
        <v>270</v>
      </c>
      <c r="F147" s="17" t="s">
        <v>362</v>
      </c>
      <c r="G147" s="298"/>
      <c r="H147" s="138"/>
      <c r="I147" s="138"/>
      <c r="J147" s="138"/>
      <c r="K147" s="138"/>
      <c r="L147" s="138"/>
      <c r="M147" s="138"/>
      <c r="N147" s="138"/>
      <c r="O147" s="139"/>
      <c r="P147" s="138"/>
      <c r="Q147" s="107"/>
      <c r="R147" s="107"/>
    </row>
    <row r="148" spans="1:18" ht="15" customHeight="1">
      <c r="A148" s="17" t="s">
        <v>26</v>
      </c>
      <c r="B148" s="17" t="s">
        <v>352</v>
      </c>
      <c r="C148" s="18" t="s">
        <v>598</v>
      </c>
      <c r="D148" s="17" t="s">
        <v>28</v>
      </c>
      <c r="E148" s="17" t="s">
        <v>277</v>
      </c>
      <c r="F148" s="17" t="s">
        <v>347</v>
      </c>
      <c r="G148" s="298"/>
      <c r="H148" s="138"/>
      <c r="I148" s="138"/>
      <c r="J148" s="138"/>
      <c r="K148" s="138"/>
      <c r="L148" s="138"/>
      <c r="M148" s="138"/>
      <c r="N148" s="138"/>
      <c r="O148" s="139"/>
      <c r="P148" s="138"/>
      <c r="Q148" s="107"/>
      <c r="R148" s="107"/>
    </row>
    <row r="149" spans="1:18" ht="15" customHeight="1" thickBot="1">
      <c r="A149" s="30" t="s">
        <v>61</v>
      </c>
      <c r="B149" s="30" t="s">
        <v>364</v>
      </c>
      <c r="C149" s="31" t="s">
        <v>559</v>
      </c>
      <c r="D149" s="30" t="s">
        <v>63</v>
      </c>
      <c r="E149" s="30" t="s">
        <v>636</v>
      </c>
      <c r="F149" s="30" t="s">
        <v>365</v>
      </c>
      <c r="G149" s="299"/>
      <c r="H149" s="140"/>
      <c r="I149" s="140"/>
      <c r="J149" s="140"/>
      <c r="K149" s="140"/>
      <c r="L149" s="140"/>
      <c r="M149" s="140"/>
      <c r="N149" s="140"/>
      <c r="O149" s="141"/>
      <c r="P149" s="140"/>
      <c r="Q149" s="142"/>
      <c r="R149" s="142"/>
    </row>
    <row r="150" spans="1:18" ht="17.45" customHeight="1" thickBot="1">
      <c r="A150" s="283"/>
      <c r="B150" s="284"/>
      <c r="C150" s="284"/>
      <c r="D150" s="284"/>
      <c r="E150" s="284"/>
      <c r="F150" s="284"/>
      <c r="G150" s="284"/>
      <c r="H150" s="284"/>
      <c r="I150" s="284"/>
      <c r="J150" s="284"/>
      <c r="K150" s="284"/>
      <c r="L150" s="284"/>
      <c r="M150" s="284"/>
      <c r="N150" s="284"/>
      <c r="O150" s="284"/>
      <c r="P150" s="284"/>
      <c r="Q150" s="284"/>
      <c r="R150" s="285"/>
    </row>
    <row r="151" spans="1:18" ht="22.15" customHeight="1" thickTop="1" thickBot="1">
      <c r="A151" s="279" t="s">
        <v>6</v>
      </c>
      <c r="B151" s="295"/>
      <c r="C151" s="295"/>
      <c r="D151" s="295"/>
      <c r="E151" s="295"/>
      <c r="F151" s="296"/>
      <c r="G151" s="32">
        <v>46031</v>
      </c>
      <c r="H151" s="278" t="s">
        <v>7</v>
      </c>
      <c r="I151" s="295"/>
      <c r="J151" s="295"/>
      <c r="K151" s="295"/>
      <c r="L151" s="295"/>
      <c r="M151" s="295"/>
      <c r="N151" s="295"/>
      <c r="O151" s="295"/>
      <c r="P151" s="295"/>
      <c r="Q151" s="295"/>
      <c r="R151" s="296"/>
    </row>
    <row r="152" spans="1:18" ht="24" customHeight="1">
      <c r="A152" s="33" t="s">
        <v>8</v>
      </c>
      <c r="B152" s="33" t="s">
        <v>9</v>
      </c>
      <c r="C152" s="34" t="s">
        <v>10</v>
      </c>
      <c r="D152" s="33" t="s">
        <v>11</v>
      </c>
      <c r="E152" s="33" t="s">
        <v>12</v>
      </c>
      <c r="F152" s="35" t="s">
        <v>13</v>
      </c>
      <c r="G152" s="36" t="s">
        <v>14</v>
      </c>
      <c r="H152" s="33" t="s">
        <v>15</v>
      </c>
      <c r="I152" s="37" t="s">
        <v>16</v>
      </c>
      <c r="J152" s="38" t="s">
        <v>17</v>
      </c>
      <c r="K152" s="39" t="s">
        <v>18</v>
      </c>
      <c r="L152" s="38" t="s">
        <v>19</v>
      </c>
      <c r="M152" s="38" t="s">
        <v>20</v>
      </c>
      <c r="N152" s="38" t="s">
        <v>21</v>
      </c>
      <c r="O152" s="33" t="s">
        <v>22</v>
      </c>
      <c r="P152" s="34" t="s">
        <v>23</v>
      </c>
      <c r="Q152" s="38" t="s">
        <v>24</v>
      </c>
      <c r="R152" s="33" t="s">
        <v>25</v>
      </c>
    </row>
    <row r="153" spans="1:18" ht="15" customHeight="1">
      <c r="A153" s="40" t="s">
        <v>61</v>
      </c>
      <c r="B153" s="40" t="s">
        <v>715</v>
      </c>
      <c r="C153" s="41">
        <v>0.13541666666666671</v>
      </c>
      <c r="D153" s="40" t="s">
        <v>63</v>
      </c>
      <c r="E153" s="40" t="s">
        <v>29</v>
      </c>
      <c r="F153" s="40" t="s">
        <v>708</v>
      </c>
      <c r="G153" s="297"/>
      <c r="H153" s="42" t="s">
        <v>716</v>
      </c>
      <c r="I153" s="43">
        <v>0</v>
      </c>
      <c r="J153" s="44">
        <v>0</v>
      </c>
      <c r="K153" s="45" t="s">
        <v>66</v>
      </c>
      <c r="L153" s="44">
        <v>0</v>
      </c>
      <c r="M153" s="44">
        <v>0</v>
      </c>
      <c r="N153" s="44">
        <v>0</v>
      </c>
      <c r="O153" s="46" t="s">
        <v>307</v>
      </c>
      <c r="P153" s="47">
        <v>0.13541666666666671</v>
      </c>
      <c r="Q153" s="44">
        <v>180</v>
      </c>
      <c r="R153" s="48" t="s">
        <v>66</v>
      </c>
    </row>
    <row r="154" spans="1:18" ht="18">
      <c r="A154" s="292" t="s">
        <v>615</v>
      </c>
      <c r="B154" s="303"/>
      <c r="C154" s="303"/>
      <c r="D154" s="303"/>
      <c r="E154" s="303"/>
      <c r="F154" s="304"/>
      <c r="G154" s="298"/>
      <c r="H154" s="138"/>
      <c r="I154" s="138"/>
      <c r="J154" s="138"/>
      <c r="K154" s="138"/>
      <c r="L154" s="138"/>
      <c r="M154" s="138"/>
      <c r="N154" s="138"/>
      <c r="O154" s="139"/>
      <c r="P154" s="138"/>
      <c r="Q154" s="107"/>
      <c r="R154" s="107"/>
    </row>
    <row r="155" spans="1:18" ht="15" customHeight="1">
      <c r="A155" s="17" t="s">
        <v>38</v>
      </c>
      <c r="B155" s="17" t="s">
        <v>342</v>
      </c>
      <c r="C155" s="18" t="s">
        <v>592</v>
      </c>
      <c r="D155" s="17" t="s">
        <v>40</v>
      </c>
      <c r="E155" s="17" t="s">
        <v>277</v>
      </c>
      <c r="F155" s="17" t="s">
        <v>88</v>
      </c>
      <c r="G155" s="298"/>
      <c r="H155" s="138"/>
      <c r="I155" s="138"/>
      <c r="J155" s="138"/>
      <c r="K155" s="138"/>
      <c r="L155" s="138"/>
      <c r="M155" s="138"/>
      <c r="N155" s="138"/>
      <c r="O155" s="139"/>
      <c r="P155" s="138"/>
      <c r="Q155" s="107"/>
      <c r="R155" s="107"/>
    </row>
    <row r="156" spans="1:18" ht="15" customHeight="1">
      <c r="A156" s="17" t="s">
        <v>38</v>
      </c>
      <c r="B156" s="17" t="s">
        <v>346</v>
      </c>
      <c r="C156" s="18" t="s">
        <v>600</v>
      </c>
      <c r="D156" s="17" t="s">
        <v>40</v>
      </c>
      <c r="E156" s="17" t="s">
        <v>312</v>
      </c>
      <c r="F156" s="17" t="s">
        <v>81</v>
      </c>
      <c r="G156" s="298"/>
      <c r="H156" s="138"/>
      <c r="I156" s="138"/>
      <c r="J156" s="138"/>
      <c r="K156" s="138"/>
      <c r="L156" s="138"/>
      <c r="M156" s="138"/>
      <c r="N156" s="138"/>
      <c r="O156" s="139"/>
      <c r="P156" s="138"/>
      <c r="Q156" s="107"/>
      <c r="R156" s="107"/>
    </row>
    <row r="157" spans="1:18" ht="15" customHeight="1">
      <c r="A157" s="17" t="s">
        <v>38</v>
      </c>
      <c r="B157" s="17" t="s">
        <v>344</v>
      </c>
      <c r="C157" s="18" t="s">
        <v>593</v>
      </c>
      <c r="D157" s="17" t="s">
        <v>40</v>
      </c>
      <c r="E157" s="17" t="s">
        <v>312</v>
      </c>
      <c r="F157" s="17" t="s">
        <v>81</v>
      </c>
      <c r="G157" s="298"/>
      <c r="H157" s="138"/>
      <c r="I157" s="138"/>
      <c r="J157" s="138"/>
      <c r="K157" s="138"/>
      <c r="L157" s="138"/>
      <c r="M157" s="138"/>
      <c r="N157" s="138"/>
      <c r="O157" s="139"/>
      <c r="P157" s="138"/>
      <c r="Q157" s="107"/>
      <c r="R157" s="107"/>
    </row>
    <row r="158" spans="1:18" ht="15" customHeight="1">
      <c r="A158" s="17" t="s">
        <v>38</v>
      </c>
      <c r="B158" s="17" t="s">
        <v>345</v>
      </c>
      <c r="C158" s="18" t="s">
        <v>594</v>
      </c>
      <c r="D158" s="17" t="s">
        <v>40</v>
      </c>
      <c r="E158" s="17" t="s">
        <v>284</v>
      </c>
      <c r="F158" s="17" t="s">
        <v>30</v>
      </c>
      <c r="G158" s="298"/>
      <c r="H158" s="138"/>
      <c r="I158" s="138"/>
      <c r="J158" s="138"/>
      <c r="K158" s="138"/>
      <c r="L158" s="138"/>
      <c r="M158" s="138"/>
      <c r="N158" s="138"/>
      <c r="O158" s="139"/>
      <c r="P158" s="138"/>
      <c r="Q158" s="107"/>
      <c r="R158" s="107"/>
    </row>
    <row r="159" spans="1:18" ht="15" customHeight="1">
      <c r="A159" s="17" t="s">
        <v>359</v>
      </c>
      <c r="B159" s="17" t="s">
        <v>422</v>
      </c>
      <c r="C159" s="18" t="s">
        <v>618</v>
      </c>
      <c r="D159" s="17" t="s">
        <v>361</v>
      </c>
      <c r="E159" s="17" t="s">
        <v>270</v>
      </c>
      <c r="F159" s="17" t="s">
        <v>423</v>
      </c>
      <c r="G159" s="298"/>
      <c r="H159" s="138"/>
      <c r="I159" s="138"/>
      <c r="J159" s="138"/>
      <c r="K159" s="138"/>
      <c r="L159" s="138"/>
      <c r="M159" s="138"/>
      <c r="N159" s="138"/>
      <c r="O159" s="139"/>
      <c r="P159" s="138"/>
      <c r="Q159" s="107"/>
      <c r="R159" s="107"/>
    </row>
    <row r="160" spans="1:18" ht="15" customHeight="1">
      <c r="A160" s="17" t="s">
        <v>359</v>
      </c>
      <c r="B160" s="17" t="s">
        <v>360</v>
      </c>
      <c r="C160" s="18" t="s">
        <v>619</v>
      </c>
      <c r="D160" s="17" t="s">
        <v>361</v>
      </c>
      <c r="E160" s="17" t="s">
        <v>270</v>
      </c>
      <c r="F160" s="17" t="s">
        <v>423</v>
      </c>
      <c r="G160" s="298"/>
      <c r="H160" s="138"/>
      <c r="I160" s="138"/>
      <c r="J160" s="138"/>
      <c r="K160" s="138"/>
      <c r="L160" s="138"/>
      <c r="M160" s="138"/>
      <c r="N160" s="138"/>
      <c r="O160" s="139"/>
      <c r="P160" s="138"/>
      <c r="Q160" s="107"/>
      <c r="R160" s="107"/>
    </row>
    <row r="161" spans="1:18" ht="15" customHeight="1">
      <c r="A161" s="17" t="s">
        <v>359</v>
      </c>
      <c r="B161" s="17" t="s">
        <v>425</v>
      </c>
      <c r="C161" s="18" t="s">
        <v>620</v>
      </c>
      <c r="D161" s="17" t="s">
        <v>361</v>
      </c>
      <c r="E161" s="17" t="s">
        <v>270</v>
      </c>
      <c r="F161" s="17" t="s">
        <v>423</v>
      </c>
      <c r="G161" s="298"/>
      <c r="H161" s="138"/>
      <c r="I161" s="138"/>
      <c r="J161" s="138"/>
      <c r="K161" s="138"/>
      <c r="L161" s="138"/>
      <c r="M161" s="138"/>
      <c r="N161" s="138"/>
      <c r="O161" s="139"/>
      <c r="P161" s="138"/>
      <c r="Q161" s="107"/>
      <c r="R161" s="107"/>
    </row>
    <row r="162" spans="1:18" ht="15" customHeight="1">
      <c r="A162" s="17" t="s">
        <v>61</v>
      </c>
      <c r="B162" s="17" t="s">
        <v>428</v>
      </c>
      <c r="C162" s="18" t="s">
        <v>564</v>
      </c>
      <c r="D162" s="17" t="s">
        <v>63</v>
      </c>
      <c r="E162" s="17" t="s">
        <v>288</v>
      </c>
      <c r="F162" s="17" t="s">
        <v>365</v>
      </c>
      <c r="G162" s="298"/>
      <c r="H162" s="138"/>
      <c r="I162" s="138"/>
      <c r="J162" s="138"/>
      <c r="K162" s="138"/>
      <c r="L162" s="138"/>
      <c r="M162" s="138"/>
      <c r="N162" s="138"/>
      <c r="O162" s="139"/>
      <c r="P162" s="138"/>
      <c r="Q162" s="107"/>
      <c r="R162" s="107"/>
    </row>
    <row r="163" spans="1:18" ht="15" customHeight="1">
      <c r="A163" s="17" t="s">
        <v>61</v>
      </c>
      <c r="B163" s="17" t="s">
        <v>375</v>
      </c>
      <c r="C163" s="18" t="s">
        <v>561</v>
      </c>
      <c r="D163" s="17" t="s">
        <v>63</v>
      </c>
      <c r="E163" s="17" t="s">
        <v>286</v>
      </c>
      <c r="F163" s="17" t="s">
        <v>365</v>
      </c>
      <c r="G163" s="298"/>
      <c r="H163" s="138"/>
      <c r="I163" s="138"/>
      <c r="J163" s="138"/>
      <c r="K163" s="138"/>
      <c r="L163" s="138"/>
      <c r="M163" s="138"/>
      <c r="N163" s="138"/>
      <c r="O163" s="139"/>
      <c r="P163" s="138"/>
      <c r="Q163" s="107"/>
      <c r="R163" s="107"/>
    </row>
    <row r="164" spans="1:18" ht="15" customHeight="1" thickBot="1">
      <c r="A164" s="30" t="s">
        <v>61</v>
      </c>
      <c r="B164" s="30" t="s">
        <v>377</v>
      </c>
      <c r="C164" s="31" t="s">
        <v>562</v>
      </c>
      <c r="D164" s="30" t="s">
        <v>63</v>
      </c>
      <c r="E164" s="30" t="s">
        <v>636</v>
      </c>
      <c r="F164" s="30" t="s">
        <v>365</v>
      </c>
      <c r="G164" s="299"/>
      <c r="H164" s="140"/>
      <c r="I164" s="140"/>
      <c r="J164" s="140"/>
      <c r="K164" s="140"/>
      <c r="L164" s="140"/>
      <c r="M164" s="140"/>
      <c r="N164" s="140"/>
      <c r="O164" s="141"/>
      <c r="P164" s="140"/>
      <c r="Q164" s="142"/>
      <c r="R164" s="142"/>
    </row>
    <row r="165" spans="1:18" ht="17.45" customHeight="1" thickBot="1">
      <c r="A165" s="283"/>
      <c r="B165" s="284"/>
      <c r="C165" s="284"/>
      <c r="D165" s="284"/>
      <c r="E165" s="284"/>
      <c r="F165" s="284"/>
      <c r="G165" s="284"/>
      <c r="H165" s="284"/>
      <c r="I165" s="284"/>
      <c r="J165" s="284"/>
      <c r="K165" s="284"/>
      <c r="L165" s="284"/>
      <c r="M165" s="284"/>
      <c r="N165" s="284"/>
      <c r="O165" s="284"/>
      <c r="P165" s="284"/>
      <c r="Q165" s="284"/>
      <c r="R165" s="285"/>
    </row>
    <row r="166" spans="1:18" ht="22.15" customHeight="1" thickTop="1" thickBot="1">
      <c r="A166" s="279" t="s">
        <v>6</v>
      </c>
      <c r="B166" s="295"/>
      <c r="C166" s="295"/>
      <c r="D166" s="295"/>
      <c r="E166" s="295"/>
      <c r="F166" s="296"/>
      <c r="G166" s="32">
        <v>46032</v>
      </c>
      <c r="H166" s="278" t="s">
        <v>7</v>
      </c>
      <c r="I166" s="295"/>
      <c r="J166" s="295"/>
      <c r="K166" s="295"/>
      <c r="L166" s="295"/>
      <c r="M166" s="295"/>
      <c r="N166" s="295"/>
      <c r="O166" s="295"/>
      <c r="P166" s="295"/>
      <c r="Q166" s="295"/>
      <c r="R166" s="296"/>
    </row>
    <row r="167" spans="1:18" ht="24" customHeight="1">
      <c r="A167" s="33" t="s">
        <v>8</v>
      </c>
      <c r="B167" s="33" t="s">
        <v>9</v>
      </c>
      <c r="C167" s="34" t="s">
        <v>10</v>
      </c>
      <c r="D167" s="33" t="s">
        <v>11</v>
      </c>
      <c r="E167" s="33" t="s">
        <v>12</v>
      </c>
      <c r="F167" s="35" t="s">
        <v>13</v>
      </c>
      <c r="G167" s="36" t="s">
        <v>14</v>
      </c>
      <c r="H167" s="33" t="s">
        <v>15</v>
      </c>
      <c r="I167" s="37" t="s">
        <v>16</v>
      </c>
      <c r="J167" s="38" t="s">
        <v>17</v>
      </c>
      <c r="K167" s="39" t="s">
        <v>18</v>
      </c>
      <c r="L167" s="38" t="s">
        <v>19</v>
      </c>
      <c r="M167" s="38" t="s">
        <v>20</v>
      </c>
      <c r="N167" s="38" t="s">
        <v>21</v>
      </c>
      <c r="O167" s="33" t="s">
        <v>22</v>
      </c>
      <c r="P167" s="34" t="s">
        <v>23</v>
      </c>
      <c r="Q167" s="38" t="s">
        <v>24</v>
      </c>
      <c r="R167" s="33" t="s">
        <v>25</v>
      </c>
    </row>
    <row r="168" spans="1:18" ht="15" customHeight="1">
      <c r="A168" s="58" t="s">
        <v>61</v>
      </c>
      <c r="B168" s="58" t="s">
        <v>707</v>
      </c>
      <c r="C168" s="59">
        <v>0.30208333333333331</v>
      </c>
      <c r="D168" s="58" t="s">
        <v>63</v>
      </c>
      <c r="E168" s="58" t="s">
        <v>143</v>
      </c>
      <c r="F168" s="58" t="s">
        <v>708</v>
      </c>
      <c r="G168" s="297"/>
      <c r="H168" s="60" t="s">
        <v>709</v>
      </c>
      <c r="I168" s="61">
        <v>1.11E-2</v>
      </c>
      <c r="J168" s="62">
        <v>2</v>
      </c>
      <c r="K168" s="63">
        <v>46343</v>
      </c>
      <c r="L168" s="62">
        <v>2</v>
      </c>
      <c r="M168" s="62">
        <v>0</v>
      </c>
      <c r="N168" s="62">
        <v>0</v>
      </c>
      <c r="O168" s="64" t="s">
        <v>298</v>
      </c>
      <c r="P168" s="65">
        <v>0.30208333333333331</v>
      </c>
      <c r="Q168" s="62">
        <v>180</v>
      </c>
      <c r="R168" s="66" t="s">
        <v>298</v>
      </c>
    </row>
    <row r="169" spans="1:18" ht="15" customHeight="1">
      <c r="A169" s="148" t="s">
        <v>61</v>
      </c>
      <c r="B169" s="148" t="s">
        <v>715</v>
      </c>
      <c r="C169" s="149">
        <v>0.1423611111111111</v>
      </c>
      <c r="D169" s="148" t="s">
        <v>63</v>
      </c>
      <c r="E169" s="148" t="s">
        <v>37</v>
      </c>
      <c r="F169" s="148" t="s">
        <v>708</v>
      </c>
      <c r="G169" s="298"/>
      <c r="H169" s="51" t="s">
        <v>716</v>
      </c>
      <c r="I169" s="52">
        <v>0</v>
      </c>
      <c r="J169" s="53">
        <v>0</v>
      </c>
      <c r="K169" s="54" t="s">
        <v>66</v>
      </c>
      <c r="L169" s="53">
        <v>0</v>
      </c>
      <c r="M169" s="53">
        <v>0</v>
      </c>
      <c r="N169" s="53">
        <v>0</v>
      </c>
      <c r="O169" s="55" t="s">
        <v>307</v>
      </c>
      <c r="P169" s="56">
        <v>0.1423611111111111</v>
      </c>
      <c r="Q169" s="53">
        <v>180</v>
      </c>
      <c r="R169" s="57" t="s">
        <v>66</v>
      </c>
    </row>
    <row r="170" spans="1:18" ht="15" customHeight="1">
      <c r="A170" s="154" t="s">
        <v>61</v>
      </c>
      <c r="B170" s="154" t="s">
        <v>710</v>
      </c>
      <c r="C170" s="155">
        <v>0.52777777777777779</v>
      </c>
      <c r="D170" s="154" t="s">
        <v>63</v>
      </c>
      <c r="E170" s="154" t="s">
        <v>37</v>
      </c>
      <c r="F170" s="154" t="s">
        <v>711</v>
      </c>
      <c r="G170" s="298"/>
      <c r="H170" s="69" t="s">
        <v>712</v>
      </c>
      <c r="I170" s="70">
        <v>2.2200000000000001E-2</v>
      </c>
      <c r="J170" s="71">
        <v>4</v>
      </c>
      <c r="K170" s="72">
        <v>46336</v>
      </c>
      <c r="L170" s="71">
        <v>4</v>
      </c>
      <c r="M170" s="71">
        <v>0</v>
      </c>
      <c r="N170" s="71">
        <v>0</v>
      </c>
      <c r="O170" s="73" t="s">
        <v>300</v>
      </c>
      <c r="P170" s="74">
        <v>0.52777777777777779</v>
      </c>
      <c r="Q170" s="71">
        <v>180</v>
      </c>
      <c r="R170" s="75" t="s">
        <v>307</v>
      </c>
    </row>
    <row r="171" spans="1:18" ht="15" customHeight="1">
      <c r="A171" s="19" t="s">
        <v>68</v>
      </c>
      <c r="B171" s="19" t="s">
        <v>713</v>
      </c>
      <c r="C171" s="20">
        <v>0.30208333333333331</v>
      </c>
      <c r="D171" s="19" t="s">
        <v>643</v>
      </c>
      <c r="E171" s="19" t="s">
        <v>29</v>
      </c>
      <c r="F171" s="19" t="s">
        <v>714</v>
      </c>
      <c r="G171" s="298"/>
      <c r="H171" s="10"/>
      <c r="I171" s="11"/>
      <c r="J171" s="11"/>
      <c r="K171" s="11"/>
      <c r="L171" s="11"/>
      <c r="M171" s="11"/>
      <c r="N171" s="11"/>
      <c r="O171" s="12"/>
      <c r="P171" s="11"/>
      <c r="Q171" s="13"/>
      <c r="R171" s="14"/>
    </row>
    <row r="172" spans="1:18" ht="18">
      <c r="A172" s="292" t="s">
        <v>615</v>
      </c>
      <c r="B172" s="303"/>
      <c r="C172" s="303"/>
      <c r="D172" s="303"/>
      <c r="E172" s="303"/>
      <c r="F172" s="304"/>
      <c r="G172" s="298"/>
      <c r="H172" s="138"/>
      <c r="I172" s="138"/>
      <c r="J172" s="138"/>
      <c r="K172" s="138"/>
      <c r="L172" s="138"/>
      <c r="M172" s="138"/>
      <c r="N172" s="138"/>
      <c r="O172" s="139"/>
      <c r="P172" s="138"/>
      <c r="Q172" s="107"/>
      <c r="R172" s="107"/>
    </row>
    <row r="173" spans="1:18" ht="15" customHeight="1">
      <c r="A173" s="17" t="s">
        <v>38</v>
      </c>
      <c r="B173" s="17" t="s">
        <v>345</v>
      </c>
      <c r="C173" s="18" t="s">
        <v>594</v>
      </c>
      <c r="D173" s="17" t="s">
        <v>40</v>
      </c>
      <c r="E173" s="17" t="s">
        <v>652</v>
      </c>
      <c r="F173" s="17" t="s">
        <v>81</v>
      </c>
      <c r="G173" s="298"/>
      <c r="H173" s="138"/>
      <c r="I173" s="138"/>
      <c r="J173" s="138"/>
      <c r="K173" s="138"/>
      <c r="L173" s="138"/>
      <c r="M173" s="138"/>
      <c r="N173" s="138"/>
      <c r="O173" s="139"/>
      <c r="P173" s="138"/>
      <c r="Q173" s="107"/>
      <c r="R173" s="107"/>
    </row>
    <row r="174" spans="1:18" ht="15" customHeight="1">
      <c r="A174" s="17" t="s">
        <v>38</v>
      </c>
      <c r="B174" s="17" t="s">
        <v>342</v>
      </c>
      <c r="C174" s="18" t="s">
        <v>592</v>
      </c>
      <c r="D174" s="17" t="s">
        <v>40</v>
      </c>
      <c r="E174" s="17" t="s">
        <v>312</v>
      </c>
      <c r="F174" s="17" t="s">
        <v>30</v>
      </c>
      <c r="G174" s="298"/>
      <c r="H174" s="138"/>
      <c r="I174" s="138"/>
      <c r="J174" s="138"/>
      <c r="K174" s="138"/>
      <c r="L174" s="138"/>
      <c r="M174" s="138"/>
      <c r="N174" s="138"/>
      <c r="O174" s="139"/>
      <c r="P174" s="138"/>
      <c r="Q174" s="107"/>
      <c r="R174" s="107"/>
    </row>
    <row r="175" spans="1:18" ht="15" customHeight="1">
      <c r="A175" s="17" t="s">
        <v>359</v>
      </c>
      <c r="B175" s="17" t="s">
        <v>445</v>
      </c>
      <c r="C175" s="18" t="s">
        <v>635</v>
      </c>
      <c r="D175" s="17" t="s">
        <v>361</v>
      </c>
      <c r="E175" s="17" t="s">
        <v>270</v>
      </c>
      <c r="F175" s="17" t="s">
        <v>423</v>
      </c>
      <c r="G175" s="298"/>
      <c r="H175" s="138"/>
      <c r="I175" s="138"/>
      <c r="J175" s="138"/>
      <c r="K175" s="138"/>
      <c r="L175" s="138"/>
      <c r="M175" s="138"/>
      <c r="N175" s="138"/>
      <c r="O175" s="139"/>
      <c r="P175" s="138"/>
      <c r="Q175" s="107"/>
      <c r="R175" s="107"/>
    </row>
    <row r="176" spans="1:18" ht="15" customHeight="1">
      <c r="A176" s="17" t="s">
        <v>359</v>
      </c>
      <c r="B176" s="17" t="s">
        <v>360</v>
      </c>
      <c r="C176" s="18" t="s">
        <v>599</v>
      </c>
      <c r="D176" s="17" t="s">
        <v>361</v>
      </c>
      <c r="E176" s="17" t="s">
        <v>270</v>
      </c>
      <c r="F176" s="17" t="s">
        <v>484</v>
      </c>
      <c r="G176" s="298"/>
      <c r="H176" s="138"/>
      <c r="I176" s="138"/>
      <c r="J176" s="138"/>
      <c r="K176" s="138"/>
      <c r="L176" s="138"/>
      <c r="M176" s="138"/>
      <c r="N176" s="138"/>
      <c r="O176" s="139"/>
      <c r="P176" s="138"/>
      <c r="Q176" s="107"/>
      <c r="R176" s="107"/>
    </row>
    <row r="177" spans="1:18" ht="15" customHeight="1">
      <c r="A177" s="17" t="s">
        <v>38</v>
      </c>
      <c r="B177" s="17" t="s">
        <v>346</v>
      </c>
      <c r="C177" s="18" t="s">
        <v>600</v>
      </c>
      <c r="D177" s="17" t="s">
        <v>40</v>
      </c>
      <c r="E177" s="17" t="s">
        <v>312</v>
      </c>
      <c r="F177" s="17" t="s">
        <v>347</v>
      </c>
      <c r="G177" s="298"/>
      <c r="H177" s="138"/>
      <c r="I177" s="138"/>
      <c r="J177" s="138"/>
      <c r="K177" s="138"/>
      <c r="L177" s="138"/>
      <c r="M177" s="138"/>
      <c r="N177" s="138"/>
      <c r="O177" s="139"/>
      <c r="P177" s="138"/>
      <c r="Q177" s="107"/>
      <c r="R177" s="107"/>
    </row>
    <row r="178" spans="1:18" ht="15" customHeight="1">
      <c r="A178" s="17" t="s">
        <v>61</v>
      </c>
      <c r="B178" s="17" t="s">
        <v>371</v>
      </c>
      <c r="C178" s="18" t="s">
        <v>566</v>
      </c>
      <c r="D178" s="17" t="s">
        <v>63</v>
      </c>
      <c r="E178" s="17" t="s">
        <v>286</v>
      </c>
      <c r="F178" s="17" t="s">
        <v>365</v>
      </c>
      <c r="G178" s="298"/>
      <c r="H178" s="138"/>
      <c r="I178" s="138"/>
      <c r="J178" s="138"/>
      <c r="K178" s="138"/>
      <c r="L178" s="138"/>
      <c r="M178" s="138"/>
      <c r="N178" s="138"/>
      <c r="O178" s="139"/>
      <c r="P178" s="138"/>
      <c r="Q178" s="107"/>
      <c r="R178" s="107"/>
    </row>
    <row r="179" spans="1:18" ht="15" customHeight="1">
      <c r="A179" s="17" t="s">
        <v>61</v>
      </c>
      <c r="B179" s="17" t="s">
        <v>375</v>
      </c>
      <c r="C179" s="18" t="s">
        <v>553</v>
      </c>
      <c r="D179" s="17" t="s">
        <v>63</v>
      </c>
      <c r="E179" s="17" t="s">
        <v>267</v>
      </c>
      <c r="F179" s="17" t="s">
        <v>365</v>
      </c>
      <c r="G179" s="298"/>
      <c r="H179" s="138"/>
      <c r="I179" s="138"/>
      <c r="J179" s="138"/>
      <c r="K179" s="138"/>
      <c r="L179" s="138"/>
      <c r="M179" s="138"/>
      <c r="N179" s="138"/>
      <c r="O179" s="139"/>
      <c r="P179" s="138"/>
      <c r="Q179" s="107"/>
      <c r="R179" s="107"/>
    </row>
    <row r="180" spans="1:18" ht="15" customHeight="1">
      <c r="A180" s="17" t="s">
        <v>61</v>
      </c>
      <c r="B180" s="17" t="s">
        <v>377</v>
      </c>
      <c r="C180" s="18" t="s">
        <v>567</v>
      </c>
      <c r="D180" s="17" t="s">
        <v>63</v>
      </c>
      <c r="E180" s="17" t="s">
        <v>288</v>
      </c>
      <c r="F180" s="17" t="s">
        <v>365</v>
      </c>
      <c r="G180" s="298"/>
      <c r="H180" s="138"/>
      <c r="I180" s="138"/>
      <c r="J180" s="138"/>
      <c r="K180" s="138"/>
      <c r="L180" s="138"/>
      <c r="M180" s="138"/>
      <c r="N180" s="138"/>
      <c r="O180" s="139"/>
      <c r="P180" s="138"/>
      <c r="Q180" s="107"/>
      <c r="R180" s="107"/>
    </row>
    <row r="181" spans="1:18" ht="15" customHeight="1">
      <c r="A181" s="17" t="s">
        <v>38</v>
      </c>
      <c r="B181" s="17" t="s">
        <v>344</v>
      </c>
      <c r="C181" s="18" t="s">
        <v>593</v>
      </c>
      <c r="D181" s="17" t="s">
        <v>40</v>
      </c>
      <c r="E181" s="17" t="s">
        <v>332</v>
      </c>
      <c r="F181" s="17" t="s">
        <v>121</v>
      </c>
      <c r="G181" s="298"/>
      <c r="H181" s="138"/>
      <c r="I181" s="138"/>
      <c r="J181" s="138"/>
      <c r="K181" s="138"/>
      <c r="L181" s="138"/>
      <c r="M181" s="138"/>
      <c r="N181" s="138"/>
      <c r="O181" s="139"/>
      <c r="P181" s="138"/>
      <c r="Q181" s="107"/>
      <c r="R181" s="107"/>
    </row>
    <row r="182" spans="1:18" ht="15" customHeight="1" thickBot="1">
      <c r="A182" s="30" t="s">
        <v>26</v>
      </c>
      <c r="B182" s="30" t="s">
        <v>348</v>
      </c>
      <c r="C182" s="31" t="s">
        <v>595</v>
      </c>
      <c r="D182" s="30" t="s">
        <v>28</v>
      </c>
      <c r="E182" s="30" t="s">
        <v>267</v>
      </c>
      <c r="F182" s="30" t="s">
        <v>83</v>
      </c>
      <c r="G182" s="299"/>
      <c r="H182" s="140"/>
      <c r="I182" s="140"/>
      <c r="J182" s="140"/>
      <c r="K182" s="140"/>
      <c r="L182" s="140"/>
      <c r="M182" s="140"/>
      <c r="N182" s="140"/>
      <c r="O182" s="141"/>
      <c r="P182" s="140"/>
      <c r="Q182" s="142"/>
      <c r="R182" s="142"/>
    </row>
    <row r="183" spans="1:18" ht="17.45" customHeight="1" thickBot="1">
      <c r="A183" s="283"/>
      <c r="B183" s="284"/>
      <c r="C183" s="284"/>
      <c r="D183" s="284"/>
      <c r="E183" s="284"/>
      <c r="F183" s="284"/>
      <c r="G183" s="284"/>
      <c r="H183" s="284"/>
      <c r="I183" s="284"/>
      <c r="J183" s="284"/>
      <c r="K183" s="284"/>
      <c r="L183" s="284"/>
      <c r="M183" s="284"/>
      <c r="N183" s="284"/>
      <c r="O183" s="284"/>
      <c r="P183" s="284"/>
      <c r="Q183" s="284"/>
      <c r="R183" s="285"/>
    </row>
    <row r="184" spans="1:18" ht="22.15" customHeight="1" thickTop="1" thickBot="1">
      <c r="A184" s="279" t="s">
        <v>6</v>
      </c>
      <c r="B184" s="295"/>
      <c r="C184" s="295"/>
      <c r="D184" s="295"/>
      <c r="E184" s="295"/>
      <c r="F184" s="296"/>
      <c r="G184" s="32">
        <v>46033</v>
      </c>
      <c r="H184" s="278" t="s">
        <v>7</v>
      </c>
      <c r="I184" s="295"/>
      <c r="J184" s="295"/>
      <c r="K184" s="295"/>
      <c r="L184" s="295"/>
      <c r="M184" s="295"/>
      <c r="N184" s="295"/>
      <c r="O184" s="295"/>
      <c r="P184" s="295"/>
      <c r="Q184" s="295"/>
      <c r="R184" s="296"/>
    </row>
    <row r="185" spans="1:18" ht="24" customHeight="1">
      <c r="A185" s="33" t="s">
        <v>8</v>
      </c>
      <c r="B185" s="33" t="s">
        <v>9</v>
      </c>
      <c r="C185" s="34" t="s">
        <v>10</v>
      </c>
      <c r="D185" s="33" t="s">
        <v>11</v>
      </c>
      <c r="E185" s="33" t="s">
        <v>12</v>
      </c>
      <c r="F185" s="35" t="s">
        <v>13</v>
      </c>
      <c r="G185" s="36" t="s">
        <v>14</v>
      </c>
      <c r="H185" s="33" t="s">
        <v>15</v>
      </c>
      <c r="I185" s="37" t="s">
        <v>16</v>
      </c>
      <c r="J185" s="38" t="s">
        <v>17</v>
      </c>
      <c r="K185" s="39" t="s">
        <v>18</v>
      </c>
      <c r="L185" s="38" t="s">
        <v>19</v>
      </c>
      <c r="M185" s="38" t="s">
        <v>20</v>
      </c>
      <c r="N185" s="38" t="s">
        <v>21</v>
      </c>
      <c r="O185" s="33" t="s">
        <v>22</v>
      </c>
      <c r="P185" s="34" t="s">
        <v>23</v>
      </c>
      <c r="Q185" s="38" t="s">
        <v>24</v>
      </c>
      <c r="R185" s="33" t="s">
        <v>25</v>
      </c>
    </row>
    <row r="186" spans="1:18" ht="15" customHeight="1">
      <c r="A186" s="98" t="s">
        <v>61</v>
      </c>
      <c r="B186" s="98" t="s">
        <v>710</v>
      </c>
      <c r="C186" s="99">
        <v>0.69097222222222221</v>
      </c>
      <c r="D186" s="98" t="s">
        <v>63</v>
      </c>
      <c r="E186" s="98" t="s">
        <v>126</v>
      </c>
      <c r="F186" s="98" t="s">
        <v>708</v>
      </c>
      <c r="G186" s="297"/>
      <c r="H186" s="100" t="s">
        <v>712</v>
      </c>
      <c r="I186" s="101">
        <v>5.5999999999999999E-3</v>
      </c>
      <c r="J186" s="102">
        <v>1</v>
      </c>
      <c r="K186" s="103">
        <v>46335</v>
      </c>
      <c r="L186" s="102">
        <v>1</v>
      </c>
      <c r="M186" s="102">
        <v>0</v>
      </c>
      <c r="N186" s="102">
        <v>0</v>
      </c>
      <c r="O186" s="104" t="s">
        <v>304</v>
      </c>
      <c r="P186" s="105">
        <v>0.69097222222222221</v>
      </c>
      <c r="Q186" s="102">
        <v>180</v>
      </c>
      <c r="R186" s="106" t="s">
        <v>302</v>
      </c>
    </row>
    <row r="187" spans="1:18" ht="15" customHeight="1">
      <c r="A187" s="160" t="s">
        <v>61</v>
      </c>
      <c r="B187" s="160" t="s">
        <v>715</v>
      </c>
      <c r="C187" s="161">
        <v>0.3298611111111111</v>
      </c>
      <c r="D187" s="160" t="s">
        <v>63</v>
      </c>
      <c r="E187" s="160" t="s">
        <v>37</v>
      </c>
      <c r="F187" s="160" t="s">
        <v>708</v>
      </c>
      <c r="G187" s="298"/>
      <c r="H187" s="23" t="s">
        <v>716</v>
      </c>
      <c r="I187" s="24">
        <v>0</v>
      </c>
      <c r="J187" s="25">
        <v>0</v>
      </c>
      <c r="K187" s="26" t="s">
        <v>66</v>
      </c>
      <c r="L187" s="25">
        <v>0</v>
      </c>
      <c r="M187" s="25">
        <v>0</v>
      </c>
      <c r="N187" s="25">
        <v>0</v>
      </c>
      <c r="O187" s="27" t="s">
        <v>307</v>
      </c>
      <c r="P187" s="28">
        <v>0.3298611111111111</v>
      </c>
      <c r="Q187" s="25">
        <v>180</v>
      </c>
      <c r="R187" s="29" t="s">
        <v>66</v>
      </c>
    </row>
    <row r="188" spans="1:18" ht="15" customHeight="1">
      <c r="A188" s="19" t="s">
        <v>38</v>
      </c>
      <c r="B188" s="19" t="s">
        <v>719</v>
      </c>
      <c r="C188" s="20">
        <v>0.36458333333333331</v>
      </c>
      <c r="D188" s="19" t="s">
        <v>622</v>
      </c>
      <c r="E188" s="19" t="s">
        <v>154</v>
      </c>
      <c r="F188" s="19" t="s">
        <v>89</v>
      </c>
      <c r="G188" s="298"/>
      <c r="H188" s="10"/>
      <c r="I188" s="11"/>
      <c r="J188" s="11"/>
      <c r="K188" s="11"/>
      <c r="L188" s="11"/>
      <c r="M188" s="11"/>
      <c r="N188" s="11"/>
      <c r="O188" s="12"/>
      <c r="P188" s="11"/>
      <c r="Q188" s="13"/>
      <c r="R188" s="14"/>
    </row>
    <row r="189" spans="1:18" ht="15" customHeight="1">
      <c r="A189" s="15" t="s">
        <v>38</v>
      </c>
      <c r="B189" s="15" t="s">
        <v>719</v>
      </c>
      <c r="C189" s="16">
        <v>0.36458333333333331</v>
      </c>
      <c r="D189" s="15" t="s">
        <v>603</v>
      </c>
      <c r="E189" s="15" t="s">
        <v>155</v>
      </c>
      <c r="F189" s="15" t="s">
        <v>728</v>
      </c>
      <c r="G189" s="298"/>
      <c r="H189" s="10"/>
      <c r="I189" s="11"/>
      <c r="J189" s="11"/>
      <c r="K189" s="11"/>
      <c r="L189" s="11"/>
      <c r="M189" s="11"/>
      <c r="N189" s="11"/>
      <c r="O189" s="12"/>
      <c r="P189" s="11"/>
      <c r="Q189" s="13"/>
      <c r="R189" s="14"/>
    </row>
    <row r="190" spans="1:18" ht="15" customHeight="1">
      <c r="A190" s="15" t="s">
        <v>38</v>
      </c>
      <c r="B190" s="15" t="s">
        <v>719</v>
      </c>
      <c r="C190" s="16">
        <v>0.36458333333333331</v>
      </c>
      <c r="D190" s="15" t="s">
        <v>605</v>
      </c>
      <c r="E190" s="15" t="s">
        <v>155</v>
      </c>
      <c r="F190" s="15" t="s">
        <v>729</v>
      </c>
      <c r="G190" s="298"/>
      <c r="H190" s="10"/>
      <c r="I190" s="11"/>
      <c r="J190" s="11"/>
      <c r="K190" s="11"/>
      <c r="L190" s="11"/>
      <c r="M190" s="11"/>
      <c r="N190" s="11"/>
      <c r="O190" s="12"/>
      <c r="P190" s="11"/>
      <c r="Q190" s="13"/>
      <c r="R190" s="14"/>
    </row>
    <row r="191" spans="1:18" ht="15" customHeight="1">
      <c r="A191" s="15" t="s">
        <v>38</v>
      </c>
      <c r="B191" s="15" t="s">
        <v>719</v>
      </c>
      <c r="C191" s="16">
        <v>0.36458333333333331</v>
      </c>
      <c r="D191" s="15" t="s">
        <v>625</v>
      </c>
      <c r="E191" s="15" t="s">
        <v>155</v>
      </c>
      <c r="F191" s="15" t="s">
        <v>511</v>
      </c>
      <c r="G191" s="298"/>
      <c r="H191" s="10"/>
      <c r="I191" s="11"/>
      <c r="J191" s="11"/>
      <c r="K191" s="11"/>
      <c r="L191" s="11"/>
      <c r="M191" s="11"/>
      <c r="N191" s="11"/>
      <c r="O191" s="12"/>
      <c r="P191" s="11"/>
      <c r="Q191" s="13"/>
      <c r="R191" s="14"/>
    </row>
    <row r="192" spans="1:18" ht="18">
      <c r="A192" s="292" t="s">
        <v>615</v>
      </c>
      <c r="B192" s="303"/>
      <c r="C192" s="303"/>
      <c r="D192" s="303"/>
      <c r="E192" s="303"/>
      <c r="F192" s="304"/>
      <c r="G192" s="298"/>
      <c r="H192" s="138"/>
      <c r="I192" s="138"/>
      <c r="J192" s="138"/>
      <c r="K192" s="138"/>
      <c r="L192" s="138"/>
      <c r="M192" s="138"/>
      <c r="N192" s="138"/>
      <c r="O192" s="139"/>
      <c r="P192" s="138"/>
      <c r="Q192" s="107"/>
      <c r="R192" s="107"/>
    </row>
    <row r="193" spans="1:18" ht="15" customHeight="1">
      <c r="A193" s="17" t="s">
        <v>38</v>
      </c>
      <c r="B193" s="17" t="s">
        <v>344</v>
      </c>
      <c r="C193" s="18" t="s">
        <v>593</v>
      </c>
      <c r="D193" s="17" t="s">
        <v>40</v>
      </c>
      <c r="E193" s="17" t="s">
        <v>268</v>
      </c>
      <c r="F193" s="17" t="s">
        <v>81</v>
      </c>
      <c r="G193" s="298"/>
      <c r="H193" s="138"/>
      <c r="I193" s="138"/>
      <c r="J193" s="138"/>
      <c r="K193" s="138"/>
      <c r="L193" s="138"/>
      <c r="M193" s="138"/>
      <c r="N193" s="138"/>
      <c r="O193" s="139"/>
      <c r="P193" s="138"/>
      <c r="Q193" s="107"/>
      <c r="R193" s="107"/>
    </row>
    <row r="194" spans="1:18" ht="15" customHeight="1">
      <c r="A194" s="17" t="s">
        <v>38</v>
      </c>
      <c r="B194" s="17" t="s">
        <v>345</v>
      </c>
      <c r="C194" s="18" t="s">
        <v>594</v>
      </c>
      <c r="D194" s="17" t="s">
        <v>40</v>
      </c>
      <c r="E194" s="17" t="s">
        <v>268</v>
      </c>
      <c r="F194" s="17" t="s">
        <v>81</v>
      </c>
      <c r="G194" s="298"/>
      <c r="H194" s="138"/>
      <c r="I194" s="138"/>
      <c r="J194" s="138"/>
      <c r="K194" s="138"/>
      <c r="L194" s="138"/>
      <c r="M194" s="138"/>
      <c r="N194" s="138"/>
      <c r="O194" s="139"/>
      <c r="P194" s="138"/>
      <c r="Q194" s="107"/>
      <c r="R194" s="107"/>
    </row>
    <row r="195" spans="1:18" ht="15" customHeight="1">
      <c r="A195" s="17" t="s">
        <v>38</v>
      </c>
      <c r="B195" s="17" t="s">
        <v>346</v>
      </c>
      <c r="C195" s="18" t="s">
        <v>600</v>
      </c>
      <c r="D195" s="17" t="s">
        <v>40</v>
      </c>
      <c r="E195" s="17" t="s">
        <v>268</v>
      </c>
      <c r="F195" s="17" t="s">
        <v>30</v>
      </c>
      <c r="G195" s="298"/>
      <c r="H195" s="138"/>
      <c r="I195" s="138"/>
      <c r="J195" s="138"/>
      <c r="K195" s="138"/>
      <c r="L195" s="138"/>
      <c r="M195" s="138"/>
      <c r="N195" s="138"/>
      <c r="O195" s="139"/>
      <c r="P195" s="138"/>
      <c r="Q195" s="107"/>
      <c r="R195" s="107"/>
    </row>
    <row r="196" spans="1:18" ht="15" customHeight="1">
      <c r="A196" s="17" t="s">
        <v>38</v>
      </c>
      <c r="B196" s="17" t="s">
        <v>342</v>
      </c>
      <c r="C196" s="18" t="s">
        <v>592</v>
      </c>
      <c r="D196" s="17" t="s">
        <v>40</v>
      </c>
      <c r="E196" s="17" t="s">
        <v>287</v>
      </c>
      <c r="F196" s="17" t="s">
        <v>30</v>
      </c>
      <c r="G196" s="298"/>
      <c r="H196" s="138"/>
      <c r="I196" s="138"/>
      <c r="J196" s="138"/>
      <c r="K196" s="138"/>
      <c r="L196" s="138"/>
      <c r="M196" s="138"/>
      <c r="N196" s="138"/>
      <c r="O196" s="139"/>
      <c r="P196" s="138"/>
      <c r="Q196" s="107"/>
      <c r="R196" s="107"/>
    </row>
    <row r="197" spans="1:18" ht="15" customHeight="1">
      <c r="A197" s="17" t="s">
        <v>359</v>
      </c>
      <c r="B197" s="17" t="s">
        <v>360</v>
      </c>
      <c r="C197" s="18" t="s">
        <v>257</v>
      </c>
      <c r="D197" s="17" t="s">
        <v>361</v>
      </c>
      <c r="E197" s="17" t="s">
        <v>270</v>
      </c>
      <c r="F197" s="17" t="s">
        <v>423</v>
      </c>
      <c r="G197" s="298"/>
      <c r="H197" s="138"/>
      <c r="I197" s="138"/>
      <c r="J197" s="138"/>
      <c r="K197" s="138"/>
      <c r="L197" s="138"/>
      <c r="M197" s="138"/>
      <c r="N197" s="138"/>
      <c r="O197" s="139"/>
      <c r="P197" s="138"/>
      <c r="Q197" s="107"/>
      <c r="R197" s="107"/>
    </row>
    <row r="198" spans="1:18" ht="15" customHeight="1">
      <c r="A198" s="17" t="s">
        <v>61</v>
      </c>
      <c r="B198" s="17" t="s">
        <v>432</v>
      </c>
      <c r="C198" s="18" t="s">
        <v>572</v>
      </c>
      <c r="D198" s="17" t="s">
        <v>63</v>
      </c>
      <c r="E198" s="17" t="s">
        <v>277</v>
      </c>
      <c r="F198" s="17" t="s">
        <v>365</v>
      </c>
      <c r="G198" s="298"/>
      <c r="H198" s="138"/>
      <c r="I198" s="138"/>
      <c r="J198" s="138"/>
      <c r="K198" s="138"/>
      <c r="L198" s="138"/>
      <c r="M198" s="138"/>
      <c r="N198" s="138"/>
      <c r="O198" s="139"/>
      <c r="P198" s="138"/>
      <c r="Q198" s="107"/>
      <c r="R198" s="107"/>
    </row>
    <row r="199" spans="1:18" ht="15" customHeight="1">
      <c r="A199" s="17" t="s">
        <v>61</v>
      </c>
      <c r="B199" s="17" t="s">
        <v>375</v>
      </c>
      <c r="C199" s="18" t="s">
        <v>561</v>
      </c>
      <c r="D199" s="17" t="s">
        <v>63</v>
      </c>
      <c r="E199" s="17" t="s">
        <v>286</v>
      </c>
      <c r="F199" s="17" t="s">
        <v>365</v>
      </c>
      <c r="G199" s="298"/>
      <c r="H199" s="138"/>
      <c r="I199" s="138"/>
      <c r="J199" s="138"/>
      <c r="K199" s="138"/>
      <c r="L199" s="138"/>
      <c r="M199" s="138"/>
      <c r="N199" s="138"/>
      <c r="O199" s="139"/>
      <c r="P199" s="138"/>
      <c r="Q199" s="107"/>
      <c r="R199" s="107"/>
    </row>
    <row r="200" spans="1:18" ht="15" customHeight="1">
      <c r="A200" s="17" t="s">
        <v>61</v>
      </c>
      <c r="B200" s="17" t="s">
        <v>377</v>
      </c>
      <c r="C200" s="18" t="s">
        <v>573</v>
      </c>
      <c r="D200" s="17" t="s">
        <v>63</v>
      </c>
      <c r="E200" s="17" t="s">
        <v>277</v>
      </c>
      <c r="F200" s="17" t="s">
        <v>365</v>
      </c>
      <c r="G200" s="298"/>
      <c r="H200" s="138"/>
      <c r="I200" s="138"/>
      <c r="J200" s="138"/>
      <c r="K200" s="138"/>
      <c r="L200" s="138"/>
      <c r="M200" s="138"/>
      <c r="N200" s="138"/>
      <c r="O200" s="139"/>
      <c r="P200" s="138"/>
      <c r="Q200" s="107"/>
      <c r="R200" s="107"/>
    </row>
    <row r="201" spans="1:18" ht="15" customHeight="1">
      <c r="A201" s="17" t="s">
        <v>61</v>
      </c>
      <c r="B201" s="17" t="s">
        <v>379</v>
      </c>
      <c r="C201" s="18" t="s">
        <v>574</v>
      </c>
      <c r="D201" s="17" t="s">
        <v>63</v>
      </c>
      <c r="E201" s="17" t="s">
        <v>286</v>
      </c>
      <c r="F201" s="17" t="s">
        <v>365</v>
      </c>
      <c r="G201" s="298"/>
      <c r="H201" s="138"/>
      <c r="I201" s="138"/>
      <c r="J201" s="138"/>
      <c r="K201" s="138"/>
      <c r="L201" s="138"/>
      <c r="M201" s="138"/>
      <c r="N201" s="138"/>
      <c r="O201" s="139"/>
      <c r="P201" s="138"/>
      <c r="Q201" s="107"/>
      <c r="R201" s="107"/>
    </row>
    <row r="202" spans="1:18" ht="15" customHeight="1" thickBot="1">
      <c r="A202" s="30" t="s">
        <v>26</v>
      </c>
      <c r="B202" s="30" t="s">
        <v>348</v>
      </c>
      <c r="C202" s="31" t="s">
        <v>595</v>
      </c>
      <c r="D202" s="30" t="s">
        <v>28</v>
      </c>
      <c r="E202" s="30" t="s">
        <v>267</v>
      </c>
      <c r="F202" s="30" t="s">
        <v>83</v>
      </c>
      <c r="G202" s="299"/>
      <c r="H202" s="140"/>
      <c r="I202" s="140"/>
      <c r="J202" s="140"/>
      <c r="K202" s="140"/>
      <c r="L202" s="140"/>
      <c r="M202" s="140"/>
      <c r="N202" s="140"/>
      <c r="O202" s="141"/>
      <c r="P202" s="140"/>
      <c r="Q202" s="142"/>
      <c r="R202" s="142"/>
    </row>
    <row r="203" spans="1:18" ht="17.45" customHeight="1" thickBot="1">
      <c r="A203" s="283"/>
      <c r="B203" s="284"/>
      <c r="C203" s="284"/>
      <c r="D203" s="284"/>
      <c r="E203" s="284"/>
      <c r="F203" s="284"/>
      <c r="G203" s="284"/>
      <c r="H203" s="284"/>
      <c r="I203" s="284"/>
      <c r="J203" s="284"/>
      <c r="K203" s="284"/>
      <c r="L203" s="284"/>
      <c r="M203" s="284"/>
      <c r="N203" s="284"/>
      <c r="O203" s="284"/>
      <c r="P203" s="284"/>
      <c r="Q203" s="284"/>
      <c r="R203" s="285"/>
    </row>
    <row r="204" spans="1:18" ht="22.15" customHeight="1" thickTop="1" thickBot="1">
      <c r="A204" s="279" t="s">
        <v>6</v>
      </c>
      <c r="B204" s="295"/>
      <c r="C204" s="295"/>
      <c r="D204" s="295"/>
      <c r="E204" s="295"/>
      <c r="F204" s="296"/>
      <c r="G204" s="32">
        <v>46034</v>
      </c>
      <c r="H204" s="278" t="s">
        <v>7</v>
      </c>
      <c r="I204" s="295"/>
      <c r="J204" s="295"/>
      <c r="K204" s="295"/>
      <c r="L204" s="295"/>
      <c r="M204" s="295"/>
      <c r="N204" s="295"/>
      <c r="O204" s="295"/>
      <c r="P204" s="295"/>
      <c r="Q204" s="295"/>
      <c r="R204" s="296"/>
    </row>
    <row r="205" spans="1:18" ht="24" customHeight="1">
      <c r="A205" s="33" t="s">
        <v>8</v>
      </c>
      <c r="B205" s="33" t="s">
        <v>9</v>
      </c>
      <c r="C205" s="34" t="s">
        <v>10</v>
      </c>
      <c r="D205" s="33" t="s">
        <v>11</v>
      </c>
      <c r="E205" s="33" t="s">
        <v>12</v>
      </c>
      <c r="F205" s="35" t="s">
        <v>13</v>
      </c>
      <c r="G205" s="36" t="s">
        <v>14</v>
      </c>
      <c r="H205" s="33" t="s">
        <v>15</v>
      </c>
      <c r="I205" s="37" t="s">
        <v>16</v>
      </c>
      <c r="J205" s="38" t="s">
        <v>17</v>
      </c>
      <c r="K205" s="39" t="s">
        <v>18</v>
      </c>
      <c r="L205" s="38" t="s">
        <v>19</v>
      </c>
      <c r="M205" s="38" t="s">
        <v>20</v>
      </c>
      <c r="N205" s="38" t="s">
        <v>21</v>
      </c>
      <c r="O205" s="33" t="s">
        <v>22</v>
      </c>
      <c r="P205" s="34" t="s">
        <v>23</v>
      </c>
      <c r="Q205" s="38" t="s">
        <v>24</v>
      </c>
      <c r="R205" s="33" t="s">
        <v>25</v>
      </c>
    </row>
    <row r="206" spans="1:18" ht="15" customHeight="1">
      <c r="A206" s="58" t="s">
        <v>61</v>
      </c>
      <c r="B206" s="58" t="s">
        <v>707</v>
      </c>
      <c r="C206" s="59">
        <v>0.54861111111111105</v>
      </c>
      <c r="D206" s="58" t="s">
        <v>63</v>
      </c>
      <c r="E206" s="58" t="s">
        <v>126</v>
      </c>
      <c r="F206" s="58" t="s">
        <v>708</v>
      </c>
      <c r="G206" s="302"/>
      <c r="H206" s="60" t="s">
        <v>709</v>
      </c>
      <c r="I206" s="61">
        <v>5.5999999999999999E-3</v>
      </c>
      <c r="J206" s="62">
        <v>1</v>
      </c>
      <c r="K206" s="63">
        <v>46329</v>
      </c>
      <c r="L206" s="62">
        <v>1</v>
      </c>
      <c r="M206" s="62">
        <v>0</v>
      </c>
      <c r="N206" s="62">
        <v>0</v>
      </c>
      <c r="O206" s="64" t="s">
        <v>304</v>
      </c>
      <c r="P206" s="65">
        <v>0.54861111111111105</v>
      </c>
      <c r="Q206" s="62">
        <v>180</v>
      </c>
      <c r="R206" s="66" t="s">
        <v>302</v>
      </c>
    </row>
    <row r="207" spans="1:18" ht="15" customHeight="1">
      <c r="A207" s="156" t="s">
        <v>61</v>
      </c>
      <c r="B207" s="156" t="s">
        <v>710</v>
      </c>
      <c r="C207" s="157">
        <v>0.19444444444444439</v>
      </c>
      <c r="D207" s="156" t="s">
        <v>63</v>
      </c>
      <c r="E207" s="156" t="s">
        <v>37</v>
      </c>
      <c r="F207" s="156" t="s">
        <v>708</v>
      </c>
      <c r="G207" s="298"/>
      <c r="H207" s="42" t="s">
        <v>712</v>
      </c>
      <c r="I207" s="43">
        <v>0</v>
      </c>
      <c r="J207" s="44">
        <v>0</v>
      </c>
      <c r="K207" s="45" t="s">
        <v>66</v>
      </c>
      <c r="L207" s="44">
        <v>0</v>
      </c>
      <c r="M207" s="44">
        <v>0</v>
      </c>
      <c r="N207" s="44">
        <v>0</v>
      </c>
      <c r="O207" s="46" t="s">
        <v>307</v>
      </c>
      <c r="P207" s="47">
        <v>0.19444444444444439</v>
      </c>
      <c r="Q207" s="44">
        <v>180</v>
      </c>
      <c r="R207" s="48" t="s">
        <v>66</v>
      </c>
    </row>
    <row r="208" spans="1:18" ht="15" customHeight="1">
      <c r="A208" s="162" t="s">
        <v>61</v>
      </c>
      <c r="B208" s="162" t="s">
        <v>715</v>
      </c>
      <c r="C208" s="163">
        <v>9.375E-2</v>
      </c>
      <c r="D208" s="162" t="s">
        <v>63</v>
      </c>
      <c r="E208" s="162" t="s">
        <v>37</v>
      </c>
      <c r="F208" s="162" t="s">
        <v>708</v>
      </c>
      <c r="G208" s="298"/>
      <c r="H208" s="60" t="s">
        <v>716</v>
      </c>
      <c r="I208" s="61">
        <v>0</v>
      </c>
      <c r="J208" s="62">
        <v>0</v>
      </c>
      <c r="K208" s="63" t="s">
        <v>66</v>
      </c>
      <c r="L208" s="62">
        <v>0</v>
      </c>
      <c r="M208" s="62">
        <v>0</v>
      </c>
      <c r="N208" s="62">
        <v>0</v>
      </c>
      <c r="O208" s="64" t="s">
        <v>307</v>
      </c>
      <c r="P208" s="65">
        <v>9.375E-2</v>
      </c>
      <c r="Q208" s="62">
        <v>180</v>
      </c>
      <c r="R208" s="66" t="s">
        <v>66</v>
      </c>
    </row>
    <row r="209" spans="1:18" ht="15" customHeight="1">
      <c r="A209" s="19" t="s">
        <v>68</v>
      </c>
      <c r="B209" s="19" t="s">
        <v>713</v>
      </c>
      <c r="C209" s="20">
        <v>0.54861111111111105</v>
      </c>
      <c r="D209" s="19" t="s">
        <v>643</v>
      </c>
      <c r="E209" s="19" t="s">
        <v>29</v>
      </c>
      <c r="F209" s="19" t="s">
        <v>714</v>
      </c>
      <c r="G209" s="298"/>
      <c r="H209" s="10"/>
      <c r="I209" s="11"/>
      <c r="J209" s="11"/>
      <c r="K209" s="11"/>
      <c r="L209" s="11"/>
      <c r="M209" s="11"/>
      <c r="N209" s="11"/>
      <c r="O209" s="12"/>
      <c r="P209" s="11"/>
      <c r="Q209" s="13"/>
      <c r="R209" s="14"/>
    </row>
    <row r="210" spans="1:18" ht="18">
      <c r="A210" s="292" t="s">
        <v>615</v>
      </c>
      <c r="B210" s="303"/>
      <c r="C210" s="303"/>
      <c r="D210" s="303"/>
      <c r="E210" s="303"/>
      <c r="F210" s="304"/>
      <c r="G210" s="298"/>
      <c r="H210" s="138"/>
      <c r="I210" s="138"/>
      <c r="J210" s="138"/>
      <c r="K210" s="138"/>
      <c r="L210" s="138"/>
      <c r="M210" s="138"/>
      <c r="N210" s="138"/>
      <c r="O210" s="139"/>
      <c r="P210" s="138"/>
      <c r="Q210" s="107"/>
      <c r="R210" s="107"/>
    </row>
    <row r="211" spans="1:18" ht="15" customHeight="1">
      <c r="A211" s="17" t="s">
        <v>38</v>
      </c>
      <c r="B211" s="17" t="s">
        <v>342</v>
      </c>
      <c r="C211" s="18" t="s">
        <v>592</v>
      </c>
      <c r="D211" s="17" t="s">
        <v>40</v>
      </c>
      <c r="E211" s="17" t="s">
        <v>295</v>
      </c>
      <c r="F211" s="17" t="s">
        <v>475</v>
      </c>
      <c r="G211" s="298"/>
      <c r="H211" s="138"/>
      <c r="I211" s="138"/>
      <c r="J211" s="138"/>
      <c r="K211" s="138"/>
      <c r="L211" s="138"/>
      <c r="M211" s="138"/>
      <c r="N211" s="138"/>
      <c r="O211" s="139"/>
      <c r="P211" s="138"/>
      <c r="Q211" s="107"/>
      <c r="R211" s="107"/>
    </row>
    <row r="212" spans="1:18" ht="15" customHeight="1">
      <c r="A212" s="17" t="s">
        <v>38</v>
      </c>
      <c r="B212" s="17" t="s">
        <v>344</v>
      </c>
      <c r="C212" s="18" t="s">
        <v>593</v>
      </c>
      <c r="D212" s="17" t="s">
        <v>40</v>
      </c>
      <c r="E212" s="17" t="s">
        <v>284</v>
      </c>
      <c r="F212" s="17" t="s">
        <v>30</v>
      </c>
      <c r="G212" s="298"/>
      <c r="H212" s="138"/>
      <c r="I212" s="138"/>
      <c r="J212" s="138"/>
      <c r="K212" s="138"/>
      <c r="L212" s="138"/>
      <c r="M212" s="138"/>
      <c r="N212" s="138"/>
      <c r="O212" s="139"/>
      <c r="P212" s="138"/>
      <c r="Q212" s="107"/>
      <c r="R212" s="107"/>
    </row>
    <row r="213" spans="1:18" ht="15" customHeight="1">
      <c r="A213" s="17" t="s">
        <v>359</v>
      </c>
      <c r="B213" s="17" t="s">
        <v>360</v>
      </c>
      <c r="C213" s="18" t="s">
        <v>619</v>
      </c>
      <c r="D213" s="17" t="s">
        <v>361</v>
      </c>
      <c r="E213" s="17" t="s">
        <v>270</v>
      </c>
      <c r="F213" s="17" t="s">
        <v>362</v>
      </c>
      <c r="G213" s="298"/>
      <c r="H213" s="138"/>
      <c r="I213" s="138"/>
      <c r="J213" s="138"/>
      <c r="K213" s="138"/>
      <c r="L213" s="138"/>
      <c r="M213" s="138"/>
      <c r="N213" s="138"/>
      <c r="O213" s="139"/>
      <c r="P213" s="138"/>
      <c r="Q213" s="107"/>
      <c r="R213" s="107"/>
    </row>
    <row r="214" spans="1:18" ht="15" customHeight="1">
      <c r="A214" s="17" t="s">
        <v>359</v>
      </c>
      <c r="B214" s="17" t="s">
        <v>445</v>
      </c>
      <c r="C214" s="18" t="s">
        <v>641</v>
      </c>
      <c r="D214" s="17" t="s">
        <v>361</v>
      </c>
      <c r="E214" s="17" t="s">
        <v>270</v>
      </c>
      <c r="F214" s="17" t="s">
        <v>362</v>
      </c>
      <c r="G214" s="298"/>
      <c r="H214" s="138"/>
      <c r="I214" s="138"/>
      <c r="J214" s="138"/>
      <c r="K214" s="138"/>
      <c r="L214" s="138"/>
      <c r="M214" s="138"/>
      <c r="N214" s="138"/>
      <c r="O214" s="139"/>
      <c r="P214" s="138"/>
      <c r="Q214" s="107"/>
      <c r="R214" s="107"/>
    </row>
    <row r="215" spans="1:18" ht="15" customHeight="1">
      <c r="A215" s="17" t="s">
        <v>38</v>
      </c>
      <c r="B215" s="17" t="s">
        <v>346</v>
      </c>
      <c r="C215" s="18" t="s">
        <v>600</v>
      </c>
      <c r="D215" s="17" t="s">
        <v>440</v>
      </c>
      <c r="E215" s="17" t="s">
        <v>268</v>
      </c>
      <c r="F215" s="17" t="s">
        <v>347</v>
      </c>
      <c r="G215" s="298"/>
      <c r="H215" s="138"/>
      <c r="I215" s="138"/>
      <c r="J215" s="138"/>
      <c r="K215" s="138"/>
      <c r="L215" s="138"/>
      <c r="M215" s="138"/>
      <c r="N215" s="138"/>
      <c r="O215" s="139"/>
      <c r="P215" s="138"/>
      <c r="Q215" s="107"/>
      <c r="R215" s="107"/>
    </row>
    <row r="216" spans="1:18" ht="15" customHeight="1">
      <c r="A216" s="17" t="s">
        <v>38</v>
      </c>
      <c r="B216" s="17" t="s">
        <v>345</v>
      </c>
      <c r="C216" s="18" t="s">
        <v>594</v>
      </c>
      <c r="D216" s="17" t="s">
        <v>40</v>
      </c>
      <c r="E216" s="17" t="s">
        <v>268</v>
      </c>
      <c r="F216" s="17" t="s">
        <v>347</v>
      </c>
      <c r="G216" s="298"/>
      <c r="H216" s="138"/>
      <c r="I216" s="138"/>
      <c r="J216" s="138"/>
      <c r="K216" s="138"/>
      <c r="L216" s="138"/>
      <c r="M216" s="138"/>
      <c r="N216" s="138"/>
      <c r="O216" s="139"/>
      <c r="P216" s="138"/>
      <c r="Q216" s="107"/>
      <c r="R216" s="107"/>
    </row>
    <row r="217" spans="1:18" ht="15" customHeight="1">
      <c r="A217" s="17" t="s">
        <v>61</v>
      </c>
      <c r="B217" s="17" t="s">
        <v>432</v>
      </c>
      <c r="C217" s="18" t="s">
        <v>334</v>
      </c>
      <c r="D217" s="17" t="s">
        <v>63</v>
      </c>
      <c r="E217" s="17" t="s">
        <v>277</v>
      </c>
      <c r="F217" s="17" t="s">
        <v>365</v>
      </c>
      <c r="G217" s="298"/>
      <c r="H217" s="138"/>
      <c r="I217" s="138"/>
      <c r="J217" s="138"/>
      <c r="K217" s="138"/>
      <c r="L217" s="138"/>
      <c r="M217" s="138"/>
      <c r="N217" s="138"/>
      <c r="O217" s="139"/>
      <c r="P217" s="138"/>
      <c r="Q217" s="107"/>
      <c r="R217" s="107"/>
    </row>
    <row r="218" spans="1:18" ht="15" customHeight="1">
      <c r="A218" s="17" t="s">
        <v>61</v>
      </c>
      <c r="B218" s="17" t="s">
        <v>375</v>
      </c>
      <c r="C218" s="18" t="s">
        <v>575</v>
      </c>
      <c r="D218" s="17" t="s">
        <v>63</v>
      </c>
      <c r="E218" s="17" t="s">
        <v>267</v>
      </c>
      <c r="F218" s="17" t="s">
        <v>365</v>
      </c>
      <c r="G218" s="298"/>
      <c r="H218" s="138"/>
      <c r="I218" s="138"/>
      <c r="J218" s="138"/>
      <c r="K218" s="138"/>
      <c r="L218" s="138"/>
      <c r="M218" s="138"/>
      <c r="N218" s="138"/>
      <c r="O218" s="139"/>
      <c r="P218" s="138"/>
      <c r="Q218" s="107"/>
      <c r="R218" s="107"/>
    </row>
    <row r="219" spans="1:18" ht="15" customHeight="1">
      <c r="A219" s="17" t="s">
        <v>61</v>
      </c>
      <c r="B219" s="17" t="s">
        <v>377</v>
      </c>
      <c r="C219" s="18" t="s">
        <v>563</v>
      </c>
      <c r="D219" s="17" t="s">
        <v>63</v>
      </c>
      <c r="E219" s="17" t="s">
        <v>267</v>
      </c>
      <c r="F219" s="17" t="s">
        <v>365</v>
      </c>
      <c r="G219" s="298"/>
      <c r="H219" s="138"/>
      <c r="I219" s="138"/>
      <c r="J219" s="138"/>
      <c r="K219" s="138"/>
      <c r="L219" s="138"/>
      <c r="M219" s="138"/>
      <c r="N219" s="138"/>
      <c r="O219" s="139"/>
      <c r="P219" s="138"/>
      <c r="Q219" s="107"/>
      <c r="R219" s="107"/>
    </row>
    <row r="220" spans="1:18" ht="15" customHeight="1" thickBot="1">
      <c r="A220" s="30" t="s">
        <v>38</v>
      </c>
      <c r="B220" s="30" t="s">
        <v>342</v>
      </c>
      <c r="C220" s="31" t="s">
        <v>592</v>
      </c>
      <c r="D220" s="30" t="s">
        <v>43</v>
      </c>
      <c r="E220" s="30" t="s">
        <v>295</v>
      </c>
      <c r="F220" s="30" t="s">
        <v>121</v>
      </c>
      <c r="G220" s="299"/>
      <c r="H220" s="140"/>
      <c r="I220" s="140"/>
      <c r="J220" s="140"/>
      <c r="K220" s="140"/>
      <c r="L220" s="140"/>
      <c r="M220" s="140"/>
      <c r="N220" s="140"/>
      <c r="O220" s="141"/>
      <c r="P220" s="140"/>
      <c r="Q220" s="142"/>
      <c r="R220" s="142"/>
    </row>
    <row r="221" spans="1:18" ht="17.45" customHeight="1" thickBot="1">
      <c r="A221" s="283"/>
      <c r="B221" s="284"/>
      <c r="C221" s="284"/>
      <c r="D221" s="284"/>
      <c r="E221" s="284"/>
      <c r="F221" s="284"/>
      <c r="G221" s="284"/>
      <c r="H221" s="284"/>
      <c r="I221" s="284"/>
      <c r="J221" s="284"/>
      <c r="K221" s="284"/>
      <c r="L221" s="284"/>
      <c r="M221" s="284"/>
      <c r="N221" s="284"/>
      <c r="O221" s="284"/>
      <c r="P221" s="284"/>
      <c r="Q221" s="284"/>
      <c r="R221" s="285"/>
    </row>
    <row r="222" spans="1:18" ht="22.15" customHeight="1" thickTop="1" thickBot="1">
      <c r="A222" s="279" t="s">
        <v>6</v>
      </c>
      <c r="B222" s="295"/>
      <c r="C222" s="295"/>
      <c r="D222" s="295"/>
      <c r="E222" s="295"/>
      <c r="F222" s="296"/>
      <c r="G222" s="32">
        <v>46035</v>
      </c>
      <c r="H222" s="278" t="s">
        <v>7</v>
      </c>
      <c r="I222" s="295"/>
      <c r="J222" s="295"/>
      <c r="K222" s="295"/>
      <c r="L222" s="295"/>
      <c r="M222" s="295"/>
      <c r="N222" s="295"/>
      <c r="O222" s="295"/>
      <c r="P222" s="295"/>
      <c r="Q222" s="295"/>
      <c r="R222" s="296"/>
    </row>
    <row r="223" spans="1:18" ht="24" customHeight="1">
      <c r="A223" s="33" t="s">
        <v>8</v>
      </c>
      <c r="B223" s="33" t="s">
        <v>9</v>
      </c>
      <c r="C223" s="34" t="s">
        <v>10</v>
      </c>
      <c r="D223" s="33" t="s">
        <v>11</v>
      </c>
      <c r="E223" s="33" t="s">
        <v>12</v>
      </c>
      <c r="F223" s="35" t="s">
        <v>13</v>
      </c>
      <c r="G223" s="36" t="s">
        <v>14</v>
      </c>
      <c r="H223" s="33" t="s">
        <v>15</v>
      </c>
      <c r="I223" s="37" t="s">
        <v>16</v>
      </c>
      <c r="J223" s="38" t="s">
        <v>17</v>
      </c>
      <c r="K223" s="39" t="s">
        <v>18</v>
      </c>
      <c r="L223" s="38" t="s">
        <v>19</v>
      </c>
      <c r="M223" s="38" t="s">
        <v>20</v>
      </c>
      <c r="N223" s="38" t="s">
        <v>21</v>
      </c>
      <c r="O223" s="33" t="s">
        <v>22</v>
      </c>
      <c r="P223" s="34" t="s">
        <v>23</v>
      </c>
      <c r="Q223" s="38" t="s">
        <v>24</v>
      </c>
      <c r="R223" s="33" t="s">
        <v>25</v>
      </c>
    </row>
    <row r="224" spans="1:18" ht="15" customHeight="1">
      <c r="A224" s="21" t="s">
        <v>61</v>
      </c>
      <c r="B224" s="21" t="s">
        <v>707</v>
      </c>
      <c r="C224" s="22">
        <v>0.16666666666666671</v>
      </c>
      <c r="D224" s="21" t="s">
        <v>63</v>
      </c>
      <c r="E224" s="21" t="s">
        <v>126</v>
      </c>
      <c r="F224" s="21" t="s">
        <v>708</v>
      </c>
      <c r="G224" s="297"/>
      <c r="H224" s="23" t="s">
        <v>709</v>
      </c>
      <c r="I224" s="24">
        <v>5.5999999999999999E-3</v>
      </c>
      <c r="J224" s="25">
        <v>1</v>
      </c>
      <c r="K224" s="26">
        <v>46322</v>
      </c>
      <c r="L224" s="25">
        <v>1</v>
      </c>
      <c r="M224" s="25">
        <v>0</v>
      </c>
      <c r="N224" s="25">
        <v>0</v>
      </c>
      <c r="O224" s="27" t="s">
        <v>304</v>
      </c>
      <c r="P224" s="28">
        <v>0.16666666666666671</v>
      </c>
      <c r="Q224" s="25">
        <v>180</v>
      </c>
      <c r="R224" s="29" t="s">
        <v>302</v>
      </c>
    </row>
    <row r="225" spans="1:18" ht="15" customHeight="1">
      <c r="A225" s="162" t="s">
        <v>61</v>
      </c>
      <c r="B225" s="162" t="s">
        <v>710</v>
      </c>
      <c r="C225" s="163">
        <v>0.52777777777777779</v>
      </c>
      <c r="D225" s="162" t="s">
        <v>63</v>
      </c>
      <c r="E225" s="162" t="s">
        <v>37</v>
      </c>
      <c r="F225" s="162" t="s">
        <v>708</v>
      </c>
      <c r="G225" s="298"/>
      <c r="H225" s="60" t="s">
        <v>712</v>
      </c>
      <c r="I225" s="61">
        <v>5.5999999999999999E-3</v>
      </c>
      <c r="J225" s="62">
        <v>1</v>
      </c>
      <c r="K225" s="63">
        <v>46323</v>
      </c>
      <c r="L225" s="62">
        <v>1</v>
      </c>
      <c r="M225" s="62">
        <v>0</v>
      </c>
      <c r="N225" s="62">
        <v>0</v>
      </c>
      <c r="O225" s="64" t="s">
        <v>307</v>
      </c>
      <c r="P225" s="65">
        <v>0.52777777777777779</v>
      </c>
      <c r="Q225" s="62">
        <v>180</v>
      </c>
      <c r="R225" s="66" t="s">
        <v>686</v>
      </c>
    </row>
    <row r="226" spans="1:18" ht="15" customHeight="1">
      <c r="A226" s="19" t="s">
        <v>68</v>
      </c>
      <c r="B226" s="19" t="s">
        <v>713</v>
      </c>
      <c r="C226" s="20">
        <v>0.16666666666666671</v>
      </c>
      <c r="D226" s="19" t="s">
        <v>643</v>
      </c>
      <c r="E226" s="19" t="s">
        <v>29</v>
      </c>
      <c r="F226" s="19" t="s">
        <v>714</v>
      </c>
      <c r="G226" s="298"/>
      <c r="H226" s="10"/>
      <c r="I226" s="11"/>
      <c r="J226" s="11"/>
      <c r="K226" s="11"/>
      <c r="L226" s="11"/>
      <c r="M226" s="11"/>
      <c r="N226" s="11"/>
      <c r="O226" s="12"/>
      <c r="P226" s="11"/>
      <c r="Q226" s="13"/>
      <c r="R226" s="14"/>
    </row>
    <row r="227" spans="1:18" ht="18">
      <c r="A227" s="292" t="s">
        <v>615</v>
      </c>
      <c r="B227" s="303"/>
      <c r="C227" s="303"/>
      <c r="D227" s="303"/>
      <c r="E227" s="303"/>
      <c r="F227" s="304"/>
      <c r="G227" s="298"/>
      <c r="H227" s="138"/>
      <c r="I227" s="138"/>
      <c r="J227" s="138"/>
      <c r="K227" s="138"/>
      <c r="L227" s="138"/>
      <c r="M227" s="138"/>
      <c r="N227" s="138"/>
      <c r="O227" s="139"/>
      <c r="P227" s="138"/>
      <c r="Q227" s="107"/>
      <c r="R227" s="107"/>
    </row>
    <row r="228" spans="1:18" ht="15" customHeight="1">
      <c r="A228" s="17" t="s">
        <v>38</v>
      </c>
      <c r="B228" s="17" t="s">
        <v>342</v>
      </c>
      <c r="C228" s="18" t="s">
        <v>592</v>
      </c>
      <c r="D228" s="17" t="s">
        <v>40</v>
      </c>
      <c r="E228" s="17" t="s">
        <v>652</v>
      </c>
      <c r="F228" s="17" t="s">
        <v>475</v>
      </c>
      <c r="G228" s="298"/>
      <c r="H228" s="138"/>
      <c r="I228" s="138"/>
      <c r="J228" s="138"/>
      <c r="K228" s="138"/>
      <c r="L228" s="138"/>
      <c r="M228" s="138"/>
      <c r="N228" s="138"/>
      <c r="O228" s="139"/>
      <c r="P228" s="138"/>
      <c r="Q228" s="107"/>
      <c r="R228" s="107"/>
    </row>
    <row r="229" spans="1:18" ht="15" customHeight="1">
      <c r="A229" s="17" t="s">
        <v>38</v>
      </c>
      <c r="B229" s="17" t="s">
        <v>344</v>
      </c>
      <c r="C229" s="18" t="s">
        <v>593</v>
      </c>
      <c r="D229" s="17" t="s">
        <v>40</v>
      </c>
      <c r="E229" s="17" t="s">
        <v>293</v>
      </c>
      <c r="F229" s="17" t="s">
        <v>30</v>
      </c>
      <c r="G229" s="298"/>
      <c r="H229" s="138"/>
      <c r="I229" s="138"/>
      <c r="J229" s="138"/>
      <c r="K229" s="138"/>
      <c r="L229" s="138"/>
      <c r="M229" s="138"/>
      <c r="N229" s="138"/>
      <c r="O229" s="139"/>
      <c r="P229" s="138"/>
      <c r="Q229" s="107"/>
      <c r="R229" s="107"/>
    </row>
    <row r="230" spans="1:18" ht="15" customHeight="1">
      <c r="A230" s="17" t="s">
        <v>38</v>
      </c>
      <c r="B230" s="17" t="s">
        <v>346</v>
      </c>
      <c r="C230" s="18" t="s">
        <v>600</v>
      </c>
      <c r="D230" s="17" t="s">
        <v>40</v>
      </c>
      <c r="E230" s="17" t="s">
        <v>268</v>
      </c>
      <c r="F230" s="17" t="s">
        <v>347</v>
      </c>
      <c r="G230" s="298"/>
      <c r="H230" s="138"/>
      <c r="I230" s="138"/>
      <c r="J230" s="138"/>
      <c r="K230" s="138"/>
      <c r="L230" s="138"/>
      <c r="M230" s="138"/>
      <c r="N230" s="138"/>
      <c r="O230" s="139"/>
      <c r="P230" s="138"/>
      <c r="Q230" s="107"/>
      <c r="R230" s="107"/>
    </row>
    <row r="231" spans="1:18" ht="15" customHeight="1">
      <c r="A231" s="17" t="s">
        <v>38</v>
      </c>
      <c r="B231" s="17" t="s">
        <v>345</v>
      </c>
      <c r="C231" s="18" t="s">
        <v>594</v>
      </c>
      <c r="D231" s="17" t="s">
        <v>40</v>
      </c>
      <c r="E231" s="17" t="s">
        <v>268</v>
      </c>
      <c r="F231" s="17" t="s">
        <v>347</v>
      </c>
      <c r="G231" s="298"/>
      <c r="H231" s="138"/>
      <c r="I231" s="138"/>
      <c r="J231" s="138"/>
      <c r="K231" s="138"/>
      <c r="L231" s="138"/>
      <c r="M231" s="138"/>
      <c r="N231" s="138"/>
      <c r="O231" s="139"/>
      <c r="P231" s="138"/>
      <c r="Q231" s="107"/>
      <c r="R231" s="107"/>
    </row>
    <row r="232" spans="1:18" ht="15" customHeight="1">
      <c r="A232" s="17" t="s">
        <v>61</v>
      </c>
      <c r="B232" s="17" t="s">
        <v>432</v>
      </c>
      <c r="C232" s="18" t="s">
        <v>577</v>
      </c>
      <c r="D232" s="17" t="s">
        <v>63</v>
      </c>
      <c r="E232" s="17" t="s">
        <v>636</v>
      </c>
      <c r="F232" s="17" t="s">
        <v>365</v>
      </c>
      <c r="G232" s="298"/>
      <c r="H232" s="138"/>
      <c r="I232" s="138"/>
      <c r="J232" s="138"/>
      <c r="K232" s="138"/>
      <c r="L232" s="138"/>
      <c r="M232" s="138"/>
      <c r="N232" s="138"/>
      <c r="O232" s="139"/>
      <c r="P232" s="138"/>
      <c r="Q232" s="107"/>
      <c r="R232" s="107"/>
    </row>
    <row r="233" spans="1:18" ht="15" customHeight="1">
      <c r="A233" s="17" t="s">
        <v>61</v>
      </c>
      <c r="B233" s="17" t="s">
        <v>428</v>
      </c>
      <c r="C233" s="18" t="s">
        <v>576</v>
      </c>
      <c r="D233" s="17" t="s">
        <v>63</v>
      </c>
      <c r="E233" s="17" t="s">
        <v>636</v>
      </c>
      <c r="F233" s="17" t="s">
        <v>365</v>
      </c>
      <c r="G233" s="298"/>
      <c r="H233" s="138"/>
      <c r="I233" s="138"/>
      <c r="J233" s="138"/>
      <c r="K233" s="138"/>
      <c r="L233" s="138"/>
      <c r="M233" s="138"/>
      <c r="N233" s="138"/>
      <c r="O233" s="139"/>
      <c r="P233" s="138"/>
      <c r="Q233" s="107"/>
      <c r="R233" s="107"/>
    </row>
    <row r="234" spans="1:18" ht="15" customHeight="1">
      <c r="A234" s="17" t="s">
        <v>61</v>
      </c>
      <c r="B234" s="17" t="s">
        <v>375</v>
      </c>
      <c r="C234" s="18" t="s">
        <v>579</v>
      </c>
      <c r="D234" s="17" t="s">
        <v>63</v>
      </c>
      <c r="E234" s="17" t="s">
        <v>286</v>
      </c>
      <c r="F234" s="17" t="s">
        <v>365</v>
      </c>
      <c r="G234" s="298"/>
      <c r="H234" s="138"/>
      <c r="I234" s="138"/>
      <c r="J234" s="138"/>
      <c r="K234" s="138"/>
      <c r="L234" s="138"/>
      <c r="M234" s="138"/>
      <c r="N234" s="138"/>
      <c r="O234" s="139"/>
      <c r="P234" s="138"/>
      <c r="Q234" s="107"/>
      <c r="R234" s="107"/>
    </row>
    <row r="235" spans="1:18" ht="15" customHeight="1">
      <c r="A235" s="17" t="s">
        <v>61</v>
      </c>
      <c r="B235" s="17" t="s">
        <v>377</v>
      </c>
      <c r="C235" s="18" t="s">
        <v>563</v>
      </c>
      <c r="D235" s="17" t="s">
        <v>63</v>
      </c>
      <c r="E235" s="17" t="s">
        <v>294</v>
      </c>
      <c r="F235" s="17" t="s">
        <v>365</v>
      </c>
      <c r="G235" s="298"/>
      <c r="H235" s="138"/>
      <c r="I235" s="138"/>
      <c r="J235" s="138"/>
      <c r="K235" s="138"/>
      <c r="L235" s="138"/>
      <c r="M235" s="138"/>
      <c r="N235" s="138"/>
      <c r="O235" s="139"/>
      <c r="P235" s="138"/>
      <c r="Q235" s="107"/>
      <c r="R235" s="107"/>
    </row>
    <row r="236" spans="1:18" ht="15" customHeight="1">
      <c r="A236" s="17" t="s">
        <v>61</v>
      </c>
      <c r="B236" s="17" t="s">
        <v>379</v>
      </c>
      <c r="C236" s="18" t="s">
        <v>231</v>
      </c>
      <c r="D236" s="17" t="s">
        <v>63</v>
      </c>
      <c r="E236" s="17" t="s">
        <v>636</v>
      </c>
      <c r="F236" s="17" t="s">
        <v>365</v>
      </c>
      <c r="G236" s="298"/>
      <c r="H236" s="138"/>
      <c r="I236" s="138"/>
      <c r="J236" s="138"/>
      <c r="K236" s="138"/>
      <c r="L236" s="138"/>
      <c r="M236" s="138"/>
      <c r="N236" s="138"/>
      <c r="O236" s="139"/>
      <c r="P236" s="138"/>
      <c r="Q236" s="107"/>
      <c r="R236" s="107"/>
    </row>
    <row r="237" spans="1:18" ht="15" customHeight="1" thickBot="1">
      <c r="A237" s="30" t="s">
        <v>38</v>
      </c>
      <c r="B237" s="30" t="s">
        <v>342</v>
      </c>
      <c r="C237" s="31" t="s">
        <v>592</v>
      </c>
      <c r="D237" s="30" t="s">
        <v>43</v>
      </c>
      <c r="E237" s="30" t="s">
        <v>652</v>
      </c>
      <c r="F237" s="30" t="s">
        <v>121</v>
      </c>
      <c r="G237" s="299"/>
      <c r="H237" s="140"/>
      <c r="I237" s="140"/>
      <c r="J237" s="140"/>
      <c r="K237" s="140"/>
      <c r="L237" s="140"/>
      <c r="M237" s="140"/>
      <c r="N237" s="140"/>
      <c r="O237" s="141"/>
      <c r="P237" s="140"/>
      <c r="Q237" s="142"/>
      <c r="R237" s="142"/>
    </row>
    <row r="238" spans="1:18" ht="17.45" customHeight="1" thickBot="1">
      <c r="A238" s="283"/>
      <c r="B238" s="284"/>
      <c r="C238" s="284"/>
      <c r="D238" s="284"/>
      <c r="E238" s="284"/>
      <c r="F238" s="284"/>
      <c r="G238" s="284"/>
      <c r="H238" s="284"/>
      <c r="I238" s="284"/>
      <c r="J238" s="284"/>
      <c r="K238" s="284"/>
      <c r="L238" s="284"/>
      <c r="M238" s="284"/>
      <c r="N238" s="284"/>
      <c r="O238" s="284"/>
      <c r="P238" s="284"/>
      <c r="Q238" s="284"/>
      <c r="R238" s="285"/>
    </row>
    <row r="239" spans="1:18" ht="22.15" customHeight="1" thickTop="1" thickBot="1">
      <c r="A239" s="279" t="s">
        <v>6</v>
      </c>
      <c r="B239" s="295"/>
      <c r="C239" s="295"/>
      <c r="D239" s="295"/>
      <c r="E239" s="295"/>
      <c r="F239" s="296"/>
      <c r="G239" s="32">
        <v>46036</v>
      </c>
      <c r="H239" s="278" t="s">
        <v>7</v>
      </c>
      <c r="I239" s="295"/>
      <c r="J239" s="295"/>
      <c r="K239" s="295"/>
      <c r="L239" s="295"/>
      <c r="M239" s="295"/>
      <c r="N239" s="295"/>
      <c r="O239" s="295"/>
      <c r="P239" s="295"/>
      <c r="Q239" s="295"/>
      <c r="R239" s="296"/>
    </row>
    <row r="240" spans="1:18" ht="24" customHeight="1">
      <c r="A240" s="33" t="s">
        <v>8</v>
      </c>
      <c r="B240" s="33" t="s">
        <v>9</v>
      </c>
      <c r="C240" s="34" t="s">
        <v>10</v>
      </c>
      <c r="D240" s="33" t="s">
        <v>11</v>
      </c>
      <c r="E240" s="33" t="s">
        <v>12</v>
      </c>
      <c r="F240" s="35" t="s">
        <v>13</v>
      </c>
      <c r="G240" s="36" t="s">
        <v>14</v>
      </c>
      <c r="H240" s="33" t="s">
        <v>15</v>
      </c>
      <c r="I240" s="37" t="s">
        <v>16</v>
      </c>
      <c r="J240" s="38" t="s">
        <v>17</v>
      </c>
      <c r="K240" s="39" t="s">
        <v>18</v>
      </c>
      <c r="L240" s="38" t="s">
        <v>19</v>
      </c>
      <c r="M240" s="38" t="s">
        <v>20</v>
      </c>
      <c r="N240" s="38" t="s">
        <v>21</v>
      </c>
      <c r="O240" s="33" t="s">
        <v>22</v>
      </c>
      <c r="P240" s="34" t="s">
        <v>23</v>
      </c>
      <c r="Q240" s="38" t="s">
        <v>24</v>
      </c>
      <c r="R240" s="33" t="s">
        <v>25</v>
      </c>
    </row>
    <row r="241" spans="1:18" ht="15" customHeight="1">
      <c r="A241" s="67" t="s">
        <v>61</v>
      </c>
      <c r="B241" s="67" t="s">
        <v>722</v>
      </c>
      <c r="C241" s="68">
        <v>0.92361111111111116</v>
      </c>
      <c r="D241" s="67" t="s">
        <v>63</v>
      </c>
      <c r="E241" s="67" t="s">
        <v>156</v>
      </c>
      <c r="F241" s="67" t="s">
        <v>708</v>
      </c>
      <c r="G241" s="297"/>
      <c r="H241" s="69" t="s">
        <v>723</v>
      </c>
      <c r="I241" s="70">
        <v>1.67E-2</v>
      </c>
      <c r="J241" s="71">
        <v>3</v>
      </c>
      <c r="K241" s="72">
        <v>46336</v>
      </c>
      <c r="L241" s="71">
        <v>3</v>
      </c>
      <c r="M241" s="71">
        <v>0</v>
      </c>
      <c r="N241" s="71">
        <v>0</v>
      </c>
      <c r="O241" s="73" t="s">
        <v>302</v>
      </c>
      <c r="P241" s="74">
        <v>0.92361111111111116</v>
      </c>
      <c r="Q241" s="71">
        <v>180</v>
      </c>
      <c r="R241" s="75" t="s">
        <v>304</v>
      </c>
    </row>
    <row r="242" spans="1:18" ht="15" customHeight="1">
      <c r="A242" s="156" t="s">
        <v>61</v>
      </c>
      <c r="B242" s="156" t="s">
        <v>707</v>
      </c>
      <c r="C242" s="157">
        <v>0.1076388888888889</v>
      </c>
      <c r="D242" s="156" t="s">
        <v>63</v>
      </c>
      <c r="E242" s="156" t="s">
        <v>37</v>
      </c>
      <c r="F242" s="156" t="s">
        <v>708</v>
      </c>
      <c r="G242" s="298"/>
      <c r="H242" s="42" t="s">
        <v>709</v>
      </c>
      <c r="I242" s="43">
        <v>0</v>
      </c>
      <c r="J242" s="44">
        <v>0</v>
      </c>
      <c r="K242" s="45" t="s">
        <v>66</v>
      </c>
      <c r="L242" s="44">
        <v>0</v>
      </c>
      <c r="M242" s="44">
        <v>0</v>
      </c>
      <c r="N242" s="44">
        <v>0</v>
      </c>
      <c r="O242" s="46" t="s">
        <v>307</v>
      </c>
      <c r="P242" s="47">
        <v>0.1076388888888889</v>
      </c>
      <c r="Q242" s="44">
        <v>180</v>
      </c>
      <c r="R242" s="48" t="s">
        <v>66</v>
      </c>
    </row>
    <row r="243" spans="1:18" ht="15" customHeight="1">
      <c r="A243" s="160" t="s">
        <v>61</v>
      </c>
      <c r="B243" s="160" t="s">
        <v>715</v>
      </c>
      <c r="C243" s="161">
        <v>0.5</v>
      </c>
      <c r="D243" s="160" t="s">
        <v>63</v>
      </c>
      <c r="E243" s="160" t="s">
        <v>200</v>
      </c>
      <c r="F243" s="160" t="s">
        <v>708</v>
      </c>
      <c r="G243" s="298"/>
      <c r="H243" s="23" t="s">
        <v>716</v>
      </c>
      <c r="I243" s="24">
        <v>5.5999999999999999E-3</v>
      </c>
      <c r="J243" s="25">
        <v>1</v>
      </c>
      <c r="K243" s="26">
        <v>46315</v>
      </c>
      <c r="L243" s="25">
        <v>1</v>
      </c>
      <c r="M243" s="25">
        <v>0</v>
      </c>
      <c r="N243" s="25">
        <v>0</v>
      </c>
      <c r="O243" s="27" t="s">
        <v>304</v>
      </c>
      <c r="P243" s="28">
        <v>0.5</v>
      </c>
      <c r="Q243" s="25">
        <v>180</v>
      </c>
      <c r="R243" s="29" t="s">
        <v>302</v>
      </c>
    </row>
    <row r="244" spans="1:18" ht="15" customHeight="1">
      <c r="A244" s="19" t="s">
        <v>38</v>
      </c>
      <c r="B244" s="19" t="s">
        <v>719</v>
      </c>
      <c r="C244" s="20">
        <v>0.36458333333333331</v>
      </c>
      <c r="D244" s="19" t="s">
        <v>622</v>
      </c>
      <c r="E244" s="19" t="s">
        <v>181</v>
      </c>
      <c r="F244" s="19" t="s">
        <v>35</v>
      </c>
      <c r="G244" s="298"/>
      <c r="H244" s="10"/>
      <c r="I244" s="11"/>
      <c r="J244" s="11"/>
      <c r="K244" s="11"/>
      <c r="L244" s="11"/>
      <c r="M244" s="11"/>
      <c r="N244" s="11"/>
      <c r="O244" s="12"/>
      <c r="P244" s="11"/>
      <c r="Q244" s="13"/>
      <c r="R244" s="14"/>
    </row>
    <row r="245" spans="1:18" ht="15" customHeight="1">
      <c r="A245" s="15" t="s">
        <v>38</v>
      </c>
      <c r="B245" s="15" t="s">
        <v>719</v>
      </c>
      <c r="C245" s="16">
        <v>0.36458333333333331</v>
      </c>
      <c r="D245" s="15" t="s">
        <v>603</v>
      </c>
      <c r="E245" s="15" t="s">
        <v>182</v>
      </c>
      <c r="F245" s="15" t="s">
        <v>730</v>
      </c>
      <c r="G245" s="298"/>
      <c r="H245" s="10"/>
      <c r="I245" s="11"/>
      <c r="J245" s="11"/>
      <c r="K245" s="11"/>
      <c r="L245" s="11"/>
      <c r="M245" s="11"/>
      <c r="N245" s="11"/>
      <c r="O245" s="12"/>
      <c r="P245" s="11"/>
      <c r="Q245" s="13"/>
      <c r="R245" s="14"/>
    </row>
    <row r="246" spans="1:18" ht="15" customHeight="1">
      <c r="A246" s="15" t="s">
        <v>38</v>
      </c>
      <c r="B246" s="15" t="s">
        <v>719</v>
      </c>
      <c r="C246" s="16">
        <v>0.36458333333333331</v>
      </c>
      <c r="D246" s="15" t="s">
        <v>605</v>
      </c>
      <c r="E246" s="15" t="s">
        <v>182</v>
      </c>
      <c r="F246" s="15" t="s">
        <v>731</v>
      </c>
      <c r="G246" s="298"/>
      <c r="H246" s="10"/>
      <c r="I246" s="11"/>
      <c r="J246" s="11"/>
      <c r="K246" s="11"/>
      <c r="L246" s="11"/>
      <c r="M246" s="11"/>
      <c r="N246" s="11"/>
      <c r="O246" s="12"/>
      <c r="P246" s="11"/>
      <c r="Q246" s="13"/>
      <c r="R246" s="14"/>
    </row>
    <row r="247" spans="1:18" ht="15" customHeight="1">
      <c r="A247" s="15" t="s">
        <v>38</v>
      </c>
      <c r="B247" s="15" t="s">
        <v>719</v>
      </c>
      <c r="C247" s="16">
        <v>0.36458333333333331</v>
      </c>
      <c r="D247" s="15" t="s">
        <v>625</v>
      </c>
      <c r="E247" s="15" t="s">
        <v>182</v>
      </c>
      <c r="F247" s="15" t="s">
        <v>732</v>
      </c>
      <c r="G247" s="298"/>
      <c r="H247" s="10"/>
      <c r="I247" s="11"/>
      <c r="J247" s="11"/>
      <c r="K247" s="11"/>
      <c r="L247" s="11"/>
      <c r="M247" s="11"/>
      <c r="N247" s="11"/>
      <c r="O247" s="12"/>
      <c r="P247" s="11"/>
      <c r="Q247" s="13"/>
      <c r="R247" s="14"/>
    </row>
    <row r="248" spans="1:18" ht="15" customHeight="1">
      <c r="A248" s="19" t="s">
        <v>68</v>
      </c>
      <c r="B248" s="19" t="s">
        <v>713</v>
      </c>
      <c r="C248" s="20">
        <v>0.1076388888888889</v>
      </c>
      <c r="D248" s="19" t="s">
        <v>643</v>
      </c>
      <c r="E248" s="19" t="s">
        <v>29</v>
      </c>
      <c r="F248" s="19" t="s">
        <v>714</v>
      </c>
      <c r="G248" s="298"/>
      <c r="H248" s="10"/>
      <c r="I248" s="11"/>
      <c r="J248" s="11"/>
      <c r="K248" s="11"/>
      <c r="L248" s="11"/>
      <c r="M248" s="11"/>
      <c r="N248" s="11"/>
      <c r="O248" s="12"/>
      <c r="P248" s="11"/>
      <c r="Q248" s="13"/>
      <c r="R248" s="14"/>
    </row>
    <row r="249" spans="1:18" ht="15" customHeight="1">
      <c r="A249" s="17" t="s">
        <v>68</v>
      </c>
      <c r="B249" s="17" t="s">
        <v>725</v>
      </c>
      <c r="C249" s="18">
        <v>0.92361111111111116</v>
      </c>
      <c r="D249" s="17" t="s">
        <v>643</v>
      </c>
      <c r="E249" s="17" t="s">
        <v>37</v>
      </c>
      <c r="F249" s="17" t="s">
        <v>714</v>
      </c>
      <c r="G249" s="298"/>
      <c r="H249" s="10"/>
      <c r="I249" s="11"/>
      <c r="J249" s="11"/>
      <c r="K249" s="11"/>
      <c r="L249" s="11"/>
      <c r="M249" s="11"/>
      <c r="N249" s="11"/>
      <c r="O249" s="12"/>
      <c r="P249" s="11"/>
      <c r="Q249" s="13"/>
      <c r="R249" s="14"/>
    </row>
    <row r="250" spans="1:18" ht="18">
      <c r="A250" s="292" t="s">
        <v>615</v>
      </c>
      <c r="B250" s="303"/>
      <c r="C250" s="303"/>
      <c r="D250" s="303"/>
      <c r="E250" s="303"/>
      <c r="F250" s="304"/>
      <c r="G250" s="298"/>
      <c r="H250" s="138"/>
      <c r="I250" s="138"/>
      <c r="J250" s="138"/>
      <c r="K250" s="138"/>
      <c r="L250" s="138"/>
      <c r="M250" s="138"/>
      <c r="N250" s="138"/>
      <c r="O250" s="139"/>
      <c r="P250" s="138"/>
      <c r="Q250" s="107"/>
      <c r="R250" s="107"/>
    </row>
    <row r="251" spans="1:18" ht="15" customHeight="1">
      <c r="A251" s="17" t="s">
        <v>38</v>
      </c>
      <c r="B251" s="17" t="s">
        <v>342</v>
      </c>
      <c r="C251" s="18" t="s">
        <v>592</v>
      </c>
      <c r="D251" s="17" t="s">
        <v>40</v>
      </c>
      <c r="E251" s="17" t="s">
        <v>308</v>
      </c>
      <c r="F251" s="17" t="s">
        <v>343</v>
      </c>
      <c r="G251" s="298"/>
      <c r="H251" s="138"/>
      <c r="I251" s="138"/>
      <c r="J251" s="138"/>
      <c r="K251" s="138"/>
      <c r="L251" s="138"/>
      <c r="M251" s="138"/>
      <c r="N251" s="138"/>
      <c r="O251" s="139"/>
      <c r="P251" s="138"/>
      <c r="Q251" s="107"/>
      <c r="R251" s="107"/>
    </row>
    <row r="252" spans="1:18" ht="15" customHeight="1">
      <c r="A252" s="17" t="s">
        <v>38</v>
      </c>
      <c r="B252" s="17" t="s">
        <v>346</v>
      </c>
      <c r="C252" s="18" t="s">
        <v>600</v>
      </c>
      <c r="D252" s="17" t="s">
        <v>40</v>
      </c>
      <c r="E252" s="17" t="s">
        <v>268</v>
      </c>
      <c r="F252" s="17" t="s">
        <v>30</v>
      </c>
      <c r="G252" s="298"/>
      <c r="H252" s="138"/>
      <c r="I252" s="138"/>
      <c r="J252" s="138"/>
      <c r="K252" s="138"/>
      <c r="L252" s="138"/>
      <c r="M252" s="138"/>
      <c r="N252" s="138"/>
      <c r="O252" s="139"/>
      <c r="P252" s="138"/>
      <c r="Q252" s="107"/>
      <c r="R252" s="107"/>
    </row>
    <row r="253" spans="1:18" ht="15" customHeight="1">
      <c r="A253" s="17" t="s">
        <v>38</v>
      </c>
      <c r="B253" s="17" t="s">
        <v>345</v>
      </c>
      <c r="C253" s="18" t="s">
        <v>594</v>
      </c>
      <c r="D253" s="17" t="s">
        <v>40</v>
      </c>
      <c r="E253" s="17" t="s">
        <v>293</v>
      </c>
      <c r="F253" s="17" t="s">
        <v>347</v>
      </c>
      <c r="G253" s="298"/>
      <c r="H253" s="138"/>
      <c r="I253" s="138"/>
      <c r="J253" s="138"/>
      <c r="K253" s="138"/>
      <c r="L253" s="138"/>
      <c r="M253" s="138"/>
      <c r="N253" s="138"/>
      <c r="O253" s="139"/>
      <c r="P253" s="138"/>
      <c r="Q253" s="107"/>
      <c r="R253" s="107"/>
    </row>
    <row r="254" spans="1:18" ht="15" customHeight="1">
      <c r="A254" s="17" t="s">
        <v>61</v>
      </c>
      <c r="B254" s="17" t="s">
        <v>364</v>
      </c>
      <c r="C254" s="18" t="s">
        <v>580</v>
      </c>
      <c r="D254" s="17" t="s">
        <v>63</v>
      </c>
      <c r="E254" s="17" t="s">
        <v>636</v>
      </c>
      <c r="F254" s="17" t="s">
        <v>365</v>
      </c>
      <c r="G254" s="298"/>
      <c r="H254" s="138"/>
      <c r="I254" s="138"/>
      <c r="J254" s="138"/>
      <c r="K254" s="138"/>
      <c r="L254" s="138"/>
      <c r="M254" s="138"/>
      <c r="N254" s="138"/>
      <c r="O254" s="139"/>
      <c r="P254" s="138"/>
      <c r="Q254" s="107"/>
      <c r="R254" s="107"/>
    </row>
    <row r="255" spans="1:18" ht="15" customHeight="1">
      <c r="A255" s="17" t="s">
        <v>61</v>
      </c>
      <c r="B255" s="17" t="s">
        <v>432</v>
      </c>
      <c r="C255" s="18" t="s">
        <v>582</v>
      </c>
      <c r="D255" s="17" t="s">
        <v>63</v>
      </c>
      <c r="E255" s="17" t="s">
        <v>636</v>
      </c>
      <c r="F255" s="17" t="s">
        <v>365</v>
      </c>
      <c r="G255" s="298"/>
      <c r="H255" s="138"/>
      <c r="I255" s="138"/>
      <c r="J255" s="138"/>
      <c r="K255" s="138"/>
      <c r="L255" s="138"/>
      <c r="M255" s="138"/>
      <c r="N255" s="138"/>
      <c r="O255" s="139"/>
      <c r="P255" s="138"/>
      <c r="Q255" s="107"/>
      <c r="R255" s="107"/>
    </row>
    <row r="256" spans="1:18" ht="15" customHeight="1">
      <c r="A256" s="17" t="s">
        <v>61</v>
      </c>
      <c r="B256" s="17" t="s">
        <v>428</v>
      </c>
      <c r="C256" s="18" t="s">
        <v>559</v>
      </c>
      <c r="D256" s="17" t="s">
        <v>63</v>
      </c>
      <c r="E256" s="17" t="s">
        <v>286</v>
      </c>
      <c r="F256" s="17" t="s">
        <v>365</v>
      </c>
      <c r="G256" s="298"/>
      <c r="H256" s="138"/>
      <c r="I256" s="138"/>
      <c r="J256" s="138"/>
      <c r="K256" s="138"/>
      <c r="L256" s="138"/>
      <c r="M256" s="138"/>
      <c r="N256" s="138"/>
      <c r="O256" s="139"/>
      <c r="P256" s="138"/>
      <c r="Q256" s="107"/>
      <c r="R256" s="107"/>
    </row>
    <row r="257" spans="1:18" ht="15" customHeight="1">
      <c r="A257" s="17" t="s">
        <v>61</v>
      </c>
      <c r="B257" s="17" t="s">
        <v>375</v>
      </c>
      <c r="C257" s="18" t="s">
        <v>581</v>
      </c>
      <c r="D257" s="17" t="s">
        <v>63</v>
      </c>
      <c r="E257" s="17" t="s">
        <v>636</v>
      </c>
      <c r="F257" s="17" t="s">
        <v>365</v>
      </c>
      <c r="G257" s="298"/>
      <c r="H257" s="138"/>
      <c r="I257" s="138"/>
      <c r="J257" s="138"/>
      <c r="K257" s="138"/>
      <c r="L257" s="138"/>
      <c r="M257" s="138"/>
      <c r="N257" s="138"/>
      <c r="O257" s="139"/>
      <c r="P257" s="138"/>
      <c r="Q257" s="107"/>
      <c r="R257" s="107"/>
    </row>
    <row r="258" spans="1:18" ht="15" customHeight="1">
      <c r="A258" s="17" t="s">
        <v>26</v>
      </c>
      <c r="B258" s="17" t="s">
        <v>354</v>
      </c>
      <c r="C258" s="18" t="s">
        <v>656</v>
      </c>
      <c r="D258" s="17" t="s">
        <v>28</v>
      </c>
      <c r="E258" s="17" t="s">
        <v>277</v>
      </c>
      <c r="F258" s="17" t="s">
        <v>83</v>
      </c>
      <c r="G258" s="298"/>
      <c r="H258" s="138"/>
      <c r="I258" s="138"/>
      <c r="J258" s="138"/>
      <c r="K258" s="138"/>
      <c r="L258" s="138"/>
      <c r="M258" s="138"/>
      <c r="N258" s="138"/>
      <c r="O258" s="139"/>
      <c r="P258" s="138"/>
      <c r="Q258" s="107"/>
      <c r="R258" s="107"/>
    </row>
    <row r="259" spans="1:18" ht="15" customHeight="1">
      <c r="A259" s="17" t="s">
        <v>26</v>
      </c>
      <c r="B259" s="17" t="s">
        <v>348</v>
      </c>
      <c r="C259" s="18" t="s">
        <v>595</v>
      </c>
      <c r="D259" s="17" t="s">
        <v>28</v>
      </c>
      <c r="E259" s="17" t="s">
        <v>267</v>
      </c>
      <c r="F259" s="17" t="s">
        <v>83</v>
      </c>
      <c r="G259" s="298"/>
      <c r="H259" s="138"/>
      <c r="I259" s="138"/>
      <c r="J259" s="138"/>
      <c r="K259" s="138"/>
      <c r="L259" s="138"/>
      <c r="M259" s="138"/>
      <c r="N259" s="138"/>
      <c r="O259" s="139"/>
      <c r="P259" s="138"/>
      <c r="Q259" s="107"/>
      <c r="R259" s="107"/>
    </row>
    <row r="260" spans="1:18" ht="15" customHeight="1" thickBot="1">
      <c r="A260" s="30" t="s">
        <v>26</v>
      </c>
      <c r="B260" s="30" t="s">
        <v>351</v>
      </c>
      <c r="C260" s="31" t="s">
        <v>597</v>
      </c>
      <c r="D260" s="30" t="s">
        <v>28</v>
      </c>
      <c r="E260" s="30" t="s">
        <v>288</v>
      </c>
      <c r="F260" s="30" t="s">
        <v>83</v>
      </c>
      <c r="G260" s="299"/>
      <c r="H260" s="140"/>
      <c r="I260" s="140"/>
      <c r="J260" s="140"/>
      <c r="K260" s="140"/>
      <c r="L260" s="140"/>
      <c r="M260" s="140"/>
      <c r="N260" s="140"/>
      <c r="O260" s="141"/>
      <c r="P260" s="140"/>
      <c r="Q260" s="142"/>
      <c r="R260" s="142"/>
    </row>
    <row r="261" spans="1:18" ht="17.45" customHeight="1" thickBot="1">
      <c r="A261" s="283"/>
      <c r="B261" s="284"/>
      <c r="C261" s="284"/>
      <c r="D261" s="284"/>
      <c r="E261" s="284"/>
      <c r="F261" s="284"/>
      <c r="G261" s="284"/>
      <c r="H261" s="284"/>
      <c r="I261" s="284"/>
      <c r="J261" s="284"/>
      <c r="K261" s="284"/>
      <c r="L261" s="284"/>
      <c r="M261" s="284"/>
      <c r="N261" s="284"/>
      <c r="O261" s="284"/>
      <c r="P261" s="284"/>
      <c r="Q261" s="284"/>
      <c r="R261" s="285"/>
    </row>
    <row r="262" spans="1:18" ht="22.15" customHeight="1" thickTop="1" thickBot="1">
      <c r="A262" s="279" t="s">
        <v>6</v>
      </c>
      <c r="B262" s="295"/>
      <c r="C262" s="295"/>
      <c r="D262" s="295"/>
      <c r="E262" s="295"/>
      <c r="F262" s="296"/>
      <c r="G262" s="32">
        <v>46037</v>
      </c>
      <c r="H262" s="278" t="s">
        <v>7</v>
      </c>
      <c r="I262" s="295"/>
      <c r="J262" s="295"/>
      <c r="K262" s="295"/>
      <c r="L262" s="295"/>
      <c r="M262" s="295"/>
      <c r="N262" s="295"/>
      <c r="O262" s="295"/>
      <c r="P262" s="295"/>
      <c r="Q262" s="295"/>
      <c r="R262" s="296"/>
    </row>
    <row r="263" spans="1:18" ht="24" customHeight="1">
      <c r="A263" s="33" t="s">
        <v>8</v>
      </c>
      <c r="B263" s="33" t="s">
        <v>9</v>
      </c>
      <c r="C263" s="34" t="s">
        <v>10</v>
      </c>
      <c r="D263" s="33" t="s">
        <v>11</v>
      </c>
      <c r="E263" s="33" t="s">
        <v>12</v>
      </c>
      <c r="F263" s="35" t="s">
        <v>13</v>
      </c>
      <c r="G263" s="36" t="s">
        <v>14</v>
      </c>
      <c r="H263" s="33" t="s">
        <v>15</v>
      </c>
      <c r="I263" s="37" t="s">
        <v>16</v>
      </c>
      <c r="J263" s="38" t="s">
        <v>17</v>
      </c>
      <c r="K263" s="39" t="s">
        <v>18</v>
      </c>
      <c r="L263" s="38" t="s">
        <v>19</v>
      </c>
      <c r="M263" s="38" t="s">
        <v>20</v>
      </c>
      <c r="N263" s="38" t="s">
        <v>21</v>
      </c>
      <c r="O263" s="33" t="s">
        <v>22</v>
      </c>
      <c r="P263" s="34" t="s">
        <v>23</v>
      </c>
      <c r="Q263" s="38" t="s">
        <v>24</v>
      </c>
      <c r="R263" s="33" t="s">
        <v>25</v>
      </c>
    </row>
    <row r="264" spans="1:18" ht="15" customHeight="1">
      <c r="A264" s="87" t="s">
        <v>61</v>
      </c>
      <c r="B264" s="87" t="s">
        <v>707</v>
      </c>
      <c r="C264" s="88">
        <v>0.52430555555555558</v>
      </c>
      <c r="D264" s="87" t="s">
        <v>63</v>
      </c>
      <c r="E264" s="87" t="s">
        <v>143</v>
      </c>
      <c r="F264" s="87" t="s">
        <v>708</v>
      </c>
      <c r="G264" s="297"/>
      <c r="H264" s="89" t="s">
        <v>709</v>
      </c>
      <c r="I264" s="90">
        <v>1.11E-2</v>
      </c>
      <c r="J264" s="91">
        <v>2</v>
      </c>
      <c r="K264" s="92">
        <v>46318</v>
      </c>
      <c r="L264" s="91">
        <v>2</v>
      </c>
      <c r="M264" s="91">
        <v>0</v>
      </c>
      <c r="N264" s="91">
        <v>0</v>
      </c>
      <c r="O264" s="93" t="s">
        <v>298</v>
      </c>
      <c r="P264" s="94">
        <v>0.52430555555555558</v>
      </c>
      <c r="Q264" s="91">
        <v>180</v>
      </c>
      <c r="R264" s="95" t="s">
        <v>298</v>
      </c>
    </row>
    <row r="265" spans="1:18" ht="15" customHeight="1">
      <c r="A265" s="152" t="s">
        <v>61</v>
      </c>
      <c r="B265" s="152" t="s">
        <v>710</v>
      </c>
      <c r="C265" s="153">
        <v>0.54861111111111105</v>
      </c>
      <c r="D265" s="152" t="s">
        <v>63</v>
      </c>
      <c r="E265" s="152" t="s">
        <v>134</v>
      </c>
      <c r="F265" s="152" t="s">
        <v>708</v>
      </c>
      <c r="G265" s="298"/>
      <c r="H265" s="100" t="s">
        <v>712</v>
      </c>
      <c r="I265" s="101">
        <v>2.2200000000000001E-2</v>
      </c>
      <c r="J265" s="102">
        <v>4</v>
      </c>
      <c r="K265" s="103">
        <v>46339</v>
      </c>
      <c r="L265" s="102">
        <v>4</v>
      </c>
      <c r="M265" s="102">
        <v>0</v>
      </c>
      <c r="N265" s="102">
        <v>0</v>
      </c>
      <c r="O265" s="104" t="s">
        <v>302</v>
      </c>
      <c r="P265" s="105">
        <v>0.54861111111111105</v>
      </c>
      <c r="Q265" s="102">
        <v>180</v>
      </c>
      <c r="R265" s="106" t="s">
        <v>718</v>
      </c>
    </row>
    <row r="266" spans="1:18" ht="15" customHeight="1">
      <c r="A266" s="19" t="s">
        <v>68</v>
      </c>
      <c r="B266" s="19" t="s">
        <v>713</v>
      </c>
      <c r="C266" s="20">
        <v>0.52430555555555558</v>
      </c>
      <c r="D266" s="19" t="s">
        <v>643</v>
      </c>
      <c r="E266" s="19" t="s">
        <v>29</v>
      </c>
      <c r="F266" s="19" t="s">
        <v>714</v>
      </c>
      <c r="G266" s="298"/>
      <c r="H266" s="10"/>
      <c r="I266" s="11"/>
      <c r="J266" s="11"/>
      <c r="K266" s="11"/>
      <c r="L266" s="11"/>
      <c r="M266" s="11"/>
      <c r="N266" s="11"/>
      <c r="O266" s="12"/>
      <c r="P266" s="11"/>
      <c r="Q266" s="13"/>
      <c r="R266" s="14"/>
    </row>
    <row r="267" spans="1:18" ht="18">
      <c r="A267" s="292" t="s">
        <v>615</v>
      </c>
      <c r="B267" s="303"/>
      <c r="C267" s="303"/>
      <c r="D267" s="303"/>
      <c r="E267" s="303"/>
      <c r="F267" s="304"/>
      <c r="G267" s="298"/>
      <c r="H267" s="138"/>
      <c r="I267" s="138"/>
      <c r="J267" s="138"/>
      <c r="K267" s="138"/>
      <c r="L267" s="138"/>
      <c r="M267" s="138"/>
      <c r="N267" s="138"/>
      <c r="O267" s="139"/>
      <c r="P267" s="138"/>
      <c r="Q267" s="107"/>
      <c r="R267" s="107"/>
    </row>
    <row r="268" spans="1:18" ht="15" customHeight="1">
      <c r="A268" s="17" t="s">
        <v>38</v>
      </c>
      <c r="B268" s="17" t="s">
        <v>344</v>
      </c>
      <c r="C268" s="18" t="s">
        <v>593</v>
      </c>
      <c r="D268" s="17" t="s">
        <v>40</v>
      </c>
      <c r="E268" s="17" t="s">
        <v>312</v>
      </c>
      <c r="F268" s="17" t="s">
        <v>347</v>
      </c>
      <c r="G268" s="298"/>
      <c r="H268" s="138"/>
      <c r="I268" s="138"/>
      <c r="J268" s="138"/>
      <c r="K268" s="138"/>
      <c r="L268" s="138"/>
      <c r="M268" s="138"/>
      <c r="N268" s="138"/>
      <c r="O268" s="139"/>
      <c r="P268" s="138"/>
      <c r="Q268" s="107"/>
      <c r="R268" s="107"/>
    </row>
    <row r="269" spans="1:18" ht="15" customHeight="1">
      <c r="A269" s="17" t="s">
        <v>38</v>
      </c>
      <c r="B269" s="17" t="s">
        <v>345</v>
      </c>
      <c r="C269" s="18" t="s">
        <v>594</v>
      </c>
      <c r="D269" s="17" t="s">
        <v>40</v>
      </c>
      <c r="E269" s="17" t="s">
        <v>268</v>
      </c>
      <c r="F269" s="17" t="s">
        <v>347</v>
      </c>
      <c r="G269" s="298"/>
      <c r="H269" s="138"/>
      <c r="I269" s="138"/>
      <c r="J269" s="138"/>
      <c r="K269" s="138"/>
      <c r="L269" s="138"/>
      <c r="M269" s="138"/>
      <c r="N269" s="138"/>
      <c r="O269" s="139"/>
      <c r="P269" s="138"/>
      <c r="Q269" s="107"/>
      <c r="R269" s="107"/>
    </row>
    <row r="270" spans="1:18" ht="15" customHeight="1">
      <c r="A270" s="17" t="s">
        <v>61</v>
      </c>
      <c r="B270" s="17" t="s">
        <v>371</v>
      </c>
      <c r="C270" s="18" t="s">
        <v>273</v>
      </c>
      <c r="D270" s="17" t="s">
        <v>63</v>
      </c>
      <c r="E270" s="17" t="s">
        <v>288</v>
      </c>
      <c r="F270" s="17" t="s">
        <v>365</v>
      </c>
      <c r="G270" s="298"/>
      <c r="H270" s="138"/>
      <c r="I270" s="138"/>
      <c r="J270" s="138"/>
      <c r="K270" s="138"/>
      <c r="L270" s="138"/>
      <c r="M270" s="138"/>
      <c r="N270" s="138"/>
      <c r="O270" s="139"/>
      <c r="P270" s="138"/>
      <c r="Q270" s="107"/>
      <c r="R270" s="107"/>
    </row>
    <row r="271" spans="1:18" ht="15" customHeight="1">
      <c r="A271" s="17" t="s">
        <v>38</v>
      </c>
      <c r="B271" s="17" t="s">
        <v>342</v>
      </c>
      <c r="C271" s="18" t="s">
        <v>592</v>
      </c>
      <c r="D271" s="17" t="s">
        <v>40</v>
      </c>
      <c r="E271" s="17" t="s">
        <v>308</v>
      </c>
      <c r="F271" s="17" t="s">
        <v>121</v>
      </c>
      <c r="G271" s="298"/>
      <c r="H271" s="138"/>
      <c r="I271" s="138"/>
      <c r="J271" s="138"/>
      <c r="K271" s="138"/>
      <c r="L271" s="138"/>
      <c r="M271" s="138"/>
      <c r="N271" s="138"/>
      <c r="O271" s="139"/>
      <c r="P271" s="138"/>
      <c r="Q271" s="107"/>
      <c r="R271" s="107"/>
    </row>
    <row r="272" spans="1:18" ht="15" customHeight="1">
      <c r="A272" s="17" t="s">
        <v>48</v>
      </c>
      <c r="B272" s="17" t="s">
        <v>386</v>
      </c>
      <c r="C272" s="18" t="s">
        <v>574</v>
      </c>
      <c r="D272" s="17" t="s">
        <v>50</v>
      </c>
      <c r="E272" s="17" t="s">
        <v>288</v>
      </c>
      <c r="F272" s="17" t="s">
        <v>383</v>
      </c>
      <c r="G272" s="298"/>
      <c r="H272" s="138"/>
      <c r="I272" s="138"/>
      <c r="J272" s="138"/>
      <c r="K272" s="138"/>
      <c r="L272" s="138"/>
      <c r="M272" s="138"/>
      <c r="N272" s="138"/>
      <c r="O272" s="139"/>
      <c r="P272" s="138"/>
      <c r="Q272" s="107"/>
      <c r="R272" s="107"/>
    </row>
    <row r="273" spans="1:18" ht="15" customHeight="1">
      <c r="A273" s="17" t="s">
        <v>48</v>
      </c>
      <c r="B273" s="17" t="s">
        <v>385</v>
      </c>
      <c r="C273" s="18" t="s">
        <v>271</v>
      </c>
      <c r="D273" s="17" t="s">
        <v>50</v>
      </c>
      <c r="E273" s="17" t="s">
        <v>288</v>
      </c>
      <c r="F273" s="17" t="s">
        <v>383</v>
      </c>
      <c r="G273" s="298"/>
      <c r="H273" s="138"/>
      <c r="I273" s="138"/>
      <c r="J273" s="138"/>
      <c r="K273" s="138"/>
      <c r="L273" s="138"/>
      <c r="M273" s="138"/>
      <c r="N273" s="138"/>
      <c r="O273" s="139"/>
      <c r="P273" s="138"/>
      <c r="Q273" s="107"/>
      <c r="R273" s="107"/>
    </row>
    <row r="274" spans="1:18" ht="15" customHeight="1">
      <c r="A274" s="17" t="s">
        <v>359</v>
      </c>
      <c r="B274" s="17" t="s">
        <v>360</v>
      </c>
      <c r="C274" s="18" t="s">
        <v>599</v>
      </c>
      <c r="D274" s="17" t="s">
        <v>361</v>
      </c>
      <c r="E274" s="17" t="s">
        <v>270</v>
      </c>
      <c r="F274" s="17" t="s">
        <v>493</v>
      </c>
      <c r="G274" s="298"/>
      <c r="H274" s="138"/>
      <c r="I274" s="138"/>
      <c r="J274" s="138"/>
      <c r="K274" s="138"/>
      <c r="L274" s="138"/>
      <c r="M274" s="138"/>
      <c r="N274" s="138"/>
      <c r="O274" s="139"/>
      <c r="P274" s="138"/>
      <c r="Q274" s="107"/>
      <c r="R274" s="107"/>
    </row>
    <row r="275" spans="1:18" ht="15" customHeight="1">
      <c r="A275" s="17" t="s">
        <v>38</v>
      </c>
      <c r="B275" s="17" t="s">
        <v>346</v>
      </c>
      <c r="C275" s="18" t="s">
        <v>600</v>
      </c>
      <c r="D275" s="17" t="s">
        <v>40</v>
      </c>
      <c r="E275" s="17" t="s">
        <v>281</v>
      </c>
      <c r="F275" s="17" t="s">
        <v>349</v>
      </c>
      <c r="G275" s="298"/>
      <c r="H275" s="138"/>
      <c r="I275" s="138"/>
      <c r="J275" s="138"/>
      <c r="K275" s="138"/>
      <c r="L275" s="138"/>
      <c r="M275" s="138"/>
      <c r="N275" s="138"/>
      <c r="O275" s="139"/>
      <c r="P275" s="138"/>
      <c r="Q275" s="107"/>
      <c r="R275" s="107"/>
    </row>
    <row r="276" spans="1:18" ht="15" customHeight="1">
      <c r="A276" s="17" t="s">
        <v>402</v>
      </c>
      <c r="B276" s="17" t="s">
        <v>403</v>
      </c>
      <c r="C276" s="18" t="s">
        <v>662</v>
      </c>
      <c r="D276" s="17" t="s">
        <v>63</v>
      </c>
      <c r="E276" s="17" t="s">
        <v>277</v>
      </c>
      <c r="F276" s="17" t="s">
        <v>404</v>
      </c>
      <c r="G276" s="298"/>
      <c r="H276" s="138"/>
      <c r="I276" s="138"/>
      <c r="J276" s="138"/>
      <c r="K276" s="138"/>
      <c r="L276" s="138"/>
      <c r="M276" s="138"/>
      <c r="N276" s="138"/>
      <c r="O276" s="139"/>
      <c r="P276" s="138"/>
      <c r="Q276" s="107"/>
      <c r="R276" s="107"/>
    </row>
    <row r="277" spans="1:18" ht="15" customHeight="1">
      <c r="A277" s="30" t="s">
        <v>61</v>
      </c>
      <c r="B277" s="30" t="s">
        <v>369</v>
      </c>
      <c r="C277" s="31" t="s">
        <v>554</v>
      </c>
      <c r="D277" s="30" t="s">
        <v>63</v>
      </c>
      <c r="E277" s="30" t="s">
        <v>269</v>
      </c>
      <c r="F277" s="30" t="s">
        <v>79</v>
      </c>
      <c r="G277" s="299"/>
      <c r="H277" s="140"/>
      <c r="I277" s="140"/>
      <c r="J277" s="140"/>
      <c r="K277" s="140"/>
      <c r="L277" s="140"/>
      <c r="M277" s="140"/>
      <c r="N277" s="140"/>
      <c r="O277" s="141"/>
      <c r="P277" s="140"/>
      <c r="Q277" s="142"/>
      <c r="R277" s="142"/>
    </row>
    <row r="278" spans="1:18" ht="17.45" customHeight="1">
      <c r="A278" s="293"/>
      <c r="B278" s="305"/>
      <c r="C278" s="305"/>
      <c r="D278" s="305"/>
      <c r="E278" s="305"/>
      <c r="F278" s="305"/>
      <c r="G278" s="305"/>
      <c r="H278" s="305"/>
      <c r="I278" s="305"/>
      <c r="J278" s="305"/>
      <c r="K278" s="305"/>
      <c r="L278" s="305"/>
      <c r="M278" s="305"/>
      <c r="N278" s="305"/>
      <c r="O278" s="305"/>
      <c r="P278" s="305"/>
      <c r="Q278" s="305"/>
      <c r="R278" s="306"/>
    </row>
    <row r="279" spans="1:18" ht="22.15" customHeight="1">
      <c r="A279" s="279" t="s">
        <v>6</v>
      </c>
      <c r="B279" s="295"/>
      <c r="C279" s="295"/>
      <c r="D279" s="295"/>
      <c r="E279" s="295"/>
      <c r="F279" s="296"/>
      <c r="G279" s="32">
        <v>46038</v>
      </c>
      <c r="H279" s="278" t="s">
        <v>7</v>
      </c>
      <c r="I279" s="295"/>
      <c r="J279" s="295"/>
      <c r="K279" s="295"/>
      <c r="L279" s="295"/>
      <c r="M279" s="295"/>
      <c r="N279" s="295"/>
      <c r="O279" s="295"/>
      <c r="P279" s="295"/>
      <c r="Q279" s="295"/>
      <c r="R279" s="296"/>
    </row>
    <row r="280" spans="1:18" ht="24" customHeight="1">
      <c r="A280" s="33" t="s">
        <v>8</v>
      </c>
      <c r="B280" s="33" t="s">
        <v>9</v>
      </c>
      <c r="C280" s="34" t="s">
        <v>10</v>
      </c>
      <c r="D280" s="33" t="s">
        <v>11</v>
      </c>
      <c r="E280" s="33" t="s">
        <v>12</v>
      </c>
      <c r="F280" s="35" t="s">
        <v>13</v>
      </c>
      <c r="G280" s="36" t="s">
        <v>14</v>
      </c>
      <c r="H280" s="33" t="s">
        <v>15</v>
      </c>
      <c r="I280" s="37" t="s">
        <v>16</v>
      </c>
      <c r="J280" s="38" t="s">
        <v>17</v>
      </c>
      <c r="K280" s="39" t="s">
        <v>18</v>
      </c>
      <c r="L280" s="38" t="s">
        <v>19</v>
      </c>
      <c r="M280" s="38" t="s">
        <v>20</v>
      </c>
      <c r="N280" s="38" t="s">
        <v>21</v>
      </c>
      <c r="O280" s="33" t="s">
        <v>22</v>
      </c>
      <c r="P280" s="34" t="s">
        <v>23</v>
      </c>
      <c r="Q280" s="38" t="s">
        <v>24</v>
      </c>
      <c r="R280" s="33" t="s">
        <v>25</v>
      </c>
    </row>
    <row r="281" spans="1:18" ht="15" customHeight="1">
      <c r="A281" s="78" t="s">
        <v>61</v>
      </c>
      <c r="B281" s="78" t="s">
        <v>715</v>
      </c>
      <c r="C281" s="79">
        <v>0.13541666666666671</v>
      </c>
      <c r="D281" s="78" t="s">
        <v>63</v>
      </c>
      <c r="E281" s="78" t="s">
        <v>126</v>
      </c>
      <c r="F281" s="78" t="s">
        <v>711</v>
      </c>
      <c r="G281" s="297"/>
      <c r="H281" s="80" t="s">
        <v>716</v>
      </c>
      <c r="I281" s="81">
        <v>3.8899999999999997E-2</v>
      </c>
      <c r="J281" s="82">
        <v>7</v>
      </c>
      <c r="K281" s="83">
        <v>46336</v>
      </c>
      <c r="L281" s="82">
        <v>7</v>
      </c>
      <c r="M281" s="82">
        <v>0</v>
      </c>
      <c r="N281" s="82">
        <v>0</v>
      </c>
      <c r="O281" s="84" t="s">
        <v>184</v>
      </c>
      <c r="P281" s="85">
        <v>0.13541666666666671</v>
      </c>
      <c r="Q281" s="82">
        <v>180</v>
      </c>
      <c r="R281" s="86" t="s">
        <v>733</v>
      </c>
    </row>
    <row r="282" spans="1:18" ht="18">
      <c r="A282" s="292" t="s">
        <v>615</v>
      </c>
      <c r="B282" s="303"/>
      <c r="C282" s="303"/>
      <c r="D282" s="303"/>
      <c r="E282" s="303"/>
      <c r="F282" s="304"/>
      <c r="G282" s="298"/>
      <c r="H282" s="138"/>
      <c r="I282" s="138"/>
      <c r="J282" s="138"/>
      <c r="K282" s="138"/>
      <c r="L282" s="138"/>
      <c r="M282" s="138"/>
      <c r="N282" s="138"/>
      <c r="O282" s="139"/>
      <c r="P282" s="138"/>
      <c r="Q282" s="107"/>
      <c r="R282" s="107"/>
    </row>
    <row r="283" spans="1:18" ht="15" customHeight="1">
      <c r="A283" s="17" t="s">
        <v>38</v>
      </c>
      <c r="B283" s="17" t="s">
        <v>346</v>
      </c>
      <c r="C283" s="18" t="s">
        <v>600</v>
      </c>
      <c r="D283" s="17" t="s">
        <v>40</v>
      </c>
      <c r="E283" s="17" t="s">
        <v>281</v>
      </c>
      <c r="F283" s="17" t="s">
        <v>121</v>
      </c>
      <c r="G283" s="298"/>
      <c r="H283" s="138"/>
      <c r="I283" s="138"/>
      <c r="J283" s="138"/>
      <c r="K283" s="138"/>
      <c r="L283" s="138"/>
      <c r="M283" s="138"/>
      <c r="N283" s="138"/>
      <c r="O283" s="139"/>
      <c r="P283" s="138"/>
      <c r="Q283" s="107"/>
      <c r="R283" s="107"/>
    </row>
    <row r="284" spans="1:18" ht="15" customHeight="1">
      <c r="A284" s="17" t="s">
        <v>359</v>
      </c>
      <c r="B284" s="17" t="s">
        <v>422</v>
      </c>
      <c r="C284" s="18" t="s">
        <v>618</v>
      </c>
      <c r="D284" s="17" t="s">
        <v>361</v>
      </c>
      <c r="E284" s="17" t="s">
        <v>270</v>
      </c>
      <c r="F284" s="17" t="s">
        <v>504</v>
      </c>
      <c r="G284" s="298"/>
      <c r="H284" s="138"/>
      <c r="I284" s="138"/>
      <c r="J284" s="138"/>
      <c r="K284" s="138"/>
      <c r="L284" s="138"/>
      <c r="M284" s="138"/>
      <c r="N284" s="138"/>
      <c r="O284" s="139"/>
      <c r="P284" s="138"/>
      <c r="Q284" s="107"/>
      <c r="R284" s="107"/>
    </row>
    <row r="285" spans="1:18" ht="15" customHeight="1">
      <c r="A285" s="17" t="s">
        <v>359</v>
      </c>
      <c r="B285" s="17" t="s">
        <v>360</v>
      </c>
      <c r="C285" s="18" t="s">
        <v>619</v>
      </c>
      <c r="D285" s="17" t="s">
        <v>361</v>
      </c>
      <c r="E285" s="17" t="s">
        <v>270</v>
      </c>
      <c r="F285" s="17" t="s">
        <v>504</v>
      </c>
      <c r="G285" s="298"/>
      <c r="H285" s="138"/>
      <c r="I285" s="138"/>
      <c r="J285" s="138"/>
      <c r="K285" s="138"/>
      <c r="L285" s="138"/>
      <c r="M285" s="138"/>
      <c r="N285" s="138"/>
      <c r="O285" s="139"/>
      <c r="P285" s="138"/>
      <c r="Q285" s="107"/>
      <c r="R285" s="107"/>
    </row>
    <row r="286" spans="1:18" ht="15" customHeight="1">
      <c r="A286" s="17" t="s">
        <v>359</v>
      </c>
      <c r="B286" s="17" t="s">
        <v>425</v>
      </c>
      <c r="C286" s="18" t="s">
        <v>620</v>
      </c>
      <c r="D286" s="17" t="s">
        <v>361</v>
      </c>
      <c r="E286" s="17" t="s">
        <v>270</v>
      </c>
      <c r="F286" s="17" t="s">
        <v>504</v>
      </c>
      <c r="G286" s="298"/>
      <c r="H286" s="138"/>
      <c r="I286" s="138"/>
      <c r="J286" s="138"/>
      <c r="K286" s="138"/>
      <c r="L286" s="138"/>
      <c r="M286" s="138"/>
      <c r="N286" s="138"/>
      <c r="O286" s="139"/>
      <c r="P286" s="138"/>
      <c r="Q286" s="107"/>
      <c r="R286" s="107"/>
    </row>
    <row r="287" spans="1:18" ht="15" customHeight="1">
      <c r="A287" s="17" t="s">
        <v>38</v>
      </c>
      <c r="B287" s="17" t="s">
        <v>342</v>
      </c>
      <c r="C287" s="18" t="s">
        <v>592</v>
      </c>
      <c r="D287" s="17" t="s">
        <v>40</v>
      </c>
      <c r="E287" s="17" t="s">
        <v>268</v>
      </c>
      <c r="F287" s="17" t="s">
        <v>349</v>
      </c>
      <c r="G287" s="298"/>
      <c r="H287" s="138"/>
      <c r="I287" s="138"/>
      <c r="J287" s="138"/>
      <c r="K287" s="138"/>
      <c r="L287" s="138"/>
      <c r="M287" s="138"/>
      <c r="N287" s="138"/>
      <c r="O287" s="139"/>
      <c r="P287" s="138"/>
      <c r="Q287" s="107"/>
      <c r="R287" s="107"/>
    </row>
    <row r="288" spans="1:18" ht="15" customHeight="1">
      <c r="A288" s="17" t="s">
        <v>402</v>
      </c>
      <c r="B288" s="17" t="s">
        <v>403</v>
      </c>
      <c r="C288" s="18" t="s">
        <v>662</v>
      </c>
      <c r="D288" s="17" t="s">
        <v>63</v>
      </c>
      <c r="E288" s="17" t="s">
        <v>277</v>
      </c>
      <c r="F288" s="17" t="s">
        <v>404</v>
      </c>
      <c r="G288" s="298"/>
      <c r="H288" s="138"/>
      <c r="I288" s="138"/>
      <c r="J288" s="138"/>
      <c r="K288" s="138"/>
      <c r="L288" s="138"/>
      <c r="M288" s="138"/>
      <c r="N288" s="138"/>
      <c r="O288" s="139"/>
      <c r="P288" s="138"/>
      <c r="Q288" s="107"/>
      <c r="R288" s="107"/>
    </row>
    <row r="289" spans="1:18" ht="15" customHeight="1">
      <c r="A289" s="17" t="s">
        <v>61</v>
      </c>
      <c r="B289" s="17" t="s">
        <v>428</v>
      </c>
      <c r="C289" s="18" t="s">
        <v>564</v>
      </c>
      <c r="D289" s="17" t="s">
        <v>63</v>
      </c>
      <c r="E289" s="17" t="s">
        <v>294</v>
      </c>
      <c r="F289" s="17" t="s">
        <v>79</v>
      </c>
      <c r="G289" s="298"/>
      <c r="H289" s="138"/>
      <c r="I289" s="138"/>
      <c r="J289" s="138"/>
      <c r="K289" s="138"/>
      <c r="L289" s="138"/>
      <c r="M289" s="138"/>
      <c r="N289" s="138"/>
      <c r="O289" s="139"/>
      <c r="P289" s="138"/>
      <c r="Q289" s="107"/>
      <c r="R289" s="107"/>
    </row>
    <row r="290" spans="1:18" ht="15" customHeight="1">
      <c r="A290" s="17" t="s">
        <v>61</v>
      </c>
      <c r="B290" s="17" t="s">
        <v>375</v>
      </c>
      <c r="C290" s="18" t="s">
        <v>561</v>
      </c>
      <c r="D290" s="17" t="s">
        <v>63</v>
      </c>
      <c r="E290" s="17" t="s">
        <v>288</v>
      </c>
      <c r="F290" s="17" t="s">
        <v>79</v>
      </c>
      <c r="G290" s="298"/>
      <c r="H290" s="138"/>
      <c r="I290" s="138"/>
      <c r="J290" s="138"/>
      <c r="K290" s="138"/>
      <c r="L290" s="138"/>
      <c r="M290" s="138"/>
      <c r="N290" s="138"/>
      <c r="O290" s="139"/>
      <c r="P290" s="138"/>
      <c r="Q290" s="107"/>
      <c r="R290" s="107"/>
    </row>
    <row r="291" spans="1:18" ht="15" customHeight="1">
      <c r="A291" s="17" t="s">
        <v>61</v>
      </c>
      <c r="B291" s="17" t="s">
        <v>377</v>
      </c>
      <c r="C291" s="18" t="s">
        <v>562</v>
      </c>
      <c r="D291" s="17" t="s">
        <v>63</v>
      </c>
      <c r="E291" s="17" t="s">
        <v>277</v>
      </c>
      <c r="F291" s="17" t="s">
        <v>79</v>
      </c>
      <c r="G291" s="298"/>
      <c r="H291" s="138"/>
      <c r="I291" s="138"/>
      <c r="J291" s="138"/>
      <c r="K291" s="138"/>
      <c r="L291" s="138"/>
      <c r="M291" s="138"/>
      <c r="N291" s="138"/>
      <c r="O291" s="139"/>
      <c r="P291" s="138"/>
      <c r="Q291" s="107"/>
      <c r="R291" s="107"/>
    </row>
    <row r="292" spans="1:18" ht="15" customHeight="1" thickBot="1">
      <c r="A292" s="30" t="s">
        <v>61</v>
      </c>
      <c r="B292" s="30" t="s">
        <v>379</v>
      </c>
      <c r="C292" s="31" t="s">
        <v>563</v>
      </c>
      <c r="D292" s="30" t="s">
        <v>63</v>
      </c>
      <c r="E292" s="30" t="s">
        <v>294</v>
      </c>
      <c r="F292" s="30" t="s">
        <v>79</v>
      </c>
      <c r="G292" s="299"/>
      <c r="H292" s="140"/>
      <c r="I292" s="140"/>
      <c r="J292" s="140"/>
      <c r="K292" s="140"/>
      <c r="L292" s="140"/>
      <c r="M292" s="140"/>
      <c r="N292" s="140"/>
      <c r="O292" s="141"/>
      <c r="P292" s="140"/>
      <c r="Q292" s="142"/>
      <c r="R292" s="142"/>
    </row>
    <row r="293" spans="1:18" ht="17.45" customHeight="1" thickBot="1">
      <c r="A293" s="283"/>
      <c r="B293" s="284"/>
      <c r="C293" s="284"/>
      <c r="D293" s="284"/>
      <c r="E293" s="284"/>
      <c r="F293" s="284"/>
      <c r="G293" s="284"/>
      <c r="H293" s="284"/>
      <c r="I293" s="284"/>
      <c r="J293" s="284"/>
      <c r="K293" s="284"/>
      <c r="L293" s="284"/>
      <c r="M293" s="284"/>
      <c r="N293" s="284"/>
      <c r="O293" s="284"/>
      <c r="P293" s="284"/>
      <c r="Q293" s="284"/>
      <c r="R293" s="285"/>
    </row>
    <row r="294" spans="1:18" ht="22.15" customHeight="1" thickTop="1" thickBot="1">
      <c r="A294" s="279" t="s">
        <v>6</v>
      </c>
      <c r="B294" s="295"/>
      <c r="C294" s="295"/>
      <c r="D294" s="295"/>
      <c r="E294" s="295"/>
      <c r="F294" s="296"/>
      <c r="G294" s="32">
        <v>46039</v>
      </c>
      <c r="H294" s="278" t="s">
        <v>7</v>
      </c>
      <c r="I294" s="295"/>
      <c r="J294" s="295"/>
      <c r="K294" s="295"/>
      <c r="L294" s="295"/>
      <c r="M294" s="295"/>
      <c r="N294" s="295"/>
      <c r="O294" s="295"/>
      <c r="P294" s="295"/>
      <c r="Q294" s="295"/>
      <c r="R294" s="296"/>
    </row>
    <row r="295" spans="1:18" ht="24" customHeight="1">
      <c r="A295" s="33" t="s">
        <v>8</v>
      </c>
      <c r="B295" s="33" t="s">
        <v>9</v>
      </c>
      <c r="C295" s="34" t="s">
        <v>10</v>
      </c>
      <c r="D295" s="33" t="s">
        <v>11</v>
      </c>
      <c r="E295" s="33" t="s">
        <v>12</v>
      </c>
      <c r="F295" s="35" t="s">
        <v>13</v>
      </c>
      <c r="G295" s="36" t="s">
        <v>14</v>
      </c>
      <c r="H295" s="33" t="s">
        <v>15</v>
      </c>
      <c r="I295" s="37" t="s">
        <v>16</v>
      </c>
      <c r="J295" s="38" t="s">
        <v>17</v>
      </c>
      <c r="K295" s="39" t="s">
        <v>18</v>
      </c>
      <c r="L295" s="38" t="s">
        <v>19</v>
      </c>
      <c r="M295" s="38" t="s">
        <v>20</v>
      </c>
      <c r="N295" s="38" t="s">
        <v>21</v>
      </c>
      <c r="O295" s="33" t="s">
        <v>22</v>
      </c>
      <c r="P295" s="34" t="s">
        <v>23</v>
      </c>
      <c r="Q295" s="38" t="s">
        <v>24</v>
      </c>
      <c r="R295" s="33" t="s">
        <v>25</v>
      </c>
    </row>
    <row r="296" spans="1:18" ht="15" customHeight="1">
      <c r="A296" s="58" t="s">
        <v>61</v>
      </c>
      <c r="B296" s="58" t="s">
        <v>707</v>
      </c>
      <c r="C296" s="59">
        <v>0.30208333333333331</v>
      </c>
      <c r="D296" s="58" t="s">
        <v>63</v>
      </c>
      <c r="E296" s="58" t="s">
        <v>143</v>
      </c>
      <c r="F296" s="58" t="s">
        <v>708</v>
      </c>
      <c r="G296" s="297"/>
      <c r="H296" s="60" t="s">
        <v>709</v>
      </c>
      <c r="I296" s="61">
        <v>1.11E-2</v>
      </c>
      <c r="J296" s="62">
        <v>2</v>
      </c>
      <c r="K296" s="63">
        <v>46343</v>
      </c>
      <c r="L296" s="62">
        <v>2</v>
      </c>
      <c r="M296" s="62">
        <v>0</v>
      </c>
      <c r="N296" s="62">
        <v>0</v>
      </c>
      <c r="O296" s="64" t="s">
        <v>298</v>
      </c>
      <c r="P296" s="65">
        <v>0.30208333333333331</v>
      </c>
      <c r="Q296" s="62">
        <v>180</v>
      </c>
      <c r="R296" s="66" t="s">
        <v>298</v>
      </c>
    </row>
    <row r="297" spans="1:18" ht="15" customHeight="1">
      <c r="A297" s="148" t="s">
        <v>61</v>
      </c>
      <c r="B297" s="148" t="s">
        <v>715</v>
      </c>
      <c r="C297" s="149">
        <v>0.1423611111111111</v>
      </c>
      <c r="D297" s="148" t="s">
        <v>63</v>
      </c>
      <c r="E297" s="148" t="s">
        <v>91</v>
      </c>
      <c r="F297" s="148" t="s">
        <v>708</v>
      </c>
      <c r="G297" s="298"/>
      <c r="H297" s="51" t="s">
        <v>716</v>
      </c>
      <c r="I297" s="52">
        <v>1.11E-2</v>
      </c>
      <c r="J297" s="53">
        <v>2</v>
      </c>
      <c r="K297" s="54">
        <v>46343</v>
      </c>
      <c r="L297" s="53">
        <v>2</v>
      </c>
      <c r="M297" s="53">
        <v>0</v>
      </c>
      <c r="N297" s="53">
        <v>0</v>
      </c>
      <c r="O297" s="55" t="s">
        <v>298</v>
      </c>
      <c r="P297" s="56">
        <v>0.1423611111111111</v>
      </c>
      <c r="Q297" s="53">
        <v>180</v>
      </c>
      <c r="R297" s="57" t="s">
        <v>298</v>
      </c>
    </row>
    <row r="298" spans="1:18" ht="15" customHeight="1">
      <c r="A298" s="156" t="s">
        <v>61</v>
      </c>
      <c r="B298" s="156" t="s">
        <v>710</v>
      </c>
      <c r="C298" s="157">
        <v>0.52777777777777779</v>
      </c>
      <c r="D298" s="156" t="s">
        <v>63</v>
      </c>
      <c r="E298" s="156" t="s">
        <v>134</v>
      </c>
      <c r="F298" s="156" t="s">
        <v>711</v>
      </c>
      <c r="G298" s="298"/>
      <c r="H298" s="42" t="s">
        <v>712</v>
      </c>
      <c r="I298" s="43">
        <v>3.8899999999999997E-2</v>
      </c>
      <c r="J298" s="44">
        <v>7</v>
      </c>
      <c r="K298" s="45">
        <v>46344</v>
      </c>
      <c r="L298" s="44">
        <v>7</v>
      </c>
      <c r="M298" s="44">
        <v>0</v>
      </c>
      <c r="N298" s="44">
        <v>0</v>
      </c>
      <c r="O298" s="46" t="s">
        <v>128</v>
      </c>
      <c r="P298" s="47">
        <v>0.52777777777777779</v>
      </c>
      <c r="Q298" s="44">
        <v>180</v>
      </c>
      <c r="R298" s="48" t="s">
        <v>734</v>
      </c>
    </row>
    <row r="299" spans="1:18" ht="15" customHeight="1">
      <c r="A299" s="19" t="s">
        <v>68</v>
      </c>
      <c r="B299" s="19" t="s">
        <v>713</v>
      </c>
      <c r="C299" s="20">
        <v>0.30208333333333331</v>
      </c>
      <c r="D299" s="19" t="s">
        <v>643</v>
      </c>
      <c r="E299" s="19" t="s">
        <v>29</v>
      </c>
      <c r="F299" s="19" t="s">
        <v>714</v>
      </c>
      <c r="G299" s="298"/>
      <c r="H299" s="10"/>
      <c r="I299" s="11"/>
      <c r="J299" s="11"/>
      <c r="K299" s="11"/>
      <c r="L299" s="11"/>
      <c r="M299" s="11"/>
      <c r="N299" s="11"/>
      <c r="O299" s="12"/>
      <c r="P299" s="11"/>
      <c r="Q299" s="13"/>
      <c r="R299" s="14"/>
    </row>
    <row r="300" spans="1:18" ht="18">
      <c r="A300" s="292" t="s">
        <v>615</v>
      </c>
      <c r="B300" s="303"/>
      <c r="C300" s="303"/>
      <c r="D300" s="303"/>
      <c r="E300" s="303"/>
      <c r="F300" s="304"/>
      <c r="G300" s="298"/>
      <c r="H300" s="138"/>
      <c r="I300" s="138"/>
      <c r="J300" s="138"/>
      <c r="K300" s="138"/>
      <c r="L300" s="138"/>
      <c r="M300" s="138"/>
      <c r="N300" s="138"/>
      <c r="O300" s="139"/>
      <c r="P300" s="138"/>
      <c r="Q300" s="107"/>
      <c r="R300" s="107"/>
    </row>
    <row r="301" spans="1:18" ht="15" customHeight="1">
      <c r="A301" s="17" t="s">
        <v>38</v>
      </c>
      <c r="B301" s="17" t="s">
        <v>346</v>
      </c>
      <c r="C301" s="18" t="s">
        <v>600</v>
      </c>
      <c r="D301" s="17" t="s">
        <v>40</v>
      </c>
      <c r="E301" s="17" t="s">
        <v>652</v>
      </c>
      <c r="F301" s="17" t="s">
        <v>121</v>
      </c>
      <c r="G301" s="298"/>
      <c r="H301" s="138"/>
      <c r="I301" s="138"/>
      <c r="J301" s="138"/>
      <c r="K301" s="138"/>
      <c r="L301" s="138"/>
      <c r="M301" s="138"/>
      <c r="N301" s="138"/>
      <c r="O301" s="139"/>
      <c r="P301" s="138"/>
      <c r="Q301" s="107"/>
      <c r="R301" s="107"/>
    </row>
    <row r="302" spans="1:18" ht="15" customHeight="1">
      <c r="A302" s="17" t="s">
        <v>359</v>
      </c>
      <c r="B302" s="17" t="s">
        <v>360</v>
      </c>
      <c r="C302" s="18" t="s">
        <v>599</v>
      </c>
      <c r="D302" s="17" t="s">
        <v>361</v>
      </c>
      <c r="E302" s="17" t="s">
        <v>270</v>
      </c>
      <c r="F302" s="17" t="s">
        <v>504</v>
      </c>
      <c r="G302" s="298"/>
      <c r="H302" s="138"/>
      <c r="I302" s="138"/>
      <c r="J302" s="138"/>
      <c r="K302" s="138"/>
      <c r="L302" s="138"/>
      <c r="M302" s="138"/>
      <c r="N302" s="138"/>
      <c r="O302" s="139"/>
      <c r="P302" s="138"/>
      <c r="Q302" s="107"/>
      <c r="R302" s="107"/>
    </row>
    <row r="303" spans="1:18" ht="15" customHeight="1">
      <c r="A303" s="17" t="s">
        <v>359</v>
      </c>
      <c r="B303" s="17" t="s">
        <v>445</v>
      </c>
      <c r="C303" s="18" t="s">
        <v>635</v>
      </c>
      <c r="D303" s="17" t="s">
        <v>361</v>
      </c>
      <c r="E303" s="17" t="s">
        <v>270</v>
      </c>
      <c r="F303" s="17" t="s">
        <v>504</v>
      </c>
      <c r="G303" s="298"/>
      <c r="H303" s="138"/>
      <c r="I303" s="138"/>
      <c r="J303" s="138"/>
      <c r="K303" s="138"/>
      <c r="L303" s="138"/>
      <c r="M303" s="138"/>
      <c r="N303" s="138"/>
      <c r="O303" s="139"/>
      <c r="P303" s="138"/>
      <c r="Q303" s="107"/>
      <c r="R303" s="107"/>
    </row>
    <row r="304" spans="1:18" ht="15" customHeight="1">
      <c r="A304" s="17" t="s">
        <v>402</v>
      </c>
      <c r="B304" s="17" t="s">
        <v>403</v>
      </c>
      <c r="C304" s="18" t="s">
        <v>662</v>
      </c>
      <c r="D304" s="17" t="s">
        <v>63</v>
      </c>
      <c r="E304" s="17" t="s">
        <v>286</v>
      </c>
      <c r="F304" s="17" t="s">
        <v>404</v>
      </c>
      <c r="G304" s="298"/>
      <c r="H304" s="138"/>
      <c r="I304" s="138"/>
      <c r="J304" s="138"/>
      <c r="K304" s="138"/>
      <c r="L304" s="138"/>
      <c r="M304" s="138"/>
      <c r="N304" s="138"/>
      <c r="O304" s="139"/>
      <c r="P304" s="138"/>
      <c r="Q304" s="107"/>
      <c r="R304" s="107"/>
    </row>
    <row r="305" spans="1:18" ht="15" customHeight="1">
      <c r="A305" s="17" t="s">
        <v>38</v>
      </c>
      <c r="B305" s="17" t="s">
        <v>345</v>
      </c>
      <c r="C305" s="18" t="s">
        <v>594</v>
      </c>
      <c r="D305" s="17" t="s">
        <v>40</v>
      </c>
      <c r="E305" s="17" t="s">
        <v>312</v>
      </c>
      <c r="F305" s="17" t="s">
        <v>426</v>
      </c>
      <c r="G305" s="298"/>
      <c r="H305" s="138"/>
      <c r="I305" s="138"/>
      <c r="J305" s="138"/>
      <c r="K305" s="138"/>
      <c r="L305" s="138"/>
      <c r="M305" s="138"/>
      <c r="N305" s="138"/>
      <c r="O305" s="139"/>
      <c r="P305" s="138"/>
      <c r="Q305" s="107"/>
      <c r="R305" s="107"/>
    </row>
    <row r="306" spans="1:18" ht="15" customHeight="1">
      <c r="A306" s="17" t="s">
        <v>26</v>
      </c>
      <c r="B306" s="17" t="s">
        <v>357</v>
      </c>
      <c r="C306" s="18" t="s">
        <v>675</v>
      </c>
      <c r="D306" s="17" t="s">
        <v>28</v>
      </c>
      <c r="E306" s="17" t="s">
        <v>636</v>
      </c>
      <c r="F306" s="17" t="s">
        <v>45</v>
      </c>
      <c r="G306" s="298"/>
      <c r="H306" s="138"/>
      <c r="I306" s="138"/>
      <c r="J306" s="138"/>
      <c r="K306" s="138"/>
      <c r="L306" s="138"/>
      <c r="M306" s="138"/>
      <c r="N306" s="138"/>
      <c r="O306" s="139"/>
      <c r="P306" s="138"/>
      <c r="Q306" s="107"/>
      <c r="R306" s="107"/>
    </row>
    <row r="307" spans="1:18" ht="15" customHeight="1">
      <c r="A307" s="17" t="s">
        <v>61</v>
      </c>
      <c r="B307" s="17" t="s">
        <v>371</v>
      </c>
      <c r="C307" s="18" t="s">
        <v>566</v>
      </c>
      <c r="D307" s="17" t="s">
        <v>63</v>
      </c>
      <c r="E307" s="17" t="s">
        <v>277</v>
      </c>
      <c r="F307" s="17" t="s">
        <v>449</v>
      </c>
      <c r="G307" s="298"/>
      <c r="H307" s="138"/>
      <c r="I307" s="138"/>
      <c r="J307" s="138"/>
      <c r="K307" s="138"/>
      <c r="L307" s="138"/>
      <c r="M307" s="138"/>
      <c r="N307" s="138"/>
      <c r="O307" s="139"/>
      <c r="P307" s="138"/>
      <c r="Q307" s="107"/>
      <c r="R307" s="107"/>
    </row>
    <row r="308" spans="1:18" ht="15" customHeight="1">
      <c r="A308" s="17" t="s">
        <v>61</v>
      </c>
      <c r="B308" s="17" t="s">
        <v>375</v>
      </c>
      <c r="C308" s="18" t="s">
        <v>553</v>
      </c>
      <c r="D308" s="17" t="s">
        <v>63</v>
      </c>
      <c r="E308" s="17" t="s">
        <v>269</v>
      </c>
      <c r="F308" s="17" t="s">
        <v>449</v>
      </c>
      <c r="G308" s="298"/>
      <c r="H308" s="138"/>
      <c r="I308" s="138"/>
      <c r="J308" s="138"/>
      <c r="K308" s="138"/>
      <c r="L308" s="138"/>
      <c r="M308" s="138"/>
      <c r="N308" s="138"/>
      <c r="O308" s="139"/>
      <c r="P308" s="138"/>
      <c r="Q308" s="107"/>
      <c r="R308" s="107"/>
    </row>
    <row r="309" spans="1:18" ht="15" customHeight="1">
      <c r="A309" s="17" t="s">
        <v>38</v>
      </c>
      <c r="B309" s="17" t="s">
        <v>342</v>
      </c>
      <c r="C309" s="18" t="s">
        <v>592</v>
      </c>
      <c r="D309" s="17" t="s">
        <v>40</v>
      </c>
      <c r="E309" s="17" t="s">
        <v>275</v>
      </c>
      <c r="F309" s="17" t="s">
        <v>138</v>
      </c>
      <c r="G309" s="298"/>
      <c r="H309" s="138"/>
      <c r="I309" s="138"/>
      <c r="J309" s="138"/>
      <c r="K309" s="138"/>
      <c r="L309" s="138"/>
      <c r="M309" s="138"/>
      <c r="N309" s="138"/>
      <c r="O309" s="139"/>
      <c r="P309" s="138"/>
      <c r="Q309" s="107"/>
      <c r="R309" s="107"/>
    </row>
    <row r="310" spans="1:18" ht="15" customHeight="1" thickBot="1">
      <c r="A310" s="30" t="s">
        <v>38</v>
      </c>
      <c r="B310" s="30" t="s">
        <v>346</v>
      </c>
      <c r="C310" s="31" t="s">
        <v>600</v>
      </c>
      <c r="D310" s="30" t="s">
        <v>43</v>
      </c>
      <c r="E310" s="30" t="s">
        <v>652</v>
      </c>
      <c r="F310" s="30" t="s">
        <v>123</v>
      </c>
      <c r="G310" s="299"/>
      <c r="H310" s="140"/>
      <c r="I310" s="140"/>
      <c r="J310" s="140"/>
      <c r="K310" s="140"/>
      <c r="L310" s="140"/>
      <c r="M310" s="140"/>
      <c r="N310" s="140"/>
      <c r="O310" s="141"/>
      <c r="P310" s="140"/>
      <c r="Q310" s="142"/>
      <c r="R310" s="142"/>
    </row>
    <row r="311" spans="1:18" ht="17.45" customHeight="1" thickBot="1">
      <c r="A311" s="283"/>
      <c r="B311" s="284"/>
      <c r="C311" s="284"/>
      <c r="D311" s="284"/>
      <c r="E311" s="284"/>
      <c r="F311" s="284"/>
      <c r="G311" s="284"/>
      <c r="H311" s="284"/>
      <c r="I311" s="284"/>
      <c r="J311" s="284"/>
      <c r="K311" s="284"/>
      <c r="L311" s="284"/>
      <c r="M311" s="284"/>
      <c r="N311" s="284"/>
      <c r="O311" s="284"/>
      <c r="P311" s="284"/>
      <c r="Q311" s="284"/>
      <c r="R311" s="285"/>
    </row>
    <row r="312" spans="1:18" ht="22.15" customHeight="1" thickTop="1" thickBot="1">
      <c r="A312" s="279" t="s">
        <v>6</v>
      </c>
      <c r="B312" s="295"/>
      <c r="C312" s="295"/>
      <c r="D312" s="295"/>
      <c r="E312" s="295"/>
      <c r="F312" s="296"/>
      <c r="G312" s="32">
        <v>46040</v>
      </c>
      <c r="H312" s="278" t="s">
        <v>7</v>
      </c>
      <c r="I312" s="295"/>
      <c r="J312" s="295"/>
      <c r="K312" s="295"/>
      <c r="L312" s="295"/>
      <c r="M312" s="295"/>
      <c r="N312" s="295"/>
      <c r="O312" s="295"/>
      <c r="P312" s="295"/>
      <c r="Q312" s="295"/>
      <c r="R312" s="296"/>
    </row>
    <row r="313" spans="1:18" ht="24" customHeight="1">
      <c r="A313" s="33" t="s">
        <v>8</v>
      </c>
      <c r="B313" s="33" t="s">
        <v>9</v>
      </c>
      <c r="C313" s="34" t="s">
        <v>10</v>
      </c>
      <c r="D313" s="33" t="s">
        <v>11</v>
      </c>
      <c r="E313" s="33" t="s">
        <v>12</v>
      </c>
      <c r="F313" s="35" t="s">
        <v>13</v>
      </c>
      <c r="G313" s="36" t="s">
        <v>14</v>
      </c>
      <c r="H313" s="33" t="s">
        <v>15</v>
      </c>
      <c r="I313" s="37" t="s">
        <v>16</v>
      </c>
      <c r="J313" s="38" t="s">
        <v>17</v>
      </c>
      <c r="K313" s="39" t="s">
        <v>18</v>
      </c>
      <c r="L313" s="38" t="s">
        <v>19</v>
      </c>
      <c r="M313" s="38" t="s">
        <v>20</v>
      </c>
      <c r="N313" s="38" t="s">
        <v>21</v>
      </c>
      <c r="O313" s="33" t="s">
        <v>22</v>
      </c>
      <c r="P313" s="34" t="s">
        <v>23</v>
      </c>
      <c r="Q313" s="38" t="s">
        <v>24</v>
      </c>
      <c r="R313" s="33" t="s">
        <v>25</v>
      </c>
    </row>
    <row r="314" spans="1:18" ht="15" customHeight="1">
      <c r="A314" s="58" t="s">
        <v>61</v>
      </c>
      <c r="B314" s="58" t="s">
        <v>710</v>
      </c>
      <c r="C314" s="59">
        <v>0.69097222222222221</v>
      </c>
      <c r="D314" s="58" t="s">
        <v>63</v>
      </c>
      <c r="E314" s="58" t="s">
        <v>126</v>
      </c>
      <c r="F314" s="58" t="s">
        <v>708</v>
      </c>
      <c r="G314" s="297"/>
      <c r="H314" s="60" t="s">
        <v>712</v>
      </c>
      <c r="I314" s="61">
        <v>2.2200000000000001E-2</v>
      </c>
      <c r="J314" s="62">
        <v>4</v>
      </c>
      <c r="K314" s="63">
        <v>46329</v>
      </c>
      <c r="L314" s="62">
        <v>4</v>
      </c>
      <c r="M314" s="62">
        <v>0</v>
      </c>
      <c r="N314" s="62">
        <v>0</v>
      </c>
      <c r="O314" s="64" t="s">
        <v>304</v>
      </c>
      <c r="P314" s="65">
        <v>0.69097222222222221</v>
      </c>
      <c r="Q314" s="62">
        <v>180</v>
      </c>
      <c r="R314" s="66" t="s">
        <v>735</v>
      </c>
    </row>
    <row r="315" spans="1:18" ht="15" customHeight="1">
      <c r="A315" s="148" t="s">
        <v>61</v>
      </c>
      <c r="B315" s="148" t="s">
        <v>715</v>
      </c>
      <c r="C315" s="149">
        <v>0.3298611111111111</v>
      </c>
      <c r="D315" s="148" t="s">
        <v>63</v>
      </c>
      <c r="E315" s="148" t="s">
        <v>37</v>
      </c>
      <c r="F315" s="148" t="s">
        <v>708</v>
      </c>
      <c r="G315" s="298"/>
      <c r="H315" s="51" t="s">
        <v>716</v>
      </c>
      <c r="I315" s="52">
        <v>0</v>
      </c>
      <c r="J315" s="53">
        <v>0</v>
      </c>
      <c r="K315" s="54" t="s">
        <v>66</v>
      </c>
      <c r="L315" s="53">
        <v>0</v>
      </c>
      <c r="M315" s="53">
        <v>0</v>
      </c>
      <c r="N315" s="53">
        <v>0</v>
      </c>
      <c r="O315" s="55" t="s">
        <v>307</v>
      </c>
      <c r="P315" s="56">
        <v>0.3298611111111111</v>
      </c>
      <c r="Q315" s="53">
        <v>180</v>
      </c>
      <c r="R315" s="57" t="s">
        <v>66</v>
      </c>
    </row>
    <row r="316" spans="1:18" ht="15" customHeight="1">
      <c r="A316" s="19" t="s">
        <v>38</v>
      </c>
      <c r="B316" s="19" t="s">
        <v>719</v>
      </c>
      <c r="C316" s="20">
        <v>0.36458333333333331</v>
      </c>
      <c r="D316" s="19" t="s">
        <v>622</v>
      </c>
      <c r="E316" s="19" t="s">
        <v>482</v>
      </c>
      <c r="F316" s="19" t="s">
        <v>426</v>
      </c>
      <c r="G316" s="298"/>
      <c r="H316" s="10"/>
      <c r="I316" s="11"/>
      <c r="J316" s="11"/>
      <c r="K316" s="11"/>
      <c r="L316" s="11"/>
      <c r="M316" s="11"/>
      <c r="N316" s="11"/>
      <c r="O316" s="12"/>
      <c r="P316" s="11"/>
      <c r="Q316" s="13"/>
      <c r="R316" s="14"/>
    </row>
    <row r="317" spans="1:18" ht="15" customHeight="1">
      <c r="A317" s="15" t="s">
        <v>38</v>
      </c>
      <c r="B317" s="15" t="s">
        <v>719</v>
      </c>
      <c r="C317" s="16">
        <v>0.36458333333333331</v>
      </c>
      <c r="D317" s="15" t="s">
        <v>603</v>
      </c>
      <c r="E317" s="15" t="s">
        <v>483</v>
      </c>
      <c r="F317" s="15" t="s">
        <v>647</v>
      </c>
      <c r="G317" s="298"/>
      <c r="H317" s="10"/>
      <c r="I317" s="11"/>
      <c r="J317" s="11"/>
      <c r="K317" s="11"/>
      <c r="L317" s="11"/>
      <c r="M317" s="11"/>
      <c r="N317" s="11"/>
      <c r="O317" s="12"/>
      <c r="P317" s="11"/>
      <c r="Q317" s="13"/>
      <c r="R317" s="14"/>
    </row>
    <row r="318" spans="1:18" ht="15" customHeight="1">
      <c r="A318" s="15" t="s">
        <v>38</v>
      </c>
      <c r="B318" s="15" t="s">
        <v>719</v>
      </c>
      <c r="C318" s="16">
        <v>0.36458333333333331</v>
      </c>
      <c r="D318" s="15" t="s">
        <v>605</v>
      </c>
      <c r="E318" s="15" t="s">
        <v>483</v>
      </c>
      <c r="F318" s="15" t="s">
        <v>736</v>
      </c>
      <c r="G318" s="298"/>
      <c r="H318" s="10"/>
      <c r="I318" s="11"/>
      <c r="J318" s="11"/>
      <c r="K318" s="11"/>
      <c r="L318" s="11"/>
      <c r="M318" s="11"/>
      <c r="N318" s="11"/>
      <c r="O318" s="12"/>
      <c r="P318" s="11"/>
      <c r="Q318" s="13"/>
      <c r="R318" s="14"/>
    </row>
    <row r="319" spans="1:18" ht="15" customHeight="1">
      <c r="A319" s="15" t="s">
        <v>38</v>
      </c>
      <c r="B319" s="15" t="s">
        <v>719</v>
      </c>
      <c r="C319" s="16">
        <v>0.36458333333333331</v>
      </c>
      <c r="D319" s="15" t="s">
        <v>625</v>
      </c>
      <c r="E319" s="15" t="s">
        <v>483</v>
      </c>
      <c r="F319" s="15" t="s">
        <v>455</v>
      </c>
      <c r="G319" s="298"/>
      <c r="H319" s="10"/>
      <c r="I319" s="11"/>
      <c r="J319" s="11"/>
      <c r="K319" s="11"/>
      <c r="L319" s="11"/>
      <c r="M319" s="11"/>
      <c r="N319" s="11"/>
      <c r="O319" s="12"/>
      <c r="P319" s="11"/>
      <c r="Q319" s="13"/>
      <c r="R319" s="14"/>
    </row>
    <row r="320" spans="1:18" ht="18">
      <c r="A320" s="292" t="s">
        <v>615</v>
      </c>
      <c r="B320" s="303"/>
      <c r="C320" s="303"/>
      <c r="D320" s="303"/>
      <c r="E320" s="303"/>
      <c r="F320" s="304"/>
      <c r="G320" s="298"/>
      <c r="H320" s="138"/>
      <c r="I320" s="138"/>
      <c r="J320" s="138"/>
      <c r="K320" s="138"/>
      <c r="L320" s="138"/>
      <c r="M320" s="138"/>
      <c r="N320" s="138"/>
      <c r="O320" s="139"/>
      <c r="P320" s="138"/>
      <c r="Q320" s="107"/>
      <c r="R320" s="107"/>
    </row>
    <row r="321" spans="1:18" ht="15" customHeight="1">
      <c r="A321" s="17" t="s">
        <v>38</v>
      </c>
      <c r="B321" s="17" t="s">
        <v>346</v>
      </c>
      <c r="C321" s="18" t="s">
        <v>600</v>
      </c>
      <c r="D321" s="17" t="s">
        <v>40</v>
      </c>
      <c r="E321" s="17" t="s">
        <v>275</v>
      </c>
      <c r="F321" s="17" t="s">
        <v>347</v>
      </c>
      <c r="G321" s="298"/>
      <c r="H321" s="138"/>
      <c r="I321" s="138"/>
      <c r="J321" s="138"/>
      <c r="K321" s="138"/>
      <c r="L321" s="138"/>
      <c r="M321" s="138"/>
      <c r="N321" s="138"/>
      <c r="O321" s="139"/>
      <c r="P321" s="138"/>
      <c r="Q321" s="107"/>
      <c r="R321" s="107"/>
    </row>
    <row r="322" spans="1:18" ht="15" customHeight="1">
      <c r="A322" s="17" t="s">
        <v>38</v>
      </c>
      <c r="B322" s="17" t="s">
        <v>342</v>
      </c>
      <c r="C322" s="18" t="s">
        <v>592</v>
      </c>
      <c r="D322" s="17" t="s">
        <v>40</v>
      </c>
      <c r="E322" s="17" t="s">
        <v>268</v>
      </c>
      <c r="F322" s="17" t="s">
        <v>347</v>
      </c>
      <c r="G322" s="298"/>
      <c r="H322" s="138"/>
      <c r="I322" s="138"/>
      <c r="J322" s="138"/>
      <c r="K322" s="138"/>
      <c r="L322" s="138"/>
      <c r="M322" s="138"/>
      <c r="N322" s="138"/>
      <c r="O322" s="139"/>
      <c r="P322" s="138"/>
      <c r="Q322" s="107"/>
      <c r="R322" s="107"/>
    </row>
    <row r="323" spans="1:18" ht="15" customHeight="1">
      <c r="A323" s="17" t="s">
        <v>359</v>
      </c>
      <c r="B323" s="17" t="s">
        <v>360</v>
      </c>
      <c r="C323" s="18" t="s">
        <v>257</v>
      </c>
      <c r="D323" s="17" t="s">
        <v>361</v>
      </c>
      <c r="E323" s="17" t="s">
        <v>270</v>
      </c>
      <c r="F323" s="17" t="s">
        <v>504</v>
      </c>
      <c r="G323" s="298"/>
      <c r="H323" s="138"/>
      <c r="I323" s="138"/>
      <c r="J323" s="138"/>
      <c r="K323" s="138"/>
      <c r="L323" s="138"/>
      <c r="M323" s="138"/>
      <c r="N323" s="138"/>
      <c r="O323" s="139"/>
      <c r="P323" s="138"/>
      <c r="Q323" s="107"/>
      <c r="R323" s="107"/>
    </row>
    <row r="324" spans="1:18" ht="15" customHeight="1">
      <c r="A324" s="17" t="s">
        <v>38</v>
      </c>
      <c r="B324" s="17" t="s">
        <v>345</v>
      </c>
      <c r="C324" s="18" t="s">
        <v>594</v>
      </c>
      <c r="D324" s="17" t="s">
        <v>40</v>
      </c>
      <c r="E324" s="17" t="s">
        <v>275</v>
      </c>
      <c r="F324" s="17" t="s">
        <v>349</v>
      </c>
      <c r="G324" s="298"/>
      <c r="H324" s="138"/>
      <c r="I324" s="138"/>
      <c r="J324" s="138"/>
      <c r="K324" s="138"/>
      <c r="L324" s="138"/>
      <c r="M324" s="138"/>
      <c r="N324" s="138"/>
      <c r="O324" s="139"/>
      <c r="P324" s="138"/>
      <c r="Q324" s="107"/>
      <c r="R324" s="107"/>
    </row>
    <row r="325" spans="1:18" ht="15" customHeight="1">
      <c r="A325" s="17" t="s">
        <v>402</v>
      </c>
      <c r="B325" s="17" t="s">
        <v>403</v>
      </c>
      <c r="C325" s="18" t="s">
        <v>662</v>
      </c>
      <c r="D325" s="17" t="s">
        <v>63</v>
      </c>
      <c r="E325" s="17" t="s">
        <v>277</v>
      </c>
      <c r="F325" s="17" t="s">
        <v>404</v>
      </c>
      <c r="G325" s="298"/>
      <c r="H325" s="138"/>
      <c r="I325" s="138"/>
      <c r="J325" s="138"/>
      <c r="K325" s="138"/>
      <c r="L325" s="138"/>
      <c r="M325" s="138"/>
      <c r="N325" s="138"/>
      <c r="O325" s="139"/>
      <c r="P325" s="138"/>
      <c r="Q325" s="107"/>
      <c r="R325" s="107"/>
    </row>
    <row r="326" spans="1:18" ht="15" customHeight="1">
      <c r="A326" s="17" t="s">
        <v>402</v>
      </c>
      <c r="B326" s="17" t="s">
        <v>465</v>
      </c>
      <c r="C326" s="18" t="s">
        <v>676</v>
      </c>
      <c r="D326" s="17" t="s">
        <v>63</v>
      </c>
      <c r="E326" s="17" t="s">
        <v>277</v>
      </c>
      <c r="F326" s="17" t="s">
        <v>404</v>
      </c>
      <c r="G326" s="298"/>
      <c r="H326" s="138"/>
      <c r="I326" s="138"/>
      <c r="J326" s="138"/>
      <c r="K326" s="138"/>
      <c r="L326" s="138"/>
      <c r="M326" s="138"/>
      <c r="N326" s="138"/>
      <c r="O326" s="139"/>
      <c r="P326" s="138"/>
      <c r="Q326" s="107"/>
      <c r="R326" s="107"/>
    </row>
    <row r="327" spans="1:18" ht="15" customHeight="1">
      <c r="A327" s="17" t="s">
        <v>61</v>
      </c>
      <c r="B327" s="17" t="s">
        <v>369</v>
      </c>
      <c r="C327" s="18" t="s">
        <v>553</v>
      </c>
      <c r="D327" s="17" t="s">
        <v>63</v>
      </c>
      <c r="E327" s="17" t="s">
        <v>269</v>
      </c>
      <c r="F327" s="17" t="s">
        <v>79</v>
      </c>
      <c r="G327" s="298"/>
      <c r="H327" s="138"/>
      <c r="I327" s="138"/>
      <c r="J327" s="138"/>
      <c r="K327" s="138"/>
      <c r="L327" s="138"/>
      <c r="M327" s="138"/>
      <c r="N327" s="138"/>
      <c r="O327" s="139"/>
      <c r="P327" s="138"/>
      <c r="Q327" s="107"/>
      <c r="R327" s="107"/>
    </row>
    <row r="328" spans="1:18" ht="15" customHeight="1">
      <c r="A328" s="17" t="s">
        <v>61</v>
      </c>
      <c r="B328" s="17" t="s">
        <v>432</v>
      </c>
      <c r="C328" s="18" t="s">
        <v>572</v>
      </c>
      <c r="D328" s="17" t="s">
        <v>63</v>
      </c>
      <c r="E328" s="17" t="s">
        <v>303</v>
      </c>
      <c r="F328" s="17" t="s">
        <v>79</v>
      </c>
      <c r="G328" s="298"/>
      <c r="H328" s="138"/>
      <c r="I328" s="138"/>
      <c r="J328" s="138"/>
      <c r="K328" s="138"/>
      <c r="L328" s="138"/>
      <c r="M328" s="138"/>
      <c r="N328" s="138"/>
      <c r="O328" s="139"/>
      <c r="P328" s="138"/>
      <c r="Q328" s="107"/>
      <c r="R328" s="107"/>
    </row>
    <row r="329" spans="1:18" ht="15" customHeight="1">
      <c r="A329" s="17" t="s">
        <v>61</v>
      </c>
      <c r="B329" s="17" t="s">
        <v>377</v>
      </c>
      <c r="C329" s="18" t="s">
        <v>573</v>
      </c>
      <c r="D329" s="17" t="s">
        <v>63</v>
      </c>
      <c r="E329" s="17" t="s">
        <v>288</v>
      </c>
      <c r="F329" s="17" t="s">
        <v>79</v>
      </c>
      <c r="G329" s="298"/>
      <c r="H329" s="138"/>
      <c r="I329" s="138"/>
      <c r="J329" s="138"/>
      <c r="K329" s="138"/>
      <c r="L329" s="138"/>
      <c r="M329" s="138"/>
      <c r="N329" s="138"/>
      <c r="O329" s="139"/>
      <c r="P329" s="138"/>
      <c r="Q329" s="107"/>
      <c r="R329" s="107"/>
    </row>
    <row r="330" spans="1:18" ht="15" customHeight="1" thickBot="1">
      <c r="A330" s="30" t="s">
        <v>61</v>
      </c>
      <c r="B330" s="30" t="s">
        <v>379</v>
      </c>
      <c r="C330" s="31" t="s">
        <v>574</v>
      </c>
      <c r="D330" s="30" t="s">
        <v>63</v>
      </c>
      <c r="E330" s="30" t="s">
        <v>288</v>
      </c>
      <c r="F330" s="30" t="s">
        <v>79</v>
      </c>
      <c r="G330" s="299"/>
      <c r="H330" s="140"/>
      <c r="I330" s="140"/>
      <c r="J330" s="140"/>
      <c r="K330" s="140"/>
      <c r="L330" s="140"/>
      <c r="M330" s="140"/>
      <c r="N330" s="140"/>
      <c r="O330" s="141"/>
      <c r="P330" s="140"/>
      <c r="Q330" s="142"/>
      <c r="R330" s="142"/>
    </row>
    <row r="331" spans="1:18" ht="17.45" customHeight="1" thickBot="1">
      <c r="A331" s="283"/>
      <c r="B331" s="284"/>
      <c r="C331" s="284"/>
      <c r="D331" s="284"/>
      <c r="E331" s="284"/>
      <c r="F331" s="284"/>
      <c r="G331" s="284"/>
      <c r="H331" s="284"/>
      <c r="I331" s="284"/>
      <c r="J331" s="284"/>
      <c r="K331" s="284"/>
      <c r="L331" s="284"/>
      <c r="M331" s="284"/>
      <c r="N331" s="284"/>
      <c r="O331" s="284"/>
      <c r="P331" s="284"/>
      <c r="Q331" s="284"/>
      <c r="R331" s="285"/>
    </row>
    <row r="332" spans="1:18" ht="22.15" customHeight="1" thickTop="1" thickBot="1">
      <c r="A332" s="279" t="s">
        <v>6</v>
      </c>
      <c r="B332" s="295"/>
      <c r="C332" s="295"/>
      <c r="D332" s="295"/>
      <c r="E332" s="295"/>
      <c r="F332" s="296"/>
      <c r="G332" s="32">
        <v>46041</v>
      </c>
      <c r="H332" s="278" t="s">
        <v>7</v>
      </c>
      <c r="I332" s="295"/>
      <c r="J332" s="295"/>
      <c r="K332" s="295"/>
      <c r="L332" s="295"/>
      <c r="M332" s="295"/>
      <c r="N332" s="295"/>
      <c r="O332" s="295"/>
      <c r="P332" s="295"/>
      <c r="Q332" s="295"/>
      <c r="R332" s="296"/>
    </row>
    <row r="333" spans="1:18" ht="24" customHeight="1">
      <c r="A333" s="33" t="s">
        <v>8</v>
      </c>
      <c r="B333" s="33" t="s">
        <v>9</v>
      </c>
      <c r="C333" s="34" t="s">
        <v>10</v>
      </c>
      <c r="D333" s="33" t="s">
        <v>11</v>
      </c>
      <c r="E333" s="33" t="s">
        <v>12</v>
      </c>
      <c r="F333" s="35" t="s">
        <v>13</v>
      </c>
      <c r="G333" s="36" t="s">
        <v>14</v>
      </c>
      <c r="H333" s="33" t="s">
        <v>15</v>
      </c>
      <c r="I333" s="37" t="s">
        <v>16</v>
      </c>
      <c r="J333" s="38" t="s">
        <v>17</v>
      </c>
      <c r="K333" s="39" t="s">
        <v>18</v>
      </c>
      <c r="L333" s="38" t="s">
        <v>19</v>
      </c>
      <c r="M333" s="38" t="s">
        <v>20</v>
      </c>
      <c r="N333" s="38" t="s">
        <v>21</v>
      </c>
      <c r="O333" s="33" t="s">
        <v>22</v>
      </c>
      <c r="P333" s="34" t="s">
        <v>23</v>
      </c>
      <c r="Q333" s="38" t="s">
        <v>24</v>
      </c>
      <c r="R333" s="33" t="s">
        <v>25</v>
      </c>
    </row>
    <row r="334" spans="1:18" ht="15" customHeight="1">
      <c r="A334" s="78" t="s">
        <v>61</v>
      </c>
      <c r="B334" s="78" t="s">
        <v>722</v>
      </c>
      <c r="C334" s="79">
        <v>0.34722222222222232</v>
      </c>
      <c r="D334" s="78" t="s">
        <v>63</v>
      </c>
      <c r="E334" s="78" t="s">
        <v>29</v>
      </c>
      <c r="F334" s="78" t="s">
        <v>708</v>
      </c>
      <c r="G334" s="297"/>
      <c r="H334" s="80" t="s">
        <v>723</v>
      </c>
      <c r="I334" s="81">
        <v>0</v>
      </c>
      <c r="J334" s="82">
        <v>0</v>
      </c>
      <c r="K334" s="83" t="s">
        <v>66</v>
      </c>
      <c r="L334" s="82">
        <v>0</v>
      </c>
      <c r="M334" s="82">
        <v>0</v>
      </c>
      <c r="N334" s="82">
        <v>0</v>
      </c>
      <c r="O334" s="84" t="s">
        <v>307</v>
      </c>
      <c r="P334" s="85">
        <v>0.34722222222222232</v>
      </c>
      <c r="Q334" s="82">
        <v>180</v>
      </c>
      <c r="R334" s="86" t="s">
        <v>66</v>
      </c>
    </row>
    <row r="335" spans="1:18" ht="15" customHeight="1">
      <c r="A335" s="148" t="s">
        <v>61</v>
      </c>
      <c r="B335" s="148" t="s">
        <v>707</v>
      </c>
      <c r="C335" s="149">
        <v>0.54861111111111105</v>
      </c>
      <c r="D335" s="148" t="s">
        <v>63</v>
      </c>
      <c r="E335" s="148" t="s">
        <v>200</v>
      </c>
      <c r="F335" s="148" t="s">
        <v>708</v>
      </c>
      <c r="G335" s="298"/>
      <c r="H335" s="51" t="s">
        <v>709</v>
      </c>
      <c r="I335" s="52">
        <v>5.5999999999999999E-3</v>
      </c>
      <c r="J335" s="53">
        <v>1</v>
      </c>
      <c r="K335" s="54">
        <v>46302</v>
      </c>
      <c r="L335" s="53">
        <v>1</v>
      </c>
      <c r="M335" s="53">
        <v>0</v>
      </c>
      <c r="N335" s="53">
        <v>0</v>
      </c>
      <c r="O335" s="55" t="s">
        <v>304</v>
      </c>
      <c r="P335" s="56">
        <v>0.54861111111111105</v>
      </c>
      <c r="Q335" s="53">
        <v>180</v>
      </c>
      <c r="R335" s="57" t="s">
        <v>302</v>
      </c>
    </row>
    <row r="336" spans="1:18" ht="15" customHeight="1">
      <c r="A336" s="158" t="s">
        <v>61</v>
      </c>
      <c r="B336" s="158" t="s">
        <v>710</v>
      </c>
      <c r="C336" s="159">
        <v>0.19444444444444439</v>
      </c>
      <c r="D336" s="158" t="s">
        <v>63</v>
      </c>
      <c r="E336" s="158" t="s">
        <v>37</v>
      </c>
      <c r="F336" s="158" t="s">
        <v>708</v>
      </c>
      <c r="G336" s="298"/>
      <c r="H336" s="89" t="s">
        <v>712</v>
      </c>
      <c r="I336" s="90">
        <v>0</v>
      </c>
      <c r="J336" s="91">
        <v>0</v>
      </c>
      <c r="K336" s="92" t="s">
        <v>66</v>
      </c>
      <c r="L336" s="91">
        <v>0</v>
      </c>
      <c r="M336" s="91">
        <v>0</v>
      </c>
      <c r="N336" s="91">
        <v>0</v>
      </c>
      <c r="O336" s="93" t="s">
        <v>307</v>
      </c>
      <c r="P336" s="94">
        <v>0.19444444444444439</v>
      </c>
      <c r="Q336" s="91">
        <v>180</v>
      </c>
      <c r="R336" s="95" t="s">
        <v>66</v>
      </c>
    </row>
    <row r="337" spans="1:18" ht="15" customHeight="1">
      <c r="A337" s="152" t="s">
        <v>61</v>
      </c>
      <c r="B337" s="152" t="s">
        <v>715</v>
      </c>
      <c r="C337" s="153">
        <v>9.375E-2</v>
      </c>
      <c r="D337" s="152" t="s">
        <v>63</v>
      </c>
      <c r="E337" s="152" t="s">
        <v>37</v>
      </c>
      <c r="F337" s="152" t="s">
        <v>708</v>
      </c>
      <c r="G337" s="298"/>
      <c r="H337" s="100" t="s">
        <v>716</v>
      </c>
      <c r="I337" s="101">
        <v>0</v>
      </c>
      <c r="J337" s="102">
        <v>0</v>
      </c>
      <c r="K337" s="103" t="s">
        <v>66</v>
      </c>
      <c r="L337" s="102">
        <v>0</v>
      </c>
      <c r="M337" s="102">
        <v>0</v>
      </c>
      <c r="N337" s="102">
        <v>0</v>
      </c>
      <c r="O337" s="104" t="s">
        <v>307</v>
      </c>
      <c r="P337" s="105">
        <v>9.375E-2</v>
      </c>
      <c r="Q337" s="102">
        <v>180</v>
      </c>
      <c r="R337" s="106" t="s">
        <v>66</v>
      </c>
    </row>
    <row r="338" spans="1:18" ht="15" customHeight="1">
      <c r="A338" s="19" t="s">
        <v>68</v>
      </c>
      <c r="B338" s="19" t="s">
        <v>713</v>
      </c>
      <c r="C338" s="20">
        <v>0.54861111111111105</v>
      </c>
      <c r="D338" s="19" t="s">
        <v>643</v>
      </c>
      <c r="E338" s="19" t="s">
        <v>29</v>
      </c>
      <c r="F338" s="19" t="s">
        <v>714</v>
      </c>
      <c r="G338" s="298"/>
      <c r="H338" s="10"/>
      <c r="I338" s="11"/>
      <c r="J338" s="11"/>
      <c r="K338" s="11"/>
      <c r="L338" s="11"/>
      <c r="M338" s="11"/>
      <c r="N338" s="11"/>
      <c r="O338" s="12"/>
      <c r="P338" s="11"/>
      <c r="Q338" s="13"/>
      <c r="R338" s="14"/>
    </row>
    <row r="339" spans="1:18" ht="15" customHeight="1">
      <c r="A339" s="17" t="s">
        <v>68</v>
      </c>
      <c r="B339" s="17" t="s">
        <v>725</v>
      </c>
      <c r="C339" s="18">
        <v>0.34722222222222232</v>
      </c>
      <c r="D339" s="17" t="s">
        <v>643</v>
      </c>
      <c r="E339" s="17" t="s">
        <v>37</v>
      </c>
      <c r="F339" s="17" t="s">
        <v>714</v>
      </c>
      <c r="G339" s="298"/>
      <c r="H339" s="10"/>
      <c r="I339" s="11"/>
      <c r="J339" s="11"/>
      <c r="K339" s="11"/>
      <c r="L339" s="11"/>
      <c r="M339" s="11"/>
      <c r="N339" s="11"/>
      <c r="O339" s="12"/>
      <c r="P339" s="11"/>
      <c r="Q339" s="13"/>
      <c r="R339" s="14"/>
    </row>
    <row r="340" spans="1:18" ht="18">
      <c r="A340" s="292" t="s">
        <v>615</v>
      </c>
      <c r="B340" s="303"/>
      <c r="C340" s="303"/>
      <c r="D340" s="303"/>
      <c r="E340" s="303"/>
      <c r="F340" s="304"/>
      <c r="G340" s="298"/>
      <c r="H340" s="138"/>
      <c r="I340" s="138"/>
      <c r="J340" s="138"/>
      <c r="K340" s="138"/>
      <c r="L340" s="138"/>
      <c r="M340" s="138"/>
      <c r="N340" s="138"/>
      <c r="O340" s="139"/>
      <c r="P340" s="138"/>
      <c r="Q340" s="107"/>
      <c r="R340" s="107"/>
    </row>
    <row r="341" spans="1:18" ht="15" customHeight="1">
      <c r="A341" s="17" t="s">
        <v>38</v>
      </c>
      <c r="B341" s="17" t="s">
        <v>342</v>
      </c>
      <c r="C341" s="18" t="s">
        <v>592</v>
      </c>
      <c r="D341" s="17" t="s">
        <v>40</v>
      </c>
      <c r="E341" s="17" t="s">
        <v>281</v>
      </c>
      <c r="F341" s="17" t="s">
        <v>81</v>
      </c>
      <c r="G341" s="298"/>
      <c r="H341" s="138"/>
      <c r="I341" s="138"/>
      <c r="J341" s="138"/>
      <c r="K341" s="138"/>
      <c r="L341" s="138"/>
      <c r="M341" s="138"/>
      <c r="N341" s="138"/>
      <c r="O341" s="139"/>
      <c r="P341" s="138"/>
      <c r="Q341" s="107"/>
      <c r="R341" s="107"/>
    </row>
    <row r="342" spans="1:18" ht="15" customHeight="1">
      <c r="A342" s="17" t="s">
        <v>38</v>
      </c>
      <c r="B342" s="17" t="s">
        <v>346</v>
      </c>
      <c r="C342" s="18" t="s">
        <v>600</v>
      </c>
      <c r="D342" s="17" t="s">
        <v>40</v>
      </c>
      <c r="E342" s="17" t="s">
        <v>268</v>
      </c>
      <c r="F342" s="17" t="s">
        <v>347</v>
      </c>
      <c r="G342" s="298"/>
      <c r="H342" s="138"/>
      <c r="I342" s="138"/>
      <c r="J342" s="138"/>
      <c r="K342" s="138"/>
      <c r="L342" s="138"/>
      <c r="M342" s="138"/>
      <c r="N342" s="138"/>
      <c r="O342" s="139"/>
      <c r="P342" s="138"/>
      <c r="Q342" s="107"/>
      <c r="R342" s="107"/>
    </row>
    <row r="343" spans="1:18" ht="15" customHeight="1">
      <c r="A343" s="17" t="s">
        <v>38</v>
      </c>
      <c r="B343" s="17" t="s">
        <v>345</v>
      </c>
      <c r="C343" s="18" t="s">
        <v>594</v>
      </c>
      <c r="D343" s="17" t="s">
        <v>40</v>
      </c>
      <c r="E343" s="17" t="s">
        <v>268</v>
      </c>
      <c r="F343" s="17" t="s">
        <v>347</v>
      </c>
      <c r="G343" s="298"/>
      <c r="H343" s="138"/>
      <c r="I343" s="138"/>
      <c r="J343" s="138"/>
      <c r="K343" s="138"/>
      <c r="L343" s="138"/>
      <c r="M343" s="138"/>
      <c r="N343" s="138"/>
      <c r="O343" s="139"/>
      <c r="P343" s="138"/>
      <c r="Q343" s="107"/>
      <c r="R343" s="107"/>
    </row>
    <row r="344" spans="1:18" ht="15" customHeight="1">
      <c r="A344" s="17" t="s">
        <v>359</v>
      </c>
      <c r="B344" s="17" t="s">
        <v>360</v>
      </c>
      <c r="C344" s="18" t="s">
        <v>619</v>
      </c>
      <c r="D344" s="17" t="s">
        <v>361</v>
      </c>
      <c r="E344" s="17" t="s">
        <v>270</v>
      </c>
      <c r="F344" s="17" t="s">
        <v>525</v>
      </c>
      <c r="G344" s="298"/>
      <c r="H344" s="138"/>
      <c r="I344" s="138"/>
      <c r="J344" s="138"/>
      <c r="K344" s="138"/>
      <c r="L344" s="138"/>
      <c r="M344" s="138"/>
      <c r="N344" s="138"/>
      <c r="O344" s="139"/>
      <c r="P344" s="138"/>
      <c r="Q344" s="107"/>
      <c r="R344" s="107"/>
    </row>
    <row r="345" spans="1:18" ht="15" customHeight="1">
      <c r="A345" s="17" t="s">
        <v>359</v>
      </c>
      <c r="B345" s="17" t="s">
        <v>445</v>
      </c>
      <c r="C345" s="18" t="s">
        <v>641</v>
      </c>
      <c r="D345" s="17" t="s">
        <v>361</v>
      </c>
      <c r="E345" s="17" t="s">
        <v>270</v>
      </c>
      <c r="F345" s="17" t="s">
        <v>525</v>
      </c>
      <c r="G345" s="298"/>
      <c r="H345" s="138"/>
      <c r="I345" s="138"/>
      <c r="J345" s="138"/>
      <c r="K345" s="138"/>
      <c r="L345" s="138"/>
      <c r="M345" s="138"/>
      <c r="N345" s="138"/>
      <c r="O345" s="139"/>
      <c r="P345" s="138"/>
      <c r="Q345" s="107"/>
      <c r="R345" s="107"/>
    </row>
    <row r="346" spans="1:18" ht="15" customHeight="1">
      <c r="A346" s="17" t="s">
        <v>61</v>
      </c>
      <c r="B346" s="17" t="s">
        <v>375</v>
      </c>
      <c r="C346" s="18" t="s">
        <v>575</v>
      </c>
      <c r="D346" s="17" t="s">
        <v>63</v>
      </c>
      <c r="E346" s="17" t="s">
        <v>286</v>
      </c>
      <c r="F346" s="17" t="s">
        <v>365</v>
      </c>
      <c r="G346" s="298"/>
      <c r="H346" s="138"/>
      <c r="I346" s="138"/>
      <c r="J346" s="138"/>
      <c r="K346" s="138"/>
      <c r="L346" s="138"/>
      <c r="M346" s="138"/>
      <c r="N346" s="138"/>
      <c r="O346" s="139"/>
      <c r="P346" s="138"/>
      <c r="Q346" s="107"/>
      <c r="R346" s="107"/>
    </row>
    <row r="347" spans="1:18" ht="15" customHeight="1">
      <c r="A347" s="17" t="s">
        <v>61</v>
      </c>
      <c r="B347" s="17" t="s">
        <v>377</v>
      </c>
      <c r="C347" s="18" t="s">
        <v>563</v>
      </c>
      <c r="D347" s="17" t="s">
        <v>63</v>
      </c>
      <c r="E347" s="17" t="s">
        <v>294</v>
      </c>
      <c r="F347" s="17" t="s">
        <v>365</v>
      </c>
      <c r="G347" s="298"/>
      <c r="H347" s="138"/>
      <c r="I347" s="138"/>
      <c r="J347" s="138"/>
      <c r="K347" s="138"/>
      <c r="L347" s="138"/>
      <c r="M347" s="138"/>
      <c r="N347" s="138"/>
      <c r="O347" s="139"/>
      <c r="P347" s="138"/>
      <c r="Q347" s="107"/>
      <c r="R347" s="107"/>
    </row>
    <row r="348" spans="1:18" ht="15" customHeight="1">
      <c r="A348" s="17" t="s">
        <v>38</v>
      </c>
      <c r="B348" s="17" t="s">
        <v>344</v>
      </c>
      <c r="C348" s="18" t="s">
        <v>593</v>
      </c>
      <c r="D348" s="17" t="s">
        <v>40</v>
      </c>
      <c r="E348" s="17" t="s">
        <v>281</v>
      </c>
      <c r="F348" s="17" t="s">
        <v>121</v>
      </c>
      <c r="G348" s="298"/>
      <c r="H348" s="138"/>
      <c r="I348" s="138"/>
      <c r="J348" s="138"/>
      <c r="K348" s="138"/>
      <c r="L348" s="138"/>
      <c r="M348" s="138"/>
      <c r="N348" s="138"/>
      <c r="O348" s="139"/>
      <c r="P348" s="138"/>
      <c r="Q348" s="107"/>
      <c r="R348" s="107"/>
    </row>
    <row r="349" spans="1:18" ht="15" customHeight="1">
      <c r="A349" s="17" t="s">
        <v>48</v>
      </c>
      <c r="B349" s="17" t="s">
        <v>386</v>
      </c>
      <c r="C349" s="18" t="s">
        <v>574</v>
      </c>
      <c r="D349" s="17" t="s">
        <v>50</v>
      </c>
      <c r="E349" s="17" t="s">
        <v>288</v>
      </c>
      <c r="F349" s="17" t="s">
        <v>383</v>
      </c>
      <c r="G349" s="298"/>
      <c r="H349" s="138"/>
      <c r="I349" s="138"/>
      <c r="J349" s="138"/>
      <c r="K349" s="138"/>
      <c r="L349" s="138"/>
      <c r="M349" s="138"/>
      <c r="N349" s="138"/>
      <c r="O349" s="139"/>
      <c r="P349" s="138"/>
      <c r="Q349" s="107"/>
      <c r="R349" s="107"/>
    </row>
    <row r="350" spans="1:18" ht="15" customHeight="1" thickBot="1">
      <c r="A350" s="30" t="s">
        <v>48</v>
      </c>
      <c r="B350" s="30" t="s">
        <v>382</v>
      </c>
      <c r="C350" s="31" t="s">
        <v>680</v>
      </c>
      <c r="D350" s="30" t="s">
        <v>50</v>
      </c>
      <c r="E350" s="30" t="s">
        <v>294</v>
      </c>
      <c r="F350" s="30" t="s">
        <v>383</v>
      </c>
      <c r="G350" s="299"/>
      <c r="H350" s="140"/>
      <c r="I350" s="140"/>
      <c r="J350" s="140"/>
      <c r="K350" s="140"/>
      <c r="L350" s="140"/>
      <c r="M350" s="140"/>
      <c r="N350" s="140"/>
      <c r="O350" s="141"/>
      <c r="P350" s="140"/>
      <c r="Q350" s="142"/>
      <c r="R350" s="142"/>
    </row>
    <row r="351" spans="1:18" ht="17.45" customHeight="1" thickBot="1">
      <c r="A351" s="283"/>
      <c r="B351" s="284"/>
      <c r="C351" s="284"/>
      <c r="D351" s="284"/>
      <c r="E351" s="284"/>
      <c r="F351" s="284"/>
      <c r="G351" s="284"/>
      <c r="H351" s="284"/>
      <c r="I351" s="284"/>
      <c r="J351" s="284"/>
      <c r="K351" s="284"/>
      <c r="L351" s="284"/>
      <c r="M351" s="284"/>
      <c r="N351" s="284"/>
      <c r="O351" s="284"/>
      <c r="P351" s="284"/>
      <c r="Q351" s="284"/>
      <c r="R351" s="285"/>
    </row>
    <row r="352" spans="1:18" ht="22.15" customHeight="1" thickTop="1" thickBot="1">
      <c r="A352" s="279" t="s">
        <v>6</v>
      </c>
      <c r="B352" s="295"/>
      <c r="C352" s="295"/>
      <c r="D352" s="295"/>
      <c r="E352" s="295"/>
      <c r="F352" s="296"/>
      <c r="G352" s="32">
        <v>46042</v>
      </c>
      <c r="H352" s="278" t="s">
        <v>7</v>
      </c>
      <c r="I352" s="295"/>
      <c r="J352" s="295"/>
      <c r="K352" s="295"/>
      <c r="L352" s="295"/>
      <c r="M352" s="295"/>
      <c r="N352" s="295"/>
      <c r="O352" s="295"/>
      <c r="P352" s="295"/>
      <c r="Q352" s="295"/>
      <c r="R352" s="296"/>
    </row>
    <row r="353" spans="1:18" ht="24" customHeight="1">
      <c r="A353" s="33" t="s">
        <v>8</v>
      </c>
      <c r="B353" s="33" t="s">
        <v>9</v>
      </c>
      <c r="C353" s="34" t="s">
        <v>10</v>
      </c>
      <c r="D353" s="33" t="s">
        <v>11</v>
      </c>
      <c r="E353" s="33" t="s">
        <v>12</v>
      </c>
      <c r="F353" s="35" t="s">
        <v>13</v>
      </c>
      <c r="G353" s="36" t="s">
        <v>14</v>
      </c>
      <c r="H353" s="33" t="s">
        <v>15</v>
      </c>
      <c r="I353" s="37" t="s">
        <v>16</v>
      </c>
      <c r="J353" s="38" t="s">
        <v>17</v>
      </c>
      <c r="K353" s="39" t="s">
        <v>18</v>
      </c>
      <c r="L353" s="38" t="s">
        <v>19</v>
      </c>
      <c r="M353" s="38" t="s">
        <v>20</v>
      </c>
      <c r="N353" s="38" t="s">
        <v>21</v>
      </c>
      <c r="O353" s="33" t="s">
        <v>22</v>
      </c>
      <c r="P353" s="34" t="s">
        <v>23</v>
      </c>
      <c r="Q353" s="38" t="s">
        <v>24</v>
      </c>
      <c r="R353" s="33" t="s">
        <v>25</v>
      </c>
    </row>
    <row r="354" spans="1:18" ht="15" customHeight="1">
      <c r="A354" s="98" t="s">
        <v>61</v>
      </c>
      <c r="B354" s="98" t="s">
        <v>707</v>
      </c>
      <c r="C354" s="99">
        <v>0.16666666666666671</v>
      </c>
      <c r="D354" s="98" t="s">
        <v>63</v>
      </c>
      <c r="E354" s="98" t="s">
        <v>29</v>
      </c>
      <c r="F354" s="98" t="s">
        <v>708</v>
      </c>
      <c r="G354" s="297"/>
      <c r="H354" s="100" t="s">
        <v>709</v>
      </c>
      <c r="I354" s="101">
        <v>0</v>
      </c>
      <c r="J354" s="102">
        <v>0</v>
      </c>
      <c r="K354" s="103" t="s">
        <v>66</v>
      </c>
      <c r="L354" s="102">
        <v>0</v>
      </c>
      <c r="M354" s="102">
        <v>0</v>
      </c>
      <c r="N354" s="102">
        <v>0</v>
      </c>
      <c r="O354" s="104" t="s">
        <v>307</v>
      </c>
      <c r="P354" s="105">
        <v>0.16666666666666671</v>
      </c>
      <c r="Q354" s="102">
        <v>180</v>
      </c>
      <c r="R354" s="106" t="s">
        <v>66</v>
      </c>
    </row>
    <row r="355" spans="1:18" ht="15" customHeight="1">
      <c r="A355" s="160" t="s">
        <v>61</v>
      </c>
      <c r="B355" s="160" t="s">
        <v>710</v>
      </c>
      <c r="C355" s="161">
        <v>0.52777777777777779</v>
      </c>
      <c r="D355" s="160" t="s">
        <v>63</v>
      </c>
      <c r="E355" s="160" t="s">
        <v>37</v>
      </c>
      <c r="F355" s="160" t="s">
        <v>708</v>
      </c>
      <c r="G355" s="298"/>
      <c r="H355" s="23" t="s">
        <v>712</v>
      </c>
      <c r="I355" s="24">
        <v>5.5999999999999999E-3</v>
      </c>
      <c r="J355" s="25">
        <v>1</v>
      </c>
      <c r="K355" s="26">
        <v>46314</v>
      </c>
      <c r="L355" s="25">
        <v>1</v>
      </c>
      <c r="M355" s="25">
        <v>0</v>
      </c>
      <c r="N355" s="25">
        <v>0</v>
      </c>
      <c r="O355" s="27" t="s">
        <v>307</v>
      </c>
      <c r="P355" s="28">
        <v>0.52777777777777779</v>
      </c>
      <c r="Q355" s="25">
        <v>180</v>
      </c>
      <c r="R355" s="29" t="s">
        <v>686</v>
      </c>
    </row>
    <row r="356" spans="1:18" ht="15" customHeight="1">
      <c r="A356" s="19" t="s">
        <v>68</v>
      </c>
      <c r="B356" s="19" t="s">
        <v>713</v>
      </c>
      <c r="C356" s="20">
        <v>0.16666666666666671</v>
      </c>
      <c r="D356" s="19" t="s">
        <v>643</v>
      </c>
      <c r="E356" s="19" t="s">
        <v>29</v>
      </c>
      <c r="F356" s="19" t="s">
        <v>714</v>
      </c>
      <c r="G356" s="298"/>
      <c r="H356" s="10"/>
      <c r="I356" s="11"/>
      <c r="J356" s="11"/>
      <c r="K356" s="11"/>
      <c r="L356" s="11"/>
      <c r="M356" s="11"/>
      <c r="N356" s="11"/>
      <c r="O356" s="12"/>
      <c r="P356" s="11"/>
      <c r="Q356" s="13"/>
      <c r="R356" s="14"/>
    </row>
    <row r="357" spans="1:18" ht="18">
      <c r="A357" s="292" t="s">
        <v>615</v>
      </c>
      <c r="B357" s="303"/>
      <c r="C357" s="303"/>
      <c r="D357" s="303"/>
      <c r="E357" s="303"/>
      <c r="F357" s="304"/>
      <c r="G357" s="298"/>
      <c r="H357" s="138"/>
      <c r="I357" s="138"/>
      <c r="J357" s="138"/>
      <c r="K357" s="138"/>
      <c r="L357" s="138"/>
      <c r="M357" s="138"/>
      <c r="N357" s="138"/>
      <c r="O357" s="139"/>
      <c r="P357" s="138"/>
      <c r="Q357" s="107"/>
      <c r="R357" s="107"/>
    </row>
    <row r="358" spans="1:18" ht="15" customHeight="1">
      <c r="A358" s="17" t="s">
        <v>38</v>
      </c>
      <c r="B358" s="17" t="s">
        <v>342</v>
      </c>
      <c r="C358" s="18" t="s">
        <v>592</v>
      </c>
      <c r="D358" s="17" t="s">
        <v>40</v>
      </c>
      <c r="E358" s="17" t="s">
        <v>308</v>
      </c>
      <c r="F358" s="17" t="s">
        <v>81</v>
      </c>
      <c r="G358" s="298"/>
      <c r="H358" s="138"/>
      <c r="I358" s="138"/>
      <c r="J358" s="138"/>
      <c r="K358" s="138"/>
      <c r="L358" s="138"/>
      <c r="M358" s="138"/>
      <c r="N358" s="138"/>
      <c r="O358" s="139"/>
      <c r="P358" s="138"/>
      <c r="Q358" s="107"/>
      <c r="R358" s="107"/>
    </row>
    <row r="359" spans="1:18" ht="15" customHeight="1">
      <c r="A359" s="17" t="s">
        <v>38</v>
      </c>
      <c r="B359" s="17" t="s">
        <v>344</v>
      </c>
      <c r="C359" s="18" t="s">
        <v>593</v>
      </c>
      <c r="D359" s="17" t="s">
        <v>40</v>
      </c>
      <c r="E359" s="17" t="s">
        <v>268</v>
      </c>
      <c r="F359" s="17" t="s">
        <v>30</v>
      </c>
      <c r="G359" s="298"/>
      <c r="H359" s="138"/>
      <c r="I359" s="138"/>
      <c r="J359" s="138"/>
      <c r="K359" s="138"/>
      <c r="L359" s="138"/>
      <c r="M359" s="138"/>
      <c r="N359" s="138"/>
      <c r="O359" s="139"/>
      <c r="P359" s="138"/>
      <c r="Q359" s="107"/>
      <c r="R359" s="107"/>
    </row>
    <row r="360" spans="1:18" ht="15" customHeight="1">
      <c r="A360" s="17" t="s">
        <v>38</v>
      </c>
      <c r="B360" s="17" t="s">
        <v>346</v>
      </c>
      <c r="C360" s="18" t="s">
        <v>600</v>
      </c>
      <c r="D360" s="17" t="s">
        <v>40</v>
      </c>
      <c r="E360" s="17" t="s">
        <v>268</v>
      </c>
      <c r="F360" s="17" t="s">
        <v>347</v>
      </c>
      <c r="G360" s="298"/>
      <c r="H360" s="138"/>
      <c r="I360" s="138"/>
      <c r="J360" s="138"/>
      <c r="K360" s="138"/>
      <c r="L360" s="138"/>
      <c r="M360" s="138"/>
      <c r="N360" s="138"/>
      <c r="O360" s="139"/>
      <c r="P360" s="138"/>
      <c r="Q360" s="107"/>
      <c r="R360" s="107"/>
    </row>
    <row r="361" spans="1:18" ht="15" customHeight="1">
      <c r="A361" s="17" t="s">
        <v>38</v>
      </c>
      <c r="B361" s="17" t="s">
        <v>345</v>
      </c>
      <c r="C361" s="18" t="s">
        <v>594</v>
      </c>
      <c r="D361" s="17" t="s">
        <v>40</v>
      </c>
      <c r="E361" s="17" t="s">
        <v>268</v>
      </c>
      <c r="F361" s="17" t="s">
        <v>347</v>
      </c>
      <c r="G361" s="298"/>
      <c r="H361" s="138"/>
      <c r="I361" s="138"/>
      <c r="J361" s="138"/>
      <c r="K361" s="138"/>
      <c r="L361" s="138"/>
      <c r="M361" s="138"/>
      <c r="N361" s="138"/>
      <c r="O361" s="139"/>
      <c r="P361" s="138"/>
      <c r="Q361" s="107"/>
      <c r="R361" s="107"/>
    </row>
    <row r="362" spans="1:18" ht="15" customHeight="1">
      <c r="A362" s="17" t="s">
        <v>359</v>
      </c>
      <c r="B362" s="17" t="s">
        <v>445</v>
      </c>
      <c r="C362" s="18" t="s">
        <v>635</v>
      </c>
      <c r="D362" s="17" t="s">
        <v>361</v>
      </c>
      <c r="E362" s="17" t="s">
        <v>270</v>
      </c>
      <c r="F362" s="17" t="s">
        <v>525</v>
      </c>
      <c r="G362" s="298"/>
      <c r="H362" s="138"/>
      <c r="I362" s="138"/>
      <c r="J362" s="138"/>
      <c r="K362" s="138"/>
      <c r="L362" s="138"/>
      <c r="M362" s="138"/>
      <c r="N362" s="138"/>
      <c r="O362" s="139"/>
      <c r="P362" s="138"/>
      <c r="Q362" s="107"/>
      <c r="R362" s="107"/>
    </row>
    <row r="363" spans="1:18" ht="15" customHeight="1">
      <c r="A363" s="17" t="s">
        <v>61</v>
      </c>
      <c r="B363" s="17" t="s">
        <v>364</v>
      </c>
      <c r="C363" s="18" t="s">
        <v>578</v>
      </c>
      <c r="D363" s="17" t="s">
        <v>63</v>
      </c>
      <c r="E363" s="17" t="s">
        <v>277</v>
      </c>
      <c r="F363" s="17" t="s">
        <v>365</v>
      </c>
      <c r="G363" s="298"/>
      <c r="H363" s="138"/>
      <c r="I363" s="138"/>
      <c r="J363" s="138"/>
      <c r="K363" s="138"/>
      <c r="L363" s="138"/>
      <c r="M363" s="138"/>
      <c r="N363" s="138"/>
      <c r="O363" s="139"/>
      <c r="P363" s="138"/>
      <c r="Q363" s="107"/>
      <c r="R363" s="107"/>
    </row>
    <row r="364" spans="1:18" ht="15" customHeight="1">
      <c r="A364" s="17" t="s">
        <v>61</v>
      </c>
      <c r="B364" s="17" t="s">
        <v>432</v>
      </c>
      <c r="C364" s="18" t="s">
        <v>577</v>
      </c>
      <c r="D364" s="17" t="s">
        <v>63</v>
      </c>
      <c r="E364" s="17" t="s">
        <v>294</v>
      </c>
      <c r="F364" s="17" t="s">
        <v>365</v>
      </c>
      <c r="G364" s="298"/>
      <c r="H364" s="138"/>
      <c r="I364" s="138"/>
      <c r="J364" s="138"/>
      <c r="K364" s="138"/>
      <c r="L364" s="138"/>
      <c r="M364" s="138"/>
      <c r="N364" s="138"/>
      <c r="O364" s="139"/>
      <c r="P364" s="138"/>
      <c r="Q364" s="107"/>
      <c r="R364" s="107"/>
    </row>
    <row r="365" spans="1:18" ht="15" customHeight="1">
      <c r="A365" s="17" t="s">
        <v>61</v>
      </c>
      <c r="B365" s="17" t="s">
        <v>428</v>
      </c>
      <c r="C365" s="18" t="s">
        <v>576</v>
      </c>
      <c r="D365" s="17" t="s">
        <v>63</v>
      </c>
      <c r="E365" s="17" t="s">
        <v>277</v>
      </c>
      <c r="F365" s="17" t="s">
        <v>365</v>
      </c>
      <c r="G365" s="298"/>
      <c r="H365" s="138"/>
      <c r="I365" s="138"/>
      <c r="J365" s="138"/>
      <c r="K365" s="138"/>
      <c r="L365" s="138"/>
      <c r="M365" s="138"/>
      <c r="N365" s="138"/>
      <c r="O365" s="139"/>
      <c r="P365" s="138"/>
      <c r="Q365" s="107"/>
      <c r="R365" s="107"/>
    </row>
    <row r="366" spans="1:18" ht="15" customHeight="1">
      <c r="A366" s="17" t="s">
        <v>61</v>
      </c>
      <c r="B366" s="17" t="s">
        <v>375</v>
      </c>
      <c r="C366" s="18" t="s">
        <v>579</v>
      </c>
      <c r="D366" s="17" t="s">
        <v>63</v>
      </c>
      <c r="E366" s="17" t="s">
        <v>277</v>
      </c>
      <c r="F366" s="17" t="s">
        <v>365</v>
      </c>
      <c r="G366" s="298"/>
      <c r="H366" s="138"/>
      <c r="I366" s="138"/>
      <c r="J366" s="138"/>
      <c r="K366" s="138"/>
      <c r="L366" s="138"/>
      <c r="M366" s="138"/>
      <c r="N366" s="138"/>
      <c r="O366" s="139"/>
      <c r="P366" s="138"/>
      <c r="Q366" s="107"/>
      <c r="R366" s="107"/>
    </row>
    <row r="367" spans="1:18" ht="15" customHeight="1" thickBot="1">
      <c r="A367" s="30" t="s">
        <v>61</v>
      </c>
      <c r="B367" s="30" t="s">
        <v>377</v>
      </c>
      <c r="C367" s="31" t="s">
        <v>563</v>
      </c>
      <c r="D367" s="30" t="s">
        <v>63</v>
      </c>
      <c r="E367" s="30" t="s">
        <v>277</v>
      </c>
      <c r="F367" s="30" t="s">
        <v>365</v>
      </c>
      <c r="G367" s="299"/>
      <c r="H367" s="140"/>
      <c r="I367" s="140"/>
      <c r="J367" s="140"/>
      <c r="K367" s="140"/>
      <c r="L367" s="140"/>
      <c r="M367" s="140"/>
      <c r="N367" s="140"/>
      <c r="O367" s="141"/>
      <c r="P367" s="140"/>
      <c r="Q367" s="142"/>
      <c r="R367" s="142"/>
    </row>
    <row r="368" spans="1:18" ht="17.45" customHeight="1" thickBot="1">
      <c r="A368" s="283"/>
      <c r="B368" s="284"/>
      <c r="C368" s="284"/>
      <c r="D368" s="284"/>
      <c r="E368" s="284"/>
      <c r="F368" s="284"/>
      <c r="G368" s="284"/>
      <c r="H368" s="284"/>
      <c r="I368" s="284"/>
      <c r="J368" s="284"/>
      <c r="K368" s="284"/>
      <c r="L368" s="284"/>
      <c r="M368" s="284"/>
      <c r="N368" s="284"/>
      <c r="O368" s="284"/>
      <c r="P368" s="284"/>
      <c r="Q368" s="284"/>
      <c r="R368" s="285"/>
    </row>
    <row r="369" spans="1:18" ht="22.15" customHeight="1" thickTop="1" thickBot="1">
      <c r="A369" s="279" t="s">
        <v>6</v>
      </c>
      <c r="B369" s="295"/>
      <c r="C369" s="295"/>
      <c r="D369" s="295"/>
      <c r="E369" s="295"/>
      <c r="F369" s="296"/>
      <c r="G369" s="32">
        <v>46043</v>
      </c>
      <c r="H369" s="278" t="s">
        <v>7</v>
      </c>
      <c r="I369" s="295"/>
      <c r="J369" s="295"/>
      <c r="K369" s="295"/>
      <c r="L369" s="295"/>
      <c r="M369" s="295"/>
      <c r="N369" s="295"/>
      <c r="O369" s="295"/>
      <c r="P369" s="295"/>
      <c r="Q369" s="295"/>
      <c r="R369" s="296"/>
    </row>
    <row r="370" spans="1:18" ht="24" customHeight="1">
      <c r="A370" s="33" t="s">
        <v>8</v>
      </c>
      <c r="B370" s="33" t="s">
        <v>9</v>
      </c>
      <c r="C370" s="34" t="s">
        <v>10</v>
      </c>
      <c r="D370" s="33" t="s">
        <v>11</v>
      </c>
      <c r="E370" s="33" t="s">
        <v>12</v>
      </c>
      <c r="F370" s="35" t="s">
        <v>13</v>
      </c>
      <c r="G370" s="36" t="s">
        <v>14</v>
      </c>
      <c r="H370" s="33" t="s">
        <v>15</v>
      </c>
      <c r="I370" s="37" t="s">
        <v>16</v>
      </c>
      <c r="J370" s="38" t="s">
        <v>17</v>
      </c>
      <c r="K370" s="39" t="s">
        <v>18</v>
      </c>
      <c r="L370" s="38" t="s">
        <v>19</v>
      </c>
      <c r="M370" s="38" t="s">
        <v>20</v>
      </c>
      <c r="N370" s="38" t="s">
        <v>21</v>
      </c>
      <c r="O370" s="33" t="s">
        <v>22</v>
      </c>
      <c r="P370" s="34" t="s">
        <v>23</v>
      </c>
      <c r="Q370" s="38" t="s">
        <v>24</v>
      </c>
      <c r="R370" s="33" t="s">
        <v>25</v>
      </c>
    </row>
    <row r="371" spans="1:18" ht="15" customHeight="1">
      <c r="A371" s="98" t="s">
        <v>61</v>
      </c>
      <c r="B371" s="98" t="s">
        <v>722</v>
      </c>
      <c r="C371" s="99">
        <v>0.92361111111111116</v>
      </c>
      <c r="D371" s="98" t="s">
        <v>63</v>
      </c>
      <c r="E371" s="98" t="s">
        <v>29</v>
      </c>
      <c r="F371" s="98" t="s">
        <v>708</v>
      </c>
      <c r="G371" s="297"/>
      <c r="H371" s="100" t="s">
        <v>723</v>
      </c>
      <c r="I371" s="101">
        <v>0</v>
      </c>
      <c r="J371" s="102">
        <v>0</v>
      </c>
      <c r="K371" s="103" t="s">
        <v>66</v>
      </c>
      <c r="L371" s="102">
        <v>0</v>
      </c>
      <c r="M371" s="102">
        <v>0</v>
      </c>
      <c r="N371" s="102">
        <v>0</v>
      </c>
      <c r="O371" s="104" t="s">
        <v>307</v>
      </c>
      <c r="P371" s="105">
        <v>0.92361111111111116</v>
      </c>
      <c r="Q371" s="102">
        <v>180</v>
      </c>
      <c r="R371" s="106" t="s">
        <v>66</v>
      </c>
    </row>
    <row r="372" spans="1:18" ht="15" customHeight="1">
      <c r="A372" s="148" t="s">
        <v>61</v>
      </c>
      <c r="B372" s="148" t="s">
        <v>707</v>
      </c>
      <c r="C372" s="149">
        <v>0.1076388888888889</v>
      </c>
      <c r="D372" s="148" t="s">
        <v>63</v>
      </c>
      <c r="E372" s="148" t="s">
        <v>37</v>
      </c>
      <c r="F372" s="148" t="s">
        <v>708</v>
      </c>
      <c r="G372" s="298"/>
      <c r="H372" s="51" t="s">
        <v>709</v>
      </c>
      <c r="I372" s="52">
        <v>0</v>
      </c>
      <c r="J372" s="53">
        <v>0</v>
      </c>
      <c r="K372" s="54" t="s">
        <v>66</v>
      </c>
      <c r="L372" s="53">
        <v>0</v>
      </c>
      <c r="M372" s="53">
        <v>0</v>
      </c>
      <c r="N372" s="53">
        <v>0</v>
      </c>
      <c r="O372" s="55" t="s">
        <v>307</v>
      </c>
      <c r="P372" s="56">
        <v>0.1076388888888889</v>
      </c>
      <c r="Q372" s="53">
        <v>180</v>
      </c>
      <c r="R372" s="57" t="s">
        <v>66</v>
      </c>
    </row>
    <row r="373" spans="1:18" ht="15" customHeight="1">
      <c r="A373" s="150" t="s">
        <v>61</v>
      </c>
      <c r="B373" s="150" t="s">
        <v>715</v>
      </c>
      <c r="C373" s="151">
        <v>0.5</v>
      </c>
      <c r="D373" s="150" t="s">
        <v>63</v>
      </c>
      <c r="E373" s="150" t="s">
        <v>134</v>
      </c>
      <c r="F373" s="150" t="s">
        <v>708</v>
      </c>
      <c r="G373" s="298"/>
      <c r="H373" s="80" t="s">
        <v>716</v>
      </c>
      <c r="I373" s="81">
        <v>1.67E-2</v>
      </c>
      <c r="J373" s="82">
        <v>3</v>
      </c>
      <c r="K373" s="83">
        <v>46335</v>
      </c>
      <c r="L373" s="82">
        <v>3</v>
      </c>
      <c r="M373" s="82">
        <v>0</v>
      </c>
      <c r="N373" s="82">
        <v>0</v>
      </c>
      <c r="O373" s="84" t="s">
        <v>302</v>
      </c>
      <c r="P373" s="85">
        <v>0.5</v>
      </c>
      <c r="Q373" s="82">
        <v>180</v>
      </c>
      <c r="R373" s="86" t="s">
        <v>304</v>
      </c>
    </row>
    <row r="374" spans="1:18" ht="15" customHeight="1">
      <c r="A374" s="19" t="s">
        <v>38</v>
      </c>
      <c r="B374" s="19" t="s">
        <v>719</v>
      </c>
      <c r="C374" s="20">
        <v>0.36458333333333331</v>
      </c>
      <c r="D374" s="19" t="s">
        <v>622</v>
      </c>
      <c r="E374" s="19" t="s">
        <v>156</v>
      </c>
      <c r="F374" s="19" t="s">
        <v>426</v>
      </c>
      <c r="G374" s="298"/>
      <c r="H374" s="10"/>
      <c r="I374" s="11"/>
      <c r="J374" s="11"/>
      <c r="K374" s="11"/>
      <c r="L374" s="11"/>
      <c r="M374" s="11"/>
      <c r="N374" s="11"/>
      <c r="O374" s="12"/>
      <c r="P374" s="11"/>
      <c r="Q374" s="13"/>
      <c r="R374" s="14"/>
    </row>
    <row r="375" spans="1:18" ht="15" customHeight="1">
      <c r="A375" s="15" t="s">
        <v>38</v>
      </c>
      <c r="B375" s="15" t="s">
        <v>719</v>
      </c>
      <c r="C375" s="16">
        <v>0.36458333333333331</v>
      </c>
      <c r="D375" s="15" t="s">
        <v>603</v>
      </c>
      <c r="E375" s="15" t="s">
        <v>135</v>
      </c>
      <c r="F375" s="15" t="s">
        <v>647</v>
      </c>
      <c r="G375" s="298"/>
      <c r="H375" s="10"/>
      <c r="I375" s="11"/>
      <c r="J375" s="11"/>
      <c r="K375" s="11"/>
      <c r="L375" s="11"/>
      <c r="M375" s="11"/>
      <c r="N375" s="11"/>
      <c r="O375" s="12"/>
      <c r="P375" s="11"/>
      <c r="Q375" s="13"/>
      <c r="R375" s="14"/>
    </row>
    <row r="376" spans="1:18" ht="15" customHeight="1">
      <c r="A376" s="15" t="s">
        <v>38</v>
      </c>
      <c r="B376" s="15" t="s">
        <v>719</v>
      </c>
      <c r="C376" s="16">
        <v>0.36458333333333331</v>
      </c>
      <c r="D376" s="15" t="s">
        <v>605</v>
      </c>
      <c r="E376" s="15" t="s">
        <v>135</v>
      </c>
      <c r="F376" s="15" t="s">
        <v>736</v>
      </c>
      <c r="G376" s="298"/>
      <c r="H376" s="10"/>
      <c r="I376" s="11"/>
      <c r="J376" s="11"/>
      <c r="K376" s="11"/>
      <c r="L376" s="11"/>
      <c r="M376" s="11"/>
      <c r="N376" s="11"/>
      <c r="O376" s="12"/>
      <c r="P376" s="11"/>
      <c r="Q376" s="13"/>
      <c r="R376" s="14"/>
    </row>
    <row r="377" spans="1:18" ht="15" customHeight="1">
      <c r="A377" s="15" t="s">
        <v>38</v>
      </c>
      <c r="B377" s="15" t="s">
        <v>719</v>
      </c>
      <c r="C377" s="16">
        <v>0.36458333333333331</v>
      </c>
      <c r="D377" s="15" t="s">
        <v>625</v>
      </c>
      <c r="E377" s="15" t="s">
        <v>135</v>
      </c>
      <c r="F377" s="15" t="s">
        <v>455</v>
      </c>
      <c r="G377" s="298"/>
      <c r="H377" s="10"/>
      <c r="I377" s="11"/>
      <c r="J377" s="11"/>
      <c r="K377" s="11"/>
      <c r="L377" s="11"/>
      <c r="M377" s="11"/>
      <c r="N377" s="11"/>
      <c r="O377" s="12"/>
      <c r="P377" s="11"/>
      <c r="Q377" s="13"/>
      <c r="R377" s="14"/>
    </row>
    <row r="378" spans="1:18" ht="15" customHeight="1">
      <c r="A378" s="19" t="s">
        <v>68</v>
      </c>
      <c r="B378" s="19" t="s">
        <v>713</v>
      </c>
      <c r="C378" s="20">
        <v>0.1076388888888889</v>
      </c>
      <c r="D378" s="19" t="s">
        <v>643</v>
      </c>
      <c r="E378" s="19" t="s">
        <v>29</v>
      </c>
      <c r="F378" s="19" t="s">
        <v>714</v>
      </c>
      <c r="G378" s="298"/>
      <c r="H378" s="10"/>
      <c r="I378" s="11"/>
      <c r="J378" s="11"/>
      <c r="K378" s="11"/>
      <c r="L378" s="11"/>
      <c r="M378" s="11"/>
      <c r="N378" s="11"/>
      <c r="O378" s="12"/>
      <c r="P378" s="11"/>
      <c r="Q378" s="13"/>
      <c r="R378" s="14"/>
    </row>
    <row r="379" spans="1:18" ht="15" customHeight="1">
      <c r="A379" s="17" t="s">
        <v>68</v>
      </c>
      <c r="B379" s="17" t="s">
        <v>725</v>
      </c>
      <c r="C379" s="18">
        <v>0.92361111111111116</v>
      </c>
      <c r="D379" s="17" t="s">
        <v>643</v>
      </c>
      <c r="E379" s="17" t="s">
        <v>37</v>
      </c>
      <c r="F379" s="17" t="s">
        <v>714</v>
      </c>
      <c r="G379" s="298"/>
      <c r="H379" s="10"/>
      <c r="I379" s="11"/>
      <c r="J379" s="11"/>
      <c r="K379" s="11"/>
      <c r="L379" s="11"/>
      <c r="M379" s="11"/>
      <c r="N379" s="11"/>
      <c r="O379" s="12"/>
      <c r="P379" s="11"/>
      <c r="Q379" s="13"/>
      <c r="R379" s="14"/>
    </row>
    <row r="380" spans="1:18" ht="18">
      <c r="A380" s="292" t="s">
        <v>615</v>
      </c>
      <c r="B380" s="303"/>
      <c r="C380" s="303"/>
      <c r="D380" s="303"/>
      <c r="E380" s="303"/>
      <c r="F380" s="304"/>
      <c r="G380" s="298"/>
      <c r="H380" s="138"/>
      <c r="I380" s="138"/>
      <c r="J380" s="138"/>
      <c r="K380" s="138"/>
      <c r="L380" s="138"/>
      <c r="M380" s="138"/>
      <c r="N380" s="138"/>
      <c r="O380" s="139"/>
      <c r="P380" s="138"/>
      <c r="Q380" s="107"/>
      <c r="R380" s="107"/>
    </row>
    <row r="381" spans="1:18" ht="15" customHeight="1">
      <c r="A381" s="17" t="s">
        <v>38</v>
      </c>
      <c r="B381" s="17" t="s">
        <v>342</v>
      </c>
      <c r="C381" s="18" t="s">
        <v>592</v>
      </c>
      <c r="D381" s="17" t="s">
        <v>40</v>
      </c>
      <c r="E381" s="17" t="s">
        <v>312</v>
      </c>
      <c r="F381" s="17" t="s">
        <v>81</v>
      </c>
      <c r="G381" s="298"/>
      <c r="H381" s="138"/>
      <c r="I381" s="138"/>
      <c r="J381" s="138"/>
      <c r="K381" s="138"/>
      <c r="L381" s="138"/>
      <c r="M381" s="138"/>
      <c r="N381" s="138"/>
      <c r="O381" s="139"/>
      <c r="P381" s="138"/>
      <c r="Q381" s="107"/>
      <c r="R381" s="107"/>
    </row>
    <row r="382" spans="1:18" ht="15" customHeight="1">
      <c r="A382" s="17" t="s">
        <v>38</v>
      </c>
      <c r="B382" s="17" t="s">
        <v>346</v>
      </c>
      <c r="C382" s="18" t="s">
        <v>600</v>
      </c>
      <c r="D382" s="17" t="s">
        <v>40</v>
      </c>
      <c r="E382" s="17" t="s">
        <v>268</v>
      </c>
      <c r="F382" s="17" t="s">
        <v>30</v>
      </c>
      <c r="G382" s="298"/>
      <c r="H382" s="138"/>
      <c r="I382" s="138"/>
      <c r="J382" s="138"/>
      <c r="K382" s="138"/>
      <c r="L382" s="138"/>
      <c r="M382" s="138"/>
      <c r="N382" s="138"/>
      <c r="O382" s="139"/>
      <c r="P382" s="138"/>
      <c r="Q382" s="107"/>
      <c r="R382" s="107"/>
    </row>
    <row r="383" spans="1:18" ht="15" customHeight="1">
      <c r="A383" s="17" t="s">
        <v>38</v>
      </c>
      <c r="B383" s="17" t="s">
        <v>344</v>
      </c>
      <c r="C383" s="18" t="s">
        <v>593</v>
      </c>
      <c r="D383" s="17" t="s">
        <v>40</v>
      </c>
      <c r="E383" s="17" t="s">
        <v>268</v>
      </c>
      <c r="F383" s="17" t="s">
        <v>30</v>
      </c>
      <c r="G383" s="298"/>
      <c r="H383" s="138"/>
      <c r="I383" s="138"/>
      <c r="J383" s="138"/>
      <c r="K383" s="138"/>
      <c r="L383" s="138"/>
      <c r="M383" s="138"/>
      <c r="N383" s="138"/>
      <c r="O383" s="139"/>
      <c r="P383" s="138"/>
      <c r="Q383" s="107"/>
      <c r="R383" s="107"/>
    </row>
    <row r="384" spans="1:18" ht="15" customHeight="1">
      <c r="A384" s="17" t="s">
        <v>38</v>
      </c>
      <c r="B384" s="17" t="s">
        <v>345</v>
      </c>
      <c r="C384" s="18" t="s">
        <v>594</v>
      </c>
      <c r="D384" s="17" t="s">
        <v>40</v>
      </c>
      <c r="E384" s="17" t="s">
        <v>268</v>
      </c>
      <c r="F384" s="17" t="s">
        <v>347</v>
      </c>
      <c r="G384" s="298"/>
      <c r="H384" s="138"/>
      <c r="I384" s="138"/>
      <c r="J384" s="138"/>
      <c r="K384" s="138"/>
      <c r="L384" s="138"/>
      <c r="M384" s="138"/>
      <c r="N384" s="138"/>
      <c r="O384" s="139"/>
      <c r="P384" s="138"/>
      <c r="Q384" s="107"/>
      <c r="R384" s="107"/>
    </row>
    <row r="385" spans="1:18" ht="15" customHeight="1">
      <c r="A385" s="17" t="s">
        <v>359</v>
      </c>
      <c r="B385" s="17" t="s">
        <v>360</v>
      </c>
      <c r="C385" s="18" t="s">
        <v>619</v>
      </c>
      <c r="D385" s="17" t="s">
        <v>361</v>
      </c>
      <c r="E385" s="17" t="s">
        <v>270</v>
      </c>
      <c r="F385" s="17" t="s">
        <v>525</v>
      </c>
      <c r="G385" s="298"/>
      <c r="H385" s="138"/>
      <c r="I385" s="138"/>
      <c r="J385" s="138"/>
      <c r="K385" s="138"/>
      <c r="L385" s="138"/>
      <c r="M385" s="138"/>
      <c r="N385" s="138"/>
      <c r="O385" s="139"/>
      <c r="P385" s="138"/>
      <c r="Q385" s="107"/>
      <c r="R385" s="107"/>
    </row>
    <row r="386" spans="1:18" ht="15" customHeight="1">
      <c r="A386" s="17" t="s">
        <v>61</v>
      </c>
      <c r="B386" s="17" t="s">
        <v>364</v>
      </c>
      <c r="C386" s="18" t="s">
        <v>580</v>
      </c>
      <c r="D386" s="17" t="s">
        <v>63</v>
      </c>
      <c r="E386" s="17" t="s">
        <v>636</v>
      </c>
      <c r="F386" s="17" t="s">
        <v>365</v>
      </c>
      <c r="G386" s="298"/>
      <c r="H386" s="138"/>
      <c r="I386" s="138"/>
      <c r="J386" s="138"/>
      <c r="K386" s="138"/>
      <c r="L386" s="138"/>
      <c r="M386" s="138"/>
      <c r="N386" s="138"/>
      <c r="O386" s="139"/>
      <c r="P386" s="138"/>
      <c r="Q386" s="107"/>
      <c r="R386" s="107"/>
    </row>
    <row r="387" spans="1:18" ht="15" customHeight="1">
      <c r="A387" s="17" t="s">
        <v>61</v>
      </c>
      <c r="B387" s="17" t="s">
        <v>432</v>
      </c>
      <c r="C387" s="18" t="s">
        <v>582</v>
      </c>
      <c r="D387" s="17" t="s">
        <v>63</v>
      </c>
      <c r="E387" s="17" t="s">
        <v>636</v>
      </c>
      <c r="F387" s="17" t="s">
        <v>365</v>
      </c>
      <c r="G387" s="298"/>
      <c r="H387" s="138"/>
      <c r="I387" s="138"/>
      <c r="J387" s="138"/>
      <c r="K387" s="138"/>
      <c r="L387" s="138"/>
      <c r="M387" s="138"/>
      <c r="N387" s="138"/>
      <c r="O387" s="139"/>
      <c r="P387" s="138"/>
      <c r="Q387" s="107"/>
      <c r="R387" s="107"/>
    </row>
    <row r="388" spans="1:18" ht="15" customHeight="1">
      <c r="A388" s="17" t="s">
        <v>61</v>
      </c>
      <c r="B388" s="17" t="s">
        <v>428</v>
      </c>
      <c r="C388" s="18" t="s">
        <v>559</v>
      </c>
      <c r="D388" s="17" t="s">
        <v>63</v>
      </c>
      <c r="E388" s="17" t="s">
        <v>288</v>
      </c>
      <c r="F388" s="17" t="s">
        <v>365</v>
      </c>
      <c r="G388" s="298"/>
      <c r="H388" s="138"/>
      <c r="I388" s="138"/>
      <c r="J388" s="138"/>
      <c r="K388" s="138"/>
      <c r="L388" s="138"/>
      <c r="M388" s="138"/>
      <c r="N388" s="138"/>
      <c r="O388" s="139"/>
      <c r="P388" s="138"/>
      <c r="Q388" s="107"/>
      <c r="R388" s="107"/>
    </row>
    <row r="389" spans="1:18" ht="15" customHeight="1">
      <c r="A389" s="17" t="s">
        <v>61</v>
      </c>
      <c r="B389" s="17" t="s">
        <v>375</v>
      </c>
      <c r="C389" s="18" t="s">
        <v>581</v>
      </c>
      <c r="D389" s="17" t="s">
        <v>63</v>
      </c>
      <c r="E389" s="17" t="s">
        <v>636</v>
      </c>
      <c r="F389" s="17" t="s">
        <v>365</v>
      </c>
      <c r="G389" s="298"/>
      <c r="H389" s="138"/>
      <c r="I389" s="138"/>
      <c r="J389" s="138"/>
      <c r="K389" s="138"/>
      <c r="L389" s="138"/>
      <c r="M389" s="138"/>
      <c r="N389" s="138"/>
      <c r="O389" s="139"/>
      <c r="P389" s="138"/>
      <c r="Q389" s="107"/>
      <c r="R389" s="107"/>
    </row>
    <row r="390" spans="1:18" ht="15" customHeight="1" thickBot="1">
      <c r="A390" s="30" t="s">
        <v>26</v>
      </c>
      <c r="B390" s="30" t="s">
        <v>348</v>
      </c>
      <c r="C390" s="31" t="s">
        <v>595</v>
      </c>
      <c r="D390" s="30" t="s">
        <v>28</v>
      </c>
      <c r="E390" s="30" t="s">
        <v>267</v>
      </c>
      <c r="F390" s="30" t="s">
        <v>83</v>
      </c>
      <c r="G390" s="299"/>
      <c r="H390" s="140"/>
      <c r="I390" s="140"/>
      <c r="J390" s="140"/>
      <c r="K390" s="140"/>
      <c r="L390" s="140"/>
      <c r="M390" s="140"/>
      <c r="N390" s="140"/>
      <c r="O390" s="141"/>
      <c r="P390" s="140"/>
      <c r="Q390" s="142"/>
      <c r="R390" s="142"/>
    </row>
    <row r="391" spans="1:18" ht="17.45" customHeight="1" thickBot="1">
      <c r="A391" s="283"/>
      <c r="B391" s="284"/>
      <c r="C391" s="284"/>
      <c r="D391" s="284"/>
      <c r="E391" s="284"/>
      <c r="F391" s="284"/>
      <c r="G391" s="284"/>
      <c r="H391" s="284"/>
      <c r="I391" s="284"/>
      <c r="J391" s="284"/>
      <c r="K391" s="284"/>
      <c r="L391" s="284"/>
      <c r="M391" s="284"/>
      <c r="N391" s="284"/>
      <c r="O391" s="284"/>
      <c r="P391" s="284"/>
      <c r="Q391" s="284"/>
      <c r="R391" s="285"/>
    </row>
    <row r="392" spans="1:18" ht="22.15" customHeight="1" thickTop="1" thickBot="1">
      <c r="A392" s="279" t="s">
        <v>6</v>
      </c>
      <c r="B392" s="295"/>
      <c r="C392" s="295"/>
      <c r="D392" s="295"/>
      <c r="E392" s="295"/>
      <c r="F392" s="296"/>
      <c r="G392" s="32">
        <v>46044</v>
      </c>
      <c r="H392" s="278" t="s">
        <v>7</v>
      </c>
      <c r="I392" s="295"/>
      <c r="J392" s="295"/>
      <c r="K392" s="295"/>
      <c r="L392" s="295"/>
      <c r="M392" s="295"/>
      <c r="N392" s="295"/>
      <c r="O392" s="295"/>
      <c r="P392" s="295"/>
      <c r="Q392" s="295"/>
      <c r="R392" s="296"/>
    </row>
    <row r="393" spans="1:18" ht="24" customHeight="1">
      <c r="A393" s="33" t="s">
        <v>8</v>
      </c>
      <c r="B393" s="33" t="s">
        <v>9</v>
      </c>
      <c r="C393" s="34" t="s">
        <v>10</v>
      </c>
      <c r="D393" s="33" t="s">
        <v>11</v>
      </c>
      <c r="E393" s="33" t="s">
        <v>12</v>
      </c>
      <c r="F393" s="35" t="s">
        <v>13</v>
      </c>
      <c r="G393" s="36" t="s">
        <v>14</v>
      </c>
      <c r="H393" s="33" t="s">
        <v>15</v>
      </c>
      <c r="I393" s="37" t="s">
        <v>16</v>
      </c>
      <c r="J393" s="38" t="s">
        <v>17</v>
      </c>
      <c r="K393" s="39" t="s">
        <v>18</v>
      </c>
      <c r="L393" s="38" t="s">
        <v>19</v>
      </c>
      <c r="M393" s="38" t="s">
        <v>20</v>
      </c>
      <c r="N393" s="38" t="s">
        <v>21</v>
      </c>
      <c r="O393" s="33" t="s">
        <v>22</v>
      </c>
      <c r="P393" s="34" t="s">
        <v>23</v>
      </c>
      <c r="Q393" s="38" t="s">
        <v>24</v>
      </c>
      <c r="R393" s="33" t="s">
        <v>25</v>
      </c>
    </row>
    <row r="394" spans="1:18" ht="15" customHeight="1">
      <c r="A394" s="67" t="s">
        <v>61</v>
      </c>
      <c r="B394" s="67" t="s">
        <v>707</v>
      </c>
      <c r="C394" s="68">
        <v>0.52430555555555558</v>
      </c>
      <c r="D394" s="67" t="s">
        <v>63</v>
      </c>
      <c r="E394" s="67" t="s">
        <v>156</v>
      </c>
      <c r="F394" s="67" t="s">
        <v>708</v>
      </c>
      <c r="G394" s="297"/>
      <c r="H394" s="69" t="s">
        <v>709</v>
      </c>
      <c r="I394" s="70">
        <v>1.67E-2</v>
      </c>
      <c r="J394" s="71">
        <v>3</v>
      </c>
      <c r="K394" s="72">
        <v>46337</v>
      </c>
      <c r="L394" s="71">
        <v>3</v>
      </c>
      <c r="M394" s="71">
        <v>0</v>
      </c>
      <c r="N394" s="71">
        <v>0</v>
      </c>
      <c r="O394" s="73" t="s">
        <v>302</v>
      </c>
      <c r="P394" s="74">
        <v>0.52430555555555558</v>
      </c>
      <c r="Q394" s="71">
        <v>180</v>
      </c>
      <c r="R394" s="75" t="s">
        <v>304</v>
      </c>
    </row>
    <row r="395" spans="1:18" ht="15" customHeight="1">
      <c r="A395" s="150" t="s">
        <v>61</v>
      </c>
      <c r="B395" s="150" t="s">
        <v>710</v>
      </c>
      <c r="C395" s="151">
        <v>0.54861111111111105</v>
      </c>
      <c r="D395" s="150" t="s">
        <v>63</v>
      </c>
      <c r="E395" s="150" t="s">
        <v>200</v>
      </c>
      <c r="F395" s="150" t="s">
        <v>708</v>
      </c>
      <c r="G395" s="298"/>
      <c r="H395" s="80" t="s">
        <v>712</v>
      </c>
      <c r="I395" s="81">
        <v>5.5999999999999999E-3</v>
      </c>
      <c r="J395" s="82">
        <v>1</v>
      </c>
      <c r="K395" s="83">
        <v>46244</v>
      </c>
      <c r="L395" s="82">
        <v>1</v>
      </c>
      <c r="M395" s="82">
        <v>0</v>
      </c>
      <c r="N395" s="82">
        <v>0</v>
      </c>
      <c r="O395" s="84" t="s">
        <v>304</v>
      </c>
      <c r="P395" s="85">
        <v>0.54861111111111105</v>
      </c>
      <c r="Q395" s="82">
        <v>180</v>
      </c>
      <c r="R395" s="86" t="s">
        <v>302</v>
      </c>
    </row>
    <row r="396" spans="1:18" ht="15" customHeight="1">
      <c r="A396" s="19" t="s">
        <v>68</v>
      </c>
      <c r="B396" s="19" t="s">
        <v>713</v>
      </c>
      <c r="C396" s="20">
        <v>0.52430555555555558</v>
      </c>
      <c r="D396" s="19" t="s">
        <v>643</v>
      </c>
      <c r="E396" s="19" t="s">
        <v>29</v>
      </c>
      <c r="F396" s="19" t="s">
        <v>714</v>
      </c>
      <c r="G396" s="298"/>
      <c r="H396" s="10"/>
      <c r="I396" s="11"/>
      <c r="J396" s="11"/>
      <c r="K396" s="11"/>
      <c r="L396" s="11"/>
      <c r="M396" s="11"/>
      <c r="N396" s="11"/>
      <c r="O396" s="12"/>
      <c r="P396" s="11"/>
      <c r="Q396" s="13"/>
      <c r="R396" s="14"/>
    </row>
    <row r="397" spans="1:18" ht="18">
      <c r="A397" s="292" t="s">
        <v>615</v>
      </c>
      <c r="B397" s="303"/>
      <c r="C397" s="303"/>
      <c r="D397" s="303"/>
      <c r="E397" s="303"/>
      <c r="F397" s="304"/>
      <c r="G397" s="298"/>
      <c r="H397" s="138"/>
      <c r="I397" s="138"/>
      <c r="J397" s="138"/>
      <c r="K397" s="138"/>
      <c r="L397" s="138"/>
      <c r="M397" s="138"/>
      <c r="N397" s="138"/>
      <c r="O397" s="139"/>
      <c r="P397" s="138"/>
      <c r="Q397" s="107"/>
      <c r="R397" s="107"/>
    </row>
    <row r="398" spans="1:18" ht="15" customHeight="1">
      <c r="A398" s="17" t="s">
        <v>38</v>
      </c>
      <c r="B398" s="17" t="s">
        <v>342</v>
      </c>
      <c r="C398" s="18" t="s">
        <v>592</v>
      </c>
      <c r="D398" s="17" t="s">
        <v>40</v>
      </c>
      <c r="E398" s="17" t="s">
        <v>268</v>
      </c>
      <c r="F398" s="17" t="s">
        <v>347</v>
      </c>
      <c r="G398" s="298"/>
      <c r="H398" s="138"/>
      <c r="I398" s="138"/>
      <c r="J398" s="138"/>
      <c r="K398" s="138"/>
      <c r="L398" s="138"/>
      <c r="M398" s="138"/>
      <c r="N398" s="138"/>
      <c r="O398" s="139"/>
      <c r="P398" s="138"/>
      <c r="Q398" s="107"/>
      <c r="R398" s="107"/>
    </row>
    <row r="399" spans="1:18" ht="15" customHeight="1">
      <c r="A399" s="17" t="s">
        <v>38</v>
      </c>
      <c r="B399" s="17" t="s">
        <v>344</v>
      </c>
      <c r="C399" s="18" t="s">
        <v>593</v>
      </c>
      <c r="D399" s="17" t="s">
        <v>40</v>
      </c>
      <c r="E399" s="17" t="s">
        <v>332</v>
      </c>
      <c r="F399" s="17" t="s">
        <v>347</v>
      </c>
      <c r="G399" s="298"/>
      <c r="H399" s="138"/>
      <c r="I399" s="138"/>
      <c r="J399" s="138"/>
      <c r="K399" s="138"/>
      <c r="L399" s="138"/>
      <c r="M399" s="138"/>
      <c r="N399" s="138"/>
      <c r="O399" s="139"/>
      <c r="P399" s="138"/>
      <c r="Q399" s="107"/>
      <c r="R399" s="107"/>
    </row>
    <row r="400" spans="1:18" ht="15" customHeight="1">
      <c r="A400" s="17" t="s">
        <v>38</v>
      </c>
      <c r="B400" s="17" t="s">
        <v>345</v>
      </c>
      <c r="C400" s="18" t="s">
        <v>594</v>
      </c>
      <c r="D400" s="17" t="s">
        <v>40</v>
      </c>
      <c r="E400" s="17" t="s">
        <v>308</v>
      </c>
      <c r="F400" s="17" t="s">
        <v>347</v>
      </c>
      <c r="G400" s="298"/>
      <c r="H400" s="138"/>
      <c r="I400" s="138"/>
      <c r="J400" s="138"/>
      <c r="K400" s="138"/>
      <c r="L400" s="138"/>
      <c r="M400" s="138"/>
      <c r="N400" s="138"/>
      <c r="O400" s="139"/>
      <c r="P400" s="138"/>
      <c r="Q400" s="107"/>
      <c r="R400" s="107"/>
    </row>
    <row r="401" spans="1:18" ht="15" customHeight="1">
      <c r="A401" s="17" t="s">
        <v>359</v>
      </c>
      <c r="B401" s="17" t="s">
        <v>360</v>
      </c>
      <c r="C401" s="18" t="s">
        <v>599</v>
      </c>
      <c r="D401" s="17" t="s">
        <v>361</v>
      </c>
      <c r="E401" s="17" t="s">
        <v>270</v>
      </c>
      <c r="F401" s="17" t="s">
        <v>525</v>
      </c>
      <c r="G401" s="298"/>
      <c r="H401" s="138"/>
      <c r="I401" s="138"/>
      <c r="J401" s="138"/>
      <c r="K401" s="138"/>
      <c r="L401" s="138"/>
      <c r="M401" s="138"/>
      <c r="N401" s="138"/>
      <c r="O401" s="139"/>
      <c r="P401" s="138"/>
      <c r="Q401" s="107"/>
      <c r="R401" s="107"/>
    </row>
    <row r="402" spans="1:18" ht="15" customHeight="1">
      <c r="A402" s="17" t="s">
        <v>38</v>
      </c>
      <c r="B402" s="17" t="s">
        <v>346</v>
      </c>
      <c r="C402" s="18" t="s">
        <v>600</v>
      </c>
      <c r="D402" s="17" t="s">
        <v>40</v>
      </c>
      <c r="E402" s="17" t="s">
        <v>268</v>
      </c>
      <c r="F402" s="17" t="s">
        <v>121</v>
      </c>
      <c r="G402" s="298"/>
      <c r="H402" s="138"/>
      <c r="I402" s="138"/>
      <c r="J402" s="138"/>
      <c r="K402" s="138"/>
      <c r="L402" s="138"/>
      <c r="M402" s="138"/>
      <c r="N402" s="138"/>
      <c r="O402" s="139"/>
      <c r="P402" s="138"/>
      <c r="Q402" s="107"/>
      <c r="R402" s="107"/>
    </row>
    <row r="403" spans="1:18" ht="15" customHeight="1">
      <c r="A403" s="17" t="s">
        <v>402</v>
      </c>
      <c r="B403" s="17" t="s">
        <v>403</v>
      </c>
      <c r="C403" s="18" t="s">
        <v>662</v>
      </c>
      <c r="D403" s="17" t="s">
        <v>63</v>
      </c>
      <c r="E403" s="17" t="s">
        <v>277</v>
      </c>
      <c r="F403" s="17" t="s">
        <v>404</v>
      </c>
      <c r="G403" s="298"/>
      <c r="H403" s="138"/>
      <c r="I403" s="138"/>
      <c r="J403" s="138"/>
      <c r="K403" s="138"/>
      <c r="L403" s="138"/>
      <c r="M403" s="138"/>
      <c r="N403" s="138"/>
      <c r="O403" s="139"/>
      <c r="P403" s="138"/>
      <c r="Q403" s="107"/>
      <c r="R403" s="107"/>
    </row>
    <row r="404" spans="1:18" ht="15" customHeight="1">
      <c r="A404" s="17" t="s">
        <v>61</v>
      </c>
      <c r="B404" s="17" t="s">
        <v>369</v>
      </c>
      <c r="C404" s="18" t="s">
        <v>554</v>
      </c>
      <c r="D404" s="17" t="s">
        <v>63</v>
      </c>
      <c r="E404" s="17" t="s">
        <v>303</v>
      </c>
      <c r="F404" s="17" t="s">
        <v>79</v>
      </c>
      <c r="G404" s="298"/>
      <c r="H404" s="138"/>
      <c r="I404" s="138"/>
      <c r="J404" s="138"/>
      <c r="K404" s="138"/>
      <c r="L404" s="138"/>
      <c r="M404" s="138"/>
      <c r="N404" s="138"/>
      <c r="O404" s="139"/>
      <c r="P404" s="138"/>
      <c r="Q404" s="107"/>
      <c r="R404" s="107"/>
    </row>
    <row r="405" spans="1:18" ht="15" customHeight="1">
      <c r="A405" s="17" t="s">
        <v>61</v>
      </c>
      <c r="B405" s="17" t="s">
        <v>371</v>
      </c>
      <c r="C405" s="18" t="s">
        <v>273</v>
      </c>
      <c r="D405" s="17" t="s">
        <v>63</v>
      </c>
      <c r="E405" s="17" t="s">
        <v>286</v>
      </c>
      <c r="F405" s="17" t="s">
        <v>79</v>
      </c>
      <c r="G405" s="298"/>
      <c r="H405" s="138"/>
      <c r="I405" s="138"/>
      <c r="J405" s="138"/>
      <c r="K405" s="138"/>
      <c r="L405" s="138"/>
      <c r="M405" s="138"/>
      <c r="N405" s="138"/>
      <c r="O405" s="139"/>
      <c r="P405" s="138"/>
      <c r="Q405" s="107"/>
      <c r="R405" s="107"/>
    </row>
    <row r="406" spans="1:18" ht="15" customHeight="1">
      <c r="A406" s="17" t="s">
        <v>61</v>
      </c>
      <c r="B406" s="17" t="s">
        <v>375</v>
      </c>
      <c r="C406" s="18" t="s">
        <v>553</v>
      </c>
      <c r="D406" s="17" t="s">
        <v>63</v>
      </c>
      <c r="E406" s="17" t="s">
        <v>286</v>
      </c>
      <c r="F406" s="17" t="s">
        <v>79</v>
      </c>
      <c r="G406" s="298"/>
      <c r="H406" s="138"/>
      <c r="I406" s="138"/>
      <c r="J406" s="138"/>
      <c r="K406" s="138"/>
      <c r="L406" s="138"/>
      <c r="M406" s="138"/>
      <c r="N406" s="138"/>
      <c r="O406" s="139"/>
      <c r="P406" s="138"/>
      <c r="Q406" s="107"/>
      <c r="R406" s="107"/>
    </row>
    <row r="407" spans="1:18" ht="15" customHeight="1" thickBot="1">
      <c r="A407" s="30" t="s">
        <v>61</v>
      </c>
      <c r="B407" s="30" t="s">
        <v>377</v>
      </c>
      <c r="C407" s="31" t="s">
        <v>555</v>
      </c>
      <c r="D407" s="30" t="s">
        <v>63</v>
      </c>
      <c r="E407" s="30" t="s">
        <v>294</v>
      </c>
      <c r="F407" s="30" t="s">
        <v>79</v>
      </c>
      <c r="G407" s="299"/>
      <c r="H407" s="140"/>
      <c r="I407" s="140"/>
      <c r="J407" s="140"/>
      <c r="K407" s="140"/>
      <c r="L407" s="140"/>
      <c r="M407" s="140"/>
      <c r="N407" s="140"/>
      <c r="O407" s="141"/>
      <c r="P407" s="140"/>
      <c r="Q407" s="142"/>
      <c r="R407" s="142"/>
    </row>
    <row r="408" spans="1:18" ht="17.45" customHeight="1" thickBot="1">
      <c r="A408" s="283"/>
      <c r="B408" s="284"/>
      <c r="C408" s="284"/>
      <c r="D408" s="284"/>
      <c r="E408" s="284"/>
      <c r="F408" s="284"/>
      <c r="G408" s="284"/>
      <c r="H408" s="284"/>
      <c r="I408" s="284"/>
      <c r="J408" s="284"/>
      <c r="K408" s="284"/>
      <c r="L408" s="284"/>
      <c r="M408" s="284"/>
      <c r="N408" s="284"/>
      <c r="O408" s="284"/>
      <c r="P408" s="284"/>
      <c r="Q408" s="284"/>
      <c r="R408" s="285"/>
    </row>
    <row r="409" spans="1:18" ht="22.15" customHeight="1" thickTop="1" thickBot="1">
      <c r="A409" s="279" t="s">
        <v>6</v>
      </c>
      <c r="B409" s="295"/>
      <c r="C409" s="295"/>
      <c r="D409" s="295"/>
      <c r="E409" s="295"/>
      <c r="F409" s="296"/>
      <c r="G409" s="32">
        <v>46045</v>
      </c>
      <c r="H409" s="278" t="s">
        <v>7</v>
      </c>
      <c r="I409" s="295"/>
      <c r="J409" s="295"/>
      <c r="K409" s="295"/>
      <c r="L409" s="295"/>
      <c r="M409" s="295"/>
      <c r="N409" s="295"/>
      <c r="O409" s="295"/>
      <c r="P409" s="295"/>
      <c r="Q409" s="295"/>
      <c r="R409" s="296"/>
    </row>
    <row r="410" spans="1:18" ht="24" customHeight="1">
      <c r="A410" s="33" t="s">
        <v>8</v>
      </c>
      <c r="B410" s="33" t="s">
        <v>9</v>
      </c>
      <c r="C410" s="34" t="s">
        <v>10</v>
      </c>
      <c r="D410" s="33" t="s">
        <v>11</v>
      </c>
      <c r="E410" s="33" t="s">
        <v>12</v>
      </c>
      <c r="F410" s="35" t="s">
        <v>13</v>
      </c>
      <c r="G410" s="36" t="s">
        <v>14</v>
      </c>
      <c r="H410" s="33" t="s">
        <v>15</v>
      </c>
      <c r="I410" s="37" t="s">
        <v>16</v>
      </c>
      <c r="J410" s="38" t="s">
        <v>17</v>
      </c>
      <c r="K410" s="39" t="s">
        <v>18</v>
      </c>
      <c r="L410" s="38" t="s">
        <v>19</v>
      </c>
      <c r="M410" s="38" t="s">
        <v>20</v>
      </c>
      <c r="N410" s="38" t="s">
        <v>21</v>
      </c>
      <c r="O410" s="33" t="s">
        <v>22</v>
      </c>
      <c r="P410" s="34" t="s">
        <v>23</v>
      </c>
      <c r="Q410" s="38" t="s">
        <v>24</v>
      </c>
      <c r="R410" s="33" t="s">
        <v>25</v>
      </c>
    </row>
    <row r="411" spans="1:18" ht="15" customHeight="1">
      <c r="A411" s="78" t="s">
        <v>61</v>
      </c>
      <c r="B411" s="78" t="s">
        <v>715</v>
      </c>
      <c r="C411" s="79">
        <v>0.13541666666666671</v>
      </c>
      <c r="D411" s="78" t="s">
        <v>63</v>
      </c>
      <c r="E411" s="78" t="s">
        <v>177</v>
      </c>
      <c r="F411" s="78" t="s">
        <v>133</v>
      </c>
      <c r="G411" s="297"/>
      <c r="H411" s="80" t="s">
        <v>716</v>
      </c>
      <c r="I411" s="81">
        <v>0.05</v>
      </c>
      <c r="J411" s="82">
        <v>9</v>
      </c>
      <c r="K411" s="83">
        <v>46332</v>
      </c>
      <c r="L411" s="82">
        <v>9</v>
      </c>
      <c r="M411" s="82">
        <v>0</v>
      </c>
      <c r="N411" s="82">
        <v>0</v>
      </c>
      <c r="O411" s="84" t="s">
        <v>516</v>
      </c>
      <c r="P411" s="85">
        <v>0.13541666666666671</v>
      </c>
      <c r="Q411" s="82">
        <v>180</v>
      </c>
      <c r="R411" s="86" t="s">
        <v>737</v>
      </c>
    </row>
    <row r="412" spans="1:18" ht="18">
      <c r="A412" s="292" t="s">
        <v>615</v>
      </c>
      <c r="B412" s="303"/>
      <c r="C412" s="303"/>
      <c r="D412" s="303"/>
      <c r="E412" s="303"/>
      <c r="F412" s="304"/>
      <c r="G412" s="298"/>
      <c r="H412" s="138"/>
      <c r="I412" s="138"/>
      <c r="J412" s="138"/>
      <c r="K412" s="138"/>
      <c r="L412" s="138"/>
      <c r="M412" s="138"/>
      <c r="N412" s="138"/>
      <c r="O412" s="139"/>
      <c r="P412" s="138"/>
      <c r="Q412" s="107"/>
      <c r="R412" s="107"/>
    </row>
    <row r="413" spans="1:18" ht="15" customHeight="1">
      <c r="A413" s="17" t="s">
        <v>38</v>
      </c>
      <c r="B413" s="17" t="s">
        <v>342</v>
      </c>
      <c r="C413" s="18" t="s">
        <v>592</v>
      </c>
      <c r="D413" s="17" t="s">
        <v>40</v>
      </c>
      <c r="E413" s="17" t="s">
        <v>275</v>
      </c>
      <c r="F413" s="17" t="s">
        <v>347</v>
      </c>
      <c r="G413" s="298"/>
      <c r="H413" s="138"/>
      <c r="I413" s="138"/>
      <c r="J413" s="138"/>
      <c r="K413" s="138"/>
      <c r="L413" s="138"/>
      <c r="M413" s="138"/>
      <c r="N413" s="138"/>
      <c r="O413" s="139"/>
      <c r="P413" s="138"/>
      <c r="Q413" s="107"/>
      <c r="R413" s="107"/>
    </row>
    <row r="414" spans="1:18" ht="15" customHeight="1">
      <c r="A414" s="17" t="s">
        <v>359</v>
      </c>
      <c r="B414" s="17" t="s">
        <v>422</v>
      </c>
      <c r="C414" s="18" t="s">
        <v>618</v>
      </c>
      <c r="D414" s="17" t="s">
        <v>361</v>
      </c>
      <c r="E414" s="17" t="s">
        <v>270</v>
      </c>
      <c r="F414" s="17" t="s">
        <v>534</v>
      </c>
      <c r="G414" s="298"/>
      <c r="H414" s="138"/>
      <c r="I414" s="138"/>
      <c r="J414" s="138"/>
      <c r="K414" s="138"/>
      <c r="L414" s="138"/>
      <c r="M414" s="138"/>
      <c r="N414" s="138"/>
      <c r="O414" s="139"/>
      <c r="P414" s="138"/>
      <c r="Q414" s="107"/>
      <c r="R414" s="107"/>
    </row>
    <row r="415" spans="1:18" ht="15" customHeight="1">
      <c r="A415" s="17" t="s">
        <v>359</v>
      </c>
      <c r="B415" s="17" t="s">
        <v>360</v>
      </c>
      <c r="C415" s="18" t="s">
        <v>619</v>
      </c>
      <c r="D415" s="17" t="s">
        <v>361</v>
      </c>
      <c r="E415" s="17" t="s">
        <v>270</v>
      </c>
      <c r="F415" s="17" t="s">
        <v>534</v>
      </c>
      <c r="G415" s="298"/>
      <c r="H415" s="138"/>
      <c r="I415" s="138"/>
      <c r="J415" s="138"/>
      <c r="K415" s="138"/>
      <c r="L415" s="138"/>
      <c r="M415" s="138"/>
      <c r="N415" s="138"/>
      <c r="O415" s="139"/>
      <c r="P415" s="138"/>
      <c r="Q415" s="107"/>
      <c r="R415" s="107"/>
    </row>
    <row r="416" spans="1:18" ht="15" customHeight="1">
      <c r="A416" s="17" t="s">
        <v>38</v>
      </c>
      <c r="B416" s="17" t="s">
        <v>346</v>
      </c>
      <c r="C416" s="18" t="s">
        <v>600</v>
      </c>
      <c r="D416" s="17" t="s">
        <v>40</v>
      </c>
      <c r="E416" s="17" t="s">
        <v>268</v>
      </c>
      <c r="F416" s="17" t="s">
        <v>121</v>
      </c>
      <c r="G416" s="298"/>
      <c r="H416" s="138"/>
      <c r="I416" s="138"/>
      <c r="J416" s="138"/>
      <c r="K416" s="138"/>
      <c r="L416" s="138"/>
      <c r="M416" s="138"/>
      <c r="N416" s="138"/>
      <c r="O416" s="139"/>
      <c r="P416" s="138"/>
      <c r="Q416" s="107"/>
      <c r="R416" s="107"/>
    </row>
    <row r="417" spans="1:18" ht="15" customHeight="1">
      <c r="A417" s="17" t="s">
        <v>38</v>
      </c>
      <c r="B417" s="17" t="s">
        <v>344</v>
      </c>
      <c r="C417" s="18" t="s">
        <v>593</v>
      </c>
      <c r="D417" s="17" t="s">
        <v>40</v>
      </c>
      <c r="E417" s="17" t="s">
        <v>312</v>
      </c>
      <c r="F417" s="17" t="s">
        <v>121</v>
      </c>
      <c r="G417" s="298"/>
      <c r="H417" s="138"/>
      <c r="I417" s="138"/>
      <c r="J417" s="138"/>
      <c r="K417" s="138"/>
      <c r="L417" s="138"/>
      <c r="M417" s="138"/>
      <c r="N417" s="138"/>
      <c r="O417" s="139"/>
      <c r="P417" s="138"/>
      <c r="Q417" s="107"/>
      <c r="R417" s="107"/>
    </row>
    <row r="418" spans="1:18" ht="15" customHeight="1">
      <c r="A418" s="17" t="s">
        <v>38</v>
      </c>
      <c r="B418" s="17" t="s">
        <v>345</v>
      </c>
      <c r="C418" s="18" t="s">
        <v>594</v>
      </c>
      <c r="D418" s="17" t="s">
        <v>40</v>
      </c>
      <c r="E418" s="17" t="s">
        <v>284</v>
      </c>
      <c r="F418" s="17" t="s">
        <v>121</v>
      </c>
      <c r="G418" s="298"/>
      <c r="H418" s="138"/>
      <c r="I418" s="138"/>
      <c r="J418" s="138"/>
      <c r="K418" s="138"/>
      <c r="L418" s="138"/>
      <c r="M418" s="138"/>
      <c r="N418" s="138"/>
      <c r="O418" s="139"/>
      <c r="P418" s="138"/>
      <c r="Q418" s="107"/>
      <c r="R418" s="107"/>
    </row>
    <row r="419" spans="1:18" ht="15" customHeight="1">
      <c r="A419" s="17" t="s">
        <v>26</v>
      </c>
      <c r="B419" s="17" t="s">
        <v>348</v>
      </c>
      <c r="C419" s="18" t="s">
        <v>595</v>
      </c>
      <c r="D419" s="17" t="s">
        <v>28</v>
      </c>
      <c r="E419" s="17" t="s">
        <v>288</v>
      </c>
      <c r="F419" s="17" t="s">
        <v>83</v>
      </c>
      <c r="G419" s="298"/>
      <c r="H419" s="138"/>
      <c r="I419" s="138"/>
      <c r="J419" s="138"/>
      <c r="K419" s="138"/>
      <c r="L419" s="138"/>
      <c r="M419" s="138"/>
      <c r="N419" s="138"/>
      <c r="O419" s="139"/>
      <c r="P419" s="138"/>
      <c r="Q419" s="107"/>
      <c r="R419" s="107"/>
    </row>
    <row r="420" spans="1:18" ht="15" customHeight="1">
      <c r="A420" s="17" t="s">
        <v>359</v>
      </c>
      <c r="B420" s="17" t="s">
        <v>425</v>
      </c>
      <c r="C420" s="18" t="s">
        <v>620</v>
      </c>
      <c r="D420" s="17" t="s">
        <v>361</v>
      </c>
      <c r="E420" s="17" t="s">
        <v>270</v>
      </c>
      <c r="F420" s="17" t="s">
        <v>504</v>
      </c>
      <c r="G420" s="298"/>
      <c r="H420" s="138"/>
      <c r="I420" s="138"/>
      <c r="J420" s="138"/>
      <c r="K420" s="138"/>
      <c r="L420" s="138"/>
      <c r="M420" s="138"/>
      <c r="N420" s="138"/>
      <c r="O420" s="139"/>
      <c r="P420" s="138"/>
      <c r="Q420" s="107"/>
      <c r="R420" s="107"/>
    </row>
    <row r="421" spans="1:18" ht="15" customHeight="1">
      <c r="A421" s="17" t="s">
        <v>402</v>
      </c>
      <c r="B421" s="17" t="s">
        <v>403</v>
      </c>
      <c r="C421" s="18" t="s">
        <v>662</v>
      </c>
      <c r="D421" s="17" t="s">
        <v>63</v>
      </c>
      <c r="E421" s="17" t="s">
        <v>267</v>
      </c>
      <c r="F421" s="17" t="s">
        <v>404</v>
      </c>
      <c r="G421" s="298"/>
      <c r="H421" s="138"/>
      <c r="I421" s="138"/>
      <c r="J421" s="138"/>
      <c r="K421" s="138"/>
      <c r="L421" s="138"/>
      <c r="M421" s="138"/>
      <c r="N421" s="138"/>
      <c r="O421" s="139"/>
      <c r="P421" s="138"/>
      <c r="Q421" s="107"/>
      <c r="R421" s="107"/>
    </row>
    <row r="422" spans="1:18" ht="15" customHeight="1" thickBot="1">
      <c r="A422" s="30" t="s">
        <v>61</v>
      </c>
      <c r="B422" s="30" t="s">
        <v>377</v>
      </c>
      <c r="C422" s="31" t="s">
        <v>562</v>
      </c>
      <c r="D422" s="30" t="s">
        <v>63</v>
      </c>
      <c r="E422" s="30" t="s">
        <v>277</v>
      </c>
      <c r="F422" s="30" t="s">
        <v>79</v>
      </c>
      <c r="G422" s="299"/>
      <c r="H422" s="140"/>
      <c r="I422" s="140"/>
      <c r="J422" s="140"/>
      <c r="K422" s="140"/>
      <c r="L422" s="140"/>
      <c r="M422" s="140"/>
      <c r="N422" s="140"/>
      <c r="O422" s="141"/>
      <c r="P422" s="140"/>
      <c r="Q422" s="142"/>
      <c r="R422" s="142"/>
    </row>
    <row r="423" spans="1:18" ht="17.45" customHeight="1" thickBot="1">
      <c r="A423" s="283"/>
      <c r="B423" s="284"/>
      <c r="C423" s="284"/>
      <c r="D423" s="284"/>
      <c r="E423" s="284"/>
      <c r="F423" s="284"/>
      <c r="G423" s="284"/>
      <c r="H423" s="284"/>
      <c r="I423" s="284"/>
      <c r="J423" s="284"/>
      <c r="K423" s="284"/>
      <c r="L423" s="284"/>
      <c r="M423" s="284"/>
      <c r="N423" s="284"/>
      <c r="O423" s="284"/>
      <c r="P423" s="284"/>
      <c r="Q423" s="284"/>
      <c r="R423" s="285"/>
    </row>
    <row r="424" spans="1:18" ht="22.15" customHeight="1" thickTop="1" thickBot="1">
      <c r="A424" s="279" t="s">
        <v>6</v>
      </c>
      <c r="B424" s="295"/>
      <c r="C424" s="295"/>
      <c r="D424" s="295"/>
      <c r="E424" s="295"/>
      <c r="F424" s="296"/>
      <c r="G424" s="32">
        <v>46046</v>
      </c>
      <c r="H424" s="278" t="s">
        <v>7</v>
      </c>
      <c r="I424" s="295"/>
      <c r="J424" s="295"/>
      <c r="K424" s="295"/>
      <c r="L424" s="295"/>
      <c r="M424" s="295"/>
      <c r="N424" s="295"/>
      <c r="O424" s="295"/>
      <c r="P424" s="295"/>
      <c r="Q424" s="295"/>
      <c r="R424" s="296"/>
    </row>
    <row r="425" spans="1:18" ht="24" customHeight="1">
      <c r="A425" s="33" t="s">
        <v>8</v>
      </c>
      <c r="B425" s="33" t="s">
        <v>9</v>
      </c>
      <c r="C425" s="34" t="s">
        <v>10</v>
      </c>
      <c r="D425" s="33" t="s">
        <v>11</v>
      </c>
      <c r="E425" s="33" t="s">
        <v>12</v>
      </c>
      <c r="F425" s="35" t="s">
        <v>13</v>
      </c>
      <c r="G425" s="36" t="s">
        <v>14</v>
      </c>
      <c r="H425" s="33" t="s">
        <v>15</v>
      </c>
      <c r="I425" s="37" t="s">
        <v>16</v>
      </c>
      <c r="J425" s="38" t="s">
        <v>17</v>
      </c>
      <c r="K425" s="39" t="s">
        <v>18</v>
      </c>
      <c r="L425" s="38" t="s">
        <v>19</v>
      </c>
      <c r="M425" s="38" t="s">
        <v>20</v>
      </c>
      <c r="N425" s="38" t="s">
        <v>21</v>
      </c>
      <c r="O425" s="33" t="s">
        <v>22</v>
      </c>
      <c r="P425" s="34" t="s">
        <v>23</v>
      </c>
      <c r="Q425" s="38" t="s">
        <v>24</v>
      </c>
      <c r="R425" s="33" t="s">
        <v>25</v>
      </c>
    </row>
    <row r="426" spans="1:18" ht="15" customHeight="1">
      <c r="A426" s="67" t="s">
        <v>61</v>
      </c>
      <c r="B426" s="67" t="s">
        <v>715</v>
      </c>
      <c r="C426" s="68">
        <v>0.1423611111111111</v>
      </c>
      <c r="D426" s="67" t="s">
        <v>63</v>
      </c>
      <c r="E426" s="67" t="s">
        <v>143</v>
      </c>
      <c r="F426" s="67" t="s">
        <v>708</v>
      </c>
      <c r="G426" s="297"/>
      <c r="H426" s="69" t="s">
        <v>716</v>
      </c>
      <c r="I426" s="70">
        <v>1.11E-2</v>
      </c>
      <c r="J426" s="71">
        <v>2</v>
      </c>
      <c r="K426" s="72">
        <v>46344</v>
      </c>
      <c r="L426" s="71">
        <v>2</v>
      </c>
      <c r="M426" s="71">
        <v>0</v>
      </c>
      <c r="N426" s="71">
        <v>0</v>
      </c>
      <c r="O426" s="73" t="s">
        <v>298</v>
      </c>
      <c r="P426" s="74">
        <v>0.1423611111111111</v>
      </c>
      <c r="Q426" s="71">
        <v>180</v>
      </c>
      <c r="R426" s="75" t="s">
        <v>298</v>
      </c>
    </row>
    <row r="427" spans="1:18" ht="15" customHeight="1">
      <c r="A427" s="148" t="s">
        <v>61</v>
      </c>
      <c r="B427" s="148" t="s">
        <v>707</v>
      </c>
      <c r="C427" s="149">
        <v>0.30208333333333331</v>
      </c>
      <c r="D427" s="148" t="s">
        <v>63</v>
      </c>
      <c r="E427" s="148" t="s">
        <v>200</v>
      </c>
      <c r="F427" s="148" t="s">
        <v>711</v>
      </c>
      <c r="G427" s="298"/>
      <c r="H427" s="51" t="s">
        <v>709</v>
      </c>
      <c r="I427" s="52">
        <v>2.7799999999999998E-2</v>
      </c>
      <c r="J427" s="53">
        <v>5</v>
      </c>
      <c r="K427" s="54">
        <v>46302</v>
      </c>
      <c r="L427" s="53">
        <v>5</v>
      </c>
      <c r="M427" s="53">
        <v>0</v>
      </c>
      <c r="N427" s="53">
        <v>0</v>
      </c>
      <c r="O427" s="55" t="s">
        <v>184</v>
      </c>
      <c r="P427" s="56">
        <v>0.30208333333333331</v>
      </c>
      <c r="Q427" s="53">
        <v>180</v>
      </c>
      <c r="R427" s="57" t="s">
        <v>738</v>
      </c>
    </row>
    <row r="428" spans="1:18" ht="15" customHeight="1">
      <c r="A428" s="160" t="s">
        <v>61</v>
      </c>
      <c r="B428" s="160" t="s">
        <v>710</v>
      </c>
      <c r="C428" s="161">
        <v>0.52777777777777779</v>
      </c>
      <c r="D428" s="160" t="s">
        <v>63</v>
      </c>
      <c r="E428" s="160" t="s">
        <v>37</v>
      </c>
      <c r="F428" s="160" t="s">
        <v>711</v>
      </c>
      <c r="G428" s="298"/>
      <c r="H428" s="23" t="s">
        <v>712</v>
      </c>
      <c r="I428" s="24">
        <v>2.7799999999999998E-2</v>
      </c>
      <c r="J428" s="25">
        <v>5</v>
      </c>
      <c r="K428" s="26">
        <v>46334</v>
      </c>
      <c r="L428" s="25">
        <v>5</v>
      </c>
      <c r="M428" s="25">
        <v>0</v>
      </c>
      <c r="N428" s="25">
        <v>0</v>
      </c>
      <c r="O428" s="27" t="s">
        <v>300</v>
      </c>
      <c r="P428" s="28">
        <v>0.52777777777777779</v>
      </c>
      <c r="Q428" s="25">
        <v>180</v>
      </c>
      <c r="R428" s="29" t="s">
        <v>739</v>
      </c>
    </row>
    <row r="429" spans="1:18" ht="15" customHeight="1">
      <c r="A429" s="19" t="s">
        <v>68</v>
      </c>
      <c r="B429" s="19" t="s">
        <v>713</v>
      </c>
      <c r="C429" s="20">
        <v>0.30208333333333331</v>
      </c>
      <c r="D429" s="19" t="s">
        <v>70</v>
      </c>
      <c r="E429" s="19" t="s">
        <v>29</v>
      </c>
      <c r="F429" s="19" t="s">
        <v>727</v>
      </c>
      <c r="G429" s="298"/>
      <c r="H429" s="10"/>
      <c r="I429" s="11"/>
      <c r="J429" s="11"/>
      <c r="K429" s="11"/>
      <c r="L429" s="11"/>
      <c r="M429" s="11"/>
      <c r="N429" s="11"/>
      <c r="O429" s="12"/>
      <c r="P429" s="11"/>
      <c r="Q429" s="13"/>
      <c r="R429" s="14"/>
    </row>
    <row r="430" spans="1:18" ht="18">
      <c r="A430" s="292" t="s">
        <v>615</v>
      </c>
      <c r="B430" s="303"/>
      <c r="C430" s="303"/>
      <c r="D430" s="303"/>
      <c r="E430" s="303"/>
      <c r="F430" s="304"/>
      <c r="G430" s="298"/>
      <c r="H430" s="138"/>
      <c r="I430" s="138"/>
      <c r="J430" s="138"/>
      <c r="K430" s="138"/>
      <c r="L430" s="138"/>
      <c r="M430" s="138"/>
      <c r="N430" s="138"/>
      <c r="O430" s="139"/>
      <c r="P430" s="138"/>
      <c r="Q430" s="107"/>
      <c r="R430" s="107"/>
    </row>
    <row r="431" spans="1:18" ht="15" customHeight="1">
      <c r="A431" s="17" t="s">
        <v>38</v>
      </c>
      <c r="B431" s="17" t="s">
        <v>346</v>
      </c>
      <c r="C431" s="18" t="s">
        <v>600</v>
      </c>
      <c r="D431" s="17" t="s">
        <v>40</v>
      </c>
      <c r="E431" s="17" t="s">
        <v>287</v>
      </c>
      <c r="F431" s="17" t="s">
        <v>347</v>
      </c>
      <c r="G431" s="298"/>
      <c r="H431" s="138"/>
      <c r="I431" s="138"/>
      <c r="J431" s="138"/>
      <c r="K431" s="138"/>
      <c r="L431" s="138"/>
      <c r="M431" s="138"/>
      <c r="N431" s="138"/>
      <c r="O431" s="139"/>
      <c r="P431" s="138"/>
      <c r="Q431" s="107"/>
      <c r="R431" s="107"/>
    </row>
    <row r="432" spans="1:18" ht="15" customHeight="1">
      <c r="A432" s="17" t="s">
        <v>38</v>
      </c>
      <c r="B432" s="17" t="s">
        <v>344</v>
      </c>
      <c r="C432" s="18" t="s">
        <v>593</v>
      </c>
      <c r="D432" s="17" t="s">
        <v>40</v>
      </c>
      <c r="E432" s="17" t="s">
        <v>308</v>
      </c>
      <c r="F432" s="17" t="s">
        <v>347</v>
      </c>
      <c r="G432" s="298"/>
      <c r="H432" s="138"/>
      <c r="I432" s="138"/>
      <c r="J432" s="138"/>
      <c r="K432" s="138"/>
      <c r="L432" s="138"/>
      <c r="M432" s="138"/>
      <c r="N432" s="138"/>
      <c r="O432" s="139"/>
      <c r="P432" s="138"/>
      <c r="Q432" s="107"/>
      <c r="R432" s="107"/>
    </row>
    <row r="433" spans="1:18" ht="15" customHeight="1">
      <c r="A433" s="17" t="s">
        <v>38</v>
      </c>
      <c r="B433" s="17" t="s">
        <v>345</v>
      </c>
      <c r="C433" s="18" t="s">
        <v>594</v>
      </c>
      <c r="D433" s="17" t="s">
        <v>40</v>
      </c>
      <c r="E433" s="17" t="s">
        <v>284</v>
      </c>
      <c r="F433" s="17" t="s">
        <v>347</v>
      </c>
      <c r="G433" s="298"/>
      <c r="H433" s="138"/>
      <c r="I433" s="138"/>
      <c r="J433" s="138"/>
      <c r="K433" s="138"/>
      <c r="L433" s="138"/>
      <c r="M433" s="138"/>
      <c r="N433" s="138"/>
      <c r="O433" s="139"/>
      <c r="P433" s="138"/>
      <c r="Q433" s="107"/>
      <c r="R433" s="107"/>
    </row>
    <row r="434" spans="1:18" ht="15" customHeight="1">
      <c r="A434" s="17" t="s">
        <v>359</v>
      </c>
      <c r="B434" s="17" t="s">
        <v>360</v>
      </c>
      <c r="C434" s="18" t="s">
        <v>599</v>
      </c>
      <c r="D434" s="17" t="s">
        <v>361</v>
      </c>
      <c r="E434" s="17" t="s">
        <v>270</v>
      </c>
      <c r="F434" s="17" t="s">
        <v>534</v>
      </c>
      <c r="G434" s="298"/>
      <c r="H434" s="138"/>
      <c r="I434" s="138"/>
      <c r="J434" s="138"/>
      <c r="K434" s="138"/>
      <c r="L434" s="138"/>
      <c r="M434" s="138"/>
      <c r="N434" s="138"/>
      <c r="O434" s="139"/>
      <c r="P434" s="138"/>
      <c r="Q434" s="107"/>
      <c r="R434" s="107"/>
    </row>
    <row r="435" spans="1:18" ht="15" customHeight="1">
      <c r="A435" s="17" t="s">
        <v>359</v>
      </c>
      <c r="B435" s="17" t="s">
        <v>445</v>
      </c>
      <c r="C435" s="18" t="s">
        <v>635</v>
      </c>
      <c r="D435" s="17" t="s">
        <v>361</v>
      </c>
      <c r="E435" s="17" t="s">
        <v>270</v>
      </c>
      <c r="F435" s="17" t="s">
        <v>534</v>
      </c>
      <c r="G435" s="298"/>
      <c r="H435" s="138"/>
      <c r="I435" s="138"/>
      <c r="J435" s="138"/>
      <c r="K435" s="138"/>
      <c r="L435" s="138"/>
      <c r="M435" s="138"/>
      <c r="N435" s="138"/>
      <c r="O435" s="139"/>
      <c r="P435" s="138"/>
      <c r="Q435" s="107"/>
      <c r="R435" s="107"/>
    </row>
    <row r="436" spans="1:18" ht="15" customHeight="1">
      <c r="A436" s="17" t="s">
        <v>38</v>
      </c>
      <c r="B436" s="17" t="s">
        <v>342</v>
      </c>
      <c r="C436" s="18" t="s">
        <v>592</v>
      </c>
      <c r="D436" s="17" t="s">
        <v>40</v>
      </c>
      <c r="E436" s="17" t="s">
        <v>312</v>
      </c>
      <c r="F436" s="17" t="s">
        <v>121</v>
      </c>
      <c r="G436" s="298"/>
      <c r="H436" s="138"/>
      <c r="I436" s="138"/>
      <c r="J436" s="138"/>
      <c r="K436" s="138"/>
      <c r="L436" s="138"/>
      <c r="M436" s="138"/>
      <c r="N436" s="138"/>
      <c r="O436" s="139"/>
      <c r="P436" s="138"/>
      <c r="Q436" s="107"/>
      <c r="R436" s="107"/>
    </row>
    <row r="437" spans="1:18" ht="15" customHeight="1">
      <c r="A437" s="17" t="s">
        <v>26</v>
      </c>
      <c r="B437" s="17" t="s">
        <v>348</v>
      </c>
      <c r="C437" s="18" t="s">
        <v>595</v>
      </c>
      <c r="D437" s="17" t="s">
        <v>28</v>
      </c>
      <c r="E437" s="17" t="s">
        <v>294</v>
      </c>
      <c r="F437" s="17" t="s">
        <v>83</v>
      </c>
      <c r="G437" s="298"/>
      <c r="H437" s="138"/>
      <c r="I437" s="138"/>
      <c r="J437" s="138"/>
      <c r="K437" s="138"/>
      <c r="L437" s="138"/>
      <c r="M437" s="138"/>
      <c r="N437" s="138"/>
      <c r="O437" s="139"/>
      <c r="P437" s="138"/>
      <c r="Q437" s="107"/>
      <c r="R437" s="107"/>
    </row>
    <row r="438" spans="1:18" ht="15" customHeight="1">
      <c r="A438" s="17" t="s">
        <v>26</v>
      </c>
      <c r="B438" s="17" t="s">
        <v>351</v>
      </c>
      <c r="C438" s="18" t="s">
        <v>597</v>
      </c>
      <c r="D438" s="17" t="s">
        <v>28</v>
      </c>
      <c r="E438" s="17" t="s">
        <v>286</v>
      </c>
      <c r="F438" s="17" t="s">
        <v>83</v>
      </c>
      <c r="G438" s="298"/>
      <c r="H438" s="138"/>
      <c r="I438" s="138"/>
      <c r="J438" s="138"/>
      <c r="K438" s="138"/>
      <c r="L438" s="138"/>
      <c r="M438" s="138"/>
      <c r="N438" s="138"/>
      <c r="O438" s="139"/>
      <c r="P438" s="138"/>
      <c r="Q438" s="107"/>
      <c r="R438" s="107"/>
    </row>
    <row r="439" spans="1:18" ht="15" customHeight="1">
      <c r="A439" s="17" t="s">
        <v>402</v>
      </c>
      <c r="B439" s="17" t="s">
        <v>403</v>
      </c>
      <c r="C439" s="18" t="s">
        <v>662</v>
      </c>
      <c r="D439" s="17" t="s">
        <v>63</v>
      </c>
      <c r="E439" s="17" t="s">
        <v>277</v>
      </c>
      <c r="F439" s="17" t="s">
        <v>404</v>
      </c>
      <c r="G439" s="298"/>
      <c r="H439" s="138"/>
      <c r="I439" s="138"/>
      <c r="J439" s="138"/>
      <c r="K439" s="138"/>
      <c r="L439" s="138"/>
      <c r="M439" s="138"/>
      <c r="N439" s="138"/>
      <c r="O439" s="139"/>
      <c r="P439" s="138"/>
      <c r="Q439" s="107"/>
      <c r="R439" s="107"/>
    </row>
    <row r="440" spans="1:18" ht="15" customHeight="1" thickBot="1">
      <c r="A440" s="30" t="s">
        <v>61</v>
      </c>
      <c r="B440" s="30" t="s">
        <v>364</v>
      </c>
      <c r="C440" s="31" t="s">
        <v>568</v>
      </c>
      <c r="D440" s="30" t="s">
        <v>63</v>
      </c>
      <c r="E440" s="30" t="s">
        <v>267</v>
      </c>
      <c r="F440" s="30" t="s">
        <v>79</v>
      </c>
      <c r="G440" s="299"/>
      <c r="H440" s="140"/>
      <c r="I440" s="140"/>
      <c r="J440" s="140"/>
      <c r="K440" s="140"/>
      <c r="L440" s="140"/>
      <c r="M440" s="140"/>
      <c r="N440" s="140"/>
      <c r="O440" s="141"/>
      <c r="P440" s="140"/>
      <c r="Q440" s="142"/>
      <c r="R440" s="142"/>
    </row>
    <row r="441" spans="1:18" ht="17.45" customHeight="1" thickBot="1">
      <c r="A441" s="283"/>
      <c r="B441" s="284"/>
      <c r="C441" s="284"/>
      <c r="D441" s="284"/>
      <c r="E441" s="284"/>
      <c r="F441" s="284"/>
      <c r="G441" s="284"/>
      <c r="H441" s="284"/>
      <c r="I441" s="284"/>
      <c r="J441" s="284"/>
      <c r="K441" s="284"/>
      <c r="L441" s="284"/>
      <c r="M441" s="284"/>
      <c r="N441" s="284"/>
      <c r="O441" s="284"/>
      <c r="P441" s="284"/>
      <c r="Q441" s="284"/>
      <c r="R441" s="285"/>
    </row>
    <row r="442" spans="1:18" ht="22.15" customHeight="1" thickTop="1" thickBot="1">
      <c r="A442" s="279" t="s">
        <v>6</v>
      </c>
      <c r="B442" s="295"/>
      <c r="C442" s="295"/>
      <c r="D442" s="295"/>
      <c r="E442" s="295"/>
      <c r="F442" s="296"/>
      <c r="G442" s="32">
        <v>46047</v>
      </c>
      <c r="H442" s="278" t="s">
        <v>7</v>
      </c>
      <c r="I442" s="295"/>
      <c r="J442" s="295"/>
      <c r="K442" s="295"/>
      <c r="L442" s="295"/>
      <c r="M442" s="295"/>
      <c r="N442" s="295"/>
      <c r="O442" s="295"/>
      <c r="P442" s="295"/>
      <c r="Q442" s="295"/>
      <c r="R442" s="296"/>
    </row>
    <row r="443" spans="1:18" ht="24" customHeight="1">
      <c r="A443" s="33" t="s">
        <v>8</v>
      </c>
      <c r="B443" s="33" t="s">
        <v>9</v>
      </c>
      <c r="C443" s="34" t="s">
        <v>10</v>
      </c>
      <c r="D443" s="33" t="s">
        <v>11</v>
      </c>
      <c r="E443" s="33" t="s">
        <v>12</v>
      </c>
      <c r="F443" s="35" t="s">
        <v>13</v>
      </c>
      <c r="G443" s="36" t="s">
        <v>14</v>
      </c>
      <c r="H443" s="33" t="s">
        <v>15</v>
      </c>
      <c r="I443" s="37" t="s">
        <v>16</v>
      </c>
      <c r="J443" s="38" t="s">
        <v>17</v>
      </c>
      <c r="K443" s="39" t="s">
        <v>18</v>
      </c>
      <c r="L443" s="38" t="s">
        <v>19</v>
      </c>
      <c r="M443" s="38" t="s">
        <v>20</v>
      </c>
      <c r="N443" s="38" t="s">
        <v>21</v>
      </c>
      <c r="O443" s="33" t="s">
        <v>22</v>
      </c>
      <c r="P443" s="34" t="s">
        <v>23</v>
      </c>
      <c r="Q443" s="38" t="s">
        <v>24</v>
      </c>
      <c r="R443" s="33" t="s">
        <v>25</v>
      </c>
    </row>
    <row r="444" spans="1:18" ht="15" customHeight="1">
      <c r="A444" s="78" t="s">
        <v>61</v>
      </c>
      <c r="B444" s="78" t="s">
        <v>710</v>
      </c>
      <c r="C444" s="79">
        <v>0.69097222222222221</v>
      </c>
      <c r="D444" s="78" t="s">
        <v>63</v>
      </c>
      <c r="E444" s="78" t="s">
        <v>156</v>
      </c>
      <c r="F444" s="78" t="s">
        <v>708</v>
      </c>
      <c r="G444" s="297"/>
      <c r="H444" s="80" t="s">
        <v>712</v>
      </c>
      <c r="I444" s="81">
        <v>1.67E-2</v>
      </c>
      <c r="J444" s="82">
        <v>3</v>
      </c>
      <c r="K444" s="83">
        <v>46342</v>
      </c>
      <c r="L444" s="82">
        <v>3</v>
      </c>
      <c r="M444" s="82">
        <v>0</v>
      </c>
      <c r="N444" s="82">
        <v>0</v>
      </c>
      <c r="O444" s="84" t="s">
        <v>302</v>
      </c>
      <c r="P444" s="85">
        <v>0.69097222222222221</v>
      </c>
      <c r="Q444" s="82">
        <v>180</v>
      </c>
      <c r="R444" s="86" t="s">
        <v>304</v>
      </c>
    </row>
    <row r="445" spans="1:18" ht="15" customHeight="1">
      <c r="A445" s="158" t="s">
        <v>61</v>
      </c>
      <c r="B445" s="158" t="s">
        <v>715</v>
      </c>
      <c r="C445" s="159">
        <v>0.3298611111111111</v>
      </c>
      <c r="D445" s="158" t="s">
        <v>63</v>
      </c>
      <c r="E445" s="158" t="s">
        <v>37</v>
      </c>
      <c r="F445" s="158" t="s">
        <v>711</v>
      </c>
      <c r="G445" s="298"/>
      <c r="H445" s="89" t="s">
        <v>716</v>
      </c>
      <c r="I445" s="90">
        <v>2.2200000000000001E-2</v>
      </c>
      <c r="J445" s="91">
        <v>4</v>
      </c>
      <c r="K445" s="92">
        <v>46345</v>
      </c>
      <c r="L445" s="91">
        <v>4</v>
      </c>
      <c r="M445" s="91">
        <v>0</v>
      </c>
      <c r="N445" s="91">
        <v>0</v>
      </c>
      <c r="O445" s="93" t="s">
        <v>300</v>
      </c>
      <c r="P445" s="94">
        <v>0.3298611111111111</v>
      </c>
      <c r="Q445" s="91">
        <v>180</v>
      </c>
      <c r="R445" s="95" t="s">
        <v>307</v>
      </c>
    </row>
    <row r="446" spans="1:18" ht="15" customHeight="1">
      <c r="A446" s="19" t="s">
        <v>38</v>
      </c>
      <c r="B446" s="19" t="s">
        <v>719</v>
      </c>
      <c r="C446" s="20">
        <v>0.36458333333333331</v>
      </c>
      <c r="D446" s="19" t="s">
        <v>622</v>
      </c>
      <c r="E446" s="19" t="s">
        <v>198</v>
      </c>
      <c r="F446" s="19" t="s">
        <v>89</v>
      </c>
      <c r="G446" s="298"/>
      <c r="H446" s="10"/>
      <c r="I446" s="11"/>
      <c r="J446" s="11"/>
      <c r="K446" s="11"/>
      <c r="L446" s="11"/>
      <c r="M446" s="11"/>
      <c r="N446" s="11"/>
      <c r="O446" s="12"/>
      <c r="P446" s="11"/>
      <c r="Q446" s="13"/>
      <c r="R446" s="14"/>
    </row>
    <row r="447" spans="1:18" ht="15" customHeight="1">
      <c r="A447" s="15" t="s">
        <v>38</v>
      </c>
      <c r="B447" s="15" t="s">
        <v>719</v>
      </c>
      <c r="C447" s="16">
        <v>0.36458333333333331</v>
      </c>
      <c r="D447" s="15" t="s">
        <v>603</v>
      </c>
      <c r="E447" s="15" t="s">
        <v>199</v>
      </c>
      <c r="F447" s="15" t="s">
        <v>728</v>
      </c>
      <c r="G447" s="298"/>
      <c r="H447" s="10"/>
      <c r="I447" s="11"/>
      <c r="J447" s="11"/>
      <c r="K447" s="11"/>
      <c r="L447" s="11"/>
      <c r="M447" s="11"/>
      <c r="N447" s="11"/>
      <c r="O447" s="12"/>
      <c r="P447" s="11"/>
      <c r="Q447" s="13"/>
      <c r="R447" s="14"/>
    </row>
    <row r="448" spans="1:18" ht="15" customHeight="1">
      <c r="A448" s="15" t="s">
        <v>38</v>
      </c>
      <c r="B448" s="15" t="s">
        <v>719</v>
      </c>
      <c r="C448" s="16">
        <v>0.36458333333333331</v>
      </c>
      <c r="D448" s="15" t="s">
        <v>605</v>
      </c>
      <c r="E448" s="15" t="s">
        <v>199</v>
      </c>
      <c r="F448" s="15" t="s">
        <v>729</v>
      </c>
      <c r="G448" s="298"/>
      <c r="H448" s="10"/>
      <c r="I448" s="11"/>
      <c r="J448" s="11"/>
      <c r="K448" s="11"/>
      <c r="L448" s="11"/>
      <c r="M448" s="11"/>
      <c r="N448" s="11"/>
      <c r="O448" s="12"/>
      <c r="P448" s="11"/>
      <c r="Q448" s="13"/>
      <c r="R448" s="14"/>
    </row>
    <row r="449" spans="1:18" ht="15" customHeight="1">
      <c r="A449" s="15" t="s">
        <v>38</v>
      </c>
      <c r="B449" s="15" t="s">
        <v>719</v>
      </c>
      <c r="C449" s="16">
        <v>0.36458333333333331</v>
      </c>
      <c r="D449" s="15" t="s">
        <v>625</v>
      </c>
      <c r="E449" s="15" t="s">
        <v>199</v>
      </c>
      <c r="F449" s="15" t="s">
        <v>511</v>
      </c>
      <c r="G449" s="298"/>
      <c r="H449" s="10"/>
      <c r="I449" s="11"/>
      <c r="J449" s="11"/>
      <c r="K449" s="11"/>
      <c r="L449" s="11"/>
      <c r="M449" s="11"/>
      <c r="N449" s="11"/>
      <c r="O449" s="12"/>
      <c r="P449" s="11"/>
      <c r="Q449" s="13"/>
      <c r="R449" s="14"/>
    </row>
    <row r="450" spans="1:18" ht="18">
      <c r="A450" s="292" t="s">
        <v>615</v>
      </c>
      <c r="B450" s="303"/>
      <c r="C450" s="303"/>
      <c r="D450" s="303"/>
      <c r="E450" s="303"/>
      <c r="F450" s="304"/>
      <c r="G450" s="298"/>
      <c r="H450" s="138"/>
      <c r="I450" s="138"/>
      <c r="J450" s="138"/>
      <c r="K450" s="138"/>
      <c r="L450" s="138"/>
      <c r="M450" s="138"/>
      <c r="N450" s="138"/>
      <c r="O450" s="139"/>
      <c r="P450" s="138"/>
      <c r="Q450" s="107"/>
      <c r="R450" s="107"/>
    </row>
    <row r="451" spans="1:18" ht="15" customHeight="1">
      <c r="A451" s="17" t="s">
        <v>38</v>
      </c>
      <c r="B451" s="17" t="s">
        <v>342</v>
      </c>
      <c r="C451" s="18" t="s">
        <v>592</v>
      </c>
      <c r="D451" s="17" t="s">
        <v>40</v>
      </c>
      <c r="E451" s="17" t="s">
        <v>281</v>
      </c>
      <c r="F451" s="17" t="s">
        <v>81</v>
      </c>
      <c r="G451" s="298"/>
      <c r="H451" s="138"/>
      <c r="I451" s="138"/>
      <c r="J451" s="138"/>
      <c r="K451" s="138"/>
      <c r="L451" s="138"/>
      <c r="M451" s="138"/>
      <c r="N451" s="138"/>
      <c r="O451" s="139"/>
      <c r="P451" s="138"/>
      <c r="Q451" s="107"/>
      <c r="R451" s="107"/>
    </row>
    <row r="452" spans="1:18" ht="15" customHeight="1">
      <c r="A452" s="17" t="s">
        <v>38</v>
      </c>
      <c r="B452" s="17" t="s">
        <v>346</v>
      </c>
      <c r="C452" s="18" t="s">
        <v>600</v>
      </c>
      <c r="D452" s="17" t="s">
        <v>40</v>
      </c>
      <c r="E452" s="17" t="s">
        <v>268</v>
      </c>
      <c r="F452" s="17" t="s">
        <v>347</v>
      </c>
      <c r="G452" s="298"/>
      <c r="H452" s="138"/>
      <c r="I452" s="138"/>
      <c r="J452" s="138"/>
      <c r="K452" s="138"/>
      <c r="L452" s="138"/>
      <c r="M452" s="138"/>
      <c r="N452" s="138"/>
      <c r="O452" s="139"/>
      <c r="P452" s="138"/>
      <c r="Q452" s="107"/>
      <c r="R452" s="107"/>
    </row>
    <row r="453" spans="1:18" ht="15" customHeight="1">
      <c r="A453" s="17" t="s">
        <v>38</v>
      </c>
      <c r="B453" s="17" t="s">
        <v>344</v>
      </c>
      <c r="C453" s="18" t="s">
        <v>593</v>
      </c>
      <c r="D453" s="17" t="s">
        <v>40</v>
      </c>
      <c r="E453" s="17" t="s">
        <v>268</v>
      </c>
      <c r="F453" s="17" t="s">
        <v>347</v>
      </c>
      <c r="G453" s="298"/>
      <c r="H453" s="138"/>
      <c r="I453" s="138"/>
      <c r="J453" s="138"/>
      <c r="K453" s="138"/>
      <c r="L453" s="138"/>
      <c r="M453" s="138"/>
      <c r="N453" s="138"/>
      <c r="O453" s="139"/>
      <c r="P453" s="138"/>
      <c r="Q453" s="107"/>
      <c r="R453" s="107"/>
    </row>
    <row r="454" spans="1:18" ht="15" customHeight="1">
      <c r="A454" s="17" t="s">
        <v>38</v>
      </c>
      <c r="B454" s="17" t="s">
        <v>345</v>
      </c>
      <c r="C454" s="18" t="s">
        <v>594</v>
      </c>
      <c r="D454" s="17" t="s">
        <v>40</v>
      </c>
      <c r="E454" s="17" t="s">
        <v>293</v>
      </c>
      <c r="F454" s="17" t="s">
        <v>347</v>
      </c>
      <c r="G454" s="298"/>
      <c r="H454" s="138"/>
      <c r="I454" s="138"/>
      <c r="J454" s="138"/>
      <c r="K454" s="138"/>
      <c r="L454" s="138"/>
      <c r="M454" s="138"/>
      <c r="N454" s="138"/>
      <c r="O454" s="139"/>
      <c r="P454" s="138"/>
      <c r="Q454" s="107"/>
      <c r="R454" s="107"/>
    </row>
    <row r="455" spans="1:18" ht="15" customHeight="1">
      <c r="A455" s="17" t="s">
        <v>359</v>
      </c>
      <c r="B455" s="17" t="s">
        <v>360</v>
      </c>
      <c r="C455" s="18" t="s">
        <v>257</v>
      </c>
      <c r="D455" s="17" t="s">
        <v>361</v>
      </c>
      <c r="E455" s="17" t="s">
        <v>270</v>
      </c>
      <c r="F455" s="17" t="s">
        <v>534</v>
      </c>
      <c r="G455" s="298"/>
      <c r="H455" s="138"/>
      <c r="I455" s="138"/>
      <c r="J455" s="138"/>
      <c r="K455" s="138"/>
      <c r="L455" s="138"/>
      <c r="M455" s="138"/>
      <c r="N455" s="138"/>
      <c r="O455" s="139"/>
      <c r="P455" s="138"/>
      <c r="Q455" s="107"/>
      <c r="R455" s="107"/>
    </row>
    <row r="456" spans="1:18" ht="15" customHeight="1">
      <c r="A456" s="17" t="s">
        <v>61</v>
      </c>
      <c r="B456" s="17" t="s">
        <v>432</v>
      </c>
      <c r="C456" s="18" t="s">
        <v>572</v>
      </c>
      <c r="D456" s="17" t="s">
        <v>63</v>
      </c>
      <c r="E456" s="17" t="s">
        <v>288</v>
      </c>
      <c r="F456" s="17" t="s">
        <v>365</v>
      </c>
      <c r="G456" s="298"/>
      <c r="H456" s="138"/>
      <c r="I456" s="138"/>
      <c r="J456" s="138"/>
      <c r="K456" s="138"/>
      <c r="L456" s="138"/>
      <c r="M456" s="138"/>
      <c r="N456" s="138"/>
      <c r="O456" s="139"/>
      <c r="P456" s="138"/>
      <c r="Q456" s="107"/>
      <c r="R456" s="107"/>
    </row>
    <row r="457" spans="1:18" ht="15" customHeight="1">
      <c r="A457" s="17" t="s">
        <v>26</v>
      </c>
      <c r="B457" s="17" t="s">
        <v>354</v>
      </c>
      <c r="C457" s="18" t="s">
        <v>656</v>
      </c>
      <c r="D457" s="17" t="s">
        <v>28</v>
      </c>
      <c r="E457" s="17" t="s">
        <v>288</v>
      </c>
      <c r="F457" s="17" t="s">
        <v>83</v>
      </c>
      <c r="G457" s="298"/>
      <c r="H457" s="138"/>
      <c r="I457" s="138"/>
      <c r="J457" s="138"/>
      <c r="K457" s="138"/>
      <c r="L457" s="138"/>
      <c r="M457" s="138"/>
      <c r="N457" s="138"/>
      <c r="O457" s="139"/>
      <c r="P457" s="138"/>
      <c r="Q457" s="107"/>
      <c r="R457" s="107"/>
    </row>
    <row r="458" spans="1:18" ht="15" customHeight="1">
      <c r="A458" s="17" t="s">
        <v>26</v>
      </c>
      <c r="B458" s="17" t="s">
        <v>348</v>
      </c>
      <c r="C458" s="18" t="s">
        <v>595</v>
      </c>
      <c r="D458" s="17" t="s">
        <v>28</v>
      </c>
      <c r="E458" s="17" t="s">
        <v>294</v>
      </c>
      <c r="F458" s="17" t="s">
        <v>83</v>
      </c>
      <c r="G458" s="298"/>
      <c r="H458" s="138"/>
      <c r="I458" s="138"/>
      <c r="J458" s="138"/>
      <c r="K458" s="138"/>
      <c r="L458" s="138"/>
      <c r="M458" s="138"/>
      <c r="N458" s="138"/>
      <c r="O458" s="139"/>
      <c r="P458" s="138"/>
      <c r="Q458" s="107"/>
      <c r="R458" s="107"/>
    </row>
    <row r="459" spans="1:18" ht="15" customHeight="1">
      <c r="A459" s="17" t="s">
        <v>26</v>
      </c>
      <c r="B459" s="17" t="s">
        <v>350</v>
      </c>
      <c r="C459" s="18" t="s">
        <v>596</v>
      </c>
      <c r="D459" s="17" t="s">
        <v>28</v>
      </c>
      <c r="E459" s="17" t="s">
        <v>288</v>
      </c>
      <c r="F459" s="17" t="s">
        <v>83</v>
      </c>
      <c r="G459" s="298"/>
      <c r="H459" s="138"/>
      <c r="I459" s="138"/>
      <c r="J459" s="138"/>
      <c r="K459" s="138"/>
      <c r="L459" s="138"/>
      <c r="M459" s="138"/>
      <c r="N459" s="138"/>
      <c r="O459" s="139"/>
      <c r="P459" s="138"/>
      <c r="Q459" s="107"/>
      <c r="R459" s="107"/>
    </row>
    <row r="460" spans="1:18" ht="15" customHeight="1" thickBot="1">
      <c r="A460" s="30" t="s">
        <v>26</v>
      </c>
      <c r="B460" s="30" t="s">
        <v>353</v>
      </c>
      <c r="C460" s="31" t="s">
        <v>593</v>
      </c>
      <c r="D460" s="30" t="s">
        <v>28</v>
      </c>
      <c r="E460" s="30" t="s">
        <v>286</v>
      </c>
      <c r="F460" s="30" t="s">
        <v>83</v>
      </c>
      <c r="G460" s="299"/>
      <c r="H460" s="140"/>
      <c r="I460" s="140"/>
      <c r="J460" s="140"/>
      <c r="K460" s="140"/>
      <c r="L460" s="140"/>
      <c r="M460" s="140"/>
      <c r="N460" s="140"/>
      <c r="O460" s="141"/>
      <c r="P460" s="140"/>
      <c r="Q460" s="142"/>
      <c r="R460" s="142"/>
    </row>
    <row r="461" spans="1:18" ht="17.45" customHeight="1" thickBot="1">
      <c r="A461" s="283"/>
      <c r="B461" s="284"/>
      <c r="C461" s="284"/>
      <c r="D461" s="284"/>
      <c r="E461" s="284"/>
      <c r="F461" s="284"/>
      <c r="G461" s="284"/>
      <c r="H461" s="284"/>
      <c r="I461" s="284"/>
      <c r="J461" s="284"/>
      <c r="K461" s="284"/>
      <c r="L461" s="284"/>
      <c r="M461" s="284"/>
      <c r="N461" s="284"/>
      <c r="O461" s="284"/>
      <c r="P461" s="284"/>
      <c r="Q461" s="284"/>
      <c r="R461" s="285"/>
    </row>
    <row r="462" spans="1:18" ht="22.15" customHeight="1" thickTop="1" thickBot="1">
      <c r="A462" s="279" t="s">
        <v>6</v>
      </c>
      <c r="B462" s="295"/>
      <c r="C462" s="295"/>
      <c r="D462" s="295"/>
      <c r="E462" s="295"/>
      <c r="F462" s="296"/>
      <c r="G462" s="32">
        <v>46048</v>
      </c>
      <c r="H462" s="278" t="s">
        <v>7</v>
      </c>
      <c r="I462" s="295"/>
      <c r="J462" s="295"/>
      <c r="K462" s="295"/>
      <c r="L462" s="295"/>
      <c r="M462" s="295"/>
      <c r="N462" s="295"/>
      <c r="O462" s="295"/>
      <c r="P462" s="295"/>
      <c r="Q462" s="295"/>
      <c r="R462" s="296"/>
    </row>
    <row r="463" spans="1:18" ht="24" customHeight="1">
      <c r="A463" s="33" t="s">
        <v>8</v>
      </c>
      <c r="B463" s="33" t="s">
        <v>9</v>
      </c>
      <c r="C463" s="34" t="s">
        <v>10</v>
      </c>
      <c r="D463" s="33" t="s">
        <v>11</v>
      </c>
      <c r="E463" s="33" t="s">
        <v>12</v>
      </c>
      <c r="F463" s="35" t="s">
        <v>13</v>
      </c>
      <c r="G463" s="36" t="s">
        <v>14</v>
      </c>
      <c r="H463" s="33" t="s">
        <v>15</v>
      </c>
      <c r="I463" s="37" t="s">
        <v>16</v>
      </c>
      <c r="J463" s="38" t="s">
        <v>17</v>
      </c>
      <c r="K463" s="39" t="s">
        <v>18</v>
      </c>
      <c r="L463" s="38" t="s">
        <v>19</v>
      </c>
      <c r="M463" s="38" t="s">
        <v>20</v>
      </c>
      <c r="N463" s="38" t="s">
        <v>21</v>
      </c>
      <c r="O463" s="33" t="s">
        <v>22</v>
      </c>
      <c r="P463" s="34" t="s">
        <v>23</v>
      </c>
      <c r="Q463" s="38" t="s">
        <v>24</v>
      </c>
      <c r="R463" s="33" t="s">
        <v>25</v>
      </c>
    </row>
    <row r="464" spans="1:18" ht="15" customHeight="1">
      <c r="A464" s="98" t="s">
        <v>61</v>
      </c>
      <c r="B464" s="98" t="s">
        <v>707</v>
      </c>
      <c r="C464" s="99">
        <v>0.54861111111111105</v>
      </c>
      <c r="D464" s="98" t="s">
        <v>63</v>
      </c>
      <c r="E464" s="98" t="s">
        <v>29</v>
      </c>
      <c r="F464" s="98" t="s">
        <v>708</v>
      </c>
      <c r="G464" s="297"/>
      <c r="H464" s="100" t="s">
        <v>709</v>
      </c>
      <c r="I464" s="101">
        <v>0</v>
      </c>
      <c r="J464" s="102">
        <v>0</v>
      </c>
      <c r="K464" s="103" t="s">
        <v>66</v>
      </c>
      <c r="L464" s="102">
        <v>0</v>
      </c>
      <c r="M464" s="102">
        <v>0</v>
      </c>
      <c r="N464" s="102">
        <v>0</v>
      </c>
      <c r="O464" s="104" t="s">
        <v>307</v>
      </c>
      <c r="P464" s="105">
        <v>0.54861111111111105</v>
      </c>
      <c r="Q464" s="102">
        <v>180</v>
      </c>
      <c r="R464" s="106" t="s">
        <v>66</v>
      </c>
    </row>
    <row r="465" spans="1:18" ht="15" customHeight="1">
      <c r="A465" s="156" t="s">
        <v>61</v>
      </c>
      <c r="B465" s="156" t="s">
        <v>710</v>
      </c>
      <c r="C465" s="157">
        <v>0.19444444444444439</v>
      </c>
      <c r="D465" s="156" t="s">
        <v>63</v>
      </c>
      <c r="E465" s="156" t="s">
        <v>37</v>
      </c>
      <c r="F465" s="156" t="s">
        <v>708</v>
      </c>
      <c r="G465" s="298"/>
      <c r="H465" s="42" t="s">
        <v>712</v>
      </c>
      <c r="I465" s="43">
        <v>0</v>
      </c>
      <c r="J465" s="44">
        <v>0</v>
      </c>
      <c r="K465" s="45" t="s">
        <v>66</v>
      </c>
      <c r="L465" s="44">
        <v>0</v>
      </c>
      <c r="M465" s="44">
        <v>0</v>
      </c>
      <c r="N465" s="44">
        <v>0</v>
      </c>
      <c r="O465" s="46" t="s">
        <v>307</v>
      </c>
      <c r="P465" s="47">
        <v>0.19444444444444439</v>
      </c>
      <c r="Q465" s="44">
        <v>180</v>
      </c>
      <c r="R465" s="48" t="s">
        <v>66</v>
      </c>
    </row>
    <row r="466" spans="1:18" ht="15" customHeight="1">
      <c r="A466" s="160" t="s">
        <v>61</v>
      </c>
      <c r="B466" s="160" t="s">
        <v>715</v>
      </c>
      <c r="C466" s="161">
        <v>9.375E-2</v>
      </c>
      <c r="D466" s="160" t="s">
        <v>63</v>
      </c>
      <c r="E466" s="160" t="s">
        <v>200</v>
      </c>
      <c r="F466" s="160" t="s">
        <v>708</v>
      </c>
      <c r="G466" s="298"/>
      <c r="H466" s="23" t="s">
        <v>716</v>
      </c>
      <c r="I466" s="24">
        <v>5.5999999999999999E-3</v>
      </c>
      <c r="J466" s="25">
        <v>1</v>
      </c>
      <c r="K466" s="26">
        <v>46307</v>
      </c>
      <c r="L466" s="25">
        <v>1</v>
      </c>
      <c r="M466" s="25">
        <v>0</v>
      </c>
      <c r="N466" s="25">
        <v>0</v>
      </c>
      <c r="O466" s="27" t="s">
        <v>304</v>
      </c>
      <c r="P466" s="28">
        <v>9.375E-2</v>
      </c>
      <c r="Q466" s="25">
        <v>180</v>
      </c>
      <c r="R466" s="29" t="s">
        <v>302</v>
      </c>
    </row>
    <row r="467" spans="1:18" ht="15" customHeight="1">
      <c r="A467" s="19" t="s">
        <v>68</v>
      </c>
      <c r="B467" s="19" t="s">
        <v>713</v>
      </c>
      <c r="C467" s="20">
        <v>0.54861111111111105</v>
      </c>
      <c r="D467" s="19" t="s">
        <v>643</v>
      </c>
      <c r="E467" s="19" t="s">
        <v>29</v>
      </c>
      <c r="F467" s="19" t="s">
        <v>714</v>
      </c>
      <c r="G467" s="298"/>
      <c r="H467" s="10"/>
      <c r="I467" s="11"/>
      <c r="J467" s="11"/>
      <c r="K467" s="11"/>
      <c r="L467" s="11"/>
      <c r="M467" s="11"/>
      <c r="N467" s="11"/>
      <c r="O467" s="12"/>
      <c r="P467" s="11"/>
      <c r="Q467" s="13"/>
      <c r="R467" s="14"/>
    </row>
    <row r="468" spans="1:18" ht="18">
      <c r="A468" s="292" t="s">
        <v>615</v>
      </c>
      <c r="B468" s="303"/>
      <c r="C468" s="303"/>
      <c r="D468" s="303"/>
      <c r="E468" s="303"/>
      <c r="F468" s="304"/>
      <c r="G468" s="298"/>
      <c r="H468" s="138"/>
      <c r="I468" s="138"/>
      <c r="J468" s="138"/>
      <c r="K468" s="138"/>
      <c r="L468" s="138"/>
      <c r="M468" s="138"/>
      <c r="N468" s="138"/>
      <c r="O468" s="139"/>
      <c r="P468" s="138"/>
      <c r="Q468" s="107"/>
      <c r="R468" s="107"/>
    </row>
    <row r="469" spans="1:18" ht="15" customHeight="1">
      <c r="A469" s="17" t="s">
        <v>38</v>
      </c>
      <c r="B469" s="17" t="s">
        <v>342</v>
      </c>
      <c r="C469" s="18" t="s">
        <v>592</v>
      </c>
      <c r="D469" s="17" t="s">
        <v>40</v>
      </c>
      <c r="E469" s="17" t="s">
        <v>308</v>
      </c>
      <c r="F469" s="17" t="s">
        <v>81</v>
      </c>
      <c r="G469" s="298"/>
      <c r="H469" s="138"/>
      <c r="I469" s="138"/>
      <c r="J469" s="138"/>
      <c r="K469" s="138"/>
      <c r="L469" s="138"/>
      <c r="M469" s="138"/>
      <c r="N469" s="138"/>
      <c r="O469" s="139"/>
      <c r="P469" s="138"/>
      <c r="Q469" s="107"/>
      <c r="R469" s="107"/>
    </row>
    <row r="470" spans="1:18" ht="15" customHeight="1">
      <c r="A470" s="17" t="s">
        <v>38</v>
      </c>
      <c r="B470" s="17" t="s">
        <v>346</v>
      </c>
      <c r="C470" s="18" t="s">
        <v>600</v>
      </c>
      <c r="D470" s="17" t="s">
        <v>40</v>
      </c>
      <c r="E470" s="17" t="s">
        <v>268</v>
      </c>
      <c r="F470" s="17" t="s">
        <v>347</v>
      </c>
      <c r="G470" s="298"/>
      <c r="H470" s="138"/>
      <c r="I470" s="138"/>
      <c r="J470" s="138"/>
      <c r="K470" s="138"/>
      <c r="L470" s="138"/>
      <c r="M470" s="138"/>
      <c r="N470" s="138"/>
      <c r="O470" s="139"/>
      <c r="P470" s="138"/>
      <c r="Q470" s="107"/>
      <c r="R470" s="107"/>
    </row>
    <row r="471" spans="1:18" ht="15" customHeight="1">
      <c r="A471" s="17" t="s">
        <v>38</v>
      </c>
      <c r="B471" s="17" t="s">
        <v>344</v>
      </c>
      <c r="C471" s="18" t="s">
        <v>593</v>
      </c>
      <c r="D471" s="17" t="s">
        <v>40</v>
      </c>
      <c r="E471" s="17" t="s">
        <v>268</v>
      </c>
      <c r="F471" s="17" t="s">
        <v>347</v>
      </c>
      <c r="G471" s="298"/>
      <c r="H471" s="138"/>
      <c r="I471" s="138"/>
      <c r="J471" s="138"/>
      <c r="K471" s="138"/>
      <c r="L471" s="138"/>
      <c r="M471" s="138"/>
      <c r="N471" s="138"/>
      <c r="O471" s="139"/>
      <c r="P471" s="138"/>
      <c r="Q471" s="107"/>
      <c r="R471" s="107"/>
    </row>
    <row r="472" spans="1:18" ht="15" customHeight="1">
      <c r="A472" s="17" t="s">
        <v>38</v>
      </c>
      <c r="B472" s="17" t="s">
        <v>345</v>
      </c>
      <c r="C472" s="18" t="s">
        <v>594</v>
      </c>
      <c r="D472" s="17" t="s">
        <v>40</v>
      </c>
      <c r="E472" s="17" t="s">
        <v>268</v>
      </c>
      <c r="F472" s="17" t="s">
        <v>347</v>
      </c>
      <c r="G472" s="298"/>
      <c r="H472" s="138"/>
      <c r="I472" s="138"/>
      <c r="J472" s="138"/>
      <c r="K472" s="138"/>
      <c r="L472" s="138"/>
      <c r="M472" s="138"/>
      <c r="N472" s="138"/>
      <c r="O472" s="139"/>
      <c r="P472" s="138"/>
      <c r="Q472" s="107"/>
      <c r="R472" s="107"/>
    </row>
    <row r="473" spans="1:18" ht="15" customHeight="1">
      <c r="A473" s="17" t="s">
        <v>359</v>
      </c>
      <c r="B473" s="17" t="s">
        <v>360</v>
      </c>
      <c r="C473" s="18" t="s">
        <v>619</v>
      </c>
      <c r="D473" s="17" t="s">
        <v>361</v>
      </c>
      <c r="E473" s="17" t="s">
        <v>270</v>
      </c>
      <c r="F473" s="17" t="s">
        <v>525</v>
      </c>
      <c r="G473" s="298"/>
      <c r="H473" s="138"/>
      <c r="I473" s="138"/>
      <c r="J473" s="138"/>
      <c r="K473" s="138"/>
      <c r="L473" s="138"/>
      <c r="M473" s="138"/>
      <c r="N473" s="138"/>
      <c r="O473" s="139"/>
      <c r="P473" s="138"/>
      <c r="Q473" s="107"/>
      <c r="R473" s="107"/>
    </row>
    <row r="474" spans="1:18" ht="15" customHeight="1">
      <c r="A474" s="17" t="s">
        <v>359</v>
      </c>
      <c r="B474" s="17" t="s">
        <v>445</v>
      </c>
      <c r="C474" s="18" t="s">
        <v>641</v>
      </c>
      <c r="D474" s="17" t="s">
        <v>361</v>
      </c>
      <c r="E474" s="17" t="s">
        <v>270</v>
      </c>
      <c r="F474" s="17" t="s">
        <v>525</v>
      </c>
      <c r="G474" s="298"/>
      <c r="H474" s="138"/>
      <c r="I474" s="138"/>
      <c r="J474" s="138"/>
      <c r="K474" s="138"/>
      <c r="L474" s="138"/>
      <c r="M474" s="138"/>
      <c r="N474" s="138"/>
      <c r="O474" s="139"/>
      <c r="P474" s="138"/>
      <c r="Q474" s="107"/>
      <c r="R474" s="107"/>
    </row>
    <row r="475" spans="1:18" ht="15" customHeight="1">
      <c r="A475" s="17" t="s">
        <v>26</v>
      </c>
      <c r="B475" s="17" t="s">
        <v>348</v>
      </c>
      <c r="C475" s="18" t="s">
        <v>595</v>
      </c>
      <c r="D475" s="17" t="s">
        <v>28</v>
      </c>
      <c r="E475" s="17" t="s">
        <v>267</v>
      </c>
      <c r="F475" s="17" t="s">
        <v>83</v>
      </c>
      <c r="G475" s="298"/>
      <c r="H475" s="138"/>
      <c r="I475" s="138"/>
      <c r="J475" s="138"/>
      <c r="K475" s="138"/>
      <c r="L475" s="138"/>
      <c r="M475" s="138"/>
      <c r="N475" s="138"/>
      <c r="O475" s="139"/>
      <c r="P475" s="138"/>
      <c r="Q475" s="107"/>
      <c r="R475" s="107"/>
    </row>
    <row r="476" spans="1:18" ht="15" customHeight="1">
      <c r="A476" s="17" t="s">
        <v>26</v>
      </c>
      <c r="B476" s="17" t="s">
        <v>351</v>
      </c>
      <c r="C476" s="18" t="s">
        <v>597</v>
      </c>
      <c r="D476" s="17" t="s">
        <v>28</v>
      </c>
      <c r="E476" s="17" t="s">
        <v>294</v>
      </c>
      <c r="F476" s="17" t="s">
        <v>83</v>
      </c>
      <c r="G476" s="298"/>
      <c r="H476" s="138"/>
      <c r="I476" s="138"/>
      <c r="J476" s="138"/>
      <c r="K476" s="138"/>
      <c r="L476" s="138"/>
      <c r="M476" s="138"/>
      <c r="N476" s="138"/>
      <c r="O476" s="139"/>
      <c r="P476" s="138"/>
      <c r="Q476" s="107"/>
      <c r="R476" s="107"/>
    </row>
    <row r="477" spans="1:18" ht="15" customHeight="1">
      <c r="A477" s="17" t="s">
        <v>26</v>
      </c>
      <c r="B477" s="17" t="s">
        <v>353</v>
      </c>
      <c r="C477" s="18" t="s">
        <v>593</v>
      </c>
      <c r="D477" s="17" t="s">
        <v>28</v>
      </c>
      <c r="E477" s="17" t="s">
        <v>267</v>
      </c>
      <c r="F477" s="17" t="s">
        <v>83</v>
      </c>
      <c r="G477" s="298"/>
      <c r="H477" s="138"/>
      <c r="I477" s="138"/>
      <c r="J477" s="138"/>
      <c r="K477" s="138"/>
      <c r="L477" s="138"/>
      <c r="M477" s="138"/>
      <c r="N477" s="138"/>
      <c r="O477" s="139"/>
      <c r="P477" s="138"/>
      <c r="Q477" s="107"/>
      <c r="R477" s="107"/>
    </row>
    <row r="478" spans="1:18" ht="15" customHeight="1" thickBot="1">
      <c r="A478" s="30" t="s">
        <v>402</v>
      </c>
      <c r="B478" s="30" t="s">
        <v>403</v>
      </c>
      <c r="C478" s="31" t="s">
        <v>662</v>
      </c>
      <c r="D478" s="30" t="s">
        <v>63</v>
      </c>
      <c r="E478" s="30" t="s">
        <v>277</v>
      </c>
      <c r="F478" s="30" t="s">
        <v>404</v>
      </c>
      <c r="G478" s="299"/>
      <c r="H478" s="140"/>
      <c r="I478" s="140"/>
      <c r="J478" s="140"/>
      <c r="K478" s="140"/>
      <c r="L478" s="140"/>
      <c r="M478" s="140"/>
      <c r="N478" s="140"/>
      <c r="O478" s="141"/>
      <c r="P478" s="140"/>
      <c r="Q478" s="142"/>
      <c r="R478" s="142"/>
    </row>
    <row r="479" spans="1:18" ht="17.45" customHeight="1" thickBot="1">
      <c r="A479" s="283"/>
      <c r="B479" s="284"/>
      <c r="C479" s="284"/>
      <c r="D479" s="284"/>
      <c r="E479" s="284"/>
      <c r="F479" s="284"/>
      <c r="G479" s="284"/>
      <c r="H479" s="284"/>
      <c r="I479" s="284"/>
      <c r="J479" s="284"/>
      <c r="K479" s="284"/>
      <c r="L479" s="284"/>
      <c r="M479" s="284"/>
      <c r="N479" s="284"/>
      <c r="O479" s="284"/>
      <c r="P479" s="284"/>
      <c r="Q479" s="284"/>
      <c r="R479" s="285"/>
    </row>
    <row r="480" spans="1:18" ht="22.15" customHeight="1" thickTop="1" thickBot="1">
      <c r="A480" s="279" t="s">
        <v>6</v>
      </c>
      <c r="B480" s="295"/>
      <c r="C480" s="295"/>
      <c r="D480" s="295"/>
      <c r="E480" s="295"/>
      <c r="F480" s="296"/>
      <c r="G480" s="32">
        <v>46049</v>
      </c>
      <c r="H480" s="278" t="s">
        <v>7</v>
      </c>
      <c r="I480" s="295"/>
      <c r="J480" s="295"/>
      <c r="K480" s="295"/>
      <c r="L480" s="295"/>
      <c r="M480" s="295"/>
      <c r="N480" s="295"/>
      <c r="O480" s="295"/>
      <c r="P480" s="295"/>
      <c r="Q480" s="295"/>
      <c r="R480" s="296"/>
    </row>
    <row r="481" spans="1:18" ht="24" customHeight="1">
      <c r="A481" s="33" t="s">
        <v>8</v>
      </c>
      <c r="B481" s="33" t="s">
        <v>9</v>
      </c>
      <c r="C481" s="34" t="s">
        <v>10</v>
      </c>
      <c r="D481" s="33" t="s">
        <v>11</v>
      </c>
      <c r="E481" s="33" t="s">
        <v>12</v>
      </c>
      <c r="F481" s="35" t="s">
        <v>13</v>
      </c>
      <c r="G481" s="36" t="s">
        <v>14</v>
      </c>
      <c r="H481" s="33" t="s">
        <v>15</v>
      </c>
      <c r="I481" s="37" t="s">
        <v>16</v>
      </c>
      <c r="J481" s="38" t="s">
        <v>17</v>
      </c>
      <c r="K481" s="39" t="s">
        <v>18</v>
      </c>
      <c r="L481" s="38" t="s">
        <v>19</v>
      </c>
      <c r="M481" s="38" t="s">
        <v>20</v>
      </c>
      <c r="N481" s="38" t="s">
        <v>21</v>
      </c>
      <c r="O481" s="33" t="s">
        <v>22</v>
      </c>
      <c r="P481" s="34" t="s">
        <v>23</v>
      </c>
      <c r="Q481" s="38" t="s">
        <v>24</v>
      </c>
      <c r="R481" s="33" t="s">
        <v>25</v>
      </c>
    </row>
    <row r="482" spans="1:18" ht="15" customHeight="1">
      <c r="A482" s="49" t="s">
        <v>61</v>
      </c>
      <c r="B482" s="49" t="s">
        <v>707</v>
      </c>
      <c r="C482" s="50">
        <v>0.16666666666666671</v>
      </c>
      <c r="D482" s="49" t="s">
        <v>63</v>
      </c>
      <c r="E482" s="49" t="s">
        <v>29</v>
      </c>
      <c r="F482" s="49" t="s">
        <v>708</v>
      </c>
      <c r="G482" s="297"/>
      <c r="H482" s="51" t="s">
        <v>709</v>
      </c>
      <c r="I482" s="52">
        <v>0</v>
      </c>
      <c r="J482" s="53">
        <v>0</v>
      </c>
      <c r="K482" s="54" t="s">
        <v>66</v>
      </c>
      <c r="L482" s="53">
        <v>0</v>
      </c>
      <c r="M482" s="53">
        <v>0</v>
      </c>
      <c r="N482" s="53">
        <v>0</v>
      </c>
      <c r="O482" s="55" t="s">
        <v>307</v>
      </c>
      <c r="P482" s="56">
        <v>0.16666666666666671</v>
      </c>
      <c r="Q482" s="53">
        <v>180</v>
      </c>
      <c r="R482" s="57" t="s">
        <v>66</v>
      </c>
    </row>
    <row r="483" spans="1:18" ht="15" customHeight="1">
      <c r="A483" s="158" t="s">
        <v>61</v>
      </c>
      <c r="B483" s="158" t="s">
        <v>710</v>
      </c>
      <c r="C483" s="159">
        <v>0.52777777777777779</v>
      </c>
      <c r="D483" s="158" t="s">
        <v>63</v>
      </c>
      <c r="E483" s="158" t="s">
        <v>134</v>
      </c>
      <c r="F483" s="158" t="s">
        <v>708</v>
      </c>
      <c r="G483" s="298"/>
      <c r="H483" s="89" t="s">
        <v>712</v>
      </c>
      <c r="I483" s="90">
        <v>2.2200000000000001E-2</v>
      </c>
      <c r="J483" s="91">
        <v>4</v>
      </c>
      <c r="K483" s="92">
        <v>46344</v>
      </c>
      <c r="L483" s="91">
        <v>4</v>
      </c>
      <c r="M483" s="91">
        <v>0</v>
      </c>
      <c r="N483" s="91">
        <v>0</v>
      </c>
      <c r="O483" s="93" t="s">
        <v>302</v>
      </c>
      <c r="P483" s="94">
        <v>0.52777777777777779</v>
      </c>
      <c r="Q483" s="91">
        <v>180</v>
      </c>
      <c r="R483" s="95" t="s">
        <v>718</v>
      </c>
    </row>
    <row r="484" spans="1:18" ht="15" customHeight="1">
      <c r="A484" s="19" t="s">
        <v>68</v>
      </c>
      <c r="B484" s="19" t="s">
        <v>713</v>
      </c>
      <c r="C484" s="20">
        <v>0.16666666666666671</v>
      </c>
      <c r="D484" s="19" t="s">
        <v>643</v>
      </c>
      <c r="E484" s="19" t="s">
        <v>29</v>
      </c>
      <c r="F484" s="19" t="s">
        <v>714</v>
      </c>
      <c r="G484" s="298"/>
      <c r="H484" s="10"/>
      <c r="I484" s="11"/>
      <c r="J484" s="11"/>
      <c r="K484" s="11"/>
      <c r="L484" s="11"/>
      <c r="M484" s="11"/>
      <c r="N484" s="11"/>
      <c r="O484" s="12"/>
      <c r="P484" s="11"/>
      <c r="Q484" s="13"/>
      <c r="R484" s="14"/>
    </row>
    <row r="485" spans="1:18" ht="18">
      <c r="A485" s="292" t="s">
        <v>615</v>
      </c>
      <c r="B485" s="303"/>
      <c r="C485" s="303"/>
      <c r="D485" s="303"/>
      <c r="E485" s="303"/>
      <c r="F485" s="304"/>
      <c r="G485" s="298"/>
      <c r="H485" s="138"/>
      <c r="I485" s="138"/>
      <c r="J485" s="138"/>
      <c r="K485" s="138"/>
      <c r="L485" s="138"/>
      <c r="M485" s="138"/>
      <c r="N485" s="138"/>
      <c r="O485" s="139"/>
      <c r="P485" s="138"/>
      <c r="Q485" s="107"/>
      <c r="R485" s="107"/>
    </row>
    <row r="486" spans="1:18" ht="15" customHeight="1">
      <c r="A486" s="17" t="s">
        <v>38</v>
      </c>
      <c r="B486" s="17" t="s">
        <v>342</v>
      </c>
      <c r="C486" s="18" t="s">
        <v>592</v>
      </c>
      <c r="D486" s="17" t="s">
        <v>40</v>
      </c>
      <c r="E486" s="17" t="s">
        <v>281</v>
      </c>
      <c r="F486" s="17" t="s">
        <v>81</v>
      </c>
      <c r="G486" s="298"/>
      <c r="H486" s="138"/>
      <c r="I486" s="138"/>
      <c r="J486" s="138"/>
      <c r="K486" s="138"/>
      <c r="L486" s="138"/>
      <c r="M486" s="138"/>
      <c r="N486" s="138"/>
      <c r="O486" s="139"/>
      <c r="P486" s="138"/>
      <c r="Q486" s="107"/>
      <c r="R486" s="107"/>
    </row>
    <row r="487" spans="1:18" ht="15" customHeight="1">
      <c r="A487" s="17" t="s">
        <v>38</v>
      </c>
      <c r="B487" s="17" t="s">
        <v>346</v>
      </c>
      <c r="C487" s="18" t="s">
        <v>600</v>
      </c>
      <c r="D487" s="17" t="s">
        <v>40</v>
      </c>
      <c r="E487" s="17" t="s">
        <v>268</v>
      </c>
      <c r="F487" s="17" t="s">
        <v>347</v>
      </c>
      <c r="G487" s="298"/>
      <c r="H487" s="138"/>
      <c r="I487" s="138"/>
      <c r="J487" s="138"/>
      <c r="K487" s="138"/>
      <c r="L487" s="138"/>
      <c r="M487" s="138"/>
      <c r="N487" s="138"/>
      <c r="O487" s="139"/>
      <c r="P487" s="138"/>
      <c r="Q487" s="107"/>
      <c r="R487" s="107"/>
    </row>
    <row r="488" spans="1:18" ht="15" customHeight="1">
      <c r="A488" s="17" t="s">
        <v>38</v>
      </c>
      <c r="B488" s="17" t="s">
        <v>344</v>
      </c>
      <c r="C488" s="18" t="s">
        <v>593</v>
      </c>
      <c r="D488" s="17" t="s">
        <v>40</v>
      </c>
      <c r="E488" s="17" t="s">
        <v>268</v>
      </c>
      <c r="F488" s="17" t="s">
        <v>347</v>
      </c>
      <c r="G488" s="298"/>
      <c r="H488" s="138"/>
      <c r="I488" s="138"/>
      <c r="J488" s="138"/>
      <c r="K488" s="138"/>
      <c r="L488" s="138"/>
      <c r="M488" s="138"/>
      <c r="N488" s="138"/>
      <c r="O488" s="139"/>
      <c r="P488" s="138"/>
      <c r="Q488" s="107"/>
      <c r="R488" s="107"/>
    </row>
    <row r="489" spans="1:18" ht="15" customHeight="1">
      <c r="A489" s="17" t="s">
        <v>38</v>
      </c>
      <c r="B489" s="17" t="s">
        <v>345</v>
      </c>
      <c r="C489" s="18" t="s">
        <v>594</v>
      </c>
      <c r="D489" s="17" t="s">
        <v>40</v>
      </c>
      <c r="E489" s="17" t="s">
        <v>268</v>
      </c>
      <c r="F489" s="17" t="s">
        <v>347</v>
      </c>
      <c r="G489" s="298"/>
      <c r="H489" s="138"/>
      <c r="I489" s="138"/>
      <c r="J489" s="138"/>
      <c r="K489" s="138"/>
      <c r="L489" s="138"/>
      <c r="M489" s="138"/>
      <c r="N489" s="138"/>
      <c r="O489" s="139"/>
      <c r="P489" s="138"/>
      <c r="Q489" s="107"/>
      <c r="R489" s="107"/>
    </row>
    <row r="490" spans="1:18" ht="15" customHeight="1">
      <c r="A490" s="17" t="s">
        <v>359</v>
      </c>
      <c r="B490" s="17" t="s">
        <v>445</v>
      </c>
      <c r="C490" s="18" t="s">
        <v>635</v>
      </c>
      <c r="D490" s="17" t="s">
        <v>361</v>
      </c>
      <c r="E490" s="17" t="s">
        <v>270</v>
      </c>
      <c r="F490" s="17" t="s">
        <v>525</v>
      </c>
      <c r="G490" s="298"/>
      <c r="H490" s="138"/>
      <c r="I490" s="138"/>
      <c r="J490" s="138"/>
      <c r="K490" s="138"/>
      <c r="L490" s="138"/>
      <c r="M490" s="138"/>
      <c r="N490" s="138"/>
      <c r="O490" s="139"/>
      <c r="P490" s="138"/>
      <c r="Q490" s="107"/>
      <c r="R490" s="107"/>
    </row>
    <row r="491" spans="1:18" ht="15" customHeight="1">
      <c r="A491" s="17" t="s">
        <v>61</v>
      </c>
      <c r="B491" s="17" t="s">
        <v>432</v>
      </c>
      <c r="C491" s="18" t="s">
        <v>577</v>
      </c>
      <c r="D491" s="17" t="s">
        <v>63</v>
      </c>
      <c r="E491" s="17" t="s">
        <v>636</v>
      </c>
      <c r="F491" s="17" t="s">
        <v>365</v>
      </c>
      <c r="G491" s="298"/>
      <c r="H491" s="138"/>
      <c r="I491" s="138"/>
      <c r="J491" s="138"/>
      <c r="K491" s="138"/>
      <c r="L491" s="138"/>
      <c r="M491" s="138"/>
      <c r="N491" s="138"/>
      <c r="O491" s="139"/>
      <c r="P491" s="138"/>
      <c r="Q491" s="107"/>
      <c r="R491" s="107"/>
    </row>
    <row r="492" spans="1:18" ht="15" customHeight="1">
      <c r="A492" s="17" t="s">
        <v>61</v>
      </c>
      <c r="B492" s="17" t="s">
        <v>428</v>
      </c>
      <c r="C492" s="18" t="s">
        <v>576</v>
      </c>
      <c r="D492" s="17" t="s">
        <v>63</v>
      </c>
      <c r="E492" s="17" t="s">
        <v>267</v>
      </c>
      <c r="F492" s="17" t="s">
        <v>365</v>
      </c>
      <c r="G492" s="298"/>
      <c r="H492" s="138"/>
      <c r="I492" s="138"/>
      <c r="J492" s="138"/>
      <c r="K492" s="138"/>
      <c r="L492" s="138"/>
      <c r="M492" s="138"/>
      <c r="N492" s="138"/>
      <c r="O492" s="139"/>
      <c r="P492" s="138"/>
      <c r="Q492" s="107"/>
      <c r="R492" s="107"/>
    </row>
    <row r="493" spans="1:18" ht="15" customHeight="1">
      <c r="A493" s="17" t="s">
        <v>61</v>
      </c>
      <c r="B493" s="17" t="s">
        <v>377</v>
      </c>
      <c r="C493" s="18" t="s">
        <v>563</v>
      </c>
      <c r="D493" s="17" t="s">
        <v>63</v>
      </c>
      <c r="E493" s="17" t="s">
        <v>288</v>
      </c>
      <c r="F493" s="17" t="s">
        <v>365</v>
      </c>
      <c r="G493" s="298"/>
      <c r="H493" s="138"/>
      <c r="I493" s="138"/>
      <c r="J493" s="138"/>
      <c r="K493" s="138"/>
      <c r="L493" s="138"/>
      <c r="M493" s="138"/>
      <c r="N493" s="138"/>
      <c r="O493" s="139"/>
      <c r="P493" s="138"/>
      <c r="Q493" s="107"/>
      <c r="R493" s="107"/>
    </row>
    <row r="494" spans="1:18" ht="15" customHeight="1">
      <c r="A494" s="17" t="s">
        <v>61</v>
      </c>
      <c r="B494" s="17" t="s">
        <v>379</v>
      </c>
      <c r="C494" s="18" t="s">
        <v>231</v>
      </c>
      <c r="D494" s="17" t="s">
        <v>63</v>
      </c>
      <c r="E494" s="17" t="s">
        <v>286</v>
      </c>
      <c r="F494" s="17" t="s">
        <v>365</v>
      </c>
      <c r="G494" s="298"/>
      <c r="H494" s="138"/>
      <c r="I494" s="138"/>
      <c r="J494" s="138"/>
      <c r="K494" s="138"/>
      <c r="L494" s="138"/>
      <c r="M494" s="138"/>
      <c r="N494" s="138"/>
      <c r="O494" s="139"/>
      <c r="P494" s="138"/>
      <c r="Q494" s="107"/>
      <c r="R494" s="107"/>
    </row>
    <row r="495" spans="1:18" ht="15" customHeight="1" thickBot="1">
      <c r="A495" s="30" t="s">
        <v>26</v>
      </c>
      <c r="B495" s="30" t="s">
        <v>348</v>
      </c>
      <c r="C495" s="31" t="s">
        <v>595</v>
      </c>
      <c r="D495" s="30" t="s">
        <v>28</v>
      </c>
      <c r="E495" s="30" t="s">
        <v>267</v>
      </c>
      <c r="F495" s="30" t="s">
        <v>83</v>
      </c>
      <c r="G495" s="299"/>
      <c r="H495" s="140"/>
      <c r="I495" s="140"/>
      <c r="J495" s="140"/>
      <c r="K495" s="140"/>
      <c r="L495" s="140"/>
      <c r="M495" s="140"/>
      <c r="N495" s="140"/>
      <c r="O495" s="141"/>
      <c r="P495" s="140"/>
      <c r="Q495" s="142"/>
      <c r="R495" s="142"/>
    </row>
    <row r="496" spans="1:18" ht="17.45" customHeight="1" thickBot="1">
      <c r="A496" s="283"/>
      <c r="B496" s="284"/>
      <c r="C496" s="284"/>
      <c r="D496" s="284"/>
      <c r="E496" s="284"/>
      <c r="F496" s="284"/>
      <c r="G496" s="284"/>
      <c r="H496" s="284"/>
      <c r="I496" s="284"/>
      <c r="J496" s="284"/>
      <c r="K496" s="284"/>
      <c r="L496" s="284"/>
      <c r="M496" s="284"/>
      <c r="N496" s="284"/>
      <c r="O496" s="284"/>
      <c r="P496" s="284"/>
      <c r="Q496" s="284"/>
      <c r="R496" s="285"/>
    </row>
    <row r="497" spans="1:18" ht="22.15" customHeight="1" thickTop="1" thickBot="1">
      <c r="A497" s="279" t="s">
        <v>6</v>
      </c>
      <c r="B497" s="295"/>
      <c r="C497" s="295"/>
      <c r="D497" s="295"/>
      <c r="E497" s="295"/>
      <c r="F497" s="296"/>
      <c r="G497" s="32">
        <v>46050</v>
      </c>
      <c r="H497" s="278" t="s">
        <v>7</v>
      </c>
      <c r="I497" s="295"/>
      <c r="J497" s="295"/>
      <c r="K497" s="295"/>
      <c r="L497" s="295"/>
      <c r="M497" s="295"/>
      <c r="N497" s="295"/>
      <c r="O497" s="295"/>
      <c r="P497" s="295"/>
      <c r="Q497" s="295"/>
      <c r="R497" s="296"/>
    </row>
    <row r="498" spans="1:18" ht="24" customHeight="1">
      <c r="A498" s="33" t="s">
        <v>8</v>
      </c>
      <c r="B498" s="33" t="s">
        <v>9</v>
      </c>
      <c r="C498" s="34" t="s">
        <v>10</v>
      </c>
      <c r="D498" s="33" t="s">
        <v>11</v>
      </c>
      <c r="E498" s="33" t="s">
        <v>12</v>
      </c>
      <c r="F498" s="35" t="s">
        <v>13</v>
      </c>
      <c r="G498" s="36" t="s">
        <v>14</v>
      </c>
      <c r="H498" s="33" t="s">
        <v>15</v>
      </c>
      <c r="I498" s="37" t="s">
        <v>16</v>
      </c>
      <c r="J498" s="38" t="s">
        <v>17</v>
      </c>
      <c r="K498" s="39" t="s">
        <v>18</v>
      </c>
      <c r="L498" s="38" t="s">
        <v>19</v>
      </c>
      <c r="M498" s="38" t="s">
        <v>20</v>
      </c>
      <c r="N498" s="38" t="s">
        <v>21</v>
      </c>
      <c r="O498" s="33" t="s">
        <v>22</v>
      </c>
      <c r="P498" s="34" t="s">
        <v>23</v>
      </c>
      <c r="Q498" s="38" t="s">
        <v>24</v>
      </c>
      <c r="R498" s="33" t="s">
        <v>25</v>
      </c>
    </row>
    <row r="499" spans="1:18" ht="15" customHeight="1">
      <c r="A499" s="8" t="s">
        <v>38</v>
      </c>
      <c r="B499" s="8" t="s">
        <v>719</v>
      </c>
      <c r="C499" s="9">
        <v>0.36458333333333331</v>
      </c>
      <c r="D499" s="8" t="s">
        <v>622</v>
      </c>
      <c r="E499" s="8" t="s">
        <v>41</v>
      </c>
      <c r="F499" s="8" t="s">
        <v>347</v>
      </c>
      <c r="G499" s="302"/>
      <c r="H499" s="10"/>
      <c r="I499" s="11"/>
      <c r="J499" s="11"/>
      <c r="K499" s="11"/>
      <c r="L499" s="11"/>
      <c r="M499" s="11"/>
      <c r="N499" s="11"/>
      <c r="O499" s="12"/>
      <c r="P499" s="11"/>
      <c r="Q499" s="13"/>
      <c r="R499" s="14"/>
    </row>
    <row r="500" spans="1:18" ht="15" customHeight="1">
      <c r="A500" s="15" t="s">
        <v>38</v>
      </c>
      <c r="B500" s="15" t="s">
        <v>719</v>
      </c>
      <c r="C500" s="16">
        <v>0.36458333333333331</v>
      </c>
      <c r="D500" s="15" t="s">
        <v>603</v>
      </c>
      <c r="E500" s="15" t="s">
        <v>44</v>
      </c>
      <c r="F500" s="15" t="s">
        <v>720</v>
      </c>
      <c r="G500" s="298"/>
      <c r="H500" s="10"/>
      <c r="I500" s="11"/>
      <c r="J500" s="11"/>
      <c r="K500" s="11"/>
      <c r="L500" s="11"/>
      <c r="M500" s="11"/>
      <c r="N500" s="11"/>
      <c r="O500" s="12"/>
      <c r="P500" s="11"/>
      <c r="Q500" s="13"/>
      <c r="R500" s="14"/>
    </row>
    <row r="501" spans="1:18" ht="15" customHeight="1">
      <c r="A501" s="15" t="s">
        <v>38</v>
      </c>
      <c r="B501" s="15" t="s">
        <v>719</v>
      </c>
      <c r="C501" s="16">
        <v>0.36458333333333331</v>
      </c>
      <c r="D501" s="15" t="s">
        <v>605</v>
      </c>
      <c r="E501" s="15" t="s">
        <v>44</v>
      </c>
      <c r="F501" s="15" t="s">
        <v>721</v>
      </c>
      <c r="G501" s="298"/>
      <c r="H501" s="10"/>
      <c r="I501" s="11"/>
      <c r="J501" s="11"/>
      <c r="K501" s="11"/>
      <c r="L501" s="11"/>
      <c r="M501" s="11"/>
      <c r="N501" s="11"/>
      <c r="O501" s="12"/>
      <c r="P501" s="11"/>
      <c r="Q501" s="13"/>
      <c r="R501" s="14"/>
    </row>
    <row r="502" spans="1:18" ht="15" customHeight="1">
      <c r="A502" s="15" t="s">
        <v>38</v>
      </c>
      <c r="B502" s="15" t="s">
        <v>719</v>
      </c>
      <c r="C502" s="16">
        <v>0.36458333333333331</v>
      </c>
      <c r="D502" s="15" t="s">
        <v>625</v>
      </c>
      <c r="E502" s="15" t="s">
        <v>44</v>
      </c>
      <c r="F502" s="15" t="s">
        <v>503</v>
      </c>
      <c r="G502" s="298"/>
      <c r="H502" s="10"/>
      <c r="I502" s="11"/>
      <c r="J502" s="11"/>
      <c r="K502" s="11"/>
      <c r="L502" s="11"/>
      <c r="M502" s="11"/>
      <c r="N502" s="11"/>
      <c r="O502" s="12"/>
      <c r="P502" s="11"/>
      <c r="Q502" s="13"/>
      <c r="R502" s="14"/>
    </row>
    <row r="503" spans="1:18" ht="15" customHeight="1">
      <c r="A503" s="67" t="s">
        <v>61</v>
      </c>
      <c r="B503" s="67" t="s">
        <v>722</v>
      </c>
      <c r="C503" s="68">
        <v>0.92361111111111116</v>
      </c>
      <c r="D503" s="67" t="s">
        <v>63</v>
      </c>
      <c r="E503" s="67" t="s">
        <v>143</v>
      </c>
      <c r="F503" s="67" t="s">
        <v>708</v>
      </c>
      <c r="G503" s="298"/>
      <c r="H503" s="69" t="s">
        <v>723</v>
      </c>
      <c r="I503" s="70">
        <v>1.11E-2</v>
      </c>
      <c r="J503" s="71">
        <v>2</v>
      </c>
      <c r="K503" s="72">
        <v>46336</v>
      </c>
      <c r="L503" s="71">
        <v>2</v>
      </c>
      <c r="M503" s="71">
        <v>0</v>
      </c>
      <c r="N503" s="71">
        <v>0</v>
      </c>
      <c r="O503" s="73" t="s">
        <v>298</v>
      </c>
      <c r="P503" s="74">
        <v>0.92361111111111116</v>
      </c>
      <c r="Q503" s="71">
        <v>180</v>
      </c>
      <c r="R503" s="75" t="s">
        <v>298</v>
      </c>
    </row>
    <row r="504" spans="1:18" ht="15" customHeight="1">
      <c r="A504" s="158" t="s">
        <v>61</v>
      </c>
      <c r="B504" s="158" t="s">
        <v>707</v>
      </c>
      <c r="C504" s="159">
        <v>0.1076388888888889</v>
      </c>
      <c r="D504" s="158" t="s">
        <v>63</v>
      </c>
      <c r="E504" s="158" t="s">
        <v>200</v>
      </c>
      <c r="F504" s="158" t="s">
        <v>708</v>
      </c>
      <c r="G504" s="298"/>
      <c r="H504" s="89" t="s">
        <v>709</v>
      </c>
      <c r="I504" s="90">
        <v>5.5999999999999999E-3</v>
      </c>
      <c r="J504" s="91">
        <v>1</v>
      </c>
      <c r="K504" s="92">
        <v>46341</v>
      </c>
      <c r="L504" s="91">
        <v>1</v>
      </c>
      <c r="M504" s="91">
        <v>0</v>
      </c>
      <c r="N504" s="91">
        <v>0</v>
      </c>
      <c r="O504" s="93" t="s">
        <v>304</v>
      </c>
      <c r="P504" s="94">
        <v>0.1076388888888889</v>
      </c>
      <c r="Q504" s="91">
        <v>180</v>
      </c>
      <c r="R504" s="95" t="s">
        <v>302</v>
      </c>
    </row>
    <row r="505" spans="1:18" ht="15" customHeight="1">
      <c r="A505" s="160" t="s">
        <v>61</v>
      </c>
      <c r="B505" s="160" t="s">
        <v>715</v>
      </c>
      <c r="C505" s="161">
        <v>0.5</v>
      </c>
      <c r="D505" s="160" t="s">
        <v>63</v>
      </c>
      <c r="E505" s="160" t="s">
        <v>435</v>
      </c>
      <c r="F505" s="160" t="s">
        <v>133</v>
      </c>
      <c r="G505" s="298"/>
      <c r="H505" s="23" t="s">
        <v>716</v>
      </c>
      <c r="I505" s="24">
        <v>4.4400000000000002E-2</v>
      </c>
      <c r="J505" s="25">
        <v>8</v>
      </c>
      <c r="K505" s="26">
        <v>46337</v>
      </c>
      <c r="L505" s="25">
        <v>8</v>
      </c>
      <c r="M505" s="25">
        <v>0</v>
      </c>
      <c r="N505" s="25">
        <v>0</v>
      </c>
      <c r="O505" s="27" t="s">
        <v>670</v>
      </c>
      <c r="P505" s="28">
        <v>0.5</v>
      </c>
      <c r="Q505" s="25">
        <v>180</v>
      </c>
      <c r="R505" s="29" t="s">
        <v>740</v>
      </c>
    </row>
    <row r="506" spans="1:18" ht="15" customHeight="1">
      <c r="A506" s="19" t="s">
        <v>68</v>
      </c>
      <c r="B506" s="19" t="s">
        <v>713</v>
      </c>
      <c r="C506" s="20">
        <v>0.1076388888888889</v>
      </c>
      <c r="D506" s="19" t="s">
        <v>643</v>
      </c>
      <c r="E506" s="19" t="s">
        <v>29</v>
      </c>
      <c r="F506" s="19" t="s">
        <v>714</v>
      </c>
      <c r="G506" s="298"/>
      <c r="H506" s="10"/>
      <c r="I506" s="11"/>
      <c r="J506" s="11"/>
      <c r="K506" s="11"/>
      <c r="L506" s="11"/>
      <c r="M506" s="11"/>
      <c r="N506" s="11"/>
      <c r="O506" s="12"/>
      <c r="P506" s="11"/>
      <c r="Q506" s="13"/>
      <c r="R506" s="14"/>
    </row>
    <row r="507" spans="1:18" ht="15" customHeight="1">
      <c r="A507" s="17" t="s">
        <v>68</v>
      </c>
      <c r="B507" s="17" t="s">
        <v>725</v>
      </c>
      <c r="C507" s="18">
        <v>0.92361111111111116</v>
      </c>
      <c r="D507" s="17" t="s">
        <v>643</v>
      </c>
      <c r="E507" s="17" t="s">
        <v>37</v>
      </c>
      <c r="F507" s="17" t="s">
        <v>714</v>
      </c>
      <c r="G507" s="298"/>
      <c r="H507" s="10"/>
      <c r="I507" s="11"/>
      <c r="J507" s="11"/>
      <c r="K507" s="11"/>
      <c r="L507" s="11"/>
      <c r="M507" s="11"/>
      <c r="N507" s="11"/>
      <c r="O507" s="12"/>
      <c r="P507" s="11"/>
      <c r="Q507" s="13"/>
      <c r="R507" s="14"/>
    </row>
    <row r="508" spans="1:18" ht="18">
      <c r="A508" s="292" t="s">
        <v>615</v>
      </c>
      <c r="B508" s="303"/>
      <c r="C508" s="303"/>
      <c r="D508" s="303"/>
      <c r="E508" s="303"/>
      <c r="F508" s="304"/>
      <c r="G508" s="298"/>
      <c r="H508" s="138"/>
      <c r="I508" s="138"/>
      <c r="J508" s="138"/>
      <c r="K508" s="138"/>
      <c r="L508" s="138"/>
      <c r="M508" s="138"/>
      <c r="N508" s="138"/>
      <c r="O508" s="139"/>
      <c r="P508" s="138"/>
      <c r="Q508" s="107"/>
      <c r="R508" s="107"/>
    </row>
    <row r="509" spans="1:18" ht="15" customHeight="1">
      <c r="A509" s="17" t="s">
        <v>38</v>
      </c>
      <c r="B509" s="17" t="s">
        <v>342</v>
      </c>
      <c r="C509" s="18" t="s">
        <v>592</v>
      </c>
      <c r="D509" s="17" t="s">
        <v>40</v>
      </c>
      <c r="E509" s="17" t="s">
        <v>270</v>
      </c>
      <c r="F509" s="17" t="s">
        <v>343</v>
      </c>
      <c r="G509" s="298"/>
      <c r="H509" s="138"/>
      <c r="I509" s="138"/>
      <c r="J509" s="138"/>
      <c r="K509" s="138"/>
      <c r="L509" s="138"/>
      <c r="M509" s="138"/>
      <c r="N509" s="138"/>
      <c r="O509" s="139"/>
      <c r="P509" s="138"/>
      <c r="Q509" s="107"/>
      <c r="R509" s="107"/>
    </row>
    <row r="510" spans="1:18" ht="15" customHeight="1">
      <c r="A510" s="17" t="s">
        <v>38</v>
      </c>
      <c r="B510" s="17" t="s">
        <v>346</v>
      </c>
      <c r="C510" s="18" t="s">
        <v>600</v>
      </c>
      <c r="D510" s="17" t="s">
        <v>40</v>
      </c>
      <c r="E510" s="17" t="s">
        <v>268</v>
      </c>
      <c r="F510" s="17" t="s">
        <v>347</v>
      </c>
      <c r="G510" s="298"/>
      <c r="H510" s="138"/>
      <c r="I510" s="138"/>
      <c r="J510" s="138"/>
      <c r="K510" s="138"/>
      <c r="L510" s="138"/>
      <c r="M510" s="138"/>
      <c r="N510" s="138"/>
      <c r="O510" s="139"/>
      <c r="P510" s="138"/>
      <c r="Q510" s="107"/>
      <c r="R510" s="107"/>
    </row>
    <row r="511" spans="1:18" ht="15" customHeight="1">
      <c r="A511" s="17" t="s">
        <v>38</v>
      </c>
      <c r="B511" s="17" t="s">
        <v>344</v>
      </c>
      <c r="C511" s="18" t="s">
        <v>593</v>
      </c>
      <c r="D511" s="17" t="s">
        <v>40</v>
      </c>
      <c r="E511" s="17" t="s">
        <v>268</v>
      </c>
      <c r="F511" s="17" t="s">
        <v>347</v>
      </c>
      <c r="G511" s="298"/>
      <c r="H511" s="138"/>
      <c r="I511" s="138"/>
      <c r="J511" s="138"/>
      <c r="K511" s="138"/>
      <c r="L511" s="138"/>
      <c r="M511" s="138"/>
      <c r="N511" s="138"/>
      <c r="O511" s="139"/>
      <c r="P511" s="138"/>
      <c r="Q511" s="107"/>
      <c r="R511" s="107"/>
    </row>
    <row r="512" spans="1:18" ht="15" customHeight="1">
      <c r="A512" s="17" t="s">
        <v>38</v>
      </c>
      <c r="B512" s="17" t="s">
        <v>345</v>
      </c>
      <c r="C512" s="18" t="s">
        <v>594</v>
      </c>
      <c r="D512" s="17" t="s">
        <v>40</v>
      </c>
      <c r="E512" s="17" t="s">
        <v>268</v>
      </c>
      <c r="F512" s="17" t="s">
        <v>347</v>
      </c>
      <c r="G512" s="298"/>
      <c r="H512" s="138"/>
      <c r="I512" s="138"/>
      <c r="J512" s="138"/>
      <c r="K512" s="138"/>
      <c r="L512" s="138"/>
      <c r="M512" s="138"/>
      <c r="N512" s="138"/>
      <c r="O512" s="139"/>
      <c r="P512" s="138"/>
      <c r="Q512" s="107"/>
      <c r="R512" s="107"/>
    </row>
    <row r="513" spans="1:18" ht="15" customHeight="1">
      <c r="A513" s="17" t="s">
        <v>359</v>
      </c>
      <c r="B513" s="17" t="s">
        <v>360</v>
      </c>
      <c r="C513" s="18" t="s">
        <v>619</v>
      </c>
      <c r="D513" s="17" t="s">
        <v>361</v>
      </c>
      <c r="E513" s="17" t="s">
        <v>270</v>
      </c>
      <c r="F513" s="17" t="s">
        <v>525</v>
      </c>
      <c r="G513" s="298"/>
      <c r="H513" s="138"/>
      <c r="I513" s="138"/>
      <c r="J513" s="138"/>
      <c r="K513" s="138"/>
      <c r="L513" s="138"/>
      <c r="M513" s="138"/>
      <c r="N513" s="138"/>
      <c r="O513" s="139"/>
      <c r="P513" s="138"/>
      <c r="Q513" s="107"/>
      <c r="R513" s="107"/>
    </row>
    <row r="514" spans="1:18" ht="15" customHeight="1">
      <c r="A514" s="17" t="s">
        <v>61</v>
      </c>
      <c r="B514" s="17" t="s">
        <v>364</v>
      </c>
      <c r="C514" s="18" t="s">
        <v>580</v>
      </c>
      <c r="D514" s="17" t="s">
        <v>63</v>
      </c>
      <c r="E514" s="17" t="s">
        <v>288</v>
      </c>
      <c r="F514" s="17" t="s">
        <v>365</v>
      </c>
      <c r="G514" s="298"/>
      <c r="H514" s="138"/>
      <c r="I514" s="138"/>
      <c r="J514" s="138"/>
      <c r="K514" s="138"/>
      <c r="L514" s="138"/>
      <c r="M514" s="138"/>
      <c r="N514" s="138"/>
      <c r="O514" s="139"/>
      <c r="P514" s="138"/>
      <c r="Q514" s="107"/>
      <c r="R514" s="107"/>
    </row>
    <row r="515" spans="1:18" ht="15" customHeight="1">
      <c r="A515" s="17" t="s">
        <v>61</v>
      </c>
      <c r="B515" s="17" t="s">
        <v>432</v>
      </c>
      <c r="C515" s="18" t="s">
        <v>582</v>
      </c>
      <c r="D515" s="17" t="s">
        <v>63</v>
      </c>
      <c r="E515" s="17" t="s">
        <v>636</v>
      </c>
      <c r="F515" s="17" t="s">
        <v>365</v>
      </c>
      <c r="G515" s="298"/>
      <c r="H515" s="138"/>
      <c r="I515" s="138"/>
      <c r="J515" s="138"/>
      <c r="K515" s="138"/>
      <c r="L515" s="138"/>
      <c r="M515" s="138"/>
      <c r="N515" s="138"/>
      <c r="O515" s="139"/>
      <c r="P515" s="138"/>
      <c r="Q515" s="107"/>
      <c r="R515" s="107"/>
    </row>
    <row r="516" spans="1:18" ht="15" customHeight="1">
      <c r="A516" s="17" t="s">
        <v>61</v>
      </c>
      <c r="B516" s="17" t="s">
        <v>375</v>
      </c>
      <c r="C516" s="18" t="s">
        <v>581</v>
      </c>
      <c r="D516" s="17" t="s">
        <v>63</v>
      </c>
      <c r="E516" s="17" t="s">
        <v>636</v>
      </c>
      <c r="F516" s="17" t="s">
        <v>365</v>
      </c>
      <c r="G516" s="298"/>
      <c r="H516" s="138"/>
      <c r="I516" s="138"/>
      <c r="J516" s="138"/>
      <c r="K516" s="138"/>
      <c r="L516" s="138"/>
      <c r="M516" s="138"/>
      <c r="N516" s="138"/>
      <c r="O516" s="139"/>
      <c r="P516" s="138"/>
      <c r="Q516" s="107"/>
      <c r="R516" s="107"/>
    </row>
    <row r="517" spans="1:18" ht="15" customHeight="1">
      <c r="A517" s="17" t="s">
        <v>61</v>
      </c>
      <c r="B517" s="17" t="s">
        <v>377</v>
      </c>
      <c r="C517" s="18" t="s">
        <v>563</v>
      </c>
      <c r="D517" s="17" t="s">
        <v>63</v>
      </c>
      <c r="E517" s="17" t="s">
        <v>294</v>
      </c>
      <c r="F517" s="17" t="s">
        <v>365</v>
      </c>
      <c r="G517" s="298"/>
      <c r="H517" s="138"/>
      <c r="I517" s="138"/>
      <c r="J517" s="138"/>
      <c r="K517" s="138"/>
      <c r="L517" s="138"/>
      <c r="M517" s="138"/>
      <c r="N517" s="138"/>
      <c r="O517" s="139"/>
      <c r="P517" s="138"/>
      <c r="Q517" s="107"/>
      <c r="R517" s="107"/>
    </row>
    <row r="518" spans="1:18" ht="15" customHeight="1" thickBot="1">
      <c r="A518" s="30" t="s">
        <v>26</v>
      </c>
      <c r="B518" s="30" t="s">
        <v>348</v>
      </c>
      <c r="C518" s="31" t="s">
        <v>595</v>
      </c>
      <c r="D518" s="30" t="s">
        <v>28</v>
      </c>
      <c r="E518" s="30" t="s">
        <v>267</v>
      </c>
      <c r="F518" s="30" t="s">
        <v>83</v>
      </c>
      <c r="G518" s="299"/>
      <c r="H518" s="140"/>
      <c r="I518" s="140"/>
      <c r="J518" s="140"/>
      <c r="K518" s="140"/>
      <c r="L518" s="140"/>
      <c r="M518" s="140"/>
      <c r="N518" s="140"/>
      <c r="O518" s="141"/>
      <c r="P518" s="140"/>
      <c r="Q518" s="142"/>
      <c r="R518" s="142"/>
    </row>
    <row r="519" spans="1:18" ht="17.45" customHeight="1" thickBot="1">
      <c r="A519" s="283"/>
      <c r="B519" s="284"/>
      <c r="C519" s="284"/>
      <c r="D519" s="284"/>
      <c r="E519" s="284"/>
      <c r="F519" s="284"/>
      <c r="G519" s="284"/>
      <c r="H519" s="284"/>
      <c r="I519" s="284"/>
      <c r="J519" s="284"/>
      <c r="K519" s="284"/>
      <c r="L519" s="284"/>
      <c r="M519" s="284"/>
      <c r="N519" s="284"/>
      <c r="O519" s="284"/>
      <c r="P519" s="284"/>
      <c r="Q519" s="284"/>
      <c r="R519" s="285"/>
    </row>
    <row r="520" spans="1:18" ht="22.15" customHeight="1" thickTop="1" thickBot="1">
      <c r="A520" s="279" t="s">
        <v>6</v>
      </c>
      <c r="B520" s="295"/>
      <c r="C520" s="295"/>
      <c r="D520" s="295"/>
      <c r="E520" s="295"/>
      <c r="F520" s="296"/>
      <c r="G520" s="32">
        <v>46051</v>
      </c>
      <c r="H520" s="278" t="s">
        <v>7</v>
      </c>
      <c r="I520" s="295"/>
      <c r="J520" s="295"/>
      <c r="K520" s="295"/>
      <c r="L520" s="295"/>
      <c r="M520" s="295"/>
      <c r="N520" s="295"/>
      <c r="O520" s="295"/>
      <c r="P520" s="295"/>
      <c r="Q520" s="295"/>
      <c r="R520" s="296"/>
    </row>
    <row r="521" spans="1:18" ht="24" customHeight="1">
      <c r="A521" s="33" t="s">
        <v>8</v>
      </c>
      <c r="B521" s="33" t="s">
        <v>9</v>
      </c>
      <c r="C521" s="34" t="s">
        <v>10</v>
      </c>
      <c r="D521" s="33" t="s">
        <v>11</v>
      </c>
      <c r="E521" s="33" t="s">
        <v>12</v>
      </c>
      <c r="F521" s="35" t="s">
        <v>13</v>
      </c>
      <c r="G521" s="36" t="s">
        <v>14</v>
      </c>
      <c r="H521" s="33" t="s">
        <v>15</v>
      </c>
      <c r="I521" s="37" t="s">
        <v>16</v>
      </c>
      <c r="J521" s="38" t="s">
        <v>17</v>
      </c>
      <c r="K521" s="39" t="s">
        <v>18</v>
      </c>
      <c r="L521" s="38" t="s">
        <v>19</v>
      </c>
      <c r="M521" s="38" t="s">
        <v>20</v>
      </c>
      <c r="N521" s="38" t="s">
        <v>21</v>
      </c>
      <c r="O521" s="33" t="s">
        <v>22</v>
      </c>
      <c r="P521" s="34" t="s">
        <v>23</v>
      </c>
      <c r="Q521" s="38" t="s">
        <v>24</v>
      </c>
      <c r="R521" s="33" t="s">
        <v>25</v>
      </c>
    </row>
    <row r="522" spans="1:18" ht="15" customHeight="1">
      <c r="A522" s="49" t="s">
        <v>61</v>
      </c>
      <c r="B522" s="49" t="s">
        <v>707</v>
      </c>
      <c r="C522" s="50">
        <v>0.52430555555555558</v>
      </c>
      <c r="D522" s="49" t="s">
        <v>63</v>
      </c>
      <c r="E522" s="49" t="s">
        <v>29</v>
      </c>
      <c r="F522" s="49" t="s">
        <v>708</v>
      </c>
      <c r="G522" s="297"/>
      <c r="H522" s="51" t="s">
        <v>709</v>
      </c>
      <c r="I522" s="52">
        <v>0</v>
      </c>
      <c r="J522" s="53">
        <v>0</v>
      </c>
      <c r="K522" s="54" t="s">
        <v>66</v>
      </c>
      <c r="L522" s="53">
        <v>0</v>
      </c>
      <c r="M522" s="53">
        <v>0</v>
      </c>
      <c r="N522" s="53">
        <v>0</v>
      </c>
      <c r="O522" s="55" t="s">
        <v>307</v>
      </c>
      <c r="P522" s="56">
        <v>0.52430555555555558</v>
      </c>
      <c r="Q522" s="53">
        <v>180</v>
      </c>
      <c r="R522" s="57" t="s">
        <v>66</v>
      </c>
    </row>
    <row r="523" spans="1:18" ht="15" customHeight="1">
      <c r="A523" s="154" t="s">
        <v>61</v>
      </c>
      <c r="B523" s="154" t="s">
        <v>710</v>
      </c>
      <c r="C523" s="155">
        <v>0.54861111111111105</v>
      </c>
      <c r="D523" s="154" t="s">
        <v>63</v>
      </c>
      <c r="E523" s="154" t="s">
        <v>37</v>
      </c>
      <c r="F523" s="154" t="s">
        <v>708</v>
      </c>
      <c r="G523" s="298"/>
      <c r="H523" s="69" t="s">
        <v>712</v>
      </c>
      <c r="I523" s="70">
        <v>1.11E-2</v>
      </c>
      <c r="J523" s="71">
        <v>2</v>
      </c>
      <c r="K523" s="72">
        <v>46329</v>
      </c>
      <c r="L523" s="71">
        <v>2</v>
      </c>
      <c r="M523" s="71">
        <v>0</v>
      </c>
      <c r="N523" s="71">
        <v>0</v>
      </c>
      <c r="O523" s="73" t="s">
        <v>307</v>
      </c>
      <c r="P523" s="74">
        <v>0.54861111111111105</v>
      </c>
      <c r="Q523" s="71">
        <v>180</v>
      </c>
      <c r="R523" s="75" t="s">
        <v>318</v>
      </c>
    </row>
    <row r="524" spans="1:18" ht="15" customHeight="1">
      <c r="A524" s="19" t="s">
        <v>68</v>
      </c>
      <c r="B524" s="19" t="s">
        <v>713</v>
      </c>
      <c r="C524" s="20">
        <v>0.52430555555555558</v>
      </c>
      <c r="D524" s="19" t="s">
        <v>643</v>
      </c>
      <c r="E524" s="19" t="s">
        <v>29</v>
      </c>
      <c r="F524" s="19" t="s">
        <v>714</v>
      </c>
      <c r="G524" s="298"/>
      <c r="H524" s="10"/>
      <c r="I524" s="11"/>
      <c r="J524" s="11"/>
      <c r="K524" s="11"/>
      <c r="L524" s="11"/>
      <c r="M524" s="11"/>
      <c r="N524" s="11"/>
      <c r="O524" s="12"/>
      <c r="P524" s="11"/>
      <c r="Q524" s="13"/>
      <c r="R524" s="14"/>
    </row>
    <row r="525" spans="1:18" ht="18">
      <c r="A525" s="292" t="s">
        <v>615</v>
      </c>
      <c r="B525" s="303"/>
      <c r="C525" s="303"/>
      <c r="D525" s="303"/>
      <c r="E525" s="303"/>
      <c r="F525" s="304"/>
      <c r="G525" s="298"/>
      <c r="H525" s="138"/>
      <c r="I525" s="138"/>
      <c r="J525" s="138"/>
      <c r="K525" s="138"/>
      <c r="L525" s="138"/>
      <c r="M525" s="138"/>
      <c r="N525" s="138"/>
      <c r="O525" s="139"/>
      <c r="P525" s="138"/>
      <c r="Q525" s="107"/>
      <c r="R525" s="107"/>
    </row>
    <row r="526" spans="1:18" ht="15" customHeight="1">
      <c r="A526" s="17" t="s">
        <v>38</v>
      </c>
      <c r="B526" s="17" t="s">
        <v>342</v>
      </c>
      <c r="C526" s="18" t="s">
        <v>592</v>
      </c>
      <c r="D526" s="17" t="s">
        <v>40</v>
      </c>
      <c r="E526" s="17" t="s">
        <v>281</v>
      </c>
      <c r="F526" s="17" t="s">
        <v>30</v>
      </c>
      <c r="G526" s="298"/>
      <c r="H526" s="138"/>
      <c r="I526" s="138"/>
      <c r="J526" s="138"/>
      <c r="K526" s="138"/>
      <c r="L526" s="138"/>
      <c r="M526" s="138"/>
      <c r="N526" s="138"/>
      <c r="O526" s="139"/>
      <c r="P526" s="138"/>
      <c r="Q526" s="107"/>
      <c r="R526" s="107"/>
    </row>
    <row r="527" spans="1:18" ht="15" customHeight="1">
      <c r="A527" s="17" t="s">
        <v>38</v>
      </c>
      <c r="B527" s="17" t="s">
        <v>346</v>
      </c>
      <c r="C527" s="18" t="s">
        <v>600</v>
      </c>
      <c r="D527" s="17" t="s">
        <v>40</v>
      </c>
      <c r="E527" s="17" t="s">
        <v>268</v>
      </c>
      <c r="F527" s="17" t="s">
        <v>347</v>
      </c>
      <c r="G527" s="298"/>
      <c r="H527" s="138"/>
      <c r="I527" s="138"/>
      <c r="J527" s="138"/>
      <c r="K527" s="138"/>
      <c r="L527" s="138"/>
      <c r="M527" s="138"/>
      <c r="N527" s="138"/>
      <c r="O527" s="139"/>
      <c r="P527" s="138"/>
      <c r="Q527" s="107"/>
      <c r="R527" s="107"/>
    </row>
    <row r="528" spans="1:18" ht="15" customHeight="1">
      <c r="A528" s="17" t="s">
        <v>38</v>
      </c>
      <c r="B528" s="17" t="s">
        <v>344</v>
      </c>
      <c r="C528" s="18" t="s">
        <v>593</v>
      </c>
      <c r="D528" s="17" t="s">
        <v>40</v>
      </c>
      <c r="E528" s="17" t="s">
        <v>312</v>
      </c>
      <c r="F528" s="17" t="s">
        <v>347</v>
      </c>
      <c r="G528" s="298"/>
      <c r="H528" s="138"/>
      <c r="I528" s="138"/>
      <c r="J528" s="138"/>
      <c r="K528" s="138"/>
      <c r="L528" s="138"/>
      <c r="M528" s="138"/>
      <c r="N528" s="138"/>
      <c r="O528" s="139"/>
      <c r="P528" s="138"/>
      <c r="Q528" s="107"/>
      <c r="R528" s="107"/>
    </row>
    <row r="529" spans="1:18" ht="15" customHeight="1">
      <c r="A529" s="17" t="s">
        <v>38</v>
      </c>
      <c r="B529" s="17" t="s">
        <v>345</v>
      </c>
      <c r="C529" s="18" t="s">
        <v>594</v>
      </c>
      <c r="D529" s="17" t="s">
        <v>40</v>
      </c>
      <c r="E529" s="17" t="s">
        <v>268</v>
      </c>
      <c r="F529" s="17" t="s">
        <v>347</v>
      </c>
      <c r="G529" s="298"/>
      <c r="H529" s="138"/>
      <c r="I529" s="138"/>
      <c r="J529" s="138"/>
      <c r="K529" s="138"/>
      <c r="L529" s="138"/>
      <c r="M529" s="138"/>
      <c r="N529" s="138"/>
      <c r="O529" s="139"/>
      <c r="P529" s="138"/>
      <c r="Q529" s="107"/>
      <c r="R529" s="107"/>
    </row>
    <row r="530" spans="1:18" ht="15" customHeight="1">
      <c r="A530" s="17" t="s">
        <v>359</v>
      </c>
      <c r="B530" s="17" t="s">
        <v>360</v>
      </c>
      <c r="C530" s="18" t="s">
        <v>599</v>
      </c>
      <c r="D530" s="17" t="s">
        <v>361</v>
      </c>
      <c r="E530" s="17" t="s">
        <v>270</v>
      </c>
      <c r="F530" s="17" t="s">
        <v>525</v>
      </c>
      <c r="G530" s="298"/>
      <c r="H530" s="138"/>
      <c r="I530" s="138"/>
      <c r="J530" s="138"/>
      <c r="K530" s="138"/>
      <c r="L530" s="138"/>
      <c r="M530" s="138"/>
      <c r="N530" s="138"/>
      <c r="O530" s="139"/>
      <c r="P530" s="138"/>
      <c r="Q530" s="107"/>
      <c r="R530" s="107"/>
    </row>
    <row r="531" spans="1:18" ht="15" customHeight="1">
      <c r="A531" s="17" t="s">
        <v>61</v>
      </c>
      <c r="B531" s="17" t="s">
        <v>371</v>
      </c>
      <c r="C531" s="18" t="s">
        <v>273</v>
      </c>
      <c r="D531" s="17" t="s">
        <v>63</v>
      </c>
      <c r="E531" s="17" t="s">
        <v>267</v>
      </c>
      <c r="F531" s="17" t="s">
        <v>365</v>
      </c>
      <c r="G531" s="298"/>
      <c r="H531" s="138"/>
      <c r="I531" s="138"/>
      <c r="J531" s="138"/>
      <c r="K531" s="138"/>
      <c r="L531" s="138"/>
      <c r="M531" s="138"/>
      <c r="N531" s="138"/>
      <c r="O531" s="139"/>
      <c r="P531" s="138"/>
      <c r="Q531" s="107"/>
      <c r="R531" s="107"/>
    </row>
    <row r="532" spans="1:18" ht="15" customHeight="1">
      <c r="A532" s="17" t="s">
        <v>61</v>
      </c>
      <c r="B532" s="17" t="s">
        <v>375</v>
      </c>
      <c r="C532" s="18" t="s">
        <v>553</v>
      </c>
      <c r="D532" s="17" t="s">
        <v>63</v>
      </c>
      <c r="E532" s="17" t="s">
        <v>636</v>
      </c>
      <c r="F532" s="17" t="s">
        <v>365</v>
      </c>
      <c r="G532" s="298"/>
      <c r="H532" s="138"/>
      <c r="I532" s="138"/>
      <c r="J532" s="138"/>
      <c r="K532" s="138"/>
      <c r="L532" s="138"/>
      <c r="M532" s="138"/>
      <c r="N532" s="138"/>
      <c r="O532" s="139"/>
      <c r="P532" s="138"/>
      <c r="Q532" s="107"/>
      <c r="R532" s="107"/>
    </row>
    <row r="533" spans="1:18" ht="15" customHeight="1">
      <c r="A533" s="17" t="s">
        <v>61</v>
      </c>
      <c r="B533" s="17" t="s">
        <v>379</v>
      </c>
      <c r="C533" s="18" t="s">
        <v>556</v>
      </c>
      <c r="D533" s="17" t="s">
        <v>63</v>
      </c>
      <c r="E533" s="17" t="s">
        <v>267</v>
      </c>
      <c r="F533" s="17" t="s">
        <v>365</v>
      </c>
      <c r="G533" s="298"/>
      <c r="H533" s="138"/>
      <c r="I533" s="138"/>
      <c r="J533" s="138"/>
      <c r="K533" s="138"/>
      <c r="L533" s="138"/>
      <c r="M533" s="138"/>
      <c r="N533" s="138"/>
      <c r="O533" s="139"/>
      <c r="P533" s="138"/>
      <c r="Q533" s="107"/>
      <c r="R533" s="107"/>
    </row>
    <row r="534" spans="1:18" ht="15" customHeight="1">
      <c r="A534" s="17" t="s">
        <v>26</v>
      </c>
      <c r="B534" s="17" t="s">
        <v>348</v>
      </c>
      <c r="C534" s="18" t="s">
        <v>595</v>
      </c>
      <c r="D534" s="17" t="s">
        <v>28</v>
      </c>
      <c r="E534" s="17" t="s">
        <v>277</v>
      </c>
      <c r="F534" s="17" t="s">
        <v>83</v>
      </c>
      <c r="G534" s="298"/>
      <c r="H534" s="138"/>
      <c r="I534" s="138"/>
      <c r="J534" s="138"/>
      <c r="K534" s="138"/>
      <c r="L534" s="138"/>
      <c r="M534" s="138"/>
      <c r="N534" s="138"/>
      <c r="O534" s="139"/>
      <c r="P534" s="138"/>
      <c r="Q534" s="107"/>
      <c r="R534" s="107"/>
    </row>
    <row r="535" spans="1:18" ht="15" customHeight="1" thickBot="1">
      <c r="A535" s="30" t="s">
        <v>26</v>
      </c>
      <c r="B535" s="30" t="s">
        <v>350</v>
      </c>
      <c r="C535" s="31" t="s">
        <v>596</v>
      </c>
      <c r="D535" s="30" t="s">
        <v>28</v>
      </c>
      <c r="E535" s="30" t="s">
        <v>286</v>
      </c>
      <c r="F535" s="30" t="s">
        <v>83</v>
      </c>
      <c r="G535" s="299"/>
      <c r="H535" s="140"/>
      <c r="I535" s="140"/>
      <c r="J535" s="140"/>
      <c r="K535" s="140"/>
      <c r="L535" s="140"/>
      <c r="M535" s="140"/>
      <c r="N535" s="140"/>
      <c r="O535" s="141"/>
      <c r="P535" s="140"/>
      <c r="Q535" s="142"/>
      <c r="R535" s="142"/>
    </row>
    <row r="536" spans="1:18" ht="17.45" customHeight="1" thickBot="1">
      <c r="A536" s="283"/>
      <c r="B536" s="284"/>
      <c r="C536" s="284"/>
      <c r="D536" s="284"/>
      <c r="E536" s="284"/>
      <c r="F536" s="284"/>
      <c r="G536" s="284"/>
      <c r="H536" s="284"/>
      <c r="I536" s="284"/>
      <c r="J536" s="284"/>
      <c r="K536" s="284"/>
      <c r="L536" s="284"/>
      <c r="M536" s="284"/>
      <c r="N536" s="284"/>
      <c r="O536" s="284"/>
      <c r="P536" s="284"/>
      <c r="Q536" s="284"/>
      <c r="R536" s="285"/>
    </row>
    <row r="537" spans="1:18" ht="22.15" customHeight="1" thickTop="1" thickBot="1">
      <c r="A537" s="279" t="s">
        <v>6</v>
      </c>
      <c r="B537" s="295"/>
      <c r="C537" s="295"/>
      <c r="D537" s="295"/>
      <c r="E537" s="295"/>
      <c r="F537" s="296"/>
      <c r="G537" s="32">
        <v>46052</v>
      </c>
      <c r="H537" s="278" t="s">
        <v>7</v>
      </c>
      <c r="I537" s="295"/>
      <c r="J537" s="295"/>
      <c r="K537" s="295"/>
      <c r="L537" s="295"/>
      <c r="M537" s="295"/>
      <c r="N537" s="295"/>
      <c r="O537" s="295"/>
      <c r="P537" s="295"/>
      <c r="Q537" s="295"/>
      <c r="R537" s="296"/>
    </row>
    <row r="538" spans="1:18" ht="24" customHeight="1">
      <c r="A538" s="33" t="s">
        <v>8</v>
      </c>
      <c r="B538" s="33" t="s">
        <v>9</v>
      </c>
      <c r="C538" s="34" t="s">
        <v>10</v>
      </c>
      <c r="D538" s="33" t="s">
        <v>11</v>
      </c>
      <c r="E538" s="33" t="s">
        <v>12</v>
      </c>
      <c r="F538" s="35" t="s">
        <v>13</v>
      </c>
      <c r="G538" s="36" t="s">
        <v>14</v>
      </c>
      <c r="H538" s="33" t="s">
        <v>15</v>
      </c>
      <c r="I538" s="37" t="s">
        <v>16</v>
      </c>
      <c r="J538" s="38" t="s">
        <v>17</v>
      </c>
      <c r="K538" s="39" t="s">
        <v>18</v>
      </c>
      <c r="L538" s="38" t="s">
        <v>19</v>
      </c>
      <c r="M538" s="38" t="s">
        <v>20</v>
      </c>
      <c r="N538" s="38" t="s">
        <v>21</v>
      </c>
      <c r="O538" s="33" t="s">
        <v>22</v>
      </c>
      <c r="P538" s="34" t="s">
        <v>23</v>
      </c>
      <c r="Q538" s="38" t="s">
        <v>24</v>
      </c>
      <c r="R538" s="33" t="s">
        <v>25</v>
      </c>
    </row>
    <row r="539" spans="1:18" ht="15" customHeight="1">
      <c r="A539" s="67" t="s">
        <v>61</v>
      </c>
      <c r="B539" s="67" t="s">
        <v>715</v>
      </c>
      <c r="C539" s="68">
        <v>0.13541666666666671</v>
      </c>
      <c r="D539" s="67" t="s">
        <v>63</v>
      </c>
      <c r="E539" s="67" t="s">
        <v>156</v>
      </c>
      <c r="F539" s="67" t="s">
        <v>708</v>
      </c>
      <c r="G539" s="302"/>
      <c r="H539" s="69" t="s">
        <v>716</v>
      </c>
      <c r="I539" s="70">
        <v>1.67E-2</v>
      </c>
      <c r="J539" s="71">
        <v>3</v>
      </c>
      <c r="K539" s="72">
        <v>46335</v>
      </c>
      <c r="L539" s="71">
        <v>3</v>
      </c>
      <c r="M539" s="71">
        <v>0</v>
      </c>
      <c r="N539" s="71">
        <v>0</v>
      </c>
      <c r="O539" s="73" t="s">
        <v>302</v>
      </c>
      <c r="P539" s="74">
        <v>0.13541666666666671</v>
      </c>
      <c r="Q539" s="71">
        <v>180</v>
      </c>
      <c r="R539" s="75" t="s">
        <v>304</v>
      </c>
    </row>
    <row r="540" spans="1:18" ht="18">
      <c r="A540" s="292" t="s">
        <v>615</v>
      </c>
      <c r="B540" s="303"/>
      <c r="C540" s="303"/>
      <c r="D540" s="303"/>
      <c r="E540" s="303"/>
      <c r="F540" s="304"/>
      <c r="G540" s="298"/>
      <c r="H540" s="138"/>
      <c r="I540" s="138"/>
      <c r="J540" s="138"/>
      <c r="K540" s="138"/>
      <c r="L540" s="138"/>
      <c r="M540" s="138"/>
      <c r="N540" s="138"/>
      <c r="O540" s="139"/>
      <c r="P540" s="138"/>
      <c r="Q540" s="107"/>
      <c r="R540" s="107"/>
    </row>
    <row r="541" spans="1:18" ht="15" customHeight="1">
      <c r="A541" s="17" t="s">
        <v>38</v>
      </c>
      <c r="B541" s="17" t="s">
        <v>342</v>
      </c>
      <c r="C541" s="18" t="s">
        <v>592</v>
      </c>
      <c r="D541" s="17" t="s">
        <v>40</v>
      </c>
      <c r="E541" s="17" t="s">
        <v>308</v>
      </c>
      <c r="F541" s="17" t="s">
        <v>81</v>
      </c>
      <c r="G541" s="298"/>
      <c r="H541" s="138"/>
      <c r="I541" s="138"/>
      <c r="J541" s="138"/>
      <c r="K541" s="138"/>
      <c r="L541" s="138"/>
      <c r="M541" s="138"/>
      <c r="N541" s="138"/>
      <c r="O541" s="139"/>
      <c r="P541" s="138"/>
      <c r="Q541" s="107"/>
      <c r="R541" s="107"/>
    </row>
    <row r="542" spans="1:18" ht="15" customHeight="1">
      <c r="A542" s="17" t="s">
        <v>38</v>
      </c>
      <c r="B542" s="17" t="s">
        <v>346</v>
      </c>
      <c r="C542" s="18" t="s">
        <v>600</v>
      </c>
      <c r="D542" s="17" t="s">
        <v>40</v>
      </c>
      <c r="E542" s="17" t="s">
        <v>268</v>
      </c>
      <c r="F542" s="17" t="s">
        <v>347</v>
      </c>
      <c r="G542" s="298"/>
      <c r="H542" s="138"/>
      <c r="I542" s="138"/>
      <c r="J542" s="138"/>
      <c r="K542" s="138"/>
      <c r="L542" s="138"/>
      <c r="M542" s="138"/>
      <c r="N542" s="138"/>
      <c r="O542" s="139"/>
      <c r="P542" s="138"/>
      <c r="Q542" s="107"/>
      <c r="R542" s="107"/>
    </row>
    <row r="543" spans="1:18" ht="15" customHeight="1">
      <c r="A543" s="17" t="s">
        <v>38</v>
      </c>
      <c r="B543" s="17" t="s">
        <v>344</v>
      </c>
      <c r="C543" s="18" t="s">
        <v>593</v>
      </c>
      <c r="D543" s="17" t="s">
        <v>40</v>
      </c>
      <c r="E543" s="17" t="s">
        <v>268</v>
      </c>
      <c r="F543" s="17" t="s">
        <v>347</v>
      </c>
      <c r="G543" s="298"/>
      <c r="H543" s="138"/>
      <c r="I543" s="138"/>
      <c r="J543" s="138"/>
      <c r="K543" s="138"/>
      <c r="L543" s="138"/>
      <c r="M543" s="138"/>
      <c r="N543" s="138"/>
      <c r="O543" s="139"/>
      <c r="P543" s="138"/>
      <c r="Q543" s="107"/>
      <c r="R543" s="107"/>
    </row>
    <row r="544" spans="1:18" ht="15" customHeight="1">
      <c r="A544" s="17" t="s">
        <v>38</v>
      </c>
      <c r="B544" s="17" t="s">
        <v>345</v>
      </c>
      <c r="C544" s="18" t="s">
        <v>594</v>
      </c>
      <c r="D544" s="17" t="s">
        <v>40</v>
      </c>
      <c r="E544" s="17" t="s">
        <v>268</v>
      </c>
      <c r="F544" s="17" t="s">
        <v>347</v>
      </c>
      <c r="G544" s="298"/>
      <c r="H544" s="138"/>
      <c r="I544" s="138"/>
      <c r="J544" s="138"/>
      <c r="K544" s="138"/>
      <c r="L544" s="138"/>
      <c r="M544" s="138"/>
      <c r="N544" s="138"/>
      <c r="O544" s="139"/>
      <c r="P544" s="138"/>
      <c r="Q544" s="107"/>
      <c r="R544" s="107"/>
    </row>
    <row r="545" spans="1:18" ht="15" customHeight="1">
      <c r="A545" s="17" t="s">
        <v>359</v>
      </c>
      <c r="B545" s="17" t="s">
        <v>422</v>
      </c>
      <c r="C545" s="18" t="s">
        <v>618</v>
      </c>
      <c r="D545" s="17" t="s">
        <v>361</v>
      </c>
      <c r="E545" s="17" t="s">
        <v>270</v>
      </c>
      <c r="F545" s="17" t="s">
        <v>534</v>
      </c>
      <c r="G545" s="298"/>
      <c r="H545" s="138"/>
      <c r="I545" s="138"/>
      <c r="J545" s="138"/>
      <c r="K545" s="138"/>
      <c r="L545" s="138"/>
      <c r="M545" s="138"/>
      <c r="N545" s="138"/>
      <c r="O545" s="139"/>
      <c r="P545" s="138"/>
      <c r="Q545" s="107"/>
      <c r="R545" s="107"/>
    </row>
    <row r="546" spans="1:18" ht="15" customHeight="1">
      <c r="A546" s="17" t="s">
        <v>359</v>
      </c>
      <c r="B546" s="17" t="s">
        <v>360</v>
      </c>
      <c r="C546" s="18" t="s">
        <v>619</v>
      </c>
      <c r="D546" s="17" t="s">
        <v>361</v>
      </c>
      <c r="E546" s="17" t="s">
        <v>270</v>
      </c>
      <c r="F546" s="17" t="s">
        <v>534</v>
      </c>
      <c r="G546" s="298"/>
      <c r="H546" s="138"/>
      <c r="I546" s="138"/>
      <c r="J546" s="138"/>
      <c r="K546" s="138"/>
      <c r="L546" s="138"/>
      <c r="M546" s="138"/>
      <c r="N546" s="138"/>
      <c r="O546" s="139"/>
      <c r="P546" s="138"/>
      <c r="Q546" s="107"/>
      <c r="R546" s="107"/>
    </row>
    <row r="547" spans="1:18" ht="15" customHeight="1">
      <c r="A547" s="17" t="s">
        <v>359</v>
      </c>
      <c r="B547" s="17" t="s">
        <v>425</v>
      </c>
      <c r="C547" s="18" t="s">
        <v>620</v>
      </c>
      <c r="D547" s="17" t="s">
        <v>361</v>
      </c>
      <c r="E547" s="17" t="s">
        <v>270</v>
      </c>
      <c r="F547" s="17" t="s">
        <v>534</v>
      </c>
      <c r="G547" s="298"/>
      <c r="H547" s="138"/>
      <c r="I547" s="138"/>
      <c r="J547" s="138"/>
      <c r="K547" s="138"/>
      <c r="L547" s="138"/>
      <c r="M547" s="138"/>
      <c r="N547" s="138"/>
      <c r="O547" s="139"/>
      <c r="P547" s="138"/>
      <c r="Q547" s="107"/>
      <c r="R547" s="107"/>
    </row>
    <row r="548" spans="1:18" ht="15" customHeight="1">
      <c r="A548" s="17" t="s">
        <v>61</v>
      </c>
      <c r="B548" s="17" t="s">
        <v>428</v>
      </c>
      <c r="C548" s="18" t="s">
        <v>564</v>
      </c>
      <c r="D548" s="17" t="s">
        <v>63</v>
      </c>
      <c r="E548" s="17" t="s">
        <v>294</v>
      </c>
      <c r="F548" s="17" t="s">
        <v>365</v>
      </c>
      <c r="G548" s="298"/>
      <c r="H548" s="138"/>
      <c r="I548" s="138"/>
      <c r="J548" s="138"/>
      <c r="K548" s="138"/>
      <c r="L548" s="138"/>
      <c r="M548" s="138"/>
      <c r="N548" s="138"/>
      <c r="O548" s="139"/>
      <c r="P548" s="138"/>
      <c r="Q548" s="107"/>
      <c r="R548" s="107"/>
    </row>
    <row r="549" spans="1:18" ht="15" customHeight="1">
      <c r="A549" s="17" t="s">
        <v>61</v>
      </c>
      <c r="B549" s="17" t="s">
        <v>377</v>
      </c>
      <c r="C549" s="18" t="s">
        <v>562</v>
      </c>
      <c r="D549" s="17" t="s">
        <v>63</v>
      </c>
      <c r="E549" s="17" t="s">
        <v>288</v>
      </c>
      <c r="F549" s="17" t="s">
        <v>365</v>
      </c>
      <c r="G549" s="298"/>
      <c r="H549" s="138"/>
      <c r="I549" s="138"/>
      <c r="J549" s="138"/>
      <c r="K549" s="138"/>
      <c r="L549" s="138"/>
      <c r="M549" s="138"/>
      <c r="N549" s="138"/>
      <c r="O549" s="139"/>
      <c r="P549" s="138"/>
      <c r="Q549" s="107"/>
      <c r="R549" s="107"/>
    </row>
    <row r="550" spans="1:18" ht="15" customHeight="1" thickBot="1">
      <c r="A550" s="30" t="s">
        <v>61</v>
      </c>
      <c r="B550" s="30" t="s">
        <v>379</v>
      </c>
      <c r="C550" s="31" t="s">
        <v>563</v>
      </c>
      <c r="D550" s="30" t="s">
        <v>63</v>
      </c>
      <c r="E550" s="30" t="s">
        <v>288</v>
      </c>
      <c r="F550" s="30" t="s">
        <v>365</v>
      </c>
      <c r="G550" s="299"/>
      <c r="H550" s="140"/>
      <c r="I550" s="140"/>
      <c r="J550" s="140"/>
      <c r="K550" s="140"/>
      <c r="L550" s="140"/>
      <c r="M550" s="140"/>
      <c r="N550" s="140"/>
      <c r="O550" s="141"/>
      <c r="P550" s="140"/>
      <c r="Q550" s="142"/>
      <c r="R550" s="142"/>
    </row>
    <row r="551" spans="1:18" ht="17.45" customHeight="1" thickBot="1">
      <c r="A551" s="283"/>
      <c r="B551" s="284"/>
      <c r="C551" s="284"/>
      <c r="D551" s="284"/>
      <c r="E551" s="284"/>
      <c r="F551" s="284"/>
      <c r="G551" s="284"/>
      <c r="H551" s="284"/>
      <c r="I551" s="284"/>
      <c r="J551" s="284"/>
      <c r="K551" s="284"/>
      <c r="L551" s="284"/>
      <c r="M551" s="284"/>
      <c r="N551" s="284"/>
      <c r="O551" s="284"/>
      <c r="P551" s="284"/>
      <c r="Q551" s="284"/>
      <c r="R551" s="285"/>
    </row>
    <row r="552" spans="1:18" ht="22.15" customHeight="1" thickTop="1" thickBot="1">
      <c r="A552" s="279" t="s">
        <v>6</v>
      </c>
      <c r="B552" s="295"/>
      <c r="C552" s="295"/>
      <c r="D552" s="295"/>
      <c r="E552" s="295"/>
      <c r="F552" s="296"/>
      <c r="G552" s="32">
        <v>46053</v>
      </c>
      <c r="H552" s="278" t="s">
        <v>7</v>
      </c>
      <c r="I552" s="295"/>
      <c r="J552" s="295"/>
      <c r="K552" s="295"/>
      <c r="L552" s="295"/>
      <c r="M552" s="295"/>
      <c r="N552" s="295"/>
      <c r="O552" s="295"/>
      <c r="P552" s="295"/>
      <c r="Q552" s="295"/>
      <c r="R552" s="296"/>
    </row>
    <row r="553" spans="1:18" ht="24" customHeight="1">
      <c r="A553" s="33" t="s">
        <v>8</v>
      </c>
      <c r="B553" s="33" t="s">
        <v>9</v>
      </c>
      <c r="C553" s="34" t="s">
        <v>10</v>
      </c>
      <c r="D553" s="33" t="s">
        <v>11</v>
      </c>
      <c r="E553" s="33" t="s">
        <v>12</v>
      </c>
      <c r="F553" s="35" t="s">
        <v>13</v>
      </c>
      <c r="G553" s="36" t="s">
        <v>14</v>
      </c>
      <c r="H553" s="33" t="s">
        <v>15</v>
      </c>
      <c r="I553" s="37" t="s">
        <v>16</v>
      </c>
      <c r="J553" s="38" t="s">
        <v>17</v>
      </c>
      <c r="K553" s="39" t="s">
        <v>18</v>
      </c>
      <c r="L553" s="38" t="s">
        <v>19</v>
      </c>
      <c r="M553" s="38" t="s">
        <v>20</v>
      </c>
      <c r="N553" s="38" t="s">
        <v>21</v>
      </c>
      <c r="O553" s="33" t="s">
        <v>22</v>
      </c>
      <c r="P553" s="34" t="s">
        <v>23</v>
      </c>
      <c r="Q553" s="38" t="s">
        <v>24</v>
      </c>
      <c r="R553" s="33" t="s">
        <v>25</v>
      </c>
    </row>
    <row r="554" spans="1:18" ht="15" customHeight="1">
      <c r="A554" s="40" t="s">
        <v>61</v>
      </c>
      <c r="B554" s="40" t="s">
        <v>707</v>
      </c>
      <c r="C554" s="41">
        <v>0.30208333333333331</v>
      </c>
      <c r="D554" s="40" t="s">
        <v>63</v>
      </c>
      <c r="E554" s="40" t="s">
        <v>126</v>
      </c>
      <c r="F554" s="40" t="s">
        <v>708</v>
      </c>
      <c r="G554" s="302"/>
      <c r="H554" s="42" t="s">
        <v>709</v>
      </c>
      <c r="I554" s="43">
        <v>5.5999999999999999E-3</v>
      </c>
      <c r="J554" s="44">
        <v>1</v>
      </c>
      <c r="K554" s="45">
        <v>46269</v>
      </c>
      <c r="L554" s="44">
        <v>1</v>
      </c>
      <c r="M554" s="44">
        <v>0</v>
      </c>
      <c r="N554" s="44">
        <v>0</v>
      </c>
      <c r="O554" s="46" t="s">
        <v>304</v>
      </c>
      <c r="P554" s="47">
        <v>0.30208333333333331</v>
      </c>
      <c r="Q554" s="44">
        <v>180</v>
      </c>
      <c r="R554" s="48" t="s">
        <v>302</v>
      </c>
    </row>
    <row r="555" spans="1:18" ht="15" customHeight="1">
      <c r="A555" s="162" t="s">
        <v>61</v>
      </c>
      <c r="B555" s="162" t="s">
        <v>710</v>
      </c>
      <c r="C555" s="163">
        <v>0.52777777777777779</v>
      </c>
      <c r="D555" s="162" t="s">
        <v>63</v>
      </c>
      <c r="E555" s="162" t="s">
        <v>91</v>
      </c>
      <c r="F555" s="162" t="s">
        <v>708</v>
      </c>
      <c r="G555" s="298"/>
      <c r="H555" s="60" t="s">
        <v>712</v>
      </c>
      <c r="I555" s="61">
        <v>1.67E-2</v>
      </c>
      <c r="J555" s="62">
        <v>3</v>
      </c>
      <c r="K555" s="63">
        <v>46339</v>
      </c>
      <c r="L555" s="62">
        <v>3</v>
      </c>
      <c r="M555" s="62">
        <v>0</v>
      </c>
      <c r="N555" s="62">
        <v>0</v>
      </c>
      <c r="O555" s="64" t="s">
        <v>298</v>
      </c>
      <c r="P555" s="65">
        <v>0.52777777777777779</v>
      </c>
      <c r="Q555" s="62">
        <v>180</v>
      </c>
      <c r="R555" s="66" t="s">
        <v>741</v>
      </c>
    </row>
    <row r="556" spans="1:18" ht="15" customHeight="1">
      <c r="A556" s="160" t="s">
        <v>61</v>
      </c>
      <c r="B556" s="160" t="s">
        <v>715</v>
      </c>
      <c r="C556" s="161">
        <v>0.1423611111111111</v>
      </c>
      <c r="D556" s="160" t="s">
        <v>63</v>
      </c>
      <c r="E556" s="160" t="s">
        <v>200</v>
      </c>
      <c r="F556" s="160" t="s">
        <v>708</v>
      </c>
      <c r="G556" s="298"/>
      <c r="H556" s="23" t="s">
        <v>716</v>
      </c>
      <c r="I556" s="24">
        <v>5.5999999999999999E-3</v>
      </c>
      <c r="J556" s="25">
        <v>1</v>
      </c>
      <c r="K556" s="26">
        <v>46327</v>
      </c>
      <c r="L556" s="25">
        <v>1</v>
      </c>
      <c r="M556" s="25">
        <v>0</v>
      </c>
      <c r="N556" s="25">
        <v>0</v>
      </c>
      <c r="O556" s="27" t="s">
        <v>304</v>
      </c>
      <c r="P556" s="28">
        <v>0.1423611111111111</v>
      </c>
      <c r="Q556" s="25">
        <v>180</v>
      </c>
      <c r="R556" s="29" t="s">
        <v>302</v>
      </c>
    </row>
    <row r="557" spans="1:18" ht="15" customHeight="1">
      <c r="A557" s="19" t="s">
        <v>68</v>
      </c>
      <c r="B557" s="19" t="s">
        <v>713</v>
      </c>
      <c r="C557" s="20">
        <v>0.30208333333333331</v>
      </c>
      <c r="D557" s="19" t="s">
        <v>643</v>
      </c>
      <c r="E557" s="19" t="s">
        <v>29</v>
      </c>
      <c r="F557" s="19" t="s">
        <v>714</v>
      </c>
      <c r="G557" s="298"/>
      <c r="H557" s="10"/>
      <c r="I557" s="11"/>
      <c r="J557" s="11"/>
      <c r="K557" s="11"/>
      <c r="L557" s="11"/>
      <c r="M557" s="11"/>
      <c r="N557" s="11"/>
      <c r="O557" s="12"/>
      <c r="P557" s="11"/>
      <c r="Q557" s="13"/>
      <c r="R557" s="14"/>
    </row>
    <row r="558" spans="1:18" ht="18">
      <c r="A558" s="292" t="s">
        <v>615</v>
      </c>
      <c r="B558" s="303"/>
      <c r="C558" s="303"/>
      <c r="D558" s="303"/>
      <c r="E558" s="303"/>
      <c r="F558" s="304"/>
      <c r="G558" s="298"/>
      <c r="H558" s="138"/>
      <c r="I558" s="138"/>
      <c r="J558" s="138"/>
      <c r="K558" s="138"/>
      <c r="L558" s="138"/>
      <c r="M558" s="138"/>
      <c r="N558" s="138"/>
      <c r="O558" s="139"/>
      <c r="P558" s="138"/>
      <c r="Q558" s="107"/>
      <c r="R558" s="107"/>
    </row>
    <row r="559" spans="1:18" ht="15" customHeight="1">
      <c r="A559" s="17" t="s">
        <v>38</v>
      </c>
      <c r="B559" s="17" t="s">
        <v>342</v>
      </c>
      <c r="C559" s="18" t="s">
        <v>592</v>
      </c>
      <c r="D559" s="17" t="s">
        <v>40</v>
      </c>
      <c r="E559" s="17" t="s">
        <v>312</v>
      </c>
      <c r="F559" s="17" t="s">
        <v>30</v>
      </c>
      <c r="G559" s="298"/>
      <c r="H559" s="138"/>
      <c r="I559" s="138"/>
      <c r="J559" s="138"/>
      <c r="K559" s="138"/>
      <c r="L559" s="138"/>
      <c r="M559" s="138"/>
      <c r="N559" s="138"/>
      <c r="O559" s="139"/>
      <c r="P559" s="138"/>
      <c r="Q559" s="107"/>
      <c r="R559" s="107"/>
    </row>
    <row r="560" spans="1:18" ht="15" customHeight="1">
      <c r="A560" s="17" t="s">
        <v>38</v>
      </c>
      <c r="B560" s="17" t="s">
        <v>346</v>
      </c>
      <c r="C560" s="18" t="s">
        <v>600</v>
      </c>
      <c r="D560" s="17" t="s">
        <v>40</v>
      </c>
      <c r="E560" s="17" t="s">
        <v>284</v>
      </c>
      <c r="F560" s="17" t="s">
        <v>347</v>
      </c>
      <c r="G560" s="298"/>
      <c r="H560" s="138"/>
      <c r="I560" s="138"/>
      <c r="J560" s="138"/>
      <c r="K560" s="138"/>
      <c r="L560" s="138"/>
      <c r="M560" s="138"/>
      <c r="N560" s="138"/>
      <c r="O560" s="139"/>
      <c r="P560" s="138"/>
      <c r="Q560" s="107"/>
      <c r="R560" s="107"/>
    </row>
    <row r="561" spans="1:18" ht="15" customHeight="1">
      <c r="A561" s="17" t="s">
        <v>38</v>
      </c>
      <c r="B561" s="17" t="s">
        <v>344</v>
      </c>
      <c r="C561" s="18" t="s">
        <v>593</v>
      </c>
      <c r="D561" s="17" t="s">
        <v>40</v>
      </c>
      <c r="E561" s="17" t="s">
        <v>268</v>
      </c>
      <c r="F561" s="17" t="s">
        <v>347</v>
      </c>
      <c r="G561" s="298"/>
      <c r="H561" s="138"/>
      <c r="I561" s="138"/>
      <c r="J561" s="138"/>
      <c r="K561" s="138"/>
      <c r="L561" s="138"/>
      <c r="M561" s="138"/>
      <c r="N561" s="138"/>
      <c r="O561" s="139"/>
      <c r="P561" s="138"/>
      <c r="Q561" s="107"/>
      <c r="R561" s="107"/>
    </row>
    <row r="562" spans="1:18" ht="15" customHeight="1">
      <c r="A562" s="17" t="s">
        <v>38</v>
      </c>
      <c r="B562" s="17" t="s">
        <v>345</v>
      </c>
      <c r="C562" s="18" t="s">
        <v>594</v>
      </c>
      <c r="D562" s="17" t="s">
        <v>40</v>
      </c>
      <c r="E562" s="17" t="s">
        <v>293</v>
      </c>
      <c r="F562" s="17" t="s">
        <v>347</v>
      </c>
      <c r="G562" s="298"/>
      <c r="H562" s="138"/>
      <c r="I562" s="138"/>
      <c r="J562" s="138"/>
      <c r="K562" s="138"/>
      <c r="L562" s="138"/>
      <c r="M562" s="138"/>
      <c r="N562" s="138"/>
      <c r="O562" s="139"/>
      <c r="P562" s="138"/>
      <c r="Q562" s="107"/>
      <c r="R562" s="107"/>
    </row>
    <row r="563" spans="1:18" ht="15" customHeight="1">
      <c r="A563" s="17" t="s">
        <v>359</v>
      </c>
      <c r="B563" s="17" t="s">
        <v>360</v>
      </c>
      <c r="C563" s="18" t="s">
        <v>599</v>
      </c>
      <c r="D563" s="17" t="s">
        <v>361</v>
      </c>
      <c r="E563" s="17" t="s">
        <v>270</v>
      </c>
      <c r="F563" s="17" t="s">
        <v>534</v>
      </c>
      <c r="G563" s="298"/>
      <c r="H563" s="138"/>
      <c r="I563" s="138"/>
      <c r="J563" s="138"/>
      <c r="K563" s="138"/>
      <c r="L563" s="138"/>
      <c r="M563" s="138"/>
      <c r="N563" s="138"/>
      <c r="O563" s="139"/>
      <c r="P563" s="138"/>
      <c r="Q563" s="107"/>
      <c r="R563" s="107"/>
    </row>
    <row r="564" spans="1:18" ht="15" customHeight="1">
      <c r="A564" s="17" t="s">
        <v>359</v>
      </c>
      <c r="B564" s="17" t="s">
        <v>445</v>
      </c>
      <c r="C564" s="18" t="s">
        <v>635</v>
      </c>
      <c r="D564" s="17" t="s">
        <v>361</v>
      </c>
      <c r="E564" s="17" t="s">
        <v>270</v>
      </c>
      <c r="F564" s="17" t="s">
        <v>534</v>
      </c>
      <c r="G564" s="298"/>
      <c r="H564" s="138"/>
      <c r="I564" s="138"/>
      <c r="J564" s="138"/>
      <c r="K564" s="138"/>
      <c r="L564" s="138"/>
      <c r="M564" s="138"/>
      <c r="N564" s="138"/>
      <c r="O564" s="139"/>
      <c r="P564" s="138"/>
      <c r="Q564" s="107"/>
      <c r="R564" s="107"/>
    </row>
    <row r="565" spans="1:18" ht="15" customHeight="1">
      <c r="A565" s="17" t="s">
        <v>61</v>
      </c>
      <c r="B565" s="17" t="s">
        <v>371</v>
      </c>
      <c r="C565" s="18" t="s">
        <v>566</v>
      </c>
      <c r="D565" s="17" t="s">
        <v>63</v>
      </c>
      <c r="E565" s="17" t="s">
        <v>277</v>
      </c>
      <c r="F565" s="17" t="s">
        <v>365</v>
      </c>
      <c r="G565" s="298"/>
      <c r="H565" s="138"/>
      <c r="I565" s="138"/>
      <c r="J565" s="138"/>
      <c r="K565" s="138"/>
      <c r="L565" s="138"/>
      <c r="M565" s="138"/>
      <c r="N565" s="138"/>
      <c r="O565" s="139"/>
      <c r="P565" s="138"/>
      <c r="Q565" s="107"/>
      <c r="R565" s="107"/>
    </row>
    <row r="566" spans="1:18" ht="15" customHeight="1">
      <c r="A566" s="17" t="s">
        <v>61</v>
      </c>
      <c r="B566" s="17" t="s">
        <v>377</v>
      </c>
      <c r="C566" s="18" t="s">
        <v>567</v>
      </c>
      <c r="D566" s="17" t="s">
        <v>63</v>
      </c>
      <c r="E566" s="17" t="s">
        <v>286</v>
      </c>
      <c r="F566" s="17" t="s">
        <v>365</v>
      </c>
      <c r="G566" s="298"/>
      <c r="H566" s="138"/>
      <c r="I566" s="138"/>
      <c r="J566" s="138"/>
      <c r="K566" s="138"/>
      <c r="L566" s="138"/>
      <c r="M566" s="138"/>
      <c r="N566" s="138"/>
      <c r="O566" s="139"/>
      <c r="P566" s="138"/>
      <c r="Q566" s="107"/>
      <c r="R566" s="107"/>
    </row>
    <row r="567" spans="1:18" ht="15" customHeight="1">
      <c r="A567" s="17" t="s">
        <v>26</v>
      </c>
      <c r="B567" s="17" t="s">
        <v>354</v>
      </c>
      <c r="C567" s="18" t="s">
        <v>656</v>
      </c>
      <c r="D567" s="17" t="s">
        <v>28</v>
      </c>
      <c r="E567" s="17" t="s">
        <v>294</v>
      </c>
      <c r="F567" s="17" t="s">
        <v>83</v>
      </c>
      <c r="G567" s="298"/>
      <c r="H567" s="138"/>
      <c r="I567" s="138"/>
      <c r="J567" s="138"/>
      <c r="K567" s="138"/>
      <c r="L567" s="138"/>
      <c r="M567" s="138"/>
      <c r="N567" s="138"/>
      <c r="O567" s="139"/>
      <c r="P567" s="138"/>
      <c r="Q567" s="107"/>
      <c r="R567" s="107"/>
    </row>
    <row r="568" spans="1:18" ht="15" customHeight="1">
      <c r="A568" s="30" t="s">
        <v>26</v>
      </c>
      <c r="B568" s="30" t="s">
        <v>351</v>
      </c>
      <c r="C568" s="31" t="s">
        <v>597</v>
      </c>
      <c r="D568" s="30" t="s">
        <v>28</v>
      </c>
      <c r="E568" s="30" t="s">
        <v>267</v>
      </c>
      <c r="F568" s="30" t="s">
        <v>83</v>
      </c>
      <c r="G568" s="299"/>
      <c r="H568" s="140"/>
      <c r="I568" s="140"/>
      <c r="J568" s="140"/>
      <c r="K568" s="140"/>
      <c r="L568" s="140"/>
      <c r="M568" s="140"/>
      <c r="N568" s="140"/>
      <c r="O568" s="141"/>
      <c r="P568" s="140"/>
      <c r="Q568" s="142"/>
      <c r="R568" s="142"/>
    </row>
  </sheetData>
  <mergeCells count="161">
    <mergeCell ref="A519:R519"/>
    <mergeCell ref="H1:L1"/>
    <mergeCell ref="A1:E1"/>
    <mergeCell ref="A369:F369"/>
    <mergeCell ref="H392:R392"/>
    <mergeCell ref="A409:F409"/>
    <mergeCell ref="G38:G52"/>
    <mergeCell ref="A239:F239"/>
    <mergeCell ref="A278:R278"/>
    <mergeCell ref="A508:F508"/>
    <mergeCell ref="A311:R311"/>
    <mergeCell ref="A134:F134"/>
    <mergeCell ref="A35:R35"/>
    <mergeCell ref="A450:F450"/>
    <mergeCell ref="A332:F332"/>
    <mergeCell ref="A357:F357"/>
    <mergeCell ref="H442:R442"/>
    <mergeCell ref="A320:F320"/>
    <mergeCell ref="H312:R312"/>
    <mergeCell ref="H352:R352"/>
    <mergeCell ref="A24:F24"/>
    <mergeCell ref="G168:G182"/>
    <mergeCell ref="A462:F462"/>
    <mergeCell ref="A340:F340"/>
    <mergeCell ref="G394:G407"/>
    <mergeCell ref="G76:G92"/>
    <mergeCell ref="A250:F250"/>
    <mergeCell ref="G6:G19"/>
    <mergeCell ref="G371:G390"/>
    <mergeCell ref="G539:G550"/>
    <mergeCell ref="A461:R461"/>
    <mergeCell ref="G444:G460"/>
    <mergeCell ref="H294:R294"/>
    <mergeCell ref="A172:F172"/>
    <mergeCell ref="A99:F99"/>
    <mergeCell ref="H184:R184"/>
    <mergeCell ref="G354:G367"/>
    <mergeCell ref="A397:F397"/>
    <mergeCell ref="A537:F537"/>
    <mergeCell ref="H54:R54"/>
    <mergeCell ref="A267:F267"/>
    <mergeCell ref="G464:G478"/>
    <mergeCell ref="H520:R520"/>
    <mergeCell ref="A294:F294"/>
    <mergeCell ref="G153:G164"/>
    <mergeCell ref="H166:R166"/>
    <mergeCell ref="A2:F2"/>
    <mergeCell ref="A204:F204"/>
    <mergeCell ref="A42:F42"/>
    <mergeCell ref="G426:G440"/>
    <mergeCell ref="A151:F151"/>
    <mergeCell ref="G499:G518"/>
    <mergeCell ref="H279:R279"/>
    <mergeCell ref="H222:R222"/>
    <mergeCell ref="A424:F424"/>
    <mergeCell ref="A203:R203"/>
    <mergeCell ref="A262:F262"/>
    <mergeCell ref="A62:F62"/>
    <mergeCell ref="A479:R479"/>
    <mergeCell ref="A122:F122"/>
    <mergeCell ref="H36:R36"/>
    <mergeCell ref="H94:R94"/>
    <mergeCell ref="A392:F392"/>
    <mergeCell ref="A53:R53"/>
    <mergeCell ref="A165:R165"/>
    <mergeCell ref="G314:G330"/>
    <mergeCell ref="H480:R480"/>
    <mergeCell ref="H262:R262"/>
    <mergeCell ref="A9:F9"/>
    <mergeCell ref="A293:R293"/>
    <mergeCell ref="A54:F54"/>
    <mergeCell ref="G281:G292"/>
    <mergeCell ref="A282:F282"/>
    <mergeCell ref="A133:R133"/>
    <mergeCell ref="A74:F74"/>
    <mergeCell ref="G296:G310"/>
    <mergeCell ref="A139:F139"/>
    <mergeCell ref="A154:F154"/>
    <mergeCell ref="A210:F210"/>
    <mergeCell ref="H74:R74"/>
    <mergeCell ref="A183:R183"/>
    <mergeCell ref="H134:R134"/>
    <mergeCell ref="A93:R93"/>
    <mergeCell ref="H111:R111"/>
    <mergeCell ref="G206:G220"/>
    <mergeCell ref="G264:G277"/>
    <mergeCell ref="G241:G260"/>
    <mergeCell ref="A82:F82"/>
    <mergeCell ref="A221:R221"/>
    <mergeCell ref="G2:J2"/>
    <mergeCell ref="H424:R424"/>
    <mergeCell ref="N1:R1"/>
    <mergeCell ref="G186:G202"/>
    <mergeCell ref="H552:R552"/>
    <mergeCell ref="G113:G132"/>
    <mergeCell ref="A111:F111"/>
    <mergeCell ref="K2:R2"/>
    <mergeCell ref="A480:F480"/>
    <mergeCell ref="A166:F166"/>
    <mergeCell ref="A279:F279"/>
    <mergeCell ref="A261:R261"/>
    <mergeCell ref="A36:F36"/>
    <mergeCell ref="A300:F300"/>
    <mergeCell ref="A94:F94"/>
    <mergeCell ref="G56:G72"/>
    <mergeCell ref="H151:R151"/>
    <mergeCell ref="A110:R110"/>
    <mergeCell ref="A408:R408"/>
    <mergeCell ref="A423:R423"/>
    <mergeCell ref="A551:R551"/>
    <mergeCell ref="A497:F497"/>
    <mergeCell ref="A540:F540"/>
    <mergeCell ref="H239:R239"/>
    <mergeCell ref="A21:F21"/>
    <mergeCell ref="A192:F192"/>
    <mergeCell ref="H4:R4"/>
    <mergeCell ref="A238:R238"/>
    <mergeCell ref="A351:R351"/>
    <mergeCell ref="A3:R3"/>
    <mergeCell ref="A468:F468"/>
    <mergeCell ref="H332:R332"/>
    <mergeCell ref="G482:G495"/>
    <mergeCell ref="A312:F312"/>
    <mergeCell ref="A331:R331"/>
    <mergeCell ref="H21:R21"/>
    <mergeCell ref="A4:F4"/>
    <mergeCell ref="A150:R150"/>
    <mergeCell ref="H462:R462"/>
    <mergeCell ref="A380:F380"/>
    <mergeCell ref="A184:F184"/>
    <mergeCell ref="A20:R20"/>
    <mergeCell ref="G136:G149"/>
    <mergeCell ref="G23:G34"/>
    <mergeCell ref="A352:F352"/>
    <mergeCell ref="G96:G109"/>
    <mergeCell ref="A442:F442"/>
    <mergeCell ref="A227:F227"/>
    <mergeCell ref="G554:G568"/>
    <mergeCell ref="G334:G350"/>
    <mergeCell ref="G224:G237"/>
    <mergeCell ref="A222:F222"/>
    <mergeCell ref="A520:F520"/>
    <mergeCell ref="A73:R73"/>
    <mergeCell ref="A430:F430"/>
    <mergeCell ref="A552:F552"/>
    <mergeCell ref="A536:R536"/>
    <mergeCell ref="H204:R204"/>
    <mergeCell ref="A485:F485"/>
    <mergeCell ref="A558:F558"/>
    <mergeCell ref="H537:R537"/>
    <mergeCell ref="A496:R496"/>
    <mergeCell ref="G411:G422"/>
    <mergeCell ref="G522:G535"/>
    <mergeCell ref="A525:F525"/>
    <mergeCell ref="A391:R391"/>
    <mergeCell ref="A412:F412"/>
    <mergeCell ref="H369:R369"/>
    <mergeCell ref="H497:R497"/>
    <mergeCell ref="H409:R409"/>
    <mergeCell ref="A441:R441"/>
    <mergeCell ref="A368:R368"/>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74"/>
  <sheetViews>
    <sheetView workbookViewId="0"/>
  </sheetViews>
  <sheetFormatPr defaultColWidth="8.85546875" defaultRowHeight="15.6" outlineLevelCol="1"/>
  <cols>
    <col min="1" max="1" width="11.5703125" style="266" bestFit="1" customWidth="1"/>
    <col min="2" max="2" width="9.7109375" style="266" bestFit="1" customWidth="1"/>
    <col min="3" max="3" width="6.7109375" style="266" bestFit="1" customWidth="1"/>
    <col min="4" max="4" width="5.5703125" style="266" bestFit="1" customWidth="1"/>
    <col min="5" max="5" width="7.7109375" style="266" bestFit="1" customWidth="1"/>
    <col min="6" max="6" width="4.28515625" style="266" bestFit="1" customWidth="1"/>
    <col min="7" max="7" width="8.42578125" style="266" bestFit="1" customWidth="1"/>
    <col min="8" max="8" width="10.140625" style="266" bestFit="1" customWidth="1"/>
    <col min="9"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6" width="3.85546875" style="266" bestFit="1" customWidth="1"/>
    <col min="27" max="27" width="4" style="266" bestFit="1" customWidth="1"/>
    <col min="28"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230</v>
      </c>
      <c r="B2" s="268">
        <v>46023</v>
      </c>
      <c r="C2" s="269" t="s">
        <v>709</v>
      </c>
      <c r="D2" s="270" t="s">
        <v>742</v>
      </c>
      <c r="E2" s="269" t="s">
        <v>706</v>
      </c>
      <c r="F2" s="269" t="s">
        <v>232</v>
      </c>
      <c r="G2" s="271">
        <v>1.11E-2</v>
      </c>
      <c r="H2" s="272">
        <v>180</v>
      </c>
      <c r="I2" s="272">
        <v>2</v>
      </c>
      <c r="J2" s="272">
        <v>0</v>
      </c>
      <c r="K2" s="269" t="s">
        <v>233</v>
      </c>
      <c r="L2" s="273">
        <v>46289</v>
      </c>
      <c r="M2" s="272">
        <v>0</v>
      </c>
      <c r="N2" s="272">
        <v>0</v>
      </c>
      <c r="O2" s="272">
        <v>2</v>
      </c>
      <c r="P2" s="269" t="s">
        <v>298</v>
      </c>
      <c r="Q2" s="265"/>
      <c r="R2" s="265"/>
      <c r="S2" s="265"/>
      <c r="T2" s="265"/>
      <c r="U2" s="265"/>
      <c r="V2" s="265"/>
      <c r="W2" s="265"/>
      <c r="X2" s="265"/>
      <c r="Y2" s="265"/>
      <c r="Z2" s="265"/>
      <c r="AA2" s="265"/>
      <c r="AB2" s="265"/>
      <c r="AC2" s="272" t="s">
        <v>298</v>
      </c>
      <c r="AD2" s="265"/>
      <c r="AE2" s="265"/>
      <c r="AF2" s="265"/>
      <c r="AG2" s="265"/>
      <c r="AH2" s="265"/>
      <c r="AI2" s="265"/>
      <c r="AJ2" s="265"/>
    </row>
    <row r="3" spans="1:36">
      <c r="A3" s="267" t="s">
        <v>230</v>
      </c>
      <c r="B3" s="268">
        <v>46023</v>
      </c>
      <c r="C3" s="269" t="s">
        <v>712</v>
      </c>
      <c r="D3" s="270" t="s">
        <v>743</v>
      </c>
      <c r="E3" s="269" t="s">
        <v>706</v>
      </c>
      <c r="F3" s="269" t="s">
        <v>232</v>
      </c>
      <c r="G3" s="271">
        <v>2.2200000000000001E-2</v>
      </c>
      <c r="H3" s="272">
        <v>180</v>
      </c>
      <c r="I3" s="272">
        <v>4</v>
      </c>
      <c r="J3" s="272">
        <v>0</v>
      </c>
      <c r="K3" s="269" t="s">
        <v>233</v>
      </c>
      <c r="L3" s="273">
        <v>46343</v>
      </c>
      <c r="M3" s="272">
        <v>0</v>
      </c>
      <c r="N3" s="272">
        <v>0</v>
      </c>
      <c r="O3" s="272">
        <v>4</v>
      </c>
      <c r="P3" s="269" t="s">
        <v>300</v>
      </c>
      <c r="Q3" s="265"/>
      <c r="R3" s="265"/>
      <c r="S3" s="265"/>
      <c r="T3" s="265"/>
      <c r="U3" s="265"/>
      <c r="V3" s="265"/>
      <c r="W3" s="265"/>
      <c r="X3" s="265"/>
      <c r="Y3" s="265"/>
      <c r="Z3" s="265"/>
      <c r="AA3" s="265"/>
      <c r="AB3" s="265"/>
      <c r="AC3" s="272" t="s">
        <v>307</v>
      </c>
      <c r="AD3" s="265"/>
      <c r="AE3" s="265"/>
      <c r="AF3" s="265"/>
      <c r="AG3" s="265"/>
      <c r="AH3" s="265"/>
      <c r="AI3" s="265"/>
      <c r="AJ3" s="265"/>
    </row>
    <row r="4" spans="1:36">
      <c r="A4" s="267" t="s">
        <v>560</v>
      </c>
      <c r="B4" s="268">
        <v>46024</v>
      </c>
      <c r="C4" s="269" t="s">
        <v>716</v>
      </c>
      <c r="D4" s="270" t="s">
        <v>744</v>
      </c>
      <c r="E4" s="269" t="s">
        <v>706</v>
      </c>
      <c r="F4" s="269" t="s">
        <v>232</v>
      </c>
      <c r="G4" s="271">
        <v>2.7799999999999998E-2</v>
      </c>
      <c r="H4" s="272">
        <v>180</v>
      </c>
      <c r="I4" s="272">
        <v>5</v>
      </c>
      <c r="J4" s="272">
        <v>0</v>
      </c>
      <c r="K4" s="269" t="s">
        <v>233</v>
      </c>
      <c r="L4" s="273">
        <v>46342</v>
      </c>
      <c r="M4" s="272">
        <v>0</v>
      </c>
      <c r="N4" s="272">
        <v>0</v>
      </c>
      <c r="O4" s="272">
        <v>5</v>
      </c>
      <c r="P4" s="269" t="s">
        <v>302</v>
      </c>
      <c r="Q4" s="265"/>
      <c r="R4" s="265"/>
      <c r="S4" s="265"/>
      <c r="T4" s="265"/>
      <c r="U4" s="265"/>
      <c r="V4" s="265"/>
      <c r="W4" s="265"/>
      <c r="X4" s="265"/>
      <c r="Y4" s="265"/>
      <c r="Z4" s="265"/>
      <c r="AA4" s="272" t="s">
        <v>318</v>
      </c>
      <c r="AB4" s="265"/>
      <c r="AC4" s="272" t="s">
        <v>304</v>
      </c>
      <c r="AD4" s="265"/>
      <c r="AE4" s="265"/>
      <c r="AF4" s="265"/>
      <c r="AG4" s="265"/>
      <c r="AH4" s="265"/>
      <c r="AI4" s="265"/>
      <c r="AJ4" s="265"/>
    </row>
    <row r="5" spans="1:36">
      <c r="A5" s="267" t="s">
        <v>234</v>
      </c>
      <c r="B5" s="268">
        <v>46025</v>
      </c>
      <c r="C5" s="269" t="s">
        <v>716</v>
      </c>
      <c r="D5" s="270" t="s">
        <v>561</v>
      </c>
      <c r="E5" s="269" t="s">
        <v>706</v>
      </c>
      <c r="F5" s="269" t="s">
        <v>232</v>
      </c>
      <c r="G5" s="271">
        <v>1.67E-2</v>
      </c>
      <c r="H5" s="272">
        <v>180</v>
      </c>
      <c r="I5" s="272">
        <v>3</v>
      </c>
      <c r="J5" s="272">
        <v>0</v>
      </c>
      <c r="K5" s="269" t="s">
        <v>233</v>
      </c>
      <c r="L5" s="273">
        <v>46341</v>
      </c>
      <c r="M5" s="272">
        <v>0</v>
      </c>
      <c r="N5" s="272">
        <v>0</v>
      </c>
      <c r="O5" s="272">
        <v>3</v>
      </c>
      <c r="P5" s="269" t="s">
        <v>302</v>
      </c>
      <c r="Q5" s="265"/>
      <c r="R5" s="265"/>
      <c r="S5" s="265"/>
      <c r="T5" s="265"/>
      <c r="U5" s="265"/>
      <c r="V5" s="265"/>
      <c r="W5" s="265"/>
      <c r="X5" s="265"/>
      <c r="Y5" s="265"/>
      <c r="Z5" s="265"/>
      <c r="AA5" s="265"/>
      <c r="AB5" s="265"/>
      <c r="AC5" s="272" t="s">
        <v>304</v>
      </c>
      <c r="AD5" s="265"/>
      <c r="AE5" s="265"/>
      <c r="AF5" s="265"/>
      <c r="AG5" s="265"/>
      <c r="AH5" s="265"/>
      <c r="AI5" s="265"/>
      <c r="AJ5" s="265"/>
    </row>
    <row r="6" spans="1:36">
      <c r="A6" s="267" t="s">
        <v>234</v>
      </c>
      <c r="B6" s="268">
        <v>46025</v>
      </c>
      <c r="C6" s="269" t="s">
        <v>709</v>
      </c>
      <c r="D6" s="270" t="s">
        <v>745</v>
      </c>
      <c r="E6" s="269" t="s">
        <v>706</v>
      </c>
      <c r="F6" s="269" t="s">
        <v>232</v>
      </c>
      <c r="G6" s="271">
        <v>0</v>
      </c>
      <c r="H6" s="272">
        <v>180</v>
      </c>
      <c r="I6" s="272">
        <v>0</v>
      </c>
      <c r="J6" s="272">
        <v>0</v>
      </c>
      <c r="K6" s="269" t="s">
        <v>233</v>
      </c>
      <c r="L6" s="273" t="s">
        <v>66</v>
      </c>
      <c r="M6" s="272">
        <v>0</v>
      </c>
      <c r="N6" s="272">
        <v>0</v>
      </c>
      <c r="O6" s="272">
        <v>0</v>
      </c>
      <c r="P6" s="269" t="s">
        <v>307</v>
      </c>
      <c r="Q6" s="265"/>
      <c r="R6" s="265"/>
      <c r="S6" s="265"/>
      <c r="T6" s="265"/>
      <c r="U6" s="265"/>
      <c r="V6" s="265"/>
      <c r="W6" s="265"/>
      <c r="X6" s="265"/>
      <c r="Y6" s="265"/>
      <c r="Z6" s="265"/>
      <c r="AA6" s="265"/>
      <c r="AB6" s="265"/>
      <c r="AC6" s="265"/>
      <c r="AD6" s="265"/>
      <c r="AE6" s="265"/>
      <c r="AF6" s="265"/>
      <c r="AG6" s="265"/>
      <c r="AH6" s="265"/>
      <c r="AI6" s="265"/>
      <c r="AJ6" s="265"/>
    </row>
    <row r="7" spans="1:36">
      <c r="A7" s="267" t="s">
        <v>234</v>
      </c>
      <c r="B7" s="268">
        <v>46025</v>
      </c>
      <c r="C7" s="269" t="s">
        <v>712</v>
      </c>
      <c r="D7" s="270" t="s">
        <v>746</v>
      </c>
      <c r="E7" s="269" t="s">
        <v>706</v>
      </c>
      <c r="F7" s="269" t="s">
        <v>232</v>
      </c>
      <c r="G7" s="271">
        <v>2.2200000000000001E-2</v>
      </c>
      <c r="H7" s="272">
        <v>180</v>
      </c>
      <c r="I7" s="272">
        <v>4</v>
      </c>
      <c r="J7" s="272">
        <v>0</v>
      </c>
      <c r="K7" s="269" t="s">
        <v>233</v>
      </c>
      <c r="L7" s="273">
        <v>46333</v>
      </c>
      <c r="M7" s="272">
        <v>0</v>
      </c>
      <c r="N7" s="272">
        <v>0</v>
      </c>
      <c r="O7" s="272">
        <v>4</v>
      </c>
      <c r="P7" s="269" t="s">
        <v>302</v>
      </c>
      <c r="Q7" s="265"/>
      <c r="R7" s="265"/>
      <c r="S7" s="265"/>
      <c r="T7" s="265"/>
      <c r="U7" s="265"/>
      <c r="V7" s="265"/>
      <c r="W7" s="265"/>
      <c r="X7" s="265"/>
      <c r="Y7" s="265"/>
      <c r="Z7" s="265"/>
      <c r="AA7" s="272" t="s">
        <v>686</v>
      </c>
      <c r="AB7" s="265"/>
      <c r="AC7" s="272" t="s">
        <v>304</v>
      </c>
      <c r="AD7" s="265"/>
      <c r="AE7" s="265"/>
      <c r="AF7" s="265"/>
      <c r="AG7" s="265"/>
      <c r="AH7" s="265"/>
      <c r="AI7" s="265"/>
      <c r="AJ7" s="265"/>
    </row>
    <row r="8" spans="1:36">
      <c r="A8" s="267" t="s">
        <v>236</v>
      </c>
      <c r="B8" s="268">
        <v>46026</v>
      </c>
      <c r="C8" s="269" t="s">
        <v>716</v>
      </c>
      <c r="D8" s="270" t="s">
        <v>747</v>
      </c>
      <c r="E8" s="269" t="s">
        <v>706</v>
      </c>
      <c r="F8" s="269" t="s">
        <v>232</v>
      </c>
      <c r="G8" s="271">
        <v>0</v>
      </c>
      <c r="H8" s="272">
        <v>180</v>
      </c>
      <c r="I8" s="272">
        <v>0</v>
      </c>
      <c r="J8" s="272">
        <v>0</v>
      </c>
      <c r="K8" s="269" t="s">
        <v>233</v>
      </c>
      <c r="L8" s="273" t="s">
        <v>66</v>
      </c>
      <c r="M8" s="272">
        <v>0</v>
      </c>
      <c r="N8" s="272">
        <v>0</v>
      </c>
      <c r="O8" s="272">
        <v>0</v>
      </c>
      <c r="P8" s="269" t="s">
        <v>307</v>
      </c>
      <c r="Q8" s="265"/>
      <c r="R8" s="265"/>
      <c r="S8" s="265"/>
      <c r="T8" s="265"/>
      <c r="U8" s="265"/>
      <c r="V8" s="265"/>
      <c r="W8" s="265"/>
      <c r="X8" s="265"/>
      <c r="Y8" s="265"/>
      <c r="Z8" s="265"/>
      <c r="AA8" s="265"/>
      <c r="AB8" s="265"/>
      <c r="AC8" s="265"/>
      <c r="AD8" s="265"/>
      <c r="AE8" s="265"/>
      <c r="AF8" s="265"/>
      <c r="AG8" s="265"/>
      <c r="AH8" s="265"/>
      <c r="AI8" s="265"/>
      <c r="AJ8" s="265"/>
    </row>
    <row r="9" spans="1:36">
      <c r="A9" s="267" t="s">
        <v>236</v>
      </c>
      <c r="B9" s="268">
        <v>46026</v>
      </c>
      <c r="C9" s="269" t="s">
        <v>712</v>
      </c>
      <c r="D9" s="270" t="s">
        <v>748</v>
      </c>
      <c r="E9" s="269" t="s">
        <v>706</v>
      </c>
      <c r="F9" s="269" t="s">
        <v>232</v>
      </c>
      <c r="G9" s="271">
        <v>2.2200000000000001E-2</v>
      </c>
      <c r="H9" s="272">
        <v>180</v>
      </c>
      <c r="I9" s="272">
        <v>4</v>
      </c>
      <c r="J9" s="272">
        <v>0</v>
      </c>
      <c r="K9" s="269" t="s">
        <v>233</v>
      </c>
      <c r="L9" s="273">
        <v>46334</v>
      </c>
      <c r="M9" s="272">
        <v>0</v>
      </c>
      <c r="N9" s="272">
        <v>0</v>
      </c>
      <c r="O9" s="272">
        <v>4</v>
      </c>
      <c r="P9" s="269" t="s">
        <v>300</v>
      </c>
      <c r="Q9" s="265"/>
      <c r="R9" s="265"/>
      <c r="S9" s="265"/>
      <c r="T9" s="265"/>
      <c r="U9" s="265"/>
      <c r="V9" s="265"/>
      <c r="W9" s="265"/>
      <c r="X9" s="265"/>
      <c r="Y9" s="265"/>
      <c r="Z9" s="265"/>
      <c r="AA9" s="265"/>
      <c r="AB9" s="265"/>
      <c r="AC9" s="272" t="s">
        <v>307</v>
      </c>
      <c r="AD9" s="265"/>
      <c r="AE9" s="265"/>
      <c r="AF9" s="265"/>
      <c r="AG9" s="265"/>
      <c r="AH9" s="265"/>
      <c r="AI9" s="265"/>
      <c r="AJ9" s="265"/>
    </row>
    <row r="10" spans="1:36">
      <c r="A10" s="267" t="s">
        <v>240</v>
      </c>
      <c r="B10" s="268">
        <v>46027</v>
      </c>
      <c r="C10" s="269" t="s">
        <v>716</v>
      </c>
      <c r="D10" s="270" t="s">
        <v>749</v>
      </c>
      <c r="E10" s="269" t="s">
        <v>706</v>
      </c>
      <c r="F10" s="269" t="s">
        <v>232</v>
      </c>
      <c r="G10" s="271">
        <v>0</v>
      </c>
      <c r="H10" s="272">
        <v>180</v>
      </c>
      <c r="I10" s="272">
        <v>0</v>
      </c>
      <c r="J10" s="272">
        <v>0</v>
      </c>
      <c r="K10" s="269" t="s">
        <v>233</v>
      </c>
      <c r="L10" s="273" t="s">
        <v>66</v>
      </c>
      <c r="M10" s="272">
        <v>0</v>
      </c>
      <c r="N10" s="272">
        <v>0</v>
      </c>
      <c r="O10" s="272">
        <v>0</v>
      </c>
      <c r="P10" s="269" t="s">
        <v>307</v>
      </c>
      <c r="Q10" s="265"/>
      <c r="R10" s="265"/>
      <c r="S10" s="265"/>
      <c r="T10" s="265"/>
      <c r="U10" s="265"/>
      <c r="V10" s="265"/>
      <c r="W10" s="265"/>
      <c r="X10" s="265"/>
      <c r="Y10" s="265"/>
      <c r="Z10" s="265"/>
      <c r="AA10" s="265"/>
      <c r="AB10" s="265"/>
      <c r="AC10" s="265"/>
      <c r="AD10" s="265"/>
      <c r="AE10" s="265"/>
      <c r="AF10" s="265"/>
      <c r="AG10" s="265"/>
      <c r="AH10" s="265"/>
      <c r="AI10" s="265"/>
      <c r="AJ10" s="265"/>
    </row>
    <row r="11" spans="1:36">
      <c r="A11" s="267" t="s">
        <v>240</v>
      </c>
      <c r="B11" s="268">
        <v>46027</v>
      </c>
      <c r="C11" s="269" t="s">
        <v>712</v>
      </c>
      <c r="D11" s="270" t="s">
        <v>750</v>
      </c>
      <c r="E11" s="269" t="s">
        <v>706</v>
      </c>
      <c r="F11" s="269" t="s">
        <v>232</v>
      </c>
      <c r="G11" s="271">
        <v>0</v>
      </c>
      <c r="H11" s="272">
        <v>180</v>
      </c>
      <c r="I11" s="272">
        <v>0</v>
      </c>
      <c r="J11" s="272">
        <v>0</v>
      </c>
      <c r="K11" s="269" t="s">
        <v>233</v>
      </c>
      <c r="L11" s="273" t="s">
        <v>66</v>
      </c>
      <c r="M11" s="272">
        <v>0</v>
      </c>
      <c r="N11" s="272">
        <v>0</v>
      </c>
      <c r="O11" s="272">
        <v>0</v>
      </c>
      <c r="P11" s="269" t="s">
        <v>307</v>
      </c>
      <c r="Q11" s="265"/>
      <c r="R11" s="265"/>
      <c r="S11" s="265"/>
      <c r="T11" s="265"/>
      <c r="U11" s="265"/>
      <c r="V11" s="265"/>
      <c r="W11" s="265"/>
      <c r="X11" s="265"/>
      <c r="Y11" s="265"/>
      <c r="Z11" s="265"/>
      <c r="AA11" s="265"/>
      <c r="AB11" s="265"/>
      <c r="AC11" s="265"/>
      <c r="AD11" s="265"/>
      <c r="AE11" s="265"/>
      <c r="AF11" s="265"/>
      <c r="AG11" s="265"/>
      <c r="AH11" s="265"/>
      <c r="AI11" s="265"/>
      <c r="AJ11" s="265"/>
    </row>
    <row r="12" spans="1:36">
      <c r="A12" s="267" t="s">
        <v>240</v>
      </c>
      <c r="B12" s="268">
        <v>46027</v>
      </c>
      <c r="C12" s="269" t="s">
        <v>723</v>
      </c>
      <c r="D12" s="270" t="s">
        <v>656</v>
      </c>
      <c r="E12" s="269" t="s">
        <v>706</v>
      </c>
      <c r="F12" s="269" t="s">
        <v>232</v>
      </c>
      <c r="G12" s="271">
        <v>5.5999999999999999E-3</v>
      </c>
      <c r="H12" s="272">
        <v>180</v>
      </c>
      <c r="I12" s="272">
        <v>1</v>
      </c>
      <c r="J12" s="272">
        <v>0</v>
      </c>
      <c r="K12" s="269" t="s">
        <v>233</v>
      </c>
      <c r="L12" s="273">
        <v>46286</v>
      </c>
      <c r="M12" s="272">
        <v>0</v>
      </c>
      <c r="N12" s="272">
        <v>0</v>
      </c>
      <c r="O12" s="272">
        <v>1</v>
      </c>
      <c r="P12" s="269" t="s">
        <v>307</v>
      </c>
      <c r="Q12" s="265"/>
      <c r="R12" s="265"/>
      <c r="S12" s="265"/>
      <c r="T12" s="265"/>
      <c r="U12" s="265"/>
      <c r="V12" s="265"/>
      <c r="W12" s="265"/>
      <c r="X12" s="265"/>
      <c r="Y12" s="265"/>
      <c r="Z12" s="265"/>
      <c r="AA12" s="272" t="s">
        <v>686</v>
      </c>
      <c r="AB12" s="265"/>
      <c r="AC12" s="265"/>
      <c r="AD12" s="265"/>
      <c r="AE12" s="265"/>
      <c r="AF12" s="265"/>
      <c r="AG12" s="265"/>
      <c r="AH12" s="265"/>
      <c r="AI12" s="265"/>
      <c r="AJ12" s="265"/>
    </row>
    <row r="13" spans="1:36">
      <c r="A13" s="267" t="s">
        <v>240</v>
      </c>
      <c r="B13" s="268">
        <v>46027</v>
      </c>
      <c r="C13" s="269" t="s">
        <v>709</v>
      </c>
      <c r="D13" s="270" t="s">
        <v>743</v>
      </c>
      <c r="E13" s="269" t="s">
        <v>706</v>
      </c>
      <c r="F13" s="269" t="s">
        <v>232</v>
      </c>
      <c r="G13" s="271">
        <v>3.8899999999999997E-2</v>
      </c>
      <c r="H13" s="272">
        <v>180</v>
      </c>
      <c r="I13" s="272">
        <v>7</v>
      </c>
      <c r="J13" s="272">
        <v>0</v>
      </c>
      <c r="K13" s="269" t="s">
        <v>233</v>
      </c>
      <c r="L13" s="273">
        <v>46344</v>
      </c>
      <c r="M13" s="272">
        <v>0</v>
      </c>
      <c r="N13" s="272">
        <v>0</v>
      </c>
      <c r="O13" s="272">
        <v>7</v>
      </c>
      <c r="P13" s="269" t="s">
        <v>304</v>
      </c>
      <c r="Q13" s="265"/>
      <c r="R13" s="265"/>
      <c r="S13" s="265"/>
      <c r="T13" s="265"/>
      <c r="U13" s="265"/>
      <c r="V13" s="265"/>
      <c r="W13" s="265"/>
      <c r="X13" s="265"/>
      <c r="Y13" s="265"/>
      <c r="Z13" s="265"/>
      <c r="AA13" s="272" t="s">
        <v>516</v>
      </c>
      <c r="AB13" s="265"/>
      <c r="AC13" s="272" t="s">
        <v>302</v>
      </c>
      <c r="AD13" s="265"/>
      <c r="AE13" s="265"/>
      <c r="AF13" s="265"/>
      <c r="AG13" s="265"/>
      <c r="AH13" s="265"/>
      <c r="AI13" s="265"/>
      <c r="AJ13" s="265"/>
    </row>
    <row r="14" spans="1:36">
      <c r="A14" s="267" t="s">
        <v>242</v>
      </c>
      <c r="B14" s="268">
        <v>46028</v>
      </c>
      <c r="C14" s="269" t="s">
        <v>709</v>
      </c>
      <c r="D14" s="270" t="s">
        <v>751</v>
      </c>
      <c r="E14" s="269" t="s">
        <v>706</v>
      </c>
      <c r="F14" s="269" t="s">
        <v>232</v>
      </c>
      <c r="G14" s="271">
        <v>0</v>
      </c>
      <c r="H14" s="272">
        <v>180</v>
      </c>
      <c r="I14" s="272">
        <v>0</v>
      </c>
      <c r="J14" s="272">
        <v>0</v>
      </c>
      <c r="K14" s="269" t="s">
        <v>233</v>
      </c>
      <c r="L14" s="273" t="s">
        <v>66</v>
      </c>
      <c r="M14" s="272">
        <v>0</v>
      </c>
      <c r="N14" s="272">
        <v>0</v>
      </c>
      <c r="O14" s="272">
        <v>0</v>
      </c>
      <c r="P14" s="269" t="s">
        <v>307</v>
      </c>
      <c r="Q14" s="265"/>
      <c r="R14" s="265"/>
      <c r="S14" s="265"/>
      <c r="T14" s="265"/>
      <c r="U14" s="265"/>
      <c r="V14" s="265"/>
      <c r="W14" s="265"/>
      <c r="X14" s="265"/>
      <c r="Y14" s="265"/>
      <c r="Z14" s="265"/>
      <c r="AA14" s="265"/>
      <c r="AB14" s="265"/>
      <c r="AC14" s="265"/>
      <c r="AD14" s="265"/>
      <c r="AE14" s="265"/>
      <c r="AF14" s="265"/>
      <c r="AG14" s="265"/>
      <c r="AH14" s="265"/>
      <c r="AI14" s="265"/>
      <c r="AJ14" s="265"/>
    </row>
    <row r="15" spans="1:36">
      <c r="A15" s="267" t="s">
        <v>242</v>
      </c>
      <c r="B15" s="268">
        <v>46028</v>
      </c>
      <c r="C15" s="269" t="s">
        <v>712</v>
      </c>
      <c r="D15" s="270" t="s">
        <v>746</v>
      </c>
      <c r="E15" s="269" t="s">
        <v>706</v>
      </c>
      <c r="F15" s="269" t="s">
        <v>232</v>
      </c>
      <c r="G15" s="271">
        <v>0</v>
      </c>
      <c r="H15" s="272">
        <v>180</v>
      </c>
      <c r="I15" s="272">
        <v>0</v>
      </c>
      <c r="J15" s="272">
        <v>0</v>
      </c>
      <c r="K15" s="269" t="s">
        <v>233</v>
      </c>
      <c r="L15" s="273" t="s">
        <v>66</v>
      </c>
      <c r="M15" s="272">
        <v>0</v>
      </c>
      <c r="N15" s="272">
        <v>0</v>
      </c>
      <c r="O15" s="272">
        <v>0</v>
      </c>
      <c r="P15" s="269" t="s">
        <v>307</v>
      </c>
      <c r="Q15" s="265"/>
      <c r="R15" s="265"/>
      <c r="S15" s="265"/>
      <c r="T15" s="265"/>
      <c r="U15" s="265"/>
      <c r="V15" s="265"/>
      <c r="W15" s="265"/>
      <c r="X15" s="265"/>
      <c r="Y15" s="265"/>
      <c r="Z15" s="265"/>
      <c r="AA15" s="265"/>
      <c r="AB15" s="265"/>
      <c r="AC15" s="265"/>
      <c r="AD15" s="265"/>
      <c r="AE15" s="265"/>
      <c r="AF15" s="265"/>
      <c r="AG15" s="265"/>
      <c r="AH15" s="265"/>
      <c r="AI15" s="265"/>
      <c r="AJ15" s="265"/>
    </row>
    <row r="16" spans="1:36">
      <c r="A16" s="267" t="s">
        <v>315</v>
      </c>
      <c r="B16" s="268">
        <v>46029</v>
      </c>
      <c r="C16" s="269" t="s">
        <v>709</v>
      </c>
      <c r="D16" s="270" t="s">
        <v>752</v>
      </c>
      <c r="E16" s="269" t="s">
        <v>706</v>
      </c>
      <c r="F16" s="269" t="s">
        <v>232</v>
      </c>
      <c r="G16" s="271">
        <v>0</v>
      </c>
      <c r="H16" s="272">
        <v>180</v>
      </c>
      <c r="I16" s="272">
        <v>0</v>
      </c>
      <c r="J16" s="272">
        <v>0</v>
      </c>
      <c r="K16" s="269" t="s">
        <v>233</v>
      </c>
      <c r="L16" s="273" t="s">
        <v>66</v>
      </c>
      <c r="M16" s="272">
        <v>0</v>
      </c>
      <c r="N16" s="272">
        <v>0</v>
      </c>
      <c r="O16" s="272">
        <v>0</v>
      </c>
      <c r="P16" s="269" t="s">
        <v>307</v>
      </c>
      <c r="Q16" s="265"/>
      <c r="R16" s="265"/>
      <c r="S16" s="265"/>
      <c r="T16" s="265"/>
      <c r="U16" s="265"/>
      <c r="V16" s="265"/>
      <c r="W16" s="265"/>
      <c r="X16" s="265"/>
      <c r="Y16" s="265"/>
      <c r="Z16" s="265"/>
      <c r="AA16" s="265"/>
      <c r="AB16" s="265"/>
      <c r="AC16" s="265"/>
      <c r="AD16" s="265"/>
      <c r="AE16" s="265"/>
      <c r="AF16" s="265"/>
      <c r="AG16" s="265"/>
      <c r="AH16" s="265"/>
      <c r="AI16" s="265"/>
      <c r="AJ16" s="265"/>
    </row>
    <row r="17" spans="1:36">
      <c r="A17" s="267" t="s">
        <v>315</v>
      </c>
      <c r="B17" s="268">
        <v>46029</v>
      </c>
      <c r="C17" s="269" t="s">
        <v>716</v>
      </c>
      <c r="D17" s="270" t="s">
        <v>753</v>
      </c>
      <c r="E17" s="269" t="s">
        <v>706</v>
      </c>
      <c r="F17" s="269" t="s">
        <v>232</v>
      </c>
      <c r="G17" s="271">
        <v>2.7799999999999998E-2</v>
      </c>
      <c r="H17" s="272">
        <v>180</v>
      </c>
      <c r="I17" s="272">
        <v>5</v>
      </c>
      <c r="J17" s="272">
        <v>0</v>
      </c>
      <c r="K17" s="269" t="s">
        <v>233</v>
      </c>
      <c r="L17" s="273">
        <v>46340</v>
      </c>
      <c r="M17" s="272">
        <v>0</v>
      </c>
      <c r="N17" s="272">
        <v>0</v>
      </c>
      <c r="O17" s="272">
        <v>5</v>
      </c>
      <c r="P17" s="269" t="s">
        <v>302</v>
      </c>
      <c r="Q17" s="265"/>
      <c r="R17" s="265"/>
      <c r="S17" s="265"/>
      <c r="T17" s="265"/>
      <c r="U17" s="265"/>
      <c r="V17" s="265"/>
      <c r="W17" s="265"/>
      <c r="X17" s="265"/>
      <c r="Y17" s="265"/>
      <c r="Z17" s="265"/>
      <c r="AA17" s="272" t="s">
        <v>318</v>
      </c>
      <c r="AB17" s="265"/>
      <c r="AC17" s="272" t="s">
        <v>304</v>
      </c>
      <c r="AD17" s="265"/>
      <c r="AE17" s="265"/>
      <c r="AF17" s="265"/>
      <c r="AG17" s="265"/>
      <c r="AH17" s="265"/>
      <c r="AI17" s="265"/>
      <c r="AJ17" s="265"/>
    </row>
    <row r="18" spans="1:36">
      <c r="A18" s="267" t="s">
        <v>315</v>
      </c>
      <c r="B18" s="268">
        <v>46029</v>
      </c>
      <c r="C18" s="269" t="s">
        <v>723</v>
      </c>
      <c r="D18" s="270" t="s">
        <v>754</v>
      </c>
      <c r="E18" s="269" t="s">
        <v>706</v>
      </c>
      <c r="F18" s="269" t="s">
        <v>232</v>
      </c>
      <c r="G18" s="271">
        <v>5.5999999999999999E-3</v>
      </c>
      <c r="H18" s="272">
        <v>180</v>
      </c>
      <c r="I18" s="272">
        <v>1</v>
      </c>
      <c r="J18" s="272">
        <v>0</v>
      </c>
      <c r="K18" s="269" t="s">
        <v>233</v>
      </c>
      <c r="L18" s="273">
        <v>46268</v>
      </c>
      <c r="M18" s="272">
        <v>0</v>
      </c>
      <c r="N18" s="272">
        <v>0</v>
      </c>
      <c r="O18" s="272">
        <v>1</v>
      </c>
      <c r="P18" s="269" t="s">
        <v>304</v>
      </c>
      <c r="Q18" s="265"/>
      <c r="R18" s="265"/>
      <c r="S18" s="265"/>
      <c r="T18" s="265"/>
      <c r="U18" s="265"/>
      <c r="V18" s="265"/>
      <c r="W18" s="265"/>
      <c r="X18" s="265"/>
      <c r="Y18" s="265"/>
      <c r="Z18" s="265"/>
      <c r="AA18" s="265"/>
      <c r="AB18" s="265"/>
      <c r="AC18" s="272" t="s">
        <v>302</v>
      </c>
      <c r="AD18" s="265"/>
      <c r="AE18" s="265"/>
      <c r="AF18" s="265"/>
      <c r="AG18" s="265"/>
      <c r="AH18" s="265"/>
      <c r="AI18" s="265"/>
      <c r="AJ18" s="265"/>
    </row>
    <row r="19" spans="1:36">
      <c r="A19" s="267" t="s">
        <v>230</v>
      </c>
      <c r="B19" s="268">
        <v>46030</v>
      </c>
      <c r="C19" s="269" t="s">
        <v>709</v>
      </c>
      <c r="D19" s="270" t="s">
        <v>742</v>
      </c>
      <c r="E19" s="269" t="s">
        <v>706</v>
      </c>
      <c r="F19" s="269" t="s">
        <v>232</v>
      </c>
      <c r="G19" s="271">
        <v>0.05</v>
      </c>
      <c r="H19" s="272">
        <v>180</v>
      </c>
      <c r="I19" s="272">
        <v>9</v>
      </c>
      <c r="J19" s="272">
        <v>0</v>
      </c>
      <c r="K19" s="269" t="s">
        <v>233</v>
      </c>
      <c r="L19" s="273">
        <v>46320</v>
      </c>
      <c r="M19" s="272">
        <v>0</v>
      </c>
      <c r="N19" s="272">
        <v>0</v>
      </c>
      <c r="O19" s="272">
        <v>9</v>
      </c>
      <c r="P19" s="269" t="s">
        <v>302</v>
      </c>
      <c r="Q19" s="265"/>
      <c r="R19" s="265"/>
      <c r="S19" s="265"/>
      <c r="T19" s="265"/>
      <c r="U19" s="265"/>
      <c r="V19" s="265"/>
      <c r="W19" s="265"/>
      <c r="X19" s="265"/>
      <c r="Y19" s="265"/>
      <c r="Z19" s="272" t="s">
        <v>569</v>
      </c>
      <c r="AA19" s="265"/>
      <c r="AB19" s="272" t="s">
        <v>589</v>
      </c>
      <c r="AC19" s="272" t="s">
        <v>302</v>
      </c>
      <c r="AD19" s="265"/>
      <c r="AE19" s="265"/>
      <c r="AF19" s="265"/>
      <c r="AG19" s="265"/>
      <c r="AH19" s="265"/>
      <c r="AI19" s="265"/>
      <c r="AJ19" s="265"/>
    </row>
    <row r="20" spans="1:36">
      <c r="A20" s="267" t="s">
        <v>230</v>
      </c>
      <c r="B20" s="268">
        <v>46030</v>
      </c>
      <c r="C20" s="269" t="s">
        <v>712</v>
      </c>
      <c r="D20" s="270" t="s">
        <v>743</v>
      </c>
      <c r="E20" s="269" t="s">
        <v>706</v>
      </c>
      <c r="F20" s="269" t="s">
        <v>232</v>
      </c>
      <c r="G20" s="271">
        <v>1.11E-2</v>
      </c>
      <c r="H20" s="272">
        <v>180</v>
      </c>
      <c r="I20" s="272">
        <v>2</v>
      </c>
      <c r="J20" s="272">
        <v>0</v>
      </c>
      <c r="K20" s="269" t="s">
        <v>233</v>
      </c>
      <c r="L20" s="273">
        <v>46329</v>
      </c>
      <c r="M20" s="272">
        <v>0</v>
      </c>
      <c r="N20" s="272">
        <v>0</v>
      </c>
      <c r="O20" s="272">
        <v>2</v>
      </c>
      <c r="P20" s="269" t="s">
        <v>307</v>
      </c>
      <c r="Q20" s="265"/>
      <c r="R20" s="265"/>
      <c r="S20" s="265"/>
      <c r="T20" s="265"/>
      <c r="U20" s="265"/>
      <c r="V20" s="265"/>
      <c r="W20" s="265"/>
      <c r="X20" s="265"/>
      <c r="Y20" s="265"/>
      <c r="Z20" s="265"/>
      <c r="AA20" s="272" t="s">
        <v>318</v>
      </c>
      <c r="AB20" s="265"/>
      <c r="AC20" s="265"/>
      <c r="AD20" s="265"/>
      <c r="AE20" s="265"/>
      <c r="AF20" s="265"/>
      <c r="AG20" s="265"/>
      <c r="AH20" s="265"/>
      <c r="AI20" s="265"/>
      <c r="AJ20" s="265"/>
    </row>
    <row r="21" spans="1:36">
      <c r="A21" s="267" t="s">
        <v>560</v>
      </c>
      <c r="B21" s="268">
        <v>46031</v>
      </c>
      <c r="C21" s="269" t="s">
        <v>716</v>
      </c>
      <c r="D21" s="270" t="s">
        <v>744</v>
      </c>
      <c r="E21" s="269" t="s">
        <v>706</v>
      </c>
      <c r="F21" s="269" t="s">
        <v>232</v>
      </c>
      <c r="G21" s="271">
        <v>0</v>
      </c>
      <c r="H21" s="272">
        <v>180</v>
      </c>
      <c r="I21" s="272">
        <v>0</v>
      </c>
      <c r="J21" s="272">
        <v>0</v>
      </c>
      <c r="K21" s="269" t="s">
        <v>233</v>
      </c>
      <c r="L21" s="273" t="s">
        <v>66</v>
      </c>
      <c r="M21" s="272">
        <v>0</v>
      </c>
      <c r="N21" s="272">
        <v>0</v>
      </c>
      <c r="O21" s="272">
        <v>0</v>
      </c>
      <c r="P21" s="269" t="s">
        <v>307</v>
      </c>
      <c r="Q21" s="265"/>
      <c r="R21" s="265"/>
      <c r="S21" s="265"/>
      <c r="T21" s="265"/>
      <c r="U21" s="265"/>
      <c r="V21" s="265"/>
      <c r="W21" s="265"/>
      <c r="X21" s="265"/>
      <c r="Y21" s="265"/>
      <c r="Z21" s="265"/>
      <c r="AA21" s="265"/>
      <c r="AB21" s="265"/>
      <c r="AC21" s="265"/>
      <c r="AD21" s="265"/>
      <c r="AE21" s="265"/>
      <c r="AF21" s="265"/>
      <c r="AG21" s="265"/>
      <c r="AH21" s="265"/>
      <c r="AI21" s="265"/>
      <c r="AJ21" s="265"/>
    </row>
    <row r="22" spans="1:36">
      <c r="A22" s="267" t="s">
        <v>234</v>
      </c>
      <c r="B22" s="268">
        <v>46032</v>
      </c>
      <c r="C22" s="269" t="s">
        <v>716</v>
      </c>
      <c r="D22" s="270" t="s">
        <v>561</v>
      </c>
      <c r="E22" s="269" t="s">
        <v>706</v>
      </c>
      <c r="F22" s="269" t="s">
        <v>232</v>
      </c>
      <c r="G22" s="271">
        <v>0</v>
      </c>
      <c r="H22" s="272">
        <v>180</v>
      </c>
      <c r="I22" s="272">
        <v>0</v>
      </c>
      <c r="J22" s="272">
        <v>0</v>
      </c>
      <c r="K22" s="269" t="s">
        <v>233</v>
      </c>
      <c r="L22" s="273" t="s">
        <v>66</v>
      </c>
      <c r="M22" s="272">
        <v>0</v>
      </c>
      <c r="N22" s="272">
        <v>0</v>
      </c>
      <c r="O22" s="272">
        <v>0</v>
      </c>
      <c r="P22" s="269" t="s">
        <v>307</v>
      </c>
      <c r="Q22" s="265"/>
      <c r="R22" s="265"/>
      <c r="S22" s="265"/>
      <c r="T22" s="265"/>
      <c r="U22" s="265"/>
      <c r="V22" s="265"/>
      <c r="W22" s="265"/>
      <c r="X22" s="265"/>
      <c r="Y22" s="265"/>
      <c r="Z22" s="265"/>
      <c r="AA22" s="265"/>
      <c r="AB22" s="265"/>
      <c r="AC22" s="265"/>
      <c r="AD22" s="265"/>
      <c r="AE22" s="265"/>
      <c r="AF22" s="265"/>
      <c r="AG22" s="265"/>
      <c r="AH22" s="265"/>
      <c r="AI22" s="265"/>
      <c r="AJ22" s="265"/>
    </row>
    <row r="23" spans="1:36">
      <c r="A23" s="267" t="s">
        <v>234</v>
      </c>
      <c r="B23" s="268">
        <v>46032</v>
      </c>
      <c r="C23" s="269" t="s">
        <v>709</v>
      </c>
      <c r="D23" s="270" t="s">
        <v>745</v>
      </c>
      <c r="E23" s="269" t="s">
        <v>706</v>
      </c>
      <c r="F23" s="269" t="s">
        <v>232</v>
      </c>
      <c r="G23" s="271">
        <v>1.11E-2</v>
      </c>
      <c r="H23" s="272">
        <v>180</v>
      </c>
      <c r="I23" s="272">
        <v>2</v>
      </c>
      <c r="J23" s="272">
        <v>0</v>
      </c>
      <c r="K23" s="269" t="s">
        <v>233</v>
      </c>
      <c r="L23" s="273">
        <v>46343</v>
      </c>
      <c r="M23" s="272">
        <v>0</v>
      </c>
      <c r="N23" s="272">
        <v>0</v>
      </c>
      <c r="O23" s="272">
        <v>2</v>
      </c>
      <c r="P23" s="269" t="s">
        <v>298</v>
      </c>
      <c r="Q23" s="265"/>
      <c r="R23" s="265"/>
      <c r="S23" s="265"/>
      <c r="T23" s="265"/>
      <c r="U23" s="265"/>
      <c r="V23" s="265"/>
      <c r="W23" s="265"/>
      <c r="X23" s="265"/>
      <c r="Y23" s="265"/>
      <c r="Z23" s="265"/>
      <c r="AA23" s="265"/>
      <c r="AB23" s="265"/>
      <c r="AC23" s="272" t="s">
        <v>298</v>
      </c>
      <c r="AD23" s="265"/>
      <c r="AE23" s="265"/>
      <c r="AF23" s="265"/>
      <c r="AG23" s="265"/>
      <c r="AH23" s="265"/>
      <c r="AI23" s="265"/>
      <c r="AJ23" s="265"/>
    </row>
    <row r="24" spans="1:36">
      <c r="A24" s="267" t="s">
        <v>234</v>
      </c>
      <c r="B24" s="268">
        <v>46032</v>
      </c>
      <c r="C24" s="269" t="s">
        <v>712</v>
      </c>
      <c r="D24" s="270" t="s">
        <v>746</v>
      </c>
      <c r="E24" s="269" t="s">
        <v>706</v>
      </c>
      <c r="F24" s="269" t="s">
        <v>232</v>
      </c>
      <c r="G24" s="271">
        <v>2.2200000000000001E-2</v>
      </c>
      <c r="H24" s="272">
        <v>180</v>
      </c>
      <c r="I24" s="272">
        <v>4</v>
      </c>
      <c r="J24" s="272">
        <v>0</v>
      </c>
      <c r="K24" s="269" t="s">
        <v>233</v>
      </c>
      <c r="L24" s="273">
        <v>46336</v>
      </c>
      <c r="M24" s="272">
        <v>0</v>
      </c>
      <c r="N24" s="272">
        <v>0</v>
      </c>
      <c r="O24" s="272">
        <v>4</v>
      </c>
      <c r="P24" s="269" t="s">
        <v>300</v>
      </c>
      <c r="Q24" s="265"/>
      <c r="R24" s="265"/>
      <c r="S24" s="265"/>
      <c r="T24" s="265"/>
      <c r="U24" s="265"/>
      <c r="V24" s="265"/>
      <c r="W24" s="265"/>
      <c r="X24" s="265"/>
      <c r="Y24" s="265"/>
      <c r="Z24" s="265"/>
      <c r="AA24" s="265"/>
      <c r="AB24" s="265"/>
      <c r="AC24" s="272" t="s">
        <v>307</v>
      </c>
      <c r="AD24" s="265"/>
      <c r="AE24" s="265"/>
      <c r="AF24" s="265"/>
      <c r="AG24" s="265"/>
      <c r="AH24" s="265"/>
      <c r="AI24" s="265"/>
      <c r="AJ24" s="265"/>
    </row>
    <row r="25" spans="1:36">
      <c r="A25" s="267" t="s">
        <v>236</v>
      </c>
      <c r="B25" s="268">
        <v>46033</v>
      </c>
      <c r="C25" s="269" t="s">
        <v>716</v>
      </c>
      <c r="D25" s="270" t="s">
        <v>747</v>
      </c>
      <c r="E25" s="269" t="s">
        <v>706</v>
      </c>
      <c r="F25" s="269" t="s">
        <v>232</v>
      </c>
      <c r="G25" s="271">
        <v>0</v>
      </c>
      <c r="H25" s="272">
        <v>180</v>
      </c>
      <c r="I25" s="272">
        <v>0</v>
      </c>
      <c r="J25" s="272">
        <v>0</v>
      </c>
      <c r="K25" s="269" t="s">
        <v>233</v>
      </c>
      <c r="L25" s="273" t="s">
        <v>66</v>
      </c>
      <c r="M25" s="272">
        <v>0</v>
      </c>
      <c r="N25" s="272">
        <v>0</v>
      </c>
      <c r="O25" s="272">
        <v>0</v>
      </c>
      <c r="P25" s="269" t="s">
        <v>307</v>
      </c>
      <c r="Q25" s="265"/>
      <c r="R25" s="265"/>
      <c r="S25" s="265"/>
      <c r="T25" s="265"/>
      <c r="U25" s="265"/>
      <c r="V25" s="265"/>
      <c r="W25" s="265"/>
      <c r="X25" s="265"/>
      <c r="Y25" s="265"/>
      <c r="Z25" s="265"/>
      <c r="AA25" s="265"/>
      <c r="AB25" s="265"/>
      <c r="AC25" s="265"/>
      <c r="AD25" s="265"/>
      <c r="AE25" s="265"/>
      <c r="AF25" s="265"/>
      <c r="AG25" s="265"/>
      <c r="AH25" s="265"/>
      <c r="AI25" s="265"/>
      <c r="AJ25" s="265"/>
    </row>
    <row r="26" spans="1:36">
      <c r="A26" s="267" t="s">
        <v>236</v>
      </c>
      <c r="B26" s="268">
        <v>46033</v>
      </c>
      <c r="C26" s="269" t="s">
        <v>712</v>
      </c>
      <c r="D26" s="270" t="s">
        <v>748</v>
      </c>
      <c r="E26" s="269" t="s">
        <v>706</v>
      </c>
      <c r="F26" s="269" t="s">
        <v>232</v>
      </c>
      <c r="G26" s="271">
        <v>5.5999999999999999E-3</v>
      </c>
      <c r="H26" s="272">
        <v>180</v>
      </c>
      <c r="I26" s="272">
        <v>1</v>
      </c>
      <c r="J26" s="272">
        <v>0</v>
      </c>
      <c r="K26" s="269" t="s">
        <v>233</v>
      </c>
      <c r="L26" s="273">
        <v>46335</v>
      </c>
      <c r="M26" s="272">
        <v>0</v>
      </c>
      <c r="N26" s="272">
        <v>0</v>
      </c>
      <c r="O26" s="272">
        <v>1</v>
      </c>
      <c r="P26" s="269" t="s">
        <v>304</v>
      </c>
      <c r="Q26" s="265"/>
      <c r="R26" s="265"/>
      <c r="S26" s="265"/>
      <c r="T26" s="265"/>
      <c r="U26" s="265"/>
      <c r="V26" s="265"/>
      <c r="W26" s="265"/>
      <c r="X26" s="265"/>
      <c r="Y26" s="265"/>
      <c r="Z26" s="265"/>
      <c r="AA26" s="265"/>
      <c r="AB26" s="265"/>
      <c r="AC26" s="272" t="s">
        <v>302</v>
      </c>
      <c r="AD26" s="265"/>
      <c r="AE26" s="265"/>
      <c r="AF26" s="265"/>
      <c r="AG26" s="265"/>
      <c r="AH26" s="265"/>
      <c r="AI26" s="265"/>
      <c r="AJ26" s="265"/>
    </row>
    <row r="27" spans="1:36">
      <c r="A27" s="267" t="s">
        <v>240</v>
      </c>
      <c r="B27" s="268">
        <v>46034</v>
      </c>
      <c r="C27" s="269" t="s">
        <v>716</v>
      </c>
      <c r="D27" s="270" t="s">
        <v>749</v>
      </c>
      <c r="E27" s="269" t="s">
        <v>706</v>
      </c>
      <c r="F27" s="269" t="s">
        <v>232</v>
      </c>
      <c r="G27" s="271">
        <v>0</v>
      </c>
      <c r="H27" s="272">
        <v>180</v>
      </c>
      <c r="I27" s="272">
        <v>0</v>
      </c>
      <c r="J27" s="272">
        <v>0</v>
      </c>
      <c r="K27" s="269" t="s">
        <v>233</v>
      </c>
      <c r="L27" s="273" t="s">
        <v>66</v>
      </c>
      <c r="M27" s="272">
        <v>0</v>
      </c>
      <c r="N27" s="272">
        <v>0</v>
      </c>
      <c r="O27" s="272">
        <v>0</v>
      </c>
      <c r="P27" s="269" t="s">
        <v>307</v>
      </c>
      <c r="Q27" s="265"/>
      <c r="R27" s="265"/>
      <c r="S27" s="265"/>
      <c r="T27" s="265"/>
      <c r="U27" s="265"/>
      <c r="V27" s="265"/>
      <c r="W27" s="265"/>
      <c r="X27" s="265"/>
      <c r="Y27" s="265"/>
      <c r="Z27" s="265"/>
      <c r="AA27" s="265"/>
      <c r="AB27" s="265"/>
      <c r="AC27" s="265"/>
      <c r="AD27" s="265"/>
      <c r="AE27" s="265"/>
      <c r="AF27" s="265"/>
      <c r="AG27" s="265"/>
      <c r="AH27" s="265"/>
      <c r="AI27" s="265"/>
      <c r="AJ27" s="265"/>
    </row>
    <row r="28" spans="1:36">
      <c r="A28" s="267" t="s">
        <v>240</v>
      </c>
      <c r="B28" s="268">
        <v>46034</v>
      </c>
      <c r="C28" s="269" t="s">
        <v>712</v>
      </c>
      <c r="D28" s="270" t="s">
        <v>750</v>
      </c>
      <c r="E28" s="269" t="s">
        <v>706</v>
      </c>
      <c r="F28" s="269" t="s">
        <v>232</v>
      </c>
      <c r="G28" s="271">
        <v>0</v>
      </c>
      <c r="H28" s="272">
        <v>180</v>
      </c>
      <c r="I28" s="272">
        <v>0</v>
      </c>
      <c r="J28" s="272">
        <v>0</v>
      </c>
      <c r="K28" s="269" t="s">
        <v>233</v>
      </c>
      <c r="L28" s="273" t="s">
        <v>66</v>
      </c>
      <c r="M28" s="272">
        <v>0</v>
      </c>
      <c r="N28" s="272">
        <v>0</v>
      </c>
      <c r="O28" s="272">
        <v>0</v>
      </c>
      <c r="P28" s="269" t="s">
        <v>307</v>
      </c>
      <c r="Q28" s="265"/>
      <c r="R28" s="265"/>
      <c r="S28" s="265"/>
      <c r="T28" s="265"/>
      <c r="U28" s="265"/>
      <c r="V28" s="265"/>
      <c r="W28" s="265"/>
      <c r="X28" s="265"/>
      <c r="Y28" s="265"/>
      <c r="Z28" s="265"/>
      <c r="AA28" s="265"/>
      <c r="AB28" s="265"/>
      <c r="AC28" s="265"/>
      <c r="AD28" s="265"/>
      <c r="AE28" s="265"/>
      <c r="AF28" s="265"/>
      <c r="AG28" s="265"/>
      <c r="AH28" s="265"/>
      <c r="AI28" s="265"/>
      <c r="AJ28" s="265"/>
    </row>
    <row r="29" spans="1:36">
      <c r="A29" s="267" t="s">
        <v>240</v>
      </c>
      <c r="B29" s="268">
        <v>46034</v>
      </c>
      <c r="C29" s="269" t="s">
        <v>709</v>
      </c>
      <c r="D29" s="270" t="s">
        <v>743</v>
      </c>
      <c r="E29" s="269" t="s">
        <v>706</v>
      </c>
      <c r="F29" s="269" t="s">
        <v>232</v>
      </c>
      <c r="G29" s="271">
        <v>5.5999999999999999E-3</v>
      </c>
      <c r="H29" s="272">
        <v>180</v>
      </c>
      <c r="I29" s="272">
        <v>1</v>
      </c>
      <c r="J29" s="272">
        <v>0</v>
      </c>
      <c r="K29" s="269" t="s">
        <v>233</v>
      </c>
      <c r="L29" s="273">
        <v>46329</v>
      </c>
      <c r="M29" s="272">
        <v>0</v>
      </c>
      <c r="N29" s="272">
        <v>0</v>
      </c>
      <c r="O29" s="272">
        <v>1</v>
      </c>
      <c r="P29" s="269" t="s">
        <v>304</v>
      </c>
      <c r="Q29" s="265"/>
      <c r="R29" s="265"/>
      <c r="S29" s="265"/>
      <c r="T29" s="265"/>
      <c r="U29" s="265"/>
      <c r="V29" s="265"/>
      <c r="W29" s="265"/>
      <c r="X29" s="265"/>
      <c r="Y29" s="265"/>
      <c r="Z29" s="265"/>
      <c r="AA29" s="265"/>
      <c r="AB29" s="265"/>
      <c r="AC29" s="272" t="s">
        <v>302</v>
      </c>
      <c r="AD29" s="265"/>
      <c r="AE29" s="265"/>
      <c r="AF29" s="265"/>
      <c r="AG29" s="265"/>
      <c r="AH29" s="265"/>
      <c r="AI29" s="265"/>
      <c r="AJ29" s="265"/>
    </row>
    <row r="30" spans="1:36">
      <c r="A30" s="267" t="s">
        <v>242</v>
      </c>
      <c r="B30" s="268">
        <v>46035</v>
      </c>
      <c r="C30" s="269" t="s">
        <v>709</v>
      </c>
      <c r="D30" s="270" t="s">
        <v>751</v>
      </c>
      <c r="E30" s="269" t="s">
        <v>706</v>
      </c>
      <c r="F30" s="269" t="s">
        <v>232</v>
      </c>
      <c r="G30" s="271">
        <v>5.5999999999999999E-3</v>
      </c>
      <c r="H30" s="272">
        <v>180</v>
      </c>
      <c r="I30" s="272">
        <v>1</v>
      </c>
      <c r="J30" s="272">
        <v>0</v>
      </c>
      <c r="K30" s="269" t="s">
        <v>233</v>
      </c>
      <c r="L30" s="273">
        <v>46322</v>
      </c>
      <c r="M30" s="272">
        <v>0</v>
      </c>
      <c r="N30" s="272">
        <v>0</v>
      </c>
      <c r="O30" s="272">
        <v>1</v>
      </c>
      <c r="P30" s="269" t="s">
        <v>304</v>
      </c>
      <c r="Q30" s="265"/>
      <c r="R30" s="265"/>
      <c r="S30" s="265"/>
      <c r="T30" s="265"/>
      <c r="U30" s="265"/>
      <c r="V30" s="265"/>
      <c r="W30" s="265"/>
      <c r="X30" s="265"/>
      <c r="Y30" s="265"/>
      <c r="Z30" s="265"/>
      <c r="AA30" s="265"/>
      <c r="AB30" s="265"/>
      <c r="AC30" s="272" t="s">
        <v>302</v>
      </c>
      <c r="AD30" s="265"/>
      <c r="AE30" s="265"/>
      <c r="AF30" s="265"/>
      <c r="AG30" s="265"/>
      <c r="AH30" s="265"/>
      <c r="AI30" s="265"/>
      <c r="AJ30" s="265"/>
    </row>
    <row r="31" spans="1:36">
      <c r="A31" s="267" t="s">
        <v>242</v>
      </c>
      <c r="B31" s="268">
        <v>46035</v>
      </c>
      <c r="C31" s="269" t="s">
        <v>712</v>
      </c>
      <c r="D31" s="270" t="s">
        <v>746</v>
      </c>
      <c r="E31" s="269" t="s">
        <v>706</v>
      </c>
      <c r="F31" s="269" t="s">
        <v>232</v>
      </c>
      <c r="G31" s="271">
        <v>5.5999999999999999E-3</v>
      </c>
      <c r="H31" s="272">
        <v>180</v>
      </c>
      <c r="I31" s="272">
        <v>1</v>
      </c>
      <c r="J31" s="272">
        <v>0</v>
      </c>
      <c r="K31" s="269" t="s">
        <v>233</v>
      </c>
      <c r="L31" s="273">
        <v>46323</v>
      </c>
      <c r="M31" s="272">
        <v>0</v>
      </c>
      <c r="N31" s="272">
        <v>0</v>
      </c>
      <c r="O31" s="272">
        <v>1</v>
      </c>
      <c r="P31" s="269" t="s">
        <v>307</v>
      </c>
      <c r="Q31" s="265"/>
      <c r="R31" s="265"/>
      <c r="S31" s="265"/>
      <c r="T31" s="265"/>
      <c r="U31" s="265"/>
      <c r="V31" s="265"/>
      <c r="W31" s="265"/>
      <c r="X31" s="265"/>
      <c r="Y31" s="265"/>
      <c r="Z31" s="265"/>
      <c r="AA31" s="272" t="s">
        <v>686</v>
      </c>
      <c r="AB31" s="265"/>
      <c r="AC31" s="265"/>
      <c r="AD31" s="265"/>
      <c r="AE31" s="265"/>
      <c r="AF31" s="265"/>
      <c r="AG31" s="265"/>
      <c r="AH31" s="265"/>
      <c r="AI31" s="265"/>
      <c r="AJ31" s="265"/>
    </row>
    <row r="32" spans="1:36">
      <c r="A32" s="267" t="s">
        <v>315</v>
      </c>
      <c r="B32" s="268">
        <v>46036</v>
      </c>
      <c r="C32" s="269" t="s">
        <v>709</v>
      </c>
      <c r="D32" s="270" t="s">
        <v>752</v>
      </c>
      <c r="E32" s="269" t="s">
        <v>706</v>
      </c>
      <c r="F32" s="269" t="s">
        <v>232</v>
      </c>
      <c r="G32" s="271">
        <v>0</v>
      </c>
      <c r="H32" s="272">
        <v>180</v>
      </c>
      <c r="I32" s="272">
        <v>0</v>
      </c>
      <c r="J32" s="272">
        <v>0</v>
      </c>
      <c r="K32" s="269" t="s">
        <v>233</v>
      </c>
      <c r="L32" s="273" t="s">
        <v>66</v>
      </c>
      <c r="M32" s="272">
        <v>0</v>
      </c>
      <c r="N32" s="272">
        <v>0</v>
      </c>
      <c r="O32" s="272">
        <v>0</v>
      </c>
      <c r="P32" s="269" t="s">
        <v>307</v>
      </c>
      <c r="Q32" s="265"/>
      <c r="R32" s="265"/>
      <c r="S32" s="265"/>
      <c r="T32" s="265"/>
      <c r="U32" s="265"/>
      <c r="V32" s="265"/>
      <c r="W32" s="265"/>
      <c r="X32" s="265"/>
      <c r="Y32" s="265"/>
      <c r="Z32" s="265"/>
      <c r="AA32" s="265"/>
      <c r="AB32" s="265"/>
      <c r="AC32" s="265"/>
      <c r="AD32" s="265"/>
      <c r="AE32" s="265"/>
      <c r="AF32" s="265"/>
      <c r="AG32" s="265"/>
      <c r="AH32" s="265"/>
      <c r="AI32" s="265"/>
      <c r="AJ32" s="265"/>
    </row>
    <row r="33" spans="1:36">
      <c r="A33" s="267" t="s">
        <v>315</v>
      </c>
      <c r="B33" s="268">
        <v>46036</v>
      </c>
      <c r="C33" s="269" t="s">
        <v>716</v>
      </c>
      <c r="D33" s="270" t="s">
        <v>753</v>
      </c>
      <c r="E33" s="269" t="s">
        <v>706</v>
      </c>
      <c r="F33" s="269" t="s">
        <v>232</v>
      </c>
      <c r="G33" s="271">
        <v>5.5999999999999999E-3</v>
      </c>
      <c r="H33" s="272">
        <v>180</v>
      </c>
      <c r="I33" s="272">
        <v>1</v>
      </c>
      <c r="J33" s="272">
        <v>0</v>
      </c>
      <c r="K33" s="269" t="s">
        <v>233</v>
      </c>
      <c r="L33" s="273">
        <v>46315</v>
      </c>
      <c r="M33" s="272">
        <v>0</v>
      </c>
      <c r="N33" s="272">
        <v>0</v>
      </c>
      <c r="O33" s="272">
        <v>1</v>
      </c>
      <c r="P33" s="269" t="s">
        <v>304</v>
      </c>
      <c r="Q33" s="265"/>
      <c r="R33" s="265"/>
      <c r="S33" s="265"/>
      <c r="T33" s="265"/>
      <c r="U33" s="265"/>
      <c r="V33" s="265"/>
      <c r="W33" s="265"/>
      <c r="X33" s="265"/>
      <c r="Y33" s="265"/>
      <c r="Z33" s="265"/>
      <c r="AA33" s="265"/>
      <c r="AB33" s="265"/>
      <c r="AC33" s="272" t="s">
        <v>302</v>
      </c>
      <c r="AD33" s="265"/>
      <c r="AE33" s="265"/>
      <c r="AF33" s="265"/>
      <c r="AG33" s="265"/>
      <c r="AH33" s="265"/>
      <c r="AI33" s="265"/>
      <c r="AJ33" s="265"/>
    </row>
    <row r="34" spans="1:36">
      <c r="A34" s="267" t="s">
        <v>315</v>
      </c>
      <c r="B34" s="268">
        <v>46036</v>
      </c>
      <c r="C34" s="269" t="s">
        <v>723</v>
      </c>
      <c r="D34" s="270" t="s">
        <v>754</v>
      </c>
      <c r="E34" s="269" t="s">
        <v>706</v>
      </c>
      <c r="F34" s="269" t="s">
        <v>232</v>
      </c>
      <c r="G34" s="271">
        <v>1.67E-2</v>
      </c>
      <c r="H34" s="272">
        <v>180</v>
      </c>
      <c r="I34" s="272">
        <v>3</v>
      </c>
      <c r="J34" s="272">
        <v>0</v>
      </c>
      <c r="K34" s="269" t="s">
        <v>233</v>
      </c>
      <c r="L34" s="273">
        <v>46336</v>
      </c>
      <c r="M34" s="272">
        <v>0</v>
      </c>
      <c r="N34" s="272">
        <v>0</v>
      </c>
      <c r="O34" s="272">
        <v>3</v>
      </c>
      <c r="P34" s="269" t="s">
        <v>302</v>
      </c>
      <c r="Q34" s="265"/>
      <c r="R34" s="265"/>
      <c r="S34" s="265"/>
      <c r="T34" s="265"/>
      <c r="U34" s="265"/>
      <c r="V34" s="265"/>
      <c r="W34" s="265"/>
      <c r="X34" s="265"/>
      <c r="Y34" s="265"/>
      <c r="Z34" s="265"/>
      <c r="AA34" s="265"/>
      <c r="AB34" s="265"/>
      <c r="AC34" s="272" t="s">
        <v>304</v>
      </c>
      <c r="AD34" s="265"/>
      <c r="AE34" s="265"/>
      <c r="AF34" s="265"/>
      <c r="AG34" s="265"/>
      <c r="AH34" s="265"/>
      <c r="AI34" s="265"/>
      <c r="AJ34" s="265"/>
    </row>
    <row r="35" spans="1:36">
      <c r="A35" s="267" t="s">
        <v>230</v>
      </c>
      <c r="B35" s="268">
        <v>46037</v>
      </c>
      <c r="C35" s="269" t="s">
        <v>709</v>
      </c>
      <c r="D35" s="270" t="s">
        <v>742</v>
      </c>
      <c r="E35" s="269" t="s">
        <v>706</v>
      </c>
      <c r="F35" s="269" t="s">
        <v>232</v>
      </c>
      <c r="G35" s="271">
        <v>1.11E-2</v>
      </c>
      <c r="H35" s="272">
        <v>180</v>
      </c>
      <c r="I35" s="272">
        <v>2</v>
      </c>
      <c r="J35" s="272">
        <v>0</v>
      </c>
      <c r="K35" s="269" t="s">
        <v>233</v>
      </c>
      <c r="L35" s="273">
        <v>46318</v>
      </c>
      <c r="M35" s="272">
        <v>0</v>
      </c>
      <c r="N35" s="272">
        <v>0</v>
      </c>
      <c r="O35" s="272">
        <v>2</v>
      </c>
      <c r="P35" s="269" t="s">
        <v>298</v>
      </c>
      <c r="Q35" s="265"/>
      <c r="R35" s="265"/>
      <c r="S35" s="265"/>
      <c r="T35" s="265"/>
      <c r="U35" s="265"/>
      <c r="V35" s="265"/>
      <c r="W35" s="265"/>
      <c r="X35" s="265"/>
      <c r="Y35" s="265"/>
      <c r="Z35" s="265"/>
      <c r="AA35" s="265"/>
      <c r="AB35" s="265"/>
      <c r="AC35" s="272" t="s">
        <v>298</v>
      </c>
      <c r="AD35" s="265"/>
      <c r="AE35" s="265"/>
      <c r="AF35" s="265"/>
      <c r="AG35" s="265"/>
      <c r="AH35" s="265"/>
      <c r="AI35" s="265"/>
      <c r="AJ35" s="265"/>
    </row>
    <row r="36" spans="1:36">
      <c r="A36" s="267" t="s">
        <v>230</v>
      </c>
      <c r="B36" s="268">
        <v>46037</v>
      </c>
      <c r="C36" s="269" t="s">
        <v>712</v>
      </c>
      <c r="D36" s="270" t="s">
        <v>743</v>
      </c>
      <c r="E36" s="269" t="s">
        <v>706</v>
      </c>
      <c r="F36" s="269" t="s">
        <v>232</v>
      </c>
      <c r="G36" s="271">
        <v>2.2200000000000001E-2</v>
      </c>
      <c r="H36" s="272">
        <v>180</v>
      </c>
      <c r="I36" s="272">
        <v>4</v>
      </c>
      <c r="J36" s="272">
        <v>0</v>
      </c>
      <c r="K36" s="269" t="s">
        <v>233</v>
      </c>
      <c r="L36" s="273">
        <v>46339</v>
      </c>
      <c r="M36" s="272">
        <v>0</v>
      </c>
      <c r="N36" s="272">
        <v>0</v>
      </c>
      <c r="O36" s="272">
        <v>4</v>
      </c>
      <c r="P36" s="269" t="s">
        <v>302</v>
      </c>
      <c r="Q36" s="265"/>
      <c r="R36" s="265"/>
      <c r="S36" s="265"/>
      <c r="T36" s="265"/>
      <c r="U36" s="265"/>
      <c r="V36" s="265"/>
      <c r="W36" s="265"/>
      <c r="X36" s="265"/>
      <c r="Y36" s="265"/>
      <c r="Z36" s="265"/>
      <c r="AA36" s="272" t="s">
        <v>686</v>
      </c>
      <c r="AB36" s="265"/>
      <c r="AC36" s="272" t="s">
        <v>304</v>
      </c>
      <c r="AD36" s="265"/>
      <c r="AE36" s="265"/>
      <c r="AF36" s="265"/>
      <c r="AG36" s="265"/>
      <c r="AH36" s="265"/>
      <c r="AI36" s="265"/>
      <c r="AJ36" s="265"/>
    </row>
    <row r="37" spans="1:36">
      <c r="A37" s="267" t="s">
        <v>560</v>
      </c>
      <c r="B37" s="268">
        <v>46038</v>
      </c>
      <c r="C37" s="269" t="s">
        <v>716</v>
      </c>
      <c r="D37" s="270" t="s">
        <v>744</v>
      </c>
      <c r="E37" s="269" t="s">
        <v>706</v>
      </c>
      <c r="F37" s="269" t="s">
        <v>232</v>
      </c>
      <c r="G37" s="271">
        <v>3.8899999999999997E-2</v>
      </c>
      <c r="H37" s="272">
        <v>180</v>
      </c>
      <c r="I37" s="272">
        <v>7</v>
      </c>
      <c r="J37" s="272">
        <v>0</v>
      </c>
      <c r="K37" s="269" t="s">
        <v>233</v>
      </c>
      <c r="L37" s="273">
        <v>46336</v>
      </c>
      <c r="M37" s="272">
        <v>0</v>
      </c>
      <c r="N37" s="272">
        <v>0</v>
      </c>
      <c r="O37" s="272">
        <v>7</v>
      </c>
      <c r="P37" s="269" t="s">
        <v>184</v>
      </c>
      <c r="Q37" s="265"/>
      <c r="R37" s="265"/>
      <c r="S37" s="265"/>
      <c r="T37" s="265"/>
      <c r="U37" s="265"/>
      <c r="V37" s="265"/>
      <c r="W37" s="265"/>
      <c r="X37" s="265"/>
      <c r="Y37" s="265"/>
      <c r="Z37" s="265"/>
      <c r="AA37" s="272" t="s">
        <v>318</v>
      </c>
      <c r="AB37" s="272" t="s">
        <v>128</v>
      </c>
      <c r="AC37" s="272" t="s">
        <v>307</v>
      </c>
      <c r="AD37" s="265"/>
      <c r="AE37" s="265"/>
      <c r="AF37" s="265"/>
      <c r="AG37" s="265"/>
      <c r="AH37" s="265"/>
      <c r="AI37" s="265"/>
      <c r="AJ37" s="265"/>
    </row>
    <row r="38" spans="1:36">
      <c r="A38" s="267" t="s">
        <v>234</v>
      </c>
      <c r="B38" s="268">
        <v>46039</v>
      </c>
      <c r="C38" s="269" t="s">
        <v>716</v>
      </c>
      <c r="D38" s="270" t="s">
        <v>561</v>
      </c>
      <c r="E38" s="269" t="s">
        <v>706</v>
      </c>
      <c r="F38" s="269" t="s">
        <v>232</v>
      </c>
      <c r="G38" s="271">
        <v>1.11E-2</v>
      </c>
      <c r="H38" s="272">
        <v>180</v>
      </c>
      <c r="I38" s="272">
        <v>2</v>
      </c>
      <c r="J38" s="272">
        <v>0</v>
      </c>
      <c r="K38" s="269" t="s">
        <v>233</v>
      </c>
      <c r="L38" s="273">
        <v>46343</v>
      </c>
      <c r="M38" s="272">
        <v>0</v>
      </c>
      <c r="N38" s="272">
        <v>0</v>
      </c>
      <c r="O38" s="272">
        <v>2</v>
      </c>
      <c r="P38" s="269" t="s">
        <v>298</v>
      </c>
      <c r="Q38" s="265"/>
      <c r="R38" s="265"/>
      <c r="S38" s="265"/>
      <c r="T38" s="265"/>
      <c r="U38" s="265"/>
      <c r="V38" s="265"/>
      <c r="W38" s="265"/>
      <c r="X38" s="265"/>
      <c r="Y38" s="265"/>
      <c r="Z38" s="265"/>
      <c r="AA38" s="265"/>
      <c r="AB38" s="265"/>
      <c r="AC38" s="272" t="s">
        <v>298</v>
      </c>
      <c r="AD38" s="265"/>
      <c r="AE38" s="265"/>
      <c r="AF38" s="265"/>
      <c r="AG38" s="265"/>
      <c r="AH38" s="265"/>
      <c r="AI38" s="265"/>
      <c r="AJ38" s="265"/>
    </row>
    <row r="39" spans="1:36">
      <c r="A39" s="267" t="s">
        <v>234</v>
      </c>
      <c r="B39" s="268">
        <v>46039</v>
      </c>
      <c r="C39" s="269" t="s">
        <v>709</v>
      </c>
      <c r="D39" s="270" t="s">
        <v>745</v>
      </c>
      <c r="E39" s="269" t="s">
        <v>706</v>
      </c>
      <c r="F39" s="269" t="s">
        <v>232</v>
      </c>
      <c r="G39" s="271">
        <v>1.11E-2</v>
      </c>
      <c r="H39" s="272">
        <v>180</v>
      </c>
      <c r="I39" s="272">
        <v>2</v>
      </c>
      <c r="J39" s="272">
        <v>0</v>
      </c>
      <c r="K39" s="269" t="s">
        <v>233</v>
      </c>
      <c r="L39" s="273">
        <v>46343</v>
      </c>
      <c r="M39" s="272">
        <v>0</v>
      </c>
      <c r="N39" s="272">
        <v>0</v>
      </c>
      <c r="O39" s="272">
        <v>2</v>
      </c>
      <c r="P39" s="269" t="s">
        <v>298</v>
      </c>
      <c r="Q39" s="265"/>
      <c r="R39" s="265"/>
      <c r="S39" s="265"/>
      <c r="T39" s="265"/>
      <c r="U39" s="265"/>
      <c r="V39" s="265"/>
      <c r="W39" s="265"/>
      <c r="X39" s="265"/>
      <c r="Y39" s="265"/>
      <c r="Z39" s="265"/>
      <c r="AA39" s="265"/>
      <c r="AB39" s="265"/>
      <c r="AC39" s="272" t="s">
        <v>298</v>
      </c>
      <c r="AD39" s="265"/>
      <c r="AE39" s="265"/>
      <c r="AF39" s="265"/>
      <c r="AG39" s="265"/>
      <c r="AH39" s="265"/>
      <c r="AI39" s="265"/>
      <c r="AJ39" s="265"/>
    </row>
    <row r="40" spans="1:36">
      <c r="A40" s="267" t="s">
        <v>234</v>
      </c>
      <c r="B40" s="268">
        <v>46039</v>
      </c>
      <c r="C40" s="269" t="s">
        <v>712</v>
      </c>
      <c r="D40" s="270" t="s">
        <v>746</v>
      </c>
      <c r="E40" s="269" t="s">
        <v>706</v>
      </c>
      <c r="F40" s="269" t="s">
        <v>232</v>
      </c>
      <c r="G40" s="271">
        <v>3.8899999999999997E-2</v>
      </c>
      <c r="H40" s="272">
        <v>180</v>
      </c>
      <c r="I40" s="272">
        <v>7</v>
      </c>
      <c r="J40" s="272">
        <v>0</v>
      </c>
      <c r="K40" s="269" t="s">
        <v>233</v>
      </c>
      <c r="L40" s="273">
        <v>46344</v>
      </c>
      <c r="M40" s="272">
        <v>0</v>
      </c>
      <c r="N40" s="272">
        <v>0</v>
      </c>
      <c r="O40" s="272">
        <v>7</v>
      </c>
      <c r="P40" s="269" t="s">
        <v>128</v>
      </c>
      <c r="Q40" s="265"/>
      <c r="R40" s="265"/>
      <c r="S40" s="265"/>
      <c r="T40" s="265"/>
      <c r="U40" s="265"/>
      <c r="V40" s="265"/>
      <c r="W40" s="265"/>
      <c r="X40" s="265"/>
      <c r="Y40" s="265"/>
      <c r="Z40" s="265"/>
      <c r="AA40" s="265"/>
      <c r="AB40" s="272" t="s">
        <v>184</v>
      </c>
      <c r="AC40" s="272" t="s">
        <v>307</v>
      </c>
      <c r="AD40" s="265"/>
      <c r="AE40" s="265"/>
      <c r="AF40" s="265"/>
      <c r="AG40" s="265"/>
      <c r="AH40" s="265"/>
      <c r="AI40" s="265"/>
      <c r="AJ40" s="265"/>
    </row>
    <row r="41" spans="1:36">
      <c r="A41" s="267" t="s">
        <v>236</v>
      </c>
      <c r="B41" s="268">
        <v>46040</v>
      </c>
      <c r="C41" s="269" t="s">
        <v>716</v>
      </c>
      <c r="D41" s="270" t="s">
        <v>747</v>
      </c>
      <c r="E41" s="269" t="s">
        <v>706</v>
      </c>
      <c r="F41" s="269" t="s">
        <v>232</v>
      </c>
      <c r="G41" s="271">
        <v>0</v>
      </c>
      <c r="H41" s="272">
        <v>180</v>
      </c>
      <c r="I41" s="272">
        <v>0</v>
      </c>
      <c r="J41" s="272">
        <v>0</v>
      </c>
      <c r="K41" s="269" t="s">
        <v>233</v>
      </c>
      <c r="L41" s="273" t="s">
        <v>66</v>
      </c>
      <c r="M41" s="272">
        <v>0</v>
      </c>
      <c r="N41" s="272">
        <v>0</v>
      </c>
      <c r="O41" s="272">
        <v>0</v>
      </c>
      <c r="P41" s="269" t="s">
        <v>307</v>
      </c>
      <c r="Q41" s="265"/>
      <c r="R41" s="265"/>
      <c r="S41" s="265"/>
      <c r="T41" s="265"/>
      <c r="U41" s="265"/>
      <c r="V41" s="265"/>
      <c r="W41" s="265"/>
      <c r="X41" s="265"/>
      <c r="Y41" s="265"/>
      <c r="Z41" s="265"/>
      <c r="AA41" s="265"/>
      <c r="AB41" s="265"/>
      <c r="AC41" s="265"/>
      <c r="AD41" s="265"/>
      <c r="AE41" s="265"/>
      <c r="AF41" s="265"/>
      <c r="AG41" s="265"/>
      <c r="AH41" s="265"/>
      <c r="AI41" s="265"/>
      <c r="AJ41" s="265"/>
    </row>
    <row r="42" spans="1:36">
      <c r="A42" s="267" t="s">
        <v>236</v>
      </c>
      <c r="B42" s="268">
        <v>46040</v>
      </c>
      <c r="C42" s="269" t="s">
        <v>712</v>
      </c>
      <c r="D42" s="270" t="s">
        <v>748</v>
      </c>
      <c r="E42" s="269" t="s">
        <v>706</v>
      </c>
      <c r="F42" s="269" t="s">
        <v>232</v>
      </c>
      <c r="G42" s="271">
        <v>2.2200000000000001E-2</v>
      </c>
      <c r="H42" s="272">
        <v>180</v>
      </c>
      <c r="I42" s="272">
        <v>4</v>
      </c>
      <c r="J42" s="272">
        <v>0</v>
      </c>
      <c r="K42" s="269" t="s">
        <v>233</v>
      </c>
      <c r="L42" s="273">
        <v>46329</v>
      </c>
      <c r="M42" s="272">
        <v>0</v>
      </c>
      <c r="N42" s="272">
        <v>0</v>
      </c>
      <c r="O42" s="272">
        <v>4</v>
      </c>
      <c r="P42" s="269" t="s">
        <v>304</v>
      </c>
      <c r="Q42" s="265"/>
      <c r="R42" s="265"/>
      <c r="S42" s="265"/>
      <c r="T42" s="265"/>
      <c r="U42" s="265"/>
      <c r="V42" s="265"/>
      <c r="W42" s="265"/>
      <c r="X42" s="265"/>
      <c r="Y42" s="265"/>
      <c r="Z42" s="265"/>
      <c r="AA42" s="272" t="s">
        <v>310</v>
      </c>
      <c r="AB42" s="265"/>
      <c r="AC42" s="272" t="s">
        <v>302</v>
      </c>
      <c r="AD42" s="265"/>
      <c r="AE42" s="265"/>
      <c r="AF42" s="265"/>
      <c r="AG42" s="265"/>
      <c r="AH42" s="265"/>
      <c r="AI42" s="265"/>
      <c r="AJ42" s="265"/>
    </row>
    <row r="43" spans="1:36">
      <c r="A43" s="267" t="s">
        <v>240</v>
      </c>
      <c r="B43" s="268">
        <v>46041</v>
      </c>
      <c r="C43" s="269" t="s">
        <v>716</v>
      </c>
      <c r="D43" s="270" t="s">
        <v>749</v>
      </c>
      <c r="E43" s="269" t="s">
        <v>706</v>
      </c>
      <c r="F43" s="269" t="s">
        <v>232</v>
      </c>
      <c r="G43" s="271">
        <v>0</v>
      </c>
      <c r="H43" s="272">
        <v>180</v>
      </c>
      <c r="I43" s="272">
        <v>0</v>
      </c>
      <c r="J43" s="272">
        <v>0</v>
      </c>
      <c r="K43" s="269" t="s">
        <v>233</v>
      </c>
      <c r="L43" s="273" t="s">
        <v>66</v>
      </c>
      <c r="M43" s="272">
        <v>0</v>
      </c>
      <c r="N43" s="272">
        <v>0</v>
      </c>
      <c r="O43" s="272">
        <v>0</v>
      </c>
      <c r="P43" s="269" t="s">
        <v>307</v>
      </c>
      <c r="Q43" s="265"/>
      <c r="R43" s="265"/>
      <c r="S43" s="265"/>
      <c r="T43" s="265"/>
      <c r="U43" s="265"/>
      <c r="V43" s="265"/>
      <c r="W43" s="265"/>
      <c r="X43" s="265"/>
      <c r="Y43" s="265"/>
      <c r="Z43" s="265"/>
      <c r="AA43" s="265"/>
      <c r="AB43" s="265"/>
      <c r="AC43" s="265"/>
      <c r="AD43" s="265"/>
      <c r="AE43" s="265"/>
      <c r="AF43" s="265"/>
      <c r="AG43" s="265"/>
      <c r="AH43" s="265"/>
      <c r="AI43" s="265"/>
      <c r="AJ43" s="265"/>
    </row>
    <row r="44" spans="1:36">
      <c r="A44" s="267" t="s">
        <v>240</v>
      </c>
      <c r="B44" s="268">
        <v>46041</v>
      </c>
      <c r="C44" s="269" t="s">
        <v>712</v>
      </c>
      <c r="D44" s="270" t="s">
        <v>750</v>
      </c>
      <c r="E44" s="269" t="s">
        <v>706</v>
      </c>
      <c r="F44" s="269" t="s">
        <v>232</v>
      </c>
      <c r="G44" s="271">
        <v>0</v>
      </c>
      <c r="H44" s="272">
        <v>180</v>
      </c>
      <c r="I44" s="272">
        <v>0</v>
      </c>
      <c r="J44" s="272">
        <v>0</v>
      </c>
      <c r="K44" s="269" t="s">
        <v>233</v>
      </c>
      <c r="L44" s="273" t="s">
        <v>66</v>
      </c>
      <c r="M44" s="272">
        <v>0</v>
      </c>
      <c r="N44" s="272">
        <v>0</v>
      </c>
      <c r="O44" s="272">
        <v>0</v>
      </c>
      <c r="P44" s="269" t="s">
        <v>307</v>
      </c>
      <c r="Q44" s="265"/>
      <c r="R44" s="265"/>
      <c r="S44" s="265"/>
      <c r="T44" s="265"/>
      <c r="U44" s="265"/>
      <c r="V44" s="265"/>
      <c r="W44" s="265"/>
      <c r="X44" s="265"/>
      <c r="Y44" s="265"/>
      <c r="Z44" s="265"/>
      <c r="AA44" s="265"/>
      <c r="AB44" s="265"/>
      <c r="AC44" s="265"/>
      <c r="AD44" s="265"/>
      <c r="AE44" s="265"/>
      <c r="AF44" s="265"/>
      <c r="AG44" s="265"/>
      <c r="AH44" s="265"/>
      <c r="AI44" s="265"/>
      <c r="AJ44" s="265"/>
    </row>
    <row r="45" spans="1:36">
      <c r="A45" s="267" t="s">
        <v>240</v>
      </c>
      <c r="B45" s="268">
        <v>46041</v>
      </c>
      <c r="C45" s="269" t="s">
        <v>723</v>
      </c>
      <c r="D45" s="270" t="s">
        <v>656</v>
      </c>
      <c r="E45" s="269" t="s">
        <v>706</v>
      </c>
      <c r="F45" s="269" t="s">
        <v>232</v>
      </c>
      <c r="G45" s="271">
        <v>0</v>
      </c>
      <c r="H45" s="272">
        <v>180</v>
      </c>
      <c r="I45" s="272">
        <v>0</v>
      </c>
      <c r="J45" s="272">
        <v>0</v>
      </c>
      <c r="K45" s="269" t="s">
        <v>233</v>
      </c>
      <c r="L45" s="273" t="s">
        <v>66</v>
      </c>
      <c r="M45" s="272">
        <v>0</v>
      </c>
      <c r="N45" s="272">
        <v>0</v>
      </c>
      <c r="O45" s="272">
        <v>0</v>
      </c>
      <c r="P45" s="269" t="s">
        <v>307</v>
      </c>
      <c r="Q45" s="265"/>
      <c r="R45" s="265"/>
      <c r="S45" s="265"/>
      <c r="T45" s="265"/>
      <c r="U45" s="265"/>
      <c r="V45" s="265"/>
      <c r="W45" s="265"/>
      <c r="X45" s="265"/>
      <c r="Y45" s="265"/>
      <c r="Z45" s="265"/>
      <c r="AA45" s="265"/>
      <c r="AB45" s="265"/>
      <c r="AC45" s="265"/>
      <c r="AD45" s="265"/>
      <c r="AE45" s="265"/>
      <c r="AF45" s="265"/>
      <c r="AG45" s="265"/>
      <c r="AH45" s="265"/>
      <c r="AI45" s="265"/>
      <c r="AJ45" s="265"/>
    </row>
    <row r="46" spans="1:36">
      <c r="A46" s="267" t="s">
        <v>240</v>
      </c>
      <c r="B46" s="268">
        <v>46041</v>
      </c>
      <c r="C46" s="269" t="s">
        <v>709</v>
      </c>
      <c r="D46" s="270" t="s">
        <v>743</v>
      </c>
      <c r="E46" s="269" t="s">
        <v>706</v>
      </c>
      <c r="F46" s="269" t="s">
        <v>232</v>
      </c>
      <c r="G46" s="271">
        <v>5.5999999999999999E-3</v>
      </c>
      <c r="H46" s="272">
        <v>180</v>
      </c>
      <c r="I46" s="272">
        <v>1</v>
      </c>
      <c r="J46" s="272">
        <v>0</v>
      </c>
      <c r="K46" s="269" t="s">
        <v>233</v>
      </c>
      <c r="L46" s="273">
        <v>46302</v>
      </c>
      <c r="M46" s="272">
        <v>0</v>
      </c>
      <c r="N46" s="272">
        <v>0</v>
      </c>
      <c r="O46" s="272">
        <v>1</v>
      </c>
      <c r="P46" s="269" t="s">
        <v>304</v>
      </c>
      <c r="Q46" s="265"/>
      <c r="R46" s="265"/>
      <c r="S46" s="265"/>
      <c r="T46" s="265"/>
      <c r="U46" s="265"/>
      <c r="V46" s="265"/>
      <c r="W46" s="265"/>
      <c r="X46" s="265"/>
      <c r="Y46" s="265"/>
      <c r="Z46" s="265"/>
      <c r="AA46" s="265"/>
      <c r="AB46" s="265"/>
      <c r="AC46" s="272" t="s">
        <v>302</v>
      </c>
      <c r="AD46" s="265"/>
      <c r="AE46" s="265"/>
      <c r="AF46" s="265"/>
      <c r="AG46" s="265"/>
      <c r="AH46" s="265"/>
      <c r="AI46" s="265"/>
      <c r="AJ46" s="265"/>
    </row>
    <row r="47" spans="1:36">
      <c r="A47" s="267" t="s">
        <v>242</v>
      </c>
      <c r="B47" s="268">
        <v>46042</v>
      </c>
      <c r="C47" s="269" t="s">
        <v>709</v>
      </c>
      <c r="D47" s="270" t="s">
        <v>751</v>
      </c>
      <c r="E47" s="269" t="s">
        <v>706</v>
      </c>
      <c r="F47" s="269" t="s">
        <v>232</v>
      </c>
      <c r="G47" s="271">
        <v>0</v>
      </c>
      <c r="H47" s="272">
        <v>180</v>
      </c>
      <c r="I47" s="272">
        <v>0</v>
      </c>
      <c r="J47" s="272">
        <v>0</v>
      </c>
      <c r="K47" s="269" t="s">
        <v>233</v>
      </c>
      <c r="L47" s="273" t="s">
        <v>66</v>
      </c>
      <c r="M47" s="272">
        <v>0</v>
      </c>
      <c r="N47" s="272">
        <v>0</v>
      </c>
      <c r="O47" s="272">
        <v>0</v>
      </c>
      <c r="P47" s="269" t="s">
        <v>307</v>
      </c>
      <c r="Q47" s="265"/>
      <c r="R47" s="265"/>
      <c r="S47" s="265"/>
      <c r="T47" s="265"/>
      <c r="U47" s="265"/>
      <c r="V47" s="265"/>
      <c r="W47" s="265"/>
      <c r="X47" s="265"/>
      <c r="Y47" s="265"/>
      <c r="Z47" s="265"/>
      <c r="AA47" s="265"/>
      <c r="AB47" s="265"/>
      <c r="AC47" s="265"/>
      <c r="AD47" s="265"/>
      <c r="AE47" s="265"/>
      <c r="AF47" s="265"/>
      <c r="AG47" s="265"/>
      <c r="AH47" s="265"/>
      <c r="AI47" s="265"/>
      <c r="AJ47" s="265"/>
    </row>
    <row r="48" spans="1:36">
      <c r="A48" s="267" t="s">
        <v>242</v>
      </c>
      <c r="B48" s="268">
        <v>46042</v>
      </c>
      <c r="C48" s="269" t="s">
        <v>712</v>
      </c>
      <c r="D48" s="270" t="s">
        <v>746</v>
      </c>
      <c r="E48" s="269" t="s">
        <v>706</v>
      </c>
      <c r="F48" s="269" t="s">
        <v>232</v>
      </c>
      <c r="G48" s="271">
        <v>5.5999999999999999E-3</v>
      </c>
      <c r="H48" s="272">
        <v>180</v>
      </c>
      <c r="I48" s="272">
        <v>1</v>
      </c>
      <c r="J48" s="272">
        <v>0</v>
      </c>
      <c r="K48" s="269" t="s">
        <v>233</v>
      </c>
      <c r="L48" s="273">
        <v>46314</v>
      </c>
      <c r="M48" s="272">
        <v>0</v>
      </c>
      <c r="N48" s="272">
        <v>0</v>
      </c>
      <c r="O48" s="272">
        <v>1</v>
      </c>
      <c r="P48" s="269" t="s">
        <v>307</v>
      </c>
      <c r="Q48" s="265"/>
      <c r="R48" s="265"/>
      <c r="S48" s="265"/>
      <c r="T48" s="265"/>
      <c r="U48" s="265"/>
      <c r="V48" s="265"/>
      <c r="W48" s="265"/>
      <c r="X48" s="265"/>
      <c r="Y48" s="265"/>
      <c r="Z48" s="265"/>
      <c r="AA48" s="272" t="s">
        <v>686</v>
      </c>
      <c r="AB48" s="265"/>
      <c r="AC48" s="265"/>
      <c r="AD48" s="265"/>
      <c r="AE48" s="265"/>
      <c r="AF48" s="265"/>
      <c r="AG48" s="265"/>
      <c r="AH48" s="265"/>
      <c r="AI48" s="265"/>
      <c r="AJ48" s="265"/>
    </row>
    <row r="49" spans="1:36">
      <c r="A49" s="267" t="s">
        <v>315</v>
      </c>
      <c r="B49" s="268">
        <v>46043</v>
      </c>
      <c r="C49" s="269" t="s">
        <v>709</v>
      </c>
      <c r="D49" s="270" t="s">
        <v>752</v>
      </c>
      <c r="E49" s="269" t="s">
        <v>706</v>
      </c>
      <c r="F49" s="269" t="s">
        <v>232</v>
      </c>
      <c r="G49" s="271">
        <v>0</v>
      </c>
      <c r="H49" s="272">
        <v>180</v>
      </c>
      <c r="I49" s="272">
        <v>0</v>
      </c>
      <c r="J49" s="272">
        <v>0</v>
      </c>
      <c r="K49" s="269" t="s">
        <v>233</v>
      </c>
      <c r="L49" s="273" t="s">
        <v>66</v>
      </c>
      <c r="M49" s="272">
        <v>0</v>
      </c>
      <c r="N49" s="272">
        <v>0</v>
      </c>
      <c r="O49" s="272">
        <v>0</v>
      </c>
      <c r="P49" s="269" t="s">
        <v>307</v>
      </c>
      <c r="Q49" s="265"/>
      <c r="R49" s="265"/>
      <c r="S49" s="265"/>
      <c r="T49" s="265"/>
      <c r="U49" s="265"/>
      <c r="V49" s="265"/>
      <c r="W49" s="265"/>
      <c r="X49" s="265"/>
      <c r="Y49" s="265"/>
      <c r="Z49" s="265"/>
      <c r="AA49" s="265"/>
      <c r="AB49" s="265"/>
      <c r="AC49" s="265"/>
      <c r="AD49" s="265"/>
      <c r="AE49" s="265"/>
      <c r="AF49" s="265"/>
      <c r="AG49" s="265"/>
      <c r="AH49" s="265"/>
      <c r="AI49" s="265"/>
      <c r="AJ49" s="265"/>
    </row>
    <row r="50" spans="1:36">
      <c r="A50" s="267" t="s">
        <v>315</v>
      </c>
      <c r="B50" s="268">
        <v>46043</v>
      </c>
      <c r="C50" s="269" t="s">
        <v>716</v>
      </c>
      <c r="D50" s="270" t="s">
        <v>753</v>
      </c>
      <c r="E50" s="269" t="s">
        <v>706</v>
      </c>
      <c r="F50" s="269" t="s">
        <v>232</v>
      </c>
      <c r="G50" s="271">
        <v>1.67E-2</v>
      </c>
      <c r="H50" s="272">
        <v>180</v>
      </c>
      <c r="I50" s="272">
        <v>3</v>
      </c>
      <c r="J50" s="272">
        <v>0</v>
      </c>
      <c r="K50" s="269" t="s">
        <v>233</v>
      </c>
      <c r="L50" s="273">
        <v>46335</v>
      </c>
      <c r="M50" s="272">
        <v>0</v>
      </c>
      <c r="N50" s="272">
        <v>0</v>
      </c>
      <c r="O50" s="272">
        <v>3</v>
      </c>
      <c r="P50" s="269" t="s">
        <v>302</v>
      </c>
      <c r="Q50" s="265"/>
      <c r="R50" s="265"/>
      <c r="S50" s="265"/>
      <c r="T50" s="265"/>
      <c r="U50" s="265"/>
      <c r="V50" s="265"/>
      <c r="W50" s="265"/>
      <c r="X50" s="265"/>
      <c r="Y50" s="265"/>
      <c r="Z50" s="265"/>
      <c r="AA50" s="265"/>
      <c r="AB50" s="265"/>
      <c r="AC50" s="272" t="s">
        <v>304</v>
      </c>
      <c r="AD50" s="265"/>
      <c r="AE50" s="265"/>
      <c r="AF50" s="265"/>
      <c r="AG50" s="265"/>
      <c r="AH50" s="265"/>
      <c r="AI50" s="265"/>
      <c r="AJ50" s="265"/>
    </row>
    <row r="51" spans="1:36">
      <c r="A51" s="267" t="s">
        <v>315</v>
      </c>
      <c r="B51" s="268">
        <v>46043</v>
      </c>
      <c r="C51" s="269" t="s">
        <v>723</v>
      </c>
      <c r="D51" s="270" t="s">
        <v>754</v>
      </c>
      <c r="E51" s="269" t="s">
        <v>706</v>
      </c>
      <c r="F51" s="269" t="s">
        <v>232</v>
      </c>
      <c r="G51" s="271">
        <v>0</v>
      </c>
      <c r="H51" s="272">
        <v>180</v>
      </c>
      <c r="I51" s="272">
        <v>0</v>
      </c>
      <c r="J51" s="272">
        <v>0</v>
      </c>
      <c r="K51" s="269" t="s">
        <v>233</v>
      </c>
      <c r="L51" s="273" t="s">
        <v>66</v>
      </c>
      <c r="M51" s="272">
        <v>0</v>
      </c>
      <c r="N51" s="272">
        <v>0</v>
      </c>
      <c r="O51" s="272">
        <v>0</v>
      </c>
      <c r="P51" s="269" t="s">
        <v>307</v>
      </c>
      <c r="Q51" s="265"/>
      <c r="R51" s="265"/>
      <c r="S51" s="265"/>
      <c r="T51" s="265"/>
      <c r="U51" s="265"/>
      <c r="V51" s="265"/>
      <c r="W51" s="265"/>
      <c r="X51" s="265"/>
      <c r="Y51" s="265"/>
      <c r="Z51" s="265"/>
      <c r="AA51" s="265"/>
      <c r="AB51" s="265"/>
      <c r="AC51" s="265"/>
      <c r="AD51" s="265"/>
      <c r="AE51" s="265"/>
      <c r="AF51" s="265"/>
      <c r="AG51" s="265"/>
      <c r="AH51" s="265"/>
      <c r="AI51" s="265"/>
      <c r="AJ51" s="265"/>
    </row>
    <row r="52" spans="1:36">
      <c r="A52" s="267" t="s">
        <v>230</v>
      </c>
      <c r="B52" s="268">
        <v>46044</v>
      </c>
      <c r="C52" s="269" t="s">
        <v>709</v>
      </c>
      <c r="D52" s="270" t="s">
        <v>742</v>
      </c>
      <c r="E52" s="269" t="s">
        <v>706</v>
      </c>
      <c r="F52" s="269" t="s">
        <v>232</v>
      </c>
      <c r="G52" s="271">
        <v>1.67E-2</v>
      </c>
      <c r="H52" s="272">
        <v>180</v>
      </c>
      <c r="I52" s="272">
        <v>3</v>
      </c>
      <c r="J52" s="272">
        <v>0</v>
      </c>
      <c r="K52" s="269" t="s">
        <v>233</v>
      </c>
      <c r="L52" s="273">
        <v>46337</v>
      </c>
      <c r="M52" s="272">
        <v>0</v>
      </c>
      <c r="N52" s="272">
        <v>0</v>
      </c>
      <c r="O52" s="272">
        <v>3</v>
      </c>
      <c r="P52" s="269" t="s">
        <v>302</v>
      </c>
      <c r="Q52" s="265"/>
      <c r="R52" s="265"/>
      <c r="S52" s="265"/>
      <c r="T52" s="265"/>
      <c r="U52" s="265"/>
      <c r="V52" s="265"/>
      <c r="W52" s="265"/>
      <c r="X52" s="265"/>
      <c r="Y52" s="265"/>
      <c r="Z52" s="265"/>
      <c r="AA52" s="265"/>
      <c r="AB52" s="265"/>
      <c r="AC52" s="272" t="s">
        <v>304</v>
      </c>
      <c r="AD52" s="265"/>
      <c r="AE52" s="265"/>
      <c r="AF52" s="265"/>
      <c r="AG52" s="265"/>
      <c r="AH52" s="265"/>
      <c r="AI52" s="265"/>
      <c r="AJ52" s="265"/>
    </row>
    <row r="53" spans="1:36">
      <c r="A53" s="267" t="s">
        <v>230</v>
      </c>
      <c r="B53" s="268">
        <v>46044</v>
      </c>
      <c r="C53" s="269" t="s">
        <v>712</v>
      </c>
      <c r="D53" s="270" t="s">
        <v>743</v>
      </c>
      <c r="E53" s="269" t="s">
        <v>706</v>
      </c>
      <c r="F53" s="269" t="s">
        <v>232</v>
      </c>
      <c r="G53" s="271">
        <v>5.5999999999999999E-3</v>
      </c>
      <c r="H53" s="272">
        <v>180</v>
      </c>
      <c r="I53" s="272">
        <v>1</v>
      </c>
      <c r="J53" s="272">
        <v>0</v>
      </c>
      <c r="K53" s="269" t="s">
        <v>233</v>
      </c>
      <c r="L53" s="273">
        <v>46244</v>
      </c>
      <c r="M53" s="272">
        <v>0</v>
      </c>
      <c r="N53" s="272">
        <v>0</v>
      </c>
      <c r="O53" s="272">
        <v>1</v>
      </c>
      <c r="P53" s="269" t="s">
        <v>304</v>
      </c>
      <c r="Q53" s="265"/>
      <c r="R53" s="265"/>
      <c r="S53" s="265"/>
      <c r="T53" s="265"/>
      <c r="U53" s="265"/>
      <c r="V53" s="265"/>
      <c r="W53" s="265"/>
      <c r="X53" s="265"/>
      <c r="Y53" s="265"/>
      <c r="Z53" s="265"/>
      <c r="AA53" s="265"/>
      <c r="AB53" s="265"/>
      <c r="AC53" s="272" t="s">
        <v>302</v>
      </c>
      <c r="AD53" s="265"/>
      <c r="AE53" s="265"/>
      <c r="AF53" s="265"/>
      <c r="AG53" s="265"/>
      <c r="AH53" s="265"/>
      <c r="AI53" s="265"/>
      <c r="AJ53" s="265"/>
    </row>
    <row r="54" spans="1:36">
      <c r="A54" s="267" t="s">
        <v>560</v>
      </c>
      <c r="B54" s="268">
        <v>46045</v>
      </c>
      <c r="C54" s="269" t="s">
        <v>716</v>
      </c>
      <c r="D54" s="270" t="s">
        <v>744</v>
      </c>
      <c r="E54" s="269" t="s">
        <v>706</v>
      </c>
      <c r="F54" s="269" t="s">
        <v>232</v>
      </c>
      <c r="G54" s="271">
        <v>0.05</v>
      </c>
      <c r="H54" s="272">
        <v>180</v>
      </c>
      <c r="I54" s="272">
        <v>9</v>
      </c>
      <c r="J54" s="272">
        <v>0</v>
      </c>
      <c r="K54" s="269" t="s">
        <v>233</v>
      </c>
      <c r="L54" s="273">
        <v>46332</v>
      </c>
      <c r="M54" s="272">
        <v>0</v>
      </c>
      <c r="N54" s="272">
        <v>0</v>
      </c>
      <c r="O54" s="272">
        <v>9</v>
      </c>
      <c r="P54" s="269" t="s">
        <v>516</v>
      </c>
      <c r="Q54" s="265"/>
      <c r="R54" s="265"/>
      <c r="S54" s="265"/>
      <c r="T54" s="265"/>
      <c r="U54" s="265"/>
      <c r="V54" s="265"/>
      <c r="W54" s="265"/>
      <c r="X54" s="265"/>
      <c r="Y54" s="265"/>
      <c r="Z54" s="265"/>
      <c r="AA54" s="272" t="s">
        <v>686</v>
      </c>
      <c r="AB54" s="272" t="s">
        <v>300</v>
      </c>
      <c r="AC54" s="272" t="s">
        <v>307</v>
      </c>
      <c r="AD54" s="265"/>
      <c r="AE54" s="265"/>
      <c r="AF54" s="265"/>
      <c r="AG54" s="265"/>
      <c r="AH54" s="265"/>
      <c r="AI54" s="265"/>
      <c r="AJ54" s="265"/>
    </row>
    <row r="55" spans="1:36">
      <c r="A55" s="267" t="s">
        <v>234</v>
      </c>
      <c r="B55" s="268">
        <v>46046</v>
      </c>
      <c r="C55" s="269" t="s">
        <v>716</v>
      </c>
      <c r="D55" s="270" t="s">
        <v>561</v>
      </c>
      <c r="E55" s="269" t="s">
        <v>706</v>
      </c>
      <c r="F55" s="269" t="s">
        <v>232</v>
      </c>
      <c r="G55" s="271">
        <v>1.11E-2</v>
      </c>
      <c r="H55" s="272">
        <v>180</v>
      </c>
      <c r="I55" s="272">
        <v>2</v>
      </c>
      <c r="J55" s="272">
        <v>0</v>
      </c>
      <c r="K55" s="269" t="s">
        <v>233</v>
      </c>
      <c r="L55" s="273">
        <v>46344</v>
      </c>
      <c r="M55" s="272">
        <v>0</v>
      </c>
      <c r="N55" s="272">
        <v>0</v>
      </c>
      <c r="O55" s="272">
        <v>2</v>
      </c>
      <c r="P55" s="269" t="s">
        <v>298</v>
      </c>
      <c r="Q55" s="265"/>
      <c r="R55" s="265"/>
      <c r="S55" s="265"/>
      <c r="T55" s="265"/>
      <c r="U55" s="265"/>
      <c r="V55" s="265"/>
      <c r="W55" s="265"/>
      <c r="X55" s="265"/>
      <c r="Y55" s="265"/>
      <c r="Z55" s="265"/>
      <c r="AA55" s="265"/>
      <c r="AB55" s="265"/>
      <c r="AC55" s="272" t="s">
        <v>298</v>
      </c>
      <c r="AD55" s="265"/>
      <c r="AE55" s="265"/>
      <c r="AF55" s="265"/>
      <c r="AG55" s="265"/>
      <c r="AH55" s="265"/>
      <c r="AI55" s="265"/>
      <c r="AJ55" s="265"/>
    </row>
    <row r="56" spans="1:36">
      <c r="A56" s="267" t="s">
        <v>234</v>
      </c>
      <c r="B56" s="268">
        <v>46046</v>
      </c>
      <c r="C56" s="269" t="s">
        <v>709</v>
      </c>
      <c r="D56" s="270" t="s">
        <v>745</v>
      </c>
      <c r="E56" s="269" t="s">
        <v>706</v>
      </c>
      <c r="F56" s="269" t="s">
        <v>232</v>
      </c>
      <c r="G56" s="271">
        <v>2.7799999999999998E-2</v>
      </c>
      <c r="H56" s="272">
        <v>180</v>
      </c>
      <c r="I56" s="272">
        <v>5</v>
      </c>
      <c r="J56" s="272">
        <v>0</v>
      </c>
      <c r="K56" s="269" t="s">
        <v>233</v>
      </c>
      <c r="L56" s="273">
        <v>46302</v>
      </c>
      <c r="M56" s="272">
        <v>0</v>
      </c>
      <c r="N56" s="272">
        <v>0</v>
      </c>
      <c r="O56" s="272">
        <v>5</v>
      </c>
      <c r="P56" s="269" t="s">
        <v>184</v>
      </c>
      <c r="Q56" s="265"/>
      <c r="R56" s="265"/>
      <c r="S56" s="265"/>
      <c r="T56" s="265"/>
      <c r="U56" s="265"/>
      <c r="V56" s="265"/>
      <c r="W56" s="265"/>
      <c r="X56" s="265"/>
      <c r="Y56" s="265"/>
      <c r="Z56" s="265"/>
      <c r="AA56" s="265"/>
      <c r="AB56" s="272" t="s">
        <v>128</v>
      </c>
      <c r="AC56" s="272" t="s">
        <v>307</v>
      </c>
      <c r="AD56" s="265"/>
      <c r="AE56" s="265"/>
      <c r="AF56" s="265"/>
      <c r="AG56" s="265"/>
      <c r="AH56" s="265"/>
      <c r="AI56" s="265"/>
      <c r="AJ56" s="265"/>
    </row>
    <row r="57" spans="1:36">
      <c r="A57" s="267" t="s">
        <v>234</v>
      </c>
      <c r="B57" s="268">
        <v>46046</v>
      </c>
      <c r="C57" s="269" t="s">
        <v>712</v>
      </c>
      <c r="D57" s="270" t="s">
        <v>746</v>
      </c>
      <c r="E57" s="269" t="s">
        <v>706</v>
      </c>
      <c r="F57" s="269" t="s">
        <v>232</v>
      </c>
      <c r="G57" s="271">
        <v>2.7799999999999998E-2</v>
      </c>
      <c r="H57" s="272">
        <v>180</v>
      </c>
      <c r="I57" s="272">
        <v>5</v>
      </c>
      <c r="J57" s="272">
        <v>0</v>
      </c>
      <c r="K57" s="269" t="s">
        <v>233</v>
      </c>
      <c r="L57" s="273">
        <v>46334</v>
      </c>
      <c r="M57" s="272">
        <v>0</v>
      </c>
      <c r="N57" s="272">
        <v>0</v>
      </c>
      <c r="O57" s="272">
        <v>5</v>
      </c>
      <c r="P57" s="269" t="s">
        <v>300</v>
      </c>
      <c r="Q57" s="265"/>
      <c r="R57" s="265"/>
      <c r="S57" s="265"/>
      <c r="T57" s="265"/>
      <c r="U57" s="265"/>
      <c r="V57" s="265"/>
      <c r="W57" s="265"/>
      <c r="X57" s="265"/>
      <c r="Y57" s="265"/>
      <c r="Z57" s="265"/>
      <c r="AA57" s="272" t="s">
        <v>686</v>
      </c>
      <c r="AB57" s="265"/>
      <c r="AC57" s="272" t="s">
        <v>307</v>
      </c>
      <c r="AD57" s="265"/>
      <c r="AE57" s="265"/>
      <c r="AF57" s="265"/>
      <c r="AG57" s="265"/>
      <c r="AH57" s="265"/>
      <c r="AI57" s="265"/>
      <c r="AJ57" s="265"/>
    </row>
    <row r="58" spans="1:36">
      <c r="A58" s="267" t="s">
        <v>236</v>
      </c>
      <c r="B58" s="268">
        <v>46047</v>
      </c>
      <c r="C58" s="269" t="s">
        <v>716</v>
      </c>
      <c r="D58" s="270" t="s">
        <v>747</v>
      </c>
      <c r="E58" s="269" t="s">
        <v>706</v>
      </c>
      <c r="F58" s="269" t="s">
        <v>232</v>
      </c>
      <c r="G58" s="271">
        <v>2.2200000000000001E-2</v>
      </c>
      <c r="H58" s="272">
        <v>180</v>
      </c>
      <c r="I58" s="272">
        <v>4</v>
      </c>
      <c r="J58" s="272">
        <v>0</v>
      </c>
      <c r="K58" s="269" t="s">
        <v>233</v>
      </c>
      <c r="L58" s="273">
        <v>46345</v>
      </c>
      <c r="M58" s="272">
        <v>0</v>
      </c>
      <c r="N58" s="272">
        <v>0</v>
      </c>
      <c r="O58" s="272">
        <v>4</v>
      </c>
      <c r="P58" s="269" t="s">
        <v>300</v>
      </c>
      <c r="Q58" s="265"/>
      <c r="R58" s="265"/>
      <c r="S58" s="265"/>
      <c r="T58" s="265"/>
      <c r="U58" s="265"/>
      <c r="V58" s="265"/>
      <c r="W58" s="265"/>
      <c r="X58" s="265"/>
      <c r="Y58" s="265"/>
      <c r="Z58" s="265"/>
      <c r="AA58" s="265"/>
      <c r="AB58" s="265"/>
      <c r="AC58" s="272" t="s">
        <v>307</v>
      </c>
      <c r="AD58" s="265"/>
      <c r="AE58" s="265"/>
      <c r="AF58" s="265"/>
      <c r="AG58" s="265"/>
      <c r="AH58" s="265"/>
      <c r="AI58" s="265"/>
      <c r="AJ58" s="265"/>
    </row>
    <row r="59" spans="1:36">
      <c r="A59" s="267" t="s">
        <v>236</v>
      </c>
      <c r="B59" s="268">
        <v>46047</v>
      </c>
      <c r="C59" s="269" t="s">
        <v>712</v>
      </c>
      <c r="D59" s="270" t="s">
        <v>748</v>
      </c>
      <c r="E59" s="269" t="s">
        <v>706</v>
      </c>
      <c r="F59" s="269" t="s">
        <v>232</v>
      </c>
      <c r="G59" s="271">
        <v>1.67E-2</v>
      </c>
      <c r="H59" s="272">
        <v>180</v>
      </c>
      <c r="I59" s="272">
        <v>3</v>
      </c>
      <c r="J59" s="272">
        <v>0</v>
      </c>
      <c r="K59" s="269" t="s">
        <v>233</v>
      </c>
      <c r="L59" s="273">
        <v>46342</v>
      </c>
      <c r="M59" s="272">
        <v>0</v>
      </c>
      <c r="N59" s="272">
        <v>0</v>
      </c>
      <c r="O59" s="272">
        <v>3</v>
      </c>
      <c r="P59" s="269" t="s">
        <v>302</v>
      </c>
      <c r="Q59" s="265"/>
      <c r="R59" s="265"/>
      <c r="S59" s="265"/>
      <c r="T59" s="265"/>
      <c r="U59" s="265"/>
      <c r="V59" s="265"/>
      <c r="W59" s="265"/>
      <c r="X59" s="265"/>
      <c r="Y59" s="265"/>
      <c r="Z59" s="265"/>
      <c r="AA59" s="265"/>
      <c r="AB59" s="265"/>
      <c r="AC59" s="272" t="s">
        <v>304</v>
      </c>
      <c r="AD59" s="265"/>
      <c r="AE59" s="265"/>
      <c r="AF59" s="265"/>
      <c r="AG59" s="265"/>
      <c r="AH59" s="265"/>
      <c r="AI59" s="265"/>
      <c r="AJ59" s="265"/>
    </row>
    <row r="60" spans="1:36">
      <c r="A60" s="267" t="s">
        <v>240</v>
      </c>
      <c r="B60" s="268">
        <v>46048</v>
      </c>
      <c r="C60" s="269" t="s">
        <v>716</v>
      </c>
      <c r="D60" s="270" t="s">
        <v>749</v>
      </c>
      <c r="E60" s="269" t="s">
        <v>706</v>
      </c>
      <c r="F60" s="269" t="s">
        <v>232</v>
      </c>
      <c r="G60" s="271">
        <v>5.5999999999999999E-3</v>
      </c>
      <c r="H60" s="272">
        <v>180</v>
      </c>
      <c r="I60" s="272">
        <v>1</v>
      </c>
      <c r="J60" s="272">
        <v>0</v>
      </c>
      <c r="K60" s="269" t="s">
        <v>233</v>
      </c>
      <c r="L60" s="273">
        <v>46307</v>
      </c>
      <c r="M60" s="272">
        <v>0</v>
      </c>
      <c r="N60" s="272">
        <v>0</v>
      </c>
      <c r="O60" s="272">
        <v>1</v>
      </c>
      <c r="P60" s="269" t="s">
        <v>304</v>
      </c>
      <c r="Q60" s="265"/>
      <c r="R60" s="265"/>
      <c r="S60" s="265"/>
      <c r="T60" s="265"/>
      <c r="U60" s="265"/>
      <c r="V60" s="265"/>
      <c r="W60" s="265"/>
      <c r="X60" s="265"/>
      <c r="Y60" s="265"/>
      <c r="Z60" s="265"/>
      <c r="AA60" s="265"/>
      <c r="AB60" s="265"/>
      <c r="AC60" s="272" t="s">
        <v>302</v>
      </c>
      <c r="AD60" s="265"/>
      <c r="AE60" s="265"/>
      <c r="AF60" s="265"/>
      <c r="AG60" s="265"/>
      <c r="AH60" s="265"/>
      <c r="AI60" s="265"/>
      <c r="AJ60" s="265"/>
    </row>
    <row r="61" spans="1:36">
      <c r="A61" s="267" t="s">
        <v>240</v>
      </c>
      <c r="B61" s="268">
        <v>46048</v>
      </c>
      <c r="C61" s="269" t="s">
        <v>712</v>
      </c>
      <c r="D61" s="270" t="s">
        <v>750</v>
      </c>
      <c r="E61" s="269" t="s">
        <v>706</v>
      </c>
      <c r="F61" s="269" t="s">
        <v>232</v>
      </c>
      <c r="G61" s="271">
        <v>0</v>
      </c>
      <c r="H61" s="272">
        <v>180</v>
      </c>
      <c r="I61" s="272">
        <v>0</v>
      </c>
      <c r="J61" s="272">
        <v>0</v>
      </c>
      <c r="K61" s="269" t="s">
        <v>233</v>
      </c>
      <c r="L61" s="273" t="s">
        <v>66</v>
      </c>
      <c r="M61" s="272">
        <v>0</v>
      </c>
      <c r="N61" s="272">
        <v>0</v>
      </c>
      <c r="O61" s="272">
        <v>0</v>
      </c>
      <c r="P61" s="269" t="s">
        <v>307</v>
      </c>
      <c r="Q61" s="265"/>
      <c r="R61" s="265"/>
      <c r="S61" s="265"/>
      <c r="T61" s="265"/>
      <c r="U61" s="265"/>
      <c r="V61" s="265"/>
      <c r="W61" s="265"/>
      <c r="X61" s="265"/>
      <c r="Y61" s="265"/>
      <c r="Z61" s="265"/>
      <c r="AA61" s="265"/>
      <c r="AB61" s="265"/>
      <c r="AC61" s="265"/>
      <c r="AD61" s="265"/>
      <c r="AE61" s="265"/>
      <c r="AF61" s="265"/>
      <c r="AG61" s="265"/>
      <c r="AH61" s="265"/>
      <c r="AI61" s="265"/>
      <c r="AJ61" s="265"/>
    </row>
    <row r="62" spans="1:36">
      <c r="A62" s="267" t="s">
        <v>240</v>
      </c>
      <c r="B62" s="268">
        <v>46048</v>
      </c>
      <c r="C62" s="269" t="s">
        <v>709</v>
      </c>
      <c r="D62" s="270" t="s">
        <v>743</v>
      </c>
      <c r="E62" s="269" t="s">
        <v>706</v>
      </c>
      <c r="F62" s="269" t="s">
        <v>232</v>
      </c>
      <c r="G62" s="271">
        <v>0</v>
      </c>
      <c r="H62" s="272">
        <v>180</v>
      </c>
      <c r="I62" s="272">
        <v>0</v>
      </c>
      <c r="J62" s="272">
        <v>0</v>
      </c>
      <c r="K62" s="269" t="s">
        <v>233</v>
      </c>
      <c r="L62" s="273" t="s">
        <v>66</v>
      </c>
      <c r="M62" s="272">
        <v>0</v>
      </c>
      <c r="N62" s="272">
        <v>0</v>
      </c>
      <c r="O62" s="272">
        <v>0</v>
      </c>
      <c r="P62" s="269" t="s">
        <v>307</v>
      </c>
      <c r="Q62" s="265"/>
      <c r="R62" s="265"/>
      <c r="S62" s="265"/>
      <c r="T62" s="265"/>
      <c r="U62" s="265"/>
      <c r="V62" s="265"/>
      <c r="W62" s="265"/>
      <c r="X62" s="265"/>
      <c r="Y62" s="265"/>
      <c r="Z62" s="265"/>
      <c r="AA62" s="265"/>
      <c r="AB62" s="265"/>
      <c r="AC62" s="265"/>
      <c r="AD62" s="265"/>
      <c r="AE62" s="265"/>
      <c r="AF62" s="265"/>
      <c r="AG62" s="265"/>
      <c r="AH62" s="265"/>
      <c r="AI62" s="265"/>
      <c r="AJ62" s="265"/>
    </row>
    <row r="63" spans="1:36">
      <c r="A63" s="267" t="s">
        <v>242</v>
      </c>
      <c r="B63" s="268">
        <v>46049</v>
      </c>
      <c r="C63" s="269" t="s">
        <v>709</v>
      </c>
      <c r="D63" s="270" t="s">
        <v>751</v>
      </c>
      <c r="E63" s="269" t="s">
        <v>706</v>
      </c>
      <c r="F63" s="269" t="s">
        <v>232</v>
      </c>
      <c r="G63" s="271">
        <v>0</v>
      </c>
      <c r="H63" s="272">
        <v>180</v>
      </c>
      <c r="I63" s="272">
        <v>0</v>
      </c>
      <c r="J63" s="272">
        <v>0</v>
      </c>
      <c r="K63" s="269" t="s">
        <v>233</v>
      </c>
      <c r="L63" s="273" t="s">
        <v>66</v>
      </c>
      <c r="M63" s="272">
        <v>0</v>
      </c>
      <c r="N63" s="272">
        <v>0</v>
      </c>
      <c r="O63" s="272">
        <v>0</v>
      </c>
      <c r="P63" s="269" t="s">
        <v>307</v>
      </c>
      <c r="Q63" s="265"/>
      <c r="R63" s="265"/>
      <c r="S63" s="265"/>
      <c r="T63" s="265"/>
      <c r="U63" s="265"/>
      <c r="V63" s="265"/>
      <c r="W63" s="265"/>
      <c r="X63" s="265"/>
      <c r="Y63" s="265"/>
      <c r="Z63" s="265"/>
      <c r="AA63" s="265"/>
      <c r="AB63" s="265"/>
      <c r="AC63" s="265"/>
      <c r="AD63" s="265"/>
      <c r="AE63" s="265"/>
      <c r="AF63" s="265"/>
      <c r="AG63" s="265"/>
      <c r="AH63" s="265"/>
      <c r="AI63" s="265"/>
      <c r="AJ63" s="265"/>
    </row>
    <row r="64" spans="1:36">
      <c r="A64" s="267" t="s">
        <v>242</v>
      </c>
      <c r="B64" s="268">
        <v>46049</v>
      </c>
      <c r="C64" s="269" t="s">
        <v>712</v>
      </c>
      <c r="D64" s="270" t="s">
        <v>746</v>
      </c>
      <c r="E64" s="269" t="s">
        <v>706</v>
      </c>
      <c r="F64" s="269" t="s">
        <v>232</v>
      </c>
      <c r="G64" s="271">
        <v>2.2200000000000001E-2</v>
      </c>
      <c r="H64" s="272">
        <v>180</v>
      </c>
      <c r="I64" s="272">
        <v>4</v>
      </c>
      <c r="J64" s="272">
        <v>0</v>
      </c>
      <c r="K64" s="269" t="s">
        <v>233</v>
      </c>
      <c r="L64" s="273">
        <v>46344</v>
      </c>
      <c r="M64" s="272">
        <v>0</v>
      </c>
      <c r="N64" s="272">
        <v>0</v>
      </c>
      <c r="O64" s="272">
        <v>4</v>
      </c>
      <c r="P64" s="269" t="s">
        <v>302</v>
      </c>
      <c r="Q64" s="265"/>
      <c r="R64" s="265"/>
      <c r="S64" s="265"/>
      <c r="T64" s="265"/>
      <c r="U64" s="265"/>
      <c r="V64" s="265"/>
      <c r="W64" s="265"/>
      <c r="X64" s="265"/>
      <c r="Y64" s="265"/>
      <c r="Z64" s="265"/>
      <c r="AA64" s="272" t="s">
        <v>686</v>
      </c>
      <c r="AB64" s="265"/>
      <c r="AC64" s="272" t="s">
        <v>304</v>
      </c>
      <c r="AD64" s="265"/>
      <c r="AE64" s="265"/>
      <c r="AF64" s="265"/>
      <c r="AG64" s="265"/>
      <c r="AH64" s="265"/>
      <c r="AI64" s="265"/>
      <c r="AJ64" s="265"/>
    </row>
    <row r="65" spans="1:36">
      <c r="A65" s="267" t="s">
        <v>315</v>
      </c>
      <c r="B65" s="268">
        <v>46050</v>
      </c>
      <c r="C65" s="269" t="s">
        <v>709</v>
      </c>
      <c r="D65" s="270" t="s">
        <v>752</v>
      </c>
      <c r="E65" s="269" t="s">
        <v>706</v>
      </c>
      <c r="F65" s="269" t="s">
        <v>232</v>
      </c>
      <c r="G65" s="271">
        <v>5.5999999999999999E-3</v>
      </c>
      <c r="H65" s="272">
        <v>180</v>
      </c>
      <c r="I65" s="272">
        <v>1</v>
      </c>
      <c r="J65" s="272">
        <v>0</v>
      </c>
      <c r="K65" s="269" t="s">
        <v>233</v>
      </c>
      <c r="L65" s="273">
        <v>46341</v>
      </c>
      <c r="M65" s="272">
        <v>0</v>
      </c>
      <c r="N65" s="272">
        <v>0</v>
      </c>
      <c r="O65" s="272">
        <v>1</v>
      </c>
      <c r="P65" s="269" t="s">
        <v>304</v>
      </c>
      <c r="Q65" s="265"/>
      <c r="R65" s="265"/>
      <c r="S65" s="265"/>
      <c r="T65" s="265"/>
      <c r="U65" s="265"/>
      <c r="V65" s="265"/>
      <c r="W65" s="265"/>
      <c r="X65" s="265"/>
      <c r="Y65" s="265"/>
      <c r="Z65" s="265"/>
      <c r="AA65" s="265"/>
      <c r="AB65" s="265"/>
      <c r="AC65" s="272" t="s">
        <v>302</v>
      </c>
      <c r="AD65" s="265"/>
      <c r="AE65" s="265"/>
      <c r="AF65" s="265"/>
      <c r="AG65" s="265"/>
      <c r="AH65" s="265"/>
      <c r="AI65" s="265"/>
      <c r="AJ65" s="265"/>
    </row>
    <row r="66" spans="1:36">
      <c r="A66" s="267" t="s">
        <v>315</v>
      </c>
      <c r="B66" s="268">
        <v>46050</v>
      </c>
      <c r="C66" s="269" t="s">
        <v>716</v>
      </c>
      <c r="D66" s="270" t="s">
        <v>753</v>
      </c>
      <c r="E66" s="269" t="s">
        <v>706</v>
      </c>
      <c r="F66" s="269" t="s">
        <v>232</v>
      </c>
      <c r="G66" s="271">
        <v>4.4400000000000002E-2</v>
      </c>
      <c r="H66" s="272">
        <v>180</v>
      </c>
      <c r="I66" s="272">
        <v>8</v>
      </c>
      <c r="J66" s="272">
        <v>0</v>
      </c>
      <c r="K66" s="269" t="s">
        <v>233</v>
      </c>
      <c r="L66" s="273">
        <v>46337</v>
      </c>
      <c r="M66" s="272">
        <v>0</v>
      </c>
      <c r="N66" s="272">
        <v>0</v>
      </c>
      <c r="O66" s="272">
        <v>8</v>
      </c>
      <c r="P66" s="269" t="s">
        <v>670</v>
      </c>
      <c r="Q66" s="265"/>
      <c r="R66" s="265"/>
      <c r="S66" s="265"/>
      <c r="T66" s="265"/>
      <c r="U66" s="265"/>
      <c r="V66" s="265"/>
      <c r="W66" s="265"/>
      <c r="X66" s="265"/>
      <c r="Y66" s="265"/>
      <c r="Z66" s="265"/>
      <c r="AA66" s="265"/>
      <c r="AB66" s="272" t="s">
        <v>589</v>
      </c>
      <c r="AC66" s="272" t="s">
        <v>298</v>
      </c>
      <c r="AD66" s="265"/>
      <c r="AE66" s="265"/>
      <c r="AF66" s="265"/>
      <c r="AG66" s="265"/>
      <c r="AH66" s="265"/>
      <c r="AI66" s="265"/>
      <c r="AJ66" s="265"/>
    </row>
    <row r="67" spans="1:36">
      <c r="A67" s="267" t="s">
        <v>315</v>
      </c>
      <c r="B67" s="268">
        <v>46050</v>
      </c>
      <c r="C67" s="269" t="s">
        <v>723</v>
      </c>
      <c r="D67" s="270" t="s">
        <v>754</v>
      </c>
      <c r="E67" s="269" t="s">
        <v>706</v>
      </c>
      <c r="F67" s="269" t="s">
        <v>232</v>
      </c>
      <c r="G67" s="271">
        <v>1.11E-2</v>
      </c>
      <c r="H67" s="272">
        <v>180</v>
      </c>
      <c r="I67" s="272">
        <v>2</v>
      </c>
      <c r="J67" s="272">
        <v>0</v>
      </c>
      <c r="K67" s="269" t="s">
        <v>233</v>
      </c>
      <c r="L67" s="273">
        <v>46336</v>
      </c>
      <c r="M67" s="272">
        <v>0</v>
      </c>
      <c r="N67" s="272">
        <v>0</v>
      </c>
      <c r="O67" s="272">
        <v>2</v>
      </c>
      <c r="P67" s="269" t="s">
        <v>298</v>
      </c>
      <c r="Q67" s="265"/>
      <c r="R67" s="265"/>
      <c r="S67" s="265"/>
      <c r="T67" s="265"/>
      <c r="U67" s="265"/>
      <c r="V67" s="265"/>
      <c r="W67" s="265"/>
      <c r="X67" s="265"/>
      <c r="Y67" s="265"/>
      <c r="Z67" s="265"/>
      <c r="AA67" s="265"/>
      <c r="AB67" s="265"/>
      <c r="AC67" s="272" t="s">
        <v>298</v>
      </c>
      <c r="AD67" s="265"/>
      <c r="AE67" s="265"/>
      <c r="AF67" s="265"/>
      <c r="AG67" s="265"/>
      <c r="AH67" s="265"/>
      <c r="AI67" s="265"/>
      <c r="AJ67" s="265"/>
    </row>
    <row r="68" spans="1:36">
      <c r="A68" s="267" t="s">
        <v>230</v>
      </c>
      <c r="B68" s="268">
        <v>46051</v>
      </c>
      <c r="C68" s="269" t="s">
        <v>709</v>
      </c>
      <c r="D68" s="270" t="s">
        <v>742</v>
      </c>
      <c r="E68" s="269" t="s">
        <v>706</v>
      </c>
      <c r="F68" s="269" t="s">
        <v>232</v>
      </c>
      <c r="G68" s="271">
        <v>0</v>
      </c>
      <c r="H68" s="272">
        <v>180</v>
      </c>
      <c r="I68" s="272">
        <v>0</v>
      </c>
      <c r="J68" s="272">
        <v>0</v>
      </c>
      <c r="K68" s="269" t="s">
        <v>233</v>
      </c>
      <c r="L68" s="273" t="s">
        <v>66</v>
      </c>
      <c r="M68" s="272">
        <v>0</v>
      </c>
      <c r="N68" s="272">
        <v>0</v>
      </c>
      <c r="O68" s="272">
        <v>0</v>
      </c>
      <c r="P68" s="269" t="s">
        <v>307</v>
      </c>
      <c r="Q68" s="265"/>
      <c r="R68" s="265"/>
      <c r="S68" s="265"/>
      <c r="T68" s="265"/>
      <c r="U68" s="265"/>
      <c r="V68" s="265"/>
      <c r="W68" s="265"/>
      <c r="X68" s="265"/>
      <c r="Y68" s="265"/>
      <c r="Z68" s="265"/>
      <c r="AA68" s="265"/>
      <c r="AB68" s="265"/>
      <c r="AC68" s="265"/>
      <c r="AD68" s="265"/>
      <c r="AE68" s="265"/>
      <c r="AF68" s="265"/>
      <c r="AG68" s="265"/>
      <c r="AH68" s="265"/>
      <c r="AI68" s="265"/>
      <c r="AJ68" s="265"/>
    </row>
    <row r="69" spans="1:36">
      <c r="A69" s="267" t="s">
        <v>230</v>
      </c>
      <c r="B69" s="268">
        <v>46051</v>
      </c>
      <c r="C69" s="269" t="s">
        <v>712</v>
      </c>
      <c r="D69" s="270" t="s">
        <v>743</v>
      </c>
      <c r="E69" s="269" t="s">
        <v>706</v>
      </c>
      <c r="F69" s="269" t="s">
        <v>232</v>
      </c>
      <c r="G69" s="271">
        <v>1.11E-2</v>
      </c>
      <c r="H69" s="272">
        <v>180</v>
      </c>
      <c r="I69" s="272">
        <v>2</v>
      </c>
      <c r="J69" s="272">
        <v>0</v>
      </c>
      <c r="K69" s="269" t="s">
        <v>233</v>
      </c>
      <c r="L69" s="273">
        <v>46329</v>
      </c>
      <c r="M69" s="272">
        <v>0</v>
      </c>
      <c r="N69" s="272">
        <v>0</v>
      </c>
      <c r="O69" s="272">
        <v>2</v>
      </c>
      <c r="P69" s="269" t="s">
        <v>307</v>
      </c>
      <c r="Q69" s="265"/>
      <c r="R69" s="265"/>
      <c r="S69" s="265"/>
      <c r="T69" s="265"/>
      <c r="U69" s="265"/>
      <c r="V69" s="265"/>
      <c r="W69" s="265"/>
      <c r="X69" s="265"/>
      <c r="Y69" s="265"/>
      <c r="Z69" s="265"/>
      <c r="AA69" s="272" t="s">
        <v>318</v>
      </c>
      <c r="AB69" s="265"/>
      <c r="AC69" s="265"/>
      <c r="AD69" s="265"/>
      <c r="AE69" s="265"/>
      <c r="AF69" s="265"/>
      <c r="AG69" s="265"/>
      <c r="AH69" s="265"/>
      <c r="AI69" s="265"/>
      <c r="AJ69" s="265"/>
    </row>
    <row r="70" spans="1:36">
      <c r="A70" s="267" t="s">
        <v>560</v>
      </c>
      <c r="B70" s="268">
        <v>46052</v>
      </c>
      <c r="C70" s="269" t="s">
        <v>716</v>
      </c>
      <c r="D70" s="270" t="s">
        <v>744</v>
      </c>
      <c r="E70" s="269" t="s">
        <v>706</v>
      </c>
      <c r="F70" s="269" t="s">
        <v>232</v>
      </c>
      <c r="G70" s="271">
        <v>1.67E-2</v>
      </c>
      <c r="H70" s="272">
        <v>180</v>
      </c>
      <c r="I70" s="272">
        <v>3</v>
      </c>
      <c r="J70" s="272">
        <v>0</v>
      </c>
      <c r="K70" s="269" t="s">
        <v>233</v>
      </c>
      <c r="L70" s="273">
        <v>46335</v>
      </c>
      <c r="M70" s="272">
        <v>0</v>
      </c>
      <c r="N70" s="272">
        <v>0</v>
      </c>
      <c r="O70" s="272">
        <v>3</v>
      </c>
      <c r="P70" s="269" t="s">
        <v>302</v>
      </c>
      <c r="Q70" s="265"/>
      <c r="R70" s="265"/>
      <c r="S70" s="265"/>
      <c r="T70" s="265"/>
      <c r="U70" s="265"/>
      <c r="V70" s="265"/>
      <c r="W70" s="265"/>
      <c r="X70" s="265"/>
      <c r="Y70" s="265"/>
      <c r="Z70" s="265"/>
      <c r="AA70" s="265"/>
      <c r="AB70" s="265"/>
      <c r="AC70" s="272" t="s">
        <v>304</v>
      </c>
      <c r="AD70" s="265"/>
      <c r="AE70" s="265"/>
      <c r="AF70" s="265"/>
      <c r="AG70" s="265"/>
      <c r="AH70" s="265"/>
      <c r="AI70" s="265"/>
      <c r="AJ70" s="265"/>
    </row>
    <row r="71" spans="1:36">
      <c r="A71" s="267" t="s">
        <v>234</v>
      </c>
      <c r="B71" s="268">
        <v>46053</v>
      </c>
      <c r="C71" s="269" t="s">
        <v>716</v>
      </c>
      <c r="D71" s="270" t="s">
        <v>561</v>
      </c>
      <c r="E71" s="269" t="s">
        <v>706</v>
      </c>
      <c r="F71" s="269" t="s">
        <v>232</v>
      </c>
      <c r="G71" s="271">
        <v>5.5999999999999999E-3</v>
      </c>
      <c r="H71" s="272">
        <v>180</v>
      </c>
      <c r="I71" s="272">
        <v>1</v>
      </c>
      <c r="J71" s="272">
        <v>0</v>
      </c>
      <c r="K71" s="269" t="s">
        <v>233</v>
      </c>
      <c r="L71" s="273">
        <v>46327</v>
      </c>
      <c r="M71" s="272">
        <v>0</v>
      </c>
      <c r="N71" s="272">
        <v>0</v>
      </c>
      <c r="O71" s="272">
        <v>1</v>
      </c>
      <c r="P71" s="269" t="s">
        <v>304</v>
      </c>
      <c r="Q71" s="265"/>
      <c r="R71" s="265"/>
      <c r="S71" s="265"/>
      <c r="T71" s="265"/>
      <c r="U71" s="265"/>
      <c r="V71" s="265"/>
      <c r="W71" s="265"/>
      <c r="X71" s="265"/>
      <c r="Y71" s="265"/>
      <c r="Z71" s="265"/>
      <c r="AA71" s="265"/>
      <c r="AB71" s="265"/>
      <c r="AC71" s="272" t="s">
        <v>302</v>
      </c>
      <c r="AD71" s="265"/>
      <c r="AE71" s="265"/>
      <c r="AF71" s="265"/>
      <c r="AG71" s="265"/>
      <c r="AH71" s="265"/>
      <c r="AI71" s="265"/>
      <c r="AJ71" s="265"/>
    </row>
    <row r="72" spans="1:36">
      <c r="A72" s="267" t="s">
        <v>234</v>
      </c>
      <c r="B72" s="268">
        <v>46053</v>
      </c>
      <c r="C72" s="269" t="s">
        <v>709</v>
      </c>
      <c r="D72" s="270" t="s">
        <v>745</v>
      </c>
      <c r="E72" s="269" t="s">
        <v>706</v>
      </c>
      <c r="F72" s="269" t="s">
        <v>232</v>
      </c>
      <c r="G72" s="271">
        <v>5.5999999999999999E-3</v>
      </c>
      <c r="H72" s="272">
        <v>180</v>
      </c>
      <c r="I72" s="272">
        <v>1</v>
      </c>
      <c r="J72" s="272">
        <v>0</v>
      </c>
      <c r="K72" s="269" t="s">
        <v>233</v>
      </c>
      <c r="L72" s="273">
        <v>46269</v>
      </c>
      <c r="M72" s="272">
        <v>0</v>
      </c>
      <c r="N72" s="272">
        <v>0</v>
      </c>
      <c r="O72" s="272">
        <v>1</v>
      </c>
      <c r="P72" s="269" t="s">
        <v>304</v>
      </c>
      <c r="Q72" s="265"/>
      <c r="R72" s="265"/>
      <c r="S72" s="265"/>
      <c r="T72" s="265"/>
      <c r="U72" s="265"/>
      <c r="V72" s="265"/>
      <c r="W72" s="265"/>
      <c r="X72" s="265"/>
      <c r="Y72" s="265"/>
      <c r="Z72" s="265"/>
      <c r="AA72" s="265"/>
      <c r="AB72" s="265"/>
      <c r="AC72" s="272" t="s">
        <v>302</v>
      </c>
      <c r="AD72" s="265"/>
      <c r="AE72" s="265"/>
      <c r="AF72" s="265"/>
      <c r="AG72" s="265"/>
      <c r="AH72" s="265"/>
      <c r="AI72" s="265"/>
      <c r="AJ72" s="265"/>
    </row>
    <row r="73" spans="1:36">
      <c r="A73" s="267" t="s">
        <v>234</v>
      </c>
      <c r="B73" s="268">
        <v>46053</v>
      </c>
      <c r="C73" s="269" t="s">
        <v>712</v>
      </c>
      <c r="D73" s="270" t="s">
        <v>746</v>
      </c>
      <c r="E73" s="269" t="s">
        <v>706</v>
      </c>
      <c r="F73" s="269" t="s">
        <v>232</v>
      </c>
      <c r="G73" s="271">
        <v>1.67E-2</v>
      </c>
      <c r="H73" s="272">
        <v>180</v>
      </c>
      <c r="I73" s="272">
        <v>3</v>
      </c>
      <c r="J73" s="272">
        <v>0</v>
      </c>
      <c r="K73" s="269" t="s">
        <v>233</v>
      </c>
      <c r="L73" s="273">
        <v>46339</v>
      </c>
      <c r="M73" s="272">
        <v>0</v>
      </c>
      <c r="N73" s="272">
        <v>0</v>
      </c>
      <c r="O73" s="272">
        <v>3</v>
      </c>
      <c r="P73" s="269" t="s">
        <v>298</v>
      </c>
      <c r="Q73" s="265"/>
      <c r="R73" s="265"/>
      <c r="S73" s="265"/>
      <c r="T73" s="265"/>
      <c r="U73" s="265"/>
      <c r="V73" s="265"/>
      <c r="W73" s="265"/>
      <c r="X73" s="265"/>
      <c r="Y73" s="265"/>
      <c r="Z73" s="265"/>
      <c r="AA73" s="272" t="s">
        <v>686</v>
      </c>
      <c r="AB73" s="265"/>
      <c r="AC73" s="272" t="s">
        <v>298</v>
      </c>
      <c r="AD73" s="265"/>
      <c r="AE73" s="265"/>
      <c r="AF73" s="265"/>
      <c r="AG73" s="265"/>
      <c r="AH73" s="265"/>
      <c r="AI73" s="265"/>
      <c r="AJ73" s="265"/>
    </row>
    <row r="74" spans="1:36" ht="21">
      <c r="A74" s="274" t="s">
        <v>251</v>
      </c>
      <c r="B74" s="275"/>
      <c r="C74" s="274">
        <f>SUBTOTAL(103,ATZ_JED_LF_LEGACY[Flt])</f>
        <v>72</v>
      </c>
      <c r="D74" s="274"/>
      <c r="E74" s="274">
        <f>SUBTOTAL(103,ATZ_JED_LF_LEGACY[Brd-Off])</f>
        <v>72</v>
      </c>
      <c r="F74" s="274"/>
      <c r="G74" s="276">
        <f>SUBTOTAL(101,ATZ_JED_LF_LEGACY[LF%])</f>
        <v>1.1737500000000008E-2</v>
      </c>
      <c r="H74" s="277">
        <f>SUBTOTAL(109,ATZ_JED_LF_LEGACY[CAP])</f>
        <v>12960</v>
      </c>
      <c r="I74" s="277">
        <f>SUBTOTAL(109,ATZ_JED_LF_LEGACY[BKG(Y)])</f>
        <v>152</v>
      </c>
      <c r="J74" s="277">
        <f>SUBTOTAL(109,ATZ_JED_LF_LEGACY[GRP(Y)])</f>
        <v>0</v>
      </c>
      <c r="K74" s="274"/>
      <c r="L74" s="275"/>
      <c r="M74" s="277">
        <f>SUBTOTAL(109,ATZ_JED_LF_LEGACY[TO-DAY])</f>
        <v>0</v>
      </c>
      <c r="N74" s="277">
        <f>SUBTOTAL(109,ATZ_JED_LF_LEGACY[Y-DAY])</f>
        <v>0</v>
      </c>
      <c r="O74" s="277">
        <f>SUBTOTAL(109,ATZ_JED_LF_LEGACY[WEEKLY])</f>
        <v>152</v>
      </c>
      <c r="P74" s="274"/>
      <c r="Q74" s="277">
        <f>SUBTOTAL(109,ATZ_JED_LF_LEGACY[Y])</f>
        <v>0</v>
      </c>
      <c r="R74" s="277">
        <f>SUBTOTAL(109,ATZ_JED_LF_LEGACY[B])</f>
        <v>0</v>
      </c>
      <c r="S74" s="277">
        <f>SUBTOTAL(109,ATZ_JED_LF_LEGACY[M])</f>
        <v>0</v>
      </c>
      <c r="T74" s="277">
        <f>SUBTOTAL(109,ATZ_JED_LF_LEGACY[H])</f>
        <v>0</v>
      </c>
      <c r="U74" s="277">
        <f>SUBTOTAL(109,ATZ_JED_LF_LEGACY[Q])</f>
        <v>0</v>
      </c>
      <c r="V74" s="277">
        <f>SUBTOTAL(109,ATZ_JED_LF_LEGACY[K])</f>
        <v>0</v>
      </c>
      <c r="W74" s="277">
        <f>SUBTOTAL(109,ATZ_JED_LF_LEGACY[V])</f>
        <v>0</v>
      </c>
      <c r="X74" s="277">
        <f>SUBTOTAL(109,ATZ_JED_LF_LEGACY[L])</f>
        <v>0</v>
      </c>
      <c r="Y74" s="277">
        <f>SUBTOTAL(109,ATZ_JED_LF_LEGACY[G])</f>
        <v>0</v>
      </c>
      <c r="Z74" s="277">
        <f>SUBTOTAL(109,ATZ_JED_LF_LEGACY[S])</f>
        <v>0</v>
      </c>
      <c r="AA74" s="277">
        <f>SUBTOTAL(109,ATZ_JED_LF_LEGACY[W])</f>
        <v>0</v>
      </c>
      <c r="AB74" s="277">
        <f>SUBTOTAL(109,ATZ_JED_LF_LEGACY[T])</f>
        <v>0</v>
      </c>
      <c r="AC74" s="277">
        <f>SUBTOTAL(109,ATZ_JED_LF_LEGACY[X])</f>
        <v>0</v>
      </c>
      <c r="AD74" s="277">
        <f>SUBTOTAL(109,ATZ_JED_LF_LEGACY[U])</f>
        <v>0</v>
      </c>
      <c r="AE74" s="277">
        <f>SUBTOTAL(109,ATZ_JED_LF_LEGACY[O])</f>
        <v>0</v>
      </c>
      <c r="AF74" s="277">
        <f>SUBTOTAL(109,ATZ_JED_LF_LEGACY[I])</f>
        <v>0</v>
      </c>
      <c r="AG74" s="277">
        <f>SUBTOTAL(109,ATZ_JED_LF_LEGACY[E])</f>
        <v>0</v>
      </c>
      <c r="AH74" s="277">
        <f>SUBTOTAL(109,ATZ_JED_LF_LEGACY[A])</f>
        <v>0</v>
      </c>
      <c r="AI74" s="277">
        <f>SUBTOTAL(109,ATZ_JED_LF_LEGACY[P])</f>
        <v>0</v>
      </c>
      <c r="AJ74" s="277">
        <f>SUBTOTAL(103,ATZ_JED_LF_LEGACY[N])</f>
        <v>0</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474"/>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32.140625" bestFit="1" customWidth="1"/>
    <col min="7" max="7" width="20" bestFit="1" customWidth="1"/>
    <col min="8" max="8" width="23.7109375" bestFit="1" customWidth="1"/>
    <col min="9" max="9" width="155.57031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6" t="s">
        <v>254</v>
      </c>
      <c r="B2" s="117" t="s">
        <v>61</v>
      </c>
      <c r="C2" s="118" t="s">
        <v>707</v>
      </c>
      <c r="D2" s="117" t="s">
        <v>706</v>
      </c>
      <c r="E2" s="117" t="s">
        <v>742</v>
      </c>
      <c r="F2" s="117" t="s">
        <v>63</v>
      </c>
      <c r="G2" s="119">
        <v>2</v>
      </c>
      <c r="H2" s="120" t="s">
        <v>708</v>
      </c>
    </row>
    <row r="3" spans="1:8" ht="19.899999999999999" customHeight="1">
      <c r="A3" s="129">
        <v>46023</v>
      </c>
      <c r="B3" s="117" t="s">
        <v>61</v>
      </c>
      <c r="C3" s="118" t="s">
        <v>710</v>
      </c>
      <c r="D3" s="117" t="s">
        <v>706</v>
      </c>
      <c r="E3" s="130">
        <v>1.5486111111111109</v>
      </c>
      <c r="F3" s="117" t="s">
        <v>63</v>
      </c>
      <c r="G3" s="119">
        <v>4</v>
      </c>
      <c r="H3" s="120" t="s">
        <v>711</v>
      </c>
    </row>
    <row r="4" spans="1:8" ht="19.899999999999999" customHeight="1">
      <c r="A4" s="121">
        <v>46023</v>
      </c>
      <c r="B4" s="112" t="s">
        <v>68</v>
      </c>
      <c r="C4" s="113" t="s">
        <v>713</v>
      </c>
      <c r="D4" s="112" t="s">
        <v>706</v>
      </c>
      <c r="E4" s="122">
        <v>1.524305555555556</v>
      </c>
      <c r="F4" s="112" t="s">
        <v>643</v>
      </c>
      <c r="G4" s="114">
        <v>4</v>
      </c>
      <c r="H4" s="115" t="s">
        <v>714</v>
      </c>
    </row>
    <row r="5" spans="1:8" ht="19.899999999999999" customHeight="1">
      <c r="A5" s="143"/>
      <c r="B5" s="144"/>
      <c r="C5" s="144"/>
      <c r="D5" s="144"/>
      <c r="E5" s="144"/>
      <c r="F5" s="145" t="s">
        <v>705</v>
      </c>
      <c r="G5" s="144"/>
      <c r="H5" s="146"/>
    </row>
    <row r="6" spans="1:8" ht="19.899999999999999" customHeight="1">
      <c r="A6" s="121">
        <v>46023</v>
      </c>
      <c r="B6" s="112" t="s">
        <v>38</v>
      </c>
      <c r="C6" s="113" t="s">
        <v>342</v>
      </c>
      <c r="D6" s="112" t="s">
        <v>341</v>
      </c>
      <c r="E6" s="122">
        <v>1.489583333333333</v>
      </c>
      <c r="F6" s="112" t="s">
        <v>40</v>
      </c>
      <c r="G6" s="114">
        <v>15</v>
      </c>
      <c r="H6" s="115" t="s">
        <v>343</v>
      </c>
    </row>
    <row r="7" spans="1:8" ht="19.899999999999999" customHeight="1">
      <c r="A7" s="121">
        <v>46023</v>
      </c>
      <c r="B7" s="112" t="s">
        <v>38</v>
      </c>
      <c r="C7" s="113" t="s">
        <v>344</v>
      </c>
      <c r="D7" s="112" t="s">
        <v>341</v>
      </c>
      <c r="E7" s="122">
        <v>1.8888888888888891</v>
      </c>
      <c r="F7" s="112" t="s">
        <v>40</v>
      </c>
      <c r="G7" s="114">
        <v>19</v>
      </c>
      <c r="H7" s="115" t="s">
        <v>343</v>
      </c>
    </row>
    <row r="8" spans="1:8" ht="19.899999999999999" customHeight="1">
      <c r="A8" s="121">
        <v>46023</v>
      </c>
      <c r="B8" s="112" t="s">
        <v>38</v>
      </c>
      <c r="C8" s="113" t="s">
        <v>345</v>
      </c>
      <c r="D8" s="112" t="s">
        <v>341</v>
      </c>
      <c r="E8" s="122">
        <v>1.989583333333333</v>
      </c>
      <c r="F8" s="112" t="s">
        <v>40</v>
      </c>
      <c r="G8" s="114">
        <v>20</v>
      </c>
      <c r="H8" s="115" t="s">
        <v>343</v>
      </c>
    </row>
    <row r="9" spans="1:8" ht="19.899999999999999" customHeight="1">
      <c r="A9" s="121">
        <v>46023</v>
      </c>
      <c r="B9" s="112" t="s">
        <v>26</v>
      </c>
      <c r="C9" s="113" t="s">
        <v>348</v>
      </c>
      <c r="D9" s="112" t="s">
        <v>341</v>
      </c>
      <c r="E9" s="122">
        <v>1.993055555555556</v>
      </c>
      <c r="F9" s="112" t="s">
        <v>28</v>
      </c>
      <c r="G9" s="114">
        <v>5</v>
      </c>
      <c r="H9" s="115" t="s">
        <v>131</v>
      </c>
    </row>
    <row r="10" spans="1:8" ht="19.899999999999999" customHeight="1">
      <c r="A10" s="121">
        <v>46023</v>
      </c>
      <c r="B10" s="112" t="s">
        <v>26</v>
      </c>
      <c r="C10" s="113" t="s">
        <v>350</v>
      </c>
      <c r="D10" s="112" t="s">
        <v>341</v>
      </c>
      <c r="E10" s="122">
        <v>1.7361111111111109</v>
      </c>
      <c r="F10" s="112" t="s">
        <v>28</v>
      </c>
      <c r="G10" s="114">
        <v>1</v>
      </c>
      <c r="H10" s="115" t="s">
        <v>131</v>
      </c>
    </row>
    <row r="11" spans="1:8" ht="19.899999999999999" customHeight="1">
      <c r="A11" s="121">
        <v>46023</v>
      </c>
      <c r="B11" s="112" t="s">
        <v>26</v>
      </c>
      <c r="C11" s="113" t="s">
        <v>351</v>
      </c>
      <c r="D11" s="112" t="s">
        <v>341</v>
      </c>
      <c r="E11" s="122">
        <v>1.836805555555556</v>
      </c>
      <c r="F11" s="112" t="s">
        <v>28</v>
      </c>
      <c r="G11" s="114">
        <v>2</v>
      </c>
      <c r="H11" s="115" t="s">
        <v>131</v>
      </c>
    </row>
    <row r="12" spans="1:8" ht="19.899999999999999" customHeight="1">
      <c r="A12" s="121">
        <v>46023</v>
      </c>
      <c r="B12" s="112" t="s">
        <v>26</v>
      </c>
      <c r="C12" s="113" t="s">
        <v>352</v>
      </c>
      <c r="D12" s="112" t="s">
        <v>341</v>
      </c>
      <c r="E12" s="122">
        <v>1.944444444444444</v>
      </c>
      <c r="F12" s="112" t="s">
        <v>28</v>
      </c>
      <c r="G12" s="114">
        <v>4</v>
      </c>
      <c r="H12" s="115" t="s">
        <v>131</v>
      </c>
    </row>
    <row r="13" spans="1:8" ht="19.899999999999999" customHeight="1">
      <c r="A13" s="121">
        <v>46023</v>
      </c>
      <c r="B13" s="112" t="s">
        <v>26</v>
      </c>
      <c r="C13" s="113" t="s">
        <v>353</v>
      </c>
      <c r="D13" s="112" t="s">
        <v>341</v>
      </c>
      <c r="E13" s="122">
        <v>1.8888888888888891</v>
      </c>
      <c r="F13" s="112" t="s">
        <v>28</v>
      </c>
      <c r="G13" s="114">
        <v>5</v>
      </c>
      <c r="H13" s="115" t="s">
        <v>131</v>
      </c>
    </row>
    <row r="14" spans="1:8" ht="19.899999999999999" customHeight="1">
      <c r="A14" s="121">
        <v>46023</v>
      </c>
      <c r="B14" s="112" t="s">
        <v>359</v>
      </c>
      <c r="C14" s="113" t="s">
        <v>360</v>
      </c>
      <c r="D14" s="112" t="s">
        <v>341</v>
      </c>
      <c r="E14" s="122">
        <v>1.1701388888888891</v>
      </c>
      <c r="F14" s="112" t="s">
        <v>361</v>
      </c>
      <c r="G14" s="114">
        <v>9</v>
      </c>
      <c r="H14" s="115" t="s">
        <v>362</v>
      </c>
    </row>
    <row r="15" spans="1:8" ht="19.899999999999999" customHeight="1">
      <c r="A15" s="123">
        <v>46023</v>
      </c>
      <c r="B15" s="124" t="s">
        <v>38</v>
      </c>
      <c r="C15" s="125" t="s">
        <v>346</v>
      </c>
      <c r="D15" s="124" t="s">
        <v>341</v>
      </c>
      <c r="E15" s="126">
        <v>1.399305555555556</v>
      </c>
      <c r="F15" s="124" t="s">
        <v>40</v>
      </c>
      <c r="G15" s="127">
        <v>20</v>
      </c>
      <c r="H15" s="128" t="s">
        <v>347</v>
      </c>
    </row>
    <row r="16" spans="1:8" ht="19.899999999999999" customHeight="1">
      <c r="A16" s="129">
        <v>46024</v>
      </c>
      <c r="B16" s="117" t="s">
        <v>61</v>
      </c>
      <c r="C16" s="118" t="s">
        <v>715</v>
      </c>
      <c r="D16" s="117" t="s">
        <v>706</v>
      </c>
      <c r="E16" s="130">
        <v>1.135416666666667</v>
      </c>
      <c r="F16" s="117" t="s">
        <v>63</v>
      </c>
      <c r="G16" s="119">
        <v>1</v>
      </c>
      <c r="H16" s="120" t="s">
        <v>708</v>
      </c>
    </row>
    <row r="17" spans="1:8" ht="19.899999999999999" customHeight="1">
      <c r="A17" s="143"/>
      <c r="B17" s="144"/>
      <c r="C17" s="144"/>
      <c r="D17" s="144"/>
      <c r="E17" s="144"/>
      <c r="F17" s="145" t="s">
        <v>705</v>
      </c>
      <c r="G17" s="144"/>
      <c r="H17" s="146"/>
    </row>
    <row r="18" spans="1:8" ht="19.899999999999999" customHeight="1">
      <c r="A18" s="121">
        <v>46024</v>
      </c>
      <c r="B18" s="112" t="s">
        <v>38</v>
      </c>
      <c r="C18" s="113" t="s">
        <v>346</v>
      </c>
      <c r="D18" s="112" t="s">
        <v>341</v>
      </c>
      <c r="E18" s="122">
        <v>1.399305555555556</v>
      </c>
      <c r="F18" s="112" t="s">
        <v>40</v>
      </c>
      <c r="G18" s="114">
        <v>7</v>
      </c>
      <c r="H18" s="115" t="s">
        <v>343</v>
      </c>
    </row>
    <row r="19" spans="1:8" ht="19.899999999999999" customHeight="1">
      <c r="A19" s="121">
        <v>46024</v>
      </c>
      <c r="B19" s="112" t="s">
        <v>38</v>
      </c>
      <c r="C19" s="113" t="s">
        <v>344</v>
      </c>
      <c r="D19" s="112" t="s">
        <v>341</v>
      </c>
      <c r="E19" s="122">
        <v>1.8888888888888891</v>
      </c>
      <c r="F19" s="112" t="s">
        <v>40</v>
      </c>
      <c r="G19" s="114">
        <v>19</v>
      </c>
      <c r="H19" s="115" t="s">
        <v>30</v>
      </c>
    </row>
    <row r="20" spans="1:8" ht="19.899999999999999" customHeight="1">
      <c r="A20" s="121">
        <v>46024</v>
      </c>
      <c r="B20" s="112" t="s">
        <v>359</v>
      </c>
      <c r="C20" s="113" t="s">
        <v>422</v>
      </c>
      <c r="D20" s="112" t="s">
        <v>341</v>
      </c>
      <c r="E20" s="122">
        <v>1.8090277777777779</v>
      </c>
      <c r="F20" s="112" t="s">
        <v>361</v>
      </c>
      <c r="G20" s="114">
        <v>9</v>
      </c>
      <c r="H20" s="115" t="s">
        <v>423</v>
      </c>
    </row>
    <row r="21" spans="1:8" ht="19.899999999999999" customHeight="1">
      <c r="A21" s="121">
        <v>46024</v>
      </c>
      <c r="B21" s="112" t="s">
        <v>359</v>
      </c>
      <c r="C21" s="113" t="s">
        <v>360</v>
      </c>
      <c r="D21" s="112" t="s">
        <v>341</v>
      </c>
      <c r="E21" s="122">
        <v>1.225694444444444</v>
      </c>
      <c r="F21" s="112" t="s">
        <v>361</v>
      </c>
      <c r="G21" s="114">
        <v>9</v>
      </c>
      <c r="H21" s="115" t="s">
        <v>423</v>
      </c>
    </row>
    <row r="22" spans="1:8" ht="19.899999999999999" customHeight="1">
      <c r="A22" s="121">
        <v>46024</v>
      </c>
      <c r="B22" s="112" t="s">
        <v>359</v>
      </c>
      <c r="C22" s="113" t="s">
        <v>425</v>
      </c>
      <c r="D22" s="112" t="s">
        <v>341</v>
      </c>
      <c r="E22" s="122">
        <v>1.510416666666667</v>
      </c>
      <c r="F22" s="112" t="s">
        <v>361</v>
      </c>
      <c r="G22" s="114">
        <v>9</v>
      </c>
      <c r="H22" s="115" t="s">
        <v>423</v>
      </c>
    </row>
    <row r="23" spans="1:8" ht="19.899999999999999" customHeight="1">
      <c r="A23" s="121">
        <v>46024</v>
      </c>
      <c r="B23" s="112" t="s">
        <v>38</v>
      </c>
      <c r="C23" s="113" t="s">
        <v>342</v>
      </c>
      <c r="D23" s="112" t="s">
        <v>341</v>
      </c>
      <c r="E23" s="122">
        <v>1.489583333333333</v>
      </c>
      <c r="F23" s="112" t="s">
        <v>40</v>
      </c>
      <c r="G23" s="114">
        <v>19</v>
      </c>
      <c r="H23" s="115" t="s">
        <v>347</v>
      </c>
    </row>
    <row r="24" spans="1:8" ht="19.899999999999999" customHeight="1">
      <c r="A24" s="121">
        <v>46024</v>
      </c>
      <c r="B24" s="112" t="s">
        <v>38</v>
      </c>
      <c r="C24" s="113" t="s">
        <v>345</v>
      </c>
      <c r="D24" s="112" t="s">
        <v>341</v>
      </c>
      <c r="E24" s="122">
        <v>1.989583333333333</v>
      </c>
      <c r="F24" s="112" t="s">
        <v>40</v>
      </c>
      <c r="G24" s="114">
        <v>16</v>
      </c>
      <c r="H24" s="115" t="s">
        <v>347</v>
      </c>
    </row>
    <row r="25" spans="1:8" ht="19.899999999999999" customHeight="1">
      <c r="A25" s="121">
        <v>46024</v>
      </c>
      <c r="B25" s="112" t="s">
        <v>26</v>
      </c>
      <c r="C25" s="113" t="s">
        <v>348</v>
      </c>
      <c r="D25" s="112" t="s">
        <v>341</v>
      </c>
      <c r="E25" s="122">
        <v>1.993055555555556</v>
      </c>
      <c r="F25" s="112" t="s">
        <v>28</v>
      </c>
      <c r="G25" s="114">
        <v>1</v>
      </c>
      <c r="H25" s="115" t="s">
        <v>347</v>
      </c>
    </row>
    <row r="26" spans="1:8" ht="19.899999999999999" customHeight="1">
      <c r="A26" s="121">
        <v>46024</v>
      </c>
      <c r="B26" s="112" t="s">
        <v>26</v>
      </c>
      <c r="C26" s="113" t="s">
        <v>350</v>
      </c>
      <c r="D26" s="112" t="s">
        <v>341</v>
      </c>
      <c r="E26" s="122">
        <v>1.7361111111111109</v>
      </c>
      <c r="F26" s="112" t="s">
        <v>28</v>
      </c>
      <c r="G26" s="114">
        <v>1</v>
      </c>
      <c r="H26" s="115" t="s">
        <v>347</v>
      </c>
    </row>
    <row r="27" spans="1:8" ht="19.899999999999999" customHeight="1">
      <c r="A27" s="123">
        <v>46024</v>
      </c>
      <c r="B27" s="124" t="s">
        <v>61</v>
      </c>
      <c r="C27" s="125" t="s">
        <v>428</v>
      </c>
      <c r="D27" s="124" t="s">
        <v>341</v>
      </c>
      <c r="E27" s="126">
        <v>1.5590277777777779</v>
      </c>
      <c r="F27" s="124" t="s">
        <v>63</v>
      </c>
      <c r="G27" s="127">
        <v>1</v>
      </c>
      <c r="H27" s="128" t="s">
        <v>365</v>
      </c>
    </row>
    <row r="28" spans="1:8" ht="19.899999999999999" customHeight="1">
      <c r="A28" s="129">
        <v>46025</v>
      </c>
      <c r="B28" s="117" t="s">
        <v>61</v>
      </c>
      <c r="C28" s="118" t="s">
        <v>707</v>
      </c>
      <c r="D28" s="117" t="s">
        <v>706</v>
      </c>
      <c r="E28" s="130">
        <v>1.302083333333333</v>
      </c>
      <c r="F28" s="117" t="s">
        <v>63</v>
      </c>
      <c r="G28" s="119">
        <v>4</v>
      </c>
      <c r="H28" s="120" t="s">
        <v>708</v>
      </c>
    </row>
    <row r="29" spans="1:8" ht="19.899999999999999" customHeight="1">
      <c r="A29" s="129">
        <v>46025</v>
      </c>
      <c r="B29" s="117" t="s">
        <v>61</v>
      </c>
      <c r="C29" s="118" t="s">
        <v>710</v>
      </c>
      <c r="D29" s="117" t="s">
        <v>706</v>
      </c>
      <c r="E29" s="130">
        <v>1.5277777777777779</v>
      </c>
      <c r="F29" s="117" t="s">
        <v>63</v>
      </c>
      <c r="G29" s="119">
        <v>1</v>
      </c>
      <c r="H29" s="120" t="s">
        <v>708</v>
      </c>
    </row>
    <row r="30" spans="1:8" ht="19.899999999999999" customHeight="1">
      <c r="A30" s="129">
        <v>46025</v>
      </c>
      <c r="B30" s="117" t="s">
        <v>61</v>
      </c>
      <c r="C30" s="118" t="s">
        <v>715</v>
      </c>
      <c r="D30" s="117" t="s">
        <v>706</v>
      </c>
      <c r="E30" s="130">
        <v>1.1423611111111109</v>
      </c>
      <c r="F30" s="117" t="s">
        <v>63</v>
      </c>
      <c r="G30" s="119">
        <v>1</v>
      </c>
      <c r="H30" s="120" t="s">
        <v>708</v>
      </c>
    </row>
    <row r="31" spans="1:8" ht="19.899999999999999" customHeight="1">
      <c r="A31" s="121">
        <v>46025</v>
      </c>
      <c r="B31" s="112" t="s">
        <v>68</v>
      </c>
      <c r="C31" s="113" t="s">
        <v>713</v>
      </c>
      <c r="D31" s="112" t="s">
        <v>706</v>
      </c>
      <c r="E31" s="122">
        <v>1.302083333333333</v>
      </c>
      <c r="F31" s="112" t="s">
        <v>643</v>
      </c>
      <c r="G31" s="114">
        <v>4</v>
      </c>
      <c r="H31" s="115" t="s">
        <v>714</v>
      </c>
    </row>
    <row r="32" spans="1:8" ht="19.899999999999999" customHeight="1">
      <c r="A32" s="143"/>
      <c r="B32" s="144"/>
      <c r="C32" s="144"/>
      <c r="D32" s="144"/>
      <c r="E32" s="144"/>
      <c r="F32" s="145" t="s">
        <v>705</v>
      </c>
      <c r="G32" s="144"/>
      <c r="H32" s="146"/>
    </row>
    <row r="33" spans="1:8" ht="19.899999999999999" customHeight="1">
      <c r="A33" s="121">
        <v>46025</v>
      </c>
      <c r="B33" s="112" t="s">
        <v>38</v>
      </c>
      <c r="C33" s="113" t="s">
        <v>346</v>
      </c>
      <c r="D33" s="112" t="s">
        <v>341</v>
      </c>
      <c r="E33" s="122">
        <v>1.399305555555556</v>
      </c>
      <c r="F33" s="112" t="s">
        <v>440</v>
      </c>
      <c r="G33" s="114">
        <v>15</v>
      </c>
      <c r="H33" s="115" t="s">
        <v>30</v>
      </c>
    </row>
    <row r="34" spans="1:8" ht="19.899999999999999" customHeight="1">
      <c r="A34" s="121">
        <v>46025</v>
      </c>
      <c r="B34" s="112" t="s">
        <v>38</v>
      </c>
      <c r="C34" s="113" t="s">
        <v>346</v>
      </c>
      <c r="D34" s="112" t="s">
        <v>341</v>
      </c>
      <c r="E34" s="122">
        <v>1.399305555555556</v>
      </c>
      <c r="F34" s="112" t="s">
        <v>40</v>
      </c>
      <c r="G34" s="114">
        <v>15</v>
      </c>
      <c r="H34" s="115" t="s">
        <v>30</v>
      </c>
    </row>
    <row r="35" spans="1:8" ht="19.899999999999999" customHeight="1">
      <c r="A35" s="121">
        <v>46025</v>
      </c>
      <c r="B35" s="112" t="s">
        <v>38</v>
      </c>
      <c r="C35" s="113" t="s">
        <v>345</v>
      </c>
      <c r="D35" s="112" t="s">
        <v>341</v>
      </c>
      <c r="E35" s="122">
        <v>1.989583333333333</v>
      </c>
      <c r="F35" s="112" t="s">
        <v>440</v>
      </c>
      <c r="G35" s="114">
        <v>11</v>
      </c>
      <c r="H35" s="115" t="s">
        <v>30</v>
      </c>
    </row>
    <row r="36" spans="1:8" ht="19.899999999999999" customHeight="1">
      <c r="A36" s="121">
        <v>46025</v>
      </c>
      <c r="B36" s="112" t="s">
        <v>38</v>
      </c>
      <c r="C36" s="113" t="s">
        <v>345</v>
      </c>
      <c r="D36" s="112" t="s">
        <v>341</v>
      </c>
      <c r="E36" s="122">
        <v>1.989583333333333</v>
      </c>
      <c r="F36" s="112" t="s">
        <v>40</v>
      </c>
      <c r="G36" s="114">
        <v>11</v>
      </c>
      <c r="H36" s="115" t="s">
        <v>30</v>
      </c>
    </row>
    <row r="37" spans="1:8" ht="19.899999999999999" customHeight="1">
      <c r="A37" s="121">
        <v>46025</v>
      </c>
      <c r="B37" s="112" t="s">
        <v>359</v>
      </c>
      <c r="C37" s="113" t="s">
        <v>360</v>
      </c>
      <c r="D37" s="112" t="s">
        <v>341</v>
      </c>
      <c r="E37" s="122">
        <v>1.1701388888888891</v>
      </c>
      <c r="F37" s="112" t="s">
        <v>361</v>
      </c>
      <c r="G37" s="114">
        <v>9</v>
      </c>
      <c r="H37" s="115" t="s">
        <v>423</v>
      </c>
    </row>
    <row r="38" spans="1:8" ht="19.899999999999999" customHeight="1">
      <c r="A38" s="121">
        <v>46025</v>
      </c>
      <c r="B38" s="112" t="s">
        <v>359</v>
      </c>
      <c r="C38" s="113" t="s">
        <v>445</v>
      </c>
      <c r="D38" s="112" t="s">
        <v>341</v>
      </c>
      <c r="E38" s="122">
        <v>1.055555555555556</v>
      </c>
      <c r="F38" s="112" t="s">
        <v>361</v>
      </c>
      <c r="G38" s="114">
        <v>9</v>
      </c>
      <c r="H38" s="115" t="s">
        <v>423</v>
      </c>
    </row>
    <row r="39" spans="1:8" ht="19.899999999999999" customHeight="1">
      <c r="A39" s="121">
        <v>46025</v>
      </c>
      <c r="B39" s="112" t="s">
        <v>61</v>
      </c>
      <c r="C39" s="113" t="s">
        <v>371</v>
      </c>
      <c r="D39" s="112" t="s">
        <v>341</v>
      </c>
      <c r="E39" s="122">
        <v>1.0486111111111109</v>
      </c>
      <c r="F39" s="112" t="s">
        <v>63</v>
      </c>
      <c r="G39" s="114">
        <v>3</v>
      </c>
      <c r="H39" s="115" t="s">
        <v>365</v>
      </c>
    </row>
    <row r="40" spans="1:8" ht="19.899999999999999" customHeight="1">
      <c r="A40" s="121">
        <v>46025</v>
      </c>
      <c r="B40" s="112" t="s">
        <v>38</v>
      </c>
      <c r="C40" s="113" t="s">
        <v>342</v>
      </c>
      <c r="D40" s="112" t="s">
        <v>341</v>
      </c>
      <c r="E40" s="122">
        <v>1.489583333333333</v>
      </c>
      <c r="F40" s="112" t="s">
        <v>40</v>
      </c>
      <c r="G40" s="114">
        <v>18</v>
      </c>
      <c r="H40" s="115" t="s">
        <v>349</v>
      </c>
    </row>
    <row r="41" spans="1:8" ht="19.899999999999999" customHeight="1">
      <c r="A41" s="121">
        <v>46025</v>
      </c>
      <c r="B41" s="112" t="s">
        <v>38</v>
      </c>
      <c r="C41" s="113" t="s">
        <v>344</v>
      </c>
      <c r="D41" s="112" t="s">
        <v>341</v>
      </c>
      <c r="E41" s="122">
        <v>1.8888888888888891</v>
      </c>
      <c r="F41" s="112" t="s">
        <v>440</v>
      </c>
      <c r="G41" s="114">
        <v>13</v>
      </c>
      <c r="H41" s="115" t="s">
        <v>349</v>
      </c>
    </row>
    <row r="42" spans="1:8" ht="19.899999999999999" customHeight="1">
      <c r="A42" s="123">
        <v>46025</v>
      </c>
      <c r="B42" s="124" t="s">
        <v>38</v>
      </c>
      <c r="C42" s="125" t="s">
        <v>344</v>
      </c>
      <c r="D42" s="124" t="s">
        <v>341</v>
      </c>
      <c r="E42" s="126">
        <v>1.8888888888888891</v>
      </c>
      <c r="F42" s="124" t="s">
        <v>40</v>
      </c>
      <c r="G42" s="127">
        <v>13</v>
      </c>
      <c r="H42" s="128" t="s">
        <v>349</v>
      </c>
    </row>
    <row r="43" spans="1:8" ht="19.899999999999999" customHeight="1">
      <c r="A43" s="121">
        <v>46026</v>
      </c>
      <c r="B43" s="112" t="s">
        <v>38</v>
      </c>
      <c r="C43" s="113" t="s">
        <v>719</v>
      </c>
      <c r="D43" s="112" t="s">
        <v>706</v>
      </c>
      <c r="E43" s="122">
        <v>1.364583333333333</v>
      </c>
      <c r="F43" s="112" t="s">
        <v>622</v>
      </c>
      <c r="G43" s="114">
        <v>20</v>
      </c>
      <c r="H43" s="115" t="s">
        <v>347</v>
      </c>
    </row>
    <row r="44" spans="1:8" ht="19.899999999999999" customHeight="1">
      <c r="A44" s="129">
        <v>46026</v>
      </c>
      <c r="B44" s="117" t="s">
        <v>61</v>
      </c>
      <c r="C44" s="118" t="s">
        <v>715</v>
      </c>
      <c r="D44" s="117" t="s">
        <v>706</v>
      </c>
      <c r="E44" s="130">
        <v>1.3298611111111109</v>
      </c>
      <c r="F44" s="117" t="s">
        <v>63</v>
      </c>
      <c r="G44" s="119">
        <v>4</v>
      </c>
      <c r="H44" s="120" t="s">
        <v>708</v>
      </c>
    </row>
    <row r="45" spans="1:8" ht="19.899999999999999" customHeight="1">
      <c r="A45" s="121">
        <v>46026</v>
      </c>
      <c r="B45" s="112" t="s">
        <v>38</v>
      </c>
      <c r="C45" s="113" t="s">
        <v>719</v>
      </c>
      <c r="D45" s="112" t="s">
        <v>706</v>
      </c>
      <c r="E45" s="122">
        <v>1.364583333333333</v>
      </c>
      <c r="F45" s="112" t="s">
        <v>603</v>
      </c>
      <c r="G45" s="114">
        <v>20</v>
      </c>
      <c r="H45" s="115" t="s">
        <v>720</v>
      </c>
    </row>
    <row r="46" spans="1:8" ht="19.899999999999999" customHeight="1">
      <c r="A46" s="129">
        <v>46026</v>
      </c>
      <c r="B46" s="117" t="s">
        <v>61</v>
      </c>
      <c r="C46" s="118" t="s">
        <v>710</v>
      </c>
      <c r="D46" s="117" t="s">
        <v>706</v>
      </c>
      <c r="E46" s="130">
        <v>1.6909722222222221</v>
      </c>
      <c r="F46" s="117" t="s">
        <v>63</v>
      </c>
      <c r="G46" s="119">
        <v>4</v>
      </c>
      <c r="H46" s="120" t="s">
        <v>711</v>
      </c>
    </row>
    <row r="47" spans="1:8" ht="19.899999999999999" customHeight="1">
      <c r="A47" s="121">
        <v>46026</v>
      </c>
      <c r="B47" s="112" t="s">
        <v>38</v>
      </c>
      <c r="C47" s="113" t="s">
        <v>719</v>
      </c>
      <c r="D47" s="112" t="s">
        <v>706</v>
      </c>
      <c r="E47" s="122">
        <v>1.364583333333333</v>
      </c>
      <c r="F47" s="112" t="s">
        <v>605</v>
      </c>
      <c r="G47" s="114">
        <v>20</v>
      </c>
      <c r="H47" s="115" t="s">
        <v>721</v>
      </c>
    </row>
    <row r="48" spans="1:8" ht="19.899999999999999" customHeight="1">
      <c r="A48" s="121">
        <v>46026</v>
      </c>
      <c r="B48" s="112" t="s">
        <v>38</v>
      </c>
      <c r="C48" s="113" t="s">
        <v>719</v>
      </c>
      <c r="D48" s="112" t="s">
        <v>706</v>
      </c>
      <c r="E48" s="122">
        <v>1.364583333333333</v>
      </c>
      <c r="F48" s="112" t="s">
        <v>625</v>
      </c>
      <c r="G48" s="114">
        <v>20</v>
      </c>
      <c r="H48" s="115" t="s">
        <v>503</v>
      </c>
    </row>
    <row r="49" spans="1:8" ht="19.899999999999999" customHeight="1">
      <c r="A49" s="143"/>
      <c r="B49" s="144"/>
      <c r="C49" s="144"/>
      <c r="D49" s="144"/>
      <c r="E49" s="144"/>
      <c r="F49" s="145" t="s">
        <v>705</v>
      </c>
      <c r="G49" s="144"/>
      <c r="H49" s="146"/>
    </row>
    <row r="50" spans="1:8" ht="19.899999999999999" customHeight="1">
      <c r="A50" s="121">
        <v>46026</v>
      </c>
      <c r="B50" s="112" t="s">
        <v>26</v>
      </c>
      <c r="C50" s="113" t="s">
        <v>348</v>
      </c>
      <c r="D50" s="112" t="s">
        <v>341</v>
      </c>
      <c r="E50" s="122">
        <v>1.993055555555556</v>
      </c>
      <c r="F50" s="112" t="s">
        <v>28</v>
      </c>
      <c r="G50" s="114">
        <v>6</v>
      </c>
      <c r="H50" s="115" t="s">
        <v>131</v>
      </c>
    </row>
    <row r="51" spans="1:8" ht="19.899999999999999" customHeight="1">
      <c r="A51" s="121">
        <v>46026</v>
      </c>
      <c r="B51" s="112" t="s">
        <v>26</v>
      </c>
      <c r="C51" s="113" t="s">
        <v>351</v>
      </c>
      <c r="D51" s="112" t="s">
        <v>341</v>
      </c>
      <c r="E51" s="122">
        <v>1.836805555555556</v>
      </c>
      <c r="F51" s="112" t="s">
        <v>28</v>
      </c>
      <c r="G51" s="114">
        <v>1</v>
      </c>
      <c r="H51" s="115" t="s">
        <v>131</v>
      </c>
    </row>
    <row r="52" spans="1:8" ht="19.899999999999999" customHeight="1">
      <c r="A52" s="121">
        <v>46026</v>
      </c>
      <c r="B52" s="112" t="s">
        <v>38</v>
      </c>
      <c r="C52" s="113" t="s">
        <v>346</v>
      </c>
      <c r="D52" s="112" t="s">
        <v>341</v>
      </c>
      <c r="E52" s="122">
        <v>1.399305555555556</v>
      </c>
      <c r="F52" s="112" t="s">
        <v>40</v>
      </c>
      <c r="G52" s="114">
        <v>19</v>
      </c>
      <c r="H52" s="115" t="s">
        <v>30</v>
      </c>
    </row>
    <row r="53" spans="1:8" ht="19.899999999999999" customHeight="1">
      <c r="A53" s="121">
        <v>46026</v>
      </c>
      <c r="B53" s="112" t="s">
        <v>38</v>
      </c>
      <c r="C53" s="113" t="s">
        <v>342</v>
      </c>
      <c r="D53" s="112" t="s">
        <v>341</v>
      </c>
      <c r="E53" s="122">
        <v>1.489583333333333</v>
      </c>
      <c r="F53" s="112" t="s">
        <v>40</v>
      </c>
      <c r="G53" s="114">
        <v>15</v>
      </c>
      <c r="H53" s="115" t="s">
        <v>30</v>
      </c>
    </row>
    <row r="54" spans="1:8" ht="19.899999999999999" customHeight="1">
      <c r="A54" s="121">
        <v>46026</v>
      </c>
      <c r="B54" s="112" t="s">
        <v>359</v>
      </c>
      <c r="C54" s="113" t="s">
        <v>360</v>
      </c>
      <c r="D54" s="112" t="s">
        <v>341</v>
      </c>
      <c r="E54" s="122">
        <v>1.229166666666667</v>
      </c>
      <c r="F54" s="112" t="s">
        <v>361</v>
      </c>
      <c r="G54" s="114">
        <v>9</v>
      </c>
      <c r="H54" s="115" t="s">
        <v>423</v>
      </c>
    </row>
    <row r="55" spans="1:8" ht="19.899999999999999" customHeight="1">
      <c r="A55" s="121">
        <v>46026</v>
      </c>
      <c r="B55" s="112" t="s">
        <v>26</v>
      </c>
      <c r="C55" s="113" t="s">
        <v>350</v>
      </c>
      <c r="D55" s="112" t="s">
        <v>341</v>
      </c>
      <c r="E55" s="122">
        <v>1.7361111111111109</v>
      </c>
      <c r="F55" s="112" t="s">
        <v>28</v>
      </c>
      <c r="G55" s="114">
        <v>4</v>
      </c>
      <c r="H55" s="115" t="s">
        <v>347</v>
      </c>
    </row>
    <row r="56" spans="1:8" ht="19.899999999999999" customHeight="1">
      <c r="A56" s="121">
        <v>46026</v>
      </c>
      <c r="B56" s="112" t="s">
        <v>26</v>
      </c>
      <c r="C56" s="113" t="s">
        <v>352</v>
      </c>
      <c r="D56" s="112" t="s">
        <v>341</v>
      </c>
      <c r="E56" s="122">
        <v>1.944444444444444</v>
      </c>
      <c r="F56" s="112" t="s">
        <v>28</v>
      </c>
      <c r="G56" s="114">
        <v>5</v>
      </c>
      <c r="H56" s="115" t="s">
        <v>347</v>
      </c>
    </row>
    <row r="57" spans="1:8" ht="19.899999999999999" customHeight="1">
      <c r="A57" s="121">
        <v>46026</v>
      </c>
      <c r="B57" s="112" t="s">
        <v>26</v>
      </c>
      <c r="C57" s="113" t="s">
        <v>353</v>
      </c>
      <c r="D57" s="112" t="s">
        <v>341</v>
      </c>
      <c r="E57" s="122">
        <v>1.8888888888888891</v>
      </c>
      <c r="F57" s="112" t="s">
        <v>28</v>
      </c>
      <c r="G57" s="114">
        <v>5</v>
      </c>
      <c r="H57" s="115" t="s">
        <v>347</v>
      </c>
    </row>
    <row r="58" spans="1:8" ht="19.899999999999999" customHeight="1">
      <c r="A58" s="121">
        <v>46026</v>
      </c>
      <c r="B58" s="112" t="s">
        <v>61</v>
      </c>
      <c r="C58" s="113" t="s">
        <v>432</v>
      </c>
      <c r="D58" s="112" t="s">
        <v>341</v>
      </c>
      <c r="E58" s="122">
        <v>1.333333333333333</v>
      </c>
      <c r="F58" s="112" t="s">
        <v>63</v>
      </c>
      <c r="G58" s="114">
        <v>6</v>
      </c>
      <c r="H58" s="115" t="s">
        <v>365</v>
      </c>
    </row>
    <row r="59" spans="1:8" ht="19.899999999999999" customHeight="1">
      <c r="A59" s="123">
        <v>46026</v>
      </c>
      <c r="B59" s="124" t="s">
        <v>61</v>
      </c>
      <c r="C59" s="125" t="s">
        <v>375</v>
      </c>
      <c r="D59" s="124" t="s">
        <v>341</v>
      </c>
      <c r="E59" s="126">
        <v>1.1423611111111109</v>
      </c>
      <c r="F59" s="124" t="s">
        <v>63</v>
      </c>
      <c r="G59" s="127">
        <v>4</v>
      </c>
      <c r="H59" s="128" t="s">
        <v>365</v>
      </c>
    </row>
    <row r="60" spans="1:8" ht="19.899999999999999" customHeight="1">
      <c r="A60" s="129">
        <v>46027</v>
      </c>
      <c r="B60" s="117" t="s">
        <v>61</v>
      </c>
      <c r="C60" s="118" t="s">
        <v>722</v>
      </c>
      <c r="D60" s="117" t="s">
        <v>706</v>
      </c>
      <c r="E60" s="130">
        <v>1.3472222222222221</v>
      </c>
      <c r="F60" s="117" t="s">
        <v>63</v>
      </c>
      <c r="G60" s="119">
        <v>4</v>
      </c>
      <c r="H60" s="120" t="s">
        <v>708</v>
      </c>
    </row>
    <row r="61" spans="1:8" ht="19.899999999999999" customHeight="1">
      <c r="A61" s="129">
        <v>46027</v>
      </c>
      <c r="B61" s="117" t="s">
        <v>61</v>
      </c>
      <c r="C61" s="118" t="s">
        <v>707</v>
      </c>
      <c r="D61" s="117" t="s">
        <v>706</v>
      </c>
      <c r="E61" s="130">
        <v>1.5486111111111109</v>
      </c>
      <c r="F61" s="117" t="s">
        <v>63</v>
      </c>
      <c r="G61" s="119">
        <v>3</v>
      </c>
      <c r="H61" s="120" t="s">
        <v>708</v>
      </c>
    </row>
    <row r="62" spans="1:8" ht="19.899999999999999" customHeight="1">
      <c r="A62" s="129">
        <v>46027</v>
      </c>
      <c r="B62" s="117" t="s">
        <v>61</v>
      </c>
      <c r="C62" s="118" t="s">
        <v>710</v>
      </c>
      <c r="D62" s="117" t="s">
        <v>706</v>
      </c>
      <c r="E62" s="130">
        <v>1.194444444444444</v>
      </c>
      <c r="F62" s="117" t="s">
        <v>63</v>
      </c>
      <c r="G62" s="119">
        <v>4</v>
      </c>
      <c r="H62" s="120" t="s">
        <v>708</v>
      </c>
    </row>
    <row r="63" spans="1:8" ht="19.899999999999999" customHeight="1">
      <c r="A63" s="129">
        <v>46027</v>
      </c>
      <c r="B63" s="117" t="s">
        <v>61</v>
      </c>
      <c r="C63" s="118" t="s">
        <v>715</v>
      </c>
      <c r="D63" s="117" t="s">
        <v>706</v>
      </c>
      <c r="E63" s="130">
        <v>1.09375</v>
      </c>
      <c r="F63" s="117" t="s">
        <v>63</v>
      </c>
      <c r="G63" s="119">
        <v>4</v>
      </c>
      <c r="H63" s="120" t="s">
        <v>708</v>
      </c>
    </row>
    <row r="64" spans="1:8" ht="19.899999999999999" customHeight="1">
      <c r="A64" s="121">
        <v>46027</v>
      </c>
      <c r="B64" s="112" t="s">
        <v>68</v>
      </c>
      <c r="C64" s="113" t="s">
        <v>713</v>
      </c>
      <c r="D64" s="112" t="s">
        <v>706</v>
      </c>
      <c r="E64" s="122">
        <v>1.5486111111111109</v>
      </c>
      <c r="F64" s="112" t="s">
        <v>643</v>
      </c>
      <c r="G64" s="114">
        <v>4</v>
      </c>
      <c r="H64" s="115" t="s">
        <v>714</v>
      </c>
    </row>
    <row r="65" spans="1:8" ht="19.899999999999999" customHeight="1">
      <c r="A65" s="121">
        <v>46027</v>
      </c>
      <c r="B65" s="112" t="s">
        <v>68</v>
      </c>
      <c r="C65" s="113" t="s">
        <v>725</v>
      </c>
      <c r="D65" s="112" t="s">
        <v>706</v>
      </c>
      <c r="E65" s="122">
        <v>1.3472222222222221</v>
      </c>
      <c r="F65" s="112" t="s">
        <v>643</v>
      </c>
      <c r="G65" s="114">
        <v>4</v>
      </c>
      <c r="H65" s="115" t="s">
        <v>714</v>
      </c>
    </row>
    <row r="66" spans="1:8" ht="19.899999999999999" customHeight="1">
      <c r="A66" s="143"/>
      <c r="B66" s="144"/>
      <c r="C66" s="144"/>
      <c r="D66" s="144"/>
      <c r="E66" s="144"/>
      <c r="F66" s="145" t="s">
        <v>705</v>
      </c>
      <c r="G66" s="144"/>
      <c r="H66" s="146"/>
    </row>
    <row r="67" spans="1:8" ht="19.899999999999999" customHeight="1">
      <c r="A67" s="121">
        <v>46027</v>
      </c>
      <c r="B67" s="112" t="s">
        <v>38</v>
      </c>
      <c r="C67" s="113" t="s">
        <v>342</v>
      </c>
      <c r="D67" s="112" t="s">
        <v>341</v>
      </c>
      <c r="E67" s="122">
        <v>1.489583333333333</v>
      </c>
      <c r="F67" s="112" t="s">
        <v>440</v>
      </c>
      <c r="G67" s="114">
        <v>14</v>
      </c>
      <c r="H67" s="115" t="s">
        <v>88</v>
      </c>
    </row>
    <row r="68" spans="1:8" ht="19.899999999999999" customHeight="1">
      <c r="A68" s="121">
        <v>46027</v>
      </c>
      <c r="B68" s="112" t="s">
        <v>38</v>
      </c>
      <c r="C68" s="113" t="s">
        <v>342</v>
      </c>
      <c r="D68" s="112" t="s">
        <v>341</v>
      </c>
      <c r="E68" s="122">
        <v>1.489583333333333</v>
      </c>
      <c r="F68" s="112" t="s">
        <v>40</v>
      </c>
      <c r="G68" s="114">
        <v>14</v>
      </c>
      <c r="H68" s="115" t="s">
        <v>88</v>
      </c>
    </row>
    <row r="69" spans="1:8" ht="19.899999999999999" customHeight="1">
      <c r="A69" s="121">
        <v>46027</v>
      </c>
      <c r="B69" s="112" t="s">
        <v>38</v>
      </c>
      <c r="C69" s="113" t="s">
        <v>346</v>
      </c>
      <c r="D69" s="112" t="s">
        <v>341</v>
      </c>
      <c r="E69" s="122">
        <v>1.399305555555556</v>
      </c>
      <c r="F69" s="112" t="s">
        <v>440</v>
      </c>
      <c r="G69" s="114">
        <v>20</v>
      </c>
      <c r="H69" s="115" t="s">
        <v>343</v>
      </c>
    </row>
    <row r="70" spans="1:8" ht="19.899999999999999" customHeight="1">
      <c r="A70" s="121">
        <v>46027</v>
      </c>
      <c r="B70" s="112" t="s">
        <v>38</v>
      </c>
      <c r="C70" s="113" t="s">
        <v>346</v>
      </c>
      <c r="D70" s="112" t="s">
        <v>341</v>
      </c>
      <c r="E70" s="122">
        <v>1.399305555555556</v>
      </c>
      <c r="F70" s="112" t="s">
        <v>40</v>
      </c>
      <c r="G70" s="114">
        <v>20</v>
      </c>
      <c r="H70" s="115" t="s">
        <v>343</v>
      </c>
    </row>
    <row r="71" spans="1:8" ht="19.899999999999999" customHeight="1">
      <c r="A71" s="121">
        <v>46027</v>
      </c>
      <c r="B71" s="112" t="s">
        <v>38</v>
      </c>
      <c r="C71" s="113" t="s">
        <v>345</v>
      </c>
      <c r="D71" s="112" t="s">
        <v>341</v>
      </c>
      <c r="E71" s="122">
        <v>1.989583333333333</v>
      </c>
      <c r="F71" s="112" t="s">
        <v>440</v>
      </c>
      <c r="G71" s="114">
        <v>19</v>
      </c>
      <c r="H71" s="115" t="s">
        <v>343</v>
      </c>
    </row>
    <row r="72" spans="1:8" ht="19.899999999999999" customHeight="1">
      <c r="A72" s="121">
        <v>46027</v>
      </c>
      <c r="B72" s="112" t="s">
        <v>38</v>
      </c>
      <c r="C72" s="113" t="s">
        <v>345</v>
      </c>
      <c r="D72" s="112" t="s">
        <v>341</v>
      </c>
      <c r="E72" s="122">
        <v>1.989583333333333</v>
      </c>
      <c r="F72" s="112" t="s">
        <v>40</v>
      </c>
      <c r="G72" s="114">
        <v>19</v>
      </c>
      <c r="H72" s="115" t="s">
        <v>343</v>
      </c>
    </row>
    <row r="73" spans="1:8" ht="19.899999999999999" customHeight="1">
      <c r="A73" s="121">
        <v>46027</v>
      </c>
      <c r="B73" s="112" t="s">
        <v>26</v>
      </c>
      <c r="C73" s="113" t="s">
        <v>348</v>
      </c>
      <c r="D73" s="112" t="s">
        <v>341</v>
      </c>
      <c r="E73" s="122">
        <v>1.993055555555556</v>
      </c>
      <c r="F73" s="112" t="s">
        <v>28</v>
      </c>
      <c r="G73" s="114">
        <v>3</v>
      </c>
      <c r="H73" s="115" t="s">
        <v>131</v>
      </c>
    </row>
    <row r="74" spans="1:8" ht="19.899999999999999" customHeight="1">
      <c r="A74" s="121">
        <v>46027</v>
      </c>
      <c r="B74" s="112" t="s">
        <v>26</v>
      </c>
      <c r="C74" s="113" t="s">
        <v>352</v>
      </c>
      <c r="D74" s="112" t="s">
        <v>341</v>
      </c>
      <c r="E74" s="122">
        <v>1.944444444444444</v>
      </c>
      <c r="F74" s="112" t="s">
        <v>28</v>
      </c>
      <c r="G74" s="114">
        <v>2</v>
      </c>
      <c r="H74" s="115" t="s">
        <v>131</v>
      </c>
    </row>
    <row r="75" spans="1:8" ht="19.899999999999999" customHeight="1">
      <c r="A75" s="121">
        <v>46027</v>
      </c>
      <c r="B75" s="112" t="s">
        <v>26</v>
      </c>
      <c r="C75" s="113" t="s">
        <v>353</v>
      </c>
      <c r="D75" s="112" t="s">
        <v>341</v>
      </c>
      <c r="E75" s="122">
        <v>1.8888888888888891</v>
      </c>
      <c r="F75" s="112" t="s">
        <v>28</v>
      </c>
      <c r="G75" s="114">
        <v>5</v>
      </c>
      <c r="H75" s="115" t="s">
        <v>131</v>
      </c>
    </row>
    <row r="76" spans="1:8" ht="19.899999999999999" customHeight="1">
      <c r="A76" s="123">
        <v>46027</v>
      </c>
      <c r="B76" s="124" t="s">
        <v>359</v>
      </c>
      <c r="C76" s="125" t="s">
        <v>445</v>
      </c>
      <c r="D76" s="124" t="s">
        <v>341</v>
      </c>
      <c r="E76" s="126">
        <v>1.0138888888888891</v>
      </c>
      <c r="F76" s="124" t="s">
        <v>361</v>
      </c>
      <c r="G76" s="127">
        <v>9</v>
      </c>
      <c r="H76" s="128" t="s">
        <v>362</v>
      </c>
    </row>
    <row r="77" spans="1:8" ht="19.899999999999999" customHeight="1">
      <c r="A77" s="129">
        <v>46028</v>
      </c>
      <c r="B77" s="117" t="s">
        <v>61</v>
      </c>
      <c r="C77" s="118" t="s">
        <v>707</v>
      </c>
      <c r="D77" s="117" t="s">
        <v>706</v>
      </c>
      <c r="E77" s="130">
        <v>1.166666666666667</v>
      </c>
      <c r="F77" s="117" t="s">
        <v>63</v>
      </c>
      <c r="G77" s="119">
        <v>4</v>
      </c>
      <c r="H77" s="120" t="s">
        <v>708</v>
      </c>
    </row>
    <row r="78" spans="1:8" ht="19.899999999999999" customHeight="1">
      <c r="A78" s="129">
        <v>46028</v>
      </c>
      <c r="B78" s="117" t="s">
        <v>61</v>
      </c>
      <c r="C78" s="118" t="s">
        <v>710</v>
      </c>
      <c r="D78" s="117" t="s">
        <v>706</v>
      </c>
      <c r="E78" s="130">
        <v>1.5277777777777779</v>
      </c>
      <c r="F78" s="117" t="s">
        <v>63</v>
      </c>
      <c r="G78" s="119">
        <v>4</v>
      </c>
      <c r="H78" s="120" t="s">
        <v>708</v>
      </c>
    </row>
    <row r="79" spans="1:8" ht="19.899999999999999" customHeight="1">
      <c r="A79" s="121">
        <v>46028</v>
      </c>
      <c r="B79" s="112" t="s">
        <v>68</v>
      </c>
      <c r="C79" s="113" t="s">
        <v>713</v>
      </c>
      <c r="D79" s="112" t="s">
        <v>706</v>
      </c>
      <c r="E79" s="122">
        <v>1.166666666666667</v>
      </c>
      <c r="F79" s="112" t="s">
        <v>643</v>
      </c>
      <c r="G79" s="114">
        <v>4</v>
      </c>
      <c r="H79" s="115" t="s">
        <v>714</v>
      </c>
    </row>
    <row r="80" spans="1:8" ht="19.899999999999999" customHeight="1">
      <c r="A80" s="143"/>
      <c r="B80" s="144"/>
      <c r="C80" s="144"/>
      <c r="D80" s="144"/>
      <c r="E80" s="144"/>
      <c r="F80" s="145" t="s">
        <v>705</v>
      </c>
      <c r="G80" s="144"/>
      <c r="H80" s="146"/>
    </row>
    <row r="81" spans="1:8" ht="19.899999999999999" customHeight="1">
      <c r="A81" s="121">
        <v>46028</v>
      </c>
      <c r="B81" s="112" t="s">
        <v>38</v>
      </c>
      <c r="C81" s="113" t="s">
        <v>342</v>
      </c>
      <c r="D81" s="112" t="s">
        <v>341</v>
      </c>
      <c r="E81" s="122">
        <v>1.489583333333333</v>
      </c>
      <c r="F81" s="112" t="s">
        <v>40</v>
      </c>
      <c r="G81" s="114">
        <v>2</v>
      </c>
      <c r="H81" s="115" t="s">
        <v>475</v>
      </c>
    </row>
    <row r="82" spans="1:8" ht="19.899999999999999" customHeight="1">
      <c r="A82" s="121">
        <v>46028</v>
      </c>
      <c r="B82" s="112" t="s">
        <v>38</v>
      </c>
      <c r="C82" s="113" t="s">
        <v>345</v>
      </c>
      <c r="D82" s="112" t="s">
        <v>341</v>
      </c>
      <c r="E82" s="122">
        <v>1.989583333333333</v>
      </c>
      <c r="F82" s="112" t="s">
        <v>40</v>
      </c>
      <c r="G82" s="114">
        <v>19</v>
      </c>
      <c r="H82" s="115" t="s">
        <v>343</v>
      </c>
    </row>
    <row r="83" spans="1:8" ht="19.899999999999999" customHeight="1">
      <c r="A83" s="121">
        <v>46028</v>
      </c>
      <c r="B83" s="112" t="s">
        <v>26</v>
      </c>
      <c r="C83" s="113" t="s">
        <v>348</v>
      </c>
      <c r="D83" s="112" t="s">
        <v>341</v>
      </c>
      <c r="E83" s="122">
        <v>1.993055555555556</v>
      </c>
      <c r="F83" s="112" t="s">
        <v>28</v>
      </c>
      <c r="G83" s="114">
        <v>1</v>
      </c>
      <c r="H83" s="115" t="s">
        <v>131</v>
      </c>
    </row>
    <row r="84" spans="1:8" ht="19.899999999999999" customHeight="1">
      <c r="A84" s="121">
        <v>46028</v>
      </c>
      <c r="B84" s="112" t="s">
        <v>26</v>
      </c>
      <c r="C84" s="113" t="s">
        <v>351</v>
      </c>
      <c r="D84" s="112" t="s">
        <v>341</v>
      </c>
      <c r="E84" s="122">
        <v>1.836805555555556</v>
      </c>
      <c r="F84" s="112" t="s">
        <v>28</v>
      </c>
      <c r="G84" s="114">
        <v>3</v>
      </c>
      <c r="H84" s="115" t="s">
        <v>131</v>
      </c>
    </row>
    <row r="85" spans="1:8" ht="19.899999999999999" customHeight="1">
      <c r="A85" s="121">
        <v>46028</v>
      </c>
      <c r="B85" s="112" t="s">
        <v>26</v>
      </c>
      <c r="C85" s="113" t="s">
        <v>352</v>
      </c>
      <c r="D85" s="112" t="s">
        <v>341</v>
      </c>
      <c r="E85" s="122">
        <v>1.944444444444444</v>
      </c>
      <c r="F85" s="112" t="s">
        <v>28</v>
      </c>
      <c r="G85" s="114">
        <v>5</v>
      </c>
      <c r="H85" s="115" t="s">
        <v>131</v>
      </c>
    </row>
    <row r="86" spans="1:8" ht="19.899999999999999" customHeight="1">
      <c r="A86" s="121">
        <v>46028</v>
      </c>
      <c r="B86" s="112" t="s">
        <v>26</v>
      </c>
      <c r="C86" s="113" t="s">
        <v>353</v>
      </c>
      <c r="D86" s="112" t="s">
        <v>341</v>
      </c>
      <c r="E86" s="122">
        <v>1.8888888888888891</v>
      </c>
      <c r="F86" s="112" t="s">
        <v>28</v>
      </c>
      <c r="G86" s="114">
        <v>4</v>
      </c>
      <c r="H86" s="115" t="s">
        <v>131</v>
      </c>
    </row>
    <row r="87" spans="1:8" ht="19.899999999999999" customHeight="1">
      <c r="A87" s="121">
        <v>46028</v>
      </c>
      <c r="B87" s="112" t="s">
        <v>38</v>
      </c>
      <c r="C87" s="113" t="s">
        <v>344</v>
      </c>
      <c r="D87" s="112" t="s">
        <v>341</v>
      </c>
      <c r="E87" s="122">
        <v>1.8888888888888891</v>
      </c>
      <c r="F87" s="112" t="s">
        <v>40</v>
      </c>
      <c r="G87" s="114">
        <v>20</v>
      </c>
      <c r="H87" s="115" t="s">
        <v>30</v>
      </c>
    </row>
    <row r="88" spans="1:8" ht="19.899999999999999" customHeight="1">
      <c r="A88" s="121">
        <v>46028</v>
      </c>
      <c r="B88" s="112" t="s">
        <v>359</v>
      </c>
      <c r="C88" s="113" t="s">
        <v>445</v>
      </c>
      <c r="D88" s="112" t="s">
        <v>341</v>
      </c>
      <c r="E88" s="122">
        <v>1.055555555555556</v>
      </c>
      <c r="F88" s="112" t="s">
        <v>361</v>
      </c>
      <c r="G88" s="114">
        <v>9</v>
      </c>
      <c r="H88" s="115" t="s">
        <v>362</v>
      </c>
    </row>
    <row r="89" spans="1:8" ht="19.899999999999999" customHeight="1">
      <c r="A89" s="121">
        <v>46028</v>
      </c>
      <c r="B89" s="112" t="s">
        <v>38</v>
      </c>
      <c r="C89" s="113" t="s">
        <v>346</v>
      </c>
      <c r="D89" s="112" t="s">
        <v>341</v>
      </c>
      <c r="E89" s="122">
        <v>1.399305555555556</v>
      </c>
      <c r="F89" s="112" t="s">
        <v>40</v>
      </c>
      <c r="G89" s="114">
        <v>20</v>
      </c>
      <c r="H89" s="115" t="s">
        <v>347</v>
      </c>
    </row>
    <row r="90" spans="1:8" ht="19.899999999999999" customHeight="1">
      <c r="A90" s="123">
        <v>46028</v>
      </c>
      <c r="B90" s="124" t="s">
        <v>61</v>
      </c>
      <c r="C90" s="125" t="s">
        <v>364</v>
      </c>
      <c r="D90" s="124" t="s">
        <v>341</v>
      </c>
      <c r="E90" s="126">
        <v>1.756944444444444</v>
      </c>
      <c r="F90" s="124" t="s">
        <v>63</v>
      </c>
      <c r="G90" s="127">
        <v>4</v>
      </c>
      <c r="H90" s="128" t="s">
        <v>365</v>
      </c>
    </row>
    <row r="91" spans="1:8" ht="19.899999999999999" customHeight="1">
      <c r="A91" s="121">
        <v>46029</v>
      </c>
      <c r="B91" s="112" t="s">
        <v>38</v>
      </c>
      <c r="C91" s="113" t="s">
        <v>719</v>
      </c>
      <c r="D91" s="112" t="s">
        <v>706</v>
      </c>
      <c r="E91" s="122">
        <v>1.364583333333333</v>
      </c>
      <c r="F91" s="112" t="s">
        <v>622</v>
      </c>
      <c r="G91" s="114">
        <v>9</v>
      </c>
      <c r="H91" s="115" t="s">
        <v>347</v>
      </c>
    </row>
    <row r="92" spans="1:8" ht="19.899999999999999" customHeight="1">
      <c r="A92" s="129">
        <v>46029</v>
      </c>
      <c r="B92" s="117" t="s">
        <v>61</v>
      </c>
      <c r="C92" s="118" t="s">
        <v>722</v>
      </c>
      <c r="D92" s="117" t="s">
        <v>706</v>
      </c>
      <c r="E92" s="130">
        <v>1.9236111111111109</v>
      </c>
      <c r="F92" s="117" t="s">
        <v>63</v>
      </c>
      <c r="G92" s="119">
        <v>3</v>
      </c>
      <c r="H92" s="120" t="s">
        <v>708</v>
      </c>
    </row>
    <row r="93" spans="1:8" ht="19.899999999999999" customHeight="1">
      <c r="A93" s="129">
        <v>46029</v>
      </c>
      <c r="B93" s="117" t="s">
        <v>61</v>
      </c>
      <c r="C93" s="118" t="s">
        <v>707</v>
      </c>
      <c r="D93" s="117" t="s">
        <v>706</v>
      </c>
      <c r="E93" s="130">
        <v>1.1076388888888891</v>
      </c>
      <c r="F93" s="117" t="s">
        <v>63</v>
      </c>
      <c r="G93" s="119">
        <v>4</v>
      </c>
      <c r="H93" s="120" t="s">
        <v>708</v>
      </c>
    </row>
    <row r="94" spans="1:8" ht="19.899999999999999" customHeight="1">
      <c r="A94" s="129">
        <v>46029</v>
      </c>
      <c r="B94" s="117" t="s">
        <v>61</v>
      </c>
      <c r="C94" s="118" t="s">
        <v>715</v>
      </c>
      <c r="D94" s="117" t="s">
        <v>706</v>
      </c>
      <c r="E94" s="130">
        <v>1.5</v>
      </c>
      <c r="F94" s="117" t="s">
        <v>63</v>
      </c>
      <c r="G94" s="119">
        <v>1</v>
      </c>
      <c r="H94" s="120" t="s">
        <v>708</v>
      </c>
    </row>
    <row r="95" spans="1:8" ht="19.899999999999999" customHeight="1">
      <c r="A95" s="121">
        <v>46029</v>
      </c>
      <c r="B95" s="112" t="s">
        <v>38</v>
      </c>
      <c r="C95" s="113" t="s">
        <v>719</v>
      </c>
      <c r="D95" s="112" t="s">
        <v>706</v>
      </c>
      <c r="E95" s="122">
        <v>1.364583333333333</v>
      </c>
      <c r="F95" s="112" t="s">
        <v>603</v>
      </c>
      <c r="G95" s="114">
        <v>9</v>
      </c>
      <c r="H95" s="115" t="s">
        <v>720</v>
      </c>
    </row>
    <row r="96" spans="1:8" ht="19.899999999999999" customHeight="1">
      <c r="A96" s="121">
        <v>46029</v>
      </c>
      <c r="B96" s="112" t="s">
        <v>38</v>
      </c>
      <c r="C96" s="113" t="s">
        <v>719</v>
      </c>
      <c r="D96" s="112" t="s">
        <v>706</v>
      </c>
      <c r="E96" s="122">
        <v>1.364583333333333</v>
      </c>
      <c r="F96" s="112" t="s">
        <v>605</v>
      </c>
      <c r="G96" s="114">
        <v>9</v>
      </c>
      <c r="H96" s="115" t="s">
        <v>721</v>
      </c>
    </row>
    <row r="97" spans="1:8" ht="19.899999999999999" customHeight="1">
      <c r="A97" s="121">
        <v>46029</v>
      </c>
      <c r="B97" s="112" t="s">
        <v>68</v>
      </c>
      <c r="C97" s="113" t="s">
        <v>713</v>
      </c>
      <c r="D97" s="112" t="s">
        <v>706</v>
      </c>
      <c r="E97" s="122">
        <v>1.1076388888888891</v>
      </c>
      <c r="F97" s="112" t="s">
        <v>643</v>
      </c>
      <c r="G97" s="114">
        <v>4</v>
      </c>
      <c r="H97" s="115" t="s">
        <v>714</v>
      </c>
    </row>
    <row r="98" spans="1:8" ht="19.899999999999999" customHeight="1">
      <c r="A98" s="121">
        <v>46029</v>
      </c>
      <c r="B98" s="112" t="s">
        <v>68</v>
      </c>
      <c r="C98" s="113" t="s">
        <v>725</v>
      </c>
      <c r="D98" s="112" t="s">
        <v>706</v>
      </c>
      <c r="E98" s="122">
        <v>1.9236111111111109</v>
      </c>
      <c r="F98" s="112" t="s">
        <v>643</v>
      </c>
      <c r="G98" s="114">
        <v>4</v>
      </c>
      <c r="H98" s="115" t="s">
        <v>714</v>
      </c>
    </row>
    <row r="99" spans="1:8" ht="19.899999999999999" customHeight="1">
      <c r="A99" s="121">
        <v>46029</v>
      </c>
      <c r="B99" s="112" t="s">
        <v>38</v>
      </c>
      <c r="C99" s="113" t="s">
        <v>719</v>
      </c>
      <c r="D99" s="112" t="s">
        <v>706</v>
      </c>
      <c r="E99" s="122">
        <v>1.364583333333333</v>
      </c>
      <c r="F99" s="112" t="s">
        <v>625</v>
      </c>
      <c r="G99" s="114">
        <v>9</v>
      </c>
      <c r="H99" s="115" t="s">
        <v>503</v>
      </c>
    </row>
    <row r="100" spans="1:8" ht="19.899999999999999" customHeight="1">
      <c r="A100" s="143"/>
      <c r="B100" s="144"/>
      <c r="C100" s="144"/>
      <c r="D100" s="144"/>
      <c r="E100" s="144"/>
      <c r="F100" s="145" t="s">
        <v>705</v>
      </c>
      <c r="G100" s="144"/>
      <c r="H100" s="146"/>
    </row>
    <row r="101" spans="1:8" ht="19.899999999999999" customHeight="1">
      <c r="A101" s="121">
        <v>46029</v>
      </c>
      <c r="B101" s="112" t="s">
        <v>38</v>
      </c>
      <c r="C101" s="113" t="s">
        <v>342</v>
      </c>
      <c r="D101" s="112" t="s">
        <v>341</v>
      </c>
      <c r="E101" s="122">
        <v>1.489583333333333</v>
      </c>
      <c r="F101" s="112" t="s">
        <v>40</v>
      </c>
      <c r="G101" s="114">
        <v>11</v>
      </c>
      <c r="H101" s="115" t="s">
        <v>88</v>
      </c>
    </row>
    <row r="102" spans="1:8" ht="19.899999999999999" customHeight="1">
      <c r="A102" s="121">
        <v>46029</v>
      </c>
      <c r="B102" s="112" t="s">
        <v>38</v>
      </c>
      <c r="C102" s="113" t="s">
        <v>344</v>
      </c>
      <c r="D102" s="112" t="s">
        <v>341</v>
      </c>
      <c r="E102" s="122">
        <v>1.8888888888888891</v>
      </c>
      <c r="F102" s="112" t="s">
        <v>40</v>
      </c>
      <c r="G102" s="114">
        <v>20</v>
      </c>
      <c r="H102" s="115" t="s">
        <v>343</v>
      </c>
    </row>
    <row r="103" spans="1:8" ht="19.899999999999999" customHeight="1">
      <c r="A103" s="121">
        <v>46029</v>
      </c>
      <c r="B103" s="112" t="s">
        <v>38</v>
      </c>
      <c r="C103" s="113" t="s">
        <v>345</v>
      </c>
      <c r="D103" s="112" t="s">
        <v>341</v>
      </c>
      <c r="E103" s="122">
        <v>1.989583333333333</v>
      </c>
      <c r="F103" s="112" t="s">
        <v>40</v>
      </c>
      <c r="G103" s="114">
        <v>19</v>
      </c>
      <c r="H103" s="115" t="s">
        <v>343</v>
      </c>
    </row>
    <row r="104" spans="1:8" ht="19.899999999999999" customHeight="1">
      <c r="A104" s="121">
        <v>46029</v>
      </c>
      <c r="B104" s="112" t="s">
        <v>26</v>
      </c>
      <c r="C104" s="113" t="s">
        <v>348</v>
      </c>
      <c r="D104" s="112" t="s">
        <v>341</v>
      </c>
      <c r="E104" s="122">
        <v>1.993055555555556</v>
      </c>
      <c r="F104" s="112" t="s">
        <v>28</v>
      </c>
      <c r="G104" s="114">
        <v>5</v>
      </c>
      <c r="H104" s="115" t="s">
        <v>131</v>
      </c>
    </row>
    <row r="105" spans="1:8" ht="19.899999999999999" customHeight="1">
      <c r="A105" s="121">
        <v>46029</v>
      </c>
      <c r="B105" s="112" t="s">
        <v>26</v>
      </c>
      <c r="C105" s="113" t="s">
        <v>351</v>
      </c>
      <c r="D105" s="112" t="s">
        <v>341</v>
      </c>
      <c r="E105" s="122">
        <v>1.836805555555556</v>
      </c>
      <c r="F105" s="112" t="s">
        <v>28</v>
      </c>
      <c r="G105" s="114">
        <v>5</v>
      </c>
      <c r="H105" s="115" t="s">
        <v>131</v>
      </c>
    </row>
    <row r="106" spans="1:8" ht="19.899999999999999" customHeight="1">
      <c r="A106" s="121">
        <v>46029</v>
      </c>
      <c r="B106" s="112" t="s">
        <v>26</v>
      </c>
      <c r="C106" s="113" t="s">
        <v>352</v>
      </c>
      <c r="D106" s="112" t="s">
        <v>341</v>
      </c>
      <c r="E106" s="122">
        <v>1.944444444444444</v>
      </c>
      <c r="F106" s="112" t="s">
        <v>28</v>
      </c>
      <c r="G106" s="114">
        <v>2</v>
      </c>
      <c r="H106" s="115" t="s">
        <v>131</v>
      </c>
    </row>
    <row r="107" spans="1:8" ht="19.899999999999999" customHeight="1">
      <c r="A107" s="121">
        <v>46029</v>
      </c>
      <c r="B107" s="112" t="s">
        <v>26</v>
      </c>
      <c r="C107" s="113" t="s">
        <v>353</v>
      </c>
      <c r="D107" s="112" t="s">
        <v>341</v>
      </c>
      <c r="E107" s="122">
        <v>1.8888888888888891</v>
      </c>
      <c r="F107" s="112" t="s">
        <v>28</v>
      </c>
      <c r="G107" s="114">
        <v>2</v>
      </c>
      <c r="H107" s="115" t="s">
        <v>131</v>
      </c>
    </row>
    <row r="108" spans="1:8" ht="19.899999999999999" customHeight="1">
      <c r="A108" s="121">
        <v>46029</v>
      </c>
      <c r="B108" s="112" t="s">
        <v>38</v>
      </c>
      <c r="C108" s="113" t="s">
        <v>346</v>
      </c>
      <c r="D108" s="112" t="s">
        <v>341</v>
      </c>
      <c r="E108" s="122">
        <v>1.399305555555556</v>
      </c>
      <c r="F108" s="112" t="s">
        <v>40</v>
      </c>
      <c r="G108" s="114">
        <v>20</v>
      </c>
      <c r="H108" s="115" t="s">
        <v>30</v>
      </c>
    </row>
    <row r="109" spans="1:8" ht="19.899999999999999" customHeight="1">
      <c r="A109" s="121">
        <v>46029</v>
      </c>
      <c r="B109" s="112" t="s">
        <v>359</v>
      </c>
      <c r="C109" s="113" t="s">
        <v>360</v>
      </c>
      <c r="D109" s="112" t="s">
        <v>341</v>
      </c>
      <c r="E109" s="122">
        <v>1.225694444444444</v>
      </c>
      <c r="F109" s="112" t="s">
        <v>361</v>
      </c>
      <c r="G109" s="114">
        <v>9</v>
      </c>
      <c r="H109" s="115" t="s">
        <v>362</v>
      </c>
    </row>
    <row r="110" spans="1:8" ht="19.899999999999999" customHeight="1">
      <c r="A110" s="123">
        <v>46029</v>
      </c>
      <c r="B110" s="124" t="s">
        <v>61</v>
      </c>
      <c r="C110" s="125" t="s">
        <v>364</v>
      </c>
      <c r="D110" s="124" t="s">
        <v>341</v>
      </c>
      <c r="E110" s="126">
        <v>1.2326388888888891</v>
      </c>
      <c r="F110" s="124" t="s">
        <v>63</v>
      </c>
      <c r="G110" s="127">
        <v>1</v>
      </c>
      <c r="H110" s="128" t="s">
        <v>365</v>
      </c>
    </row>
    <row r="111" spans="1:8" ht="19.899999999999999" customHeight="1">
      <c r="A111" s="129">
        <v>46030</v>
      </c>
      <c r="B111" s="117" t="s">
        <v>61</v>
      </c>
      <c r="C111" s="118" t="s">
        <v>707</v>
      </c>
      <c r="D111" s="117" t="s">
        <v>706</v>
      </c>
      <c r="E111" s="130">
        <v>1.524305555555556</v>
      </c>
      <c r="F111" s="117" t="s">
        <v>63</v>
      </c>
      <c r="G111" s="119">
        <v>1</v>
      </c>
      <c r="H111" s="120" t="s">
        <v>708</v>
      </c>
    </row>
    <row r="112" spans="1:8" ht="19.899999999999999" customHeight="1">
      <c r="A112" s="129">
        <v>46030</v>
      </c>
      <c r="B112" s="117" t="s">
        <v>61</v>
      </c>
      <c r="C112" s="118" t="s">
        <v>710</v>
      </c>
      <c r="D112" s="117" t="s">
        <v>706</v>
      </c>
      <c r="E112" s="130">
        <v>1.5486111111111109</v>
      </c>
      <c r="F112" s="117" t="s">
        <v>63</v>
      </c>
      <c r="G112" s="119">
        <v>4</v>
      </c>
      <c r="H112" s="120" t="s">
        <v>708</v>
      </c>
    </row>
    <row r="113" spans="1:8" ht="19.899999999999999" customHeight="1">
      <c r="A113" s="121">
        <v>46030</v>
      </c>
      <c r="B113" s="112" t="s">
        <v>68</v>
      </c>
      <c r="C113" s="113" t="s">
        <v>713</v>
      </c>
      <c r="D113" s="112" t="s">
        <v>706</v>
      </c>
      <c r="E113" s="122">
        <v>1.524305555555556</v>
      </c>
      <c r="F113" s="112" t="s">
        <v>70</v>
      </c>
      <c r="G113" s="114">
        <v>4</v>
      </c>
      <c r="H113" s="115" t="s">
        <v>727</v>
      </c>
    </row>
    <row r="114" spans="1:8" ht="19.899999999999999" customHeight="1">
      <c r="A114" s="143"/>
      <c r="B114" s="144"/>
      <c r="C114" s="144"/>
      <c r="D114" s="144"/>
      <c r="E114" s="144"/>
      <c r="F114" s="145" t="s">
        <v>705</v>
      </c>
      <c r="G114" s="144"/>
      <c r="H114" s="146"/>
    </row>
    <row r="115" spans="1:8" ht="19.899999999999999" customHeight="1">
      <c r="A115" s="121">
        <v>46030</v>
      </c>
      <c r="B115" s="112" t="s">
        <v>38</v>
      </c>
      <c r="C115" s="113" t="s">
        <v>344</v>
      </c>
      <c r="D115" s="112" t="s">
        <v>341</v>
      </c>
      <c r="E115" s="122">
        <v>1.8888888888888891</v>
      </c>
      <c r="F115" s="112" t="s">
        <v>40</v>
      </c>
      <c r="G115" s="114">
        <v>16</v>
      </c>
      <c r="H115" s="115" t="s">
        <v>343</v>
      </c>
    </row>
    <row r="116" spans="1:8" ht="19.899999999999999" customHeight="1">
      <c r="A116" s="121">
        <v>46030</v>
      </c>
      <c r="B116" s="112" t="s">
        <v>38</v>
      </c>
      <c r="C116" s="113" t="s">
        <v>345</v>
      </c>
      <c r="D116" s="112" t="s">
        <v>341</v>
      </c>
      <c r="E116" s="122">
        <v>1.989583333333333</v>
      </c>
      <c r="F116" s="112" t="s">
        <v>40</v>
      </c>
      <c r="G116" s="114">
        <v>15</v>
      </c>
      <c r="H116" s="115" t="s">
        <v>343</v>
      </c>
    </row>
    <row r="117" spans="1:8" ht="19.899999999999999" customHeight="1">
      <c r="A117" s="121">
        <v>46030</v>
      </c>
      <c r="B117" s="112" t="s">
        <v>38</v>
      </c>
      <c r="C117" s="113" t="s">
        <v>342</v>
      </c>
      <c r="D117" s="112" t="s">
        <v>341</v>
      </c>
      <c r="E117" s="122">
        <v>1.489583333333333</v>
      </c>
      <c r="F117" s="112" t="s">
        <v>40</v>
      </c>
      <c r="G117" s="114">
        <v>15</v>
      </c>
      <c r="H117" s="115" t="s">
        <v>81</v>
      </c>
    </row>
    <row r="118" spans="1:8" ht="19.899999999999999" customHeight="1">
      <c r="A118" s="121">
        <v>46030</v>
      </c>
      <c r="B118" s="112" t="s">
        <v>26</v>
      </c>
      <c r="C118" s="113" t="s">
        <v>348</v>
      </c>
      <c r="D118" s="112" t="s">
        <v>341</v>
      </c>
      <c r="E118" s="122">
        <v>1.993055555555556</v>
      </c>
      <c r="F118" s="112" t="s">
        <v>28</v>
      </c>
      <c r="G118" s="114">
        <v>4</v>
      </c>
      <c r="H118" s="115" t="s">
        <v>131</v>
      </c>
    </row>
    <row r="119" spans="1:8" ht="19.899999999999999" customHeight="1">
      <c r="A119" s="121">
        <v>46030</v>
      </c>
      <c r="B119" s="112" t="s">
        <v>26</v>
      </c>
      <c r="C119" s="113" t="s">
        <v>351</v>
      </c>
      <c r="D119" s="112" t="s">
        <v>341</v>
      </c>
      <c r="E119" s="122">
        <v>1.836805555555556</v>
      </c>
      <c r="F119" s="112" t="s">
        <v>28</v>
      </c>
      <c r="G119" s="114">
        <v>2</v>
      </c>
      <c r="H119" s="115" t="s">
        <v>131</v>
      </c>
    </row>
    <row r="120" spans="1:8" ht="19.899999999999999" customHeight="1">
      <c r="A120" s="121">
        <v>46030</v>
      </c>
      <c r="B120" s="112" t="s">
        <v>26</v>
      </c>
      <c r="C120" s="113" t="s">
        <v>353</v>
      </c>
      <c r="D120" s="112" t="s">
        <v>341</v>
      </c>
      <c r="E120" s="122">
        <v>1.8888888888888891</v>
      </c>
      <c r="F120" s="112" t="s">
        <v>28</v>
      </c>
      <c r="G120" s="114">
        <v>5</v>
      </c>
      <c r="H120" s="115" t="s">
        <v>131</v>
      </c>
    </row>
    <row r="121" spans="1:8" ht="19.899999999999999" customHeight="1">
      <c r="A121" s="121">
        <v>46030</v>
      </c>
      <c r="B121" s="112" t="s">
        <v>38</v>
      </c>
      <c r="C121" s="113" t="s">
        <v>346</v>
      </c>
      <c r="D121" s="112" t="s">
        <v>341</v>
      </c>
      <c r="E121" s="122">
        <v>1.399305555555556</v>
      </c>
      <c r="F121" s="112" t="s">
        <v>40</v>
      </c>
      <c r="G121" s="114">
        <v>20</v>
      </c>
      <c r="H121" s="115" t="s">
        <v>30</v>
      </c>
    </row>
    <row r="122" spans="1:8" ht="19.899999999999999" customHeight="1">
      <c r="A122" s="121">
        <v>46030</v>
      </c>
      <c r="B122" s="112" t="s">
        <v>359</v>
      </c>
      <c r="C122" s="113" t="s">
        <v>360</v>
      </c>
      <c r="D122" s="112" t="s">
        <v>341</v>
      </c>
      <c r="E122" s="122">
        <v>1.1701388888888891</v>
      </c>
      <c r="F122" s="112" t="s">
        <v>361</v>
      </c>
      <c r="G122" s="114">
        <v>9</v>
      </c>
      <c r="H122" s="115" t="s">
        <v>362</v>
      </c>
    </row>
    <row r="123" spans="1:8" ht="19.899999999999999" customHeight="1">
      <c r="A123" s="121">
        <v>46030</v>
      </c>
      <c r="B123" s="112" t="s">
        <v>26</v>
      </c>
      <c r="C123" s="113" t="s">
        <v>352</v>
      </c>
      <c r="D123" s="112" t="s">
        <v>341</v>
      </c>
      <c r="E123" s="122">
        <v>1.944444444444444</v>
      </c>
      <c r="F123" s="112" t="s">
        <v>28</v>
      </c>
      <c r="G123" s="114">
        <v>5</v>
      </c>
      <c r="H123" s="115" t="s">
        <v>347</v>
      </c>
    </row>
    <row r="124" spans="1:8" ht="19.899999999999999" customHeight="1">
      <c r="A124" s="123">
        <v>46030</v>
      </c>
      <c r="B124" s="124" t="s">
        <v>61</v>
      </c>
      <c r="C124" s="125" t="s">
        <v>364</v>
      </c>
      <c r="D124" s="124" t="s">
        <v>341</v>
      </c>
      <c r="E124" s="126">
        <v>1.9375</v>
      </c>
      <c r="F124" s="124" t="s">
        <v>63</v>
      </c>
      <c r="G124" s="127">
        <v>6</v>
      </c>
      <c r="H124" s="128" t="s">
        <v>365</v>
      </c>
    </row>
    <row r="125" spans="1:8" ht="19.899999999999999" customHeight="1">
      <c r="A125" s="129">
        <v>46031</v>
      </c>
      <c r="B125" s="117" t="s">
        <v>61</v>
      </c>
      <c r="C125" s="118" t="s">
        <v>715</v>
      </c>
      <c r="D125" s="117" t="s">
        <v>706</v>
      </c>
      <c r="E125" s="130">
        <v>1.135416666666667</v>
      </c>
      <c r="F125" s="117" t="s">
        <v>63</v>
      </c>
      <c r="G125" s="119">
        <v>4</v>
      </c>
      <c r="H125" s="120" t="s">
        <v>708</v>
      </c>
    </row>
    <row r="126" spans="1:8" ht="19.899999999999999" customHeight="1">
      <c r="A126" s="143"/>
      <c r="B126" s="144"/>
      <c r="C126" s="144"/>
      <c r="D126" s="144"/>
      <c r="E126" s="144"/>
      <c r="F126" s="145" t="s">
        <v>705</v>
      </c>
      <c r="G126" s="144"/>
      <c r="H126" s="146"/>
    </row>
    <row r="127" spans="1:8" ht="19.899999999999999" customHeight="1">
      <c r="A127" s="121">
        <v>46031</v>
      </c>
      <c r="B127" s="112" t="s">
        <v>38</v>
      </c>
      <c r="C127" s="113" t="s">
        <v>342</v>
      </c>
      <c r="D127" s="112" t="s">
        <v>341</v>
      </c>
      <c r="E127" s="122">
        <v>1.489583333333333</v>
      </c>
      <c r="F127" s="112" t="s">
        <v>40</v>
      </c>
      <c r="G127" s="114">
        <v>5</v>
      </c>
      <c r="H127" s="115" t="s">
        <v>88</v>
      </c>
    </row>
    <row r="128" spans="1:8" ht="19.899999999999999" customHeight="1">
      <c r="A128" s="121">
        <v>46031</v>
      </c>
      <c r="B128" s="112" t="s">
        <v>38</v>
      </c>
      <c r="C128" s="113" t="s">
        <v>346</v>
      </c>
      <c r="D128" s="112" t="s">
        <v>341</v>
      </c>
      <c r="E128" s="122">
        <v>1.399305555555556</v>
      </c>
      <c r="F128" s="112" t="s">
        <v>40</v>
      </c>
      <c r="G128" s="114">
        <v>17</v>
      </c>
      <c r="H128" s="115" t="s">
        <v>81</v>
      </c>
    </row>
    <row r="129" spans="1:8" ht="19.899999999999999" customHeight="1">
      <c r="A129" s="121">
        <v>46031</v>
      </c>
      <c r="B129" s="112" t="s">
        <v>38</v>
      </c>
      <c r="C129" s="113" t="s">
        <v>344</v>
      </c>
      <c r="D129" s="112" t="s">
        <v>341</v>
      </c>
      <c r="E129" s="122">
        <v>1.8888888888888891</v>
      </c>
      <c r="F129" s="112" t="s">
        <v>40</v>
      </c>
      <c r="G129" s="114">
        <v>17</v>
      </c>
      <c r="H129" s="115" t="s">
        <v>81</v>
      </c>
    </row>
    <row r="130" spans="1:8" ht="19.899999999999999" customHeight="1">
      <c r="A130" s="121">
        <v>46031</v>
      </c>
      <c r="B130" s="112" t="s">
        <v>38</v>
      </c>
      <c r="C130" s="113" t="s">
        <v>345</v>
      </c>
      <c r="D130" s="112" t="s">
        <v>341</v>
      </c>
      <c r="E130" s="122">
        <v>1.989583333333333</v>
      </c>
      <c r="F130" s="112" t="s">
        <v>40</v>
      </c>
      <c r="G130" s="114">
        <v>18</v>
      </c>
      <c r="H130" s="115" t="s">
        <v>30</v>
      </c>
    </row>
    <row r="131" spans="1:8" ht="19.899999999999999" customHeight="1">
      <c r="A131" s="121">
        <v>46031</v>
      </c>
      <c r="B131" s="112" t="s">
        <v>359</v>
      </c>
      <c r="C131" s="113" t="s">
        <v>422</v>
      </c>
      <c r="D131" s="112" t="s">
        <v>341</v>
      </c>
      <c r="E131" s="122">
        <v>1.8090277777777779</v>
      </c>
      <c r="F131" s="112" t="s">
        <v>361</v>
      </c>
      <c r="G131" s="114">
        <v>9</v>
      </c>
      <c r="H131" s="115" t="s">
        <v>423</v>
      </c>
    </row>
    <row r="132" spans="1:8" ht="19.899999999999999" customHeight="1">
      <c r="A132" s="121">
        <v>46031</v>
      </c>
      <c r="B132" s="112" t="s">
        <v>359</v>
      </c>
      <c r="C132" s="113" t="s">
        <v>360</v>
      </c>
      <c r="D132" s="112" t="s">
        <v>341</v>
      </c>
      <c r="E132" s="122">
        <v>1.225694444444444</v>
      </c>
      <c r="F132" s="112" t="s">
        <v>361</v>
      </c>
      <c r="G132" s="114">
        <v>9</v>
      </c>
      <c r="H132" s="115" t="s">
        <v>423</v>
      </c>
    </row>
    <row r="133" spans="1:8" ht="19.899999999999999" customHeight="1">
      <c r="A133" s="121">
        <v>46031</v>
      </c>
      <c r="B133" s="112" t="s">
        <v>359</v>
      </c>
      <c r="C133" s="113" t="s">
        <v>425</v>
      </c>
      <c r="D133" s="112" t="s">
        <v>341</v>
      </c>
      <c r="E133" s="122">
        <v>1.510416666666667</v>
      </c>
      <c r="F133" s="112" t="s">
        <v>361</v>
      </c>
      <c r="G133" s="114">
        <v>9</v>
      </c>
      <c r="H133" s="115" t="s">
        <v>423</v>
      </c>
    </row>
    <row r="134" spans="1:8" ht="19.899999999999999" customHeight="1">
      <c r="A134" s="121">
        <v>46031</v>
      </c>
      <c r="B134" s="112" t="s">
        <v>61</v>
      </c>
      <c r="C134" s="113" t="s">
        <v>428</v>
      </c>
      <c r="D134" s="112" t="s">
        <v>341</v>
      </c>
      <c r="E134" s="122">
        <v>1.5590277777777779</v>
      </c>
      <c r="F134" s="112" t="s">
        <v>63</v>
      </c>
      <c r="G134" s="114">
        <v>1</v>
      </c>
      <c r="H134" s="115" t="s">
        <v>365</v>
      </c>
    </row>
    <row r="135" spans="1:8" ht="19.899999999999999" customHeight="1">
      <c r="A135" s="121">
        <v>46031</v>
      </c>
      <c r="B135" s="112" t="s">
        <v>61</v>
      </c>
      <c r="C135" s="113" t="s">
        <v>375</v>
      </c>
      <c r="D135" s="112" t="s">
        <v>341</v>
      </c>
      <c r="E135" s="122">
        <v>1.1423611111111109</v>
      </c>
      <c r="F135" s="112" t="s">
        <v>63</v>
      </c>
      <c r="G135" s="114">
        <v>3</v>
      </c>
      <c r="H135" s="115" t="s">
        <v>365</v>
      </c>
    </row>
    <row r="136" spans="1:8" ht="19.899999999999999" customHeight="1">
      <c r="A136" s="123">
        <v>46031</v>
      </c>
      <c r="B136" s="124" t="s">
        <v>61</v>
      </c>
      <c r="C136" s="125" t="s">
        <v>377</v>
      </c>
      <c r="D136" s="124" t="s">
        <v>341</v>
      </c>
      <c r="E136" s="126">
        <v>1.28125</v>
      </c>
      <c r="F136" s="124" t="s">
        <v>63</v>
      </c>
      <c r="G136" s="127">
        <v>6</v>
      </c>
      <c r="H136" s="128" t="s">
        <v>365</v>
      </c>
    </row>
    <row r="137" spans="1:8" ht="19.899999999999999" customHeight="1">
      <c r="A137" s="129">
        <v>46032</v>
      </c>
      <c r="B137" s="117" t="s">
        <v>61</v>
      </c>
      <c r="C137" s="118" t="s">
        <v>707</v>
      </c>
      <c r="D137" s="117" t="s">
        <v>706</v>
      </c>
      <c r="E137" s="130">
        <v>1.302083333333333</v>
      </c>
      <c r="F137" s="117" t="s">
        <v>63</v>
      </c>
      <c r="G137" s="119">
        <v>2</v>
      </c>
      <c r="H137" s="120" t="s">
        <v>708</v>
      </c>
    </row>
    <row r="138" spans="1:8" ht="19.899999999999999" customHeight="1">
      <c r="A138" s="129">
        <v>46032</v>
      </c>
      <c r="B138" s="117" t="s">
        <v>61</v>
      </c>
      <c r="C138" s="118" t="s">
        <v>715</v>
      </c>
      <c r="D138" s="117" t="s">
        <v>706</v>
      </c>
      <c r="E138" s="130">
        <v>1.1423611111111109</v>
      </c>
      <c r="F138" s="117" t="s">
        <v>63</v>
      </c>
      <c r="G138" s="119">
        <v>4</v>
      </c>
      <c r="H138" s="120" t="s">
        <v>708</v>
      </c>
    </row>
    <row r="139" spans="1:8" ht="19.899999999999999" customHeight="1">
      <c r="A139" s="129">
        <v>46032</v>
      </c>
      <c r="B139" s="117" t="s">
        <v>61</v>
      </c>
      <c r="C139" s="118" t="s">
        <v>710</v>
      </c>
      <c r="D139" s="117" t="s">
        <v>706</v>
      </c>
      <c r="E139" s="130">
        <v>1.5277777777777779</v>
      </c>
      <c r="F139" s="117" t="s">
        <v>63</v>
      </c>
      <c r="G139" s="119">
        <v>4</v>
      </c>
      <c r="H139" s="120" t="s">
        <v>711</v>
      </c>
    </row>
    <row r="140" spans="1:8" ht="19.899999999999999" customHeight="1">
      <c r="A140" s="121">
        <v>46032</v>
      </c>
      <c r="B140" s="112" t="s">
        <v>68</v>
      </c>
      <c r="C140" s="113" t="s">
        <v>713</v>
      </c>
      <c r="D140" s="112" t="s">
        <v>706</v>
      </c>
      <c r="E140" s="122">
        <v>1.302083333333333</v>
      </c>
      <c r="F140" s="112" t="s">
        <v>643</v>
      </c>
      <c r="G140" s="114">
        <v>4</v>
      </c>
      <c r="H140" s="115" t="s">
        <v>714</v>
      </c>
    </row>
    <row r="141" spans="1:8" ht="19.899999999999999" customHeight="1">
      <c r="A141" s="143"/>
      <c r="B141" s="144"/>
      <c r="C141" s="144"/>
      <c r="D141" s="144"/>
      <c r="E141" s="144"/>
      <c r="F141" s="145" t="s">
        <v>705</v>
      </c>
      <c r="G141" s="144"/>
      <c r="H141" s="146"/>
    </row>
    <row r="142" spans="1:8" ht="19.899999999999999" customHeight="1">
      <c r="A142" s="121">
        <v>46032</v>
      </c>
      <c r="B142" s="112" t="s">
        <v>38</v>
      </c>
      <c r="C142" s="113" t="s">
        <v>345</v>
      </c>
      <c r="D142" s="112" t="s">
        <v>341</v>
      </c>
      <c r="E142" s="122">
        <v>1.989583333333333</v>
      </c>
      <c r="F142" s="112" t="s">
        <v>40</v>
      </c>
      <c r="G142" s="114">
        <v>10</v>
      </c>
      <c r="H142" s="115" t="s">
        <v>81</v>
      </c>
    </row>
    <row r="143" spans="1:8" ht="19.899999999999999" customHeight="1">
      <c r="A143" s="121">
        <v>46032</v>
      </c>
      <c r="B143" s="112" t="s">
        <v>38</v>
      </c>
      <c r="C143" s="113" t="s">
        <v>342</v>
      </c>
      <c r="D143" s="112" t="s">
        <v>341</v>
      </c>
      <c r="E143" s="122">
        <v>1.489583333333333</v>
      </c>
      <c r="F143" s="112" t="s">
        <v>40</v>
      </c>
      <c r="G143" s="114">
        <v>17</v>
      </c>
      <c r="H143" s="115" t="s">
        <v>30</v>
      </c>
    </row>
    <row r="144" spans="1:8" ht="19.899999999999999" customHeight="1">
      <c r="A144" s="121">
        <v>46032</v>
      </c>
      <c r="B144" s="112" t="s">
        <v>359</v>
      </c>
      <c r="C144" s="113" t="s">
        <v>445</v>
      </c>
      <c r="D144" s="112" t="s">
        <v>341</v>
      </c>
      <c r="E144" s="122">
        <v>1.055555555555556</v>
      </c>
      <c r="F144" s="112" t="s">
        <v>361</v>
      </c>
      <c r="G144" s="114">
        <v>9</v>
      </c>
      <c r="H144" s="115" t="s">
        <v>423</v>
      </c>
    </row>
    <row r="145" spans="1:8" ht="19.899999999999999" customHeight="1">
      <c r="A145" s="121">
        <v>46032</v>
      </c>
      <c r="B145" s="112" t="s">
        <v>359</v>
      </c>
      <c r="C145" s="113" t="s">
        <v>360</v>
      </c>
      <c r="D145" s="112" t="s">
        <v>341</v>
      </c>
      <c r="E145" s="122">
        <v>1.1701388888888891</v>
      </c>
      <c r="F145" s="112" t="s">
        <v>361</v>
      </c>
      <c r="G145" s="114">
        <v>9</v>
      </c>
      <c r="H145" s="115" t="s">
        <v>484</v>
      </c>
    </row>
    <row r="146" spans="1:8" ht="19.899999999999999" customHeight="1">
      <c r="A146" s="121">
        <v>46032</v>
      </c>
      <c r="B146" s="112" t="s">
        <v>38</v>
      </c>
      <c r="C146" s="113" t="s">
        <v>346</v>
      </c>
      <c r="D146" s="112" t="s">
        <v>341</v>
      </c>
      <c r="E146" s="122">
        <v>1.399305555555556</v>
      </c>
      <c r="F146" s="112" t="s">
        <v>40</v>
      </c>
      <c r="G146" s="114">
        <v>17</v>
      </c>
      <c r="H146" s="115" t="s">
        <v>347</v>
      </c>
    </row>
    <row r="147" spans="1:8" ht="19.899999999999999" customHeight="1">
      <c r="A147" s="121">
        <v>46032</v>
      </c>
      <c r="B147" s="112" t="s">
        <v>61</v>
      </c>
      <c r="C147" s="113" t="s">
        <v>371</v>
      </c>
      <c r="D147" s="112" t="s">
        <v>341</v>
      </c>
      <c r="E147" s="122">
        <v>1.0486111111111109</v>
      </c>
      <c r="F147" s="112" t="s">
        <v>63</v>
      </c>
      <c r="G147" s="114">
        <v>3</v>
      </c>
      <c r="H147" s="115" t="s">
        <v>365</v>
      </c>
    </row>
    <row r="148" spans="1:8" ht="19.899999999999999" customHeight="1">
      <c r="A148" s="121">
        <v>46032</v>
      </c>
      <c r="B148" s="112" t="s">
        <v>61</v>
      </c>
      <c r="C148" s="113" t="s">
        <v>375</v>
      </c>
      <c r="D148" s="112" t="s">
        <v>341</v>
      </c>
      <c r="E148" s="122">
        <v>1.15625</v>
      </c>
      <c r="F148" s="112" t="s">
        <v>63</v>
      </c>
      <c r="G148" s="114">
        <v>4</v>
      </c>
      <c r="H148" s="115" t="s">
        <v>365</v>
      </c>
    </row>
    <row r="149" spans="1:8" ht="19.899999999999999" customHeight="1">
      <c r="A149" s="121">
        <v>46032</v>
      </c>
      <c r="B149" s="112" t="s">
        <v>61</v>
      </c>
      <c r="C149" s="113" t="s">
        <v>377</v>
      </c>
      <c r="D149" s="112" t="s">
        <v>341</v>
      </c>
      <c r="E149" s="122">
        <v>1.5034722222222221</v>
      </c>
      <c r="F149" s="112" t="s">
        <v>63</v>
      </c>
      <c r="G149" s="114">
        <v>1</v>
      </c>
      <c r="H149" s="115" t="s">
        <v>365</v>
      </c>
    </row>
    <row r="150" spans="1:8" ht="19.899999999999999" customHeight="1">
      <c r="A150" s="121">
        <v>46032</v>
      </c>
      <c r="B150" s="112" t="s">
        <v>38</v>
      </c>
      <c r="C150" s="113" t="s">
        <v>344</v>
      </c>
      <c r="D150" s="112" t="s">
        <v>341</v>
      </c>
      <c r="E150" s="122">
        <v>1.8888888888888891</v>
      </c>
      <c r="F150" s="112" t="s">
        <v>40</v>
      </c>
      <c r="G150" s="114">
        <v>12</v>
      </c>
      <c r="H150" s="115" t="s">
        <v>121</v>
      </c>
    </row>
    <row r="151" spans="1:8" ht="19.899999999999999" customHeight="1">
      <c r="A151" s="123">
        <v>46032</v>
      </c>
      <c r="B151" s="124" t="s">
        <v>26</v>
      </c>
      <c r="C151" s="125" t="s">
        <v>348</v>
      </c>
      <c r="D151" s="124" t="s">
        <v>341</v>
      </c>
      <c r="E151" s="126">
        <v>1.993055555555556</v>
      </c>
      <c r="F151" s="124" t="s">
        <v>28</v>
      </c>
      <c r="G151" s="127">
        <v>4</v>
      </c>
      <c r="H151" s="128" t="s">
        <v>83</v>
      </c>
    </row>
    <row r="152" spans="1:8" ht="19.899999999999999" customHeight="1">
      <c r="A152" s="129">
        <v>46033</v>
      </c>
      <c r="B152" s="117" t="s">
        <v>61</v>
      </c>
      <c r="C152" s="118" t="s">
        <v>710</v>
      </c>
      <c r="D152" s="117" t="s">
        <v>706</v>
      </c>
      <c r="E152" s="130">
        <v>1.6909722222222221</v>
      </c>
      <c r="F152" s="117" t="s">
        <v>63</v>
      </c>
      <c r="G152" s="119">
        <v>3</v>
      </c>
      <c r="H152" s="120" t="s">
        <v>708</v>
      </c>
    </row>
    <row r="153" spans="1:8" ht="19.899999999999999" customHeight="1">
      <c r="A153" s="129">
        <v>46033</v>
      </c>
      <c r="B153" s="117" t="s">
        <v>61</v>
      </c>
      <c r="C153" s="118" t="s">
        <v>715</v>
      </c>
      <c r="D153" s="117" t="s">
        <v>706</v>
      </c>
      <c r="E153" s="130">
        <v>1.3298611111111109</v>
      </c>
      <c r="F153" s="117" t="s">
        <v>63</v>
      </c>
      <c r="G153" s="119">
        <v>4</v>
      </c>
      <c r="H153" s="120" t="s">
        <v>708</v>
      </c>
    </row>
    <row r="154" spans="1:8" ht="19.899999999999999" customHeight="1">
      <c r="A154" s="121">
        <v>46033</v>
      </c>
      <c r="B154" s="112" t="s">
        <v>38</v>
      </c>
      <c r="C154" s="113" t="s">
        <v>719</v>
      </c>
      <c r="D154" s="112" t="s">
        <v>706</v>
      </c>
      <c r="E154" s="122">
        <v>1.364583333333333</v>
      </c>
      <c r="F154" s="112" t="s">
        <v>622</v>
      </c>
      <c r="G154" s="114">
        <v>15</v>
      </c>
      <c r="H154" s="115" t="s">
        <v>89</v>
      </c>
    </row>
    <row r="155" spans="1:8" ht="19.899999999999999" customHeight="1">
      <c r="A155" s="121">
        <v>46033</v>
      </c>
      <c r="B155" s="112" t="s">
        <v>38</v>
      </c>
      <c r="C155" s="113" t="s">
        <v>719</v>
      </c>
      <c r="D155" s="112" t="s">
        <v>706</v>
      </c>
      <c r="E155" s="122">
        <v>1.364583333333333</v>
      </c>
      <c r="F155" s="112" t="s">
        <v>603</v>
      </c>
      <c r="G155" s="114">
        <v>15</v>
      </c>
      <c r="H155" s="115" t="s">
        <v>728</v>
      </c>
    </row>
    <row r="156" spans="1:8" ht="19.899999999999999" customHeight="1">
      <c r="A156" s="121">
        <v>46033</v>
      </c>
      <c r="B156" s="112" t="s">
        <v>38</v>
      </c>
      <c r="C156" s="113" t="s">
        <v>719</v>
      </c>
      <c r="D156" s="112" t="s">
        <v>706</v>
      </c>
      <c r="E156" s="122">
        <v>1.364583333333333</v>
      </c>
      <c r="F156" s="112" t="s">
        <v>605</v>
      </c>
      <c r="G156" s="114">
        <v>15</v>
      </c>
      <c r="H156" s="115" t="s">
        <v>729</v>
      </c>
    </row>
    <row r="157" spans="1:8" ht="19.899999999999999" customHeight="1">
      <c r="A157" s="121">
        <v>46033</v>
      </c>
      <c r="B157" s="112" t="s">
        <v>38</v>
      </c>
      <c r="C157" s="113" t="s">
        <v>719</v>
      </c>
      <c r="D157" s="112" t="s">
        <v>706</v>
      </c>
      <c r="E157" s="122">
        <v>1.364583333333333</v>
      </c>
      <c r="F157" s="112" t="s">
        <v>625</v>
      </c>
      <c r="G157" s="114">
        <v>15</v>
      </c>
      <c r="H157" s="115" t="s">
        <v>511</v>
      </c>
    </row>
    <row r="158" spans="1:8" ht="19.899999999999999" customHeight="1">
      <c r="A158" s="143"/>
      <c r="B158" s="144"/>
      <c r="C158" s="144"/>
      <c r="D158" s="144"/>
      <c r="E158" s="144"/>
      <c r="F158" s="145" t="s">
        <v>705</v>
      </c>
      <c r="G158" s="144"/>
      <c r="H158" s="146"/>
    </row>
    <row r="159" spans="1:8" ht="19.899999999999999" customHeight="1">
      <c r="A159" s="121">
        <v>46033</v>
      </c>
      <c r="B159" s="112" t="s">
        <v>38</v>
      </c>
      <c r="C159" s="113" t="s">
        <v>344</v>
      </c>
      <c r="D159" s="112" t="s">
        <v>341</v>
      </c>
      <c r="E159" s="122">
        <v>1.8888888888888891</v>
      </c>
      <c r="F159" s="112" t="s">
        <v>40</v>
      </c>
      <c r="G159" s="114">
        <v>20</v>
      </c>
      <c r="H159" s="115" t="s">
        <v>81</v>
      </c>
    </row>
    <row r="160" spans="1:8" ht="19.899999999999999" customHeight="1">
      <c r="A160" s="121">
        <v>46033</v>
      </c>
      <c r="B160" s="112" t="s">
        <v>38</v>
      </c>
      <c r="C160" s="113" t="s">
        <v>345</v>
      </c>
      <c r="D160" s="112" t="s">
        <v>341</v>
      </c>
      <c r="E160" s="122">
        <v>1.989583333333333</v>
      </c>
      <c r="F160" s="112" t="s">
        <v>40</v>
      </c>
      <c r="G160" s="114">
        <v>20</v>
      </c>
      <c r="H160" s="115" t="s">
        <v>81</v>
      </c>
    </row>
    <row r="161" spans="1:8" ht="19.899999999999999" customHeight="1">
      <c r="A161" s="121">
        <v>46033</v>
      </c>
      <c r="B161" s="112" t="s">
        <v>38</v>
      </c>
      <c r="C161" s="113" t="s">
        <v>346</v>
      </c>
      <c r="D161" s="112" t="s">
        <v>341</v>
      </c>
      <c r="E161" s="122">
        <v>1.399305555555556</v>
      </c>
      <c r="F161" s="112" t="s">
        <v>40</v>
      </c>
      <c r="G161" s="114">
        <v>20</v>
      </c>
      <c r="H161" s="115" t="s">
        <v>30</v>
      </c>
    </row>
    <row r="162" spans="1:8" ht="19.899999999999999" customHeight="1">
      <c r="A162" s="121">
        <v>46033</v>
      </c>
      <c r="B162" s="112" t="s">
        <v>38</v>
      </c>
      <c r="C162" s="113" t="s">
        <v>342</v>
      </c>
      <c r="D162" s="112" t="s">
        <v>341</v>
      </c>
      <c r="E162" s="122">
        <v>1.489583333333333</v>
      </c>
      <c r="F162" s="112" t="s">
        <v>40</v>
      </c>
      <c r="G162" s="114">
        <v>11</v>
      </c>
      <c r="H162" s="115" t="s">
        <v>30</v>
      </c>
    </row>
    <row r="163" spans="1:8" ht="19.899999999999999" customHeight="1">
      <c r="A163" s="121">
        <v>46033</v>
      </c>
      <c r="B163" s="112" t="s">
        <v>359</v>
      </c>
      <c r="C163" s="113" t="s">
        <v>360</v>
      </c>
      <c r="D163" s="112" t="s">
        <v>341</v>
      </c>
      <c r="E163" s="122">
        <v>1.229166666666667</v>
      </c>
      <c r="F163" s="112" t="s">
        <v>361</v>
      </c>
      <c r="G163" s="114">
        <v>9</v>
      </c>
      <c r="H163" s="115" t="s">
        <v>423</v>
      </c>
    </row>
    <row r="164" spans="1:8" ht="19.899999999999999" customHeight="1">
      <c r="A164" s="121">
        <v>46033</v>
      </c>
      <c r="B164" s="112" t="s">
        <v>61</v>
      </c>
      <c r="C164" s="113" t="s">
        <v>432</v>
      </c>
      <c r="D164" s="112" t="s">
        <v>341</v>
      </c>
      <c r="E164" s="122">
        <v>1.333333333333333</v>
      </c>
      <c r="F164" s="112" t="s">
        <v>63</v>
      </c>
      <c r="G164" s="114">
        <v>5</v>
      </c>
      <c r="H164" s="115" t="s">
        <v>365</v>
      </c>
    </row>
    <row r="165" spans="1:8" ht="19.899999999999999" customHeight="1">
      <c r="A165" s="121">
        <v>46033</v>
      </c>
      <c r="B165" s="112" t="s">
        <v>61</v>
      </c>
      <c r="C165" s="113" t="s">
        <v>375</v>
      </c>
      <c r="D165" s="112" t="s">
        <v>341</v>
      </c>
      <c r="E165" s="122">
        <v>1.1423611111111109</v>
      </c>
      <c r="F165" s="112" t="s">
        <v>63</v>
      </c>
      <c r="G165" s="114">
        <v>3</v>
      </c>
      <c r="H165" s="115" t="s">
        <v>365</v>
      </c>
    </row>
    <row r="166" spans="1:8" ht="19.899999999999999" customHeight="1">
      <c r="A166" s="121">
        <v>46033</v>
      </c>
      <c r="B166" s="112" t="s">
        <v>61</v>
      </c>
      <c r="C166" s="113" t="s">
        <v>377</v>
      </c>
      <c r="D166" s="112" t="s">
        <v>341</v>
      </c>
      <c r="E166" s="122">
        <v>1.4548611111111109</v>
      </c>
      <c r="F166" s="112" t="s">
        <v>63</v>
      </c>
      <c r="G166" s="114">
        <v>5</v>
      </c>
      <c r="H166" s="115" t="s">
        <v>365</v>
      </c>
    </row>
    <row r="167" spans="1:8" ht="19.899999999999999" customHeight="1">
      <c r="A167" s="121">
        <v>46033</v>
      </c>
      <c r="B167" s="112" t="s">
        <v>61</v>
      </c>
      <c r="C167" s="113" t="s">
        <v>379</v>
      </c>
      <c r="D167" s="112" t="s">
        <v>341</v>
      </c>
      <c r="E167" s="122">
        <v>1.8298611111111109</v>
      </c>
      <c r="F167" s="112" t="s">
        <v>63</v>
      </c>
      <c r="G167" s="114">
        <v>3</v>
      </c>
      <c r="H167" s="115" t="s">
        <v>365</v>
      </c>
    </row>
    <row r="168" spans="1:8" ht="19.899999999999999" customHeight="1">
      <c r="A168" s="123">
        <v>46033</v>
      </c>
      <c r="B168" s="124" t="s">
        <v>26</v>
      </c>
      <c r="C168" s="125" t="s">
        <v>348</v>
      </c>
      <c r="D168" s="124" t="s">
        <v>341</v>
      </c>
      <c r="E168" s="126">
        <v>1.993055555555556</v>
      </c>
      <c r="F168" s="124" t="s">
        <v>28</v>
      </c>
      <c r="G168" s="127">
        <v>4</v>
      </c>
      <c r="H168" s="128" t="s">
        <v>83</v>
      </c>
    </row>
    <row r="169" spans="1:8" ht="19.899999999999999" customHeight="1">
      <c r="A169" s="129">
        <v>46034</v>
      </c>
      <c r="B169" s="117" t="s">
        <v>61</v>
      </c>
      <c r="C169" s="118" t="s">
        <v>707</v>
      </c>
      <c r="D169" s="117" t="s">
        <v>706</v>
      </c>
      <c r="E169" s="130">
        <v>1.5486111111111109</v>
      </c>
      <c r="F169" s="117" t="s">
        <v>63</v>
      </c>
      <c r="G169" s="119">
        <v>3</v>
      </c>
      <c r="H169" s="120" t="s">
        <v>708</v>
      </c>
    </row>
    <row r="170" spans="1:8" ht="19.899999999999999" customHeight="1">
      <c r="A170" s="129">
        <v>46034</v>
      </c>
      <c r="B170" s="117" t="s">
        <v>61</v>
      </c>
      <c r="C170" s="118" t="s">
        <v>710</v>
      </c>
      <c r="D170" s="117" t="s">
        <v>706</v>
      </c>
      <c r="E170" s="130">
        <v>1.194444444444444</v>
      </c>
      <c r="F170" s="117" t="s">
        <v>63</v>
      </c>
      <c r="G170" s="119">
        <v>4</v>
      </c>
      <c r="H170" s="120" t="s">
        <v>708</v>
      </c>
    </row>
    <row r="171" spans="1:8" ht="19.899999999999999" customHeight="1">
      <c r="A171" s="129">
        <v>46034</v>
      </c>
      <c r="B171" s="117" t="s">
        <v>61</v>
      </c>
      <c r="C171" s="118" t="s">
        <v>715</v>
      </c>
      <c r="D171" s="117" t="s">
        <v>706</v>
      </c>
      <c r="E171" s="130">
        <v>1.09375</v>
      </c>
      <c r="F171" s="117" t="s">
        <v>63</v>
      </c>
      <c r="G171" s="119">
        <v>4</v>
      </c>
      <c r="H171" s="120" t="s">
        <v>708</v>
      </c>
    </row>
    <row r="172" spans="1:8" ht="19.899999999999999" customHeight="1">
      <c r="A172" s="121">
        <v>46034</v>
      </c>
      <c r="B172" s="112" t="s">
        <v>68</v>
      </c>
      <c r="C172" s="113" t="s">
        <v>713</v>
      </c>
      <c r="D172" s="112" t="s">
        <v>706</v>
      </c>
      <c r="E172" s="122">
        <v>1.5486111111111109</v>
      </c>
      <c r="F172" s="112" t="s">
        <v>643</v>
      </c>
      <c r="G172" s="114">
        <v>4</v>
      </c>
      <c r="H172" s="115" t="s">
        <v>714</v>
      </c>
    </row>
    <row r="173" spans="1:8" ht="19.899999999999999" customHeight="1">
      <c r="A173" s="143"/>
      <c r="B173" s="144"/>
      <c r="C173" s="144"/>
      <c r="D173" s="144"/>
      <c r="E173" s="144"/>
      <c r="F173" s="145" t="s">
        <v>705</v>
      </c>
      <c r="G173" s="144"/>
      <c r="H173" s="146"/>
    </row>
    <row r="174" spans="1:8" ht="19.899999999999999" customHeight="1">
      <c r="A174" s="121">
        <v>46034</v>
      </c>
      <c r="B174" s="112" t="s">
        <v>38</v>
      </c>
      <c r="C174" s="113" t="s">
        <v>342</v>
      </c>
      <c r="D174" s="112" t="s">
        <v>341</v>
      </c>
      <c r="E174" s="122">
        <v>1.489583333333333</v>
      </c>
      <c r="F174" s="112" t="s">
        <v>40</v>
      </c>
      <c r="G174" s="114">
        <v>15</v>
      </c>
      <c r="H174" s="115" t="s">
        <v>475</v>
      </c>
    </row>
    <row r="175" spans="1:8" ht="19.899999999999999" customHeight="1">
      <c r="A175" s="121">
        <v>46034</v>
      </c>
      <c r="B175" s="112" t="s">
        <v>38</v>
      </c>
      <c r="C175" s="113" t="s">
        <v>344</v>
      </c>
      <c r="D175" s="112" t="s">
        <v>341</v>
      </c>
      <c r="E175" s="122">
        <v>1.8888888888888891</v>
      </c>
      <c r="F175" s="112" t="s">
        <v>40</v>
      </c>
      <c r="G175" s="114">
        <v>18</v>
      </c>
      <c r="H175" s="115" t="s">
        <v>30</v>
      </c>
    </row>
    <row r="176" spans="1:8" ht="19.899999999999999" customHeight="1">
      <c r="A176" s="121">
        <v>46034</v>
      </c>
      <c r="B176" s="112" t="s">
        <v>359</v>
      </c>
      <c r="C176" s="113" t="s">
        <v>360</v>
      </c>
      <c r="D176" s="112" t="s">
        <v>341</v>
      </c>
      <c r="E176" s="122">
        <v>1.225694444444444</v>
      </c>
      <c r="F176" s="112" t="s">
        <v>361</v>
      </c>
      <c r="G176" s="114">
        <v>9</v>
      </c>
      <c r="H176" s="115" t="s">
        <v>362</v>
      </c>
    </row>
    <row r="177" spans="1:8" ht="19.899999999999999" customHeight="1">
      <c r="A177" s="121">
        <v>46034</v>
      </c>
      <c r="B177" s="112" t="s">
        <v>359</v>
      </c>
      <c r="C177" s="113" t="s">
        <v>445</v>
      </c>
      <c r="D177" s="112" t="s">
        <v>341</v>
      </c>
      <c r="E177" s="122">
        <v>1.0138888888888891</v>
      </c>
      <c r="F177" s="112" t="s">
        <v>361</v>
      </c>
      <c r="G177" s="114">
        <v>9</v>
      </c>
      <c r="H177" s="115" t="s">
        <v>362</v>
      </c>
    </row>
    <row r="178" spans="1:8" ht="19.899999999999999" customHeight="1">
      <c r="A178" s="121">
        <v>46034</v>
      </c>
      <c r="B178" s="112" t="s">
        <v>38</v>
      </c>
      <c r="C178" s="113" t="s">
        <v>346</v>
      </c>
      <c r="D178" s="112" t="s">
        <v>341</v>
      </c>
      <c r="E178" s="122">
        <v>1.399305555555556</v>
      </c>
      <c r="F178" s="112" t="s">
        <v>440</v>
      </c>
      <c r="G178" s="114">
        <v>20</v>
      </c>
      <c r="H178" s="115" t="s">
        <v>347</v>
      </c>
    </row>
    <row r="179" spans="1:8" ht="19.899999999999999" customHeight="1">
      <c r="A179" s="121">
        <v>46034</v>
      </c>
      <c r="B179" s="112" t="s">
        <v>38</v>
      </c>
      <c r="C179" s="113" t="s">
        <v>345</v>
      </c>
      <c r="D179" s="112" t="s">
        <v>341</v>
      </c>
      <c r="E179" s="122">
        <v>1.989583333333333</v>
      </c>
      <c r="F179" s="112" t="s">
        <v>40</v>
      </c>
      <c r="G179" s="114">
        <v>20</v>
      </c>
      <c r="H179" s="115" t="s">
        <v>347</v>
      </c>
    </row>
    <row r="180" spans="1:8" ht="19.899999999999999" customHeight="1">
      <c r="A180" s="121">
        <v>46034</v>
      </c>
      <c r="B180" s="112" t="s">
        <v>61</v>
      </c>
      <c r="C180" s="113" t="s">
        <v>432</v>
      </c>
      <c r="D180" s="112" t="s">
        <v>341</v>
      </c>
      <c r="E180" s="122">
        <v>1.802083333333333</v>
      </c>
      <c r="F180" s="112" t="s">
        <v>63</v>
      </c>
      <c r="G180" s="114">
        <v>5</v>
      </c>
      <c r="H180" s="115" t="s">
        <v>365</v>
      </c>
    </row>
    <row r="181" spans="1:8" ht="19.899999999999999" customHeight="1">
      <c r="A181" s="121">
        <v>46034</v>
      </c>
      <c r="B181" s="112" t="s">
        <v>61</v>
      </c>
      <c r="C181" s="113" t="s">
        <v>375</v>
      </c>
      <c r="D181" s="112" t="s">
        <v>341</v>
      </c>
      <c r="E181" s="122">
        <v>1.2465277777777779</v>
      </c>
      <c r="F181" s="112" t="s">
        <v>63</v>
      </c>
      <c r="G181" s="114">
        <v>4</v>
      </c>
      <c r="H181" s="115" t="s">
        <v>365</v>
      </c>
    </row>
    <row r="182" spans="1:8" ht="19.899999999999999" customHeight="1">
      <c r="A182" s="121">
        <v>46034</v>
      </c>
      <c r="B182" s="112" t="s">
        <v>61</v>
      </c>
      <c r="C182" s="113" t="s">
        <v>377</v>
      </c>
      <c r="D182" s="112" t="s">
        <v>341</v>
      </c>
      <c r="E182" s="122">
        <v>1.4375</v>
      </c>
      <c r="F182" s="112" t="s">
        <v>63</v>
      </c>
      <c r="G182" s="114">
        <v>4</v>
      </c>
      <c r="H182" s="115" t="s">
        <v>365</v>
      </c>
    </row>
    <row r="183" spans="1:8" ht="19.899999999999999" customHeight="1">
      <c r="A183" s="123">
        <v>46034</v>
      </c>
      <c r="B183" s="124" t="s">
        <v>38</v>
      </c>
      <c r="C183" s="125" t="s">
        <v>342</v>
      </c>
      <c r="D183" s="124" t="s">
        <v>341</v>
      </c>
      <c r="E183" s="126">
        <v>1.489583333333333</v>
      </c>
      <c r="F183" s="124" t="s">
        <v>43</v>
      </c>
      <c r="G183" s="127">
        <v>15</v>
      </c>
      <c r="H183" s="128" t="s">
        <v>121</v>
      </c>
    </row>
    <row r="184" spans="1:8" ht="19.899999999999999" customHeight="1">
      <c r="A184" s="129">
        <v>46035</v>
      </c>
      <c r="B184" s="117" t="s">
        <v>61</v>
      </c>
      <c r="C184" s="118" t="s">
        <v>707</v>
      </c>
      <c r="D184" s="117" t="s">
        <v>706</v>
      </c>
      <c r="E184" s="130">
        <v>1.166666666666667</v>
      </c>
      <c r="F184" s="117" t="s">
        <v>63</v>
      </c>
      <c r="G184" s="119">
        <v>3</v>
      </c>
      <c r="H184" s="120" t="s">
        <v>708</v>
      </c>
    </row>
    <row r="185" spans="1:8" ht="19.899999999999999" customHeight="1">
      <c r="A185" s="129">
        <v>46035</v>
      </c>
      <c r="B185" s="117" t="s">
        <v>61</v>
      </c>
      <c r="C185" s="118" t="s">
        <v>710</v>
      </c>
      <c r="D185" s="117" t="s">
        <v>706</v>
      </c>
      <c r="E185" s="130">
        <v>1.5277777777777779</v>
      </c>
      <c r="F185" s="117" t="s">
        <v>63</v>
      </c>
      <c r="G185" s="119">
        <v>4</v>
      </c>
      <c r="H185" s="120" t="s">
        <v>708</v>
      </c>
    </row>
    <row r="186" spans="1:8" ht="19.899999999999999" customHeight="1">
      <c r="A186" s="121">
        <v>46035</v>
      </c>
      <c r="B186" s="112" t="s">
        <v>68</v>
      </c>
      <c r="C186" s="113" t="s">
        <v>713</v>
      </c>
      <c r="D186" s="112" t="s">
        <v>706</v>
      </c>
      <c r="E186" s="122">
        <v>1.166666666666667</v>
      </c>
      <c r="F186" s="112" t="s">
        <v>643</v>
      </c>
      <c r="G186" s="114">
        <v>4</v>
      </c>
      <c r="H186" s="115" t="s">
        <v>714</v>
      </c>
    </row>
    <row r="187" spans="1:8" ht="19.899999999999999" customHeight="1">
      <c r="A187" s="143"/>
      <c r="B187" s="144"/>
      <c r="C187" s="144"/>
      <c r="D187" s="144"/>
      <c r="E187" s="144"/>
      <c r="F187" s="145" t="s">
        <v>705</v>
      </c>
      <c r="G187" s="144"/>
      <c r="H187" s="146"/>
    </row>
    <row r="188" spans="1:8" ht="19.899999999999999" customHeight="1">
      <c r="A188" s="121">
        <v>46035</v>
      </c>
      <c r="B188" s="112" t="s">
        <v>38</v>
      </c>
      <c r="C188" s="113" t="s">
        <v>342</v>
      </c>
      <c r="D188" s="112" t="s">
        <v>341</v>
      </c>
      <c r="E188" s="122">
        <v>1.489583333333333</v>
      </c>
      <c r="F188" s="112" t="s">
        <v>40</v>
      </c>
      <c r="G188" s="114">
        <v>10</v>
      </c>
      <c r="H188" s="115" t="s">
        <v>475</v>
      </c>
    </row>
    <row r="189" spans="1:8" ht="19.899999999999999" customHeight="1">
      <c r="A189" s="121">
        <v>46035</v>
      </c>
      <c r="B189" s="112" t="s">
        <v>38</v>
      </c>
      <c r="C189" s="113" t="s">
        <v>344</v>
      </c>
      <c r="D189" s="112" t="s">
        <v>341</v>
      </c>
      <c r="E189" s="122">
        <v>1.8888888888888891</v>
      </c>
      <c r="F189" s="112" t="s">
        <v>40</v>
      </c>
      <c r="G189" s="114">
        <v>19</v>
      </c>
      <c r="H189" s="115" t="s">
        <v>30</v>
      </c>
    </row>
    <row r="190" spans="1:8" ht="19.899999999999999" customHeight="1">
      <c r="A190" s="121">
        <v>46035</v>
      </c>
      <c r="B190" s="112" t="s">
        <v>38</v>
      </c>
      <c r="C190" s="113" t="s">
        <v>346</v>
      </c>
      <c r="D190" s="112" t="s">
        <v>341</v>
      </c>
      <c r="E190" s="122">
        <v>1.399305555555556</v>
      </c>
      <c r="F190" s="112" t="s">
        <v>40</v>
      </c>
      <c r="G190" s="114">
        <v>20</v>
      </c>
      <c r="H190" s="115" t="s">
        <v>347</v>
      </c>
    </row>
    <row r="191" spans="1:8" ht="19.899999999999999" customHeight="1">
      <c r="A191" s="121">
        <v>46035</v>
      </c>
      <c r="B191" s="112" t="s">
        <v>38</v>
      </c>
      <c r="C191" s="113" t="s">
        <v>345</v>
      </c>
      <c r="D191" s="112" t="s">
        <v>341</v>
      </c>
      <c r="E191" s="122">
        <v>1.989583333333333</v>
      </c>
      <c r="F191" s="112" t="s">
        <v>40</v>
      </c>
      <c r="G191" s="114">
        <v>20</v>
      </c>
      <c r="H191" s="115" t="s">
        <v>347</v>
      </c>
    </row>
    <row r="192" spans="1:8" ht="19.899999999999999" customHeight="1">
      <c r="A192" s="121">
        <v>46035</v>
      </c>
      <c r="B192" s="112" t="s">
        <v>61</v>
      </c>
      <c r="C192" s="113" t="s">
        <v>432</v>
      </c>
      <c r="D192" s="112" t="s">
        <v>341</v>
      </c>
      <c r="E192" s="122">
        <v>1.552083333333333</v>
      </c>
      <c r="F192" s="112" t="s">
        <v>63</v>
      </c>
      <c r="G192" s="114">
        <v>6</v>
      </c>
      <c r="H192" s="115" t="s">
        <v>365</v>
      </c>
    </row>
    <row r="193" spans="1:8" ht="19.899999999999999" customHeight="1">
      <c r="A193" s="121">
        <v>46035</v>
      </c>
      <c r="B193" s="112" t="s">
        <v>61</v>
      </c>
      <c r="C193" s="113" t="s">
        <v>428</v>
      </c>
      <c r="D193" s="112" t="s">
        <v>341</v>
      </c>
      <c r="E193" s="122">
        <v>1.052083333333333</v>
      </c>
      <c r="F193" s="112" t="s">
        <v>63</v>
      </c>
      <c r="G193" s="114">
        <v>6</v>
      </c>
      <c r="H193" s="115" t="s">
        <v>365</v>
      </c>
    </row>
    <row r="194" spans="1:8" ht="19.899999999999999" customHeight="1">
      <c r="A194" s="121">
        <v>46035</v>
      </c>
      <c r="B194" s="112" t="s">
        <v>61</v>
      </c>
      <c r="C194" s="113" t="s">
        <v>375</v>
      </c>
      <c r="D194" s="112" t="s">
        <v>341</v>
      </c>
      <c r="E194" s="122">
        <v>1.791666666666667</v>
      </c>
      <c r="F194" s="112" t="s">
        <v>63</v>
      </c>
      <c r="G194" s="114">
        <v>3</v>
      </c>
      <c r="H194" s="115" t="s">
        <v>365</v>
      </c>
    </row>
    <row r="195" spans="1:8" ht="19.899999999999999" customHeight="1">
      <c r="A195" s="121">
        <v>46035</v>
      </c>
      <c r="B195" s="112" t="s">
        <v>61</v>
      </c>
      <c r="C195" s="113" t="s">
        <v>377</v>
      </c>
      <c r="D195" s="112" t="s">
        <v>341</v>
      </c>
      <c r="E195" s="122">
        <v>1.4375</v>
      </c>
      <c r="F195" s="112" t="s">
        <v>63</v>
      </c>
      <c r="G195" s="114">
        <v>2</v>
      </c>
      <c r="H195" s="115" t="s">
        <v>365</v>
      </c>
    </row>
    <row r="196" spans="1:8" ht="19.899999999999999" customHeight="1">
      <c r="A196" s="121">
        <v>46035</v>
      </c>
      <c r="B196" s="112" t="s">
        <v>61</v>
      </c>
      <c r="C196" s="113" t="s">
        <v>379</v>
      </c>
      <c r="D196" s="112" t="s">
        <v>341</v>
      </c>
      <c r="E196" s="122">
        <v>1.381944444444444</v>
      </c>
      <c r="F196" s="112" t="s">
        <v>63</v>
      </c>
      <c r="G196" s="114">
        <v>6</v>
      </c>
      <c r="H196" s="115" t="s">
        <v>365</v>
      </c>
    </row>
    <row r="197" spans="1:8" ht="19.899999999999999" customHeight="1">
      <c r="A197" s="123">
        <v>46035</v>
      </c>
      <c r="B197" s="124" t="s">
        <v>38</v>
      </c>
      <c r="C197" s="125" t="s">
        <v>342</v>
      </c>
      <c r="D197" s="124" t="s">
        <v>341</v>
      </c>
      <c r="E197" s="126">
        <v>1.489583333333333</v>
      </c>
      <c r="F197" s="124" t="s">
        <v>43</v>
      </c>
      <c r="G197" s="127">
        <v>10</v>
      </c>
      <c r="H197" s="128" t="s">
        <v>121</v>
      </c>
    </row>
    <row r="198" spans="1:8" ht="19.899999999999999" customHeight="1">
      <c r="A198" s="129">
        <v>46036</v>
      </c>
      <c r="B198" s="117" t="s">
        <v>61</v>
      </c>
      <c r="C198" s="118" t="s">
        <v>722</v>
      </c>
      <c r="D198" s="117" t="s">
        <v>706</v>
      </c>
      <c r="E198" s="130">
        <v>1.9236111111111109</v>
      </c>
      <c r="F198" s="117" t="s">
        <v>63</v>
      </c>
      <c r="G198" s="119">
        <v>1</v>
      </c>
      <c r="H198" s="120" t="s">
        <v>708</v>
      </c>
    </row>
    <row r="199" spans="1:8" ht="19.899999999999999" customHeight="1">
      <c r="A199" s="129">
        <v>46036</v>
      </c>
      <c r="B199" s="117" t="s">
        <v>61</v>
      </c>
      <c r="C199" s="118" t="s">
        <v>707</v>
      </c>
      <c r="D199" s="117" t="s">
        <v>706</v>
      </c>
      <c r="E199" s="130">
        <v>1.1076388888888891</v>
      </c>
      <c r="F199" s="117" t="s">
        <v>63</v>
      </c>
      <c r="G199" s="119">
        <v>4</v>
      </c>
      <c r="H199" s="120" t="s">
        <v>708</v>
      </c>
    </row>
    <row r="200" spans="1:8" ht="19.899999999999999" customHeight="1">
      <c r="A200" s="129">
        <v>46036</v>
      </c>
      <c r="B200" s="117" t="s">
        <v>61</v>
      </c>
      <c r="C200" s="118" t="s">
        <v>715</v>
      </c>
      <c r="D200" s="117" t="s">
        <v>706</v>
      </c>
      <c r="E200" s="130">
        <v>1.5</v>
      </c>
      <c r="F200" s="117" t="s">
        <v>63</v>
      </c>
      <c r="G200" s="119">
        <v>3</v>
      </c>
      <c r="H200" s="120" t="s">
        <v>708</v>
      </c>
    </row>
    <row r="201" spans="1:8" ht="19.899999999999999" customHeight="1">
      <c r="A201" s="121">
        <v>46036</v>
      </c>
      <c r="B201" s="112" t="s">
        <v>38</v>
      </c>
      <c r="C201" s="113" t="s">
        <v>719</v>
      </c>
      <c r="D201" s="112" t="s">
        <v>706</v>
      </c>
      <c r="E201" s="122">
        <v>1.364583333333333</v>
      </c>
      <c r="F201" s="112" t="s">
        <v>622</v>
      </c>
      <c r="G201" s="114">
        <v>12</v>
      </c>
      <c r="H201" s="115" t="s">
        <v>35</v>
      </c>
    </row>
    <row r="202" spans="1:8" ht="19.899999999999999" customHeight="1">
      <c r="A202" s="121">
        <v>46036</v>
      </c>
      <c r="B202" s="112" t="s">
        <v>68</v>
      </c>
      <c r="C202" s="113" t="s">
        <v>713</v>
      </c>
      <c r="D202" s="112" t="s">
        <v>706</v>
      </c>
      <c r="E202" s="122">
        <v>1.1076388888888891</v>
      </c>
      <c r="F202" s="112" t="s">
        <v>643</v>
      </c>
      <c r="G202" s="114">
        <v>4</v>
      </c>
      <c r="H202" s="115" t="s">
        <v>714</v>
      </c>
    </row>
    <row r="203" spans="1:8" ht="19.899999999999999" customHeight="1">
      <c r="A203" s="121">
        <v>46036</v>
      </c>
      <c r="B203" s="112" t="s">
        <v>68</v>
      </c>
      <c r="C203" s="113" t="s">
        <v>725</v>
      </c>
      <c r="D203" s="112" t="s">
        <v>706</v>
      </c>
      <c r="E203" s="122">
        <v>1.9236111111111109</v>
      </c>
      <c r="F203" s="112" t="s">
        <v>643</v>
      </c>
      <c r="G203" s="114">
        <v>4</v>
      </c>
      <c r="H203" s="115" t="s">
        <v>714</v>
      </c>
    </row>
    <row r="204" spans="1:8" ht="19.899999999999999" customHeight="1">
      <c r="A204" s="121">
        <v>46036</v>
      </c>
      <c r="B204" s="112" t="s">
        <v>38</v>
      </c>
      <c r="C204" s="113" t="s">
        <v>719</v>
      </c>
      <c r="D204" s="112" t="s">
        <v>706</v>
      </c>
      <c r="E204" s="122">
        <v>1.364583333333333</v>
      </c>
      <c r="F204" s="112" t="s">
        <v>603</v>
      </c>
      <c r="G204" s="114">
        <v>12</v>
      </c>
      <c r="H204" s="115" t="s">
        <v>730</v>
      </c>
    </row>
    <row r="205" spans="1:8" ht="19.899999999999999" customHeight="1">
      <c r="A205" s="121">
        <v>46036</v>
      </c>
      <c r="B205" s="112" t="s">
        <v>38</v>
      </c>
      <c r="C205" s="113" t="s">
        <v>719</v>
      </c>
      <c r="D205" s="112" t="s">
        <v>706</v>
      </c>
      <c r="E205" s="122">
        <v>1.364583333333333</v>
      </c>
      <c r="F205" s="112" t="s">
        <v>605</v>
      </c>
      <c r="G205" s="114">
        <v>12</v>
      </c>
      <c r="H205" s="115" t="s">
        <v>731</v>
      </c>
    </row>
    <row r="206" spans="1:8" ht="19.899999999999999" customHeight="1">
      <c r="A206" s="121">
        <v>46036</v>
      </c>
      <c r="B206" s="112" t="s">
        <v>38</v>
      </c>
      <c r="C206" s="113" t="s">
        <v>719</v>
      </c>
      <c r="D206" s="112" t="s">
        <v>706</v>
      </c>
      <c r="E206" s="122">
        <v>1.364583333333333</v>
      </c>
      <c r="F206" s="112" t="s">
        <v>625</v>
      </c>
      <c r="G206" s="114">
        <v>12</v>
      </c>
      <c r="H206" s="115" t="s">
        <v>732</v>
      </c>
    </row>
    <row r="207" spans="1:8" ht="19.899999999999999" customHeight="1">
      <c r="A207" s="143"/>
      <c r="B207" s="144"/>
      <c r="C207" s="144"/>
      <c r="D207" s="144"/>
      <c r="E207" s="144"/>
      <c r="F207" s="145" t="s">
        <v>705</v>
      </c>
      <c r="G207" s="144"/>
      <c r="H207" s="146"/>
    </row>
    <row r="208" spans="1:8" ht="19.899999999999999" customHeight="1">
      <c r="A208" s="121">
        <v>46036</v>
      </c>
      <c r="B208" s="112" t="s">
        <v>38</v>
      </c>
      <c r="C208" s="113" t="s">
        <v>342</v>
      </c>
      <c r="D208" s="112" t="s">
        <v>341</v>
      </c>
      <c r="E208" s="122">
        <v>1.489583333333333</v>
      </c>
      <c r="F208" s="112" t="s">
        <v>40</v>
      </c>
      <c r="G208" s="114">
        <v>16</v>
      </c>
      <c r="H208" s="115" t="s">
        <v>343</v>
      </c>
    </row>
    <row r="209" spans="1:8" ht="19.899999999999999" customHeight="1">
      <c r="A209" s="121">
        <v>46036</v>
      </c>
      <c r="B209" s="112" t="s">
        <v>38</v>
      </c>
      <c r="C209" s="113" t="s">
        <v>346</v>
      </c>
      <c r="D209" s="112" t="s">
        <v>341</v>
      </c>
      <c r="E209" s="122">
        <v>1.399305555555556</v>
      </c>
      <c r="F209" s="112" t="s">
        <v>40</v>
      </c>
      <c r="G209" s="114">
        <v>20</v>
      </c>
      <c r="H209" s="115" t="s">
        <v>30</v>
      </c>
    </row>
    <row r="210" spans="1:8" ht="19.899999999999999" customHeight="1">
      <c r="A210" s="121">
        <v>46036</v>
      </c>
      <c r="B210" s="112" t="s">
        <v>38</v>
      </c>
      <c r="C210" s="113" t="s">
        <v>345</v>
      </c>
      <c r="D210" s="112" t="s">
        <v>341</v>
      </c>
      <c r="E210" s="122">
        <v>1.989583333333333</v>
      </c>
      <c r="F210" s="112" t="s">
        <v>40</v>
      </c>
      <c r="G210" s="114">
        <v>19</v>
      </c>
      <c r="H210" s="115" t="s">
        <v>347</v>
      </c>
    </row>
    <row r="211" spans="1:8" ht="19.899999999999999" customHeight="1">
      <c r="A211" s="121">
        <v>46036</v>
      </c>
      <c r="B211" s="112" t="s">
        <v>61</v>
      </c>
      <c r="C211" s="113" t="s">
        <v>364</v>
      </c>
      <c r="D211" s="112" t="s">
        <v>341</v>
      </c>
      <c r="E211" s="122">
        <v>1.2326388888888891</v>
      </c>
      <c r="F211" s="112" t="s">
        <v>63</v>
      </c>
      <c r="G211" s="114">
        <v>6</v>
      </c>
      <c r="H211" s="115" t="s">
        <v>365</v>
      </c>
    </row>
    <row r="212" spans="1:8" ht="19.899999999999999" customHeight="1">
      <c r="A212" s="121">
        <v>46036</v>
      </c>
      <c r="B212" s="112" t="s">
        <v>61</v>
      </c>
      <c r="C212" s="113" t="s">
        <v>432</v>
      </c>
      <c r="D212" s="112" t="s">
        <v>341</v>
      </c>
      <c r="E212" s="122">
        <v>1.34375</v>
      </c>
      <c r="F212" s="112" t="s">
        <v>63</v>
      </c>
      <c r="G212" s="114">
        <v>6</v>
      </c>
      <c r="H212" s="115" t="s">
        <v>365</v>
      </c>
    </row>
    <row r="213" spans="1:8" ht="19.899999999999999" customHeight="1">
      <c r="A213" s="121">
        <v>46036</v>
      </c>
      <c r="B213" s="112" t="s">
        <v>61</v>
      </c>
      <c r="C213" s="113" t="s">
        <v>428</v>
      </c>
      <c r="D213" s="112" t="s">
        <v>341</v>
      </c>
      <c r="E213" s="122">
        <v>1.9375</v>
      </c>
      <c r="F213" s="112" t="s">
        <v>63</v>
      </c>
      <c r="G213" s="114">
        <v>3</v>
      </c>
      <c r="H213" s="115" t="s">
        <v>365</v>
      </c>
    </row>
    <row r="214" spans="1:8" ht="19.899999999999999" customHeight="1">
      <c r="A214" s="121">
        <v>46036</v>
      </c>
      <c r="B214" s="112" t="s">
        <v>61</v>
      </c>
      <c r="C214" s="113" t="s">
        <v>375</v>
      </c>
      <c r="D214" s="112" t="s">
        <v>341</v>
      </c>
      <c r="E214" s="122">
        <v>1.3402777777777779</v>
      </c>
      <c r="F214" s="112" t="s">
        <v>63</v>
      </c>
      <c r="G214" s="114">
        <v>6</v>
      </c>
      <c r="H214" s="115" t="s">
        <v>365</v>
      </c>
    </row>
    <row r="215" spans="1:8" ht="19.899999999999999" customHeight="1">
      <c r="A215" s="121">
        <v>46036</v>
      </c>
      <c r="B215" s="112" t="s">
        <v>26</v>
      </c>
      <c r="C215" s="113" t="s">
        <v>354</v>
      </c>
      <c r="D215" s="112" t="s">
        <v>341</v>
      </c>
      <c r="E215" s="122">
        <v>1.3472222222222221</v>
      </c>
      <c r="F215" s="112" t="s">
        <v>28</v>
      </c>
      <c r="G215" s="114">
        <v>5</v>
      </c>
      <c r="H215" s="115" t="s">
        <v>83</v>
      </c>
    </row>
    <row r="216" spans="1:8" ht="19.899999999999999" customHeight="1">
      <c r="A216" s="121">
        <v>46036</v>
      </c>
      <c r="B216" s="112" t="s">
        <v>26</v>
      </c>
      <c r="C216" s="113" t="s">
        <v>348</v>
      </c>
      <c r="D216" s="112" t="s">
        <v>341</v>
      </c>
      <c r="E216" s="122">
        <v>1.993055555555556</v>
      </c>
      <c r="F216" s="112" t="s">
        <v>28</v>
      </c>
      <c r="G216" s="114">
        <v>4</v>
      </c>
      <c r="H216" s="115" t="s">
        <v>83</v>
      </c>
    </row>
    <row r="217" spans="1:8" ht="19.899999999999999" customHeight="1">
      <c r="A217" s="123">
        <v>46036</v>
      </c>
      <c r="B217" s="124" t="s">
        <v>26</v>
      </c>
      <c r="C217" s="125" t="s">
        <v>351</v>
      </c>
      <c r="D217" s="124" t="s">
        <v>341</v>
      </c>
      <c r="E217" s="126">
        <v>1.836805555555556</v>
      </c>
      <c r="F217" s="124" t="s">
        <v>28</v>
      </c>
      <c r="G217" s="127">
        <v>1</v>
      </c>
      <c r="H217" s="128" t="s">
        <v>83</v>
      </c>
    </row>
    <row r="218" spans="1:8" ht="19.899999999999999" customHeight="1">
      <c r="A218" s="129">
        <v>46037</v>
      </c>
      <c r="B218" s="117" t="s">
        <v>61</v>
      </c>
      <c r="C218" s="118" t="s">
        <v>707</v>
      </c>
      <c r="D218" s="117" t="s">
        <v>706</v>
      </c>
      <c r="E218" s="130">
        <v>1.524305555555556</v>
      </c>
      <c r="F218" s="117" t="s">
        <v>63</v>
      </c>
      <c r="G218" s="119">
        <v>2</v>
      </c>
      <c r="H218" s="120" t="s">
        <v>708</v>
      </c>
    </row>
    <row r="219" spans="1:8" ht="19.899999999999999" customHeight="1">
      <c r="A219" s="129">
        <v>46037</v>
      </c>
      <c r="B219" s="117" t="s">
        <v>61</v>
      </c>
      <c r="C219" s="118" t="s">
        <v>710</v>
      </c>
      <c r="D219" s="117" t="s">
        <v>706</v>
      </c>
      <c r="E219" s="130">
        <v>1.5486111111111109</v>
      </c>
      <c r="F219" s="117" t="s">
        <v>63</v>
      </c>
      <c r="G219" s="119">
        <v>1</v>
      </c>
      <c r="H219" s="120" t="s">
        <v>708</v>
      </c>
    </row>
    <row r="220" spans="1:8" ht="19.899999999999999" customHeight="1">
      <c r="A220" s="121">
        <v>46037</v>
      </c>
      <c r="B220" s="112" t="s">
        <v>68</v>
      </c>
      <c r="C220" s="113" t="s">
        <v>713</v>
      </c>
      <c r="D220" s="112" t="s">
        <v>706</v>
      </c>
      <c r="E220" s="122">
        <v>1.524305555555556</v>
      </c>
      <c r="F220" s="112" t="s">
        <v>643</v>
      </c>
      <c r="G220" s="114">
        <v>4</v>
      </c>
      <c r="H220" s="115" t="s">
        <v>714</v>
      </c>
    </row>
    <row r="221" spans="1:8" ht="19.899999999999999" customHeight="1">
      <c r="A221" s="143"/>
      <c r="B221" s="144"/>
      <c r="C221" s="144"/>
      <c r="D221" s="144"/>
      <c r="E221" s="144"/>
      <c r="F221" s="145" t="s">
        <v>705</v>
      </c>
      <c r="G221" s="144"/>
      <c r="H221" s="146"/>
    </row>
    <row r="222" spans="1:8" ht="19.899999999999999" customHeight="1">
      <c r="A222" s="121">
        <v>46037</v>
      </c>
      <c r="B222" s="112" t="s">
        <v>38</v>
      </c>
      <c r="C222" s="113" t="s">
        <v>344</v>
      </c>
      <c r="D222" s="112" t="s">
        <v>341</v>
      </c>
      <c r="E222" s="122">
        <v>1.8888888888888891</v>
      </c>
      <c r="F222" s="112" t="s">
        <v>40</v>
      </c>
      <c r="G222" s="114">
        <v>17</v>
      </c>
      <c r="H222" s="115" t="s">
        <v>347</v>
      </c>
    </row>
    <row r="223" spans="1:8" ht="19.899999999999999" customHeight="1">
      <c r="A223" s="121">
        <v>46037</v>
      </c>
      <c r="B223" s="112" t="s">
        <v>38</v>
      </c>
      <c r="C223" s="113" t="s">
        <v>345</v>
      </c>
      <c r="D223" s="112" t="s">
        <v>341</v>
      </c>
      <c r="E223" s="122">
        <v>1.989583333333333</v>
      </c>
      <c r="F223" s="112" t="s">
        <v>40</v>
      </c>
      <c r="G223" s="114">
        <v>20</v>
      </c>
      <c r="H223" s="115" t="s">
        <v>347</v>
      </c>
    </row>
    <row r="224" spans="1:8" ht="19.899999999999999" customHeight="1">
      <c r="A224" s="121">
        <v>46037</v>
      </c>
      <c r="B224" s="112" t="s">
        <v>61</v>
      </c>
      <c r="C224" s="113" t="s">
        <v>371</v>
      </c>
      <c r="D224" s="112" t="s">
        <v>341</v>
      </c>
      <c r="E224" s="122">
        <v>1.0659722222222221</v>
      </c>
      <c r="F224" s="112" t="s">
        <v>63</v>
      </c>
      <c r="G224" s="114">
        <v>1</v>
      </c>
      <c r="H224" s="115" t="s">
        <v>365</v>
      </c>
    </row>
    <row r="225" spans="1:8" ht="19.899999999999999" customHeight="1">
      <c r="A225" s="121">
        <v>46037</v>
      </c>
      <c r="B225" s="112" t="s">
        <v>38</v>
      </c>
      <c r="C225" s="113" t="s">
        <v>342</v>
      </c>
      <c r="D225" s="112" t="s">
        <v>341</v>
      </c>
      <c r="E225" s="122">
        <v>1.489583333333333</v>
      </c>
      <c r="F225" s="112" t="s">
        <v>40</v>
      </c>
      <c r="G225" s="114">
        <v>16</v>
      </c>
      <c r="H225" s="115" t="s">
        <v>121</v>
      </c>
    </row>
    <row r="226" spans="1:8" ht="19.899999999999999" customHeight="1">
      <c r="A226" s="121">
        <v>46037</v>
      </c>
      <c r="B226" s="112" t="s">
        <v>48</v>
      </c>
      <c r="C226" s="113" t="s">
        <v>386</v>
      </c>
      <c r="D226" s="112" t="s">
        <v>341</v>
      </c>
      <c r="E226" s="122">
        <v>1.8298611111111109</v>
      </c>
      <c r="F226" s="112" t="s">
        <v>50</v>
      </c>
      <c r="G226" s="114">
        <v>1</v>
      </c>
      <c r="H226" s="115" t="s">
        <v>383</v>
      </c>
    </row>
    <row r="227" spans="1:8" ht="19.899999999999999" customHeight="1">
      <c r="A227" s="121">
        <v>46037</v>
      </c>
      <c r="B227" s="112" t="s">
        <v>48</v>
      </c>
      <c r="C227" s="113" t="s">
        <v>385</v>
      </c>
      <c r="D227" s="112" t="s">
        <v>341</v>
      </c>
      <c r="E227" s="122">
        <v>1.9409722222222221</v>
      </c>
      <c r="F227" s="112" t="s">
        <v>50</v>
      </c>
      <c r="G227" s="114">
        <v>1</v>
      </c>
      <c r="H227" s="115" t="s">
        <v>383</v>
      </c>
    </row>
    <row r="228" spans="1:8" ht="19.899999999999999" customHeight="1">
      <c r="A228" s="121">
        <v>46037</v>
      </c>
      <c r="B228" s="112" t="s">
        <v>359</v>
      </c>
      <c r="C228" s="113" t="s">
        <v>360</v>
      </c>
      <c r="D228" s="112" t="s">
        <v>341</v>
      </c>
      <c r="E228" s="122">
        <v>1.1701388888888891</v>
      </c>
      <c r="F228" s="112" t="s">
        <v>361</v>
      </c>
      <c r="G228" s="114">
        <v>9</v>
      </c>
      <c r="H228" s="115" t="s">
        <v>493</v>
      </c>
    </row>
    <row r="229" spans="1:8" ht="19.899999999999999" customHeight="1">
      <c r="A229" s="121">
        <v>46037</v>
      </c>
      <c r="B229" s="112" t="s">
        <v>38</v>
      </c>
      <c r="C229" s="113" t="s">
        <v>346</v>
      </c>
      <c r="D229" s="112" t="s">
        <v>341</v>
      </c>
      <c r="E229" s="122">
        <v>1.399305555555556</v>
      </c>
      <c r="F229" s="112" t="s">
        <v>40</v>
      </c>
      <c r="G229" s="114">
        <v>14</v>
      </c>
      <c r="H229" s="115" t="s">
        <v>349</v>
      </c>
    </row>
    <row r="230" spans="1:8" ht="19.899999999999999" customHeight="1">
      <c r="A230" s="121">
        <v>46037</v>
      </c>
      <c r="B230" s="112" t="s">
        <v>402</v>
      </c>
      <c r="C230" s="113" t="s">
        <v>403</v>
      </c>
      <c r="D230" s="112" t="s">
        <v>341</v>
      </c>
      <c r="E230" s="122">
        <v>1.493055555555556</v>
      </c>
      <c r="F230" s="112" t="s">
        <v>63</v>
      </c>
      <c r="G230" s="114">
        <v>5</v>
      </c>
      <c r="H230" s="115" t="s">
        <v>404</v>
      </c>
    </row>
    <row r="231" spans="1:8" ht="19.899999999999999" customHeight="1">
      <c r="A231" s="123">
        <v>46037</v>
      </c>
      <c r="B231" s="124" t="s">
        <v>61</v>
      </c>
      <c r="C231" s="125" t="s">
        <v>369</v>
      </c>
      <c r="D231" s="124" t="s">
        <v>341</v>
      </c>
      <c r="E231" s="126">
        <v>1.1875</v>
      </c>
      <c r="F231" s="124" t="s">
        <v>63</v>
      </c>
      <c r="G231" s="127">
        <v>9</v>
      </c>
      <c r="H231" s="128" t="s">
        <v>79</v>
      </c>
    </row>
    <row r="232" spans="1:8" ht="19.899999999999999" customHeight="1">
      <c r="A232" s="129">
        <v>46038</v>
      </c>
      <c r="B232" s="117" t="s">
        <v>61</v>
      </c>
      <c r="C232" s="118" t="s">
        <v>715</v>
      </c>
      <c r="D232" s="117" t="s">
        <v>706</v>
      </c>
      <c r="E232" s="130">
        <v>1.135416666666667</v>
      </c>
      <c r="F232" s="117" t="s">
        <v>63</v>
      </c>
      <c r="G232" s="119">
        <v>3</v>
      </c>
      <c r="H232" s="120" t="s">
        <v>711</v>
      </c>
    </row>
    <row r="233" spans="1:8" ht="19.899999999999999" customHeight="1">
      <c r="A233" s="143"/>
      <c r="B233" s="144"/>
      <c r="C233" s="144"/>
      <c r="D233" s="144"/>
      <c r="E233" s="144"/>
      <c r="F233" s="145" t="s">
        <v>705</v>
      </c>
      <c r="G233" s="144"/>
      <c r="H233" s="146"/>
    </row>
    <row r="234" spans="1:8" ht="19.899999999999999" customHeight="1">
      <c r="A234" s="121">
        <v>46038</v>
      </c>
      <c r="B234" s="112" t="s">
        <v>38</v>
      </c>
      <c r="C234" s="113" t="s">
        <v>346</v>
      </c>
      <c r="D234" s="112" t="s">
        <v>341</v>
      </c>
      <c r="E234" s="122">
        <v>1.399305555555556</v>
      </c>
      <c r="F234" s="112" t="s">
        <v>40</v>
      </c>
      <c r="G234" s="114">
        <v>14</v>
      </c>
      <c r="H234" s="115" t="s">
        <v>121</v>
      </c>
    </row>
    <row r="235" spans="1:8" ht="19.899999999999999" customHeight="1">
      <c r="A235" s="121">
        <v>46038</v>
      </c>
      <c r="B235" s="112" t="s">
        <v>359</v>
      </c>
      <c r="C235" s="113" t="s">
        <v>422</v>
      </c>
      <c r="D235" s="112" t="s">
        <v>341</v>
      </c>
      <c r="E235" s="122">
        <v>1.8090277777777779</v>
      </c>
      <c r="F235" s="112" t="s">
        <v>361</v>
      </c>
      <c r="G235" s="114">
        <v>9</v>
      </c>
      <c r="H235" s="115" t="s">
        <v>504</v>
      </c>
    </row>
    <row r="236" spans="1:8" ht="19.899999999999999" customHeight="1">
      <c r="A236" s="121">
        <v>46038</v>
      </c>
      <c r="B236" s="112" t="s">
        <v>359</v>
      </c>
      <c r="C236" s="113" t="s">
        <v>360</v>
      </c>
      <c r="D236" s="112" t="s">
        <v>341</v>
      </c>
      <c r="E236" s="122">
        <v>1.225694444444444</v>
      </c>
      <c r="F236" s="112" t="s">
        <v>361</v>
      </c>
      <c r="G236" s="114">
        <v>9</v>
      </c>
      <c r="H236" s="115" t="s">
        <v>504</v>
      </c>
    </row>
    <row r="237" spans="1:8" ht="19.899999999999999" customHeight="1">
      <c r="A237" s="121">
        <v>46038</v>
      </c>
      <c r="B237" s="112" t="s">
        <v>359</v>
      </c>
      <c r="C237" s="113" t="s">
        <v>425</v>
      </c>
      <c r="D237" s="112" t="s">
        <v>341</v>
      </c>
      <c r="E237" s="122">
        <v>1.510416666666667</v>
      </c>
      <c r="F237" s="112" t="s">
        <v>361</v>
      </c>
      <c r="G237" s="114">
        <v>9</v>
      </c>
      <c r="H237" s="115" t="s">
        <v>504</v>
      </c>
    </row>
    <row r="238" spans="1:8" ht="19.899999999999999" customHeight="1">
      <c r="A238" s="121">
        <v>46038</v>
      </c>
      <c r="B238" s="112" t="s">
        <v>38</v>
      </c>
      <c r="C238" s="113" t="s">
        <v>342</v>
      </c>
      <c r="D238" s="112" t="s">
        <v>341</v>
      </c>
      <c r="E238" s="122">
        <v>1.489583333333333</v>
      </c>
      <c r="F238" s="112" t="s">
        <v>40</v>
      </c>
      <c r="G238" s="114">
        <v>20</v>
      </c>
      <c r="H238" s="115" t="s">
        <v>349</v>
      </c>
    </row>
    <row r="239" spans="1:8" ht="19.899999999999999" customHeight="1">
      <c r="A239" s="121">
        <v>46038</v>
      </c>
      <c r="B239" s="112" t="s">
        <v>402</v>
      </c>
      <c r="C239" s="113" t="s">
        <v>403</v>
      </c>
      <c r="D239" s="112" t="s">
        <v>341</v>
      </c>
      <c r="E239" s="122">
        <v>1.493055555555556</v>
      </c>
      <c r="F239" s="112" t="s">
        <v>63</v>
      </c>
      <c r="G239" s="114">
        <v>5</v>
      </c>
      <c r="H239" s="115" t="s">
        <v>404</v>
      </c>
    </row>
    <row r="240" spans="1:8" ht="19.899999999999999" customHeight="1">
      <c r="A240" s="121">
        <v>46038</v>
      </c>
      <c r="B240" s="112" t="s">
        <v>61</v>
      </c>
      <c r="C240" s="113" t="s">
        <v>428</v>
      </c>
      <c r="D240" s="112" t="s">
        <v>341</v>
      </c>
      <c r="E240" s="122">
        <v>1.5590277777777779</v>
      </c>
      <c r="F240" s="112" t="s">
        <v>63</v>
      </c>
      <c r="G240" s="114">
        <v>2</v>
      </c>
      <c r="H240" s="115" t="s">
        <v>79</v>
      </c>
    </row>
    <row r="241" spans="1:8" ht="19.899999999999999" customHeight="1">
      <c r="A241" s="121">
        <v>46038</v>
      </c>
      <c r="B241" s="112" t="s">
        <v>61</v>
      </c>
      <c r="C241" s="113" t="s">
        <v>375</v>
      </c>
      <c r="D241" s="112" t="s">
        <v>341</v>
      </c>
      <c r="E241" s="122">
        <v>1.1423611111111109</v>
      </c>
      <c r="F241" s="112" t="s">
        <v>63</v>
      </c>
      <c r="G241" s="114">
        <v>1</v>
      </c>
      <c r="H241" s="115" t="s">
        <v>79</v>
      </c>
    </row>
    <row r="242" spans="1:8" ht="19.899999999999999" customHeight="1">
      <c r="A242" s="121">
        <v>46038</v>
      </c>
      <c r="B242" s="112" t="s">
        <v>61</v>
      </c>
      <c r="C242" s="113" t="s">
        <v>377</v>
      </c>
      <c r="D242" s="112" t="s">
        <v>341</v>
      </c>
      <c r="E242" s="122">
        <v>1.28125</v>
      </c>
      <c r="F242" s="112" t="s">
        <v>63</v>
      </c>
      <c r="G242" s="114">
        <v>5</v>
      </c>
      <c r="H242" s="115" t="s">
        <v>79</v>
      </c>
    </row>
    <row r="243" spans="1:8" ht="19.899999999999999" customHeight="1">
      <c r="A243" s="123">
        <v>46038</v>
      </c>
      <c r="B243" s="124" t="s">
        <v>61</v>
      </c>
      <c r="C243" s="125" t="s">
        <v>379</v>
      </c>
      <c r="D243" s="124" t="s">
        <v>341</v>
      </c>
      <c r="E243" s="126">
        <v>1.4375</v>
      </c>
      <c r="F243" s="124" t="s">
        <v>63</v>
      </c>
      <c r="G243" s="127">
        <v>2</v>
      </c>
      <c r="H243" s="128" t="s">
        <v>79</v>
      </c>
    </row>
    <row r="244" spans="1:8" ht="19.899999999999999" customHeight="1">
      <c r="A244" s="129">
        <v>46039</v>
      </c>
      <c r="B244" s="117" t="s">
        <v>61</v>
      </c>
      <c r="C244" s="118" t="s">
        <v>707</v>
      </c>
      <c r="D244" s="117" t="s">
        <v>706</v>
      </c>
      <c r="E244" s="130">
        <v>1.302083333333333</v>
      </c>
      <c r="F244" s="117" t="s">
        <v>63</v>
      </c>
      <c r="G244" s="119">
        <v>2</v>
      </c>
      <c r="H244" s="120" t="s">
        <v>708</v>
      </c>
    </row>
    <row r="245" spans="1:8" ht="19.899999999999999" customHeight="1">
      <c r="A245" s="129">
        <v>46039</v>
      </c>
      <c r="B245" s="117" t="s">
        <v>61</v>
      </c>
      <c r="C245" s="118" t="s">
        <v>715</v>
      </c>
      <c r="D245" s="117" t="s">
        <v>706</v>
      </c>
      <c r="E245" s="130">
        <v>1.1423611111111109</v>
      </c>
      <c r="F245" s="117" t="s">
        <v>63</v>
      </c>
      <c r="G245" s="119">
        <v>2</v>
      </c>
      <c r="H245" s="120" t="s">
        <v>708</v>
      </c>
    </row>
    <row r="246" spans="1:8" ht="19.899999999999999" customHeight="1">
      <c r="A246" s="129">
        <v>46039</v>
      </c>
      <c r="B246" s="117" t="s">
        <v>61</v>
      </c>
      <c r="C246" s="118" t="s">
        <v>710</v>
      </c>
      <c r="D246" s="117" t="s">
        <v>706</v>
      </c>
      <c r="E246" s="130">
        <v>1.5277777777777779</v>
      </c>
      <c r="F246" s="117" t="s">
        <v>63</v>
      </c>
      <c r="G246" s="119">
        <v>1</v>
      </c>
      <c r="H246" s="120" t="s">
        <v>711</v>
      </c>
    </row>
    <row r="247" spans="1:8" ht="19.899999999999999" customHeight="1">
      <c r="A247" s="121">
        <v>46039</v>
      </c>
      <c r="B247" s="112" t="s">
        <v>68</v>
      </c>
      <c r="C247" s="113" t="s">
        <v>713</v>
      </c>
      <c r="D247" s="112" t="s">
        <v>706</v>
      </c>
      <c r="E247" s="122">
        <v>1.302083333333333</v>
      </c>
      <c r="F247" s="112" t="s">
        <v>643</v>
      </c>
      <c r="G247" s="114">
        <v>4</v>
      </c>
      <c r="H247" s="115" t="s">
        <v>714</v>
      </c>
    </row>
    <row r="248" spans="1:8" ht="19.899999999999999" customHeight="1">
      <c r="A248" s="143"/>
      <c r="B248" s="144"/>
      <c r="C248" s="144"/>
      <c r="D248" s="144"/>
      <c r="E248" s="144"/>
      <c r="F248" s="145" t="s">
        <v>705</v>
      </c>
      <c r="G248" s="144"/>
      <c r="H248" s="146"/>
    </row>
    <row r="249" spans="1:8" ht="19.899999999999999" customHeight="1">
      <c r="A249" s="121">
        <v>46039</v>
      </c>
      <c r="B249" s="112" t="s">
        <v>38</v>
      </c>
      <c r="C249" s="113" t="s">
        <v>346</v>
      </c>
      <c r="D249" s="112" t="s">
        <v>341</v>
      </c>
      <c r="E249" s="122">
        <v>1.399305555555556</v>
      </c>
      <c r="F249" s="112" t="s">
        <v>40</v>
      </c>
      <c r="G249" s="114">
        <v>10</v>
      </c>
      <c r="H249" s="115" t="s">
        <v>121</v>
      </c>
    </row>
    <row r="250" spans="1:8" ht="19.899999999999999" customHeight="1">
      <c r="A250" s="121">
        <v>46039</v>
      </c>
      <c r="B250" s="112" t="s">
        <v>359</v>
      </c>
      <c r="C250" s="113" t="s">
        <v>360</v>
      </c>
      <c r="D250" s="112" t="s">
        <v>341</v>
      </c>
      <c r="E250" s="122">
        <v>1.1701388888888891</v>
      </c>
      <c r="F250" s="112" t="s">
        <v>361</v>
      </c>
      <c r="G250" s="114">
        <v>9</v>
      </c>
      <c r="H250" s="115" t="s">
        <v>504</v>
      </c>
    </row>
    <row r="251" spans="1:8" ht="19.899999999999999" customHeight="1">
      <c r="A251" s="121">
        <v>46039</v>
      </c>
      <c r="B251" s="112" t="s">
        <v>359</v>
      </c>
      <c r="C251" s="113" t="s">
        <v>445</v>
      </c>
      <c r="D251" s="112" t="s">
        <v>341</v>
      </c>
      <c r="E251" s="122">
        <v>1.055555555555556</v>
      </c>
      <c r="F251" s="112" t="s">
        <v>361</v>
      </c>
      <c r="G251" s="114">
        <v>9</v>
      </c>
      <c r="H251" s="115" t="s">
        <v>504</v>
      </c>
    </row>
    <row r="252" spans="1:8" ht="19.899999999999999" customHeight="1">
      <c r="A252" s="121">
        <v>46039</v>
      </c>
      <c r="B252" s="112" t="s">
        <v>402</v>
      </c>
      <c r="C252" s="113" t="s">
        <v>403</v>
      </c>
      <c r="D252" s="112" t="s">
        <v>341</v>
      </c>
      <c r="E252" s="122">
        <v>1.493055555555556</v>
      </c>
      <c r="F252" s="112" t="s">
        <v>63</v>
      </c>
      <c r="G252" s="114">
        <v>3</v>
      </c>
      <c r="H252" s="115" t="s">
        <v>404</v>
      </c>
    </row>
    <row r="253" spans="1:8" ht="19.899999999999999" customHeight="1">
      <c r="A253" s="121">
        <v>46039</v>
      </c>
      <c r="B253" s="112" t="s">
        <v>38</v>
      </c>
      <c r="C253" s="113" t="s">
        <v>345</v>
      </c>
      <c r="D253" s="112" t="s">
        <v>341</v>
      </c>
      <c r="E253" s="122">
        <v>1.989583333333333</v>
      </c>
      <c r="F253" s="112" t="s">
        <v>40</v>
      </c>
      <c r="G253" s="114">
        <v>17</v>
      </c>
      <c r="H253" s="115" t="s">
        <v>426</v>
      </c>
    </row>
    <row r="254" spans="1:8" ht="19.899999999999999" customHeight="1">
      <c r="A254" s="121">
        <v>46039</v>
      </c>
      <c r="B254" s="112" t="s">
        <v>26</v>
      </c>
      <c r="C254" s="113" t="s">
        <v>357</v>
      </c>
      <c r="D254" s="112" t="s">
        <v>341</v>
      </c>
      <c r="E254" s="122">
        <v>1.3923611111111109</v>
      </c>
      <c r="F254" s="112" t="s">
        <v>28</v>
      </c>
      <c r="G254" s="114">
        <v>6</v>
      </c>
      <c r="H254" s="115" t="s">
        <v>45</v>
      </c>
    </row>
    <row r="255" spans="1:8" ht="19.899999999999999" customHeight="1">
      <c r="A255" s="121">
        <v>46039</v>
      </c>
      <c r="B255" s="112" t="s">
        <v>61</v>
      </c>
      <c r="C255" s="113" t="s">
        <v>371</v>
      </c>
      <c r="D255" s="112" t="s">
        <v>341</v>
      </c>
      <c r="E255" s="122">
        <v>1.0486111111111109</v>
      </c>
      <c r="F255" s="112" t="s">
        <v>63</v>
      </c>
      <c r="G255" s="114">
        <v>5</v>
      </c>
      <c r="H255" s="115" t="s">
        <v>449</v>
      </c>
    </row>
    <row r="256" spans="1:8" ht="19.899999999999999" customHeight="1">
      <c r="A256" s="121">
        <v>46039</v>
      </c>
      <c r="B256" s="112" t="s">
        <v>61</v>
      </c>
      <c r="C256" s="113" t="s">
        <v>375</v>
      </c>
      <c r="D256" s="112" t="s">
        <v>341</v>
      </c>
      <c r="E256" s="122">
        <v>1.15625</v>
      </c>
      <c r="F256" s="112" t="s">
        <v>63</v>
      </c>
      <c r="G256" s="114">
        <v>9</v>
      </c>
      <c r="H256" s="115" t="s">
        <v>449</v>
      </c>
    </row>
    <row r="257" spans="1:8" ht="19.899999999999999" customHeight="1">
      <c r="A257" s="121">
        <v>46039</v>
      </c>
      <c r="B257" s="112" t="s">
        <v>38</v>
      </c>
      <c r="C257" s="113" t="s">
        <v>342</v>
      </c>
      <c r="D257" s="112" t="s">
        <v>341</v>
      </c>
      <c r="E257" s="122">
        <v>1.489583333333333</v>
      </c>
      <c r="F257" s="112" t="s">
        <v>40</v>
      </c>
      <c r="G257" s="114">
        <v>13</v>
      </c>
      <c r="H257" s="115" t="s">
        <v>138</v>
      </c>
    </row>
    <row r="258" spans="1:8" ht="19.899999999999999" customHeight="1">
      <c r="A258" s="123">
        <v>46039</v>
      </c>
      <c r="B258" s="124" t="s">
        <v>38</v>
      </c>
      <c r="C258" s="125" t="s">
        <v>346</v>
      </c>
      <c r="D258" s="124" t="s">
        <v>341</v>
      </c>
      <c r="E258" s="126">
        <v>1.399305555555556</v>
      </c>
      <c r="F258" s="124" t="s">
        <v>43</v>
      </c>
      <c r="G258" s="127">
        <v>10</v>
      </c>
      <c r="H258" s="128" t="s">
        <v>123</v>
      </c>
    </row>
    <row r="259" spans="1:8" ht="19.899999999999999" customHeight="1">
      <c r="A259" s="129">
        <v>46040</v>
      </c>
      <c r="B259" s="117" t="s">
        <v>61</v>
      </c>
      <c r="C259" s="118" t="s">
        <v>710</v>
      </c>
      <c r="D259" s="117" t="s">
        <v>706</v>
      </c>
      <c r="E259" s="130">
        <v>1.6909722222222221</v>
      </c>
      <c r="F259" s="117" t="s">
        <v>63</v>
      </c>
      <c r="G259" s="119">
        <v>3</v>
      </c>
      <c r="H259" s="120" t="s">
        <v>708</v>
      </c>
    </row>
    <row r="260" spans="1:8" ht="19.899999999999999" customHeight="1">
      <c r="A260" s="129">
        <v>46040</v>
      </c>
      <c r="B260" s="117" t="s">
        <v>61</v>
      </c>
      <c r="C260" s="118" t="s">
        <v>715</v>
      </c>
      <c r="D260" s="117" t="s">
        <v>706</v>
      </c>
      <c r="E260" s="130">
        <v>1.3298611111111109</v>
      </c>
      <c r="F260" s="117" t="s">
        <v>63</v>
      </c>
      <c r="G260" s="119">
        <v>4</v>
      </c>
      <c r="H260" s="120" t="s">
        <v>708</v>
      </c>
    </row>
    <row r="261" spans="1:8" ht="19.899999999999999" customHeight="1">
      <c r="A261" s="121">
        <v>46040</v>
      </c>
      <c r="B261" s="112" t="s">
        <v>38</v>
      </c>
      <c r="C261" s="113" t="s">
        <v>719</v>
      </c>
      <c r="D261" s="112" t="s">
        <v>706</v>
      </c>
      <c r="E261" s="122">
        <v>1.364583333333333</v>
      </c>
      <c r="F261" s="112" t="s">
        <v>622</v>
      </c>
      <c r="G261" s="114">
        <v>10</v>
      </c>
      <c r="H261" s="115" t="s">
        <v>426</v>
      </c>
    </row>
    <row r="262" spans="1:8" ht="19.899999999999999" customHeight="1">
      <c r="A262" s="121">
        <v>46040</v>
      </c>
      <c r="B262" s="112" t="s">
        <v>38</v>
      </c>
      <c r="C262" s="113" t="s">
        <v>719</v>
      </c>
      <c r="D262" s="112" t="s">
        <v>706</v>
      </c>
      <c r="E262" s="122">
        <v>1.364583333333333</v>
      </c>
      <c r="F262" s="112" t="s">
        <v>603</v>
      </c>
      <c r="G262" s="114">
        <v>10</v>
      </c>
      <c r="H262" s="115" t="s">
        <v>647</v>
      </c>
    </row>
    <row r="263" spans="1:8" ht="19.899999999999999" customHeight="1">
      <c r="A263" s="121">
        <v>46040</v>
      </c>
      <c r="B263" s="112" t="s">
        <v>38</v>
      </c>
      <c r="C263" s="113" t="s">
        <v>719</v>
      </c>
      <c r="D263" s="112" t="s">
        <v>706</v>
      </c>
      <c r="E263" s="122">
        <v>1.364583333333333</v>
      </c>
      <c r="F263" s="112" t="s">
        <v>605</v>
      </c>
      <c r="G263" s="114">
        <v>10</v>
      </c>
      <c r="H263" s="115" t="s">
        <v>736</v>
      </c>
    </row>
    <row r="264" spans="1:8" ht="19.899999999999999" customHeight="1">
      <c r="A264" s="121">
        <v>46040</v>
      </c>
      <c r="B264" s="112" t="s">
        <v>38</v>
      </c>
      <c r="C264" s="113" t="s">
        <v>719</v>
      </c>
      <c r="D264" s="112" t="s">
        <v>706</v>
      </c>
      <c r="E264" s="122">
        <v>1.364583333333333</v>
      </c>
      <c r="F264" s="112" t="s">
        <v>625</v>
      </c>
      <c r="G264" s="114">
        <v>10</v>
      </c>
      <c r="H264" s="115" t="s">
        <v>455</v>
      </c>
    </row>
    <row r="265" spans="1:8" ht="19.899999999999999" customHeight="1">
      <c r="A265" s="143"/>
      <c r="B265" s="144"/>
      <c r="C265" s="144"/>
      <c r="D265" s="144"/>
      <c r="E265" s="144"/>
      <c r="F265" s="145" t="s">
        <v>705</v>
      </c>
      <c r="G265" s="144"/>
      <c r="H265" s="146"/>
    </row>
    <row r="266" spans="1:8" ht="19.899999999999999" customHeight="1">
      <c r="A266" s="121">
        <v>46040</v>
      </c>
      <c r="B266" s="112" t="s">
        <v>38</v>
      </c>
      <c r="C266" s="113" t="s">
        <v>346</v>
      </c>
      <c r="D266" s="112" t="s">
        <v>341</v>
      </c>
      <c r="E266" s="122">
        <v>1.399305555555556</v>
      </c>
      <c r="F266" s="112" t="s">
        <v>40</v>
      </c>
      <c r="G266" s="114">
        <v>13</v>
      </c>
      <c r="H266" s="115" t="s">
        <v>347</v>
      </c>
    </row>
    <row r="267" spans="1:8" ht="19.899999999999999" customHeight="1">
      <c r="A267" s="121">
        <v>46040</v>
      </c>
      <c r="B267" s="112" t="s">
        <v>38</v>
      </c>
      <c r="C267" s="113" t="s">
        <v>342</v>
      </c>
      <c r="D267" s="112" t="s">
        <v>341</v>
      </c>
      <c r="E267" s="122">
        <v>1.489583333333333</v>
      </c>
      <c r="F267" s="112" t="s">
        <v>40</v>
      </c>
      <c r="G267" s="114">
        <v>20</v>
      </c>
      <c r="H267" s="115" t="s">
        <v>347</v>
      </c>
    </row>
    <row r="268" spans="1:8" ht="19.899999999999999" customHeight="1">
      <c r="A268" s="121">
        <v>46040</v>
      </c>
      <c r="B268" s="112" t="s">
        <v>359</v>
      </c>
      <c r="C268" s="113" t="s">
        <v>360</v>
      </c>
      <c r="D268" s="112" t="s">
        <v>341</v>
      </c>
      <c r="E268" s="122">
        <v>1.229166666666667</v>
      </c>
      <c r="F268" s="112" t="s">
        <v>361</v>
      </c>
      <c r="G268" s="114">
        <v>9</v>
      </c>
      <c r="H268" s="115" t="s">
        <v>504</v>
      </c>
    </row>
    <row r="269" spans="1:8" ht="19.899999999999999" customHeight="1">
      <c r="A269" s="121">
        <v>46040</v>
      </c>
      <c r="B269" s="112" t="s">
        <v>38</v>
      </c>
      <c r="C269" s="113" t="s">
        <v>345</v>
      </c>
      <c r="D269" s="112" t="s">
        <v>341</v>
      </c>
      <c r="E269" s="122">
        <v>1.989583333333333</v>
      </c>
      <c r="F269" s="112" t="s">
        <v>40</v>
      </c>
      <c r="G269" s="114">
        <v>13</v>
      </c>
      <c r="H269" s="115" t="s">
        <v>349</v>
      </c>
    </row>
    <row r="270" spans="1:8" ht="19.899999999999999" customHeight="1">
      <c r="A270" s="121">
        <v>46040</v>
      </c>
      <c r="B270" s="112" t="s">
        <v>402</v>
      </c>
      <c r="C270" s="113" t="s">
        <v>403</v>
      </c>
      <c r="D270" s="112" t="s">
        <v>341</v>
      </c>
      <c r="E270" s="122">
        <v>1.493055555555556</v>
      </c>
      <c r="F270" s="112" t="s">
        <v>63</v>
      </c>
      <c r="G270" s="114">
        <v>5</v>
      </c>
      <c r="H270" s="115" t="s">
        <v>404</v>
      </c>
    </row>
    <row r="271" spans="1:8" ht="19.899999999999999" customHeight="1">
      <c r="A271" s="121">
        <v>46040</v>
      </c>
      <c r="B271" s="112" t="s">
        <v>402</v>
      </c>
      <c r="C271" s="113" t="s">
        <v>465</v>
      </c>
      <c r="D271" s="112" t="s">
        <v>341</v>
      </c>
      <c r="E271" s="122">
        <v>1.2048611111111109</v>
      </c>
      <c r="F271" s="112" t="s">
        <v>63</v>
      </c>
      <c r="G271" s="114">
        <v>5</v>
      </c>
      <c r="H271" s="115" t="s">
        <v>404</v>
      </c>
    </row>
    <row r="272" spans="1:8" ht="19.899999999999999" customHeight="1">
      <c r="A272" s="121">
        <v>46040</v>
      </c>
      <c r="B272" s="112" t="s">
        <v>61</v>
      </c>
      <c r="C272" s="113" t="s">
        <v>369</v>
      </c>
      <c r="D272" s="112" t="s">
        <v>341</v>
      </c>
      <c r="E272" s="122">
        <v>1.15625</v>
      </c>
      <c r="F272" s="112" t="s">
        <v>63</v>
      </c>
      <c r="G272" s="114">
        <v>9</v>
      </c>
      <c r="H272" s="115" t="s">
        <v>79</v>
      </c>
    </row>
    <row r="273" spans="1:8" ht="19.899999999999999" customHeight="1">
      <c r="A273" s="121">
        <v>46040</v>
      </c>
      <c r="B273" s="112" t="s">
        <v>61</v>
      </c>
      <c r="C273" s="113" t="s">
        <v>432</v>
      </c>
      <c r="D273" s="112" t="s">
        <v>341</v>
      </c>
      <c r="E273" s="122">
        <v>1.333333333333333</v>
      </c>
      <c r="F273" s="112" t="s">
        <v>63</v>
      </c>
      <c r="G273" s="114">
        <v>7</v>
      </c>
      <c r="H273" s="115" t="s">
        <v>79</v>
      </c>
    </row>
    <row r="274" spans="1:8" ht="19.899999999999999" customHeight="1">
      <c r="A274" s="121">
        <v>46040</v>
      </c>
      <c r="B274" s="112" t="s">
        <v>61</v>
      </c>
      <c r="C274" s="113" t="s">
        <v>377</v>
      </c>
      <c r="D274" s="112" t="s">
        <v>341</v>
      </c>
      <c r="E274" s="122">
        <v>1.4548611111111109</v>
      </c>
      <c r="F274" s="112" t="s">
        <v>63</v>
      </c>
      <c r="G274" s="114">
        <v>1</v>
      </c>
      <c r="H274" s="115" t="s">
        <v>79</v>
      </c>
    </row>
    <row r="275" spans="1:8" ht="19.899999999999999" customHeight="1">
      <c r="A275" s="123">
        <v>46040</v>
      </c>
      <c r="B275" s="124" t="s">
        <v>61</v>
      </c>
      <c r="C275" s="125" t="s">
        <v>379</v>
      </c>
      <c r="D275" s="124" t="s">
        <v>341</v>
      </c>
      <c r="E275" s="126">
        <v>1.8298611111111109</v>
      </c>
      <c r="F275" s="124" t="s">
        <v>63</v>
      </c>
      <c r="G275" s="127">
        <v>1</v>
      </c>
      <c r="H275" s="128" t="s">
        <v>79</v>
      </c>
    </row>
    <row r="276" spans="1:8" ht="19.899999999999999" customHeight="1">
      <c r="A276" s="129">
        <v>46041</v>
      </c>
      <c r="B276" s="117" t="s">
        <v>61</v>
      </c>
      <c r="C276" s="118" t="s">
        <v>722</v>
      </c>
      <c r="D276" s="117" t="s">
        <v>706</v>
      </c>
      <c r="E276" s="130">
        <v>1.3472222222222221</v>
      </c>
      <c r="F276" s="117" t="s">
        <v>63</v>
      </c>
      <c r="G276" s="119">
        <v>4</v>
      </c>
      <c r="H276" s="120" t="s">
        <v>708</v>
      </c>
    </row>
    <row r="277" spans="1:8" ht="19.899999999999999" customHeight="1">
      <c r="A277" s="129">
        <v>46041</v>
      </c>
      <c r="B277" s="117" t="s">
        <v>61</v>
      </c>
      <c r="C277" s="118" t="s">
        <v>707</v>
      </c>
      <c r="D277" s="117" t="s">
        <v>706</v>
      </c>
      <c r="E277" s="130">
        <v>1.5486111111111109</v>
      </c>
      <c r="F277" s="117" t="s">
        <v>63</v>
      </c>
      <c r="G277" s="119">
        <v>3</v>
      </c>
      <c r="H277" s="120" t="s">
        <v>708</v>
      </c>
    </row>
    <row r="278" spans="1:8" ht="19.899999999999999" customHeight="1">
      <c r="A278" s="129">
        <v>46041</v>
      </c>
      <c r="B278" s="117" t="s">
        <v>61</v>
      </c>
      <c r="C278" s="118" t="s">
        <v>710</v>
      </c>
      <c r="D278" s="117" t="s">
        <v>706</v>
      </c>
      <c r="E278" s="130">
        <v>1.194444444444444</v>
      </c>
      <c r="F278" s="117" t="s">
        <v>63</v>
      </c>
      <c r="G278" s="119">
        <v>4</v>
      </c>
      <c r="H278" s="120" t="s">
        <v>708</v>
      </c>
    </row>
    <row r="279" spans="1:8" ht="19.899999999999999" customHeight="1">
      <c r="A279" s="129">
        <v>46041</v>
      </c>
      <c r="B279" s="117" t="s">
        <v>61</v>
      </c>
      <c r="C279" s="118" t="s">
        <v>715</v>
      </c>
      <c r="D279" s="117" t="s">
        <v>706</v>
      </c>
      <c r="E279" s="130">
        <v>1.09375</v>
      </c>
      <c r="F279" s="117" t="s">
        <v>63</v>
      </c>
      <c r="G279" s="119">
        <v>4</v>
      </c>
      <c r="H279" s="120" t="s">
        <v>708</v>
      </c>
    </row>
    <row r="280" spans="1:8" ht="19.899999999999999" customHeight="1">
      <c r="A280" s="121">
        <v>46041</v>
      </c>
      <c r="B280" s="112" t="s">
        <v>68</v>
      </c>
      <c r="C280" s="113" t="s">
        <v>713</v>
      </c>
      <c r="D280" s="112" t="s">
        <v>706</v>
      </c>
      <c r="E280" s="122">
        <v>1.5486111111111109</v>
      </c>
      <c r="F280" s="112" t="s">
        <v>643</v>
      </c>
      <c r="G280" s="114">
        <v>4</v>
      </c>
      <c r="H280" s="115" t="s">
        <v>714</v>
      </c>
    </row>
    <row r="281" spans="1:8" ht="19.899999999999999" customHeight="1">
      <c r="A281" s="121">
        <v>46041</v>
      </c>
      <c r="B281" s="112" t="s">
        <v>68</v>
      </c>
      <c r="C281" s="113" t="s">
        <v>725</v>
      </c>
      <c r="D281" s="112" t="s">
        <v>706</v>
      </c>
      <c r="E281" s="122">
        <v>1.3472222222222221</v>
      </c>
      <c r="F281" s="112" t="s">
        <v>643</v>
      </c>
      <c r="G281" s="114">
        <v>4</v>
      </c>
      <c r="H281" s="115" t="s">
        <v>714</v>
      </c>
    </row>
    <row r="282" spans="1:8" ht="19.899999999999999" customHeight="1">
      <c r="A282" s="143"/>
      <c r="B282" s="144"/>
      <c r="C282" s="144"/>
      <c r="D282" s="144"/>
      <c r="E282" s="144"/>
      <c r="F282" s="145" t="s">
        <v>705</v>
      </c>
      <c r="G282" s="144"/>
      <c r="H282" s="146"/>
    </row>
    <row r="283" spans="1:8" ht="19.899999999999999" customHeight="1">
      <c r="A283" s="121">
        <v>46041</v>
      </c>
      <c r="B283" s="112" t="s">
        <v>38</v>
      </c>
      <c r="C283" s="113" t="s">
        <v>342</v>
      </c>
      <c r="D283" s="112" t="s">
        <v>341</v>
      </c>
      <c r="E283" s="122">
        <v>1.489583333333333</v>
      </c>
      <c r="F283" s="112" t="s">
        <v>40</v>
      </c>
      <c r="G283" s="114">
        <v>14</v>
      </c>
      <c r="H283" s="115" t="s">
        <v>81</v>
      </c>
    </row>
    <row r="284" spans="1:8" ht="19.899999999999999" customHeight="1">
      <c r="A284" s="121">
        <v>46041</v>
      </c>
      <c r="B284" s="112" t="s">
        <v>38</v>
      </c>
      <c r="C284" s="113" t="s">
        <v>346</v>
      </c>
      <c r="D284" s="112" t="s">
        <v>341</v>
      </c>
      <c r="E284" s="122">
        <v>1.399305555555556</v>
      </c>
      <c r="F284" s="112" t="s">
        <v>40</v>
      </c>
      <c r="G284" s="114">
        <v>20</v>
      </c>
      <c r="H284" s="115" t="s">
        <v>347</v>
      </c>
    </row>
    <row r="285" spans="1:8" ht="19.899999999999999" customHeight="1">
      <c r="A285" s="121">
        <v>46041</v>
      </c>
      <c r="B285" s="112" t="s">
        <v>38</v>
      </c>
      <c r="C285" s="113" t="s">
        <v>345</v>
      </c>
      <c r="D285" s="112" t="s">
        <v>341</v>
      </c>
      <c r="E285" s="122">
        <v>1.989583333333333</v>
      </c>
      <c r="F285" s="112" t="s">
        <v>40</v>
      </c>
      <c r="G285" s="114">
        <v>20</v>
      </c>
      <c r="H285" s="115" t="s">
        <v>347</v>
      </c>
    </row>
    <row r="286" spans="1:8" ht="19.899999999999999" customHeight="1">
      <c r="A286" s="121">
        <v>46041</v>
      </c>
      <c r="B286" s="112" t="s">
        <v>359</v>
      </c>
      <c r="C286" s="113" t="s">
        <v>360</v>
      </c>
      <c r="D286" s="112" t="s">
        <v>341</v>
      </c>
      <c r="E286" s="122">
        <v>1.225694444444444</v>
      </c>
      <c r="F286" s="112" t="s">
        <v>361</v>
      </c>
      <c r="G286" s="114">
        <v>9</v>
      </c>
      <c r="H286" s="115" t="s">
        <v>525</v>
      </c>
    </row>
    <row r="287" spans="1:8" ht="19.899999999999999" customHeight="1">
      <c r="A287" s="121">
        <v>46041</v>
      </c>
      <c r="B287" s="112" t="s">
        <v>359</v>
      </c>
      <c r="C287" s="113" t="s">
        <v>445</v>
      </c>
      <c r="D287" s="112" t="s">
        <v>341</v>
      </c>
      <c r="E287" s="122">
        <v>1.0138888888888891</v>
      </c>
      <c r="F287" s="112" t="s">
        <v>361</v>
      </c>
      <c r="G287" s="114">
        <v>9</v>
      </c>
      <c r="H287" s="115" t="s">
        <v>525</v>
      </c>
    </row>
    <row r="288" spans="1:8" ht="19.899999999999999" customHeight="1">
      <c r="A288" s="121">
        <v>46041</v>
      </c>
      <c r="B288" s="112" t="s">
        <v>61</v>
      </c>
      <c r="C288" s="113" t="s">
        <v>375</v>
      </c>
      <c r="D288" s="112" t="s">
        <v>341</v>
      </c>
      <c r="E288" s="122">
        <v>1.2465277777777779</v>
      </c>
      <c r="F288" s="112" t="s">
        <v>63</v>
      </c>
      <c r="G288" s="114">
        <v>3</v>
      </c>
      <c r="H288" s="115" t="s">
        <v>365</v>
      </c>
    </row>
    <row r="289" spans="1:8" ht="19.899999999999999" customHeight="1">
      <c r="A289" s="121">
        <v>46041</v>
      </c>
      <c r="B289" s="112" t="s">
        <v>61</v>
      </c>
      <c r="C289" s="113" t="s">
        <v>377</v>
      </c>
      <c r="D289" s="112" t="s">
        <v>341</v>
      </c>
      <c r="E289" s="122">
        <v>1.4375</v>
      </c>
      <c r="F289" s="112" t="s">
        <v>63</v>
      </c>
      <c r="G289" s="114">
        <v>2</v>
      </c>
      <c r="H289" s="115" t="s">
        <v>365</v>
      </c>
    </row>
    <row r="290" spans="1:8" ht="19.899999999999999" customHeight="1">
      <c r="A290" s="121">
        <v>46041</v>
      </c>
      <c r="B290" s="112" t="s">
        <v>38</v>
      </c>
      <c r="C290" s="113" t="s">
        <v>344</v>
      </c>
      <c r="D290" s="112" t="s">
        <v>341</v>
      </c>
      <c r="E290" s="122">
        <v>1.8888888888888891</v>
      </c>
      <c r="F290" s="112" t="s">
        <v>40</v>
      </c>
      <c r="G290" s="114">
        <v>14</v>
      </c>
      <c r="H290" s="115" t="s">
        <v>121</v>
      </c>
    </row>
    <row r="291" spans="1:8" ht="19.899999999999999" customHeight="1">
      <c r="A291" s="121">
        <v>46041</v>
      </c>
      <c r="B291" s="112" t="s">
        <v>48</v>
      </c>
      <c r="C291" s="113" t="s">
        <v>386</v>
      </c>
      <c r="D291" s="112" t="s">
        <v>341</v>
      </c>
      <c r="E291" s="122">
        <v>1.8298611111111109</v>
      </c>
      <c r="F291" s="112" t="s">
        <v>50</v>
      </c>
      <c r="G291" s="114">
        <v>1</v>
      </c>
      <c r="H291" s="115" t="s">
        <v>383</v>
      </c>
    </row>
    <row r="292" spans="1:8" ht="19.899999999999999" customHeight="1">
      <c r="A292" s="123">
        <v>46041</v>
      </c>
      <c r="B292" s="124" t="s">
        <v>48</v>
      </c>
      <c r="C292" s="125" t="s">
        <v>382</v>
      </c>
      <c r="D292" s="124" t="s">
        <v>341</v>
      </c>
      <c r="E292" s="126">
        <v>1.118055555555556</v>
      </c>
      <c r="F292" s="124" t="s">
        <v>50</v>
      </c>
      <c r="G292" s="127">
        <v>2</v>
      </c>
      <c r="H292" s="128" t="s">
        <v>383</v>
      </c>
    </row>
    <row r="293" spans="1:8" ht="19.899999999999999" customHeight="1">
      <c r="A293" s="129">
        <v>46042</v>
      </c>
      <c r="B293" s="117" t="s">
        <v>61</v>
      </c>
      <c r="C293" s="118" t="s">
        <v>707</v>
      </c>
      <c r="D293" s="117" t="s">
        <v>706</v>
      </c>
      <c r="E293" s="130">
        <v>1.166666666666667</v>
      </c>
      <c r="F293" s="117" t="s">
        <v>63</v>
      </c>
      <c r="G293" s="119">
        <v>4</v>
      </c>
      <c r="H293" s="120" t="s">
        <v>708</v>
      </c>
    </row>
    <row r="294" spans="1:8" ht="19.899999999999999" customHeight="1">
      <c r="A294" s="129">
        <v>46042</v>
      </c>
      <c r="B294" s="117" t="s">
        <v>61</v>
      </c>
      <c r="C294" s="118" t="s">
        <v>710</v>
      </c>
      <c r="D294" s="117" t="s">
        <v>706</v>
      </c>
      <c r="E294" s="130">
        <v>1.5277777777777779</v>
      </c>
      <c r="F294" s="117" t="s">
        <v>63</v>
      </c>
      <c r="G294" s="119">
        <v>4</v>
      </c>
      <c r="H294" s="120" t="s">
        <v>708</v>
      </c>
    </row>
    <row r="295" spans="1:8" ht="19.899999999999999" customHeight="1">
      <c r="A295" s="121">
        <v>46042</v>
      </c>
      <c r="B295" s="112" t="s">
        <v>68</v>
      </c>
      <c r="C295" s="113" t="s">
        <v>713</v>
      </c>
      <c r="D295" s="112" t="s">
        <v>706</v>
      </c>
      <c r="E295" s="122">
        <v>1.166666666666667</v>
      </c>
      <c r="F295" s="112" t="s">
        <v>643</v>
      </c>
      <c r="G295" s="114">
        <v>4</v>
      </c>
      <c r="H295" s="115" t="s">
        <v>714</v>
      </c>
    </row>
    <row r="296" spans="1:8" ht="19.899999999999999" customHeight="1">
      <c r="A296" s="143"/>
      <c r="B296" s="144"/>
      <c r="C296" s="144"/>
      <c r="D296" s="144"/>
      <c r="E296" s="144"/>
      <c r="F296" s="145" t="s">
        <v>705</v>
      </c>
      <c r="G296" s="144"/>
      <c r="H296" s="146"/>
    </row>
    <row r="297" spans="1:8" ht="19.899999999999999" customHeight="1">
      <c r="A297" s="121">
        <v>46042</v>
      </c>
      <c r="B297" s="112" t="s">
        <v>38</v>
      </c>
      <c r="C297" s="113" t="s">
        <v>342</v>
      </c>
      <c r="D297" s="112" t="s">
        <v>341</v>
      </c>
      <c r="E297" s="122">
        <v>1.489583333333333</v>
      </c>
      <c r="F297" s="112" t="s">
        <v>40</v>
      </c>
      <c r="G297" s="114">
        <v>16</v>
      </c>
      <c r="H297" s="115" t="s">
        <v>81</v>
      </c>
    </row>
    <row r="298" spans="1:8" ht="19.899999999999999" customHeight="1">
      <c r="A298" s="121">
        <v>46042</v>
      </c>
      <c r="B298" s="112" t="s">
        <v>38</v>
      </c>
      <c r="C298" s="113" t="s">
        <v>344</v>
      </c>
      <c r="D298" s="112" t="s">
        <v>341</v>
      </c>
      <c r="E298" s="122">
        <v>1.8888888888888891</v>
      </c>
      <c r="F298" s="112" t="s">
        <v>40</v>
      </c>
      <c r="G298" s="114">
        <v>20</v>
      </c>
      <c r="H298" s="115" t="s">
        <v>30</v>
      </c>
    </row>
    <row r="299" spans="1:8" ht="19.899999999999999" customHeight="1">
      <c r="A299" s="121">
        <v>46042</v>
      </c>
      <c r="B299" s="112" t="s">
        <v>38</v>
      </c>
      <c r="C299" s="113" t="s">
        <v>346</v>
      </c>
      <c r="D299" s="112" t="s">
        <v>341</v>
      </c>
      <c r="E299" s="122">
        <v>1.399305555555556</v>
      </c>
      <c r="F299" s="112" t="s">
        <v>40</v>
      </c>
      <c r="G299" s="114">
        <v>20</v>
      </c>
      <c r="H299" s="115" t="s">
        <v>347</v>
      </c>
    </row>
    <row r="300" spans="1:8" ht="19.899999999999999" customHeight="1">
      <c r="A300" s="121">
        <v>46042</v>
      </c>
      <c r="B300" s="112" t="s">
        <v>38</v>
      </c>
      <c r="C300" s="113" t="s">
        <v>345</v>
      </c>
      <c r="D300" s="112" t="s">
        <v>341</v>
      </c>
      <c r="E300" s="122">
        <v>1.989583333333333</v>
      </c>
      <c r="F300" s="112" t="s">
        <v>40</v>
      </c>
      <c r="G300" s="114">
        <v>20</v>
      </c>
      <c r="H300" s="115" t="s">
        <v>347</v>
      </c>
    </row>
    <row r="301" spans="1:8" ht="19.899999999999999" customHeight="1">
      <c r="A301" s="121">
        <v>46042</v>
      </c>
      <c r="B301" s="112" t="s">
        <v>359</v>
      </c>
      <c r="C301" s="113" t="s">
        <v>445</v>
      </c>
      <c r="D301" s="112" t="s">
        <v>341</v>
      </c>
      <c r="E301" s="122">
        <v>1.055555555555556</v>
      </c>
      <c r="F301" s="112" t="s">
        <v>361</v>
      </c>
      <c r="G301" s="114">
        <v>9</v>
      </c>
      <c r="H301" s="115" t="s">
        <v>525</v>
      </c>
    </row>
    <row r="302" spans="1:8" ht="19.899999999999999" customHeight="1">
      <c r="A302" s="121">
        <v>46042</v>
      </c>
      <c r="B302" s="112" t="s">
        <v>61</v>
      </c>
      <c r="C302" s="113" t="s">
        <v>364</v>
      </c>
      <c r="D302" s="112" t="s">
        <v>341</v>
      </c>
      <c r="E302" s="122">
        <v>1.756944444444444</v>
      </c>
      <c r="F302" s="112" t="s">
        <v>63</v>
      </c>
      <c r="G302" s="114">
        <v>5</v>
      </c>
      <c r="H302" s="115" t="s">
        <v>365</v>
      </c>
    </row>
    <row r="303" spans="1:8" ht="19.899999999999999" customHeight="1">
      <c r="A303" s="121">
        <v>46042</v>
      </c>
      <c r="B303" s="112" t="s">
        <v>61</v>
      </c>
      <c r="C303" s="113" t="s">
        <v>432</v>
      </c>
      <c r="D303" s="112" t="s">
        <v>341</v>
      </c>
      <c r="E303" s="122">
        <v>1.552083333333333</v>
      </c>
      <c r="F303" s="112" t="s">
        <v>63</v>
      </c>
      <c r="G303" s="114">
        <v>2</v>
      </c>
      <c r="H303" s="115" t="s">
        <v>365</v>
      </c>
    </row>
    <row r="304" spans="1:8" ht="19.899999999999999" customHeight="1">
      <c r="A304" s="121">
        <v>46042</v>
      </c>
      <c r="B304" s="112" t="s">
        <v>61</v>
      </c>
      <c r="C304" s="113" t="s">
        <v>428</v>
      </c>
      <c r="D304" s="112" t="s">
        <v>341</v>
      </c>
      <c r="E304" s="122">
        <v>1.052083333333333</v>
      </c>
      <c r="F304" s="112" t="s">
        <v>63</v>
      </c>
      <c r="G304" s="114">
        <v>5</v>
      </c>
      <c r="H304" s="115" t="s">
        <v>365</v>
      </c>
    </row>
    <row r="305" spans="1:8" ht="19.899999999999999" customHeight="1">
      <c r="A305" s="121">
        <v>46042</v>
      </c>
      <c r="B305" s="112" t="s">
        <v>61</v>
      </c>
      <c r="C305" s="113" t="s">
        <v>375</v>
      </c>
      <c r="D305" s="112" t="s">
        <v>341</v>
      </c>
      <c r="E305" s="122">
        <v>1.791666666666667</v>
      </c>
      <c r="F305" s="112" t="s">
        <v>63</v>
      </c>
      <c r="G305" s="114">
        <v>5</v>
      </c>
      <c r="H305" s="115" t="s">
        <v>365</v>
      </c>
    </row>
    <row r="306" spans="1:8" ht="19.899999999999999" customHeight="1">
      <c r="A306" s="123">
        <v>46042</v>
      </c>
      <c r="B306" s="124" t="s">
        <v>61</v>
      </c>
      <c r="C306" s="125" t="s">
        <v>377</v>
      </c>
      <c r="D306" s="124" t="s">
        <v>341</v>
      </c>
      <c r="E306" s="126">
        <v>1.4375</v>
      </c>
      <c r="F306" s="124" t="s">
        <v>63</v>
      </c>
      <c r="G306" s="127">
        <v>5</v>
      </c>
      <c r="H306" s="128" t="s">
        <v>365</v>
      </c>
    </row>
    <row r="307" spans="1:8" ht="19.899999999999999" customHeight="1">
      <c r="A307" s="129">
        <v>46043</v>
      </c>
      <c r="B307" s="117" t="s">
        <v>61</v>
      </c>
      <c r="C307" s="118" t="s">
        <v>722</v>
      </c>
      <c r="D307" s="117" t="s">
        <v>706</v>
      </c>
      <c r="E307" s="130">
        <v>1.9236111111111109</v>
      </c>
      <c r="F307" s="117" t="s">
        <v>63</v>
      </c>
      <c r="G307" s="119">
        <v>4</v>
      </c>
      <c r="H307" s="120" t="s">
        <v>708</v>
      </c>
    </row>
    <row r="308" spans="1:8" ht="19.899999999999999" customHeight="1">
      <c r="A308" s="129">
        <v>46043</v>
      </c>
      <c r="B308" s="117" t="s">
        <v>61</v>
      </c>
      <c r="C308" s="118" t="s">
        <v>707</v>
      </c>
      <c r="D308" s="117" t="s">
        <v>706</v>
      </c>
      <c r="E308" s="130">
        <v>1.1076388888888891</v>
      </c>
      <c r="F308" s="117" t="s">
        <v>63</v>
      </c>
      <c r="G308" s="119">
        <v>4</v>
      </c>
      <c r="H308" s="120" t="s">
        <v>708</v>
      </c>
    </row>
    <row r="309" spans="1:8" ht="19.899999999999999" customHeight="1">
      <c r="A309" s="129">
        <v>46043</v>
      </c>
      <c r="B309" s="117" t="s">
        <v>61</v>
      </c>
      <c r="C309" s="118" t="s">
        <v>715</v>
      </c>
      <c r="D309" s="117" t="s">
        <v>706</v>
      </c>
      <c r="E309" s="130">
        <v>1.5</v>
      </c>
      <c r="F309" s="117" t="s">
        <v>63</v>
      </c>
      <c r="G309" s="119">
        <v>1</v>
      </c>
      <c r="H309" s="120" t="s">
        <v>708</v>
      </c>
    </row>
    <row r="310" spans="1:8" ht="19.899999999999999" customHeight="1">
      <c r="A310" s="121">
        <v>46043</v>
      </c>
      <c r="B310" s="112" t="s">
        <v>38</v>
      </c>
      <c r="C310" s="113" t="s">
        <v>719</v>
      </c>
      <c r="D310" s="112" t="s">
        <v>706</v>
      </c>
      <c r="E310" s="122">
        <v>1.364583333333333</v>
      </c>
      <c r="F310" s="112" t="s">
        <v>622</v>
      </c>
      <c r="G310" s="114">
        <v>1</v>
      </c>
      <c r="H310" s="115" t="s">
        <v>426</v>
      </c>
    </row>
    <row r="311" spans="1:8" ht="19.899999999999999" customHeight="1">
      <c r="A311" s="121">
        <v>46043</v>
      </c>
      <c r="B311" s="112" t="s">
        <v>38</v>
      </c>
      <c r="C311" s="113" t="s">
        <v>719</v>
      </c>
      <c r="D311" s="112" t="s">
        <v>706</v>
      </c>
      <c r="E311" s="122">
        <v>1.364583333333333</v>
      </c>
      <c r="F311" s="112" t="s">
        <v>603</v>
      </c>
      <c r="G311" s="114">
        <v>1</v>
      </c>
      <c r="H311" s="115" t="s">
        <v>647</v>
      </c>
    </row>
    <row r="312" spans="1:8" ht="19.899999999999999" customHeight="1">
      <c r="A312" s="121">
        <v>46043</v>
      </c>
      <c r="B312" s="112" t="s">
        <v>38</v>
      </c>
      <c r="C312" s="113" t="s">
        <v>719</v>
      </c>
      <c r="D312" s="112" t="s">
        <v>706</v>
      </c>
      <c r="E312" s="122">
        <v>1.364583333333333</v>
      </c>
      <c r="F312" s="112" t="s">
        <v>605</v>
      </c>
      <c r="G312" s="114">
        <v>1</v>
      </c>
      <c r="H312" s="115" t="s">
        <v>736</v>
      </c>
    </row>
    <row r="313" spans="1:8" ht="19.899999999999999" customHeight="1">
      <c r="A313" s="121">
        <v>46043</v>
      </c>
      <c r="B313" s="112" t="s">
        <v>68</v>
      </c>
      <c r="C313" s="113" t="s">
        <v>713</v>
      </c>
      <c r="D313" s="112" t="s">
        <v>706</v>
      </c>
      <c r="E313" s="122">
        <v>1.1076388888888891</v>
      </c>
      <c r="F313" s="112" t="s">
        <v>643</v>
      </c>
      <c r="G313" s="114">
        <v>4</v>
      </c>
      <c r="H313" s="115" t="s">
        <v>714</v>
      </c>
    </row>
    <row r="314" spans="1:8" ht="19.899999999999999" customHeight="1">
      <c r="A314" s="121">
        <v>46043</v>
      </c>
      <c r="B314" s="112" t="s">
        <v>68</v>
      </c>
      <c r="C314" s="113" t="s">
        <v>725</v>
      </c>
      <c r="D314" s="112" t="s">
        <v>706</v>
      </c>
      <c r="E314" s="122">
        <v>1.9236111111111109</v>
      </c>
      <c r="F314" s="112" t="s">
        <v>643</v>
      </c>
      <c r="G314" s="114">
        <v>4</v>
      </c>
      <c r="H314" s="115" t="s">
        <v>714</v>
      </c>
    </row>
    <row r="315" spans="1:8" ht="19.899999999999999" customHeight="1">
      <c r="A315" s="121">
        <v>46043</v>
      </c>
      <c r="B315" s="112" t="s">
        <v>38</v>
      </c>
      <c r="C315" s="113" t="s">
        <v>719</v>
      </c>
      <c r="D315" s="112" t="s">
        <v>706</v>
      </c>
      <c r="E315" s="122">
        <v>1.364583333333333</v>
      </c>
      <c r="F315" s="112" t="s">
        <v>625</v>
      </c>
      <c r="G315" s="114">
        <v>1</v>
      </c>
      <c r="H315" s="115" t="s">
        <v>455</v>
      </c>
    </row>
    <row r="316" spans="1:8" ht="19.899999999999999" customHeight="1">
      <c r="A316" s="143"/>
      <c r="B316" s="144"/>
      <c r="C316" s="144"/>
      <c r="D316" s="144"/>
      <c r="E316" s="144"/>
      <c r="F316" s="145" t="s">
        <v>705</v>
      </c>
      <c r="G316" s="144"/>
      <c r="H316" s="146"/>
    </row>
    <row r="317" spans="1:8" ht="19.899999999999999" customHeight="1">
      <c r="A317" s="121">
        <v>46043</v>
      </c>
      <c r="B317" s="112" t="s">
        <v>38</v>
      </c>
      <c r="C317" s="113" t="s">
        <v>342</v>
      </c>
      <c r="D317" s="112" t="s">
        <v>341</v>
      </c>
      <c r="E317" s="122">
        <v>1.489583333333333</v>
      </c>
      <c r="F317" s="112" t="s">
        <v>40</v>
      </c>
      <c r="G317" s="114">
        <v>17</v>
      </c>
      <c r="H317" s="115" t="s">
        <v>81</v>
      </c>
    </row>
    <row r="318" spans="1:8" ht="19.899999999999999" customHeight="1">
      <c r="A318" s="121">
        <v>46043</v>
      </c>
      <c r="B318" s="112" t="s">
        <v>38</v>
      </c>
      <c r="C318" s="113" t="s">
        <v>346</v>
      </c>
      <c r="D318" s="112" t="s">
        <v>341</v>
      </c>
      <c r="E318" s="122">
        <v>1.399305555555556</v>
      </c>
      <c r="F318" s="112" t="s">
        <v>40</v>
      </c>
      <c r="G318" s="114">
        <v>20</v>
      </c>
      <c r="H318" s="115" t="s">
        <v>30</v>
      </c>
    </row>
    <row r="319" spans="1:8" ht="19.899999999999999" customHeight="1">
      <c r="A319" s="121">
        <v>46043</v>
      </c>
      <c r="B319" s="112" t="s">
        <v>38</v>
      </c>
      <c r="C319" s="113" t="s">
        <v>344</v>
      </c>
      <c r="D319" s="112" t="s">
        <v>341</v>
      </c>
      <c r="E319" s="122">
        <v>1.8888888888888891</v>
      </c>
      <c r="F319" s="112" t="s">
        <v>40</v>
      </c>
      <c r="G319" s="114">
        <v>20</v>
      </c>
      <c r="H319" s="115" t="s">
        <v>30</v>
      </c>
    </row>
    <row r="320" spans="1:8" ht="19.899999999999999" customHeight="1">
      <c r="A320" s="121">
        <v>46043</v>
      </c>
      <c r="B320" s="112" t="s">
        <v>38</v>
      </c>
      <c r="C320" s="113" t="s">
        <v>345</v>
      </c>
      <c r="D320" s="112" t="s">
        <v>341</v>
      </c>
      <c r="E320" s="122">
        <v>1.989583333333333</v>
      </c>
      <c r="F320" s="112" t="s">
        <v>40</v>
      </c>
      <c r="G320" s="114">
        <v>20</v>
      </c>
      <c r="H320" s="115" t="s">
        <v>347</v>
      </c>
    </row>
    <row r="321" spans="1:8" ht="19.899999999999999" customHeight="1">
      <c r="A321" s="121">
        <v>46043</v>
      </c>
      <c r="B321" s="112" t="s">
        <v>359</v>
      </c>
      <c r="C321" s="113" t="s">
        <v>360</v>
      </c>
      <c r="D321" s="112" t="s">
        <v>341</v>
      </c>
      <c r="E321" s="122">
        <v>1.225694444444444</v>
      </c>
      <c r="F321" s="112" t="s">
        <v>361</v>
      </c>
      <c r="G321" s="114">
        <v>9</v>
      </c>
      <c r="H321" s="115" t="s">
        <v>525</v>
      </c>
    </row>
    <row r="322" spans="1:8" ht="19.899999999999999" customHeight="1">
      <c r="A322" s="121">
        <v>46043</v>
      </c>
      <c r="B322" s="112" t="s">
        <v>61</v>
      </c>
      <c r="C322" s="113" t="s">
        <v>364</v>
      </c>
      <c r="D322" s="112" t="s">
        <v>341</v>
      </c>
      <c r="E322" s="122">
        <v>1.2326388888888891</v>
      </c>
      <c r="F322" s="112" t="s">
        <v>63</v>
      </c>
      <c r="G322" s="114">
        <v>6</v>
      </c>
      <c r="H322" s="115" t="s">
        <v>365</v>
      </c>
    </row>
    <row r="323" spans="1:8" ht="19.899999999999999" customHeight="1">
      <c r="A323" s="121">
        <v>46043</v>
      </c>
      <c r="B323" s="112" t="s">
        <v>61</v>
      </c>
      <c r="C323" s="113" t="s">
        <v>432</v>
      </c>
      <c r="D323" s="112" t="s">
        <v>341</v>
      </c>
      <c r="E323" s="122">
        <v>1.34375</v>
      </c>
      <c r="F323" s="112" t="s">
        <v>63</v>
      </c>
      <c r="G323" s="114">
        <v>6</v>
      </c>
      <c r="H323" s="115" t="s">
        <v>365</v>
      </c>
    </row>
    <row r="324" spans="1:8" ht="19.899999999999999" customHeight="1">
      <c r="A324" s="121">
        <v>46043</v>
      </c>
      <c r="B324" s="112" t="s">
        <v>61</v>
      </c>
      <c r="C324" s="113" t="s">
        <v>428</v>
      </c>
      <c r="D324" s="112" t="s">
        <v>341</v>
      </c>
      <c r="E324" s="122">
        <v>1.9375</v>
      </c>
      <c r="F324" s="112" t="s">
        <v>63</v>
      </c>
      <c r="G324" s="114">
        <v>1</v>
      </c>
      <c r="H324" s="115" t="s">
        <v>365</v>
      </c>
    </row>
    <row r="325" spans="1:8" ht="19.899999999999999" customHeight="1">
      <c r="A325" s="121">
        <v>46043</v>
      </c>
      <c r="B325" s="112" t="s">
        <v>61</v>
      </c>
      <c r="C325" s="113" t="s">
        <v>375</v>
      </c>
      <c r="D325" s="112" t="s">
        <v>341</v>
      </c>
      <c r="E325" s="122">
        <v>1.3402777777777779</v>
      </c>
      <c r="F325" s="112" t="s">
        <v>63</v>
      </c>
      <c r="G325" s="114">
        <v>6</v>
      </c>
      <c r="H325" s="115" t="s">
        <v>365</v>
      </c>
    </row>
    <row r="326" spans="1:8" ht="19.899999999999999" customHeight="1">
      <c r="A326" s="123">
        <v>46043</v>
      </c>
      <c r="B326" s="124" t="s">
        <v>26</v>
      </c>
      <c r="C326" s="125" t="s">
        <v>348</v>
      </c>
      <c r="D326" s="124" t="s">
        <v>341</v>
      </c>
      <c r="E326" s="126">
        <v>1.993055555555556</v>
      </c>
      <c r="F326" s="124" t="s">
        <v>28</v>
      </c>
      <c r="G326" s="127">
        <v>4</v>
      </c>
      <c r="H326" s="128" t="s">
        <v>83</v>
      </c>
    </row>
    <row r="327" spans="1:8" ht="19.899999999999999" customHeight="1">
      <c r="A327" s="129">
        <v>46044</v>
      </c>
      <c r="B327" s="117" t="s">
        <v>61</v>
      </c>
      <c r="C327" s="118" t="s">
        <v>707</v>
      </c>
      <c r="D327" s="117" t="s">
        <v>706</v>
      </c>
      <c r="E327" s="130">
        <v>1.524305555555556</v>
      </c>
      <c r="F327" s="117" t="s">
        <v>63</v>
      </c>
      <c r="G327" s="119">
        <v>1</v>
      </c>
      <c r="H327" s="120" t="s">
        <v>708</v>
      </c>
    </row>
    <row r="328" spans="1:8" ht="19.899999999999999" customHeight="1">
      <c r="A328" s="129">
        <v>46044</v>
      </c>
      <c r="B328" s="117" t="s">
        <v>61</v>
      </c>
      <c r="C328" s="118" t="s">
        <v>710</v>
      </c>
      <c r="D328" s="117" t="s">
        <v>706</v>
      </c>
      <c r="E328" s="130">
        <v>1.5486111111111109</v>
      </c>
      <c r="F328" s="117" t="s">
        <v>63</v>
      </c>
      <c r="G328" s="119">
        <v>3</v>
      </c>
      <c r="H328" s="120" t="s">
        <v>708</v>
      </c>
    </row>
    <row r="329" spans="1:8" ht="19.899999999999999" customHeight="1">
      <c r="A329" s="121">
        <v>46044</v>
      </c>
      <c r="B329" s="112" t="s">
        <v>68</v>
      </c>
      <c r="C329" s="113" t="s">
        <v>713</v>
      </c>
      <c r="D329" s="112" t="s">
        <v>706</v>
      </c>
      <c r="E329" s="122">
        <v>1.524305555555556</v>
      </c>
      <c r="F329" s="112" t="s">
        <v>643</v>
      </c>
      <c r="G329" s="114">
        <v>4</v>
      </c>
      <c r="H329" s="115" t="s">
        <v>714</v>
      </c>
    </row>
    <row r="330" spans="1:8" ht="19.899999999999999" customHeight="1">
      <c r="A330" s="143"/>
      <c r="B330" s="144"/>
      <c r="C330" s="144"/>
      <c r="D330" s="144"/>
      <c r="E330" s="144"/>
      <c r="F330" s="145" t="s">
        <v>705</v>
      </c>
      <c r="G330" s="144"/>
      <c r="H330" s="146"/>
    </row>
    <row r="331" spans="1:8" ht="19.899999999999999" customHeight="1">
      <c r="A331" s="121">
        <v>46044</v>
      </c>
      <c r="B331" s="112" t="s">
        <v>38</v>
      </c>
      <c r="C331" s="113" t="s">
        <v>342</v>
      </c>
      <c r="D331" s="112" t="s">
        <v>341</v>
      </c>
      <c r="E331" s="122">
        <v>1.489583333333333</v>
      </c>
      <c r="F331" s="112" t="s">
        <v>40</v>
      </c>
      <c r="G331" s="114">
        <v>20</v>
      </c>
      <c r="H331" s="115" t="s">
        <v>347</v>
      </c>
    </row>
    <row r="332" spans="1:8" ht="19.899999999999999" customHeight="1">
      <c r="A332" s="121">
        <v>46044</v>
      </c>
      <c r="B332" s="112" t="s">
        <v>38</v>
      </c>
      <c r="C332" s="113" t="s">
        <v>344</v>
      </c>
      <c r="D332" s="112" t="s">
        <v>341</v>
      </c>
      <c r="E332" s="122">
        <v>1.8888888888888891</v>
      </c>
      <c r="F332" s="112" t="s">
        <v>40</v>
      </c>
      <c r="G332" s="114">
        <v>12</v>
      </c>
      <c r="H332" s="115" t="s">
        <v>347</v>
      </c>
    </row>
    <row r="333" spans="1:8" ht="19.899999999999999" customHeight="1">
      <c r="A333" s="121">
        <v>46044</v>
      </c>
      <c r="B333" s="112" t="s">
        <v>38</v>
      </c>
      <c r="C333" s="113" t="s">
        <v>345</v>
      </c>
      <c r="D333" s="112" t="s">
        <v>341</v>
      </c>
      <c r="E333" s="122">
        <v>1.989583333333333</v>
      </c>
      <c r="F333" s="112" t="s">
        <v>40</v>
      </c>
      <c r="G333" s="114">
        <v>16</v>
      </c>
      <c r="H333" s="115" t="s">
        <v>347</v>
      </c>
    </row>
    <row r="334" spans="1:8" ht="19.899999999999999" customHeight="1">
      <c r="A334" s="121">
        <v>46044</v>
      </c>
      <c r="B334" s="112" t="s">
        <v>359</v>
      </c>
      <c r="C334" s="113" t="s">
        <v>360</v>
      </c>
      <c r="D334" s="112" t="s">
        <v>341</v>
      </c>
      <c r="E334" s="122">
        <v>1.1701388888888891</v>
      </c>
      <c r="F334" s="112" t="s">
        <v>361</v>
      </c>
      <c r="G334" s="114">
        <v>9</v>
      </c>
      <c r="H334" s="115" t="s">
        <v>525</v>
      </c>
    </row>
    <row r="335" spans="1:8" ht="19.899999999999999" customHeight="1">
      <c r="A335" s="121">
        <v>46044</v>
      </c>
      <c r="B335" s="112" t="s">
        <v>38</v>
      </c>
      <c r="C335" s="113" t="s">
        <v>346</v>
      </c>
      <c r="D335" s="112" t="s">
        <v>341</v>
      </c>
      <c r="E335" s="122">
        <v>1.399305555555556</v>
      </c>
      <c r="F335" s="112" t="s">
        <v>40</v>
      </c>
      <c r="G335" s="114">
        <v>20</v>
      </c>
      <c r="H335" s="115" t="s">
        <v>121</v>
      </c>
    </row>
    <row r="336" spans="1:8" ht="19.899999999999999" customHeight="1">
      <c r="A336" s="121">
        <v>46044</v>
      </c>
      <c r="B336" s="112" t="s">
        <v>402</v>
      </c>
      <c r="C336" s="113" t="s">
        <v>403</v>
      </c>
      <c r="D336" s="112" t="s">
        <v>341</v>
      </c>
      <c r="E336" s="122">
        <v>1.493055555555556</v>
      </c>
      <c r="F336" s="112" t="s">
        <v>63</v>
      </c>
      <c r="G336" s="114">
        <v>5</v>
      </c>
      <c r="H336" s="115" t="s">
        <v>404</v>
      </c>
    </row>
    <row r="337" spans="1:8" ht="19.899999999999999" customHeight="1">
      <c r="A337" s="121">
        <v>46044</v>
      </c>
      <c r="B337" s="112" t="s">
        <v>61</v>
      </c>
      <c r="C337" s="113" t="s">
        <v>369</v>
      </c>
      <c r="D337" s="112" t="s">
        <v>341</v>
      </c>
      <c r="E337" s="122">
        <v>1.1875</v>
      </c>
      <c r="F337" s="112" t="s">
        <v>63</v>
      </c>
      <c r="G337" s="114">
        <v>7</v>
      </c>
      <c r="H337" s="115" t="s">
        <v>79</v>
      </c>
    </row>
    <row r="338" spans="1:8" ht="19.899999999999999" customHeight="1">
      <c r="A338" s="121">
        <v>46044</v>
      </c>
      <c r="B338" s="112" t="s">
        <v>61</v>
      </c>
      <c r="C338" s="113" t="s">
        <v>371</v>
      </c>
      <c r="D338" s="112" t="s">
        <v>341</v>
      </c>
      <c r="E338" s="122">
        <v>1.0659722222222221</v>
      </c>
      <c r="F338" s="112" t="s">
        <v>63</v>
      </c>
      <c r="G338" s="114">
        <v>3</v>
      </c>
      <c r="H338" s="115" t="s">
        <v>79</v>
      </c>
    </row>
    <row r="339" spans="1:8" ht="19.899999999999999" customHeight="1">
      <c r="A339" s="121">
        <v>46044</v>
      </c>
      <c r="B339" s="112" t="s">
        <v>61</v>
      </c>
      <c r="C339" s="113" t="s">
        <v>375</v>
      </c>
      <c r="D339" s="112" t="s">
        <v>341</v>
      </c>
      <c r="E339" s="122">
        <v>1.15625</v>
      </c>
      <c r="F339" s="112" t="s">
        <v>63</v>
      </c>
      <c r="G339" s="114">
        <v>3</v>
      </c>
      <c r="H339" s="115" t="s">
        <v>79</v>
      </c>
    </row>
    <row r="340" spans="1:8" ht="19.899999999999999" customHeight="1">
      <c r="A340" s="123">
        <v>46044</v>
      </c>
      <c r="B340" s="124" t="s">
        <v>61</v>
      </c>
      <c r="C340" s="125" t="s">
        <v>377</v>
      </c>
      <c r="D340" s="124" t="s">
        <v>341</v>
      </c>
      <c r="E340" s="126">
        <v>1.40625</v>
      </c>
      <c r="F340" s="124" t="s">
        <v>63</v>
      </c>
      <c r="G340" s="127">
        <v>2</v>
      </c>
      <c r="H340" s="128" t="s">
        <v>79</v>
      </c>
    </row>
    <row r="341" spans="1:8" ht="19.899999999999999" customHeight="1">
      <c r="A341" s="129">
        <v>46045</v>
      </c>
      <c r="B341" s="117" t="s">
        <v>61</v>
      </c>
      <c r="C341" s="118" t="s">
        <v>715</v>
      </c>
      <c r="D341" s="117" t="s">
        <v>706</v>
      </c>
      <c r="E341" s="130">
        <v>1.135416666666667</v>
      </c>
      <c r="F341" s="117" t="s">
        <v>63</v>
      </c>
      <c r="G341" s="119">
        <v>6</v>
      </c>
      <c r="H341" s="120" t="s">
        <v>133</v>
      </c>
    </row>
    <row r="342" spans="1:8" ht="19.899999999999999" customHeight="1">
      <c r="A342" s="143"/>
      <c r="B342" s="144"/>
      <c r="C342" s="144"/>
      <c r="D342" s="144"/>
      <c r="E342" s="144"/>
      <c r="F342" s="145" t="s">
        <v>705</v>
      </c>
      <c r="G342" s="144"/>
      <c r="H342" s="146"/>
    </row>
    <row r="343" spans="1:8" ht="19.899999999999999" customHeight="1">
      <c r="A343" s="121">
        <v>46045</v>
      </c>
      <c r="B343" s="112" t="s">
        <v>38</v>
      </c>
      <c r="C343" s="113" t="s">
        <v>342</v>
      </c>
      <c r="D343" s="112" t="s">
        <v>341</v>
      </c>
      <c r="E343" s="122">
        <v>1.489583333333333</v>
      </c>
      <c r="F343" s="112" t="s">
        <v>40</v>
      </c>
      <c r="G343" s="114">
        <v>13</v>
      </c>
      <c r="H343" s="115" t="s">
        <v>347</v>
      </c>
    </row>
    <row r="344" spans="1:8" ht="19.899999999999999" customHeight="1">
      <c r="A344" s="121">
        <v>46045</v>
      </c>
      <c r="B344" s="112" t="s">
        <v>359</v>
      </c>
      <c r="C344" s="113" t="s">
        <v>422</v>
      </c>
      <c r="D344" s="112" t="s">
        <v>341</v>
      </c>
      <c r="E344" s="122">
        <v>1.8090277777777779</v>
      </c>
      <c r="F344" s="112" t="s">
        <v>361</v>
      </c>
      <c r="G344" s="114">
        <v>9</v>
      </c>
      <c r="H344" s="115" t="s">
        <v>534</v>
      </c>
    </row>
    <row r="345" spans="1:8" ht="19.899999999999999" customHeight="1">
      <c r="A345" s="121">
        <v>46045</v>
      </c>
      <c r="B345" s="112" t="s">
        <v>359</v>
      </c>
      <c r="C345" s="113" t="s">
        <v>360</v>
      </c>
      <c r="D345" s="112" t="s">
        <v>341</v>
      </c>
      <c r="E345" s="122">
        <v>1.225694444444444</v>
      </c>
      <c r="F345" s="112" t="s">
        <v>361</v>
      </c>
      <c r="G345" s="114">
        <v>9</v>
      </c>
      <c r="H345" s="115" t="s">
        <v>534</v>
      </c>
    </row>
    <row r="346" spans="1:8" ht="19.899999999999999" customHeight="1">
      <c r="A346" s="121">
        <v>46045</v>
      </c>
      <c r="B346" s="112" t="s">
        <v>38</v>
      </c>
      <c r="C346" s="113" t="s">
        <v>346</v>
      </c>
      <c r="D346" s="112" t="s">
        <v>341</v>
      </c>
      <c r="E346" s="122">
        <v>1.399305555555556</v>
      </c>
      <c r="F346" s="112" t="s">
        <v>40</v>
      </c>
      <c r="G346" s="114">
        <v>20</v>
      </c>
      <c r="H346" s="115" t="s">
        <v>121</v>
      </c>
    </row>
    <row r="347" spans="1:8" ht="19.899999999999999" customHeight="1">
      <c r="A347" s="121">
        <v>46045</v>
      </c>
      <c r="B347" s="112" t="s">
        <v>38</v>
      </c>
      <c r="C347" s="113" t="s">
        <v>344</v>
      </c>
      <c r="D347" s="112" t="s">
        <v>341</v>
      </c>
      <c r="E347" s="122">
        <v>1.8888888888888891</v>
      </c>
      <c r="F347" s="112" t="s">
        <v>40</v>
      </c>
      <c r="G347" s="114">
        <v>17</v>
      </c>
      <c r="H347" s="115" t="s">
        <v>121</v>
      </c>
    </row>
    <row r="348" spans="1:8" ht="19.899999999999999" customHeight="1">
      <c r="A348" s="121">
        <v>46045</v>
      </c>
      <c r="B348" s="112" t="s">
        <v>38</v>
      </c>
      <c r="C348" s="113" t="s">
        <v>345</v>
      </c>
      <c r="D348" s="112" t="s">
        <v>341</v>
      </c>
      <c r="E348" s="122">
        <v>1.989583333333333</v>
      </c>
      <c r="F348" s="112" t="s">
        <v>40</v>
      </c>
      <c r="G348" s="114">
        <v>18</v>
      </c>
      <c r="H348" s="115" t="s">
        <v>121</v>
      </c>
    </row>
    <row r="349" spans="1:8" ht="19.899999999999999" customHeight="1">
      <c r="A349" s="121">
        <v>46045</v>
      </c>
      <c r="B349" s="112" t="s">
        <v>26</v>
      </c>
      <c r="C349" s="113" t="s">
        <v>348</v>
      </c>
      <c r="D349" s="112" t="s">
        <v>341</v>
      </c>
      <c r="E349" s="122">
        <v>1.993055555555556</v>
      </c>
      <c r="F349" s="112" t="s">
        <v>28</v>
      </c>
      <c r="G349" s="114">
        <v>1</v>
      </c>
      <c r="H349" s="115" t="s">
        <v>83</v>
      </c>
    </row>
    <row r="350" spans="1:8" ht="19.899999999999999" customHeight="1">
      <c r="A350" s="121">
        <v>46045</v>
      </c>
      <c r="B350" s="112" t="s">
        <v>359</v>
      </c>
      <c r="C350" s="113" t="s">
        <v>425</v>
      </c>
      <c r="D350" s="112" t="s">
        <v>341</v>
      </c>
      <c r="E350" s="122">
        <v>1.510416666666667</v>
      </c>
      <c r="F350" s="112" t="s">
        <v>361</v>
      </c>
      <c r="G350" s="114">
        <v>9</v>
      </c>
      <c r="H350" s="115" t="s">
        <v>504</v>
      </c>
    </row>
    <row r="351" spans="1:8" ht="19.899999999999999" customHeight="1">
      <c r="A351" s="121">
        <v>46045</v>
      </c>
      <c r="B351" s="112" t="s">
        <v>402</v>
      </c>
      <c r="C351" s="113" t="s">
        <v>403</v>
      </c>
      <c r="D351" s="112" t="s">
        <v>341</v>
      </c>
      <c r="E351" s="122">
        <v>1.493055555555556</v>
      </c>
      <c r="F351" s="112" t="s">
        <v>63</v>
      </c>
      <c r="G351" s="114">
        <v>4</v>
      </c>
      <c r="H351" s="115" t="s">
        <v>404</v>
      </c>
    </row>
    <row r="352" spans="1:8" ht="19.899999999999999" customHeight="1">
      <c r="A352" s="123">
        <v>46045</v>
      </c>
      <c r="B352" s="124" t="s">
        <v>61</v>
      </c>
      <c r="C352" s="125" t="s">
        <v>377</v>
      </c>
      <c r="D352" s="124" t="s">
        <v>341</v>
      </c>
      <c r="E352" s="126">
        <v>1.28125</v>
      </c>
      <c r="F352" s="124" t="s">
        <v>63</v>
      </c>
      <c r="G352" s="127">
        <v>5</v>
      </c>
      <c r="H352" s="128" t="s">
        <v>79</v>
      </c>
    </row>
    <row r="353" spans="1:8" ht="19.899999999999999" customHeight="1">
      <c r="A353" s="129">
        <v>46046</v>
      </c>
      <c r="B353" s="117" t="s">
        <v>61</v>
      </c>
      <c r="C353" s="118" t="s">
        <v>715</v>
      </c>
      <c r="D353" s="117" t="s">
        <v>706</v>
      </c>
      <c r="E353" s="130">
        <v>1.1423611111111109</v>
      </c>
      <c r="F353" s="117" t="s">
        <v>63</v>
      </c>
      <c r="G353" s="119">
        <v>2</v>
      </c>
      <c r="H353" s="120" t="s">
        <v>708</v>
      </c>
    </row>
    <row r="354" spans="1:8" ht="19.899999999999999" customHeight="1">
      <c r="A354" s="129">
        <v>46046</v>
      </c>
      <c r="B354" s="117" t="s">
        <v>61</v>
      </c>
      <c r="C354" s="118" t="s">
        <v>707</v>
      </c>
      <c r="D354" s="117" t="s">
        <v>706</v>
      </c>
      <c r="E354" s="130">
        <v>1.302083333333333</v>
      </c>
      <c r="F354" s="117" t="s">
        <v>63</v>
      </c>
      <c r="G354" s="119">
        <v>3</v>
      </c>
      <c r="H354" s="120" t="s">
        <v>711</v>
      </c>
    </row>
    <row r="355" spans="1:8" ht="19.899999999999999" customHeight="1">
      <c r="A355" s="129">
        <v>46046</v>
      </c>
      <c r="B355" s="117" t="s">
        <v>61</v>
      </c>
      <c r="C355" s="118" t="s">
        <v>710</v>
      </c>
      <c r="D355" s="117" t="s">
        <v>706</v>
      </c>
      <c r="E355" s="130">
        <v>1.5277777777777779</v>
      </c>
      <c r="F355" s="117" t="s">
        <v>63</v>
      </c>
      <c r="G355" s="119">
        <v>4</v>
      </c>
      <c r="H355" s="120" t="s">
        <v>711</v>
      </c>
    </row>
    <row r="356" spans="1:8" ht="19.899999999999999" customHeight="1">
      <c r="A356" s="121">
        <v>46046</v>
      </c>
      <c r="B356" s="112" t="s">
        <v>68</v>
      </c>
      <c r="C356" s="113" t="s">
        <v>713</v>
      </c>
      <c r="D356" s="112" t="s">
        <v>706</v>
      </c>
      <c r="E356" s="122">
        <v>1.302083333333333</v>
      </c>
      <c r="F356" s="112" t="s">
        <v>70</v>
      </c>
      <c r="G356" s="114">
        <v>4</v>
      </c>
      <c r="H356" s="115" t="s">
        <v>727</v>
      </c>
    </row>
    <row r="357" spans="1:8" ht="19.899999999999999" customHeight="1">
      <c r="A357" s="143"/>
      <c r="B357" s="144"/>
      <c r="C357" s="144"/>
      <c r="D357" s="144"/>
      <c r="E357" s="144"/>
      <c r="F357" s="145" t="s">
        <v>705</v>
      </c>
      <c r="G357" s="144"/>
      <c r="H357" s="146"/>
    </row>
    <row r="358" spans="1:8" ht="19.899999999999999" customHeight="1">
      <c r="A358" s="121">
        <v>46046</v>
      </c>
      <c r="B358" s="112" t="s">
        <v>38</v>
      </c>
      <c r="C358" s="113" t="s">
        <v>346</v>
      </c>
      <c r="D358" s="112" t="s">
        <v>341</v>
      </c>
      <c r="E358" s="122">
        <v>1.399305555555556</v>
      </c>
      <c r="F358" s="112" t="s">
        <v>40</v>
      </c>
      <c r="G358" s="114">
        <v>11</v>
      </c>
      <c r="H358" s="115" t="s">
        <v>347</v>
      </c>
    </row>
    <row r="359" spans="1:8" ht="19.899999999999999" customHeight="1">
      <c r="A359" s="121">
        <v>46046</v>
      </c>
      <c r="B359" s="112" t="s">
        <v>38</v>
      </c>
      <c r="C359" s="113" t="s">
        <v>344</v>
      </c>
      <c r="D359" s="112" t="s">
        <v>341</v>
      </c>
      <c r="E359" s="122">
        <v>1.8888888888888891</v>
      </c>
      <c r="F359" s="112" t="s">
        <v>40</v>
      </c>
      <c r="G359" s="114">
        <v>16</v>
      </c>
      <c r="H359" s="115" t="s">
        <v>347</v>
      </c>
    </row>
    <row r="360" spans="1:8" ht="19.899999999999999" customHeight="1">
      <c r="A360" s="121">
        <v>46046</v>
      </c>
      <c r="B360" s="112" t="s">
        <v>38</v>
      </c>
      <c r="C360" s="113" t="s">
        <v>345</v>
      </c>
      <c r="D360" s="112" t="s">
        <v>341</v>
      </c>
      <c r="E360" s="122">
        <v>1.989583333333333</v>
      </c>
      <c r="F360" s="112" t="s">
        <v>40</v>
      </c>
      <c r="G360" s="114">
        <v>18</v>
      </c>
      <c r="H360" s="115" t="s">
        <v>347</v>
      </c>
    </row>
    <row r="361" spans="1:8" ht="19.899999999999999" customHeight="1">
      <c r="A361" s="121">
        <v>46046</v>
      </c>
      <c r="B361" s="112" t="s">
        <v>359</v>
      </c>
      <c r="C361" s="113" t="s">
        <v>360</v>
      </c>
      <c r="D361" s="112" t="s">
        <v>341</v>
      </c>
      <c r="E361" s="122">
        <v>1.1701388888888891</v>
      </c>
      <c r="F361" s="112" t="s">
        <v>361</v>
      </c>
      <c r="G361" s="114">
        <v>9</v>
      </c>
      <c r="H361" s="115" t="s">
        <v>534</v>
      </c>
    </row>
    <row r="362" spans="1:8" ht="19.899999999999999" customHeight="1">
      <c r="A362" s="121">
        <v>46046</v>
      </c>
      <c r="B362" s="112" t="s">
        <v>359</v>
      </c>
      <c r="C362" s="113" t="s">
        <v>445</v>
      </c>
      <c r="D362" s="112" t="s">
        <v>341</v>
      </c>
      <c r="E362" s="122">
        <v>1.055555555555556</v>
      </c>
      <c r="F362" s="112" t="s">
        <v>361</v>
      </c>
      <c r="G362" s="114">
        <v>9</v>
      </c>
      <c r="H362" s="115" t="s">
        <v>534</v>
      </c>
    </row>
    <row r="363" spans="1:8" ht="19.899999999999999" customHeight="1">
      <c r="A363" s="121">
        <v>46046</v>
      </c>
      <c r="B363" s="112" t="s">
        <v>38</v>
      </c>
      <c r="C363" s="113" t="s">
        <v>342</v>
      </c>
      <c r="D363" s="112" t="s">
        <v>341</v>
      </c>
      <c r="E363" s="122">
        <v>1.489583333333333</v>
      </c>
      <c r="F363" s="112" t="s">
        <v>40</v>
      </c>
      <c r="G363" s="114">
        <v>17</v>
      </c>
      <c r="H363" s="115" t="s">
        <v>121</v>
      </c>
    </row>
    <row r="364" spans="1:8" ht="19.899999999999999" customHeight="1">
      <c r="A364" s="121">
        <v>46046</v>
      </c>
      <c r="B364" s="112" t="s">
        <v>26</v>
      </c>
      <c r="C364" s="113" t="s">
        <v>348</v>
      </c>
      <c r="D364" s="112" t="s">
        <v>341</v>
      </c>
      <c r="E364" s="122">
        <v>1.993055555555556</v>
      </c>
      <c r="F364" s="112" t="s">
        <v>28</v>
      </c>
      <c r="G364" s="114">
        <v>2</v>
      </c>
      <c r="H364" s="115" t="s">
        <v>83</v>
      </c>
    </row>
    <row r="365" spans="1:8" ht="19.899999999999999" customHeight="1">
      <c r="A365" s="121">
        <v>46046</v>
      </c>
      <c r="B365" s="112" t="s">
        <v>26</v>
      </c>
      <c r="C365" s="113" t="s">
        <v>351</v>
      </c>
      <c r="D365" s="112" t="s">
        <v>341</v>
      </c>
      <c r="E365" s="122">
        <v>1.836805555555556</v>
      </c>
      <c r="F365" s="112" t="s">
        <v>28</v>
      </c>
      <c r="G365" s="114">
        <v>3</v>
      </c>
      <c r="H365" s="115" t="s">
        <v>83</v>
      </c>
    </row>
    <row r="366" spans="1:8" ht="19.899999999999999" customHeight="1">
      <c r="A366" s="121">
        <v>46046</v>
      </c>
      <c r="B366" s="112" t="s">
        <v>402</v>
      </c>
      <c r="C366" s="113" t="s">
        <v>403</v>
      </c>
      <c r="D366" s="112" t="s">
        <v>341</v>
      </c>
      <c r="E366" s="122">
        <v>1.493055555555556</v>
      </c>
      <c r="F366" s="112" t="s">
        <v>63</v>
      </c>
      <c r="G366" s="114">
        <v>5</v>
      </c>
      <c r="H366" s="115" t="s">
        <v>404</v>
      </c>
    </row>
    <row r="367" spans="1:8" ht="19.899999999999999" customHeight="1">
      <c r="A367" s="123">
        <v>46046</v>
      </c>
      <c r="B367" s="124" t="s">
        <v>61</v>
      </c>
      <c r="C367" s="125" t="s">
        <v>364</v>
      </c>
      <c r="D367" s="124" t="s">
        <v>341</v>
      </c>
      <c r="E367" s="126">
        <v>1.90625</v>
      </c>
      <c r="F367" s="124" t="s">
        <v>63</v>
      </c>
      <c r="G367" s="127">
        <v>4</v>
      </c>
      <c r="H367" s="128" t="s">
        <v>79</v>
      </c>
    </row>
    <row r="368" spans="1:8" ht="19.899999999999999" customHeight="1">
      <c r="A368" s="129">
        <v>46047</v>
      </c>
      <c r="B368" s="117" t="s">
        <v>61</v>
      </c>
      <c r="C368" s="118" t="s">
        <v>710</v>
      </c>
      <c r="D368" s="117" t="s">
        <v>706</v>
      </c>
      <c r="E368" s="130">
        <v>1.6909722222222221</v>
      </c>
      <c r="F368" s="117" t="s">
        <v>63</v>
      </c>
      <c r="G368" s="119">
        <v>1</v>
      </c>
      <c r="H368" s="120" t="s">
        <v>708</v>
      </c>
    </row>
    <row r="369" spans="1:8" ht="19.899999999999999" customHeight="1">
      <c r="A369" s="121">
        <v>46047</v>
      </c>
      <c r="B369" s="112" t="s">
        <v>38</v>
      </c>
      <c r="C369" s="113" t="s">
        <v>719</v>
      </c>
      <c r="D369" s="112" t="s">
        <v>706</v>
      </c>
      <c r="E369" s="122">
        <v>1.364583333333333</v>
      </c>
      <c r="F369" s="112" t="s">
        <v>622</v>
      </c>
      <c r="G369" s="114">
        <v>21</v>
      </c>
      <c r="H369" s="115" t="s">
        <v>89</v>
      </c>
    </row>
    <row r="370" spans="1:8" ht="19.899999999999999" customHeight="1">
      <c r="A370" s="129">
        <v>46047</v>
      </c>
      <c r="B370" s="117" t="s">
        <v>61</v>
      </c>
      <c r="C370" s="118" t="s">
        <v>715</v>
      </c>
      <c r="D370" s="117" t="s">
        <v>706</v>
      </c>
      <c r="E370" s="130">
        <v>1.3298611111111109</v>
      </c>
      <c r="F370" s="117" t="s">
        <v>63</v>
      </c>
      <c r="G370" s="119">
        <v>4</v>
      </c>
      <c r="H370" s="120" t="s">
        <v>711</v>
      </c>
    </row>
    <row r="371" spans="1:8" ht="19.899999999999999" customHeight="1">
      <c r="A371" s="121">
        <v>46047</v>
      </c>
      <c r="B371" s="112" t="s">
        <v>38</v>
      </c>
      <c r="C371" s="113" t="s">
        <v>719</v>
      </c>
      <c r="D371" s="112" t="s">
        <v>706</v>
      </c>
      <c r="E371" s="122">
        <v>1.364583333333333</v>
      </c>
      <c r="F371" s="112" t="s">
        <v>603</v>
      </c>
      <c r="G371" s="114">
        <v>21</v>
      </c>
      <c r="H371" s="115" t="s">
        <v>728</v>
      </c>
    </row>
    <row r="372" spans="1:8" ht="19.899999999999999" customHeight="1">
      <c r="A372" s="121">
        <v>46047</v>
      </c>
      <c r="B372" s="112" t="s">
        <v>38</v>
      </c>
      <c r="C372" s="113" t="s">
        <v>719</v>
      </c>
      <c r="D372" s="112" t="s">
        <v>706</v>
      </c>
      <c r="E372" s="122">
        <v>1.364583333333333</v>
      </c>
      <c r="F372" s="112" t="s">
        <v>605</v>
      </c>
      <c r="G372" s="114">
        <v>21</v>
      </c>
      <c r="H372" s="115" t="s">
        <v>729</v>
      </c>
    </row>
    <row r="373" spans="1:8" ht="19.899999999999999" customHeight="1">
      <c r="A373" s="121">
        <v>46047</v>
      </c>
      <c r="B373" s="112" t="s">
        <v>38</v>
      </c>
      <c r="C373" s="113" t="s">
        <v>719</v>
      </c>
      <c r="D373" s="112" t="s">
        <v>706</v>
      </c>
      <c r="E373" s="122">
        <v>1.364583333333333</v>
      </c>
      <c r="F373" s="112" t="s">
        <v>625</v>
      </c>
      <c r="G373" s="114">
        <v>21</v>
      </c>
      <c r="H373" s="115" t="s">
        <v>511</v>
      </c>
    </row>
    <row r="374" spans="1:8" ht="19.899999999999999" customHeight="1">
      <c r="A374" s="143"/>
      <c r="B374" s="144"/>
      <c r="C374" s="144"/>
      <c r="D374" s="144"/>
      <c r="E374" s="144"/>
      <c r="F374" s="145" t="s">
        <v>705</v>
      </c>
      <c r="G374" s="144"/>
      <c r="H374" s="146"/>
    </row>
    <row r="375" spans="1:8" ht="19.899999999999999" customHeight="1">
      <c r="A375" s="121">
        <v>46047</v>
      </c>
      <c r="B375" s="112" t="s">
        <v>38</v>
      </c>
      <c r="C375" s="113" t="s">
        <v>342</v>
      </c>
      <c r="D375" s="112" t="s">
        <v>341</v>
      </c>
      <c r="E375" s="122">
        <v>1.489583333333333</v>
      </c>
      <c r="F375" s="112" t="s">
        <v>40</v>
      </c>
      <c r="G375" s="114">
        <v>14</v>
      </c>
      <c r="H375" s="115" t="s">
        <v>81</v>
      </c>
    </row>
    <row r="376" spans="1:8" ht="19.899999999999999" customHeight="1">
      <c r="A376" s="121">
        <v>46047</v>
      </c>
      <c r="B376" s="112" t="s">
        <v>38</v>
      </c>
      <c r="C376" s="113" t="s">
        <v>346</v>
      </c>
      <c r="D376" s="112" t="s">
        <v>341</v>
      </c>
      <c r="E376" s="122">
        <v>1.399305555555556</v>
      </c>
      <c r="F376" s="112" t="s">
        <v>40</v>
      </c>
      <c r="G376" s="114">
        <v>20</v>
      </c>
      <c r="H376" s="115" t="s">
        <v>347</v>
      </c>
    </row>
    <row r="377" spans="1:8" ht="19.899999999999999" customHeight="1">
      <c r="A377" s="121">
        <v>46047</v>
      </c>
      <c r="B377" s="112" t="s">
        <v>38</v>
      </c>
      <c r="C377" s="113" t="s">
        <v>344</v>
      </c>
      <c r="D377" s="112" t="s">
        <v>341</v>
      </c>
      <c r="E377" s="122">
        <v>1.8888888888888891</v>
      </c>
      <c r="F377" s="112" t="s">
        <v>40</v>
      </c>
      <c r="G377" s="114">
        <v>20</v>
      </c>
      <c r="H377" s="115" t="s">
        <v>347</v>
      </c>
    </row>
    <row r="378" spans="1:8" ht="19.899999999999999" customHeight="1">
      <c r="A378" s="121">
        <v>46047</v>
      </c>
      <c r="B378" s="112" t="s">
        <v>38</v>
      </c>
      <c r="C378" s="113" t="s">
        <v>345</v>
      </c>
      <c r="D378" s="112" t="s">
        <v>341</v>
      </c>
      <c r="E378" s="122">
        <v>1.989583333333333</v>
      </c>
      <c r="F378" s="112" t="s">
        <v>40</v>
      </c>
      <c r="G378" s="114">
        <v>19</v>
      </c>
      <c r="H378" s="115" t="s">
        <v>347</v>
      </c>
    </row>
    <row r="379" spans="1:8" ht="19.899999999999999" customHeight="1">
      <c r="A379" s="121">
        <v>46047</v>
      </c>
      <c r="B379" s="112" t="s">
        <v>359</v>
      </c>
      <c r="C379" s="113" t="s">
        <v>360</v>
      </c>
      <c r="D379" s="112" t="s">
        <v>341</v>
      </c>
      <c r="E379" s="122">
        <v>1.229166666666667</v>
      </c>
      <c r="F379" s="112" t="s">
        <v>361</v>
      </c>
      <c r="G379" s="114">
        <v>9</v>
      </c>
      <c r="H379" s="115" t="s">
        <v>534</v>
      </c>
    </row>
    <row r="380" spans="1:8" ht="19.899999999999999" customHeight="1">
      <c r="A380" s="121">
        <v>46047</v>
      </c>
      <c r="B380" s="112" t="s">
        <v>61</v>
      </c>
      <c r="C380" s="113" t="s">
        <v>432</v>
      </c>
      <c r="D380" s="112" t="s">
        <v>341</v>
      </c>
      <c r="E380" s="122">
        <v>1.333333333333333</v>
      </c>
      <c r="F380" s="112" t="s">
        <v>63</v>
      </c>
      <c r="G380" s="114">
        <v>1</v>
      </c>
      <c r="H380" s="115" t="s">
        <v>365</v>
      </c>
    </row>
    <row r="381" spans="1:8" ht="19.899999999999999" customHeight="1">
      <c r="A381" s="121">
        <v>46047</v>
      </c>
      <c r="B381" s="112" t="s">
        <v>26</v>
      </c>
      <c r="C381" s="113" t="s">
        <v>354</v>
      </c>
      <c r="D381" s="112" t="s">
        <v>341</v>
      </c>
      <c r="E381" s="122">
        <v>1.3472222222222221</v>
      </c>
      <c r="F381" s="112" t="s">
        <v>28</v>
      </c>
      <c r="G381" s="114">
        <v>1</v>
      </c>
      <c r="H381" s="115" t="s">
        <v>83</v>
      </c>
    </row>
    <row r="382" spans="1:8" ht="19.899999999999999" customHeight="1">
      <c r="A382" s="121">
        <v>46047</v>
      </c>
      <c r="B382" s="112" t="s">
        <v>26</v>
      </c>
      <c r="C382" s="113" t="s">
        <v>348</v>
      </c>
      <c r="D382" s="112" t="s">
        <v>341</v>
      </c>
      <c r="E382" s="122">
        <v>1.993055555555556</v>
      </c>
      <c r="F382" s="112" t="s">
        <v>28</v>
      </c>
      <c r="G382" s="114">
        <v>2</v>
      </c>
      <c r="H382" s="115" t="s">
        <v>83</v>
      </c>
    </row>
    <row r="383" spans="1:8" ht="19.899999999999999" customHeight="1">
      <c r="A383" s="121">
        <v>46047</v>
      </c>
      <c r="B383" s="112" t="s">
        <v>26</v>
      </c>
      <c r="C383" s="113" t="s">
        <v>350</v>
      </c>
      <c r="D383" s="112" t="s">
        <v>341</v>
      </c>
      <c r="E383" s="122">
        <v>1.7361111111111109</v>
      </c>
      <c r="F383" s="112" t="s">
        <v>28</v>
      </c>
      <c r="G383" s="114">
        <v>1</v>
      </c>
      <c r="H383" s="115" t="s">
        <v>83</v>
      </c>
    </row>
    <row r="384" spans="1:8" ht="19.899999999999999" customHeight="1">
      <c r="A384" s="123">
        <v>46047</v>
      </c>
      <c r="B384" s="124" t="s">
        <v>26</v>
      </c>
      <c r="C384" s="125" t="s">
        <v>353</v>
      </c>
      <c r="D384" s="124" t="s">
        <v>341</v>
      </c>
      <c r="E384" s="126">
        <v>1.8888888888888891</v>
      </c>
      <c r="F384" s="124" t="s">
        <v>28</v>
      </c>
      <c r="G384" s="127">
        <v>3</v>
      </c>
      <c r="H384" s="128" t="s">
        <v>83</v>
      </c>
    </row>
    <row r="385" spans="1:8" ht="19.899999999999999" customHeight="1">
      <c r="A385" s="129">
        <v>46048</v>
      </c>
      <c r="B385" s="117" t="s">
        <v>61</v>
      </c>
      <c r="C385" s="118" t="s">
        <v>707</v>
      </c>
      <c r="D385" s="117" t="s">
        <v>706</v>
      </c>
      <c r="E385" s="130">
        <v>1.5486111111111109</v>
      </c>
      <c r="F385" s="117" t="s">
        <v>63</v>
      </c>
      <c r="G385" s="119">
        <v>4</v>
      </c>
      <c r="H385" s="120" t="s">
        <v>708</v>
      </c>
    </row>
    <row r="386" spans="1:8" ht="19.899999999999999" customHeight="1">
      <c r="A386" s="129">
        <v>46048</v>
      </c>
      <c r="B386" s="117" t="s">
        <v>61</v>
      </c>
      <c r="C386" s="118" t="s">
        <v>710</v>
      </c>
      <c r="D386" s="117" t="s">
        <v>706</v>
      </c>
      <c r="E386" s="130">
        <v>1.194444444444444</v>
      </c>
      <c r="F386" s="117" t="s">
        <v>63</v>
      </c>
      <c r="G386" s="119">
        <v>4</v>
      </c>
      <c r="H386" s="120" t="s">
        <v>708</v>
      </c>
    </row>
    <row r="387" spans="1:8" ht="19.899999999999999" customHeight="1">
      <c r="A387" s="129">
        <v>46048</v>
      </c>
      <c r="B387" s="117" t="s">
        <v>61</v>
      </c>
      <c r="C387" s="118" t="s">
        <v>715</v>
      </c>
      <c r="D387" s="117" t="s">
        <v>706</v>
      </c>
      <c r="E387" s="130">
        <v>1.09375</v>
      </c>
      <c r="F387" s="117" t="s">
        <v>63</v>
      </c>
      <c r="G387" s="119">
        <v>3</v>
      </c>
      <c r="H387" s="120" t="s">
        <v>708</v>
      </c>
    </row>
    <row r="388" spans="1:8" ht="19.899999999999999" customHeight="1">
      <c r="A388" s="121">
        <v>46048</v>
      </c>
      <c r="B388" s="112" t="s">
        <v>68</v>
      </c>
      <c r="C388" s="113" t="s">
        <v>713</v>
      </c>
      <c r="D388" s="112" t="s">
        <v>706</v>
      </c>
      <c r="E388" s="122">
        <v>1.5486111111111109</v>
      </c>
      <c r="F388" s="112" t="s">
        <v>643</v>
      </c>
      <c r="G388" s="114">
        <v>4</v>
      </c>
      <c r="H388" s="115" t="s">
        <v>714</v>
      </c>
    </row>
    <row r="389" spans="1:8" ht="19.899999999999999" customHeight="1">
      <c r="A389" s="143"/>
      <c r="B389" s="144"/>
      <c r="C389" s="144"/>
      <c r="D389" s="144"/>
      <c r="E389" s="144"/>
      <c r="F389" s="145" t="s">
        <v>705</v>
      </c>
      <c r="G389" s="144"/>
      <c r="H389" s="146"/>
    </row>
    <row r="390" spans="1:8" ht="19.899999999999999" customHeight="1">
      <c r="A390" s="121">
        <v>46048</v>
      </c>
      <c r="B390" s="112" t="s">
        <v>38</v>
      </c>
      <c r="C390" s="113" t="s">
        <v>342</v>
      </c>
      <c r="D390" s="112" t="s">
        <v>341</v>
      </c>
      <c r="E390" s="122">
        <v>1.489583333333333</v>
      </c>
      <c r="F390" s="112" t="s">
        <v>40</v>
      </c>
      <c r="G390" s="114">
        <v>16</v>
      </c>
      <c r="H390" s="115" t="s">
        <v>81</v>
      </c>
    </row>
    <row r="391" spans="1:8" ht="19.899999999999999" customHeight="1">
      <c r="A391" s="121">
        <v>46048</v>
      </c>
      <c r="B391" s="112" t="s">
        <v>38</v>
      </c>
      <c r="C391" s="113" t="s">
        <v>346</v>
      </c>
      <c r="D391" s="112" t="s">
        <v>341</v>
      </c>
      <c r="E391" s="122">
        <v>1.399305555555556</v>
      </c>
      <c r="F391" s="112" t="s">
        <v>40</v>
      </c>
      <c r="G391" s="114">
        <v>20</v>
      </c>
      <c r="H391" s="115" t="s">
        <v>347</v>
      </c>
    </row>
    <row r="392" spans="1:8" ht="19.899999999999999" customHeight="1">
      <c r="A392" s="121">
        <v>46048</v>
      </c>
      <c r="B392" s="112" t="s">
        <v>38</v>
      </c>
      <c r="C392" s="113" t="s">
        <v>344</v>
      </c>
      <c r="D392" s="112" t="s">
        <v>341</v>
      </c>
      <c r="E392" s="122">
        <v>1.8888888888888891</v>
      </c>
      <c r="F392" s="112" t="s">
        <v>40</v>
      </c>
      <c r="G392" s="114">
        <v>20</v>
      </c>
      <c r="H392" s="115" t="s">
        <v>347</v>
      </c>
    </row>
    <row r="393" spans="1:8" ht="19.899999999999999" customHeight="1">
      <c r="A393" s="121">
        <v>46048</v>
      </c>
      <c r="B393" s="112" t="s">
        <v>38</v>
      </c>
      <c r="C393" s="113" t="s">
        <v>345</v>
      </c>
      <c r="D393" s="112" t="s">
        <v>341</v>
      </c>
      <c r="E393" s="122">
        <v>1.989583333333333</v>
      </c>
      <c r="F393" s="112" t="s">
        <v>40</v>
      </c>
      <c r="G393" s="114">
        <v>20</v>
      </c>
      <c r="H393" s="115" t="s">
        <v>347</v>
      </c>
    </row>
    <row r="394" spans="1:8" ht="19.899999999999999" customHeight="1">
      <c r="A394" s="121">
        <v>46048</v>
      </c>
      <c r="B394" s="112" t="s">
        <v>359</v>
      </c>
      <c r="C394" s="113" t="s">
        <v>360</v>
      </c>
      <c r="D394" s="112" t="s">
        <v>341</v>
      </c>
      <c r="E394" s="122">
        <v>1.225694444444444</v>
      </c>
      <c r="F394" s="112" t="s">
        <v>361</v>
      </c>
      <c r="G394" s="114">
        <v>9</v>
      </c>
      <c r="H394" s="115" t="s">
        <v>525</v>
      </c>
    </row>
    <row r="395" spans="1:8" ht="19.899999999999999" customHeight="1">
      <c r="A395" s="121">
        <v>46048</v>
      </c>
      <c r="B395" s="112" t="s">
        <v>359</v>
      </c>
      <c r="C395" s="113" t="s">
        <v>445</v>
      </c>
      <c r="D395" s="112" t="s">
        <v>341</v>
      </c>
      <c r="E395" s="122">
        <v>1.0138888888888891</v>
      </c>
      <c r="F395" s="112" t="s">
        <v>361</v>
      </c>
      <c r="G395" s="114">
        <v>9</v>
      </c>
      <c r="H395" s="115" t="s">
        <v>525</v>
      </c>
    </row>
    <row r="396" spans="1:8" ht="19.899999999999999" customHeight="1">
      <c r="A396" s="121">
        <v>46048</v>
      </c>
      <c r="B396" s="112" t="s">
        <v>26</v>
      </c>
      <c r="C396" s="113" t="s">
        <v>348</v>
      </c>
      <c r="D396" s="112" t="s">
        <v>341</v>
      </c>
      <c r="E396" s="122">
        <v>1.993055555555556</v>
      </c>
      <c r="F396" s="112" t="s">
        <v>28</v>
      </c>
      <c r="G396" s="114">
        <v>4</v>
      </c>
      <c r="H396" s="115" t="s">
        <v>83</v>
      </c>
    </row>
    <row r="397" spans="1:8" ht="19.899999999999999" customHeight="1">
      <c r="A397" s="121">
        <v>46048</v>
      </c>
      <c r="B397" s="112" t="s">
        <v>26</v>
      </c>
      <c r="C397" s="113" t="s">
        <v>351</v>
      </c>
      <c r="D397" s="112" t="s">
        <v>341</v>
      </c>
      <c r="E397" s="122">
        <v>1.836805555555556</v>
      </c>
      <c r="F397" s="112" t="s">
        <v>28</v>
      </c>
      <c r="G397" s="114">
        <v>2</v>
      </c>
      <c r="H397" s="115" t="s">
        <v>83</v>
      </c>
    </row>
    <row r="398" spans="1:8" ht="19.899999999999999" customHeight="1">
      <c r="A398" s="121">
        <v>46048</v>
      </c>
      <c r="B398" s="112" t="s">
        <v>26</v>
      </c>
      <c r="C398" s="113" t="s">
        <v>353</v>
      </c>
      <c r="D398" s="112" t="s">
        <v>341</v>
      </c>
      <c r="E398" s="122">
        <v>1.8888888888888891</v>
      </c>
      <c r="F398" s="112" t="s">
        <v>28</v>
      </c>
      <c r="G398" s="114">
        <v>4</v>
      </c>
      <c r="H398" s="115" t="s">
        <v>83</v>
      </c>
    </row>
    <row r="399" spans="1:8" ht="19.899999999999999" customHeight="1">
      <c r="A399" s="123">
        <v>46048</v>
      </c>
      <c r="B399" s="124" t="s">
        <v>402</v>
      </c>
      <c r="C399" s="125" t="s">
        <v>403</v>
      </c>
      <c r="D399" s="124" t="s">
        <v>341</v>
      </c>
      <c r="E399" s="126">
        <v>1.493055555555556</v>
      </c>
      <c r="F399" s="124" t="s">
        <v>63</v>
      </c>
      <c r="G399" s="127">
        <v>5</v>
      </c>
      <c r="H399" s="128" t="s">
        <v>404</v>
      </c>
    </row>
    <row r="400" spans="1:8" ht="19.899999999999999" customHeight="1">
      <c r="A400" s="129">
        <v>46049</v>
      </c>
      <c r="B400" s="117" t="s">
        <v>61</v>
      </c>
      <c r="C400" s="118" t="s">
        <v>707</v>
      </c>
      <c r="D400" s="117" t="s">
        <v>706</v>
      </c>
      <c r="E400" s="130">
        <v>1.166666666666667</v>
      </c>
      <c r="F400" s="117" t="s">
        <v>63</v>
      </c>
      <c r="G400" s="119">
        <v>4</v>
      </c>
      <c r="H400" s="120" t="s">
        <v>708</v>
      </c>
    </row>
    <row r="401" spans="1:8" ht="19.899999999999999" customHeight="1">
      <c r="A401" s="129">
        <v>46049</v>
      </c>
      <c r="B401" s="117" t="s">
        <v>61</v>
      </c>
      <c r="C401" s="118" t="s">
        <v>710</v>
      </c>
      <c r="D401" s="117" t="s">
        <v>706</v>
      </c>
      <c r="E401" s="130">
        <v>1.5277777777777779</v>
      </c>
      <c r="F401" s="117" t="s">
        <v>63</v>
      </c>
      <c r="G401" s="119">
        <v>1</v>
      </c>
      <c r="H401" s="120" t="s">
        <v>708</v>
      </c>
    </row>
    <row r="402" spans="1:8" ht="19.899999999999999" customHeight="1">
      <c r="A402" s="121">
        <v>46049</v>
      </c>
      <c r="B402" s="112" t="s">
        <v>68</v>
      </c>
      <c r="C402" s="113" t="s">
        <v>713</v>
      </c>
      <c r="D402" s="112" t="s">
        <v>706</v>
      </c>
      <c r="E402" s="122">
        <v>1.166666666666667</v>
      </c>
      <c r="F402" s="112" t="s">
        <v>643</v>
      </c>
      <c r="G402" s="114">
        <v>4</v>
      </c>
      <c r="H402" s="115" t="s">
        <v>714</v>
      </c>
    </row>
    <row r="403" spans="1:8" ht="19.899999999999999" customHeight="1">
      <c r="A403" s="143"/>
      <c r="B403" s="144"/>
      <c r="C403" s="144"/>
      <c r="D403" s="144"/>
      <c r="E403" s="144"/>
      <c r="F403" s="145" t="s">
        <v>705</v>
      </c>
      <c r="G403" s="144"/>
      <c r="H403" s="146"/>
    </row>
    <row r="404" spans="1:8" ht="19.899999999999999" customHeight="1">
      <c r="A404" s="121">
        <v>46049</v>
      </c>
      <c r="B404" s="112" t="s">
        <v>38</v>
      </c>
      <c r="C404" s="113" t="s">
        <v>342</v>
      </c>
      <c r="D404" s="112" t="s">
        <v>341</v>
      </c>
      <c r="E404" s="122">
        <v>1.489583333333333</v>
      </c>
      <c r="F404" s="112" t="s">
        <v>40</v>
      </c>
      <c r="G404" s="114">
        <v>14</v>
      </c>
      <c r="H404" s="115" t="s">
        <v>81</v>
      </c>
    </row>
    <row r="405" spans="1:8" ht="19.899999999999999" customHeight="1">
      <c r="A405" s="121">
        <v>46049</v>
      </c>
      <c r="B405" s="112" t="s">
        <v>38</v>
      </c>
      <c r="C405" s="113" t="s">
        <v>346</v>
      </c>
      <c r="D405" s="112" t="s">
        <v>341</v>
      </c>
      <c r="E405" s="122">
        <v>1.399305555555556</v>
      </c>
      <c r="F405" s="112" t="s">
        <v>40</v>
      </c>
      <c r="G405" s="114">
        <v>20</v>
      </c>
      <c r="H405" s="115" t="s">
        <v>347</v>
      </c>
    </row>
    <row r="406" spans="1:8" ht="19.899999999999999" customHeight="1">
      <c r="A406" s="121">
        <v>46049</v>
      </c>
      <c r="B406" s="112" t="s">
        <v>38</v>
      </c>
      <c r="C406" s="113" t="s">
        <v>344</v>
      </c>
      <c r="D406" s="112" t="s">
        <v>341</v>
      </c>
      <c r="E406" s="122">
        <v>1.8888888888888891</v>
      </c>
      <c r="F406" s="112" t="s">
        <v>40</v>
      </c>
      <c r="G406" s="114">
        <v>20</v>
      </c>
      <c r="H406" s="115" t="s">
        <v>347</v>
      </c>
    </row>
    <row r="407" spans="1:8" ht="19.899999999999999" customHeight="1">
      <c r="A407" s="121">
        <v>46049</v>
      </c>
      <c r="B407" s="112" t="s">
        <v>38</v>
      </c>
      <c r="C407" s="113" t="s">
        <v>345</v>
      </c>
      <c r="D407" s="112" t="s">
        <v>341</v>
      </c>
      <c r="E407" s="122">
        <v>1.989583333333333</v>
      </c>
      <c r="F407" s="112" t="s">
        <v>40</v>
      </c>
      <c r="G407" s="114">
        <v>20</v>
      </c>
      <c r="H407" s="115" t="s">
        <v>347</v>
      </c>
    </row>
    <row r="408" spans="1:8" ht="19.899999999999999" customHeight="1">
      <c r="A408" s="121">
        <v>46049</v>
      </c>
      <c r="B408" s="112" t="s">
        <v>359</v>
      </c>
      <c r="C408" s="113" t="s">
        <v>445</v>
      </c>
      <c r="D408" s="112" t="s">
        <v>341</v>
      </c>
      <c r="E408" s="122">
        <v>1.055555555555556</v>
      </c>
      <c r="F408" s="112" t="s">
        <v>361</v>
      </c>
      <c r="G408" s="114">
        <v>9</v>
      </c>
      <c r="H408" s="115" t="s">
        <v>525</v>
      </c>
    </row>
    <row r="409" spans="1:8" ht="19.899999999999999" customHeight="1">
      <c r="A409" s="121">
        <v>46049</v>
      </c>
      <c r="B409" s="112" t="s">
        <v>61</v>
      </c>
      <c r="C409" s="113" t="s">
        <v>432</v>
      </c>
      <c r="D409" s="112" t="s">
        <v>341</v>
      </c>
      <c r="E409" s="122">
        <v>1.552083333333333</v>
      </c>
      <c r="F409" s="112" t="s">
        <v>63</v>
      </c>
      <c r="G409" s="114">
        <v>6</v>
      </c>
      <c r="H409" s="115" t="s">
        <v>365</v>
      </c>
    </row>
    <row r="410" spans="1:8" ht="19.899999999999999" customHeight="1">
      <c r="A410" s="121">
        <v>46049</v>
      </c>
      <c r="B410" s="112" t="s">
        <v>61</v>
      </c>
      <c r="C410" s="113" t="s">
        <v>428</v>
      </c>
      <c r="D410" s="112" t="s">
        <v>341</v>
      </c>
      <c r="E410" s="122">
        <v>1.052083333333333</v>
      </c>
      <c r="F410" s="112" t="s">
        <v>63</v>
      </c>
      <c r="G410" s="114">
        <v>4</v>
      </c>
      <c r="H410" s="115" t="s">
        <v>365</v>
      </c>
    </row>
    <row r="411" spans="1:8" ht="19.899999999999999" customHeight="1">
      <c r="A411" s="121">
        <v>46049</v>
      </c>
      <c r="B411" s="112" t="s">
        <v>61</v>
      </c>
      <c r="C411" s="113" t="s">
        <v>377</v>
      </c>
      <c r="D411" s="112" t="s">
        <v>341</v>
      </c>
      <c r="E411" s="122">
        <v>1.4375</v>
      </c>
      <c r="F411" s="112" t="s">
        <v>63</v>
      </c>
      <c r="G411" s="114">
        <v>1</v>
      </c>
      <c r="H411" s="115" t="s">
        <v>365</v>
      </c>
    </row>
    <row r="412" spans="1:8" ht="19.899999999999999" customHeight="1">
      <c r="A412" s="121">
        <v>46049</v>
      </c>
      <c r="B412" s="112" t="s">
        <v>61</v>
      </c>
      <c r="C412" s="113" t="s">
        <v>379</v>
      </c>
      <c r="D412" s="112" t="s">
        <v>341</v>
      </c>
      <c r="E412" s="122">
        <v>1.381944444444444</v>
      </c>
      <c r="F412" s="112" t="s">
        <v>63</v>
      </c>
      <c r="G412" s="114">
        <v>3</v>
      </c>
      <c r="H412" s="115" t="s">
        <v>365</v>
      </c>
    </row>
    <row r="413" spans="1:8" ht="19.899999999999999" customHeight="1">
      <c r="A413" s="123">
        <v>46049</v>
      </c>
      <c r="B413" s="124" t="s">
        <v>26</v>
      </c>
      <c r="C413" s="125" t="s">
        <v>348</v>
      </c>
      <c r="D413" s="124" t="s">
        <v>341</v>
      </c>
      <c r="E413" s="126">
        <v>1.993055555555556</v>
      </c>
      <c r="F413" s="124" t="s">
        <v>28</v>
      </c>
      <c r="G413" s="127">
        <v>4</v>
      </c>
      <c r="H413" s="128" t="s">
        <v>83</v>
      </c>
    </row>
    <row r="414" spans="1:8" ht="19.899999999999999" customHeight="1">
      <c r="A414" s="121">
        <v>46050</v>
      </c>
      <c r="B414" s="112" t="s">
        <v>38</v>
      </c>
      <c r="C414" s="113" t="s">
        <v>719</v>
      </c>
      <c r="D414" s="112" t="s">
        <v>706</v>
      </c>
      <c r="E414" s="122">
        <v>1.364583333333333</v>
      </c>
      <c r="F414" s="112" t="s">
        <v>622</v>
      </c>
      <c r="G414" s="114">
        <v>20</v>
      </c>
      <c r="H414" s="115" t="s">
        <v>347</v>
      </c>
    </row>
    <row r="415" spans="1:8" ht="19.899999999999999" customHeight="1">
      <c r="A415" s="129">
        <v>46050</v>
      </c>
      <c r="B415" s="117" t="s">
        <v>61</v>
      </c>
      <c r="C415" s="118" t="s">
        <v>722</v>
      </c>
      <c r="D415" s="117" t="s">
        <v>706</v>
      </c>
      <c r="E415" s="130">
        <v>1.9236111111111109</v>
      </c>
      <c r="F415" s="117" t="s">
        <v>63</v>
      </c>
      <c r="G415" s="119">
        <v>2</v>
      </c>
      <c r="H415" s="120" t="s">
        <v>708</v>
      </c>
    </row>
    <row r="416" spans="1:8" ht="19.899999999999999" customHeight="1">
      <c r="A416" s="129">
        <v>46050</v>
      </c>
      <c r="B416" s="117" t="s">
        <v>61</v>
      </c>
      <c r="C416" s="118" t="s">
        <v>707</v>
      </c>
      <c r="D416" s="117" t="s">
        <v>706</v>
      </c>
      <c r="E416" s="130">
        <v>1.1076388888888891</v>
      </c>
      <c r="F416" s="117" t="s">
        <v>63</v>
      </c>
      <c r="G416" s="119">
        <v>3</v>
      </c>
      <c r="H416" s="120" t="s">
        <v>708</v>
      </c>
    </row>
    <row r="417" spans="1:8" ht="19.899999999999999" customHeight="1">
      <c r="A417" s="121">
        <v>46050</v>
      </c>
      <c r="B417" s="112" t="s">
        <v>38</v>
      </c>
      <c r="C417" s="113" t="s">
        <v>719</v>
      </c>
      <c r="D417" s="112" t="s">
        <v>706</v>
      </c>
      <c r="E417" s="122">
        <v>1.364583333333333</v>
      </c>
      <c r="F417" s="112" t="s">
        <v>603</v>
      </c>
      <c r="G417" s="114">
        <v>20</v>
      </c>
      <c r="H417" s="115" t="s">
        <v>720</v>
      </c>
    </row>
    <row r="418" spans="1:8" ht="19.899999999999999" customHeight="1">
      <c r="A418" s="121">
        <v>46050</v>
      </c>
      <c r="B418" s="112" t="s">
        <v>38</v>
      </c>
      <c r="C418" s="113" t="s">
        <v>719</v>
      </c>
      <c r="D418" s="112" t="s">
        <v>706</v>
      </c>
      <c r="E418" s="122">
        <v>1.364583333333333</v>
      </c>
      <c r="F418" s="112" t="s">
        <v>605</v>
      </c>
      <c r="G418" s="114">
        <v>20</v>
      </c>
      <c r="H418" s="115" t="s">
        <v>721</v>
      </c>
    </row>
    <row r="419" spans="1:8" ht="19.899999999999999" customHeight="1">
      <c r="A419" s="129">
        <v>46050</v>
      </c>
      <c r="B419" s="117" t="s">
        <v>61</v>
      </c>
      <c r="C419" s="118" t="s">
        <v>715</v>
      </c>
      <c r="D419" s="117" t="s">
        <v>706</v>
      </c>
      <c r="E419" s="130">
        <v>1.5</v>
      </c>
      <c r="F419" s="117" t="s">
        <v>63</v>
      </c>
      <c r="G419" s="119">
        <v>7</v>
      </c>
      <c r="H419" s="120" t="s">
        <v>133</v>
      </c>
    </row>
    <row r="420" spans="1:8" ht="19.899999999999999" customHeight="1">
      <c r="A420" s="121">
        <v>46050</v>
      </c>
      <c r="B420" s="112" t="s">
        <v>68</v>
      </c>
      <c r="C420" s="113" t="s">
        <v>713</v>
      </c>
      <c r="D420" s="112" t="s">
        <v>706</v>
      </c>
      <c r="E420" s="122">
        <v>1.1076388888888891</v>
      </c>
      <c r="F420" s="112" t="s">
        <v>643</v>
      </c>
      <c r="G420" s="114">
        <v>4</v>
      </c>
      <c r="H420" s="115" t="s">
        <v>714</v>
      </c>
    </row>
    <row r="421" spans="1:8" ht="19.899999999999999" customHeight="1">
      <c r="A421" s="121">
        <v>46050</v>
      </c>
      <c r="B421" s="112" t="s">
        <v>68</v>
      </c>
      <c r="C421" s="113" t="s">
        <v>725</v>
      </c>
      <c r="D421" s="112" t="s">
        <v>706</v>
      </c>
      <c r="E421" s="122">
        <v>1.9236111111111109</v>
      </c>
      <c r="F421" s="112" t="s">
        <v>643</v>
      </c>
      <c r="G421" s="114">
        <v>4</v>
      </c>
      <c r="H421" s="115" t="s">
        <v>714</v>
      </c>
    </row>
    <row r="422" spans="1:8" ht="19.899999999999999" customHeight="1">
      <c r="A422" s="121">
        <v>46050</v>
      </c>
      <c r="B422" s="112" t="s">
        <v>38</v>
      </c>
      <c r="C422" s="113" t="s">
        <v>719</v>
      </c>
      <c r="D422" s="112" t="s">
        <v>706</v>
      </c>
      <c r="E422" s="122">
        <v>1.364583333333333</v>
      </c>
      <c r="F422" s="112" t="s">
        <v>625</v>
      </c>
      <c r="G422" s="114">
        <v>20</v>
      </c>
      <c r="H422" s="115" t="s">
        <v>503</v>
      </c>
    </row>
    <row r="423" spans="1:8" ht="19.899999999999999" customHeight="1">
      <c r="A423" s="143"/>
      <c r="B423" s="144"/>
      <c r="C423" s="144"/>
      <c r="D423" s="144"/>
      <c r="E423" s="144"/>
      <c r="F423" s="145" t="s">
        <v>705</v>
      </c>
      <c r="G423" s="144"/>
      <c r="H423" s="146"/>
    </row>
    <row r="424" spans="1:8" ht="19.899999999999999" customHeight="1">
      <c r="A424" s="121">
        <v>46050</v>
      </c>
      <c r="B424" s="112" t="s">
        <v>38</v>
      </c>
      <c r="C424" s="113" t="s">
        <v>342</v>
      </c>
      <c r="D424" s="112" t="s">
        <v>341</v>
      </c>
      <c r="E424" s="122">
        <v>1.489583333333333</v>
      </c>
      <c r="F424" s="112" t="s">
        <v>40</v>
      </c>
      <c r="G424" s="114">
        <v>9</v>
      </c>
      <c r="H424" s="115" t="s">
        <v>343</v>
      </c>
    </row>
    <row r="425" spans="1:8" ht="19.899999999999999" customHeight="1">
      <c r="A425" s="121">
        <v>46050</v>
      </c>
      <c r="B425" s="112" t="s">
        <v>38</v>
      </c>
      <c r="C425" s="113" t="s">
        <v>346</v>
      </c>
      <c r="D425" s="112" t="s">
        <v>341</v>
      </c>
      <c r="E425" s="122">
        <v>1.399305555555556</v>
      </c>
      <c r="F425" s="112" t="s">
        <v>40</v>
      </c>
      <c r="G425" s="114">
        <v>20</v>
      </c>
      <c r="H425" s="115" t="s">
        <v>347</v>
      </c>
    </row>
    <row r="426" spans="1:8" ht="19.899999999999999" customHeight="1">
      <c r="A426" s="121">
        <v>46050</v>
      </c>
      <c r="B426" s="112" t="s">
        <v>38</v>
      </c>
      <c r="C426" s="113" t="s">
        <v>344</v>
      </c>
      <c r="D426" s="112" t="s">
        <v>341</v>
      </c>
      <c r="E426" s="122">
        <v>1.8888888888888891</v>
      </c>
      <c r="F426" s="112" t="s">
        <v>40</v>
      </c>
      <c r="G426" s="114">
        <v>20</v>
      </c>
      <c r="H426" s="115" t="s">
        <v>347</v>
      </c>
    </row>
    <row r="427" spans="1:8" ht="19.899999999999999" customHeight="1">
      <c r="A427" s="121">
        <v>46050</v>
      </c>
      <c r="B427" s="112" t="s">
        <v>38</v>
      </c>
      <c r="C427" s="113" t="s">
        <v>345</v>
      </c>
      <c r="D427" s="112" t="s">
        <v>341</v>
      </c>
      <c r="E427" s="122">
        <v>1.989583333333333</v>
      </c>
      <c r="F427" s="112" t="s">
        <v>40</v>
      </c>
      <c r="G427" s="114">
        <v>20</v>
      </c>
      <c r="H427" s="115" t="s">
        <v>347</v>
      </c>
    </row>
    <row r="428" spans="1:8" ht="19.899999999999999" customHeight="1">
      <c r="A428" s="121">
        <v>46050</v>
      </c>
      <c r="B428" s="112" t="s">
        <v>359</v>
      </c>
      <c r="C428" s="113" t="s">
        <v>360</v>
      </c>
      <c r="D428" s="112" t="s">
        <v>341</v>
      </c>
      <c r="E428" s="122">
        <v>1.225694444444444</v>
      </c>
      <c r="F428" s="112" t="s">
        <v>361</v>
      </c>
      <c r="G428" s="114">
        <v>9</v>
      </c>
      <c r="H428" s="115" t="s">
        <v>525</v>
      </c>
    </row>
    <row r="429" spans="1:8" ht="19.899999999999999" customHeight="1">
      <c r="A429" s="121">
        <v>46050</v>
      </c>
      <c r="B429" s="112" t="s">
        <v>61</v>
      </c>
      <c r="C429" s="113" t="s">
        <v>364</v>
      </c>
      <c r="D429" s="112" t="s">
        <v>341</v>
      </c>
      <c r="E429" s="122">
        <v>1.2326388888888891</v>
      </c>
      <c r="F429" s="112" t="s">
        <v>63</v>
      </c>
      <c r="G429" s="114">
        <v>1</v>
      </c>
      <c r="H429" s="115" t="s">
        <v>365</v>
      </c>
    </row>
    <row r="430" spans="1:8" ht="19.899999999999999" customHeight="1">
      <c r="A430" s="121">
        <v>46050</v>
      </c>
      <c r="B430" s="112" t="s">
        <v>61</v>
      </c>
      <c r="C430" s="113" t="s">
        <v>432</v>
      </c>
      <c r="D430" s="112" t="s">
        <v>341</v>
      </c>
      <c r="E430" s="122">
        <v>1.34375</v>
      </c>
      <c r="F430" s="112" t="s">
        <v>63</v>
      </c>
      <c r="G430" s="114">
        <v>6</v>
      </c>
      <c r="H430" s="115" t="s">
        <v>365</v>
      </c>
    </row>
    <row r="431" spans="1:8" ht="19.899999999999999" customHeight="1">
      <c r="A431" s="121">
        <v>46050</v>
      </c>
      <c r="B431" s="112" t="s">
        <v>61</v>
      </c>
      <c r="C431" s="113" t="s">
        <v>375</v>
      </c>
      <c r="D431" s="112" t="s">
        <v>341</v>
      </c>
      <c r="E431" s="122">
        <v>1.3402777777777779</v>
      </c>
      <c r="F431" s="112" t="s">
        <v>63</v>
      </c>
      <c r="G431" s="114">
        <v>6</v>
      </c>
      <c r="H431" s="115" t="s">
        <v>365</v>
      </c>
    </row>
    <row r="432" spans="1:8" ht="19.899999999999999" customHeight="1">
      <c r="A432" s="121">
        <v>46050</v>
      </c>
      <c r="B432" s="112" t="s">
        <v>61</v>
      </c>
      <c r="C432" s="113" t="s">
        <v>377</v>
      </c>
      <c r="D432" s="112" t="s">
        <v>341</v>
      </c>
      <c r="E432" s="122">
        <v>1.4375</v>
      </c>
      <c r="F432" s="112" t="s">
        <v>63</v>
      </c>
      <c r="G432" s="114">
        <v>2</v>
      </c>
      <c r="H432" s="115" t="s">
        <v>365</v>
      </c>
    </row>
    <row r="433" spans="1:8" ht="19.899999999999999" customHeight="1">
      <c r="A433" s="123">
        <v>46050</v>
      </c>
      <c r="B433" s="124" t="s">
        <v>26</v>
      </c>
      <c r="C433" s="125" t="s">
        <v>348</v>
      </c>
      <c r="D433" s="124" t="s">
        <v>341</v>
      </c>
      <c r="E433" s="126">
        <v>1.993055555555556</v>
      </c>
      <c r="F433" s="124" t="s">
        <v>28</v>
      </c>
      <c r="G433" s="127">
        <v>4</v>
      </c>
      <c r="H433" s="128" t="s">
        <v>83</v>
      </c>
    </row>
    <row r="434" spans="1:8" ht="19.899999999999999" customHeight="1">
      <c r="A434" s="129">
        <v>46051</v>
      </c>
      <c r="B434" s="117" t="s">
        <v>61</v>
      </c>
      <c r="C434" s="118" t="s">
        <v>707</v>
      </c>
      <c r="D434" s="117" t="s">
        <v>706</v>
      </c>
      <c r="E434" s="130">
        <v>1.524305555555556</v>
      </c>
      <c r="F434" s="117" t="s">
        <v>63</v>
      </c>
      <c r="G434" s="119">
        <v>4</v>
      </c>
      <c r="H434" s="120" t="s">
        <v>708</v>
      </c>
    </row>
    <row r="435" spans="1:8" ht="19.899999999999999" customHeight="1">
      <c r="A435" s="129">
        <v>46051</v>
      </c>
      <c r="B435" s="117" t="s">
        <v>61</v>
      </c>
      <c r="C435" s="118" t="s">
        <v>710</v>
      </c>
      <c r="D435" s="117" t="s">
        <v>706</v>
      </c>
      <c r="E435" s="130">
        <v>1.5486111111111109</v>
      </c>
      <c r="F435" s="117" t="s">
        <v>63</v>
      </c>
      <c r="G435" s="119">
        <v>4</v>
      </c>
      <c r="H435" s="120" t="s">
        <v>708</v>
      </c>
    </row>
    <row r="436" spans="1:8" ht="19.899999999999999" customHeight="1">
      <c r="A436" s="121">
        <v>46051</v>
      </c>
      <c r="B436" s="112" t="s">
        <v>68</v>
      </c>
      <c r="C436" s="113" t="s">
        <v>713</v>
      </c>
      <c r="D436" s="112" t="s">
        <v>706</v>
      </c>
      <c r="E436" s="122">
        <v>1.524305555555556</v>
      </c>
      <c r="F436" s="112" t="s">
        <v>643</v>
      </c>
      <c r="G436" s="114">
        <v>4</v>
      </c>
      <c r="H436" s="115" t="s">
        <v>714</v>
      </c>
    </row>
    <row r="437" spans="1:8" ht="19.899999999999999" customHeight="1">
      <c r="A437" s="143"/>
      <c r="B437" s="144"/>
      <c r="C437" s="144"/>
      <c r="D437" s="144"/>
      <c r="E437" s="144"/>
      <c r="F437" s="145" t="s">
        <v>705</v>
      </c>
      <c r="G437" s="144"/>
      <c r="H437" s="146"/>
    </row>
    <row r="438" spans="1:8" ht="19.899999999999999" customHeight="1">
      <c r="A438" s="121">
        <v>46051</v>
      </c>
      <c r="B438" s="112" t="s">
        <v>38</v>
      </c>
      <c r="C438" s="113" t="s">
        <v>342</v>
      </c>
      <c r="D438" s="112" t="s">
        <v>341</v>
      </c>
      <c r="E438" s="122">
        <v>1.489583333333333</v>
      </c>
      <c r="F438" s="112" t="s">
        <v>40</v>
      </c>
      <c r="G438" s="114">
        <v>14</v>
      </c>
      <c r="H438" s="115" t="s">
        <v>30</v>
      </c>
    </row>
    <row r="439" spans="1:8" ht="19.899999999999999" customHeight="1">
      <c r="A439" s="121">
        <v>46051</v>
      </c>
      <c r="B439" s="112" t="s">
        <v>38</v>
      </c>
      <c r="C439" s="113" t="s">
        <v>346</v>
      </c>
      <c r="D439" s="112" t="s">
        <v>341</v>
      </c>
      <c r="E439" s="122">
        <v>1.399305555555556</v>
      </c>
      <c r="F439" s="112" t="s">
        <v>40</v>
      </c>
      <c r="G439" s="114">
        <v>20</v>
      </c>
      <c r="H439" s="115" t="s">
        <v>347</v>
      </c>
    </row>
    <row r="440" spans="1:8" ht="19.899999999999999" customHeight="1">
      <c r="A440" s="121">
        <v>46051</v>
      </c>
      <c r="B440" s="112" t="s">
        <v>38</v>
      </c>
      <c r="C440" s="113" t="s">
        <v>344</v>
      </c>
      <c r="D440" s="112" t="s">
        <v>341</v>
      </c>
      <c r="E440" s="122">
        <v>1.8888888888888891</v>
      </c>
      <c r="F440" s="112" t="s">
        <v>40</v>
      </c>
      <c r="G440" s="114">
        <v>17</v>
      </c>
      <c r="H440" s="115" t="s">
        <v>347</v>
      </c>
    </row>
    <row r="441" spans="1:8" ht="19.899999999999999" customHeight="1">
      <c r="A441" s="121">
        <v>46051</v>
      </c>
      <c r="B441" s="112" t="s">
        <v>38</v>
      </c>
      <c r="C441" s="113" t="s">
        <v>345</v>
      </c>
      <c r="D441" s="112" t="s">
        <v>341</v>
      </c>
      <c r="E441" s="122">
        <v>1.989583333333333</v>
      </c>
      <c r="F441" s="112" t="s">
        <v>40</v>
      </c>
      <c r="G441" s="114">
        <v>20</v>
      </c>
      <c r="H441" s="115" t="s">
        <v>347</v>
      </c>
    </row>
    <row r="442" spans="1:8" ht="19.899999999999999" customHeight="1">
      <c r="A442" s="121">
        <v>46051</v>
      </c>
      <c r="B442" s="112" t="s">
        <v>359</v>
      </c>
      <c r="C442" s="113" t="s">
        <v>360</v>
      </c>
      <c r="D442" s="112" t="s">
        <v>341</v>
      </c>
      <c r="E442" s="122">
        <v>1.1701388888888891</v>
      </c>
      <c r="F442" s="112" t="s">
        <v>361</v>
      </c>
      <c r="G442" s="114">
        <v>9</v>
      </c>
      <c r="H442" s="115" t="s">
        <v>525</v>
      </c>
    </row>
    <row r="443" spans="1:8" ht="19.899999999999999" customHeight="1">
      <c r="A443" s="121">
        <v>46051</v>
      </c>
      <c r="B443" s="112" t="s">
        <v>61</v>
      </c>
      <c r="C443" s="113" t="s">
        <v>371</v>
      </c>
      <c r="D443" s="112" t="s">
        <v>341</v>
      </c>
      <c r="E443" s="122">
        <v>1.0659722222222221</v>
      </c>
      <c r="F443" s="112" t="s">
        <v>63</v>
      </c>
      <c r="G443" s="114">
        <v>4</v>
      </c>
      <c r="H443" s="115" t="s">
        <v>365</v>
      </c>
    </row>
    <row r="444" spans="1:8" ht="19.899999999999999" customHeight="1">
      <c r="A444" s="121">
        <v>46051</v>
      </c>
      <c r="B444" s="112" t="s">
        <v>61</v>
      </c>
      <c r="C444" s="113" t="s">
        <v>375</v>
      </c>
      <c r="D444" s="112" t="s">
        <v>341</v>
      </c>
      <c r="E444" s="122">
        <v>1.15625</v>
      </c>
      <c r="F444" s="112" t="s">
        <v>63</v>
      </c>
      <c r="G444" s="114">
        <v>6</v>
      </c>
      <c r="H444" s="115" t="s">
        <v>365</v>
      </c>
    </row>
    <row r="445" spans="1:8" ht="19.899999999999999" customHeight="1">
      <c r="A445" s="121">
        <v>46051</v>
      </c>
      <c r="B445" s="112" t="s">
        <v>61</v>
      </c>
      <c r="C445" s="113" t="s">
        <v>379</v>
      </c>
      <c r="D445" s="112" t="s">
        <v>341</v>
      </c>
      <c r="E445" s="122">
        <v>1.5625</v>
      </c>
      <c r="F445" s="112" t="s">
        <v>63</v>
      </c>
      <c r="G445" s="114">
        <v>4</v>
      </c>
      <c r="H445" s="115" t="s">
        <v>365</v>
      </c>
    </row>
    <row r="446" spans="1:8" ht="19.899999999999999" customHeight="1">
      <c r="A446" s="121">
        <v>46051</v>
      </c>
      <c r="B446" s="112" t="s">
        <v>26</v>
      </c>
      <c r="C446" s="113" t="s">
        <v>348</v>
      </c>
      <c r="D446" s="112" t="s">
        <v>341</v>
      </c>
      <c r="E446" s="122">
        <v>1.993055555555556</v>
      </c>
      <c r="F446" s="112" t="s">
        <v>28</v>
      </c>
      <c r="G446" s="114">
        <v>5</v>
      </c>
      <c r="H446" s="115" t="s">
        <v>83</v>
      </c>
    </row>
    <row r="447" spans="1:8" ht="19.899999999999999" customHeight="1">
      <c r="A447" s="123">
        <v>46051</v>
      </c>
      <c r="B447" s="124" t="s">
        <v>26</v>
      </c>
      <c r="C447" s="125" t="s">
        <v>350</v>
      </c>
      <c r="D447" s="124" t="s">
        <v>341</v>
      </c>
      <c r="E447" s="126">
        <v>1.7361111111111109</v>
      </c>
      <c r="F447" s="124" t="s">
        <v>28</v>
      </c>
      <c r="G447" s="127">
        <v>3</v>
      </c>
      <c r="H447" s="128" t="s">
        <v>83</v>
      </c>
    </row>
    <row r="448" spans="1:8" ht="19.899999999999999" customHeight="1">
      <c r="A448" s="129">
        <v>46052</v>
      </c>
      <c r="B448" s="117" t="s">
        <v>61</v>
      </c>
      <c r="C448" s="118" t="s">
        <v>715</v>
      </c>
      <c r="D448" s="117" t="s">
        <v>706</v>
      </c>
      <c r="E448" s="130">
        <v>1.135416666666667</v>
      </c>
      <c r="F448" s="117" t="s">
        <v>63</v>
      </c>
      <c r="G448" s="119">
        <v>1</v>
      </c>
      <c r="H448" s="120" t="s">
        <v>708</v>
      </c>
    </row>
    <row r="449" spans="1:8" ht="19.899999999999999" customHeight="1">
      <c r="A449" s="143"/>
      <c r="B449" s="144"/>
      <c r="C449" s="144"/>
      <c r="D449" s="144"/>
      <c r="E449" s="144"/>
      <c r="F449" s="145" t="s">
        <v>705</v>
      </c>
      <c r="G449" s="144"/>
      <c r="H449" s="146"/>
    </row>
    <row r="450" spans="1:8" ht="19.899999999999999" customHeight="1">
      <c r="A450" s="121">
        <v>46052</v>
      </c>
      <c r="B450" s="112" t="s">
        <v>38</v>
      </c>
      <c r="C450" s="113" t="s">
        <v>342</v>
      </c>
      <c r="D450" s="112" t="s">
        <v>341</v>
      </c>
      <c r="E450" s="122">
        <v>1.489583333333333</v>
      </c>
      <c r="F450" s="112" t="s">
        <v>40</v>
      </c>
      <c r="G450" s="114">
        <v>16</v>
      </c>
      <c r="H450" s="115" t="s">
        <v>81</v>
      </c>
    </row>
    <row r="451" spans="1:8" ht="19.899999999999999" customHeight="1">
      <c r="A451" s="121">
        <v>46052</v>
      </c>
      <c r="B451" s="112" t="s">
        <v>38</v>
      </c>
      <c r="C451" s="113" t="s">
        <v>346</v>
      </c>
      <c r="D451" s="112" t="s">
        <v>341</v>
      </c>
      <c r="E451" s="122">
        <v>1.399305555555556</v>
      </c>
      <c r="F451" s="112" t="s">
        <v>40</v>
      </c>
      <c r="G451" s="114">
        <v>20</v>
      </c>
      <c r="H451" s="115" t="s">
        <v>347</v>
      </c>
    </row>
    <row r="452" spans="1:8" ht="19.899999999999999" customHeight="1">
      <c r="A452" s="121">
        <v>46052</v>
      </c>
      <c r="B452" s="112" t="s">
        <v>38</v>
      </c>
      <c r="C452" s="113" t="s">
        <v>344</v>
      </c>
      <c r="D452" s="112" t="s">
        <v>341</v>
      </c>
      <c r="E452" s="122">
        <v>1.8888888888888891</v>
      </c>
      <c r="F452" s="112" t="s">
        <v>40</v>
      </c>
      <c r="G452" s="114">
        <v>20</v>
      </c>
      <c r="H452" s="115" t="s">
        <v>347</v>
      </c>
    </row>
    <row r="453" spans="1:8" ht="19.899999999999999" customHeight="1">
      <c r="A453" s="121">
        <v>46052</v>
      </c>
      <c r="B453" s="112" t="s">
        <v>38</v>
      </c>
      <c r="C453" s="113" t="s">
        <v>345</v>
      </c>
      <c r="D453" s="112" t="s">
        <v>341</v>
      </c>
      <c r="E453" s="122">
        <v>1.989583333333333</v>
      </c>
      <c r="F453" s="112" t="s">
        <v>40</v>
      </c>
      <c r="G453" s="114">
        <v>20</v>
      </c>
      <c r="H453" s="115" t="s">
        <v>347</v>
      </c>
    </row>
    <row r="454" spans="1:8" ht="19.899999999999999" customHeight="1">
      <c r="A454" s="121">
        <v>46052</v>
      </c>
      <c r="B454" s="112" t="s">
        <v>359</v>
      </c>
      <c r="C454" s="113" t="s">
        <v>422</v>
      </c>
      <c r="D454" s="112" t="s">
        <v>341</v>
      </c>
      <c r="E454" s="122">
        <v>1.8090277777777779</v>
      </c>
      <c r="F454" s="112" t="s">
        <v>361</v>
      </c>
      <c r="G454" s="114">
        <v>9</v>
      </c>
      <c r="H454" s="115" t="s">
        <v>534</v>
      </c>
    </row>
    <row r="455" spans="1:8" ht="19.899999999999999" customHeight="1">
      <c r="A455" s="121">
        <v>46052</v>
      </c>
      <c r="B455" s="112" t="s">
        <v>359</v>
      </c>
      <c r="C455" s="113" t="s">
        <v>360</v>
      </c>
      <c r="D455" s="112" t="s">
        <v>341</v>
      </c>
      <c r="E455" s="122">
        <v>1.225694444444444</v>
      </c>
      <c r="F455" s="112" t="s">
        <v>361</v>
      </c>
      <c r="G455" s="114">
        <v>9</v>
      </c>
      <c r="H455" s="115" t="s">
        <v>534</v>
      </c>
    </row>
    <row r="456" spans="1:8" ht="19.899999999999999" customHeight="1">
      <c r="A456" s="121">
        <v>46052</v>
      </c>
      <c r="B456" s="112" t="s">
        <v>359</v>
      </c>
      <c r="C456" s="113" t="s">
        <v>425</v>
      </c>
      <c r="D456" s="112" t="s">
        <v>341</v>
      </c>
      <c r="E456" s="122">
        <v>1.510416666666667</v>
      </c>
      <c r="F456" s="112" t="s">
        <v>361</v>
      </c>
      <c r="G456" s="114">
        <v>9</v>
      </c>
      <c r="H456" s="115" t="s">
        <v>534</v>
      </c>
    </row>
    <row r="457" spans="1:8" ht="19.899999999999999" customHeight="1">
      <c r="A457" s="121">
        <v>46052</v>
      </c>
      <c r="B457" s="112" t="s">
        <v>61</v>
      </c>
      <c r="C457" s="113" t="s">
        <v>428</v>
      </c>
      <c r="D457" s="112" t="s">
        <v>341</v>
      </c>
      <c r="E457" s="122">
        <v>1.5590277777777779</v>
      </c>
      <c r="F457" s="112" t="s">
        <v>63</v>
      </c>
      <c r="G457" s="114">
        <v>2</v>
      </c>
      <c r="H457" s="115" t="s">
        <v>365</v>
      </c>
    </row>
    <row r="458" spans="1:8" ht="19.899999999999999" customHeight="1">
      <c r="A458" s="121">
        <v>46052</v>
      </c>
      <c r="B458" s="112" t="s">
        <v>61</v>
      </c>
      <c r="C458" s="113" t="s">
        <v>377</v>
      </c>
      <c r="D458" s="112" t="s">
        <v>341</v>
      </c>
      <c r="E458" s="122">
        <v>1.28125</v>
      </c>
      <c r="F458" s="112" t="s">
        <v>63</v>
      </c>
      <c r="G458" s="114">
        <v>1</v>
      </c>
      <c r="H458" s="115" t="s">
        <v>365</v>
      </c>
    </row>
    <row r="459" spans="1:8" ht="19.899999999999999" customHeight="1">
      <c r="A459" s="123">
        <v>46052</v>
      </c>
      <c r="B459" s="124" t="s">
        <v>61</v>
      </c>
      <c r="C459" s="125" t="s">
        <v>379</v>
      </c>
      <c r="D459" s="124" t="s">
        <v>341</v>
      </c>
      <c r="E459" s="126">
        <v>1.4375</v>
      </c>
      <c r="F459" s="124" t="s">
        <v>63</v>
      </c>
      <c r="G459" s="127">
        <v>1</v>
      </c>
      <c r="H459" s="128" t="s">
        <v>365</v>
      </c>
    </row>
    <row r="460" spans="1:8" ht="19.899999999999999" customHeight="1">
      <c r="A460" s="129">
        <v>46053</v>
      </c>
      <c r="B460" s="117" t="s">
        <v>61</v>
      </c>
      <c r="C460" s="118" t="s">
        <v>707</v>
      </c>
      <c r="D460" s="117" t="s">
        <v>706</v>
      </c>
      <c r="E460" s="130">
        <v>1.302083333333333</v>
      </c>
      <c r="F460" s="117" t="s">
        <v>63</v>
      </c>
      <c r="G460" s="119">
        <v>3</v>
      </c>
      <c r="H460" s="120" t="s">
        <v>708</v>
      </c>
    </row>
    <row r="461" spans="1:8" ht="19.899999999999999" customHeight="1">
      <c r="A461" s="129">
        <v>46053</v>
      </c>
      <c r="B461" s="117" t="s">
        <v>61</v>
      </c>
      <c r="C461" s="118" t="s">
        <v>710</v>
      </c>
      <c r="D461" s="117" t="s">
        <v>706</v>
      </c>
      <c r="E461" s="130">
        <v>1.5277777777777779</v>
      </c>
      <c r="F461" s="117" t="s">
        <v>63</v>
      </c>
      <c r="G461" s="119">
        <v>2</v>
      </c>
      <c r="H461" s="120" t="s">
        <v>708</v>
      </c>
    </row>
    <row r="462" spans="1:8" ht="19.899999999999999" customHeight="1">
      <c r="A462" s="129">
        <v>46053</v>
      </c>
      <c r="B462" s="117" t="s">
        <v>61</v>
      </c>
      <c r="C462" s="118" t="s">
        <v>715</v>
      </c>
      <c r="D462" s="117" t="s">
        <v>706</v>
      </c>
      <c r="E462" s="130">
        <v>1.1423611111111109</v>
      </c>
      <c r="F462" s="117" t="s">
        <v>63</v>
      </c>
      <c r="G462" s="119">
        <v>3</v>
      </c>
      <c r="H462" s="120" t="s">
        <v>708</v>
      </c>
    </row>
    <row r="463" spans="1:8" ht="19.899999999999999" customHeight="1">
      <c r="A463" s="121">
        <v>46053</v>
      </c>
      <c r="B463" s="112" t="s">
        <v>68</v>
      </c>
      <c r="C463" s="113" t="s">
        <v>713</v>
      </c>
      <c r="D463" s="112" t="s">
        <v>706</v>
      </c>
      <c r="E463" s="122">
        <v>1.302083333333333</v>
      </c>
      <c r="F463" s="112" t="s">
        <v>643</v>
      </c>
      <c r="G463" s="114">
        <v>4</v>
      </c>
      <c r="H463" s="115" t="s">
        <v>714</v>
      </c>
    </row>
    <row r="464" spans="1:8" ht="19.899999999999999" customHeight="1">
      <c r="A464" s="143"/>
      <c r="B464" s="144"/>
      <c r="C464" s="144"/>
      <c r="D464" s="144"/>
      <c r="E464" s="144"/>
      <c r="F464" s="145" t="s">
        <v>705</v>
      </c>
      <c r="G464" s="144"/>
      <c r="H464" s="146"/>
    </row>
    <row r="465" spans="1:8" ht="19.899999999999999" customHeight="1">
      <c r="A465" s="121">
        <v>46053</v>
      </c>
      <c r="B465" s="112" t="s">
        <v>38</v>
      </c>
      <c r="C465" s="113" t="s">
        <v>342</v>
      </c>
      <c r="D465" s="112" t="s">
        <v>341</v>
      </c>
      <c r="E465" s="122">
        <v>1.489583333333333</v>
      </c>
      <c r="F465" s="112" t="s">
        <v>40</v>
      </c>
      <c r="G465" s="114">
        <v>17</v>
      </c>
      <c r="H465" s="115" t="s">
        <v>30</v>
      </c>
    </row>
    <row r="466" spans="1:8" ht="19.899999999999999" customHeight="1">
      <c r="A466" s="121">
        <v>46053</v>
      </c>
      <c r="B466" s="112" t="s">
        <v>38</v>
      </c>
      <c r="C466" s="113" t="s">
        <v>346</v>
      </c>
      <c r="D466" s="112" t="s">
        <v>341</v>
      </c>
      <c r="E466" s="122">
        <v>1.399305555555556</v>
      </c>
      <c r="F466" s="112" t="s">
        <v>40</v>
      </c>
      <c r="G466" s="114">
        <v>18</v>
      </c>
      <c r="H466" s="115" t="s">
        <v>347</v>
      </c>
    </row>
    <row r="467" spans="1:8" ht="19.899999999999999" customHeight="1">
      <c r="A467" s="121">
        <v>46053</v>
      </c>
      <c r="B467" s="112" t="s">
        <v>38</v>
      </c>
      <c r="C467" s="113" t="s">
        <v>344</v>
      </c>
      <c r="D467" s="112" t="s">
        <v>341</v>
      </c>
      <c r="E467" s="122">
        <v>1.8888888888888891</v>
      </c>
      <c r="F467" s="112" t="s">
        <v>40</v>
      </c>
      <c r="G467" s="114">
        <v>20</v>
      </c>
      <c r="H467" s="115" t="s">
        <v>347</v>
      </c>
    </row>
    <row r="468" spans="1:8" ht="19.899999999999999" customHeight="1">
      <c r="A468" s="121">
        <v>46053</v>
      </c>
      <c r="B468" s="112" t="s">
        <v>38</v>
      </c>
      <c r="C468" s="113" t="s">
        <v>345</v>
      </c>
      <c r="D468" s="112" t="s">
        <v>341</v>
      </c>
      <c r="E468" s="122">
        <v>1.989583333333333</v>
      </c>
      <c r="F468" s="112" t="s">
        <v>40</v>
      </c>
      <c r="G468" s="114">
        <v>19</v>
      </c>
      <c r="H468" s="115" t="s">
        <v>347</v>
      </c>
    </row>
    <row r="469" spans="1:8" ht="19.899999999999999" customHeight="1">
      <c r="A469" s="121">
        <v>46053</v>
      </c>
      <c r="B469" s="112" t="s">
        <v>359</v>
      </c>
      <c r="C469" s="113" t="s">
        <v>360</v>
      </c>
      <c r="D469" s="112" t="s">
        <v>341</v>
      </c>
      <c r="E469" s="122">
        <v>1.1701388888888891</v>
      </c>
      <c r="F469" s="112" t="s">
        <v>361</v>
      </c>
      <c r="G469" s="114">
        <v>9</v>
      </c>
      <c r="H469" s="115" t="s">
        <v>534</v>
      </c>
    </row>
    <row r="470" spans="1:8" ht="19.899999999999999" customHeight="1">
      <c r="A470" s="121">
        <v>46053</v>
      </c>
      <c r="B470" s="112" t="s">
        <v>359</v>
      </c>
      <c r="C470" s="113" t="s">
        <v>445</v>
      </c>
      <c r="D470" s="112" t="s">
        <v>341</v>
      </c>
      <c r="E470" s="122">
        <v>1.055555555555556</v>
      </c>
      <c r="F470" s="112" t="s">
        <v>361</v>
      </c>
      <c r="G470" s="114">
        <v>9</v>
      </c>
      <c r="H470" s="115" t="s">
        <v>534</v>
      </c>
    </row>
    <row r="471" spans="1:8" ht="19.899999999999999" customHeight="1">
      <c r="A471" s="121">
        <v>46053</v>
      </c>
      <c r="B471" s="112" t="s">
        <v>61</v>
      </c>
      <c r="C471" s="113" t="s">
        <v>371</v>
      </c>
      <c r="D471" s="112" t="s">
        <v>341</v>
      </c>
      <c r="E471" s="122">
        <v>1.0486111111111109</v>
      </c>
      <c r="F471" s="112" t="s">
        <v>63</v>
      </c>
      <c r="G471" s="114">
        <v>5</v>
      </c>
      <c r="H471" s="115" t="s">
        <v>365</v>
      </c>
    </row>
    <row r="472" spans="1:8" ht="19.899999999999999" customHeight="1">
      <c r="A472" s="121">
        <v>46053</v>
      </c>
      <c r="B472" s="112" t="s">
        <v>61</v>
      </c>
      <c r="C472" s="113" t="s">
        <v>377</v>
      </c>
      <c r="D472" s="112" t="s">
        <v>341</v>
      </c>
      <c r="E472" s="122">
        <v>1.5034722222222221</v>
      </c>
      <c r="F472" s="112" t="s">
        <v>63</v>
      </c>
      <c r="G472" s="114">
        <v>3</v>
      </c>
      <c r="H472" s="115" t="s">
        <v>365</v>
      </c>
    </row>
    <row r="473" spans="1:8" ht="19.899999999999999" customHeight="1">
      <c r="A473" s="121">
        <v>46053</v>
      </c>
      <c r="B473" s="112" t="s">
        <v>26</v>
      </c>
      <c r="C473" s="113" t="s">
        <v>354</v>
      </c>
      <c r="D473" s="112" t="s">
        <v>341</v>
      </c>
      <c r="E473" s="122">
        <v>1.3472222222222221</v>
      </c>
      <c r="F473" s="112" t="s">
        <v>28</v>
      </c>
      <c r="G473" s="114">
        <v>2</v>
      </c>
      <c r="H473" s="115" t="s">
        <v>83</v>
      </c>
    </row>
    <row r="474" spans="1:8" ht="19.899999999999999" customHeight="1">
      <c r="A474" s="123">
        <v>46053</v>
      </c>
      <c r="B474" s="124" t="s">
        <v>26</v>
      </c>
      <c r="C474" s="125" t="s">
        <v>351</v>
      </c>
      <c r="D474" s="124" t="s">
        <v>341</v>
      </c>
      <c r="E474" s="126">
        <v>1.836805555555556</v>
      </c>
      <c r="F474" s="124" t="s">
        <v>28</v>
      </c>
      <c r="G474" s="127">
        <v>4</v>
      </c>
      <c r="H474" s="128" t="s">
        <v>83</v>
      </c>
    </row>
  </sheetData>
  <pageMargins left="0.75" right="0.75" top="1" bottom="1" header="0.5" footer="0.5"/>
  <legacy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N80"/>
  <sheetViews>
    <sheetView workbookViewId="0"/>
  </sheetViews>
  <sheetFormatPr defaultRowHeight="14.45"/>
  <cols>
    <col min="1" max="2" width="15.7109375" bestFit="1" customWidth="1"/>
    <col min="3" max="3" width="14.7109375" bestFit="1" customWidth="1"/>
    <col min="4" max="4" width="29.85546875" bestFit="1" customWidth="1"/>
    <col min="5" max="5" width="18.5703125" bestFit="1" customWidth="1"/>
    <col min="6" max="6" width="23.42578125" bestFit="1" customWidth="1"/>
    <col min="7" max="7" width="44.7109375" bestFit="1" customWidth="1"/>
    <col min="8" max="8" width="9.42578125" bestFit="1" customWidth="1"/>
    <col min="9" max="9" width="6.710937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10.7109375" bestFit="1" customWidth="1"/>
  </cols>
  <sheetData>
    <row r="1" spans="1:92" ht="28.9" customHeight="1">
      <c r="A1" s="291" t="s">
        <v>0</v>
      </c>
      <c r="B1" s="294"/>
      <c r="C1" s="294"/>
      <c r="D1" s="294"/>
      <c r="E1" s="294"/>
      <c r="F1" s="1" t="s">
        <v>755</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45980.609919920891</v>
      </c>
      <c r="H2" s="294"/>
      <c r="I2" s="294"/>
      <c r="J2" s="294"/>
      <c r="K2" s="287">
        <v>45980.609919921219</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46026</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thickTop="1" thickBot="1">
      <c r="A6" s="166" t="s">
        <v>415</v>
      </c>
      <c r="B6" s="166" t="s">
        <v>756</v>
      </c>
      <c r="C6" s="167">
        <v>3.8194444444444441E-2</v>
      </c>
      <c r="D6" s="166" t="s">
        <v>63</v>
      </c>
      <c r="E6" s="166" t="s">
        <v>51</v>
      </c>
      <c r="F6" s="166" t="s">
        <v>757</v>
      </c>
      <c r="G6" s="302"/>
      <c r="H6" s="300"/>
      <c r="I6" s="140"/>
      <c r="J6" s="140"/>
      <c r="K6" s="140"/>
      <c r="L6" s="140"/>
      <c r="M6" s="140"/>
      <c r="N6" s="140"/>
      <c r="O6" s="141"/>
      <c r="P6" s="140"/>
      <c r="Q6" s="142"/>
      <c r="R6" s="301"/>
    </row>
    <row r="7" spans="1:92" ht="17.45" customHeight="1" thickBot="1">
      <c r="A7" s="283"/>
      <c r="B7" s="284"/>
      <c r="C7" s="284"/>
      <c r="D7" s="284"/>
      <c r="E7" s="284"/>
      <c r="F7" s="284"/>
      <c r="G7" s="284"/>
      <c r="H7" s="284"/>
      <c r="I7" s="284"/>
      <c r="J7" s="284"/>
      <c r="K7" s="284"/>
      <c r="L7" s="284"/>
      <c r="M7" s="284"/>
      <c r="N7" s="284"/>
      <c r="O7" s="284"/>
      <c r="P7" s="284"/>
      <c r="Q7" s="284"/>
      <c r="R7" s="285"/>
    </row>
    <row r="8" spans="1:92" ht="22.15" customHeight="1" thickTop="1" thickBot="1">
      <c r="A8" s="279" t="s">
        <v>6</v>
      </c>
      <c r="B8" s="295"/>
      <c r="C8" s="295"/>
      <c r="D8" s="295"/>
      <c r="E8" s="295"/>
      <c r="F8" s="296"/>
      <c r="G8" s="32">
        <v>46027</v>
      </c>
      <c r="H8" s="278" t="s">
        <v>7</v>
      </c>
      <c r="I8" s="295"/>
      <c r="J8" s="295"/>
      <c r="K8" s="295"/>
      <c r="L8" s="295"/>
      <c r="M8" s="295"/>
      <c r="N8" s="295"/>
      <c r="O8" s="295"/>
      <c r="P8" s="295"/>
      <c r="Q8" s="295"/>
      <c r="R8" s="296"/>
    </row>
    <row r="9" spans="1:92" ht="24" customHeight="1">
      <c r="A9" s="33" t="s">
        <v>8</v>
      </c>
      <c r="B9" s="33" t="s">
        <v>9</v>
      </c>
      <c r="C9" s="34" t="s">
        <v>10</v>
      </c>
      <c r="D9" s="33" t="s">
        <v>11</v>
      </c>
      <c r="E9" s="33" t="s">
        <v>12</v>
      </c>
      <c r="F9" s="35" t="s">
        <v>13</v>
      </c>
      <c r="G9" s="36" t="s">
        <v>14</v>
      </c>
      <c r="H9" s="33" t="s">
        <v>15</v>
      </c>
      <c r="I9" s="37" t="s">
        <v>16</v>
      </c>
      <c r="J9" s="38" t="s">
        <v>17</v>
      </c>
      <c r="K9" s="39" t="s">
        <v>18</v>
      </c>
      <c r="L9" s="38" t="s">
        <v>19</v>
      </c>
      <c r="M9" s="38" t="s">
        <v>20</v>
      </c>
      <c r="N9" s="38" t="s">
        <v>21</v>
      </c>
      <c r="O9" s="33" t="s">
        <v>22</v>
      </c>
      <c r="P9" s="34" t="s">
        <v>23</v>
      </c>
      <c r="Q9" s="38" t="s">
        <v>24</v>
      </c>
      <c r="R9" s="33" t="s">
        <v>25</v>
      </c>
    </row>
    <row r="10" spans="1:92" ht="49.9" customHeight="1" thickTop="1" thickBot="1">
      <c r="A10" s="49" t="s">
        <v>61</v>
      </c>
      <c r="B10" s="49" t="s">
        <v>758</v>
      </c>
      <c r="C10" s="50">
        <v>0.96180555555555547</v>
      </c>
      <c r="D10" s="49" t="s">
        <v>759</v>
      </c>
      <c r="E10" s="168"/>
      <c r="F10" s="49" t="s">
        <v>760</v>
      </c>
      <c r="G10" s="297"/>
      <c r="H10" s="169" t="s">
        <v>758</v>
      </c>
      <c r="I10" s="170">
        <v>0</v>
      </c>
      <c r="J10" s="171">
        <v>0</v>
      </c>
      <c r="K10" s="172" t="s">
        <v>66</v>
      </c>
      <c r="L10" s="171">
        <v>0</v>
      </c>
      <c r="M10" s="171">
        <v>0</v>
      </c>
      <c r="N10" s="171">
        <v>0</v>
      </c>
      <c r="O10" s="173" t="s">
        <v>761</v>
      </c>
      <c r="P10" s="174">
        <v>0.96180555555555547</v>
      </c>
      <c r="Q10" s="171">
        <v>180</v>
      </c>
      <c r="R10" s="175" t="s">
        <v>66</v>
      </c>
    </row>
    <row r="11" spans="1:92" ht="17.45" customHeight="1" thickBot="1">
      <c r="A11" s="283"/>
      <c r="B11" s="284"/>
      <c r="C11" s="284"/>
      <c r="D11" s="284"/>
      <c r="E11" s="284"/>
      <c r="F11" s="284"/>
      <c r="G11" s="284"/>
      <c r="H11" s="284"/>
      <c r="I11" s="284"/>
      <c r="J11" s="284"/>
      <c r="K11" s="284"/>
      <c r="L11" s="284"/>
      <c r="M11" s="284"/>
      <c r="N11" s="284"/>
      <c r="O11" s="284"/>
      <c r="P11" s="284"/>
      <c r="Q11" s="284"/>
      <c r="R11" s="285"/>
    </row>
    <row r="12" spans="1:92" ht="22.15" customHeight="1" thickTop="1" thickBot="1">
      <c r="A12" s="279" t="s">
        <v>6</v>
      </c>
      <c r="B12" s="295"/>
      <c r="C12" s="295"/>
      <c r="D12" s="295"/>
      <c r="E12" s="295"/>
      <c r="F12" s="296"/>
      <c r="G12" s="32">
        <v>46028</v>
      </c>
      <c r="H12" s="278" t="s">
        <v>7</v>
      </c>
      <c r="I12" s="295"/>
      <c r="J12" s="295"/>
      <c r="K12" s="295"/>
      <c r="L12" s="295"/>
      <c r="M12" s="295"/>
      <c r="N12" s="295"/>
      <c r="O12" s="295"/>
      <c r="P12" s="295"/>
      <c r="Q12" s="295"/>
      <c r="R12" s="296"/>
    </row>
    <row r="13" spans="1:92" ht="24" customHeight="1">
      <c r="A13" s="33" t="s">
        <v>8</v>
      </c>
      <c r="B13" s="33" t="s">
        <v>9</v>
      </c>
      <c r="C13" s="34" t="s">
        <v>10</v>
      </c>
      <c r="D13" s="33" t="s">
        <v>11</v>
      </c>
      <c r="E13" s="33" t="s">
        <v>12</v>
      </c>
      <c r="F13" s="35" t="s">
        <v>13</v>
      </c>
      <c r="G13" s="36" t="s">
        <v>14</v>
      </c>
      <c r="H13" s="33" t="s">
        <v>15</v>
      </c>
      <c r="I13" s="37" t="s">
        <v>16</v>
      </c>
      <c r="J13" s="38" t="s">
        <v>17</v>
      </c>
      <c r="K13" s="39" t="s">
        <v>18</v>
      </c>
      <c r="L13" s="38" t="s">
        <v>19</v>
      </c>
      <c r="M13" s="38" t="s">
        <v>20</v>
      </c>
      <c r="N13" s="38" t="s">
        <v>21</v>
      </c>
      <c r="O13" s="33" t="s">
        <v>22</v>
      </c>
      <c r="P13" s="34" t="s">
        <v>23</v>
      </c>
      <c r="Q13" s="38" t="s">
        <v>24</v>
      </c>
      <c r="R13" s="33" t="s">
        <v>25</v>
      </c>
    </row>
    <row r="14" spans="1:92" ht="49.9" customHeight="1">
      <c r="A14" s="8" t="s">
        <v>415</v>
      </c>
      <c r="B14" s="8" t="s">
        <v>756</v>
      </c>
      <c r="C14" s="9">
        <v>0.59027777777777779</v>
      </c>
      <c r="D14" s="8" t="s">
        <v>63</v>
      </c>
      <c r="E14" s="8" t="s">
        <v>51</v>
      </c>
      <c r="F14" s="8" t="s">
        <v>757</v>
      </c>
      <c r="G14" s="297"/>
      <c r="H14" s="10"/>
      <c r="I14" s="11"/>
      <c r="J14" s="11"/>
      <c r="K14" s="11"/>
      <c r="L14" s="11"/>
      <c r="M14" s="11"/>
      <c r="N14" s="11"/>
      <c r="O14" s="12"/>
      <c r="P14" s="11"/>
      <c r="Q14" s="13"/>
      <c r="R14" s="14"/>
    </row>
    <row r="15" spans="1:92" ht="49.9" customHeight="1">
      <c r="A15" s="87" t="s">
        <v>61</v>
      </c>
      <c r="B15" s="87" t="s">
        <v>762</v>
      </c>
      <c r="C15" s="88">
        <v>0.2638888888888889</v>
      </c>
      <c r="D15" s="87" t="s">
        <v>759</v>
      </c>
      <c r="E15" s="176"/>
      <c r="F15" s="87" t="s">
        <v>760</v>
      </c>
      <c r="G15" s="298"/>
      <c r="H15" s="89" t="s">
        <v>762</v>
      </c>
      <c r="I15" s="90">
        <v>0</v>
      </c>
      <c r="J15" s="91">
        <v>0</v>
      </c>
      <c r="K15" s="92" t="s">
        <v>66</v>
      </c>
      <c r="L15" s="91">
        <v>0</v>
      </c>
      <c r="M15" s="91">
        <v>0</v>
      </c>
      <c r="N15" s="91">
        <v>0</v>
      </c>
      <c r="O15" s="93" t="s">
        <v>761</v>
      </c>
      <c r="P15" s="94">
        <v>0.2638888888888889</v>
      </c>
      <c r="Q15" s="91">
        <v>180</v>
      </c>
      <c r="R15" s="95" t="s">
        <v>66</v>
      </c>
    </row>
    <row r="16" spans="1:92" ht="49.9" customHeight="1">
      <c r="A16" s="148" t="s">
        <v>61</v>
      </c>
      <c r="B16" s="148" t="s">
        <v>763</v>
      </c>
      <c r="C16" s="149">
        <v>0.63888888888888895</v>
      </c>
      <c r="D16" s="148" t="s">
        <v>759</v>
      </c>
      <c r="E16" s="177"/>
      <c r="F16" s="148" t="s">
        <v>760</v>
      </c>
      <c r="G16" s="298"/>
      <c r="H16" s="51" t="s">
        <v>763</v>
      </c>
      <c r="I16" s="52">
        <v>0</v>
      </c>
      <c r="J16" s="53">
        <v>0</v>
      </c>
      <c r="K16" s="54" t="s">
        <v>66</v>
      </c>
      <c r="L16" s="53">
        <v>0</v>
      </c>
      <c r="M16" s="53">
        <v>0</v>
      </c>
      <c r="N16" s="53">
        <v>0</v>
      </c>
      <c r="O16" s="55" t="s">
        <v>761</v>
      </c>
      <c r="P16" s="56">
        <v>0.63888888888888895</v>
      </c>
      <c r="Q16" s="53">
        <v>180</v>
      </c>
      <c r="R16" s="57" t="s">
        <v>66</v>
      </c>
    </row>
    <row r="17" spans="1:18" ht="49.9" customHeight="1" thickBot="1">
      <c r="A17" s="178" t="s">
        <v>61</v>
      </c>
      <c r="B17" s="178" t="s">
        <v>764</v>
      </c>
      <c r="C17" s="179">
        <v>0.79166666666666663</v>
      </c>
      <c r="D17" s="178" t="s">
        <v>759</v>
      </c>
      <c r="E17" s="180"/>
      <c r="F17" s="178" t="s">
        <v>760</v>
      </c>
      <c r="G17" s="299"/>
      <c r="H17" s="181" t="s">
        <v>764</v>
      </c>
      <c r="I17" s="182">
        <v>0</v>
      </c>
      <c r="J17" s="183">
        <v>0</v>
      </c>
      <c r="K17" s="184" t="s">
        <v>66</v>
      </c>
      <c r="L17" s="183">
        <v>0</v>
      </c>
      <c r="M17" s="183">
        <v>0</v>
      </c>
      <c r="N17" s="183">
        <v>0</v>
      </c>
      <c r="O17" s="185" t="s">
        <v>761</v>
      </c>
      <c r="P17" s="186">
        <v>0.79166666666666663</v>
      </c>
      <c r="Q17" s="183">
        <v>180</v>
      </c>
      <c r="R17" s="187" t="s">
        <v>66</v>
      </c>
    </row>
    <row r="18" spans="1:18" ht="17.45" customHeight="1" thickBot="1">
      <c r="A18" s="283"/>
      <c r="B18" s="284"/>
      <c r="C18" s="284"/>
      <c r="D18" s="284"/>
      <c r="E18" s="284"/>
      <c r="F18" s="284"/>
      <c r="G18" s="284"/>
      <c r="H18" s="284"/>
      <c r="I18" s="284"/>
      <c r="J18" s="284"/>
      <c r="K18" s="284"/>
      <c r="L18" s="284"/>
      <c r="M18" s="284"/>
      <c r="N18" s="284"/>
      <c r="O18" s="284"/>
      <c r="P18" s="284"/>
      <c r="Q18" s="284"/>
      <c r="R18" s="285"/>
    </row>
    <row r="19" spans="1:18" ht="22.15" customHeight="1" thickTop="1" thickBot="1">
      <c r="A19" s="279" t="s">
        <v>6</v>
      </c>
      <c r="B19" s="295"/>
      <c r="C19" s="295"/>
      <c r="D19" s="295"/>
      <c r="E19" s="295"/>
      <c r="F19" s="296"/>
      <c r="G19" s="32">
        <v>46029</v>
      </c>
      <c r="H19" s="278" t="s">
        <v>7</v>
      </c>
      <c r="I19" s="295"/>
      <c r="J19" s="295"/>
      <c r="K19" s="295"/>
      <c r="L19" s="295"/>
      <c r="M19" s="295"/>
      <c r="N19" s="295"/>
      <c r="O19" s="295"/>
      <c r="P19" s="295"/>
      <c r="Q19" s="295"/>
      <c r="R19" s="296"/>
    </row>
    <row r="20" spans="1:18" ht="24" customHeight="1">
      <c r="A20" s="33" t="s">
        <v>8</v>
      </c>
      <c r="B20" s="33" t="s">
        <v>9</v>
      </c>
      <c r="C20" s="34" t="s">
        <v>10</v>
      </c>
      <c r="D20" s="33" t="s">
        <v>11</v>
      </c>
      <c r="E20" s="33" t="s">
        <v>12</v>
      </c>
      <c r="F20" s="35" t="s">
        <v>13</v>
      </c>
      <c r="G20" s="36" t="s">
        <v>14</v>
      </c>
      <c r="H20" s="33" t="s">
        <v>15</v>
      </c>
      <c r="I20" s="37" t="s">
        <v>16</v>
      </c>
      <c r="J20" s="38" t="s">
        <v>17</v>
      </c>
      <c r="K20" s="39" t="s">
        <v>18</v>
      </c>
      <c r="L20" s="38" t="s">
        <v>19</v>
      </c>
      <c r="M20" s="38" t="s">
        <v>20</v>
      </c>
      <c r="N20" s="38" t="s">
        <v>21</v>
      </c>
      <c r="O20" s="33" t="s">
        <v>22</v>
      </c>
      <c r="P20" s="34" t="s">
        <v>23</v>
      </c>
      <c r="Q20" s="38" t="s">
        <v>24</v>
      </c>
      <c r="R20" s="33" t="s">
        <v>25</v>
      </c>
    </row>
    <row r="21" spans="1:18" ht="49.9" customHeight="1" thickTop="1" thickBot="1">
      <c r="A21" s="166" t="s">
        <v>415</v>
      </c>
      <c r="B21" s="166" t="s">
        <v>756</v>
      </c>
      <c r="C21" s="167">
        <v>0.42708333333333331</v>
      </c>
      <c r="D21" s="166" t="s">
        <v>63</v>
      </c>
      <c r="E21" s="166" t="s">
        <v>51</v>
      </c>
      <c r="F21" s="166" t="s">
        <v>757</v>
      </c>
      <c r="G21" s="297"/>
      <c r="H21" s="300"/>
      <c r="I21" s="140"/>
      <c r="J21" s="140"/>
      <c r="K21" s="140"/>
      <c r="L21" s="140"/>
      <c r="M21" s="140"/>
      <c r="N21" s="140"/>
      <c r="O21" s="141"/>
      <c r="P21" s="140"/>
      <c r="Q21" s="142"/>
      <c r="R21" s="301"/>
    </row>
    <row r="22" spans="1:18" ht="17.45" customHeight="1" thickBot="1">
      <c r="A22" s="283"/>
      <c r="B22" s="284"/>
      <c r="C22" s="284"/>
      <c r="D22" s="284"/>
      <c r="E22" s="284"/>
      <c r="F22" s="284"/>
      <c r="G22" s="284"/>
      <c r="H22" s="284"/>
      <c r="I22" s="284"/>
      <c r="J22" s="284"/>
      <c r="K22" s="284"/>
      <c r="L22" s="284"/>
      <c r="M22" s="284"/>
      <c r="N22" s="284"/>
      <c r="O22" s="284"/>
      <c r="P22" s="284"/>
      <c r="Q22" s="284"/>
      <c r="R22" s="285"/>
    </row>
    <row r="23" spans="1:18" ht="22.15" customHeight="1" thickTop="1" thickBot="1">
      <c r="A23" s="279" t="s">
        <v>6</v>
      </c>
      <c r="B23" s="295"/>
      <c r="C23" s="295"/>
      <c r="D23" s="295"/>
      <c r="E23" s="295"/>
      <c r="F23" s="296"/>
      <c r="G23" s="32">
        <v>46033</v>
      </c>
      <c r="H23" s="278" t="s">
        <v>7</v>
      </c>
      <c r="I23" s="295"/>
      <c r="J23" s="295"/>
      <c r="K23" s="295"/>
      <c r="L23" s="295"/>
      <c r="M23" s="295"/>
      <c r="N23" s="295"/>
      <c r="O23" s="295"/>
      <c r="P23" s="295"/>
      <c r="Q23" s="295"/>
      <c r="R23" s="296"/>
    </row>
    <row r="24" spans="1:18" ht="24" customHeight="1">
      <c r="A24" s="33" t="s">
        <v>8</v>
      </c>
      <c r="B24" s="33" t="s">
        <v>9</v>
      </c>
      <c r="C24" s="34" t="s">
        <v>10</v>
      </c>
      <c r="D24" s="33" t="s">
        <v>11</v>
      </c>
      <c r="E24" s="33" t="s">
        <v>12</v>
      </c>
      <c r="F24" s="35" t="s">
        <v>13</v>
      </c>
      <c r="G24" s="36" t="s">
        <v>14</v>
      </c>
      <c r="H24" s="33" t="s">
        <v>15</v>
      </c>
      <c r="I24" s="37" t="s">
        <v>16</v>
      </c>
      <c r="J24" s="38" t="s">
        <v>17</v>
      </c>
      <c r="K24" s="39" t="s">
        <v>18</v>
      </c>
      <c r="L24" s="38" t="s">
        <v>19</v>
      </c>
      <c r="M24" s="38" t="s">
        <v>20</v>
      </c>
      <c r="N24" s="38" t="s">
        <v>21</v>
      </c>
      <c r="O24" s="33" t="s">
        <v>22</v>
      </c>
      <c r="P24" s="34" t="s">
        <v>23</v>
      </c>
      <c r="Q24" s="38" t="s">
        <v>24</v>
      </c>
      <c r="R24" s="33" t="s">
        <v>25</v>
      </c>
    </row>
    <row r="25" spans="1:18" ht="49.9" customHeight="1" thickTop="1" thickBot="1">
      <c r="A25" s="166" t="s">
        <v>415</v>
      </c>
      <c r="B25" s="166" t="s">
        <v>756</v>
      </c>
      <c r="C25" s="167">
        <v>3.8194444444444441E-2</v>
      </c>
      <c r="D25" s="166" t="s">
        <v>63</v>
      </c>
      <c r="E25" s="166" t="s">
        <v>51</v>
      </c>
      <c r="F25" s="166" t="s">
        <v>757</v>
      </c>
      <c r="G25" s="297"/>
      <c r="H25" s="300"/>
      <c r="I25" s="140"/>
      <c r="J25" s="140"/>
      <c r="K25" s="140"/>
      <c r="L25" s="140"/>
      <c r="M25" s="140"/>
      <c r="N25" s="140"/>
      <c r="O25" s="141"/>
      <c r="P25" s="140"/>
      <c r="Q25" s="142"/>
      <c r="R25" s="301"/>
    </row>
    <row r="26" spans="1:18" ht="17.45" customHeight="1" thickBot="1">
      <c r="A26" s="283"/>
      <c r="B26" s="284"/>
      <c r="C26" s="284"/>
      <c r="D26" s="284"/>
      <c r="E26" s="284"/>
      <c r="F26" s="284"/>
      <c r="G26" s="284"/>
      <c r="H26" s="284"/>
      <c r="I26" s="284"/>
      <c r="J26" s="284"/>
      <c r="K26" s="284"/>
      <c r="L26" s="284"/>
      <c r="M26" s="284"/>
      <c r="N26" s="284"/>
      <c r="O26" s="284"/>
      <c r="P26" s="284"/>
      <c r="Q26" s="284"/>
      <c r="R26" s="285"/>
    </row>
    <row r="27" spans="1:18" ht="22.15" customHeight="1" thickTop="1" thickBot="1">
      <c r="A27" s="279" t="s">
        <v>6</v>
      </c>
      <c r="B27" s="295"/>
      <c r="C27" s="295"/>
      <c r="D27" s="295"/>
      <c r="E27" s="295"/>
      <c r="F27" s="296"/>
      <c r="G27" s="32">
        <v>46034</v>
      </c>
      <c r="H27" s="278" t="s">
        <v>7</v>
      </c>
      <c r="I27" s="295"/>
      <c r="J27" s="295"/>
      <c r="K27" s="295"/>
      <c r="L27" s="295"/>
      <c r="M27" s="295"/>
      <c r="N27" s="295"/>
      <c r="O27" s="295"/>
      <c r="P27" s="295"/>
      <c r="Q27" s="295"/>
      <c r="R27" s="296"/>
    </row>
    <row r="28" spans="1:18" ht="24" customHeight="1">
      <c r="A28" s="33" t="s">
        <v>8</v>
      </c>
      <c r="B28" s="33" t="s">
        <v>9</v>
      </c>
      <c r="C28" s="34" t="s">
        <v>10</v>
      </c>
      <c r="D28" s="33" t="s">
        <v>11</v>
      </c>
      <c r="E28" s="33" t="s">
        <v>12</v>
      </c>
      <c r="F28" s="35" t="s">
        <v>13</v>
      </c>
      <c r="G28" s="36" t="s">
        <v>14</v>
      </c>
      <c r="H28" s="33" t="s">
        <v>15</v>
      </c>
      <c r="I28" s="37" t="s">
        <v>16</v>
      </c>
      <c r="J28" s="38" t="s">
        <v>17</v>
      </c>
      <c r="K28" s="39" t="s">
        <v>18</v>
      </c>
      <c r="L28" s="38" t="s">
        <v>19</v>
      </c>
      <c r="M28" s="38" t="s">
        <v>20</v>
      </c>
      <c r="N28" s="38" t="s">
        <v>21</v>
      </c>
      <c r="O28" s="33" t="s">
        <v>22</v>
      </c>
      <c r="P28" s="34" t="s">
        <v>23</v>
      </c>
      <c r="Q28" s="38" t="s">
        <v>24</v>
      </c>
      <c r="R28" s="33" t="s">
        <v>25</v>
      </c>
    </row>
    <row r="29" spans="1:18" ht="49.9" customHeight="1" thickTop="1" thickBot="1">
      <c r="A29" s="98" t="s">
        <v>61</v>
      </c>
      <c r="B29" s="98" t="s">
        <v>758</v>
      </c>
      <c r="C29" s="99">
        <v>0.96180555555555547</v>
      </c>
      <c r="D29" s="98" t="s">
        <v>759</v>
      </c>
      <c r="E29" s="188"/>
      <c r="F29" s="98" t="s">
        <v>760</v>
      </c>
      <c r="G29" s="297"/>
      <c r="H29" s="189" t="s">
        <v>758</v>
      </c>
      <c r="I29" s="190">
        <v>0</v>
      </c>
      <c r="J29" s="191">
        <v>0</v>
      </c>
      <c r="K29" s="192" t="s">
        <v>66</v>
      </c>
      <c r="L29" s="191">
        <v>0</v>
      </c>
      <c r="M29" s="191">
        <v>0</v>
      </c>
      <c r="N29" s="191">
        <v>0</v>
      </c>
      <c r="O29" s="193" t="s">
        <v>761</v>
      </c>
      <c r="P29" s="194">
        <v>0.96180555555555547</v>
      </c>
      <c r="Q29" s="191">
        <v>180</v>
      </c>
      <c r="R29" s="195" t="s">
        <v>66</v>
      </c>
    </row>
    <row r="30" spans="1:18" ht="17.45" customHeight="1" thickBot="1">
      <c r="A30" s="283"/>
      <c r="B30" s="284"/>
      <c r="C30" s="284"/>
      <c r="D30" s="284"/>
      <c r="E30" s="284"/>
      <c r="F30" s="284"/>
      <c r="G30" s="284"/>
      <c r="H30" s="284"/>
      <c r="I30" s="284"/>
      <c r="J30" s="284"/>
      <c r="K30" s="284"/>
      <c r="L30" s="284"/>
      <c r="M30" s="284"/>
      <c r="N30" s="284"/>
      <c r="O30" s="284"/>
      <c r="P30" s="284"/>
      <c r="Q30" s="284"/>
      <c r="R30" s="285"/>
    </row>
    <row r="31" spans="1:18" ht="22.15" customHeight="1" thickTop="1" thickBot="1">
      <c r="A31" s="279" t="s">
        <v>6</v>
      </c>
      <c r="B31" s="295"/>
      <c r="C31" s="295"/>
      <c r="D31" s="295"/>
      <c r="E31" s="295"/>
      <c r="F31" s="296"/>
      <c r="G31" s="32">
        <v>46035</v>
      </c>
      <c r="H31" s="278" t="s">
        <v>7</v>
      </c>
      <c r="I31" s="295"/>
      <c r="J31" s="295"/>
      <c r="K31" s="295"/>
      <c r="L31" s="295"/>
      <c r="M31" s="295"/>
      <c r="N31" s="295"/>
      <c r="O31" s="295"/>
      <c r="P31" s="295"/>
      <c r="Q31" s="295"/>
      <c r="R31" s="296"/>
    </row>
    <row r="32" spans="1:18" ht="24" customHeight="1">
      <c r="A32" s="33" t="s">
        <v>8</v>
      </c>
      <c r="B32" s="33" t="s">
        <v>9</v>
      </c>
      <c r="C32" s="34" t="s">
        <v>10</v>
      </c>
      <c r="D32" s="33" t="s">
        <v>11</v>
      </c>
      <c r="E32" s="33" t="s">
        <v>12</v>
      </c>
      <c r="F32" s="35" t="s">
        <v>13</v>
      </c>
      <c r="G32" s="36" t="s">
        <v>14</v>
      </c>
      <c r="H32" s="33" t="s">
        <v>15</v>
      </c>
      <c r="I32" s="37" t="s">
        <v>16</v>
      </c>
      <c r="J32" s="38" t="s">
        <v>17</v>
      </c>
      <c r="K32" s="39" t="s">
        <v>18</v>
      </c>
      <c r="L32" s="38" t="s">
        <v>19</v>
      </c>
      <c r="M32" s="38" t="s">
        <v>20</v>
      </c>
      <c r="N32" s="38" t="s">
        <v>21</v>
      </c>
      <c r="O32" s="33" t="s">
        <v>22</v>
      </c>
      <c r="P32" s="34" t="s">
        <v>23</v>
      </c>
      <c r="Q32" s="38" t="s">
        <v>24</v>
      </c>
      <c r="R32" s="33" t="s">
        <v>25</v>
      </c>
    </row>
    <row r="33" spans="1:18" ht="49.9" customHeight="1">
      <c r="A33" s="8" t="s">
        <v>415</v>
      </c>
      <c r="B33" s="8" t="s">
        <v>756</v>
      </c>
      <c r="C33" s="9">
        <v>0.59027777777777779</v>
      </c>
      <c r="D33" s="8" t="s">
        <v>63</v>
      </c>
      <c r="E33" s="8" t="s">
        <v>51</v>
      </c>
      <c r="F33" s="8" t="s">
        <v>757</v>
      </c>
      <c r="G33" s="297"/>
      <c r="H33" s="10"/>
      <c r="I33" s="11"/>
      <c r="J33" s="11"/>
      <c r="K33" s="11"/>
      <c r="L33" s="11"/>
      <c r="M33" s="11"/>
      <c r="N33" s="11"/>
      <c r="O33" s="12"/>
      <c r="P33" s="11"/>
      <c r="Q33" s="13"/>
      <c r="R33" s="14"/>
    </row>
    <row r="34" spans="1:18" ht="49.9" customHeight="1">
      <c r="A34" s="40" t="s">
        <v>61</v>
      </c>
      <c r="B34" s="40" t="s">
        <v>762</v>
      </c>
      <c r="C34" s="41">
        <v>0.19097222222222221</v>
      </c>
      <c r="D34" s="40" t="s">
        <v>759</v>
      </c>
      <c r="E34" s="196"/>
      <c r="F34" s="40" t="s">
        <v>760</v>
      </c>
      <c r="G34" s="298"/>
      <c r="H34" s="42" t="s">
        <v>762</v>
      </c>
      <c r="I34" s="43">
        <v>0</v>
      </c>
      <c r="J34" s="44">
        <v>0</v>
      </c>
      <c r="K34" s="45" t="s">
        <v>66</v>
      </c>
      <c r="L34" s="44">
        <v>0</v>
      </c>
      <c r="M34" s="44">
        <v>0</v>
      </c>
      <c r="N34" s="44">
        <v>0</v>
      </c>
      <c r="O34" s="46" t="s">
        <v>761</v>
      </c>
      <c r="P34" s="47">
        <v>0.19097222222222221</v>
      </c>
      <c r="Q34" s="44">
        <v>180</v>
      </c>
      <c r="R34" s="48" t="s">
        <v>66</v>
      </c>
    </row>
    <row r="35" spans="1:18" ht="49.9" customHeight="1">
      <c r="A35" s="162" t="s">
        <v>61</v>
      </c>
      <c r="B35" s="162" t="s">
        <v>763</v>
      </c>
      <c r="C35" s="163">
        <v>0.62847222222222221</v>
      </c>
      <c r="D35" s="162" t="s">
        <v>759</v>
      </c>
      <c r="E35" s="197"/>
      <c r="F35" s="162" t="s">
        <v>760</v>
      </c>
      <c r="G35" s="298"/>
      <c r="H35" s="60" t="s">
        <v>763</v>
      </c>
      <c r="I35" s="61">
        <v>0</v>
      </c>
      <c r="J35" s="62">
        <v>0</v>
      </c>
      <c r="K35" s="63" t="s">
        <v>66</v>
      </c>
      <c r="L35" s="62">
        <v>0</v>
      </c>
      <c r="M35" s="62">
        <v>0</v>
      </c>
      <c r="N35" s="62">
        <v>0</v>
      </c>
      <c r="O35" s="64" t="s">
        <v>761</v>
      </c>
      <c r="P35" s="65">
        <v>0.62847222222222221</v>
      </c>
      <c r="Q35" s="62">
        <v>180</v>
      </c>
      <c r="R35" s="66" t="s">
        <v>66</v>
      </c>
    </row>
    <row r="36" spans="1:18" ht="49.9" customHeight="1" thickBot="1">
      <c r="A36" s="198" t="s">
        <v>61</v>
      </c>
      <c r="B36" s="198" t="s">
        <v>764</v>
      </c>
      <c r="C36" s="199">
        <v>0.79166666666666663</v>
      </c>
      <c r="D36" s="198" t="s">
        <v>759</v>
      </c>
      <c r="E36" s="200"/>
      <c r="F36" s="198" t="s">
        <v>760</v>
      </c>
      <c r="G36" s="299"/>
      <c r="H36" s="201" t="s">
        <v>764</v>
      </c>
      <c r="I36" s="202">
        <v>0</v>
      </c>
      <c r="J36" s="203">
        <v>0</v>
      </c>
      <c r="K36" s="204" t="s">
        <v>66</v>
      </c>
      <c r="L36" s="203">
        <v>0</v>
      </c>
      <c r="M36" s="203">
        <v>0</v>
      </c>
      <c r="N36" s="203">
        <v>0</v>
      </c>
      <c r="O36" s="205" t="s">
        <v>761</v>
      </c>
      <c r="P36" s="206">
        <v>0.79166666666666663</v>
      </c>
      <c r="Q36" s="203">
        <v>180</v>
      </c>
      <c r="R36" s="207" t="s">
        <v>66</v>
      </c>
    </row>
    <row r="37" spans="1:18" ht="17.45" customHeight="1" thickBot="1">
      <c r="A37" s="283"/>
      <c r="B37" s="284"/>
      <c r="C37" s="284"/>
      <c r="D37" s="284"/>
      <c r="E37" s="284"/>
      <c r="F37" s="284"/>
      <c r="G37" s="284"/>
      <c r="H37" s="284"/>
      <c r="I37" s="284"/>
      <c r="J37" s="284"/>
      <c r="K37" s="284"/>
      <c r="L37" s="284"/>
      <c r="M37" s="284"/>
      <c r="N37" s="284"/>
      <c r="O37" s="284"/>
      <c r="P37" s="284"/>
      <c r="Q37" s="284"/>
      <c r="R37" s="285"/>
    </row>
    <row r="38" spans="1:18" ht="22.15" customHeight="1" thickTop="1" thickBot="1">
      <c r="A38" s="279" t="s">
        <v>6</v>
      </c>
      <c r="B38" s="295"/>
      <c r="C38" s="295"/>
      <c r="D38" s="295"/>
      <c r="E38" s="295"/>
      <c r="F38" s="296"/>
      <c r="G38" s="32">
        <v>46036</v>
      </c>
      <c r="H38" s="278" t="s">
        <v>7</v>
      </c>
      <c r="I38" s="295"/>
      <c r="J38" s="295"/>
      <c r="K38" s="295"/>
      <c r="L38" s="295"/>
      <c r="M38" s="295"/>
      <c r="N38" s="295"/>
      <c r="O38" s="295"/>
      <c r="P38" s="295"/>
      <c r="Q38" s="295"/>
      <c r="R38" s="296"/>
    </row>
    <row r="39" spans="1:18" ht="24" customHeight="1">
      <c r="A39" s="33" t="s">
        <v>8</v>
      </c>
      <c r="B39" s="33" t="s">
        <v>9</v>
      </c>
      <c r="C39" s="34" t="s">
        <v>10</v>
      </c>
      <c r="D39" s="33" t="s">
        <v>11</v>
      </c>
      <c r="E39" s="33" t="s">
        <v>12</v>
      </c>
      <c r="F39" s="35" t="s">
        <v>13</v>
      </c>
      <c r="G39" s="36" t="s">
        <v>14</v>
      </c>
      <c r="H39" s="33" t="s">
        <v>15</v>
      </c>
      <c r="I39" s="37" t="s">
        <v>16</v>
      </c>
      <c r="J39" s="38" t="s">
        <v>17</v>
      </c>
      <c r="K39" s="39" t="s">
        <v>18</v>
      </c>
      <c r="L39" s="38" t="s">
        <v>19</v>
      </c>
      <c r="M39" s="38" t="s">
        <v>20</v>
      </c>
      <c r="N39" s="38" t="s">
        <v>21</v>
      </c>
      <c r="O39" s="33" t="s">
        <v>22</v>
      </c>
      <c r="P39" s="34" t="s">
        <v>23</v>
      </c>
      <c r="Q39" s="38" t="s">
        <v>24</v>
      </c>
      <c r="R39" s="33" t="s">
        <v>25</v>
      </c>
    </row>
    <row r="40" spans="1:18" ht="49.9" customHeight="1" thickTop="1" thickBot="1">
      <c r="A40" s="166" t="s">
        <v>415</v>
      </c>
      <c r="B40" s="166" t="s">
        <v>756</v>
      </c>
      <c r="C40" s="167">
        <v>0.42708333333333331</v>
      </c>
      <c r="D40" s="166" t="s">
        <v>63</v>
      </c>
      <c r="E40" s="166" t="s">
        <v>51</v>
      </c>
      <c r="F40" s="166" t="s">
        <v>757</v>
      </c>
      <c r="G40" s="302"/>
      <c r="H40" s="300"/>
      <c r="I40" s="140"/>
      <c r="J40" s="140"/>
      <c r="K40" s="140"/>
      <c r="L40" s="140"/>
      <c r="M40" s="140"/>
      <c r="N40" s="140"/>
      <c r="O40" s="141"/>
      <c r="P40" s="140"/>
      <c r="Q40" s="142"/>
      <c r="R40" s="301"/>
    </row>
    <row r="41" spans="1:18" ht="17.45" customHeight="1" thickBot="1">
      <c r="A41" s="283"/>
      <c r="B41" s="284"/>
      <c r="C41" s="284"/>
      <c r="D41" s="284"/>
      <c r="E41" s="284"/>
      <c r="F41" s="284"/>
      <c r="G41" s="284"/>
      <c r="H41" s="284"/>
      <c r="I41" s="284"/>
      <c r="J41" s="284"/>
      <c r="K41" s="284"/>
      <c r="L41" s="284"/>
      <c r="M41" s="284"/>
      <c r="N41" s="284"/>
      <c r="O41" s="284"/>
      <c r="P41" s="284"/>
      <c r="Q41" s="284"/>
      <c r="R41" s="285"/>
    </row>
    <row r="42" spans="1:18" ht="22.15" customHeight="1" thickTop="1" thickBot="1">
      <c r="A42" s="279" t="s">
        <v>6</v>
      </c>
      <c r="B42" s="295"/>
      <c r="C42" s="295"/>
      <c r="D42" s="295"/>
      <c r="E42" s="295"/>
      <c r="F42" s="296"/>
      <c r="G42" s="32">
        <v>46040</v>
      </c>
      <c r="H42" s="278" t="s">
        <v>7</v>
      </c>
      <c r="I42" s="295"/>
      <c r="J42" s="295"/>
      <c r="K42" s="295"/>
      <c r="L42" s="295"/>
      <c r="M42" s="295"/>
      <c r="N42" s="295"/>
      <c r="O42" s="295"/>
      <c r="P42" s="295"/>
      <c r="Q42" s="295"/>
      <c r="R42" s="296"/>
    </row>
    <row r="43" spans="1:18" ht="24" customHeight="1">
      <c r="A43" s="33" t="s">
        <v>8</v>
      </c>
      <c r="B43" s="33" t="s">
        <v>9</v>
      </c>
      <c r="C43" s="34" t="s">
        <v>10</v>
      </c>
      <c r="D43" s="33" t="s">
        <v>11</v>
      </c>
      <c r="E43" s="33" t="s">
        <v>12</v>
      </c>
      <c r="F43" s="35" t="s">
        <v>13</v>
      </c>
      <c r="G43" s="36" t="s">
        <v>14</v>
      </c>
      <c r="H43" s="33" t="s">
        <v>15</v>
      </c>
      <c r="I43" s="37" t="s">
        <v>16</v>
      </c>
      <c r="J43" s="38" t="s">
        <v>17</v>
      </c>
      <c r="K43" s="39" t="s">
        <v>18</v>
      </c>
      <c r="L43" s="38" t="s">
        <v>19</v>
      </c>
      <c r="M43" s="38" t="s">
        <v>20</v>
      </c>
      <c r="N43" s="38" t="s">
        <v>21</v>
      </c>
      <c r="O43" s="33" t="s">
        <v>22</v>
      </c>
      <c r="P43" s="34" t="s">
        <v>23</v>
      </c>
      <c r="Q43" s="38" t="s">
        <v>24</v>
      </c>
      <c r="R43" s="33" t="s">
        <v>25</v>
      </c>
    </row>
    <row r="44" spans="1:18" ht="49.9" customHeight="1" thickTop="1" thickBot="1">
      <c r="A44" s="166" t="s">
        <v>415</v>
      </c>
      <c r="B44" s="166" t="s">
        <v>756</v>
      </c>
      <c r="C44" s="167">
        <v>3.8194444444444441E-2</v>
      </c>
      <c r="D44" s="166" t="s">
        <v>63</v>
      </c>
      <c r="E44" s="166" t="s">
        <v>51</v>
      </c>
      <c r="F44" s="166" t="s">
        <v>757</v>
      </c>
      <c r="G44" s="297"/>
      <c r="H44" s="300"/>
      <c r="I44" s="140"/>
      <c r="J44" s="140"/>
      <c r="K44" s="140"/>
      <c r="L44" s="140"/>
      <c r="M44" s="140"/>
      <c r="N44" s="140"/>
      <c r="O44" s="141"/>
      <c r="P44" s="140"/>
      <c r="Q44" s="142"/>
      <c r="R44" s="301"/>
    </row>
    <row r="45" spans="1:18" ht="17.45" customHeight="1" thickBot="1">
      <c r="A45" s="283"/>
      <c r="B45" s="284"/>
      <c r="C45" s="284"/>
      <c r="D45" s="284"/>
      <c r="E45" s="284"/>
      <c r="F45" s="284"/>
      <c r="G45" s="284"/>
      <c r="H45" s="284"/>
      <c r="I45" s="284"/>
      <c r="J45" s="284"/>
      <c r="K45" s="284"/>
      <c r="L45" s="284"/>
      <c r="M45" s="284"/>
      <c r="N45" s="284"/>
      <c r="O45" s="284"/>
      <c r="P45" s="284"/>
      <c r="Q45" s="284"/>
      <c r="R45" s="285"/>
    </row>
    <row r="46" spans="1:18" ht="22.15" customHeight="1" thickTop="1" thickBot="1">
      <c r="A46" s="279" t="s">
        <v>6</v>
      </c>
      <c r="B46" s="295"/>
      <c r="C46" s="295"/>
      <c r="D46" s="295"/>
      <c r="E46" s="295"/>
      <c r="F46" s="296"/>
      <c r="G46" s="32">
        <v>46041</v>
      </c>
      <c r="H46" s="278" t="s">
        <v>7</v>
      </c>
      <c r="I46" s="295"/>
      <c r="J46" s="295"/>
      <c r="K46" s="295"/>
      <c r="L46" s="295"/>
      <c r="M46" s="295"/>
      <c r="N46" s="295"/>
      <c r="O46" s="295"/>
      <c r="P46" s="295"/>
      <c r="Q46" s="295"/>
      <c r="R46" s="296"/>
    </row>
    <row r="47" spans="1:18" ht="24" customHeight="1">
      <c r="A47" s="33" t="s">
        <v>8</v>
      </c>
      <c r="B47" s="33" t="s">
        <v>9</v>
      </c>
      <c r="C47" s="34" t="s">
        <v>10</v>
      </c>
      <c r="D47" s="33" t="s">
        <v>11</v>
      </c>
      <c r="E47" s="33" t="s">
        <v>12</v>
      </c>
      <c r="F47" s="35" t="s">
        <v>13</v>
      </c>
      <c r="G47" s="36" t="s">
        <v>14</v>
      </c>
      <c r="H47" s="33" t="s">
        <v>15</v>
      </c>
      <c r="I47" s="37" t="s">
        <v>16</v>
      </c>
      <c r="J47" s="38" t="s">
        <v>17</v>
      </c>
      <c r="K47" s="39" t="s">
        <v>18</v>
      </c>
      <c r="L47" s="38" t="s">
        <v>19</v>
      </c>
      <c r="M47" s="38" t="s">
        <v>20</v>
      </c>
      <c r="N47" s="38" t="s">
        <v>21</v>
      </c>
      <c r="O47" s="33" t="s">
        <v>22</v>
      </c>
      <c r="P47" s="34" t="s">
        <v>23</v>
      </c>
      <c r="Q47" s="38" t="s">
        <v>24</v>
      </c>
      <c r="R47" s="33" t="s">
        <v>25</v>
      </c>
    </row>
    <row r="48" spans="1:18" ht="49.9" customHeight="1" thickTop="1" thickBot="1">
      <c r="A48" s="87" t="s">
        <v>61</v>
      </c>
      <c r="B48" s="87" t="s">
        <v>758</v>
      </c>
      <c r="C48" s="88">
        <v>0.96180555555555547</v>
      </c>
      <c r="D48" s="87" t="s">
        <v>759</v>
      </c>
      <c r="E48" s="176"/>
      <c r="F48" s="87" t="s">
        <v>760</v>
      </c>
      <c r="G48" s="297"/>
      <c r="H48" s="208" t="s">
        <v>758</v>
      </c>
      <c r="I48" s="209">
        <v>0</v>
      </c>
      <c r="J48" s="210">
        <v>0</v>
      </c>
      <c r="K48" s="211" t="s">
        <v>66</v>
      </c>
      <c r="L48" s="210">
        <v>0</v>
      </c>
      <c r="M48" s="210">
        <v>0</v>
      </c>
      <c r="N48" s="210">
        <v>0</v>
      </c>
      <c r="O48" s="212" t="s">
        <v>761</v>
      </c>
      <c r="P48" s="213">
        <v>0.96180555555555547</v>
      </c>
      <c r="Q48" s="210">
        <v>180</v>
      </c>
      <c r="R48" s="214" t="s">
        <v>66</v>
      </c>
    </row>
    <row r="49" spans="1:18" ht="17.45" customHeight="1" thickBot="1">
      <c r="A49" s="283"/>
      <c r="B49" s="284"/>
      <c r="C49" s="284"/>
      <c r="D49" s="284"/>
      <c r="E49" s="284"/>
      <c r="F49" s="284"/>
      <c r="G49" s="284"/>
      <c r="H49" s="284"/>
      <c r="I49" s="284"/>
      <c r="J49" s="284"/>
      <c r="K49" s="284"/>
      <c r="L49" s="284"/>
      <c r="M49" s="284"/>
      <c r="N49" s="284"/>
      <c r="O49" s="284"/>
      <c r="P49" s="284"/>
      <c r="Q49" s="284"/>
      <c r="R49" s="285"/>
    </row>
    <row r="50" spans="1:18" ht="22.15" customHeight="1" thickTop="1" thickBot="1">
      <c r="A50" s="279" t="s">
        <v>6</v>
      </c>
      <c r="B50" s="295"/>
      <c r="C50" s="295"/>
      <c r="D50" s="295"/>
      <c r="E50" s="295"/>
      <c r="F50" s="296"/>
      <c r="G50" s="32">
        <v>46042</v>
      </c>
      <c r="H50" s="278" t="s">
        <v>7</v>
      </c>
      <c r="I50" s="295"/>
      <c r="J50" s="295"/>
      <c r="K50" s="295"/>
      <c r="L50" s="295"/>
      <c r="M50" s="295"/>
      <c r="N50" s="295"/>
      <c r="O50" s="295"/>
      <c r="P50" s="295"/>
      <c r="Q50" s="295"/>
      <c r="R50" s="296"/>
    </row>
    <row r="51" spans="1:18" ht="24" customHeight="1">
      <c r="A51" s="33" t="s">
        <v>8</v>
      </c>
      <c r="B51" s="33" t="s">
        <v>9</v>
      </c>
      <c r="C51" s="34" t="s">
        <v>10</v>
      </c>
      <c r="D51" s="33" t="s">
        <v>11</v>
      </c>
      <c r="E51" s="33" t="s">
        <v>12</v>
      </c>
      <c r="F51" s="35" t="s">
        <v>13</v>
      </c>
      <c r="G51" s="36" t="s">
        <v>14</v>
      </c>
      <c r="H51" s="33" t="s">
        <v>15</v>
      </c>
      <c r="I51" s="37" t="s">
        <v>16</v>
      </c>
      <c r="J51" s="38" t="s">
        <v>17</v>
      </c>
      <c r="K51" s="39" t="s">
        <v>18</v>
      </c>
      <c r="L51" s="38" t="s">
        <v>19</v>
      </c>
      <c r="M51" s="38" t="s">
        <v>20</v>
      </c>
      <c r="N51" s="38" t="s">
        <v>21</v>
      </c>
      <c r="O51" s="33" t="s">
        <v>22</v>
      </c>
      <c r="P51" s="34" t="s">
        <v>23</v>
      </c>
      <c r="Q51" s="38" t="s">
        <v>24</v>
      </c>
      <c r="R51" s="33" t="s">
        <v>25</v>
      </c>
    </row>
    <row r="52" spans="1:18" ht="49.9" customHeight="1">
      <c r="A52" s="8" t="s">
        <v>415</v>
      </c>
      <c r="B52" s="8" t="s">
        <v>756</v>
      </c>
      <c r="C52" s="9">
        <v>0.59027777777777779</v>
      </c>
      <c r="D52" s="8" t="s">
        <v>63</v>
      </c>
      <c r="E52" s="8" t="s">
        <v>51</v>
      </c>
      <c r="F52" s="8" t="s">
        <v>757</v>
      </c>
      <c r="G52" s="297"/>
      <c r="H52" s="10"/>
      <c r="I52" s="11"/>
      <c r="J52" s="11"/>
      <c r="K52" s="11"/>
      <c r="L52" s="11"/>
      <c r="M52" s="11"/>
      <c r="N52" s="11"/>
      <c r="O52" s="12"/>
      <c r="P52" s="11"/>
      <c r="Q52" s="13"/>
      <c r="R52" s="14"/>
    </row>
    <row r="53" spans="1:18" ht="49.9" customHeight="1">
      <c r="A53" s="78" t="s">
        <v>61</v>
      </c>
      <c r="B53" s="78" t="s">
        <v>762</v>
      </c>
      <c r="C53" s="79">
        <v>0.2638888888888889</v>
      </c>
      <c r="D53" s="78" t="s">
        <v>759</v>
      </c>
      <c r="E53" s="215"/>
      <c r="F53" s="78" t="s">
        <v>760</v>
      </c>
      <c r="G53" s="298"/>
      <c r="H53" s="80" t="s">
        <v>762</v>
      </c>
      <c r="I53" s="81">
        <v>0</v>
      </c>
      <c r="J53" s="82">
        <v>0</v>
      </c>
      <c r="K53" s="83" t="s">
        <v>66</v>
      </c>
      <c r="L53" s="82">
        <v>0</v>
      </c>
      <c r="M53" s="82">
        <v>0</v>
      </c>
      <c r="N53" s="82">
        <v>0</v>
      </c>
      <c r="O53" s="84" t="s">
        <v>761</v>
      </c>
      <c r="P53" s="85">
        <v>0.2638888888888889</v>
      </c>
      <c r="Q53" s="82">
        <v>180</v>
      </c>
      <c r="R53" s="86" t="s">
        <v>66</v>
      </c>
    </row>
    <row r="54" spans="1:18" ht="49.9" customHeight="1">
      <c r="A54" s="158" t="s">
        <v>61</v>
      </c>
      <c r="B54" s="158" t="s">
        <v>763</v>
      </c>
      <c r="C54" s="159">
        <v>0.63888888888888895</v>
      </c>
      <c r="D54" s="158" t="s">
        <v>759</v>
      </c>
      <c r="E54" s="216"/>
      <c r="F54" s="158" t="s">
        <v>760</v>
      </c>
      <c r="G54" s="298"/>
      <c r="H54" s="89" t="s">
        <v>763</v>
      </c>
      <c r="I54" s="90">
        <v>0</v>
      </c>
      <c r="J54" s="91">
        <v>0</v>
      </c>
      <c r="K54" s="92" t="s">
        <v>66</v>
      </c>
      <c r="L54" s="91">
        <v>0</v>
      </c>
      <c r="M54" s="91">
        <v>0</v>
      </c>
      <c r="N54" s="91">
        <v>0</v>
      </c>
      <c r="O54" s="93" t="s">
        <v>761</v>
      </c>
      <c r="P54" s="94">
        <v>0.63888888888888895</v>
      </c>
      <c r="Q54" s="91">
        <v>180</v>
      </c>
      <c r="R54" s="95" t="s">
        <v>66</v>
      </c>
    </row>
    <row r="55" spans="1:18" ht="49.9" customHeight="1" thickBot="1">
      <c r="A55" s="198" t="s">
        <v>61</v>
      </c>
      <c r="B55" s="198" t="s">
        <v>764</v>
      </c>
      <c r="C55" s="199">
        <v>0.79166666666666663</v>
      </c>
      <c r="D55" s="198" t="s">
        <v>759</v>
      </c>
      <c r="E55" s="200"/>
      <c r="F55" s="198" t="s">
        <v>760</v>
      </c>
      <c r="G55" s="299"/>
      <c r="H55" s="201" t="s">
        <v>764</v>
      </c>
      <c r="I55" s="202">
        <v>0</v>
      </c>
      <c r="J55" s="203">
        <v>0</v>
      </c>
      <c r="K55" s="204" t="s">
        <v>66</v>
      </c>
      <c r="L55" s="203">
        <v>0</v>
      </c>
      <c r="M55" s="203">
        <v>0</v>
      </c>
      <c r="N55" s="203">
        <v>0</v>
      </c>
      <c r="O55" s="205" t="s">
        <v>761</v>
      </c>
      <c r="P55" s="206">
        <v>0.79166666666666663</v>
      </c>
      <c r="Q55" s="203">
        <v>180</v>
      </c>
      <c r="R55" s="207" t="s">
        <v>66</v>
      </c>
    </row>
    <row r="56" spans="1:18" ht="17.45" customHeight="1" thickBot="1">
      <c r="A56" s="283"/>
      <c r="B56" s="284"/>
      <c r="C56" s="284"/>
      <c r="D56" s="284"/>
      <c r="E56" s="284"/>
      <c r="F56" s="284"/>
      <c r="G56" s="284"/>
      <c r="H56" s="284"/>
      <c r="I56" s="284"/>
      <c r="J56" s="284"/>
      <c r="K56" s="284"/>
      <c r="L56" s="284"/>
      <c r="M56" s="284"/>
      <c r="N56" s="284"/>
      <c r="O56" s="284"/>
      <c r="P56" s="284"/>
      <c r="Q56" s="284"/>
      <c r="R56" s="285"/>
    </row>
    <row r="57" spans="1:18" ht="22.15" customHeight="1" thickTop="1" thickBot="1">
      <c r="A57" s="279" t="s">
        <v>6</v>
      </c>
      <c r="B57" s="295"/>
      <c r="C57" s="295"/>
      <c r="D57" s="295"/>
      <c r="E57" s="295"/>
      <c r="F57" s="296"/>
      <c r="G57" s="32">
        <v>46043</v>
      </c>
      <c r="H57" s="278" t="s">
        <v>7</v>
      </c>
      <c r="I57" s="295"/>
      <c r="J57" s="295"/>
      <c r="K57" s="295"/>
      <c r="L57" s="295"/>
      <c r="M57" s="295"/>
      <c r="N57" s="295"/>
      <c r="O57" s="295"/>
      <c r="P57" s="295"/>
      <c r="Q57" s="295"/>
      <c r="R57" s="296"/>
    </row>
    <row r="58" spans="1:18" ht="24" customHeight="1">
      <c r="A58" s="33" t="s">
        <v>8</v>
      </c>
      <c r="B58" s="33" t="s">
        <v>9</v>
      </c>
      <c r="C58" s="34" t="s">
        <v>10</v>
      </c>
      <c r="D58" s="33" t="s">
        <v>11</v>
      </c>
      <c r="E58" s="33" t="s">
        <v>12</v>
      </c>
      <c r="F58" s="35" t="s">
        <v>13</v>
      </c>
      <c r="G58" s="36" t="s">
        <v>14</v>
      </c>
      <c r="H58" s="33" t="s">
        <v>15</v>
      </c>
      <c r="I58" s="37" t="s">
        <v>16</v>
      </c>
      <c r="J58" s="38" t="s">
        <v>17</v>
      </c>
      <c r="K58" s="39" t="s">
        <v>18</v>
      </c>
      <c r="L58" s="38" t="s">
        <v>19</v>
      </c>
      <c r="M58" s="38" t="s">
        <v>20</v>
      </c>
      <c r="N58" s="38" t="s">
        <v>21</v>
      </c>
      <c r="O58" s="33" t="s">
        <v>22</v>
      </c>
      <c r="P58" s="34" t="s">
        <v>23</v>
      </c>
      <c r="Q58" s="38" t="s">
        <v>24</v>
      </c>
      <c r="R58" s="33" t="s">
        <v>25</v>
      </c>
    </row>
    <row r="59" spans="1:18" ht="49.9" customHeight="1" thickTop="1" thickBot="1">
      <c r="A59" s="166" t="s">
        <v>415</v>
      </c>
      <c r="B59" s="166" t="s">
        <v>756</v>
      </c>
      <c r="C59" s="167">
        <v>0.42708333333333331</v>
      </c>
      <c r="D59" s="166" t="s">
        <v>63</v>
      </c>
      <c r="E59" s="166" t="s">
        <v>51</v>
      </c>
      <c r="F59" s="166" t="s">
        <v>757</v>
      </c>
      <c r="G59" s="297"/>
      <c r="H59" s="300"/>
      <c r="I59" s="140"/>
      <c r="J59" s="140"/>
      <c r="K59" s="140"/>
      <c r="L59" s="140"/>
      <c r="M59" s="140"/>
      <c r="N59" s="140"/>
      <c r="O59" s="141"/>
      <c r="P59" s="140"/>
      <c r="Q59" s="142"/>
      <c r="R59" s="301"/>
    </row>
    <row r="60" spans="1:18" ht="17.45" customHeight="1" thickBot="1">
      <c r="A60" s="283"/>
      <c r="B60" s="284"/>
      <c r="C60" s="284"/>
      <c r="D60" s="284"/>
      <c r="E60" s="284"/>
      <c r="F60" s="284"/>
      <c r="G60" s="284"/>
      <c r="H60" s="284"/>
      <c r="I60" s="284"/>
      <c r="J60" s="284"/>
      <c r="K60" s="284"/>
      <c r="L60" s="284"/>
      <c r="M60" s="284"/>
      <c r="N60" s="284"/>
      <c r="O60" s="284"/>
      <c r="P60" s="284"/>
      <c r="Q60" s="284"/>
      <c r="R60" s="285"/>
    </row>
    <row r="61" spans="1:18" ht="22.15" customHeight="1" thickTop="1" thickBot="1">
      <c r="A61" s="279" t="s">
        <v>6</v>
      </c>
      <c r="B61" s="295"/>
      <c r="C61" s="295"/>
      <c r="D61" s="295"/>
      <c r="E61" s="295"/>
      <c r="F61" s="296"/>
      <c r="G61" s="32">
        <v>46047</v>
      </c>
      <c r="H61" s="278" t="s">
        <v>7</v>
      </c>
      <c r="I61" s="295"/>
      <c r="J61" s="295"/>
      <c r="K61" s="295"/>
      <c r="L61" s="295"/>
      <c r="M61" s="295"/>
      <c r="N61" s="295"/>
      <c r="O61" s="295"/>
      <c r="P61" s="295"/>
      <c r="Q61" s="295"/>
      <c r="R61" s="296"/>
    </row>
    <row r="62" spans="1:18" ht="24" customHeight="1">
      <c r="A62" s="33" t="s">
        <v>8</v>
      </c>
      <c r="B62" s="33" t="s">
        <v>9</v>
      </c>
      <c r="C62" s="34" t="s">
        <v>10</v>
      </c>
      <c r="D62" s="33" t="s">
        <v>11</v>
      </c>
      <c r="E62" s="33" t="s">
        <v>12</v>
      </c>
      <c r="F62" s="35" t="s">
        <v>13</v>
      </c>
      <c r="G62" s="36" t="s">
        <v>14</v>
      </c>
      <c r="H62" s="33" t="s">
        <v>15</v>
      </c>
      <c r="I62" s="37" t="s">
        <v>16</v>
      </c>
      <c r="J62" s="38" t="s">
        <v>17</v>
      </c>
      <c r="K62" s="39" t="s">
        <v>18</v>
      </c>
      <c r="L62" s="38" t="s">
        <v>19</v>
      </c>
      <c r="M62" s="38" t="s">
        <v>20</v>
      </c>
      <c r="N62" s="38" t="s">
        <v>21</v>
      </c>
      <c r="O62" s="33" t="s">
        <v>22</v>
      </c>
      <c r="P62" s="34" t="s">
        <v>23</v>
      </c>
      <c r="Q62" s="38" t="s">
        <v>24</v>
      </c>
      <c r="R62" s="33" t="s">
        <v>25</v>
      </c>
    </row>
    <row r="63" spans="1:18" ht="49.9" customHeight="1" thickTop="1" thickBot="1">
      <c r="A63" s="166" t="s">
        <v>415</v>
      </c>
      <c r="B63" s="166" t="s">
        <v>756</v>
      </c>
      <c r="C63" s="167">
        <v>3.8194444444444441E-2</v>
      </c>
      <c r="D63" s="166" t="s">
        <v>63</v>
      </c>
      <c r="E63" s="166" t="s">
        <v>51</v>
      </c>
      <c r="F63" s="166" t="s">
        <v>757</v>
      </c>
      <c r="G63" s="297"/>
      <c r="H63" s="300"/>
      <c r="I63" s="140"/>
      <c r="J63" s="140"/>
      <c r="K63" s="140"/>
      <c r="L63" s="140"/>
      <c r="M63" s="140"/>
      <c r="N63" s="140"/>
      <c r="O63" s="141"/>
      <c r="P63" s="140"/>
      <c r="Q63" s="142"/>
      <c r="R63" s="301"/>
    </row>
    <row r="64" spans="1:18" ht="17.45" customHeight="1" thickBot="1">
      <c r="A64" s="283"/>
      <c r="B64" s="284"/>
      <c r="C64" s="284"/>
      <c r="D64" s="284"/>
      <c r="E64" s="284"/>
      <c r="F64" s="284"/>
      <c r="G64" s="284"/>
      <c r="H64" s="284"/>
      <c r="I64" s="284"/>
      <c r="J64" s="284"/>
      <c r="K64" s="284"/>
      <c r="L64" s="284"/>
      <c r="M64" s="284"/>
      <c r="N64" s="284"/>
      <c r="O64" s="284"/>
      <c r="P64" s="284"/>
      <c r="Q64" s="284"/>
      <c r="R64" s="285"/>
    </row>
    <row r="65" spans="1:18" ht="22.15" customHeight="1" thickTop="1" thickBot="1">
      <c r="A65" s="279" t="s">
        <v>6</v>
      </c>
      <c r="B65" s="295"/>
      <c r="C65" s="295"/>
      <c r="D65" s="295"/>
      <c r="E65" s="295"/>
      <c r="F65" s="296"/>
      <c r="G65" s="32">
        <v>46048</v>
      </c>
      <c r="H65" s="278" t="s">
        <v>7</v>
      </c>
      <c r="I65" s="295"/>
      <c r="J65" s="295"/>
      <c r="K65" s="295"/>
      <c r="L65" s="295"/>
      <c r="M65" s="295"/>
      <c r="N65" s="295"/>
      <c r="O65" s="295"/>
      <c r="P65" s="295"/>
      <c r="Q65" s="295"/>
      <c r="R65" s="296"/>
    </row>
    <row r="66" spans="1:18" ht="24" customHeight="1">
      <c r="A66" s="33" t="s">
        <v>8</v>
      </c>
      <c r="B66" s="33" t="s">
        <v>9</v>
      </c>
      <c r="C66" s="34" t="s">
        <v>10</v>
      </c>
      <c r="D66" s="33" t="s">
        <v>11</v>
      </c>
      <c r="E66" s="33" t="s">
        <v>12</v>
      </c>
      <c r="F66" s="35" t="s">
        <v>13</v>
      </c>
      <c r="G66" s="36" t="s">
        <v>14</v>
      </c>
      <c r="H66" s="33" t="s">
        <v>15</v>
      </c>
      <c r="I66" s="37" t="s">
        <v>16</v>
      </c>
      <c r="J66" s="38" t="s">
        <v>17</v>
      </c>
      <c r="K66" s="39" t="s">
        <v>18</v>
      </c>
      <c r="L66" s="38" t="s">
        <v>19</v>
      </c>
      <c r="M66" s="38" t="s">
        <v>20</v>
      </c>
      <c r="N66" s="38" t="s">
        <v>21</v>
      </c>
      <c r="O66" s="33" t="s">
        <v>22</v>
      </c>
      <c r="P66" s="34" t="s">
        <v>23</v>
      </c>
      <c r="Q66" s="38" t="s">
        <v>24</v>
      </c>
      <c r="R66" s="33" t="s">
        <v>25</v>
      </c>
    </row>
    <row r="67" spans="1:18" ht="49.9" customHeight="1" thickTop="1" thickBot="1">
      <c r="A67" s="21" t="s">
        <v>61</v>
      </c>
      <c r="B67" s="21" t="s">
        <v>758</v>
      </c>
      <c r="C67" s="22">
        <v>0.96180555555555547</v>
      </c>
      <c r="D67" s="21" t="s">
        <v>759</v>
      </c>
      <c r="E67" s="217"/>
      <c r="F67" s="21" t="s">
        <v>760</v>
      </c>
      <c r="G67" s="297"/>
      <c r="H67" s="201" t="s">
        <v>758</v>
      </c>
      <c r="I67" s="202">
        <v>0</v>
      </c>
      <c r="J67" s="203">
        <v>0</v>
      </c>
      <c r="K67" s="204" t="s">
        <v>66</v>
      </c>
      <c r="L67" s="203">
        <v>0</v>
      </c>
      <c r="M67" s="203">
        <v>0</v>
      </c>
      <c r="N67" s="203">
        <v>0</v>
      </c>
      <c r="O67" s="205" t="s">
        <v>761</v>
      </c>
      <c r="P67" s="206">
        <v>0.96180555555555547</v>
      </c>
      <c r="Q67" s="203">
        <v>180</v>
      </c>
      <c r="R67" s="207" t="s">
        <v>66</v>
      </c>
    </row>
    <row r="68" spans="1:18" ht="17.45" customHeight="1" thickBot="1">
      <c r="A68" s="283"/>
      <c r="B68" s="284"/>
      <c r="C68" s="284"/>
      <c r="D68" s="284"/>
      <c r="E68" s="284"/>
      <c r="F68" s="284"/>
      <c r="G68" s="284"/>
      <c r="H68" s="284"/>
      <c r="I68" s="284"/>
      <c r="J68" s="284"/>
      <c r="K68" s="284"/>
      <c r="L68" s="284"/>
      <c r="M68" s="284"/>
      <c r="N68" s="284"/>
      <c r="O68" s="284"/>
      <c r="P68" s="284"/>
      <c r="Q68" s="284"/>
      <c r="R68" s="285"/>
    </row>
    <row r="69" spans="1:18" ht="22.15" customHeight="1" thickTop="1" thickBot="1">
      <c r="A69" s="279" t="s">
        <v>6</v>
      </c>
      <c r="B69" s="295"/>
      <c r="C69" s="295"/>
      <c r="D69" s="295"/>
      <c r="E69" s="295"/>
      <c r="F69" s="296"/>
      <c r="G69" s="32">
        <v>46049</v>
      </c>
      <c r="H69" s="278" t="s">
        <v>7</v>
      </c>
      <c r="I69" s="295"/>
      <c r="J69" s="295"/>
      <c r="K69" s="295"/>
      <c r="L69" s="295"/>
      <c r="M69" s="295"/>
      <c r="N69" s="295"/>
      <c r="O69" s="295"/>
      <c r="P69" s="295"/>
      <c r="Q69" s="295"/>
      <c r="R69" s="296"/>
    </row>
    <row r="70" spans="1:18" ht="24" customHeight="1">
      <c r="A70" s="33" t="s">
        <v>8</v>
      </c>
      <c r="B70" s="33" t="s">
        <v>9</v>
      </c>
      <c r="C70" s="34" t="s">
        <v>10</v>
      </c>
      <c r="D70" s="33" t="s">
        <v>11</v>
      </c>
      <c r="E70" s="33" t="s">
        <v>12</v>
      </c>
      <c r="F70" s="35" t="s">
        <v>13</v>
      </c>
      <c r="G70" s="36" t="s">
        <v>14</v>
      </c>
      <c r="H70" s="33" t="s">
        <v>15</v>
      </c>
      <c r="I70" s="37" t="s">
        <v>16</v>
      </c>
      <c r="J70" s="38" t="s">
        <v>17</v>
      </c>
      <c r="K70" s="39" t="s">
        <v>18</v>
      </c>
      <c r="L70" s="38" t="s">
        <v>19</v>
      </c>
      <c r="M70" s="38" t="s">
        <v>20</v>
      </c>
      <c r="N70" s="38" t="s">
        <v>21</v>
      </c>
      <c r="O70" s="33" t="s">
        <v>22</v>
      </c>
      <c r="P70" s="34" t="s">
        <v>23</v>
      </c>
      <c r="Q70" s="38" t="s">
        <v>24</v>
      </c>
      <c r="R70" s="33" t="s">
        <v>25</v>
      </c>
    </row>
    <row r="71" spans="1:18" ht="49.9" customHeight="1">
      <c r="A71" s="8" t="s">
        <v>415</v>
      </c>
      <c r="B71" s="8" t="s">
        <v>756</v>
      </c>
      <c r="C71" s="9">
        <v>0.59027777777777779</v>
      </c>
      <c r="D71" s="8" t="s">
        <v>63</v>
      </c>
      <c r="E71" s="8" t="s">
        <v>51</v>
      </c>
      <c r="F71" s="8" t="s">
        <v>757</v>
      </c>
      <c r="G71" s="302"/>
      <c r="H71" s="10"/>
      <c r="I71" s="11"/>
      <c r="J71" s="11"/>
      <c r="K71" s="11"/>
      <c r="L71" s="11"/>
      <c r="M71" s="11"/>
      <c r="N71" s="11"/>
      <c r="O71" s="12"/>
      <c r="P71" s="11"/>
      <c r="Q71" s="13"/>
      <c r="R71" s="14"/>
    </row>
    <row r="72" spans="1:18" ht="49.9" customHeight="1">
      <c r="A72" s="78" t="s">
        <v>61</v>
      </c>
      <c r="B72" s="78" t="s">
        <v>762</v>
      </c>
      <c r="C72" s="79">
        <v>0.19097222222222221</v>
      </c>
      <c r="D72" s="78" t="s">
        <v>759</v>
      </c>
      <c r="E72" s="215"/>
      <c r="F72" s="78" t="s">
        <v>760</v>
      </c>
      <c r="G72" s="298"/>
      <c r="H72" s="80" t="s">
        <v>762</v>
      </c>
      <c r="I72" s="81">
        <v>0</v>
      </c>
      <c r="J72" s="82">
        <v>0</v>
      </c>
      <c r="K72" s="83" t="s">
        <v>66</v>
      </c>
      <c r="L72" s="82">
        <v>0</v>
      </c>
      <c r="M72" s="82">
        <v>0</v>
      </c>
      <c r="N72" s="82">
        <v>0</v>
      </c>
      <c r="O72" s="84" t="s">
        <v>761</v>
      </c>
      <c r="P72" s="85">
        <v>0.19097222222222221</v>
      </c>
      <c r="Q72" s="82">
        <v>180</v>
      </c>
      <c r="R72" s="86" t="s">
        <v>66</v>
      </c>
    </row>
    <row r="73" spans="1:18" ht="49.9" customHeight="1">
      <c r="A73" s="156" t="s">
        <v>61</v>
      </c>
      <c r="B73" s="156" t="s">
        <v>763</v>
      </c>
      <c r="C73" s="157">
        <v>0.50347222222222221</v>
      </c>
      <c r="D73" s="156" t="s">
        <v>759</v>
      </c>
      <c r="E73" s="218"/>
      <c r="F73" s="156" t="s">
        <v>760</v>
      </c>
      <c r="G73" s="298"/>
      <c r="H73" s="42" t="s">
        <v>763</v>
      </c>
      <c r="I73" s="43">
        <v>0</v>
      </c>
      <c r="J73" s="44">
        <v>0</v>
      </c>
      <c r="K73" s="45" t="s">
        <v>66</v>
      </c>
      <c r="L73" s="44">
        <v>0</v>
      </c>
      <c r="M73" s="44">
        <v>0</v>
      </c>
      <c r="N73" s="44">
        <v>0</v>
      </c>
      <c r="O73" s="46" t="s">
        <v>761</v>
      </c>
      <c r="P73" s="47">
        <v>0.50347222222222221</v>
      </c>
      <c r="Q73" s="44">
        <v>180</v>
      </c>
      <c r="R73" s="48" t="s">
        <v>66</v>
      </c>
    </row>
    <row r="74" spans="1:18" ht="49.9" customHeight="1" thickBot="1">
      <c r="A74" s="219" t="s">
        <v>61</v>
      </c>
      <c r="B74" s="219" t="s">
        <v>764</v>
      </c>
      <c r="C74" s="220">
        <v>0.79166666666666663</v>
      </c>
      <c r="D74" s="219" t="s">
        <v>759</v>
      </c>
      <c r="E74" s="221"/>
      <c r="F74" s="219" t="s">
        <v>760</v>
      </c>
      <c r="G74" s="299"/>
      <c r="H74" s="222" t="s">
        <v>764</v>
      </c>
      <c r="I74" s="223">
        <v>0</v>
      </c>
      <c r="J74" s="224">
        <v>0</v>
      </c>
      <c r="K74" s="225" t="s">
        <v>66</v>
      </c>
      <c r="L74" s="224">
        <v>0</v>
      </c>
      <c r="M74" s="224">
        <v>0</v>
      </c>
      <c r="N74" s="224">
        <v>0</v>
      </c>
      <c r="O74" s="226" t="s">
        <v>761</v>
      </c>
      <c r="P74" s="227">
        <v>0.79166666666666663</v>
      </c>
      <c r="Q74" s="224">
        <v>180</v>
      </c>
      <c r="R74" s="228" t="s">
        <v>66</v>
      </c>
    </row>
    <row r="75" spans="1:18" ht="17.45" customHeight="1" thickBot="1">
      <c r="A75" s="283"/>
      <c r="B75" s="284"/>
      <c r="C75" s="284"/>
      <c r="D75" s="284"/>
      <c r="E75" s="284"/>
      <c r="F75" s="284"/>
      <c r="G75" s="284"/>
      <c r="H75" s="284"/>
      <c r="I75" s="284"/>
      <c r="J75" s="284"/>
      <c r="K75" s="284"/>
      <c r="L75" s="284"/>
      <c r="M75" s="284"/>
      <c r="N75" s="284"/>
      <c r="O75" s="284"/>
      <c r="P75" s="284"/>
      <c r="Q75" s="284"/>
      <c r="R75" s="285"/>
    </row>
    <row r="76" spans="1:18" ht="22.15" customHeight="1" thickTop="1" thickBot="1">
      <c r="A76" s="279" t="s">
        <v>6</v>
      </c>
      <c r="B76" s="295"/>
      <c r="C76" s="295"/>
      <c r="D76" s="295"/>
      <c r="E76" s="295"/>
      <c r="F76" s="296"/>
      <c r="G76" s="32">
        <v>46050</v>
      </c>
      <c r="H76" s="278" t="s">
        <v>7</v>
      </c>
      <c r="I76" s="295"/>
      <c r="J76" s="295"/>
      <c r="K76" s="295"/>
      <c r="L76" s="295"/>
      <c r="M76" s="295"/>
      <c r="N76" s="295"/>
      <c r="O76" s="295"/>
      <c r="P76" s="295"/>
      <c r="Q76" s="295"/>
      <c r="R76" s="296"/>
    </row>
    <row r="77" spans="1:18" ht="24" customHeight="1">
      <c r="A77" s="33" t="s">
        <v>8</v>
      </c>
      <c r="B77" s="33" t="s">
        <v>9</v>
      </c>
      <c r="C77" s="34" t="s">
        <v>10</v>
      </c>
      <c r="D77" s="33" t="s">
        <v>11</v>
      </c>
      <c r="E77" s="33" t="s">
        <v>12</v>
      </c>
      <c r="F77" s="35" t="s">
        <v>13</v>
      </c>
      <c r="G77" s="36" t="s">
        <v>14</v>
      </c>
      <c r="H77" s="33" t="s">
        <v>15</v>
      </c>
      <c r="I77" s="37" t="s">
        <v>16</v>
      </c>
      <c r="J77" s="38" t="s">
        <v>17</v>
      </c>
      <c r="K77" s="39" t="s">
        <v>18</v>
      </c>
      <c r="L77" s="38" t="s">
        <v>19</v>
      </c>
      <c r="M77" s="38" t="s">
        <v>20</v>
      </c>
      <c r="N77" s="38" t="s">
        <v>21</v>
      </c>
      <c r="O77" s="33" t="s">
        <v>22</v>
      </c>
      <c r="P77" s="34" t="s">
        <v>23</v>
      </c>
      <c r="Q77" s="38" t="s">
        <v>24</v>
      </c>
      <c r="R77" s="33" t="s">
        <v>25</v>
      </c>
    </row>
    <row r="78" spans="1:18" ht="49.9" customHeight="1" thickTop="1" thickBot="1">
      <c r="A78" s="166" t="s">
        <v>415</v>
      </c>
      <c r="B78" s="166" t="s">
        <v>756</v>
      </c>
      <c r="C78" s="167">
        <v>0.42708333333333331</v>
      </c>
      <c r="D78" s="166" t="s">
        <v>63</v>
      </c>
      <c r="E78" s="166" t="s">
        <v>51</v>
      </c>
      <c r="F78" s="166" t="s">
        <v>757</v>
      </c>
      <c r="G78" s="302"/>
      <c r="H78" s="300"/>
      <c r="I78" s="140"/>
      <c r="J78" s="140"/>
      <c r="K78" s="140"/>
      <c r="L78" s="140"/>
      <c r="M78" s="140"/>
      <c r="N78" s="140"/>
      <c r="O78" s="141"/>
      <c r="P78" s="140"/>
      <c r="Q78" s="142"/>
      <c r="R78" s="301"/>
    </row>
    <row r="79" spans="1:18" ht="17.45" customHeight="1" thickBot="1">
      <c r="A79" s="283"/>
      <c r="B79" s="284"/>
      <c r="C79" s="284"/>
      <c r="D79" s="284"/>
      <c r="E79" s="284"/>
      <c r="F79" s="284"/>
      <c r="G79" s="284"/>
      <c r="H79" s="284"/>
      <c r="I79" s="284"/>
      <c r="J79" s="284"/>
      <c r="K79" s="284"/>
      <c r="L79" s="284"/>
      <c r="M79" s="284"/>
      <c r="N79" s="284"/>
      <c r="O79" s="284"/>
      <c r="P79" s="284"/>
      <c r="Q79" s="284"/>
      <c r="R79" s="285"/>
    </row>
    <row r="80" spans="1:18" ht="15" thickTop="1"/>
  </sheetData>
  <mergeCells count="71">
    <mergeCell ref="A7:R7"/>
    <mergeCell ref="G52:G55"/>
    <mergeCell ref="A41:R41"/>
    <mergeCell ref="H38:R38"/>
    <mergeCell ref="G29"/>
    <mergeCell ref="A27:F27"/>
    <mergeCell ref="A50:F50"/>
    <mergeCell ref="H1:L1"/>
    <mergeCell ref="A1:E1"/>
    <mergeCell ref="G25"/>
    <mergeCell ref="A12:F12"/>
    <mergeCell ref="A37:R37"/>
    <mergeCell ref="A2:F2"/>
    <mergeCell ref="A3:R3"/>
    <mergeCell ref="G2:J2"/>
    <mergeCell ref="N1:R1"/>
    <mergeCell ref="K2:R2"/>
    <mergeCell ref="G10"/>
    <mergeCell ref="G6"/>
    <mergeCell ref="H27:R27"/>
    <mergeCell ref="A30:R30"/>
    <mergeCell ref="A11:R11"/>
    <mergeCell ref="H23:R23"/>
    <mergeCell ref="A75:R75"/>
    <mergeCell ref="H4:R4"/>
    <mergeCell ref="G44"/>
    <mergeCell ref="H50:R50"/>
    <mergeCell ref="A18:R18"/>
    <mergeCell ref="G40"/>
    <mergeCell ref="A56:R56"/>
    <mergeCell ref="A26:R26"/>
    <mergeCell ref="H31:R31"/>
    <mergeCell ref="A42:F42"/>
    <mergeCell ref="A57:F57"/>
    <mergeCell ref="A4:F4"/>
    <mergeCell ref="A68:R68"/>
    <mergeCell ref="H19:R19"/>
    <mergeCell ref="H57:R57"/>
    <mergeCell ref="H8:R8"/>
    <mergeCell ref="G67"/>
    <mergeCell ref="G14:G17"/>
    <mergeCell ref="H61:R61"/>
    <mergeCell ref="H69:R69"/>
    <mergeCell ref="A19:F19"/>
    <mergeCell ref="G48"/>
    <mergeCell ref="A31:F31"/>
    <mergeCell ref="G63"/>
    <mergeCell ref="A46:F46"/>
    <mergeCell ref="G21"/>
    <mergeCell ref="A8:F8"/>
    <mergeCell ref="H46:R46"/>
    <mergeCell ref="G59"/>
    <mergeCell ref="G33:G36"/>
    <mergeCell ref="A22:R22"/>
    <mergeCell ref="A38:F38"/>
    <mergeCell ref="H65:R65"/>
    <mergeCell ref="A64:R64"/>
    <mergeCell ref="G78"/>
    <mergeCell ref="A79:R79"/>
    <mergeCell ref="H12:R12"/>
    <mergeCell ref="A49:R49"/>
    <mergeCell ref="A60:R60"/>
    <mergeCell ref="A61:F61"/>
    <mergeCell ref="H76:R76"/>
    <mergeCell ref="A45:R45"/>
    <mergeCell ref="H42:R42"/>
    <mergeCell ref="A69:F69"/>
    <mergeCell ref="A65:F65"/>
    <mergeCell ref="G71:G74"/>
    <mergeCell ref="A76:F76"/>
    <mergeCell ref="A23:F23"/>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J18"/>
  <sheetViews>
    <sheetView workbookViewId="0"/>
  </sheetViews>
  <sheetFormatPr defaultColWidth="8.85546875" defaultRowHeight="15.6" outlineLevelCol="1"/>
  <cols>
    <col min="1" max="1" width="8.7109375" style="266" bestFit="1" customWidth="1"/>
    <col min="2" max="2" width="9.7109375" style="266" bestFit="1" customWidth="1"/>
    <col min="3" max="3" width="6.7109375" style="266" bestFit="1" customWidth="1"/>
    <col min="4" max="4" width="5.5703125" style="266" bestFit="1" customWidth="1"/>
    <col min="5" max="5" width="7.7109375" style="266" bestFit="1" customWidth="1"/>
    <col min="6" max="6" width="4.28515625" style="266" bestFit="1" customWidth="1"/>
    <col min="7" max="7" width="8.42578125" style="266" bestFit="1" customWidth="1"/>
    <col min="8" max="8" width="8.5703125" style="266" bestFit="1" customWidth="1"/>
    <col min="9" max="10" width="7" style="266" bestFit="1" customWidth="1"/>
    <col min="11" max="11" width="10.5703125" style="266" bestFit="1" customWidth="1"/>
    <col min="12" max="12" width="9"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240</v>
      </c>
      <c r="B2" s="268">
        <v>46027</v>
      </c>
      <c r="C2" s="269" t="s">
        <v>758</v>
      </c>
      <c r="D2" s="270" t="s">
        <v>765</v>
      </c>
      <c r="E2" s="269" t="s">
        <v>755</v>
      </c>
      <c r="F2" s="269" t="s">
        <v>232</v>
      </c>
      <c r="G2" s="271">
        <v>0</v>
      </c>
      <c r="H2" s="272">
        <v>180</v>
      </c>
      <c r="I2" s="272">
        <v>0</v>
      </c>
      <c r="J2" s="272">
        <v>0</v>
      </c>
      <c r="K2" s="269" t="s">
        <v>233</v>
      </c>
      <c r="L2" s="273" t="s">
        <v>66</v>
      </c>
      <c r="M2" s="272">
        <v>0</v>
      </c>
      <c r="N2" s="272">
        <v>0</v>
      </c>
      <c r="O2" s="272">
        <v>0</v>
      </c>
      <c r="P2" s="269" t="s">
        <v>761</v>
      </c>
      <c r="Q2" s="265"/>
      <c r="R2" s="265"/>
      <c r="S2" s="265"/>
      <c r="T2" s="265"/>
      <c r="U2" s="265"/>
      <c r="V2" s="265"/>
      <c r="W2" s="265"/>
      <c r="X2" s="265"/>
      <c r="Y2" s="265"/>
      <c r="Z2" s="265"/>
      <c r="AA2" s="265"/>
      <c r="AB2" s="265"/>
      <c r="AC2" s="265"/>
      <c r="AD2" s="265"/>
      <c r="AE2" s="265"/>
      <c r="AF2" s="265"/>
      <c r="AG2" s="265"/>
      <c r="AH2" s="265"/>
      <c r="AI2" s="265"/>
      <c r="AJ2" s="265"/>
    </row>
    <row r="3" spans="1:36">
      <c r="A3" s="267" t="s">
        <v>242</v>
      </c>
      <c r="B3" s="268">
        <v>46028</v>
      </c>
      <c r="C3" s="269" t="s">
        <v>762</v>
      </c>
      <c r="D3" s="270" t="s">
        <v>766</v>
      </c>
      <c r="E3" s="269" t="s">
        <v>755</v>
      </c>
      <c r="F3" s="269" t="s">
        <v>232</v>
      </c>
      <c r="G3" s="271">
        <v>0</v>
      </c>
      <c r="H3" s="272">
        <v>180</v>
      </c>
      <c r="I3" s="272">
        <v>0</v>
      </c>
      <c r="J3" s="272">
        <v>0</v>
      </c>
      <c r="K3" s="269" t="s">
        <v>233</v>
      </c>
      <c r="L3" s="273" t="s">
        <v>66</v>
      </c>
      <c r="M3" s="272">
        <v>0</v>
      </c>
      <c r="N3" s="272">
        <v>0</v>
      </c>
      <c r="O3" s="272">
        <v>0</v>
      </c>
      <c r="P3" s="269" t="s">
        <v>761</v>
      </c>
      <c r="Q3" s="265"/>
      <c r="R3" s="265"/>
      <c r="S3" s="265"/>
      <c r="T3" s="265"/>
      <c r="U3" s="265"/>
      <c r="V3" s="265"/>
      <c r="W3" s="265"/>
      <c r="X3" s="265"/>
      <c r="Y3" s="265"/>
      <c r="Z3" s="265"/>
      <c r="AA3" s="265"/>
      <c r="AB3" s="265"/>
      <c r="AC3" s="265"/>
      <c r="AD3" s="265"/>
      <c r="AE3" s="265"/>
      <c r="AF3" s="265"/>
      <c r="AG3" s="265"/>
      <c r="AH3" s="265"/>
      <c r="AI3" s="265"/>
      <c r="AJ3" s="265"/>
    </row>
    <row r="4" spans="1:36">
      <c r="A4" s="267" t="s">
        <v>242</v>
      </c>
      <c r="B4" s="268">
        <v>46028</v>
      </c>
      <c r="C4" s="269" t="s">
        <v>763</v>
      </c>
      <c r="D4" s="270" t="s">
        <v>767</v>
      </c>
      <c r="E4" s="269" t="s">
        <v>755</v>
      </c>
      <c r="F4" s="269" t="s">
        <v>232</v>
      </c>
      <c r="G4" s="271">
        <v>0</v>
      </c>
      <c r="H4" s="272">
        <v>180</v>
      </c>
      <c r="I4" s="272">
        <v>0</v>
      </c>
      <c r="J4" s="272">
        <v>0</v>
      </c>
      <c r="K4" s="269" t="s">
        <v>233</v>
      </c>
      <c r="L4" s="273" t="s">
        <v>66</v>
      </c>
      <c r="M4" s="272">
        <v>0</v>
      </c>
      <c r="N4" s="272">
        <v>0</v>
      </c>
      <c r="O4" s="272">
        <v>0</v>
      </c>
      <c r="P4" s="269" t="s">
        <v>761</v>
      </c>
      <c r="Q4" s="265"/>
      <c r="R4" s="265"/>
      <c r="S4" s="265"/>
      <c r="T4" s="265"/>
      <c r="U4" s="265"/>
      <c r="V4" s="265"/>
      <c r="W4" s="265"/>
      <c r="X4" s="265"/>
      <c r="Y4" s="265"/>
      <c r="Z4" s="265"/>
      <c r="AA4" s="265"/>
      <c r="AB4" s="265"/>
      <c r="AC4" s="265"/>
      <c r="AD4" s="265"/>
      <c r="AE4" s="265"/>
      <c r="AF4" s="265"/>
      <c r="AG4" s="265"/>
      <c r="AH4" s="265"/>
      <c r="AI4" s="265"/>
      <c r="AJ4" s="265"/>
    </row>
    <row r="5" spans="1:36">
      <c r="A5" s="267" t="s">
        <v>242</v>
      </c>
      <c r="B5" s="268">
        <v>46028</v>
      </c>
      <c r="C5" s="269" t="s">
        <v>764</v>
      </c>
      <c r="D5" s="270" t="s">
        <v>579</v>
      </c>
      <c r="E5" s="269" t="s">
        <v>755</v>
      </c>
      <c r="F5" s="269" t="s">
        <v>232</v>
      </c>
      <c r="G5" s="271">
        <v>0</v>
      </c>
      <c r="H5" s="272">
        <v>180</v>
      </c>
      <c r="I5" s="272">
        <v>0</v>
      </c>
      <c r="J5" s="272">
        <v>0</v>
      </c>
      <c r="K5" s="269" t="s">
        <v>233</v>
      </c>
      <c r="L5" s="273" t="s">
        <v>66</v>
      </c>
      <c r="M5" s="272">
        <v>0</v>
      </c>
      <c r="N5" s="272">
        <v>0</v>
      </c>
      <c r="O5" s="272">
        <v>0</v>
      </c>
      <c r="P5" s="269" t="s">
        <v>761</v>
      </c>
      <c r="Q5" s="265"/>
      <c r="R5" s="265"/>
      <c r="S5" s="265"/>
      <c r="T5" s="265"/>
      <c r="U5" s="265"/>
      <c r="V5" s="265"/>
      <c r="W5" s="265"/>
      <c r="X5" s="265"/>
      <c r="Y5" s="265"/>
      <c r="Z5" s="265"/>
      <c r="AA5" s="265"/>
      <c r="AB5" s="265"/>
      <c r="AC5" s="265"/>
      <c r="AD5" s="265"/>
      <c r="AE5" s="265"/>
      <c r="AF5" s="265"/>
      <c r="AG5" s="265"/>
      <c r="AH5" s="265"/>
      <c r="AI5" s="265"/>
      <c r="AJ5" s="265"/>
    </row>
    <row r="6" spans="1:36">
      <c r="A6" s="267" t="s">
        <v>240</v>
      </c>
      <c r="B6" s="268">
        <v>46034</v>
      </c>
      <c r="C6" s="269" t="s">
        <v>758</v>
      </c>
      <c r="D6" s="270" t="s">
        <v>765</v>
      </c>
      <c r="E6" s="269" t="s">
        <v>755</v>
      </c>
      <c r="F6" s="269" t="s">
        <v>232</v>
      </c>
      <c r="G6" s="271">
        <v>0</v>
      </c>
      <c r="H6" s="272">
        <v>180</v>
      </c>
      <c r="I6" s="272">
        <v>0</v>
      </c>
      <c r="J6" s="272">
        <v>0</v>
      </c>
      <c r="K6" s="269" t="s">
        <v>233</v>
      </c>
      <c r="L6" s="273" t="s">
        <v>66</v>
      </c>
      <c r="M6" s="272">
        <v>0</v>
      </c>
      <c r="N6" s="272">
        <v>0</v>
      </c>
      <c r="O6" s="272">
        <v>0</v>
      </c>
      <c r="P6" s="269" t="s">
        <v>761</v>
      </c>
      <c r="Q6" s="265"/>
      <c r="R6" s="265"/>
      <c r="S6" s="265"/>
      <c r="T6" s="265"/>
      <c r="U6" s="265"/>
      <c r="V6" s="265"/>
      <c r="W6" s="265"/>
      <c r="X6" s="265"/>
      <c r="Y6" s="265"/>
      <c r="Z6" s="265"/>
      <c r="AA6" s="265"/>
      <c r="AB6" s="265"/>
      <c r="AC6" s="265"/>
      <c r="AD6" s="265"/>
      <c r="AE6" s="265"/>
      <c r="AF6" s="265"/>
      <c r="AG6" s="265"/>
      <c r="AH6" s="265"/>
      <c r="AI6" s="265"/>
      <c r="AJ6" s="265"/>
    </row>
    <row r="7" spans="1:36">
      <c r="A7" s="267" t="s">
        <v>242</v>
      </c>
      <c r="B7" s="268">
        <v>46035</v>
      </c>
      <c r="C7" s="269" t="s">
        <v>762</v>
      </c>
      <c r="D7" s="270" t="s">
        <v>768</v>
      </c>
      <c r="E7" s="269" t="s">
        <v>755</v>
      </c>
      <c r="F7" s="269" t="s">
        <v>232</v>
      </c>
      <c r="G7" s="271">
        <v>0</v>
      </c>
      <c r="H7" s="272">
        <v>180</v>
      </c>
      <c r="I7" s="272">
        <v>0</v>
      </c>
      <c r="J7" s="272">
        <v>0</v>
      </c>
      <c r="K7" s="269" t="s">
        <v>233</v>
      </c>
      <c r="L7" s="273" t="s">
        <v>66</v>
      </c>
      <c r="M7" s="272">
        <v>0</v>
      </c>
      <c r="N7" s="272">
        <v>0</v>
      </c>
      <c r="O7" s="272">
        <v>0</v>
      </c>
      <c r="P7" s="269" t="s">
        <v>761</v>
      </c>
      <c r="Q7" s="265"/>
      <c r="R7" s="265"/>
      <c r="S7" s="265"/>
      <c r="T7" s="265"/>
      <c r="U7" s="265"/>
      <c r="V7" s="265"/>
      <c r="W7" s="265"/>
      <c r="X7" s="265"/>
      <c r="Y7" s="265"/>
      <c r="Z7" s="265"/>
      <c r="AA7" s="265"/>
      <c r="AB7" s="265"/>
      <c r="AC7" s="265"/>
      <c r="AD7" s="265"/>
      <c r="AE7" s="265"/>
      <c r="AF7" s="265"/>
      <c r="AG7" s="265"/>
      <c r="AH7" s="265"/>
      <c r="AI7" s="265"/>
      <c r="AJ7" s="265"/>
    </row>
    <row r="8" spans="1:36">
      <c r="A8" s="267" t="s">
        <v>242</v>
      </c>
      <c r="B8" s="268">
        <v>46035</v>
      </c>
      <c r="C8" s="269" t="s">
        <v>763</v>
      </c>
      <c r="D8" s="270" t="s">
        <v>769</v>
      </c>
      <c r="E8" s="269" t="s">
        <v>755</v>
      </c>
      <c r="F8" s="269" t="s">
        <v>232</v>
      </c>
      <c r="G8" s="271">
        <v>0</v>
      </c>
      <c r="H8" s="272">
        <v>180</v>
      </c>
      <c r="I8" s="272">
        <v>0</v>
      </c>
      <c r="J8" s="272">
        <v>0</v>
      </c>
      <c r="K8" s="269" t="s">
        <v>233</v>
      </c>
      <c r="L8" s="273" t="s">
        <v>66</v>
      </c>
      <c r="M8" s="272">
        <v>0</v>
      </c>
      <c r="N8" s="272">
        <v>0</v>
      </c>
      <c r="O8" s="272">
        <v>0</v>
      </c>
      <c r="P8" s="269" t="s">
        <v>761</v>
      </c>
      <c r="Q8" s="265"/>
      <c r="R8" s="265"/>
      <c r="S8" s="265"/>
      <c r="T8" s="265"/>
      <c r="U8" s="265"/>
      <c r="V8" s="265"/>
      <c r="W8" s="265"/>
      <c r="X8" s="265"/>
      <c r="Y8" s="265"/>
      <c r="Z8" s="265"/>
      <c r="AA8" s="265"/>
      <c r="AB8" s="265"/>
      <c r="AC8" s="265"/>
      <c r="AD8" s="265"/>
      <c r="AE8" s="265"/>
      <c r="AF8" s="265"/>
      <c r="AG8" s="265"/>
      <c r="AH8" s="265"/>
      <c r="AI8" s="265"/>
      <c r="AJ8" s="265"/>
    </row>
    <row r="9" spans="1:36">
      <c r="A9" s="267" t="s">
        <v>242</v>
      </c>
      <c r="B9" s="268">
        <v>46035</v>
      </c>
      <c r="C9" s="269" t="s">
        <v>764</v>
      </c>
      <c r="D9" s="270" t="s">
        <v>579</v>
      </c>
      <c r="E9" s="269" t="s">
        <v>755</v>
      </c>
      <c r="F9" s="269" t="s">
        <v>232</v>
      </c>
      <c r="G9" s="271">
        <v>0</v>
      </c>
      <c r="H9" s="272">
        <v>180</v>
      </c>
      <c r="I9" s="272">
        <v>0</v>
      </c>
      <c r="J9" s="272">
        <v>0</v>
      </c>
      <c r="K9" s="269" t="s">
        <v>233</v>
      </c>
      <c r="L9" s="273" t="s">
        <v>66</v>
      </c>
      <c r="M9" s="272">
        <v>0</v>
      </c>
      <c r="N9" s="272">
        <v>0</v>
      </c>
      <c r="O9" s="272">
        <v>0</v>
      </c>
      <c r="P9" s="269" t="s">
        <v>761</v>
      </c>
      <c r="Q9" s="265"/>
      <c r="R9" s="265"/>
      <c r="S9" s="265"/>
      <c r="T9" s="265"/>
      <c r="U9" s="265"/>
      <c r="V9" s="265"/>
      <c r="W9" s="265"/>
      <c r="X9" s="265"/>
      <c r="Y9" s="265"/>
      <c r="Z9" s="265"/>
      <c r="AA9" s="265"/>
      <c r="AB9" s="265"/>
      <c r="AC9" s="265"/>
      <c r="AD9" s="265"/>
      <c r="AE9" s="265"/>
      <c r="AF9" s="265"/>
      <c r="AG9" s="265"/>
      <c r="AH9" s="265"/>
      <c r="AI9" s="265"/>
      <c r="AJ9" s="265"/>
    </row>
    <row r="10" spans="1:36">
      <c r="A10" s="267" t="s">
        <v>240</v>
      </c>
      <c r="B10" s="268">
        <v>46041</v>
      </c>
      <c r="C10" s="269" t="s">
        <v>758</v>
      </c>
      <c r="D10" s="270" t="s">
        <v>765</v>
      </c>
      <c r="E10" s="269" t="s">
        <v>755</v>
      </c>
      <c r="F10" s="269" t="s">
        <v>232</v>
      </c>
      <c r="G10" s="271">
        <v>0</v>
      </c>
      <c r="H10" s="272">
        <v>180</v>
      </c>
      <c r="I10" s="272">
        <v>0</v>
      </c>
      <c r="J10" s="272">
        <v>0</v>
      </c>
      <c r="K10" s="269" t="s">
        <v>233</v>
      </c>
      <c r="L10" s="273" t="s">
        <v>66</v>
      </c>
      <c r="M10" s="272">
        <v>0</v>
      </c>
      <c r="N10" s="272">
        <v>0</v>
      </c>
      <c r="O10" s="272">
        <v>0</v>
      </c>
      <c r="P10" s="269" t="s">
        <v>761</v>
      </c>
      <c r="Q10" s="265"/>
      <c r="R10" s="265"/>
      <c r="S10" s="265"/>
      <c r="T10" s="265"/>
      <c r="U10" s="265"/>
      <c r="V10" s="265"/>
      <c r="W10" s="265"/>
      <c r="X10" s="265"/>
      <c r="Y10" s="265"/>
      <c r="Z10" s="265"/>
      <c r="AA10" s="265"/>
      <c r="AB10" s="265"/>
      <c r="AC10" s="265"/>
      <c r="AD10" s="265"/>
      <c r="AE10" s="265"/>
      <c r="AF10" s="265"/>
      <c r="AG10" s="265"/>
      <c r="AH10" s="265"/>
      <c r="AI10" s="265"/>
      <c r="AJ10" s="265"/>
    </row>
    <row r="11" spans="1:36">
      <c r="A11" s="267" t="s">
        <v>242</v>
      </c>
      <c r="B11" s="268">
        <v>46042</v>
      </c>
      <c r="C11" s="269" t="s">
        <v>762</v>
      </c>
      <c r="D11" s="270" t="s">
        <v>766</v>
      </c>
      <c r="E11" s="269" t="s">
        <v>755</v>
      </c>
      <c r="F11" s="269" t="s">
        <v>232</v>
      </c>
      <c r="G11" s="271">
        <v>0</v>
      </c>
      <c r="H11" s="272">
        <v>180</v>
      </c>
      <c r="I11" s="272">
        <v>0</v>
      </c>
      <c r="J11" s="272">
        <v>0</v>
      </c>
      <c r="K11" s="269" t="s">
        <v>233</v>
      </c>
      <c r="L11" s="273" t="s">
        <v>66</v>
      </c>
      <c r="M11" s="272">
        <v>0</v>
      </c>
      <c r="N11" s="272">
        <v>0</v>
      </c>
      <c r="O11" s="272">
        <v>0</v>
      </c>
      <c r="P11" s="269" t="s">
        <v>761</v>
      </c>
      <c r="Q11" s="265"/>
      <c r="R11" s="265"/>
      <c r="S11" s="265"/>
      <c r="T11" s="265"/>
      <c r="U11" s="265"/>
      <c r="V11" s="265"/>
      <c r="W11" s="265"/>
      <c r="X11" s="265"/>
      <c r="Y11" s="265"/>
      <c r="Z11" s="265"/>
      <c r="AA11" s="265"/>
      <c r="AB11" s="265"/>
      <c r="AC11" s="265"/>
      <c r="AD11" s="265"/>
      <c r="AE11" s="265"/>
      <c r="AF11" s="265"/>
      <c r="AG11" s="265"/>
      <c r="AH11" s="265"/>
      <c r="AI11" s="265"/>
      <c r="AJ11" s="265"/>
    </row>
    <row r="12" spans="1:36">
      <c r="A12" s="267" t="s">
        <v>242</v>
      </c>
      <c r="B12" s="268">
        <v>46042</v>
      </c>
      <c r="C12" s="269" t="s">
        <v>763</v>
      </c>
      <c r="D12" s="270" t="s">
        <v>767</v>
      </c>
      <c r="E12" s="269" t="s">
        <v>755</v>
      </c>
      <c r="F12" s="269" t="s">
        <v>232</v>
      </c>
      <c r="G12" s="271">
        <v>0</v>
      </c>
      <c r="H12" s="272">
        <v>180</v>
      </c>
      <c r="I12" s="272">
        <v>0</v>
      </c>
      <c r="J12" s="272">
        <v>0</v>
      </c>
      <c r="K12" s="269" t="s">
        <v>233</v>
      </c>
      <c r="L12" s="273" t="s">
        <v>66</v>
      </c>
      <c r="M12" s="272">
        <v>0</v>
      </c>
      <c r="N12" s="272">
        <v>0</v>
      </c>
      <c r="O12" s="272">
        <v>0</v>
      </c>
      <c r="P12" s="269" t="s">
        <v>761</v>
      </c>
      <c r="Q12" s="265"/>
      <c r="R12" s="265"/>
      <c r="S12" s="265"/>
      <c r="T12" s="265"/>
      <c r="U12" s="265"/>
      <c r="V12" s="265"/>
      <c r="W12" s="265"/>
      <c r="X12" s="265"/>
      <c r="Y12" s="265"/>
      <c r="Z12" s="265"/>
      <c r="AA12" s="265"/>
      <c r="AB12" s="265"/>
      <c r="AC12" s="265"/>
      <c r="AD12" s="265"/>
      <c r="AE12" s="265"/>
      <c r="AF12" s="265"/>
      <c r="AG12" s="265"/>
      <c r="AH12" s="265"/>
      <c r="AI12" s="265"/>
      <c r="AJ12" s="265"/>
    </row>
    <row r="13" spans="1:36">
      <c r="A13" s="267" t="s">
        <v>242</v>
      </c>
      <c r="B13" s="268">
        <v>46042</v>
      </c>
      <c r="C13" s="269" t="s">
        <v>764</v>
      </c>
      <c r="D13" s="270" t="s">
        <v>579</v>
      </c>
      <c r="E13" s="269" t="s">
        <v>755</v>
      </c>
      <c r="F13" s="269" t="s">
        <v>232</v>
      </c>
      <c r="G13" s="271">
        <v>0</v>
      </c>
      <c r="H13" s="272">
        <v>180</v>
      </c>
      <c r="I13" s="272">
        <v>0</v>
      </c>
      <c r="J13" s="272">
        <v>0</v>
      </c>
      <c r="K13" s="269" t="s">
        <v>233</v>
      </c>
      <c r="L13" s="273" t="s">
        <v>66</v>
      </c>
      <c r="M13" s="272">
        <v>0</v>
      </c>
      <c r="N13" s="272">
        <v>0</v>
      </c>
      <c r="O13" s="272">
        <v>0</v>
      </c>
      <c r="P13" s="269" t="s">
        <v>761</v>
      </c>
      <c r="Q13" s="265"/>
      <c r="R13" s="265"/>
      <c r="S13" s="265"/>
      <c r="T13" s="265"/>
      <c r="U13" s="265"/>
      <c r="V13" s="265"/>
      <c r="W13" s="265"/>
      <c r="X13" s="265"/>
      <c r="Y13" s="265"/>
      <c r="Z13" s="265"/>
      <c r="AA13" s="265"/>
      <c r="AB13" s="265"/>
      <c r="AC13" s="265"/>
      <c r="AD13" s="265"/>
      <c r="AE13" s="265"/>
      <c r="AF13" s="265"/>
      <c r="AG13" s="265"/>
      <c r="AH13" s="265"/>
      <c r="AI13" s="265"/>
      <c r="AJ13" s="265"/>
    </row>
    <row r="14" spans="1:36">
      <c r="A14" s="267" t="s">
        <v>240</v>
      </c>
      <c r="B14" s="268">
        <v>46048</v>
      </c>
      <c r="C14" s="269" t="s">
        <v>758</v>
      </c>
      <c r="D14" s="270" t="s">
        <v>765</v>
      </c>
      <c r="E14" s="269" t="s">
        <v>755</v>
      </c>
      <c r="F14" s="269" t="s">
        <v>232</v>
      </c>
      <c r="G14" s="271">
        <v>0</v>
      </c>
      <c r="H14" s="272">
        <v>180</v>
      </c>
      <c r="I14" s="272">
        <v>0</v>
      </c>
      <c r="J14" s="272">
        <v>0</v>
      </c>
      <c r="K14" s="269" t="s">
        <v>233</v>
      </c>
      <c r="L14" s="273" t="s">
        <v>66</v>
      </c>
      <c r="M14" s="272">
        <v>0</v>
      </c>
      <c r="N14" s="272">
        <v>0</v>
      </c>
      <c r="O14" s="272">
        <v>0</v>
      </c>
      <c r="P14" s="269" t="s">
        <v>761</v>
      </c>
      <c r="Q14" s="265"/>
      <c r="R14" s="265"/>
      <c r="S14" s="265"/>
      <c r="T14" s="265"/>
      <c r="U14" s="265"/>
      <c r="V14" s="265"/>
      <c r="W14" s="265"/>
      <c r="X14" s="265"/>
      <c r="Y14" s="265"/>
      <c r="Z14" s="265"/>
      <c r="AA14" s="265"/>
      <c r="AB14" s="265"/>
      <c r="AC14" s="265"/>
      <c r="AD14" s="265"/>
      <c r="AE14" s="265"/>
      <c r="AF14" s="265"/>
      <c r="AG14" s="265"/>
      <c r="AH14" s="265"/>
      <c r="AI14" s="265"/>
      <c r="AJ14" s="265"/>
    </row>
    <row r="15" spans="1:36">
      <c r="A15" s="267" t="s">
        <v>242</v>
      </c>
      <c r="B15" s="268">
        <v>46049</v>
      </c>
      <c r="C15" s="269" t="s">
        <v>762</v>
      </c>
      <c r="D15" s="270" t="s">
        <v>768</v>
      </c>
      <c r="E15" s="269" t="s">
        <v>755</v>
      </c>
      <c r="F15" s="269" t="s">
        <v>232</v>
      </c>
      <c r="G15" s="271">
        <v>0</v>
      </c>
      <c r="H15" s="272">
        <v>180</v>
      </c>
      <c r="I15" s="272">
        <v>0</v>
      </c>
      <c r="J15" s="272">
        <v>0</v>
      </c>
      <c r="K15" s="269" t="s">
        <v>233</v>
      </c>
      <c r="L15" s="273" t="s">
        <v>66</v>
      </c>
      <c r="M15" s="272">
        <v>0</v>
      </c>
      <c r="N15" s="272">
        <v>0</v>
      </c>
      <c r="O15" s="272">
        <v>0</v>
      </c>
      <c r="P15" s="269" t="s">
        <v>761</v>
      </c>
      <c r="Q15" s="265"/>
      <c r="R15" s="265"/>
      <c r="S15" s="265"/>
      <c r="T15" s="265"/>
      <c r="U15" s="265"/>
      <c r="V15" s="265"/>
      <c r="W15" s="265"/>
      <c r="X15" s="265"/>
      <c r="Y15" s="265"/>
      <c r="Z15" s="265"/>
      <c r="AA15" s="265"/>
      <c r="AB15" s="265"/>
      <c r="AC15" s="265"/>
      <c r="AD15" s="265"/>
      <c r="AE15" s="265"/>
      <c r="AF15" s="265"/>
      <c r="AG15" s="265"/>
      <c r="AH15" s="265"/>
      <c r="AI15" s="265"/>
      <c r="AJ15" s="265"/>
    </row>
    <row r="16" spans="1:36">
      <c r="A16" s="267" t="s">
        <v>242</v>
      </c>
      <c r="B16" s="268">
        <v>46049</v>
      </c>
      <c r="C16" s="269" t="s">
        <v>763</v>
      </c>
      <c r="D16" s="270" t="s">
        <v>567</v>
      </c>
      <c r="E16" s="269" t="s">
        <v>755</v>
      </c>
      <c r="F16" s="269" t="s">
        <v>232</v>
      </c>
      <c r="G16" s="271">
        <v>0</v>
      </c>
      <c r="H16" s="272">
        <v>180</v>
      </c>
      <c r="I16" s="272">
        <v>0</v>
      </c>
      <c r="J16" s="272">
        <v>0</v>
      </c>
      <c r="K16" s="269" t="s">
        <v>233</v>
      </c>
      <c r="L16" s="273" t="s">
        <v>66</v>
      </c>
      <c r="M16" s="272">
        <v>0</v>
      </c>
      <c r="N16" s="272">
        <v>0</v>
      </c>
      <c r="O16" s="272">
        <v>0</v>
      </c>
      <c r="P16" s="269" t="s">
        <v>761</v>
      </c>
      <c r="Q16" s="265"/>
      <c r="R16" s="265"/>
      <c r="S16" s="265"/>
      <c r="T16" s="265"/>
      <c r="U16" s="265"/>
      <c r="V16" s="265"/>
      <c r="W16" s="265"/>
      <c r="X16" s="265"/>
      <c r="Y16" s="265"/>
      <c r="Z16" s="265"/>
      <c r="AA16" s="265"/>
      <c r="AB16" s="265"/>
      <c r="AC16" s="265"/>
      <c r="AD16" s="265"/>
      <c r="AE16" s="265"/>
      <c r="AF16" s="265"/>
      <c r="AG16" s="265"/>
      <c r="AH16" s="265"/>
      <c r="AI16" s="265"/>
      <c r="AJ16" s="265"/>
    </row>
    <row r="17" spans="1:36">
      <c r="A17" s="267" t="s">
        <v>242</v>
      </c>
      <c r="B17" s="268">
        <v>46049</v>
      </c>
      <c r="C17" s="269" t="s">
        <v>764</v>
      </c>
      <c r="D17" s="270" t="s">
        <v>579</v>
      </c>
      <c r="E17" s="269" t="s">
        <v>755</v>
      </c>
      <c r="F17" s="269" t="s">
        <v>232</v>
      </c>
      <c r="G17" s="271">
        <v>0</v>
      </c>
      <c r="H17" s="272">
        <v>180</v>
      </c>
      <c r="I17" s="272">
        <v>0</v>
      </c>
      <c r="J17" s="272">
        <v>0</v>
      </c>
      <c r="K17" s="269" t="s">
        <v>233</v>
      </c>
      <c r="L17" s="273" t="s">
        <v>66</v>
      </c>
      <c r="M17" s="272">
        <v>0</v>
      </c>
      <c r="N17" s="272">
        <v>0</v>
      </c>
      <c r="O17" s="272">
        <v>0</v>
      </c>
      <c r="P17" s="269" t="s">
        <v>761</v>
      </c>
      <c r="Q17" s="265"/>
      <c r="R17" s="265"/>
      <c r="S17" s="265"/>
      <c r="T17" s="265"/>
      <c r="U17" s="265"/>
      <c r="V17" s="265"/>
      <c r="W17" s="265"/>
      <c r="X17" s="265"/>
      <c r="Y17" s="265"/>
      <c r="Z17" s="265"/>
      <c r="AA17" s="265"/>
      <c r="AB17" s="265"/>
      <c r="AC17" s="265"/>
      <c r="AD17" s="265"/>
      <c r="AE17" s="265"/>
      <c r="AF17" s="265"/>
      <c r="AG17" s="265"/>
      <c r="AH17" s="265"/>
      <c r="AI17" s="265"/>
      <c r="AJ17" s="265"/>
    </row>
    <row r="18" spans="1:36" ht="21">
      <c r="A18" s="274" t="s">
        <v>251</v>
      </c>
      <c r="B18" s="275"/>
      <c r="C18" s="274">
        <f>SUBTOTAL(103,LXR_JED_LF_LEGACY[Flt])</f>
        <v>16</v>
      </c>
      <c r="D18" s="274"/>
      <c r="E18" s="274">
        <f>SUBTOTAL(103,LXR_JED_LF_LEGACY[Brd-Off])</f>
        <v>16</v>
      </c>
      <c r="F18" s="274"/>
      <c r="G18" s="276">
        <f>SUBTOTAL(101,LXR_JED_LF_LEGACY[LF%])</f>
        <v>0</v>
      </c>
      <c r="H18" s="277">
        <f>SUBTOTAL(109,LXR_JED_LF_LEGACY[CAP])</f>
        <v>2880</v>
      </c>
      <c r="I18" s="277">
        <f>SUBTOTAL(109,LXR_JED_LF_LEGACY[BKG(Y)])</f>
        <v>0</v>
      </c>
      <c r="J18" s="277">
        <f>SUBTOTAL(109,LXR_JED_LF_LEGACY[GRP(Y)])</f>
        <v>0</v>
      </c>
      <c r="K18" s="274"/>
      <c r="L18" s="275"/>
      <c r="M18" s="277">
        <f>SUBTOTAL(109,LXR_JED_LF_LEGACY[TO-DAY])</f>
        <v>0</v>
      </c>
      <c r="N18" s="277">
        <f>SUBTOTAL(109,LXR_JED_LF_LEGACY[Y-DAY])</f>
        <v>0</v>
      </c>
      <c r="O18" s="277">
        <f>SUBTOTAL(109,LXR_JED_LF_LEGACY[WEEKLY])</f>
        <v>0</v>
      </c>
      <c r="P18" s="274"/>
      <c r="Q18" s="277">
        <f>SUBTOTAL(109,LXR_JED_LF_LEGACY[Y])</f>
        <v>0</v>
      </c>
      <c r="R18" s="277">
        <f>SUBTOTAL(109,LXR_JED_LF_LEGACY[B])</f>
        <v>0</v>
      </c>
      <c r="S18" s="277">
        <f>SUBTOTAL(109,LXR_JED_LF_LEGACY[M])</f>
        <v>0</v>
      </c>
      <c r="T18" s="277">
        <f>SUBTOTAL(109,LXR_JED_LF_LEGACY[H])</f>
        <v>0</v>
      </c>
      <c r="U18" s="277">
        <f>SUBTOTAL(109,LXR_JED_LF_LEGACY[Q])</f>
        <v>0</v>
      </c>
      <c r="V18" s="277">
        <f>SUBTOTAL(109,LXR_JED_LF_LEGACY[K])</f>
        <v>0</v>
      </c>
      <c r="W18" s="277">
        <f>SUBTOTAL(109,LXR_JED_LF_LEGACY[V])</f>
        <v>0</v>
      </c>
      <c r="X18" s="277">
        <f>SUBTOTAL(109,LXR_JED_LF_LEGACY[L])</f>
        <v>0</v>
      </c>
      <c r="Y18" s="277">
        <f>SUBTOTAL(109,LXR_JED_LF_LEGACY[G])</f>
        <v>0</v>
      </c>
      <c r="Z18" s="277">
        <f>SUBTOTAL(109,LXR_JED_LF_LEGACY[S])</f>
        <v>0</v>
      </c>
      <c r="AA18" s="277">
        <f>SUBTOTAL(109,LXR_JED_LF_LEGACY[W])</f>
        <v>0</v>
      </c>
      <c r="AB18" s="277">
        <f>SUBTOTAL(109,LXR_JED_LF_LEGACY[T])</f>
        <v>0</v>
      </c>
      <c r="AC18" s="277">
        <f>SUBTOTAL(109,LXR_JED_LF_LEGACY[X])</f>
        <v>0</v>
      </c>
      <c r="AD18" s="277">
        <f>SUBTOTAL(109,LXR_JED_LF_LEGACY[U])</f>
        <v>0</v>
      </c>
      <c r="AE18" s="277">
        <f>SUBTOTAL(109,LXR_JED_LF_LEGACY[O])</f>
        <v>0</v>
      </c>
      <c r="AF18" s="277">
        <f>SUBTOTAL(109,LXR_JED_LF_LEGACY[I])</f>
        <v>0</v>
      </c>
      <c r="AG18" s="277">
        <f>SUBTOTAL(109,LXR_JED_LF_LEGACY[E])</f>
        <v>0</v>
      </c>
      <c r="AH18" s="277">
        <f>SUBTOTAL(109,LXR_JED_LF_LEGACY[A])</f>
        <v>0</v>
      </c>
      <c r="AI18" s="277">
        <f>SUBTOTAL(109,LXR_JED_LF_LEGACY[P])</f>
        <v>0</v>
      </c>
      <c r="AJ18" s="277">
        <f>SUBTOTAL(103,LXR_JED_LF_LEGACY[N])</f>
        <v>0</v>
      </c>
    </row>
  </sheetData>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29"/>
  <sheetViews>
    <sheetView workbookViewId="0"/>
  </sheetViews>
  <sheetFormatPr defaultRowHeight="14.45"/>
  <cols>
    <col min="1" max="1" width="11.85546875" bestFit="1" customWidth="1"/>
    <col min="2" max="2" width="15.5703125" bestFit="1" customWidth="1"/>
    <col min="3" max="3" width="19.28515625" bestFit="1" customWidth="1"/>
    <col min="4" max="4" width="12.7109375" bestFit="1" customWidth="1"/>
    <col min="5" max="5" width="18.28515625" bestFit="1" customWidth="1"/>
    <col min="6" max="6" width="28.5703125" bestFit="1" customWidth="1"/>
    <col min="7" max="7" width="20" bestFit="1" customWidth="1"/>
    <col min="8" max="8" width="23.7109375" bestFit="1" customWidth="1"/>
    <col min="9" max="9" width="140"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47" t="s">
        <v>770</v>
      </c>
      <c r="B2" s="124" t="s">
        <v>415</v>
      </c>
      <c r="C2" s="125" t="s">
        <v>756</v>
      </c>
      <c r="D2" s="124" t="s">
        <v>755</v>
      </c>
      <c r="E2" s="124" t="s">
        <v>771</v>
      </c>
      <c r="F2" s="124" t="s">
        <v>63</v>
      </c>
      <c r="G2" s="127">
        <v>9</v>
      </c>
      <c r="H2" s="128" t="s">
        <v>757</v>
      </c>
    </row>
    <row r="3" spans="1:8" ht="19.899999999999999" customHeight="1">
      <c r="A3" s="131" t="s">
        <v>772</v>
      </c>
      <c r="B3" s="132" t="s">
        <v>61</v>
      </c>
      <c r="C3" s="133" t="s">
        <v>773</v>
      </c>
      <c r="D3" s="132" t="s">
        <v>755</v>
      </c>
      <c r="E3" s="132" t="s">
        <v>765</v>
      </c>
      <c r="F3" s="132"/>
      <c r="G3" s="132"/>
      <c r="H3" s="135" t="s">
        <v>760</v>
      </c>
    </row>
    <row r="4" spans="1:8" ht="19.899999999999999" customHeight="1">
      <c r="A4" s="121">
        <v>46028</v>
      </c>
      <c r="B4" s="112" t="s">
        <v>415</v>
      </c>
      <c r="C4" s="113" t="s">
        <v>756</v>
      </c>
      <c r="D4" s="112" t="s">
        <v>755</v>
      </c>
      <c r="E4" s="122">
        <v>1.5902777777777779</v>
      </c>
      <c r="F4" s="112" t="s">
        <v>63</v>
      </c>
      <c r="G4" s="114">
        <v>9</v>
      </c>
      <c r="H4" s="115" t="s">
        <v>757</v>
      </c>
    </row>
    <row r="5" spans="1:8" ht="19.899999999999999" customHeight="1">
      <c r="A5" s="129">
        <v>46028</v>
      </c>
      <c r="B5" s="117" t="s">
        <v>61</v>
      </c>
      <c r="C5" s="118" t="s">
        <v>762</v>
      </c>
      <c r="D5" s="117" t="s">
        <v>755</v>
      </c>
      <c r="E5" s="130">
        <v>1.2638888888888891</v>
      </c>
      <c r="F5" s="117" t="s">
        <v>759</v>
      </c>
      <c r="G5" s="117"/>
      <c r="H5" s="120" t="s">
        <v>760</v>
      </c>
    </row>
    <row r="6" spans="1:8" ht="19.899999999999999" customHeight="1">
      <c r="A6" s="129">
        <v>46028</v>
      </c>
      <c r="B6" s="117" t="s">
        <v>61</v>
      </c>
      <c r="C6" s="118" t="s">
        <v>763</v>
      </c>
      <c r="D6" s="117" t="s">
        <v>755</v>
      </c>
      <c r="E6" s="130">
        <v>1.6388888888888891</v>
      </c>
      <c r="F6" s="117" t="s">
        <v>759</v>
      </c>
      <c r="G6" s="117"/>
      <c r="H6" s="120" t="s">
        <v>760</v>
      </c>
    </row>
    <row r="7" spans="1:8" ht="19.899999999999999" customHeight="1">
      <c r="A7" s="136">
        <v>46028</v>
      </c>
      <c r="B7" s="132" t="s">
        <v>61</v>
      </c>
      <c r="C7" s="133" t="s">
        <v>764</v>
      </c>
      <c r="D7" s="132" t="s">
        <v>755</v>
      </c>
      <c r="E7" s="137">
        <v>1.791666666666667</v>
      </c>
      <c r="F7" s="132" t="s">
        <v>759</v>
      </c>
      <c r="G7" s="132"/>
      <c r="H7" s="135" t="s">
        <v>760</v>
      </c>
    </row>
    <row r="8" spans="1:8" ht="19.899999999999999" customHeight="1">
      <c r="A8" s="123">
        <v>46029</v>
      </c>
      <c r="B8" s="124" t="s">
        <v>415</v>
      </c>
      <c r="C8" s="125" t="s">
        <v>756</v>
      </c>
      <c r="D8" s="124" t="s">
        <v>755</v>
      </c>
      <c r="E8" s="126">
        <v>1.427083333333333</v>
      </c>
      <c r="F8" s="124" t="s">
        <v>63</v>
      </c>
      <c r="G8" s="127">
        <v>9</v>
      </c>
      <c r="H8" s="128" t="s">
        <v>757</v>
      </c>
    </row>
    <row r="9" spans="1:8" ht="19.899999999999999" customHeight="1">
      <c r="A9" s="123">
        <v>46033</v>
      </c>
      <c r="B9" s="124" t="s">
        <v>415</v>
      </c>
      <c r="C9" s="125" t="s">
        <v>756</v>
      </c>
      <c r="D9" s="124" t="s">
        <v>755</v>
      </c>
      <c r="E9" s="126">
        <v>1.038194444444444</v>
      </c>
      <c r="F9" s="124" t="s">
        <v>63</v>
      </c>
      <c r="G9" s="127">
        <v>9</v>
      </c>
      <c r="H9" s="128" t="s">
        <v>757</v>
      </c>
    </row>
    <row r="10" spans="1:8" ht="19.899999999999999" customHeight="1">
      <c r="A10" s="136">
        <v>46034</v>
      </c>
      <c r="B10" s="132" t="s">
        <v>61</v>
      </c>
      <c r="C10" s="133" t="s">
        <v>773</v>
      </c>
      <c r="D10" s="132" t="s">
        <v>755</v>
      </c>
      <c r="E10" s="137">
        <v>1.961805555555556</v>
      </c>
      <c r="F10" s="132"/>
      <c r="G10" s="132"/>
      <c r="H10" s="135" t="s">
        <v>760</v>
      </c>
    </row>
    <row r="11" spans="1:8" ht="19.899999999999999" customHeight="1">
      <c r="A11" s="121">
        <v>46035</v>
      </c>
      <c r="B11" s="112" t="s">
        <v>415</v>
      </c>
      <c r="C11" s="113" t="s">
        <v>756</v>
      </c>
      <c r="D11" s="112" t="s">
        <v>755</v>
      </c>
      <c r="E11" s="122">
        <v>1.5902777777777779</v>
      </c>
      <c r="F11" s="112" t="s">
        <v>63</v>
      </c>
      <c r="G11" s="114">
        <v>9</v>
      </c>
      <c r="H11" s="115" t="s">
        <v>757</v>
      </c>
    </row>
    <row r="12" spans="1:8" ht="19.899999999999999" customHeight="1">
      <c r="A12" s="129">
        <v>46035</v>
      </c>
      <c r="B12" s="117" t="s">
        <v>61</v>
      </c>
      <c r="C12" s="118" t="s">
        <v>762</v>
      </c>
      <c r="D12" s="117" t="s">
        <v>755</v>
      </c>
      <c r="E12" s="130">
        <v>1.1909722222222221</v>
      </c>
      <c r="F12" s="117" t="s">
        <v>759</v>
      </c>
      <c r="G12" s="117"/>
      <c r="H12" s="120" t="s">
        <v>760</v>
      </c>
    </row>
    <row r="13" spans="1:8" ht="19.899999999999999" customHeight="1">
      <c r="A13" s="129">
        <v>46035</v>
      </c>
      <c r="B13" s="117" t="s">
        <v>61</v>
      </c>
      <c r="C13" s="118" t="s">
        <v>763</v>
      </c>
      <c r="D13" s="117" t="s">
        <v>755</v>
      </c>
      <c r="E13" s="130">
        <v>1.6284722222222221</v>
      </c>
      <c r="F13" s="117" t="s">
        <v>759</v>
      </c>
      <c r="G13" s="117"/>
      <c r="H13" s="120" t="s">
        <v>760</v>
      </c>
    </row>
    <row r="14" spans="1:8" ht="19.899999999999999" customHeight="1">
      <c r="A14" s="136">
        <v>46035</v>
      </c>
      <c r="B14" s="132" t="s">
        <v>61</v>
      </c>
      <c r="C14" s="133" t="s">
        <v>764</v>
      </c>
      <c r="D14" s="132" t="s">
        <v>755</v>
      </c>
      <c r="E14" s="137">
        <v>1.791666666666667</v>
      </c>
      <c r="F14" s="132" t="s">
        <v>759</v>
      </c>
      <c r="G14" s="132"/>
      <c r="H14" s="135" t="s">
        <v>760</v>
      </c>
    </row>
    <row r="15" spans="1:8" ht="19.899999999999999" customHeight="1">
      <c r="A15" s="123">
        <v>46036</v>
      </c>
      <c r="B15" s="124" t="s">
        <v>415</v>
      </c>
      <c r="C15" s="125" t="s">
        <v>756</v>
      </c>
      <c r="D15" s="124" t="s">
        <v>755</v>
      </c>
      <c r="E15" s="126">
        <v>1.427083333333333</v>
      </c>
      <c r="F15" s="124" t="s">
        <v>63</v>
      </c>
      <c r="G15" s="127">
        <v>9</v>
      </c>
      <c r="H15" s="128" t="s">
        <v>757</v>
      </c>
    </row>
    <row r="16" spans="1:8" ht="19.899999999999999" customHeight="1">
      <c r="A16" s="123">
        <v>46040</v>
      </c>
      <c r="B16" s="124" t="s">
        <v>415</v>
      </c>
      <c r="C16" s="125" t="s">
        <v>756</v>
      </c>
      <c r="D16" s="124" t="s">
        <v>755</v>
      </c>
      <c r="E16" s="126">
        <v>1.038194444444444</v>
      </c>
      <c r="F16" s="124" t="s">
        <v>63</v>
      </c>
      <c r="G16" s="127">
        <v>9</v>
      </c>
      <c r="H16" s="128" t="s">
        <v>757</v>
      </c>
    </row>
    <row r="17" spans="1:8" ht="19.899999999999999" customHeight="1">
      <c r="A17" s="136">
        <v>46041</v>
      </c>
      <c r="B17" s="132" t="s">
        <v>61</v>
      </c>
      <c r="C17" s="133" t="s">
        <v>773</v>
      </c>
      <c r="D17" s="132" t="s">
        <v>755</v>
      </c>
      <c r="E17" s="137">
        <v>1.961805555555556</v>
      </c>
      <c r="F17" s="132"/>
      <c r="G17" s="132"/>
      <c r="H17" s="135" t="s">
        <v>760</v>
      </c>
    </row>
    <row r="18" spans="1:8" ht="19.899999999999999" customHeight="1">
      <c r="A18" s="121">
        <v>46042</v>
      </c>
      <c r="B18" s="112" t="s">
        <v>415</v>
      </c>
      <c r="C18" s="113" t="s">
        <v>756</v>
      </c>
      <c r="D18" s="112" t="s">
        <v>755</v>
      </c>
      <c r="E18" s="122">
        <v>1.5902777777777779</v>
      </c>
      <c r="F18" s="112" t="s">
        <v>63</v>
      </c>
      <c r="G18" s="114">
        <v>9</v>
      </c>
      <c r="H18" s="115" t="s">
        <v>757</v>
      </c>
    </row>
    <row r="19" spans="1:8" ht="19.899999999999999" customHeight="1">
      <c r="A19" s="129">
        <v>46042</v>
      </c>
      <c r="B19" s="117" t="s">
        <v>61</v>
      </c>
      <c r="C19" s="118" t="s">
        <v>762</v>
      </c>
      <c r="D19" s="117" t="s">
        <v>755</v>
      </c>
      <c r="E19" s="130">
        <v>1.2638888888888891</v>
      </c>
      <c r="F19" s="117" t="s">
        <v>759</v>
      </c>
      <c r="G19" s="117"/>
      <c r="H19" s="120" t="s">
        <v>760</v>
      </c>
    </row>
    <row r="20" spans="1:8" ht="19.899999999999999" customHeight="1">
      <c r="A20" s="129">
        <v>46042</v>
      </c>
      <c r="B20" s="117" t="s">
        <v>61</v>
      </c>
      <c r="C20" s="118" t="s">
        <v>763</v>
      </c>
      <c r="D20" s="117" t="s">
        <v>755</v>
      </c>
      <c r="E20" s="130">
        <v>1.6388888888888891</v>
      </c>
      <c r="F20" s="117" t="s">
        <v>759</v>
      </c>
      <c r="G20" s="117"/>
      <c r="H20" s="120" t="s">
        <v>760</v>
      </c>
    </row>
    <row r="21" spans="1:8" ht="19.899999999999999" customHeight="1">
      <c r="A21" s="136">
        <v>46042</v>
      </c>
      <c r="B21" s="132" t="s">
        <v>61</v>
      </c>
      <c r="C21" s="133" t="s">
        <v>764</v>
      </c>
      <c r="D21" s="132" t="s">
        <v>755</v>
      </c>
      <c r="E21" s="137">
        <v>1.791666666666667</v>
      </c>
      <c r="F21" s="132" t="s">
        <v>759</v>
      </c>
      <c r="G21" s="132"/>
      <c r="H21" s="135" t="s">
        <v>760</v>
      </c>
    </row>
    <row r="22" spans="1:8" ht="19.899999999999999" customHeight="1">
      <c r="A22" s="123">
        <v>46043</v>
      </c>
      <c r="B22" s="124" t="s">
        <v>415</v>
      </c>
      <c r="C22" s="125" t="s">
        <v>756</v>
      </c>
      <c r="D22" s="124" t="s">
        <v>755</v>
      </c>
      <c r="E22" s="126">
        <v>1.427083333333333</v>
      </c>
      <c r="F22" s="124" t="s">
        <v>63</v>
      </c>
      <c r="G22" s="127">
        <v>9</v>
      </c>
      <c r="H22" s="128" t="s">
        <v>757</v>
      </c>
    </row>
    <row r="23" spans="1:8" ht="19.899999999999999" customHeight="1">
      <c r="A23" s="123">
        <v>46047</v>
      </c>
      <c r="B23" s="124" t="s">
        <v>415</v>
      </c>
      <c r="C23" s="125" t="s">
        <v>756</v>
      </c>
      <c r="D23" s="124" t="s">
        <v>755</v>
      </c>
      <c r="E23" s="126">
        <v>1.038194444444444</v>
      </c>
      <c r="F23" s="124" t="s">
        <v>63</v>
      </c>
      <c r="G23" s="127">
        <v>9</v>
      </c>
      <c r="H23" s="128" t="s">
        <v>757</v>
      </c>
    </row>
    <row r="24" spans="1:8" ht="19.899999999999999" customHeight="1">
      <c r="A24" s="136">
        <v>46048</v>
      </c>
      <c r="B24" s="132" t="s">
        <v>61</v>
      </c>
      <c r="C24" s="133" t="s">
        <v>773</v>
      </c>
      <c r="D24" s="132" t="s">
        <v>755</v>
      </c>
      <c r="E24" s="137">
        <v>1.961805555555556</v>
      </c>
      <c r="F24" s="132"/>
      <c r="G24" s="132"/>
      <c r="H24" s="135" t="s">
        <v>760</v>
      </c>
    </row>
    <row r="25" spans="1:8" ht="19.899999999999999" customHeight="1">
      <c r="A25" s="121">
        <v>46049</v>
      </c>
      <c r="B25" s="112" t="s">
        <v>415</v>
      </c>
      <c r="C25" s="113" t="s">
        <v>756</v>
      </c>
      <c r="D25" s="112" t="s">
        <v>755</v>
      </c>
      <c r="E25" s="122">
        <v>1.5902777777777779</v>
      </c>
      <c r="F25" s="112" t="s">
        <v>63</v>
      </c>
      <c r="G25" s="114">
        <v>9</v>
      </c>
      <c r="H25" s="115" t="s">
        <v>757</v>
      </c>
    </row>
    <row r="26" spans="1:8" ht="19.899999999999999" customHeight="1">
      <c r="A26" s="129">
        <v>46049</v>
      </c>
      <c r="B26" s="117" t="s">
        <v>61</v>
      </c>
      <c r="C26" s="118" t="s">
        <v>762</v>
      </c>
      <c r="D26" s="117" t="s">
        <v>755</v>
      </c>
      <c r="E26" s="130">
        <v>1.1909722222222221</v>
      </c>
      <c r="F26" s="117" t="s">
        <v>759</v>
      </c>
      <c r="G26" s="117"/>
      <c r="H26" s="120" t="s">
        <v>760</v>
      </c>
    </row>
    <row r="27" spans="1:8" ht="19.899999999999999" customHeight="1">
      <c r="A27" s="129">
        <v>46049</v>
      </c>
      <c r="B27" s="117" t="s">
        <v>61</v>
      </c>
      <c r="C27" s="118" t="s">
        <v>763</v>
      </c>
      <c r="D27" s="117" t="s">
        <v>755</v>
      </c>
      <c r="E27" s="130">
        <v>1.5034722222222221</v>
      </c>
      <c r="F27" s="117" t="s">
        <v>759</v>
      </c>
      <c r="G27" s="117"/>
      <c r="H27" s="120" t="s">
        <v>760</v>
      </c>
    </row>
    <row r="28" spans="1:8" ht="19.899999999999999" customHeight="1">
      <c r="A28" s="136">
        <v>46049</v>
      </c>
      <c r="B28" s="132" t="s">
        <v>61</v>
      </c>
      <c r="C28" s="133" t="s">
        <v>764</v>
      </c>
      <c r="D28" s="132" t="s">
        <v>755</v>
      </c>
      <c r="E28" s="137">
        <v>1.791666666666667</v>
      </c>
      <c r="F28" s="132" t="s">
        <v>759</v>
      </c>
      <c r="G28" s="132"/>
      <c r="H28" s="135" t="s">
        <v>760</v>
      </c>
    </row>
    <row r="29" spans="1:8" ht="19.899999999999999" customHeight="1">
      <c r="A29" s="123">
        <v>46050</v>
      </c>
      <c r="B29" s="124" t="s">
        <v>415</v>
      </c>
      <c r="C29" s="125" t="s">
        <v>756</v>
      </c>
      <c r="D29" s="124" t="s">
        <v>755</v>
      </c>
      <c r="E29" s="126">
        <v>1.427083333333333</v>
      </c>
      <c r="F29" s="124" t="s">
        <v>63</v>
      </c>
      <c r="G29" s="127">
        <v>9</v>
      </c>
      <c r="H29" s="128" t="s">
        <v>757</v>
      </c>
    </row>
  </sheetData>
  <pageMargins left="0.75" right="0.75" top="1" bottom="1" header="0.5" footer="0.5"/>
  <legacy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N22"/>
  <sheetViews>
    <sheetView workbookViewId="0"/>
  </sheetViews>
  <sheetFormatPr defaultRowHeight="14.45"/>
  <cols>
    <col min="1" max="1" width="10.28515625" bestFit="1" customWidth="1"/>
    <col min="2" max="2" width="15.7109375" bestFit="1" customWidth="1"/>
    <col min="3" max="3" width="14.7109375" bestFit="1" customWidth="1"/>
    <col min="4" max="4" width="19" bestFit="1" customWidth="1"/>
    <col min="5" max="5" width="16.42578125" bestFit="1" customWidth="1"/>
    <col min="6" max="6" width="23.42578125" bestFit="1" customWidth="1"/>
    <col min="7" max="7" width="43.7109375" bestFit="1" customWidth="1"/>
    <col min="8" max="8" width="9.42578125" bestFit="1" customWidth="1"/>
    <col min="9" max="9" width="6.710937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10.7109375" bestFit="1" customWidth="1"/>
  </cols>
  <sheetData>
    <row r="1" spans="1:92" ht="28.9" customHeight="1">
      <c r="A1" s="291" t="s">
        <v>0</v>
      </c>
      <c r="B1" s="294"/>
      <c r="C1" s="294"/>
      <c r="D1" s="294"/>
      <c r="E1" s="294"/>
      <c r="F1" s="1" t="s">
        <v>774</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45980.609934144049</v>
      </c>
      <c r="H2" s="294"/>
      <c r="I2" s="294"/>
      <c r="J2" s="294"/>
      <c r="K2" s="287">
        <v>45980.609934144377</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46034</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78" t="s">
        <v>61</v>
      </c>
      <c r="B6" s="78" t="s">
        <v>775</v>
      </c>
      <c r="C6" s="79">
        <v>0.35069444444444442</v>
      </c>
      <c r="D6" s="78" t="s">
        <v>759</v>
      </c>
      <c r="E6" s="215"/>
      <c r="F6" s="78" t="s">
        <v>760</v>
      </c>
      <c r="G6" s="297"/>
      <c r="H6" s="80" t="s">
        <v>775</v>
      </c>
      <c r="I6" s="81">
        <v>0</v>
      </c>
      <c r="J6" s="82">
        <v>0</v>
      </c>
      <c r="K6" s="83" t="s">
        <v>66</v>
      </c>
      <c r="L6" s="82">
        <v>0</v>
      </c>
      <c r="M6" s="82">
        <v>0</v>
      </c>
      <c r="N6" s="82">
        <v>0</v>
      </c>
      <c r="O6" s="84" t="s">
        <v>761</v>
      </c>
      <c r="P6" s="85">
        <v>0.35069444444444442</v>
      </c>
      <c r="Q6" s="82">
        <v>180</v>
      </c>
      <c r="R6" s="86" t="s">
        <v>66</v>
      </c>
    </row>
    <row r="7" spans="1:92" ht="49.9" customHeight="1" thickBot="1">
      <c r="A7" s="229" t="s">
        <v>61</v>
      </c>
      <c r="B7" s="229" t="s">
        <v>776</v>
      </c>
      <c r="C7" s="230">
        <v>0.82291666666666663</v>
      </c>
      <c r="D7" s="229" t="s">
        <v>759</v>
      </c>
      <c r="E7" s="231"/>
      <c r="F7" s="229" t="s">
        <v>760</v>
      </c>
      <c r="G7" s="299"/>
      <c r="H7" s="232" t="s">
        <v>776</v>
      </c>
      <c r="I7" s="233">
        <v>0</v>
      </c>
      <c r="J7" s="234">
        <v>0</v>
      </c>
      <c r="K7" s="235" t="s">
        <v>66</v>
      </c>
      <c r="L7" s="234">
        <v>0</v>
      </c>
      <c r="M7" s="234">
        <v>0</v>
      </c>
      <c r="N7" s="234">
        <v>0</v>
      </c>
      <c r="O7" s="236" t="s">
        <v>761</v>
      </c>
      <c r="P7" s="237">
        <v>0.82291666666666663</v>
      </c>
      <c r="Q7" s="234">
        <v>180</v>
      </c>
      <c r="R7" s="238" t="s">
        <v>66</v>
      </c>
    </row>
    <row r="8" spans="1:92" ht="17.45" customHeight="1" thickBot="1">
      <c r="A8" s="283"/>
      <c r="B8" s="284"/>
      <c r="C8" s="284"/>
      <c r="D8" s="284"/>
      <c r="E8" s="284"/>
      <c r="F8" s="284"/>
      <c r="G8" s="284"/>
      <c r="H8" s="284"/>
      <c r="I8" s="284"/>
      <c r="J8" s="284"/>
      <c r="K8" s="284"/>
      <c r="L8" s="284"/>
      <c r="M8" s="284"/>
      <c r="N8" s="284"/>
      <c r="O8" s="284"/>
      <c r="P8" s="284"/>
      <c r="Q8" s="284"/>
      <c r="R8" s="285"/>
    </row>
    <row r="9" spans="1:92" ht="22.15" customHeight="1" thickTop="1" thickBot="1">
      <c r="A9" s="279" t="s">
        <v>6</v>
      </c>
      <c r="B9" s="295"/>
      <c r="C9" s="295"/>
      <c r="D9" s="295"/>
      <c r="E9" s="295"/>
      <c r="F9" s="296"/>
      <c r="G9" s="32">
        <v>46035</v>
      </c>
      <c r="H9" s="278" t="s">
        <v>7</v>
      </c>
      <c r="I9" s="295"/>
      <c r="J9" s="295"/>
      <c r="K9" s="295"/>
      <c r="L9" s="295"/>
      <c r="M9" s="295"/>
      <c r="N9" s="295"/>
      <c r="O9" s="295"/>
      <c r="P9" s="295"/>
      <c r="Q9" s="295"/>
      <c r="R9" s="296"/>
    </row>
    <row r="10" spans="1:92" ht="24" customHeight="1">
      <c r="A10" s="33" t="s">
        <v>8</v>
      </c>
      <c r="B10" s="33" t="s">
        <v>9</v>
      </c>
      <c r="C10" s="34" t="s">
        <v>10</v>
      </c>
      <c r="D10" s="33" t="s">
        <v>11</v>
      </c>
      <c r="E10" s="33" t="s">
        <v>12</v>
      </c>
      <c r="F10" s="35" t="s">
        <v>13</v>
      </c>
      <c r="G10" s="36" t="s">
        <v>14</v>
      </c>
      <c r="H10" s="33" t="s">
        <v>15</v>
      </c>
      <c r="I10" s="37" t="s">
        <v>16</v>
      </c>
      <c r="J10" s="38" t="s">
        <v>17</v>
      </c>
      <c r="K10" s="39" t="s">
        <v>18</v>
      </c>
      <c r="L10" s="38" t="s">
        <v>19</v>
      </c>
      <c r="M10" s="38" t="s">
        <v>20</v>
      </c>
      <c r="N10" s="38" t="s">
        <v>21</v>
      </c>
      <c r="O10" s="33" t="s">
        <v>22</v>
      </c>
      <c r="P10" s="34" t="s">
        <v>23</v>
      </c>
      <c r="Q10" s="38" t="s">
        <v>24</v>
      </c>
      <c r="R10" s="33" t="s">
        <v>25</v>
      </c>
    </row>
    <row r="11" spans="1:92" ht="49.9" customHeight="1" thickTop="1" thickBot="1">
      <c r="A11" s="98" t="s">
        <v>61</v>
      </c>
      <c r="B11" s="98" t="s">
        <v>777</v>
      </c>
      <c r="C11" s="99">
        <v>0.47916666666666669</v>
      </c>
      <c r="D11" s="98" t="s">
        <v>759</v>
      </c>
      <c r="E11" s="188"/>
      <c r="F11" s="98" t="s">
        <v>760</v>
      </c>
      <c r="G11" s="302"/>
      <c r="H11" s="189" t="s">
        <v>777</v>
      </c>
      <c r="I11" s="190">
        <v>0</v>
      </c>
      <c r="J11" s="191">
        <v>0</v>
      </c>
      <c r="K11" s="192" t="s">
        <v>66</v>
      </c>
      <c r="L11" s="191">
        <v>0</v>
      </c>
      <c r="M11" s="191">
        <v>0</v>
      </c>
      <c r="N11" s="191">
        <v>0</v>
      </c>
      <c r="O11" s="193" t="s">
        <v>761</v>
      </c>
      <c r="P11" s="194">
        <v>0.47916666666666669</v>
      </c>
      <c r="Q11" s="191">
        <v>180</v>
      </c>
      <c r="R11" s="195" t="s">
        <v>66</v>
      </c>
    </row>
    <row r="12" spans="1:92" ht="17.45" customHeight="1" thickBot="1">
      <c r="A12" s="283"/>
      <c r="B12" s="284"/>
      <c r="C12" s="284"/>
      <c r="D12" s="284"/>
      <c r="E12" s="284"/>
      <c r="F12" s="284"/>
      <c r="G12" s="284"/>
      <c r="H12" s="284"/>
      <c r="I12" s="284"/>
      <c r="J12" s="284"/>
      <c r="K12" s="284"/>
      <c r="L12" s="284"/>
      <c r="M12" s="284"/>
      <c r="N12" s="284"/>
      <c r="O12" s="284"/>
      <c r="P12" s="284"/>
      <c r="Q12" s="284"/>
      <c r="R12" s="285"/>
    </row>
    <row r="13" spans="1:92" ht="22.15" customHeight="1" thickTop="1" thickBot="1">
      <c r="A13" s="279" t="s">
        <v>6</v>
      </c>
      <c r="B13" s="295"/>
      <c r="C13" s="295"/>
      <c r="D13" s="295"/>
      <c r="E13" s="295"/>
      <c r="F13" s="296"/>
      <c r="G13" s="32">
        <v>46048</v>
      </c>
      <c r="H13" s="278" t="s">
        <v>7</v>
      </c>
      <c r="I13" s="295"/>
      <c r="J13" s="295"/>
      <c r="K13" s="295"/>
      <c r="L13" s="295"/>
      <c r="M13" s="295"/>
      <c r="N13" s="295"/>
      <c r="O13" s="295"/>
      <c r="P13" s="295"/>
      <c r="Q13" s="295"/>
      <c r="R13" s="296"/>
    </row>
    <row r="14" spans="1:92" ht="24" customHeight="1">
      <c r="A14" s="33" t="s">
        <v>8</v>
      </c>
      <c r="B14" s="33" t="s">
        <v>9</v>
      </c>
      <c r="C14" s="34" t="s">
        <v>10</v>
      </c>
      <c r="D14" s="33" t="s">
        <v>11</v>
      </c>
      <c r="E14" s="33" t="s">
        <v>12</v>
      </c>
      <c r="F14" s="35" t="s">
        <v>13</v>
      </c>
      <c r="G14" s="36" t="s">
        <v>14</v>
      </c>
      <c r="H14" s="33" t="s">
        <v>15</v>
      </c>
      <c r="I14" s="37" t="s">
        <v>16</v>
      </c>
      <c r="J14" s="38" t="s">
        <v>17</v>
      </c>
      <c r="K14" s="39" t="s">
        <v>18</v>
      </c>
      <c r="L14" s="38" t="s">
        <v>19</v>
      </c>
      <c r="M14" s="38" t="s">
        <v>20</v>
      </c>
      <c r="N14" s="38" t="s">
        <v>21</v>
      </c>
      <c r="O14" s="33" t="s">
        <v>22</v>
      </c>
      <c r="P14" s="34" t="s">
        <v>23</v>
      </c>
      <c r="Q14" s="38" t="s">
        <v>24</v>
      </c>
      <c r="R14" s="33" t="s">
        <v>25</v>
      </c>
    </row>
    <row r="15" spans="1:92" ht="49.9" customHeight="1">
      <c r="A15" s="58" t="s">
        <v>61</v>
      </c>
      <c r="B15" s="58" t="s">
        <v>775</v>
      </c>
      <c r="C15" s="59">
        <v>0.35069444444444442</v>
      </c>
      <c r="D15" s="58" t="s">
        <v>759</v>
      </c>
      <c r="E15" s="239"/>
      <c r="F15" s="58" t="s">
        <v>760</v>
      </c>
      <c r="G15" s="297"/>
      <c r="H15" s="60" t="s">
        <v>775</v>
      </c>
      <c r="I15" s="61">
        <v>0</v>
      </c>
      <c r="J15" s="62">
        <v>0</v>
      </c>
      <c r="K15" s="63" t="s">
        <v>66</v>
      </c>
      <c r="L15" s="62">
        <v>0</v>
      </c>
      <c r="M15" s="62">
        <v>0</v>
      </c>
      <c r="N15" s="62">
        <v>0</v>
      </c>
      <c r="O15" s="64" t="s">
        <v>761</v>
      </c>
      <c r="P15" s="65">
        <v>0.35069444444444442</v>
      </c>
      <c r="Q15" s="62">
        <v>180</v>
      </c>
      <c r="R15" s="66" t="s">
        <v>66</v>
      </c>
    </row>
    <row r="16" spans="1:92" ht="49.9" customHeight="1" thickBot="1">
      <c r="A16" s="198" t="s">
        <v>61</v>
      </c>
      <c r="B16" s="198" t="s">
        <v>776</v>
      </c>
      <c r="C16" s="199">
        <v>0.82291666666666663</v>
      </c>
      <c r="D16" s="198" t="s">
        <v>759</v>
      </c>
      <c r="E16" s="200"/>
      <c r="F16" s="198" t="s">
        <v>760</v>
      </c>
      <c r="G16" s="299"/>
      <c r="H16" s="201" t="s">
        <v>776</v>
      </c>
      <c r="I16" s="202">
        <v>0</v>
      </c>
      <c r="J16" s="203">
        <v>0</v>
      </c>
      <c r="K16" s="204" t="s">
        <v>66</v>
      </c>
      <c r="L16" s="203">
        <v>0</v>
      </c>
      <c r="M16" s="203">
        <v>0</v>
      </c>
      <c r="N16" s="203">
        <v>0</v>
      </c>
      <c r="O16" s="205" t="s">
        <v>761</v>
      </c>
      <c r="P16" s="206">
        <v>0.82291666666666663</v>
      </c>
      <c r="Q16" s="203">
        <v>180</v>
      </c>
      <c r="R16" s="207" t="s">
        <v>66</v>
      </c>
    </row>
    <row r="17" spans="1:18" ht="17.45" customHeight="1" thickBot="1">
      <c r="A17" s="283"/>
      <c r="B17" s="284"/>
      <c r="C17" s="284"/>
      <c r="D17" s="284"/>
      <c r="E17" s="284"/>
      <c r="F17" s="284"/>
      <c r="G17" s="284"/>
      <c r="H17" s="284"/>
      <c r="I17" s="284"/>
      <c r="J17" s="284"/>
      <c r="K17" s="284"/>
      <c r="L17" s="284"/>
      <c r="M17" s="284"/>
      <c r="N17" s="284"/>
      <c r="O17" s="284"/>
      <c r="P17" s="284"/>
      <c r="Q17" s="284"/>
      <c r="R17" s="285"/>
    </row>
    <row r="18" spans="1:18" ht="22.15" customHeight="1" thickTop="1" thickBot="1">
      <c r="A18" s="279" t="s">
        <v>6</v>
      </c>
      <c r="B18" s="295"/>
      <c r="C18" s="295"/>
      <c r="D18" s="295"/>
      <c r="E18" s="295"/>
      <c r="F18" s="296"/>
      <c r="G18" s="32">
        <v>46049</v>
      </c>
      <c r="H18" s="278" t="s">
        <v>7</v>
      </c>
      <c r="I18" s="295"/>
      <c r="J18" s="295"/>
      <c r="K18" s="295"/>
      <c r="L18" s="295"/>
      <c r="M18" s="295"/>
      <c r="N18" s="295"/>
      <c r="O18" s="295"/>
      <c r="P18" s="295"/>
      <c r="Q18" s="295"/>
      <c r="R18" s="296"/>
    </row>
    <row r="19" spans="1:18" ht="24" customHeight="1">
      <c r="A19" s="33" t="s">
        <v>8</v>
      </c>
      <c r="B19" s="33" t="s">
        <v>9</v>
      </c>
      <c r="C19" s="34" t="s">
        <v>10</v>
      </c>
      <c r="D19" s="33" t="s">
        <v>11</v>
      </c>
      <c r="E19" s="33" t="s">
        <v>12</v>
      </c>
      <c r="F19" s="35" t="s">
        <v>13</v>
      </c>
      <c r="G19" s="36" t="s">
        <v>14</v>
      </c>
      <c r="H19" s="33" t="s">
        <v>15</v>
      </c>
      <c r="I19" s="37" t="s">
        <v>16</v>
      </c>
      <c r="J19" s="38" t="s">
        <v>17</v>
      </c>
      <c r="K19" s="39" t="s">
        <v>18</v>
      </c>
      <c r="L19" s="38" t="s">
        <v>19</v>
      </c>
      <c r="M19" s="38" t="s">
        <v>20</v>
      </c>
      <c r="N19" s="38" t="s">
        <v>21</v>
      </c>
      <c r="O19" s="33" t="s">
        <v>22</v>
      </c>
      <c r="P19" s="34" t="s">
        <v>23</v>
      </c>
      <c r="Q19" s="38" t="s">
        <v>24</v>
      </c>
      <c r="R19" s="33" t="s">
        <v>25</v>
      </c>
    </row>
    <row r="20" spans="1:18" ht="49.9" customHeight="1" thickTop="1" thickBot="1">
      <c r="A20" s="78" t="s">
        <v>61</v>
      </c>
      <c r="B20" s="78" t="s">
        <v>777</v>
      </c>
      <c r="C20" s="79">
        <v>0.67708333333333337</v>
      </c>
      <c r="D20" s="78" t="s">
        <v>759</v>
      </c>
      <c r="E20" s="215"/>
      <c r="F20" s="78" t="s">
        <v>760</v>
      </c>
      <c r="G20" s="302"/>
      <c r="H20" s="222" t="s">
        <v>777</v>
      </c>
      <c r="I20" s="223">
        <v>0</v>
      </c>
      <c r="J20" s="224">
        <v>0</v>
      </c>
      <c r="K20" s="225" t="s">
        <v>66</v>
      </c>
      <c r="L20" s="224">
        <v>0</v>
      </c>
      <c r="M20" s="224">
        <v>0</v>
      </c>
      <c r="N20" s="224">
        <v>0</v>
      </c>
      <c r="O20" s="226" t="s">
        <v>761</v>
      </c>
      <c r="P20" s="227">
        <v>0.67708333333333337</v>
      </c>
      <c r="Q20" s="224">
        <v>180</v>
      </c>
      <c r="R20" s="228" t="s">
        <v>66</v>
      </c>
    </row>
    <row r="21" spans="1:18" ht="17.45" customHeight="1" thickBot="1">
      <c r="A21" s="283"/>
      <c r="B21" s="284"/>
      <c r="C21" s="284"/>
      <c r="D21" s="284"/>
      <c r="E21" s="284"/>
      <c r="F21" s="284"/>
      <c r="G21" s="284"/>
      <c r="H21" s="284"/>
      <c r="I21" s="284"/>
      <c r="J21" s="284"/>
      <c r="K21" s="284"/>
      <c r="L21" s="284"/>
      <c r="M21" s="284"/>
      <c r="N21" s="284"/>
      <c r="O21" s="284"/>
      <c r="P21" s="284"/>
      <c r="Q21" s="284"/>
      <c r="R21" s="285"/>
    </row>
    <row r="22" spans="1:18" ht="15" thickTop="1"/>
  </sheetData>
  <mergeCells count="23">
    <mergeCell ref="H1:L1"/>
    <mergeCell ref="A1:E1"/>
    <mergeCell ref="A18:F18"/>
    <mergeCell ref="H4:R4"/>
    <mergeCell ref="A12:R12"/>
    <mergeCell ref="A2:F2"/>
    <mergeCell ref="A3:R3"/>
    <mergeCell ref="H9:R9"/>
    <mergeCell ref="N1:R1"/>
    <mergeCell ref="A21:R21"/>
    <mergeCell ref="G6:G7"/>
    <mergeCell ref="G2:J2"/>
    <mergeCell ref="G11"/>
    <mergeCell ref="A4:F4"/>
    <mergeCell ref="G15:G16"/>
    <mergeCell ref="A17:R17"/>
    <mergeCell ref="A8:R8"/>
    <mergeCell ref="A13:F13"/>
    <mergeCell ref="A9:F9"/>
    <mergeCell ref="K2:R2"/>
    <mergeCell ref="H13:R13"/>
    <mergeCell ref="H18:R18"/>
    <mergeCell ref="G20"/>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J8"/>
  <sheetViews>
    <sheetView workbookViewId="0"/>
  </sheetViews>
  <sheetFormatPr defaultColWidth="8.85546875" defaultRowHeight="15.6" outlineLevelCol="1"/>
  <cols>
    <col min="1" max="1" width="8.7109375" style="266" bestFit="1" customWidth="1"/>
    <col min="2" max="2" width="9.7109375" style="266" bestFit="1" customWidth="1"/>
    <col min="3" max="3" width="6.7109375" style="266" bestFit="1" customWidth="1"/>
    <col min="4" max="4" width="5.5703125" style="266" bestFit="1" customWidth="1"/>
    <col min="5" max="5" width="8.5703125" style="266" bestFit="1" customWidth="1"/>
    <col min="6" max="6" width="4.28515625" style="266" bestFit="1" customWidth="1"/>
    <col min="7" max="7" width="8.42578125" style="266" bestFit="1" customWidth="1"/>
    <col min="8" max="8" width="8.5703125" style="266" bestFit="1" customWidth="1"/>
    <col min="9" max="10" width="7" style="266" bestFit="1" customWidth="1"/>
    <col min="11" max="11" width="10.5703125" style="266" bestFit="1" customWidth="1"/>
    <col min="12" max="12" width="9"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240</v>
      </c>
      <c r="B2" s="268">
        <v>46034</v>
      </c>
      <c r="C2" s="269" t="s">
        <v>775</v>
      </c>
      <c r="D2" s="270" t="s">
        <v>276</v>
      </c>
      <c r="E2" s="269" t="s">
        <v>774</v>
      </c>
      <c r="F2" s="269" t="s">
        <v>232</v>
      </c>
      <c r="G2" s="271">
        <v>0</v>
      </c>
      <c r="H2" s="272">
        <v>180</v>
      </c>
      <c r="I2" s="272">
        <v>0</v>
      </c>
      <c r="J2" s="272">
        <v>0</v>
      </c>
      <c r="K2" s="269" t="s">
        <v>233</v>
      </c>
      <c r="L2" s="273" t="s">
        <v>66</v>
      </c>
      <c r="M2" s="272">
        <v>0</v>
      </c>
      <c r="N2" s="272">
        <v>0</v>
      </c>
      <c r="O2" s="272">
        <v>0</v>
      </c>
      <c r="P2" s="269" t="s">
        <v>761</v>
      </c>
      <c r="Q2" s="265"/>
      <c r="R2" s="265"/>
      <c r="S2" s="265"/>
      <c r="T2" s="265"/>
      <c r="U2" s="265"/>
      <c r="V2" s="265"/>
      <c r="W2" s="265"/>
      <c r="X2" s="265"/>
      <c r="Y2" s="265"/>
      <c r="Z2" s="265"/>
      <c r="AA2" s="265"/>
      <c r="AB2" s="265"/>
      <c r="AC2" s="265"/>
      <c r="AD2" s="265"/>
      <c r="AE2" s="265"/>
      <c r="AF2" s="265"/>
      <c r="AG2" s="265"/>
      <c r="AH2" s="265"/>
      <c r="AI2" s="265"/>
      <c r="AJ2" s="265"/>
    </row>
    <row r="3" spans="1:36">
      <c r="A3" s="267" t="s">
        <v>240</v>
      </c>
      <c r="B3" s="268">
        <v>46034</v>
      </c>
      <c r="C3" s="269" t="s">
        <v>776</v>
      </c>
      <c r="D3" s="270" t="s">
        <v>778</v>
      </c>
      <c r="E3" s="269" t="s">
        <v>774</v>
      </c>
      <c r="F3" s="269" t="s">
        <v>232</v>
      </c>
      <c r="G3" s="271">
        <v>0</v>
      </c>
      <c r="H3" s="272">
        <v>180</v>
      </c>
      <c r="I3" s="272">
        <v>0</v>
      </c>
      <c r="J3" s="272">
        <v>0</v>
      </c>
      <c r="K3" s="269" t="s">
        <v>233</v>
      </c>
      <c r="L3" s="273" t="s">
        <v>66</v>
      </c>
      <c r="M3" s="272">
        <v>0</v>
      </c>
      <c r="N3" s="272">
        <v>0</v>
      </c>
      <c r="O3" s="272">
        <v>0</v>
      </c>
      <c r="P3" s="269" t="s">
        <v>761</v>
      </c>
      <c r="Q3" s="265"/>
      <c r="R3" s="265"/>
      <c r="S3" s="265"/>
      <c r="T3" s="265"/>
      <c r="U3" s="265"/>
      <c r="V3" s="265"/>
      <c r="W3" s="265"/>
      <c r="X3" s="265"/>
      <c r="Y3" s="265"/>
      <c r="Z3" s="265"/>
      <c r="AA3" s="265"/>
      <c r="AB3" s="265"/>
      <c r="AC3" s="265"/>
      <c r="AD3" s="265"/>
      <c r="AE3" s="265"/>
      <c r="AF3" s="265"/>
      <c r="AG3" s="265"/>
      <c r="AH3" s="265"/>
      <c r="AI3" s="265"/>
      <c r="AJ3" s="265"/>
    </row>
    <row r="4" spans="1:36">
      <c r="A4" s="267" t="s">
        <v>242</v>
      </c>
      <c r="B4" s="268">
        <v>46035</v>
      </c>
      <c r="C4" s="269" t="s">
        <v>777</v>
      </c>
      <c r="D4" s="270" t="s">
        <v>313</v>
      </c>
      <c r="E4" s="269" t="s">
        <v>774</v>
      </c>
      <c r="F4" s="269" t="s">
        <v>232</v>
      </c>
      <c r="G4" s="271">
        <v>0</v>
      </c>
      <c r="H4" s="272">
        <v>180</v>
      </c>
      <c r="I4" s="272">
        <v>0</v>
      </c>
      <c r="J4" s="272">
        <v>0</v>
      </c>
      <c r="K4" s="269" t="s">
        <v>233</v>
      </c>
      <c r="L4" s="273" t="s">
        <v>66</v>
      </c>
      <c r="M4" s="272">
        <v>0</v>
      </c>
      <c r="N4" s="272">
        <v>0</v>
      </c>
      <c r="O4" s="272">
        <v>0</v>
      </c>
      <c r="P4" s="269" t="s">
        <v>761</v>
      </c>
      <c r="Q4" s="265"/>
      <c r="R4" s="265"/>
      <c r="S4" s="265"/>
      <c r="T4" s="265"/>
      <c r="U4" s="265"/>
      <c r="V4" s="265"/>
      <c r="W4" s="265"/>
      <c r="X4" s="265"/>
      <c r="Y4" s="265"/>
      <c r="Z4" s="265"/>
      <c r="AA4" s="265"/>
      <c r="AB4" s="265"/>
      <c r="AC4" s="265"/>
      <c r="AD4" s="265"/>
      <c r="AE4" s="265"/>
      <c r="AF4" s="265"/>
      <c r="AG4" s="265"/>
      <c r="AH4" s="265"/>
      <c r="AI4" s="265"/>
      <c r="AJ4" s="265"/>
    </row>
    <row r="5" spans="1:36">
      <c r="A5" s="267" t="s">
        <v>240</v>
      </c>
      <c r="B5" s="268">
        <v>46048</v>
      </c>
      <c r="C5" s="269" t="s">
        <v>775</v>
      </c>
      <c r="D5" s="270" t="s">
        <v>276</v>
      </c>
      <c r="E5" s="269" t="s">
        <v>774</v>
      </c>
      <c r="F5" s="269" t="s">
        <v>232</v>
      </c>
      <c r="G5" s="271">
        <v>0</v>
      </c>
      <c r="H5" s="272">
        <v>180</v>
      </c>
      <c r="I5" s="272">
        <v>0</v>
      </c>
      <c r="J5" s="272">
        <v>0</v>
      </c>
      <c r="K5" s="269" t="s">
        <v>233</v>
      </c>
      <c r="L5" s="273" t="s">
        <v>66</v>
      </c>
      <c r="M5" s="272">
        <v>0</v>
      </c>
      <c r="N5" s="272">
        <v>0</v>
      </c>
      <c r="O5" s="272">
        <v>0</v>
      </c>
      <c r="P5" s="269" t="s">
        <v>761</v>
      </c>
      <c r="Q5" s="265"/>
      <c r="R5" s="265"/>
      <c r="S5" s="265"/>
      <c r="T5" s="265"/>
      <c r="U5" s="265"/>
      <c r="V5" s="265"/>
      <c r="W5" s="265"/>
      <c r="X5" s="265"/>
      <c r="Y5" s="265"/>
      <c r="Z5" s="265"/>
      <c r="AA5" s="265"/>
      <c r="AB5" s="265"/>
      <c r="AC5" s="265"/>
      <c r="AD5" s="265"/>
      <c r="AE5" s="265"/>
      <c r="AF5" s="265"/>
      <c r="AG5" s="265"/>
      <c r="AH5" s="265"/>
      <c r="AI5" s="265"/>
      <c r="AJ5" s="265"/>
    </row>
    <row r="6" spans="1:36">
      <c r="A6" s="267" t="s">
        <v>240</v>
      </c>
      <c r="B6" s="268">
        <v>46048</v>
      </c>
      <c r="C6" s="269" t="s">
        <v>776</v>
      </c>
      <c r="D6" s="270" t="s">
        <v>778</v>
      </c>
      <c r="E6" s="269" t="s">
        <v>774</v>
      </c>
      <c r="F6" s="269" t="s">
        <v>232</v>
      </c>
      <c r="G6" s="271">
        <v>0</v>
      </c>
      <c r="H6" s="272">
        <v>180</v>
      </c>
      <c r="I6" s="272">
        <v>0</v>
      </c>
      <c r="J6" s="272">
        <v>0</v>
      </c>
      <c r="K6" s="269" t="s">
        <v>233</v>
      </c>
      <c r="L6" s="273" t="s">
        <v>66</v>
      </c>
      <c r="M6" s="272">
        <v>0</v>
      </c>
      <c r="N6" s="272">
        <v>0</v>
      </c>
      <c r="O6" s="272">
        <v>0</v>
      </c>
      <c r="P6" s="269" t="s">
        <v>761</v>
      </c>
      <c r="Q6" s="265"/>
      <c r="R6" s="265"/>
      <c r="S6" s="265"/>
      <c r="T6" s="265"/>
      <c r="U6" s="265"/>
      <c r="V6" s="265"/>
      <c r="W6" s="265"/>
      <c r="X6" s="265"/>
      <c r="Y6" s="265"/>
      <c r="Z6" s="265"/>
      <c r="AA6" s="265"/>
      <c r="AB6" s="265"/>
      <c r="AC6" s="265"/>
      <c r="AD6" s="265"/>
      <c r="AE6" s="265"/>
      <c r="AF6" s="265"/>
      <c r="AG6" s="265"/>
      <c r="AH6" s="265"/>
      <c r="AI6" s="265"/>
      <c r="AJ6" s="265"/>
    </row>
    <row r="7" spans="1:36">
      <c r="A7" s="267" t="s">
        <v>242</v>
      </c>
      <c r="B7" s="268">
        <v>46049</v>
      </c>
      <c r="C7" s="269" t="s">
        <v>777</v>
      </c>
      <c r="D7" s="270" t="s">
        <v>779</v>
      </c>
      <c r="E7" s="269" t="s">
        <v>774</v>
      </c>
      <c r="F7" s="269" t="s">
        <v>232</v>
      </c>
      <c r="G7" s="271">
        <v>0</v>
      </c>
      <c r="H7" s="272">
        <v>180</v>
      </c>
      <c r="I7" s="272">
        <v>0</v>
      </c>
      <c r="J7" s="272">
        <v>0</v>
      </c>
      <c r="K7" s="269" t="s">
        <v>233</v>
      </c>
      <c r="L7" s="273" t="s">
        <v>66</v>
      </c>
      <c r="M7" s="272">
        <v>0</v>
      </c>
      <c r="N7" s="272">
        <v>0</v>
      </c>
      <c r="O7" s="272">
        <v>0</v>
      </c>
      <c r="P7" s="269" t="s">
        <v>761</v>
      </c>
      <c r="Q7" s="265"/>
      <c r="R7" s="265"/>
      <c r="S7" s="265"/>
      <c r="T7" s="265"/>
      <c r="U7" s="265"/>
      <c r="V7" s="265"/>
      <c r="W7" s="265"/>
      <c r="X7" s="265"/>
      <c r="Y7" s="265"/>
      <c r="Z7" s="265"/>
      <c r="AA7" s="265"/>
      <c r="AB7" s="265"/>
      <c r="AC7" s="265"/>
      <c r="AD7" s="265"/>
      <c r="AE7" s="265"/>
      <c r="AF7" s="265"/>
      <c r="AG7" s="265"/>
      <c r="AH7" s="265"/>
      <c r="AI7" s="265"/>
      <c r="AJ7" s="265"/>
    </row>
    <row r="8" spans="1:36" ht="21">
      <c r="A8" s="274" t="s">
        <v>251</v>
      </c>
      <c r="B8" s="275"/>
      <c r="C8" s="274">
        <f>SUBTOTAL(103,ASW_JED_LF_LEGACY[Flt])</f>
        <v>6</v>
      </c>
      <c r="D8" s="274"/>
      <c r="E8" s="274">
        <f>SUBTOTAL(103,ASW_JED_LF_LEGACY[Brd-Off])</f>
        <v>6</v>
      </c>
      <c r="F8" s="274"/>
      <c r="G8" s="276">
        <f>SUBTOTAL(101,ASW_JED_LF_LEGACY[LF%])</f>
        <v>0</v>
      </c>
      <c r="H8" s="277">
        <f>SUBTOTAL(109,ASW_JED_LF_LEGACY[CAP])</f>
        <v>1080</v>
      </c>
      <c r="I8" s="277">
        <f>SUBTOTAL(109,ASW_JED_LF_LEGACY[BKG(Y)])</f>
        <v>0</v>
      </c>
      <c r="J8" s="277">
        <f>SUBTOTAL(109,ASW_JED_LF_LEGACY[GRP(Y)])</f>
        <v>0</v>
      </c>
      <c r="K8" s="274"/>
      <c r="L8" s="275"/>
      <c r="M8" s="277">
        <f>SUBTOTAL(109,ASW_JED_LF_LEGACY[TO-DAY])</f>
        <v>0</v>
      </c>
      <c r="N8" s="277">
        <f>SUBTOTAL(109,ASW_JED_LF_LEGACY[Y-DAY])</f>
        <v>0</v>
      </c>
      <c r="O8" s="277">
        <f>SUBTOTAL(109,ASW_JED_LF_LEGACY[WEEKLY])</f>
        <v>0</v>
      </c>
      <c r="P8" s="274"/>
      <c r="Q8" s="277">
        <f>SUBTOTAL(109,ASW_JED_LF_LEGACY[Y])</f>
        <v>0</v>
      </c>
      <c r="R8" s="277">
        <f>SUBTOTAL(109,ASW_JED_LF_LEGACY[B])</f>
        <v>0</v>
      </c>
      <c r="S8" s="277">
        <f>SUBTOTAL(109,ASW_JED_LF_LEGACY[M])</f>
        <v>0</v>
      </c>
      <c r="T8" s="277">
        <f>SUBTOTAL(109,ASW_JED_LF_LEGACY[H])</f>
        <v>0</v>
      </c>
      <c r="U8" s="277">
        <f>SUBTOTAL(109,ASW_JED_LF_LEGACY[Q])</f>
        <v>0</v>
      </c>
      <c r="V8" s="277">
        <f>SUBTOTAL(109,ASW_JED_LF_LEGACY[K])</f>
        <v>0</v>
      </c>
      <c r="W8" s="277">
        <f>SUBTOTAL(109,ASW_JED_LF_LEGACY[V])</f>
        <v>0</v>
      </c>
      <c r="X8" s="277">
        <f>SUBTOTAL(109,ASW_JED_LF_LEGACY[L])</f>
        <v>0</v>
      </c>
      <c r="Y8" s="277">
        <f>SUBTOTAL(109,ASW_JED_LF_LEGACY[G])</f>
        <v>0</v>
      </c>
      <c r="Z8" s="277">
        <f>SUBTOTAL(109,ASW_JED_LF_LEGACY[S])</f>
        <v>0</v>
      </c>
      <c r="AA8" s="277">
        <f>SUBTOTAL(109,ASW_JED_LF_LEGACY[W])</f>
        <v>0</v>
      </c>
      <c r="AB8" s="277">
        <f>SUBTOTAL(109,ASW_JED_LF_LEGACY[T])</f>
        <v>0</v>
      </c>
      <c r="AC8" s="277">
        <f>SUBTOTAL(109,ASW_JED_LF_LEGACY[X])</f>
        <v>0</v>
      </c>
      <c r="AD8" s="277">
        <f>SUBTOTAL(109,ASW_JED_LF_LEGACY[U])</f>
        <v>0</v>
      </c>
      <c r="AE8" s="277">
        <f>SUBTOTAL(109,ASW_JED_LF_LEGACY[O])</f>
        <v>0</v>
      </c>
      <c r="AF8" s="277">
        <f>SUBTOTAL(109,ASW_JED_LF_LEGACY[I])</f>
        <v>0</v>
      </c>
      <c r="AG8" s="277">
        <f>SUBTOTAL(109,ASW_JED_LF_LEGACY[E])</f>
        <v>0</v>
      </c>
      <c r="AH8" s="277">
        <f>SUBTOTAL(109,ASW_JED_LF_LEGACY[A])</f>
        <v>0</v>
      </c>
      <c r="AI8" s="277">
        <f>SUBTOTAL(109,ASW_JED_LF_LEGACY[P])</f>
        <v>0</v>
      </c>
      <c r="AJ8" s="277">
        <f>SUBTOTAL(103,ASW_JED_LF_LEGACY[N])</f>
        <v>0</v>
      </c>
    </row>
  </sheetData>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7"/>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16.28515625" bestFit="1" customWidth="1"/>
    <col min="7" max="7" width="20" bestFit="1" customWidth="1"/>
    <col min="8" max="8" width="23.7109375" bestFit="1" customWidth="1"/>
    <col min="9" max="9" width="140"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6" t="s">
        <v>780</v>
      </c>
      <c r="B2" s="117" t="s">
        <v>61</v>
      </c>
      <c r="C2" s="118" t="s">
        <v>781</v>
      </c>
      <c r="D2" s="117" t="s">
        <v>774</v>
      </c>
      <c r="E2" s="117" t="s">
        <v>276</v>
      </c>
      <c r="F2" s="117"/>
      <c r="G2" s="117"/>
      <c r="H2" s="120" t="s">
        <v>760</v>
      </c>
    </row>
    <row r="3" spans="1:8" ht="19.899999999999999" customHeight="1">
      <c r="A3" s="136">
        <v>46034</v>
      </c>
      <c r="B3" s="132" t="s">
        <v>61</v>
      </c>
      <c r="C3" s="133" t="s">
        <v>782</v>
      </c>
      <c r="D3" s="132" t="s">
        <v>774</v>
      </c>
      <c r="E3" s="137">
        <v>1.822916666666667</v>
      </c>
      <c r="F3" s="132"/>
      <c r="G3" s="132"/>
      <c r="H3" s="135" t="s">
        <v>760</v>
      </c>
    </row>
    <row r="4" spans="1:8" ht="19.899999999999999" customHeight="1">
      <c r="A4" s="136">
        <v>46035</v>
      </c>
      <c r="B4" s="132" t="s">
        <v>61</v>
      </c>
      <c r="C4" s="133" t="s">
        <v>783</v>
      </c>
      <c r="D4" s="132" t="s">
        <v>774</v>
      </c>
      <c r="E4" s="137">
        <v>1.479166666666667</v>
      </c>
      <c r="F4" s="132"/>
      <c r="G4" s="132"/>
      <c r="H4" s="135" t="s">
        <v>760</v>
      </c>
    </row>
    <row r="5" spans="1:8" ht="19.899999999999999" customHeight="1">
      <c r="A5" s="129">
        <v>46048</v>
      </c>
      <c r="B5" s="117" t="s">
        <v>61</v>
      </c>
      <c r="C5" s="118" t="s">
        <v>781</v>
      </c>
      <c r="D5" s="117" t="s">
        <v>774</v>
      </c>
      <c r="E5" s="130">
        <v>1.350694444444444</v>
      </c>
      <c r="F5" s="117"/>
      <c r="G5" s="117"/>
      <c r="H5" s="120" t="s">
        <v>760</v>
      </c>
    </row>
    <row r="6" spans="1:8" ht="19.899999999999999" customHeight="1">
      <c r="A6" s="136">
        <v>46048</v>
      </c>
      <c r="B6" s="132" t="s">
        <v>61</v>
      </c>
      <c r="C6" s="133" t="s">
        <v>782</v>
      </c>
      <c r="D6" s="132" t="s">
        <v>774</v>
      </c>
      <c r="E6" s="137">
        <v>1.822916666666667</v>
      </c>
      <c r="F6" s="132"/>
      <c r="G6" s="132"/>
      <c r="H6" s="135" t="s">
        <v>760</v>
      </c>
    </row>
    <row r="7" spans="1:8" ht="19.899999999999999" customHeight="1">
      <c r="A7" s="136">
        <v>46049</v>
      </c>
      <c r="B7" s="132" t="s">
        <v>61</v>
      </c>
      <c r="C7" s="133" t="s">
        <v>783</v>
      </c>
      <c r="D7" s="132" t="s">
        <v>774</v>
      </c>
      <c r="E7" s="137">
        <v>1.677083333333333</v>
      </c>
      <c r="F7" s="132"/>
      <c r="G7" s="132"/>
      <c r="H7" s="135" t="s">
        <v>760</v>
      </c>
    </row>
  </sheetData>
  <pageMargins left="0.75" right="0.75" top="1" bottom="1" header="0.5" footer="0.5"/>
  <legacyDrawing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N83"/>
  <sheetViews>
    <sheetView workbookViewId="0"/>
  </sheetViews>
  <sheetFormatPr defaultRowHeight="14.45"/>
  <cols>
    <col min="1" max="1" width="10.28515625" bestFit="1" customWidth="1"/>
    <col min="2" max="2" width="15.7109375" bestFit="1" customWidth="1"/>
    <col min="3" max="3" width="14.7109375" bestFit="1" customWidth="1"/>
    <col min="4" max="4" width="33" bestFit="1" customWidth="1"/>
    <col min="5" max="5" width="18.5703125" bestFit="1" customWidth="1"/>
    <col min="6" max="6" width="23.42578125" bestFit="1" customWidth="1"/>
    <col min="7" max="7" width="45.140625" bestFit="1" customWidth="1"/>
    <col min="8" max="8" width="9.42578125" bestFit="1" customWidth="1"/>
    <col min="9" max="9" width="6.14062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6.140625" bestFit="1" customWidth="1"/>
    <col min="17" max="17" width="12.28515625" bestFit="1" customWidth="1"/>
    <col min="18" max="18" width="10.7109375" bestFit="1" customWidth="1"/>
  </cols>
  <sheetData>
    <row r="1" spans="1:92" ht="28.9" customHeight="1">
      <c r="A1" s="291" t="s">
        <v>0</v>
      </c>
      <c r="B1" s="294"/>
      <c r="C1" s="294"/>
      <c r="D1" s="294"/>
      <c r="E1" s="294"/>
      <c r="F1" s="1" t="s">
        <v>784</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45980.609938360569</v>
      </c>
      <c r="H2" s="294"/>
      <c r="I2" s="294"/>
      <c r="J2" s="294"/>
      <c r="K2" s="287">
        <v>45980.609938360903</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46023</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8" t="s">
        <v>48</v>
      </c>
      <c r="B6" s="8" t="s">
        <v>785</v>
      </c>
      <c r="C6" s="9">
        <v>0.69097222222222221</v>
      </c>
      <c r="D6" s="8" t="s">
        <v>50</v>
      </c>
      <c r="E6" s="8" t="s">
        <v>51</v>
      </c>
      <c r="F6" s="8" t="s">
        <v>786</v>
      </c>
      <c r="G6" s="297"/>
      <c r="H6" s="10"/>
      <c r="I6" s="11"/>
      <c r="J6" s="11"/>
      <c r="K6" s="11"/>
      <c r="L6" s="11"/>
      <c r="M6" s="11"/>
      <c r="N6" s="11"/>
      <c r="O6" s="12"/>
      <c r="P6" s="11"/>
      <c r="Q6" s="13"/>
      <c r="R6" s="14"/>
    </row>
    <row r="7" spans="1:92" ht="49.9" customHeight="1" thickTop="1" thickBot="1">
      <c r="A7" s="76" t="s">
        <v>48</v>
      </c>
      <c r="B7" s="76" t="s">
        <v>785</v>
      </c>
      <c r="C7" s="77">
        <v>0.69097222222222221</v>
      </c>
      <c r="D7" s="76" t="s">
        <v>53</v>
      </c>
      <c r="E7" s="76" t="s">
        <v>54</v>
      </c>
      <c r="F7" s="76" t="s">
        <v>787</v>
      </c>
      <c r="G7" s="299"/>
      <c r="H7" s="300"/>
      <c r="I7" s="140"/>
      <c r="J7" s="140"/>
      <c r="K7" s="140"/>
      <c r="L7" s="140"/>
      <c r="M7" s="140"/>
      <c r="N7" s="140"/>
      <c r="O7" s="141"/>
      <c r="P7" s="140"/>
      <c r="Q7" s="142"/>
      <c r="R7" s="301"/>
    </row>
    <row r="8" spans="1:92" ht="17.45" customHeight="1" thickBot="1">
      <c r="A8" s="283"/>
      <c r="B8" s="284"/>
      <c r="C8" s="284"/>
      <c r="D8" s="284"/>
      <c r="E8" s="284"/>
      <c r="F8" s="284"/>
      <c r="G8" s="284"/>
      <c r="H8" s="284"/>
      <c r="I8" s="284"/>
      <c r="J8" s="284"/>
      <c r="K8" s="284"/>
      <c r="L8" s="284"/>
      <c r="M8" s="284"/>
      <c r="N8" s="284"/>
      <c r="O8" s="284"/>
      <c r="P8" s="284"/>
      <c r="Q8" s="284"/>
      <c r="R8" s="285"/>
    </row>
    <row r="9" spans="1:92" ht="22.15" customHeight="1" thickTop="1" thickBot="1">
      <c r="A9" s="279" t="s">
        <v>6</v>
      </c>
      <c r="B9" s="295"/>
      <c r="C9" s="295"/>
      <c r="D9" s="295"/>
      <c r="E9" s="295"/>
      <c r="F9" s="296"/>
      <c r="G9" s="32">
        <v>46025</v>
      </c>
      <c r="H9" s="278" t="s">
        <v>7</v>
      </c>
      <c r="I9" s="295"/>
      <c r="J9" s="295"/>
      <c r="K9" s="295"/>
      <c r="L9" s="295"/>
      <c r="M9" s="295"/>
      <c r="N9" s="295"/>
      <c r="O9" s="295"/>
      <c r="P9" s="295"/>
      <c r="Q9" s="295"/>
      <c r="R9" s="296"/>
    </row>
    <row r="10" spans="1:92" ht="24" customHeight="1">
      <c r="A10" s="33" t="s">
        <v>8</v>
      </c>
      <c r="B10" s="33" t="s">
        <v>9</v>
      </c>
      <c r="C10" s="34" t="s">
        <v>10</v>
      </c>
      <c r="D10" s="33" t="s">
        <v>11</v>
      </c>
      <c r="E10" s="33" t="s">
        <v>12</v>
      </c>
      <c r="F10" s="35" t="s">
        <v>13</v>
      </c>
      <c r="G10" s="36" t="s">
        <v>14</v>
      </c>
      <c r="H10" s="33" t="s">
        <v>15</v>
      </c>
      <c r="I10" s="37" t="s">
        <v>16</v>
      </c>
      <c r="J10" s="38" t="s">
        <v>17</v>
      </c>
      <c r="K10" s="39" t="s">
        <v>18</v>
      </c>
      <c r="L10" s="38" t="s">
        <v>19</v>
      </c>
      <c r="M10" s="38" t="s">
        <v>20</v>
      </c>
      <c r="N10" s="38" t="s">
        <v>21</v>
      </c>
      <c r="O10" s="33" t="s">
        <v>22</v>
      </c>
      <c r="P10" s="34" t="s">
        <v>23</v>
      </c>
      <c r="Q10" s="38" t="s">
        <v>24</v>
      </c>
      <c r="R10" s="33" t="s">
        <v>25</v>
      </c>
    </row>
    <row r="11" spans="1:92" ht="49.9" customHeight="1" thickTop="1" thickBot="1">
      <c r="A11" s="166" t="s">
        <v>48</v>
      </c>
      <c r="B11" s="166" t="s">
        <v>785</v>
      </c>
      <c r="C11" s="167">
        <v>0.69097222222222221</v>
      </c>
      <c r="D11" s="166" t="s">
        <v>53</v>
      </c>
      <c r="E11" s="166" t="s">
        <v>51</v>
      </c>
      <c r="F11" s="166" t="s">
        <v>788</v>
      </c>
      <c r="G11" s="297"/>
      <c r="H11" s="300"/>
      <c r="I11" s="140"/>
      <c r="J11" s="140"/>
      <c r="K11" s="140"/>
      <c r="L11" s="140"/>
      <c r="M11" s="140"/>
      <c r="N11" s="140"/>
      <c r="O11" s="141"/>
      <c r="P11" s="140"/>
      <c r="Q11" s="142"/>
      <c r="R11" s="301"/>
    </row>
    <row r="12" spans="1:92" ht="17.45" customHeight="1" thickBot="1">
      <c r="A12" s="283"/>
      <c r="B12" s="284"/>
      <c r="C12" s="284"/>
      <c r="D12" s="284"/>
      <c r="E12" s="284"/>
      <c r="F12" s="284"/>
      <c r="G12" s="284"/>
      <c r="H12" s="284"/>
      <c r="I12" s="284"/>
      <c r="J12" s="284"/>
      <c r="K12" s="284"/>
      <c r="L12" s="284"/>
      <c r="M12" s="284"/>
      <c r="N12" s="284"/>
      <c r="O12" s="284"/>
      <c r="P12" s="284"/>
      <c r="Q12" s="284"/>
      <c r="R12" s="285"/>
    </row>
    <row r="13" spans="1:92" ht="22.15" customHeight="1" thickTop="1" thickBot="1">
      <c r="A13" s="279" t="s">
        <v>6</v>
      </c>
      <c r="B13" s="295"/>
      <c r="C13" s="295"/>
      <c r="D13" s="295"/>
      <c r="E13" s="295"/>
      <c r="F13" s="296"/>
      <c r="G13" s="32">
        <v>46026</v>
      </c>
      <c r="H13" s="278" t="s">
        <v>7</v>
      </c>
      <c r="I13" s="295"/>
      <c r="J13" s="295"/>
      <c r="K13" s="295"/>
      <c r="L13" s="295"/>
      <c r="M13" s="295"/>
      <c r="N13" s="295"/>
      <c r="O13" s="295"/>
      <c r="P13" s="295"/>
      <c r="Q13" s="295"/>
      <c r="R13" s="296"/>
    </row>
    <row r="14" spans="1:92" ht="24" customHeight="1">
      <c r="A14" s="33" t="s">
        <v>8</v>
      </c>
      <c r="B14" s="33" t="s">
        <v>9</v>
      </c>
      <c r="C14" s="34" t="s">
        <v>10</v>
      </c>
      <c r="D14" s="33" t="s">
        <v>11</v>
      </c>
      <c r="E14" s="33" t="s">
        <v>12</v>
      </c>
      <c r="F14" s="35" t="s">
        <v>13</v>
      </c>
      <c r="G14" s="36" t="s">
        <v>14</v>
      </c>
      <c r="H14" s="33" t="s">
        <v>15</v>
      </c>
      <c r="I14" s="37" t="s">
        <v>16</v>
      </c>
      <c r="J14" s="38" t="s">
        <v>17</v>
      </c>
      <c r="K14" s="39" t="s">
        <v>18</v>
      </c>
      <c r="L14" s="38" t="s">
        <v>19</v>
      </c>
      <c r="M14" s="38" t="s">
        <v>20</v>
      </c>
      <c r="N14" s="38" t="s">
        <v>21</v>
      </c>
      <c r="O14" s="33" t="s">
        <v>22</v>
      </c>
      <c r="P14" s="34" t="s">
        <v>23</v>
      </c>
      <c r="Q14" s="38" t="s">
        <v>24</v>
      </c>
      <c r="R14" s="33" t="s">
        <v>25</v>
      </c>
    </row>
    <row r="15" spans="1:92" ht="49.9" customHeight="1">
      <c r="A15" s="8" t="s">
        <v>48</v>
      </c>
      <c r="B15" s="8" t="s">
        <v>785</v>
      </c>
      <c r="C15" s="9">
        <v>0.69097222222222221</v>
      </c>
      <c r="D15" s="8" t="s">
        <v>50</v>
      </c>
      <c r="E15" s="8" t="s">
        <v>51</v>
      </c>
      <c r="F15" s="8" t="s">
        <v>786</v>
      </c>
      <c r="G15" s="297"/>
      <c r="H15" s="10"/>
      <c r="I15" s="11"/>
      <c r="J15" s="11"/>
      <c r="K15" s="11"/>
      <c r="L15" s="11"/>
      <c r="M15" s="11"/>
      <c r="N15" s="11"/>
      <c r="O15" s="12"/>
      <c r="P15" s="11"/>
      <c r="Q15" s="13"/>
      <c r="R15" s="14"/>
    </row>
    <row r="16" spans="1:92" ht="49.9" customHeight="1" thickTop="1" thickBot="1">
      <c r="A16" s="76" t="s">
        <v>48</v>
      </c>
      <c r="B16" s="76" t="s">
        <v>785</v>
      </c>
      <c r="C16" s="77">
        <v>0.69097222222222221</v>
      </c>
      <c r="D16" s="76" t="s">
        <v>53</v>
      </c>
      <c r="E16" s="76" t="s">
        <v>54</v>
      </c>
      <c r="F16" s="76" t="s">
        <v>787</v>
      </c>
      <c r="G16" s="299"/>
      <c r="H16" s="300"/>
      <c r="I16" s="140"/>
      <c r="J16" s="140"/>
      <c r="K16" s="140"/>
      <c r="L16" s="140"/>
      <c r="M16" s="140"/>
      <c r="N16" s="140"/>
      <c r="O16" s="141"/>
      <c r="P16" s="140"/>
      <c r="Q16" s="142"/>
      <c r="R16" s="301"/>
    </row>
    <row r="17" spans="1:18" ht="17.45" customHeight="1" thickBot="1">
      <c r="A17" s="283"/>
      <c r="B17" s="284"/>
      <c r="C17" s="284"/>
      <c r="D17" s="284"/>
      <c r="E17" s="284"/>
      <c r="F17" s="284"/>
      <c r="G17" s="284"/>
      <c r="H17" s="284"/>
      <c r="I17" s="284"/>
      <c r="J17" s="284"/>
      <c r="K17" s="284"/>
      <c r="L17" s="284"/>
      <c r="M17" s="284"/>
      <c r="N17" s="284"/>
      <c r="O17" s="284"/>
      <c r="P17" s="284"/>
      <c r="Q17" s="284"/>
      <c r="R17" s="285"/>
    </row>
    <row r="18" spans="1:18" ht="22.15" customHeight="1" thickTop="1" thickBot="1">
      <c r="A18" s="279" t="s">
        <v>6</v>
      </c>
      <c r="B18" s="295"/>
      <c r="C18" s="295"/>
      <c r="D18" s="295"/>
      <c r="E18" s="295"/>
      <c r="F18" s="296"/>
      <c r="G18" s="32">
        <v>46028</v>
      </c>
      <c r="H18" s="278" t="s">
        <v>7</v>
      </c>
      <c r="I18" s="295"/>
      <c r="J18" s="295"/>
      <c r="K18" s="295"/>
      <c r="L18" s="295"/>
      <c r="M18" s="295"/>
      <c r="N18" s="295"/>
      <c r="O18" s="295"/>
      <c r="P18" s="295"/>
      <c r="Q18" s="295"/>
      <c r="R18" s="296"/>
    </row>
    <row r="19" spans="1:18" ht="24" customHeight="1">
      <c r="A19" s="33" t="s">
        <v>8</v>
      </c>
      <c r="B19" s="33" t="s">
        <v>9</v>
      </c>
      <c r="C19" s="34" t="s">
        <v>10</v>
      </c>
      <c r="D19" s="33" t="s">
        <v>11</v>
      </c>
      <c r="E19" s="33" t="s">
        <v>12</v>
      </c>
      <c r="F19" s="35" t="s">
        <v>13</v>
      </c>
      <c r="G19" s="36" t="s">
        <v>14</v>
      </c>
      <c r="H19" s="33" t="s">
        <v>15</v>
      </c>
      <c r="I19" s="37" t="s">
        <v>16</v>
      </c>
      <c r="J19" s="38" t="s">
        <v>17</v>
      </c>
      <c r="K19" s="39" t="s">
        <v>18</v>
      </c>
      <c r="L19" s="38" t="s">
        <v>19</v>
      </c>
      <c r="M19" s="38" t="s">
        <v>20</v>
      </c>
      <c r="N19" s="38" t="s">
        <v>21</v>
      </c>
      <c r="O19" s="33" t="s">
        <v>22</v>
      </c>
      <c r="P19" s="34" t="s">
        <v>23</v>
      </c>
      <c r="Q19" s="38" t="s">
        <v>24</v>
      </c>
      <c r="R19" s="33" t="s">
        <v>25</v>
      </c>
    </row>
    <row r="20" spans="1:18" ht="49.9" customHeight="1">
      <c r="A20" s="8" t="s">
        <v>48</v>
      </c>
      <c r="B20" s="8" t="s">
        <v>785</v>
      </c>
      <c r="C20" s="9">
        <v>0.69097222222222221</v>
      </c>
      <c r="D20" s="8" t="s">
        <v>50</v>
      </c>
      <c r="E20" s="8" t="s">
        <v>51</v>
      </c>
      <c r="F20" s="8" t="s">
        <v>786</v>
      </c>
      <c r="G20" s="297"/>
      <c r="H20" s="10"/>
      <c r="I20" s="11"/>
      <c r="J20" s="11"/>
      <c r="K20" s="11"/>
      <c r="L20" s="11"/>
      <c r="M20" s="11"/>
      <c r="N20" s="11"/>
      <c r="O20" s="12"/>
      <c r="P20" s="11"/>
      <c r="Q20" s="13"/>
      <c r="R20" s="14"/>
    </row>
    <row r="21" spans="1:18" ht="49.9" customHeight="1" thickTop="1" thickBot="1">
      <c r="A21" s="76" t="s">
        <v>48</v>
      </c>
      <c r="B21" s="76" t="s">
        <v>785</v>
      </c>
      <c r="C21" s="77">
        <v>0.69097222222222221</v>
      </c>
      <c r="D21" s="76" t="s">
        <v>53</v>
      </c>
      <c r="E21" s="76" t="s">
        <v>54</v>
      </c>
      <c r="F21" s="76" t="s">
        <v>787</v>
      </c>
      <c r="G21" s="299"/>
      <c r="H21" s="300"/>
      <c r="I21" s="140"/>
      <c r="J21" s="140"/>
      <c r="K21" s="140"/>
      <c r="L21" s="140"/>
      <c r="M21" s="140"/>
      <c r="N21" s="140"/>
      <c r="O21" s="141"/>
      <c r="P21" s="140"/>
      <c r="Q21" s="142"/>
      <c r="R21" s="301"/>
    </row>
    <row r="22" spans="1:18" ht="17.45" customHeight="1" thickBot="1">
      <c r="A22" s="283"/>
      <c r="B22" s="284"/>
      <c r="C22" s="284"/>
      <c r="D22" s="284"/>
      <c r="E22" s="284"/>
      <c r="F22" s="284"/>
      <c r="G22" s="284"/>
      <c r="H22" s="284"/>
      <c r="I22" s="284"/>
      <c r="J22" s="284"/>
      <c r="K22" s="284"/>
      <c r="L22" s="284"/>
      <c r="M22" s="284"/>
      <c r="N22" s="284"/>
      <c r="O22" s="284"/>
      <c r="P22" s="284"/>
      <c r="Q22" s="284"/>
      <c r="R22" s="285"/>
    </row>
    <row r="23" spans="1:18" ht="22.15" customHeight="1" thickTop="1" thickBot="1">
      <c r="A23" s="279" t="s">
        <v>6</v>
      </c>
      <c r="B23" s="295"/>
      <c r="C23" s="295"/>
      <c r="D23" s="295"/>
      <c r="E23" s="295"/>
      <c r="F23" s="296"/>
      <c r="G23" s="32">
        <v>46030</v>
      </c>
      <c r="H23" s="278" t="s">
        <v>7</v>
      </c>
      <c r="I23" s="295"/>
      <c r="J23" s="295"/>
      <c r="K23" s="295"/>
      <c r="L23" s="295"/>
      <c r="M23" s="295"/>
      <c r="N23" s="295"/>
      <c r="O23" s="295"/>
      <c r="P23" s="295"/>
      <c r="Q23" s="295"/>
      <c r="R23" s="296"/>
    </row>
    <row r="24" spans="1:18" ht="24" customHeight="1">
      <c r="A24" s="33" t="s">
        <v>8</v>
      </c>
      <c r="B24" s="33" t="s">
        <v>9</v>
      </c>
      <c r="C24" s="34" t="s">
        <v>10</v>
      </c>
      <c r="D24" s="33" t="s">
        <v>11</v>
      </c>
      <c r="E24" s="33" t="s">
        <v>12</v>
      </c>
      <c r="F24" s="35" t="s">
        <v>13</v>
      </c>
      <c r="G24" s="36" t="s">
        <v>14</v>
      </c>
      <c r="H24" s="33" t="s">
        <v>15</v>
      </c>
      <c r="I24" s="37" t="s">
        <v>16</v>
      </c>
      <c r="J24" s="38" t="s">
        <v>17</v>
      </c>
      <c r="K24" s="39" t="s">
        <v>18</v>
      </c>
      <c r="L24" s="38" t="s">
        <v>19</v>
      </c>
      <c r="M24" s="38" t="s">
        <v>20</v>
      </c>
      <c r="N24" s="38" t="s">
        <v>21</v>
      </c>
      <c r="O24" s="33" t="s">
        <v>22</v>
      </c>
      <c r="P24" s="34" t="s">
        <v>23</v>
      </c>
      <c r="Q24" s="38" t="s">
        <v>24</v>
      </c>
      <c r="R24" s="33" t="s">
        <v>25</v>
      </c>
    </row>
    <row r="25" spans="1:18" ht="49.9" customHeight="1">
      <c r="A25" s="8" t="s">
        <v>48</v>
      </c>
      <c r="B25" s="8" t="s">
        <v>785</v>
      </c>
      <c r="C25" s="9">
        <v>0.69097222222222221</v>
      </c>
      <c r="D25" s="8" t="s">
        <v>50</v>
      </c>
      <c r="E25" s="8" t="s">
        <v>51</v>
      </c>
      <c r="F25" s="8" t="s">
        <v>786</v>
      </c>
      <c r="G25" s="302"/>
      <c r="H25" s="10"/>
      <c r="I25" s="11"/>
      <c r="J25" s="11"/>
      <c r="K25" s="11"/>
      <c r="L25" s="11"/>
      <c r="M25" s="11"/>
      <c r="N25" s="11"/>
      <c r="O25" s="12"/>
      <c r="P25" s="11"/>
      <c r="Q25" s="13"/>
      <c r="R25" s="14"/>
    </row>
    <row r="26" spans="1:18" ht="49.9" customHeight="1" thickTop="1" thickBot="1">
      <c r="A26" s="76" t="s">
        <v>48</v>
      </c>
      <c r="B26" s="76" t="s">
        <v>785</v>
      </c>
      <c r="C26" s="77">
        <v>0.69097222222222221</v>
      </c>
      <c r="D26" s="76" t="s">
        <v>53</v>
      </c>
      <c r="E26" s="76" t="s">
        <v>54</v>
      </c>
      <c r="F26" s="76" t="s">
        <v>787</v>
      </c>
      <c r="G26" s="299"/>
      <c r="H26" s="300"/>
      <c r="I26" s="140"/>
      <c r="J26" s="140"/>
      <c r="K26" s="140"/>
      <c r="L26" s="140"/>
      <c r="M26" s="140"/>
      <c r="N26" s="140"/>
      <c r="O26" s="141"/>
      <c r="P26" s="140"/>
      <c r="Q26" s="142"/>
      <c r="R26" s="301"/>
    </row>
    <row r="27" spans="1:18" ht="17.45" customHeight="1" thickBot="1">
      <c r="A27" s="283"/>
      <c r="B27" s="284"/>
      <c r="C27" s="284"/>
      <c r="D27" s="284"/>
      <c r="E27" s="284"/>
      <c r="F27" s="284"/>
      <c r="G27" s="284"/>
      <c r="H27" s="284"/>
      <c r="I27" s="284"/>
      <c r="J27" s="284"/>
      <c r="K27" s="284"/>
      <c r="L27" s="284"/>
      <c r="M27" s="284"/>
      <c r="N27" s="284"/>
      <c r="O27" s="284"/>
      <c r="P27" s="284"/>
      <c r="Q27" s="284"/>
      <c r="R27" s="285"/>
    </row>
    <row r="28" spans="1:18" ht="22.15" customHeight="1" thickTop="1" thickBot="1">
      <c r="A28" s="279" t="s">
        <v>6</v>
      </c>
      <c r="B28" s="295"/>
      <c r="C28" s="295"/>
      <c r="D28" s="295"/>
      <c r="E28" s="295"/>
      <c r="F28" s="296"/>
      <c r="G28" s="32">
        <v>46032</v>
      </c>
      <c r="H28" s="278" t="s">
        <v>7</v>
      </c>
      <c r="I28" s="295"/>
      <c r="J28" s="295"/>
      <c r="K28" s="295"/>
      <c r="L28" s="295"/>
      <c r="M28" s="295"/>
      <c r="N28" s="295"/>
      <c r="O28" s="295"/>
      <c r="P28" s="295"/>
      <c r="Q28" s="295"/>
      <c r="R28" s="296"/>
    </row>
    <row r="29" spans="1:18" ht="24" customHeight="1">
      <c r="A29" s="33" t="s">
        <v>8</v>
      </c>
      <c r="B29" s="33" t="s">
        <v>9</v>
      </c>
      <c r="C29" s="34" t="s">
        <v>10</v>
      </c>
      <c r="D29" s="33" t="s">
        <v>11</v>
      </c>
      <c r="E29" s="33" t="s">
        <v>12</v>
      </c>
      <c r="F29" s="35" t="s">
        <v>13</v>
      </c>
      <c r="G29" s="36" t="s">
        <v>14</v>
      </c>
      <c r="H29" s="33" t="s">
        <v>15</v>
      </c>
      <c r="I29" s="37" t="s">
        <v>16</v>
      </c>
      <c r="J29" s="38" t="s">
        <v>17</v>
      </c>
      <c r="K29" s="39" t="s">
        <v>18</v>
      </c>
      <c r="L29" s="38" t="s">
        <v>19</v>
      </c>
      <c r="M29" s="38" t="s">
        <v>20</v>
      </c>
      <c r="N29" s="38" t="s">
        <v>21</v>
      </c>
      <c r="O29" s="33" t="s">
        <v>22</v>
      </c>
      <c r="P29" s="34" t="s">
        <v>23</v>
      </c>
      <c r="Q29" s="38" t="s">
        <v>24</v>
      </c>
      <c r="R29" s="33" t="s">
        <v>25</v>
      </c>
    </row>
    <row r="30" spans="1:18" ht="49.9" customHeight="1">
      <c r="A30" s="8" t="s">
        <v>48</v>
      </c>
      <c r="B30" s="8" t="s">
        <v>785</v>
      </c>
      <c r="C30" s="9">
        <v>0.69097222222222221</v>
      </c>
      <c r="D30" s="8" t="s">
        <v>50</v>
      </c>
      <c r="E30" s="8" t="s">
        <v>51</v>
      </c>
      <c r="F30" s="8" t="s">
        <v>786</v>
      </c>
      <c r="G30" s="297"/>
      <c r="H30" s="10"/>
      <c r="I30" s="11"/>
      <c r="J30" s="11"/>
      <c r="K30" s="11"/>
      <c r="L30" s="11"/>
      <c r="M30" s="11"/>
      <c r="N30" s="11"/>
      <c r="O30" s="12"/>
      <c r="P30" s="11"/>
      <c r="Q30" s="13"/>
      <c r="R30" s="14"/>
    </row>
    <row r="31" spans="1:18" ht="49.9" customHeight="1" thickTop="1" thickBot="1">
      <c r="A31" s="76" t="s">
        <v>48</v>
      </c>
      <c r="B31" s="76" t="s">
        <v>785</v>
      </c>
      <c r="C31" s="77">
        <v>0.69097222222222221</v>
      </c>
      <c r="D31" s="76" t="s">
        <v>53</v>
      </c>
      <c r="E31" s="76" t="s">
        <v>54</v>
      </c>
      <c r="F31" s="76" t="s">
        <v>787</v>
      </c>
      <c r="G31" s="299"/>
      <c r="H31" s="300"/>
      <c r="I31" s="140"/>
      <c r="J31" s="140"/>
      <c r="K31" s="140"/>
      <c r="L31" s="140"/>
      <c r="M31" s="140"/>
      <c r="N31" s="140"/>
      <c r="O31" s="141"/>
      <c r="P31" s="140"/>
      <c r="Q31" s="142"/>
      <c r="R31" s="301"/>
    </row>
    <row r="32" spans="1:18" ht="17.45" customHeight="1" thickBot="1">
      <c r="A32" s="283"/>
      <c r="B32" s="284"/>
      <c r="C32" s="284"/>
      <c r="D32" s="284"/>
      <c r="E32" s="284"/>
      <c r="F32" s="284"/>
      <c r="G32" s="284"/>
      <c r="H32" s="284"/>
      <c r="I32" s="284"/>
      <c r="J32" s="284"/>
      <c r="K32" s="284"/>
      <c r="L32" s="284"/>
      <c r="M32" s="284"/>
      <c r="N32" s="284"/>
      <c r="O32" s="284"/>
      <c r="P32" s="284"/>
      <c r="Q32" s="284"/>
      <c r="R32" s="285"/>
    </row>
    <row r="33" spans="1:18" ht="22.15" customHeight="1" thickTop="1" thickBot="1">
      <c r="A33" s="279" t="s">
        <v>6</v>
      </c>
      <c r="B33" s="295"/>
      <c r="C33" s="295"/>
      <c r="D33" s="295"/>
      <c r="E33" s="295"/>
      <c r="F33" s="296"/>
      <c r="G33" s="32">
        <v>46033</v>
      </c>
      <c r="H33" s="278" t="s">
        <v>7</v>
      </c>
      <c r="I33" s="295"/>
      <c r="J33" s="295"/>
      <c r="K33" s="295"/>
      <c r="L33" s="295"/>
      <c r="M33" s="295"/>
      <c r="N33" s="295"/>
      <c r="O33" s="295"/>
      <c r="P33" s="295"/>
      <c r="Q33" s="295"/>
      <c r="R33" s="296"/>
    </row>
    <row r="34" spans="1:18" ht="24" customHeight="1">
      <c r="A34" s="33" t="s">
        <v>8</v>
      </c>
      <c r="B34" s="33" t="s">
        <v>9</v>
      </c>
      <c r="C34" s="34" t="s">
        <v>10</v>
      </c>
      <c r="D34" s="33" t="s">
        <v>11</v>
      </c>
      <c r="E34" s="33" t="s">
        <v>12</v>
      </c>
      <c r="F34" s="35" t="s">
        <v>13</v>
      </c>
      <c r="G34" s="36" t="s">
        <v>14</v>
      </c>
      <c r="H34" s="33" t="s">
        <v>15</v>
      </c>
      <c r="I34" s="37" t="s">
        <v>16</v>
      </c>
      <c r="J34" s="38" t="s">
        <v>17</v>
      </c>
      <c r="K34" s="39" t="s">
        <v>18</v>
      </c>
      <c r="L34" s="38" t="s">
        <v>19</v>
      </c>
      <c r="M34" s="38" t="s">
        <v>20</v>
      </c>
      <c r="N34" s="38" t="s">
        <v>21</v>
      </c>
      <c r="O34" s="33" t="s">
        <v>22</v>
      </c>
      <c r="P34" s="34" t="s">
        <v>23</v>
      </c>
      <c r="Q34" s="38" t="s">
        <v>24</v>
      </c>
      <c r="R34" s="33" t="s">
        <v>25</v>
      </c>
    </row>
    <row r="35" spans="1:18" ht="49.9" customHeight="1">
      <c r="A35" s="8" t="s">
        <v>48</v>
      </c>
      <c r="B35" s="8" t="s">
        <v>785</v>
      </c>
      <c r="C35" s="9">
        <v>0.69097222222222221</v>
      </c>
      <c r="D35" s="8" t="s">
        <v>50</v>
      </c>
      <c r="E35" s="8" t="s">
        <v>51</v>
      </c>
      <c r="F35" s="8" t="s">
        <v>786</v>
      </c>
      <c r="G35" s="297"/>
      <c r="H35" s="10"/>
      <c r="I35" s="11"/>
      <c r="J35" s="11"/>
      <c r="K35" s="11"/>
      <c r="L35" s="11"/>
      <c r="M35" s="11"/>
      <c r="N35" s="11"/>
      <c r="O35" s="12"/>
      <c r="P35" s="11"/>
      <c r="Q35" s="13"/>
      <c r="R35" s="14"/>
    </row>
    <row r="36" spans="1:18" ht="49.9" customHeight="1" thickTop="1" thickBot="1">
      <c r="A36" s="76" t="s">
        <v>48</v>
      </c>
      <c r="B36" s="76" t="s">
        <v>785</v>
      </c>
      <c r="C36" s="77">
        <v>0.69097222222222221</v>
      </c>
      <c r="D36" s="76" t="s">
        <v>53</v>
      </c>
      <c r="E36" s="76" t="s">
        <v>54</v>
      </c>
      <c r="F36" s="76" t="s">
        <v>787</v>
      </c>
      <c r="G36" s="299"/>
      <c r="H36" s="300"/>
      <c r="I36" s="140"/>
      <c r="J36" s="140"/>
      <c r="K36" s="140"/>
      <c r="L36" s="140"/>
      <c r="M36" s="140"/>
      <c r="N36" s="140"/>
      <c r="O36" s="141"/>
      <c r="P36" s="140"/>
      <c r="Q36" s="142"/>
      <c r="R36" s="301"/>
    </row>
    <row r="37" spans="1:18" ht="17.45" customHeight="1" thickBot="1">
      <c r="A37" s="283"/>
      <c r="B37" s="284"/>
      <c r="C37" s="284"/>
      <c r="D37" s="284"/>
      <c r="E37" s="284"/>
      <c r="F37" s="284"/>
      <c r="G37" s="284"/>
      <c r="H37" s="284"/>
      <c r="I37" s="284"/>
      <c r="J37" s="284"/>
      <c r="K37" s="284"/>
      <c r="L37" s="284"/>
      <c r="M37" s="284"/>
      <c r="N37" s="284"/>
      <c r="O37" s="284"/>
      <c r="P37" s="284"/>
      <c r="Q37" s="284"/>
      <c r="R37" s="285"/>
    </row>
    <row r="38" spans="1:18" ht="22.15" customHeight="1" thickTop="1" thickBot="1">
      <c r="A38" s="279" t="s">
        <v>6</v>
      </c>
      <c r="B38" s="295"/>
      <c r="C38" s="295"/>
      <c r="D38" s="295"/>
      <c r="E38" s="295"/>
      <c r="F38" s="296"/>
      <c r="G38" s="32">
        <v>46035</v>
      </c>
      <c r="H38" s="278" t="s">
        <v>7</v>
      </c>
      <c r="I38" s="295"/>
      <c r="J38" s="295"/>
      <c r="K38" s="295"/>
      <c r="L38" s="295"/>
      <c r="M38" s="295"/>
      <c r="N38" s="295"/>
      <c r="O38" s="295"/>
      <c r="P38" s="295"/>
      <c r="Q38" s="295"/>
      <c r="R38" s="296"/>
    </row>
    <row r="39" spans="1:18" ht="24" customHeight="1">
      <c r="A39" s="33" t="s">
        <v>8</v>
      </c>
      <c r="B39" s="33" t="s">
        <v>9</v>
      </c>
      <c r="C39" s="34" t="s">
        <v>10</v>
      </c>
      <c r="D39" s="33" t="s">
        <v>11</v>
      </c>
      <c r="E39" s="33" t="s">
        <v>12</v>
      </c>
      <c r="F39" s="35" t="s">
        <v>13</v>
      </c>
      <c r="G39" s="36" t="s">
        <v>14</v>
      </c>
      <c r="H39" s="33" t="s">
        <v>15</v>
      </c>
      <c r="I39" s="37" t="s">
        <v>16</v>
      </c>
      <c r="J39" s="38" t="s">
        <v>17</v>
      </c>
      <c r="K39" s="39" t="s">
        <v>18</v>
      </c>
      <c r="L39" s="38" t="s">
        <v>19</v>
      </c>
      <c r="M39" s="38" t="s">
        <v>20</v>
      </c>
      <c r="N39" s="38" t="s">
        <v>21</v>
      </c>
      <c r="O39" s="33" t="s">
        <v>22</v>
      </c>
      <c r="P39" s="34" t="s">
        <v>23</v>
      </c>
      <c r="Q39" s="38" t="s">
        <v>24</v>
      </c>
      <c r="R39" s="33" t="s">
        <v>25</v>
      </c>
    </row>
    <row r="40" spans="1:18" ht="49.9" customHeight="1">
      <c r="A40" s="8" t="s">
        <v>48</v>
      </c>
      <c r="B40" s="8" t="s">
        <v>785</v>
      </c>
      <c r="C40" s="9">
        <v>0.69097222222222221</v>
      </c>
      <c r="D40" s="8" t="s">
        <v>50</v>
      </c>
      <c r="E40" s="8" t="s">
        <v>51</v>
      </c>
      <c r="F40" s="8" t="s">
        <v>786</v>
      </c>
      <c r="G40" s="302"/>
      <c r="H40" s="10"/>
      <c r="I40" s="11"/>
      <c r="J40" s="11"/>
      <c r="K40" s="11"/>
      <c r="L40" s="11"/>
      <c r="M40" s="11"/>
      <c r="N40" s="11"/>
      <c r="O40" s="12"/>
      <c r="P40" s="11"/>
      <c r="Q40" s="13"/>
      <c r="R40" s="14"/>
    </row>
    <row r="41" spans="1:18" ht="49.9" customHeight="1" thickTop="1" thickBot="1">
      <c r="A41" s="76" t="s">
        <v>48</v>
      </c>
      <c r="B41" s="76" t="s">
        <v>785</v>
      </c>
      <c r="C41" s="77">
        <v>0.69097222222222221</v>
      </c>
      <c r="D41" s="76" t="s">
        <v>53</v>
      </c>
      <c r="E41" s="76" t="s">
        <v>54</v>
      </c>
      <c r="F41" s="76" t="s">
        <v>787</v>
      </c>
      <c r="G41" s="299"/>
      <c r="H41" s="300"/>
      <c r="I41" s="140"/>
      <c r="J41" s="140"/>
      <c r="K41" s="140"/>
      <c r="L41" s="140"/>
      <c r="M41" s="140"/>
      <c r="N41" s="140"/>
      <c r="O41" s="141"/>
      <c r="P41" s="140"/>
      <c r="Q41" s="142"/>
      <c r="R41" s="301"/>
    </row>
    <row r="42" spans="1:18" ht="17.45" customHeight="1" thickBot="1">
      <c r="A42" s="283"/>
      <c r="B42" s="284"/>
      <c r="C42" s="284"/>
      <c r="D42" s="284"/>
      <c r="E42" s="284"/>
      <c r="F42" s="284"/>
      <c r="G42" s="284"/>
      <c r="H42" s="284"/>
      <c r="I42" s="284"/>
      <c r="J42" s="284"/>
      <c r="K42" s="284"/>
      <c r="L42" s="284"/>
      <c r="M42" s="284"/>
      <c r="N42" s="284"/>
      <c r="O42" s="284"/>
      <c r="P42" s="284"/>
      <c r="Q42" s="284"/>
      <c r="R42" s="285"/>
    </row>
    <row r="43" spans="1:18" ht="22.15" customHeight="1" thickTop="1" thickBot="1">
      <c r="A43" s="279" t="s">
        <v>6</v>
      </c>
      <c r="B43" s="295"/>
      <c r="C43" s="295"/>
      <c r="D43" s="295"/>
      <c r="E43" s="295"/>
      <c r="F43" s="296"/>
      <c r="G43" s="32">
        <v>46037</v>
      </c>
      <c r="H43" s="278" t="s">
        <v>7</v>
      </c>
      <c r="I43" s="295"/>
      <c r="J43" s="295"/>
      <c r="K43" s="295"/>
      <c r="L43" s="295"/>
      <c r="M43" s="295"/>
      <c r="N43" s="295"/>
      <c r="O43" s="295"/>
      <c r="P43" s="295"/>
      <c r="Q43" s="295"/>
      <c r="R43" s="296"/>
    </row>
    <row r="44" spans="1:18" ht="24" customHeight="1">
      <c r="A44" s="33" t="s">
        <v>8</v>
      </c>
      <c r="B44" s="33" t="s">
        <v>9</v>
      </c>
      <c r="C44" s="34" t="s">
        <v>10</v>
      </c>
      <c r="D44" s="33" t="s">
        <v>11</v>
      </c>
      <c r="E44" s="33" t="s">
        <v>12</v>
      </c>
      <c r="F44" s="35" t="s">
        <v>13</v>
      </c>
      <c r="G44" s="36" t="s">
        <v>14</v>
      </c>
      <c r="H44" s="33" t="s">
        <v>15</v>
      </c>
      <c r="I44" s="37" t="s">
        <v>16</v>
      </c>
      <c r="J44" s="38" t="s">
        <v>17</v>
      </c>
      <c r="K44" s="39" t="s">
        <v>18</v>
      </c>
      <c r="L44" s="38" t="s">
        <v>19</v>
      </c>
      <c r="M44" s="38" t="s">
        <v>20</v>
      </c>
      <c r="N44" s="38" t="s">
        <v>21</v>
      </c>
      <c r="O44" s="33" t="s">
        <v>22</v>
      </c>
      <c r="P44" s="34" t="s">
        <v>23</v>
      </c>
      <c r="Q44" s="38" t="s">
        <v>24</v>
      </c>
      <c r="R44" s="33" t="s">
        <v>25</v>
      </c>
    </row>
    <row r="45" spans="1:18" ht="49.9" customHeight="1">
      <c r="A45" s="8" t="s">
        <v>48</v>
      </c>
      <c r="B45" s="8" t="s">
        <v>785</v>
      </c>
      <c r="C45" s="9">
        <v>0.69097222222222221</v>
      </c>
      <c r="D45" s="8" t="s">
        <v>50</v>
      </c>
      <c r="E45" s="8" t="s">
        <v>126</v>
      </c>
      <c r="F45" s="8" t="s">
        <v>789</v>
      </c>
      <c r="G45" s="297"/>
      <c r="H45" s="10"/>
      <c r="I45" s="11"/>
      <c r="J45" s="11"/>
      <c r="K45" s="11"/>
      <c r="L45" s="11"/>
      <c r="M45" s="11"/>
      <c r="N45" s="11"/>
      <c r="O45" s="12"/>
      <c r="P45" s="11"/>
      <c r="Q45" s="13"/>
      <c r="R45" s="14"/>
    </row>
    <row r="46" spans="1:18" ht="49.9" customHeight="1" thickTop="1" thickBot="1">
      <c r="A46" s="76" t="s">
        <v>48</v>
      </c>
      <c r="B46" s="76" t="s">
        <v>785</v>
      </c>
      <c r="C46" s="77">
        <v>0.69097222222222221</v>
      </c>
      <c r="D46" s="76" t="s">
        <v>53</v>
      </c>
      <c r="E46" s="76" t="s">
        <v>127</v>
      </c>
      <c r="F46" s="76" t="s">
        <v>790</v>
      </c>
      <c r="G46" s="299"/>
      <c r="H46" s="300"/>
      <c r="I46" s="140"/>
      <c r="J46" s="140"/>
      <c r="K46" s="140"/>
      <c r="L46" s="140"/>
      <c r="M46" s="140"/>
      <c r="N46" s="140"/>
      <c r="O46" s="141"/>
      <c r="P46" s="140"/>
      <c r="Q46" s="142"/>
      <c r="R46" s="301"/>
    </row>
    <row r="47" spans="1:18" ht="17.45" customHeight="1" thickBot="1">
      <c r="A47" s="283"/>
      <c r="B47" s="284"/>
      <c r="C47" s="284"/>
      <c r="D47" s="284"/>
      <c r="E47" s="284"/>
      <c r="F47" s="284"/>
      <c r="G47" s="284"/>
      <c r="H47" s="284"/>
      <c r="I47" s="284"/>
      <c r="J47" s="284"/>
      <c r="K47" s="284"/>
      <c r="L47" s="284"/>
      <c r="M47" s="284"/>
      <c r="N47" s="284"/>
      <c r="O47" s="284"/>
      <c r="P47" s="284"/>
      <c r="Q47" s="284"/>
      <c r="R47" s="285"/>
    </row>
    <row r="48" spans="1:18" ht="22.15" customHeight="1" thickTop="1" thickBot="1">
      <c r="A48" s="279" t="s">
        <v>6</v>
      </c>
      <c r="B48" s="295"/>
      <c r="C48" s="295"/>
      <c r="D48" s="295"/>
      <c r="E48" s="295"/>
      <c r="F48" s="296"/>
      <c r="G48" s="32">
        <v>46039</v>
      </c>
      <c r="H48" s="278" t="s">
        <v>7</v>
      </c>
      <c r="I48" s="295"/>
      <c r="J48" s="295"/>
      <c r="K48" s="295"/>
      <c r="L48" s="295"/>
      <c r="M48" s="295"/>
      <c r="N48" s="295"/>
      <c r="O48" s="295"/>
      <c r="P48" s="295"/>
      <c r="Q48" s="295"/>
      <c r="R48" s="296"/>
    </row>
    <row r="49" spans="1:18" ht="24" customHeight="1">
      <c r="A49" s="33" t="s">
        <v>8</v>
      </c>
      <c r="B49" s="33" t="s">
        <v>9</v>
      </c>
      <c r="C49" s="34" t="s">
        <v>10</v>
      </c>
      <c r="D49" s="33" t="s">
        <v>11</v>
      </c>
      <c r="E49" s="33" t="s">
        <v>12</v>
      </c>
      <c r="F49" s="35" t="s">
        <v>13</v>
      </c>
      <c r="G49" s="36" t="s">
        <v>14</v>
      </c>
      <c r="H49" s="33" t="s">
        <v>15</v>
      </c>
      <c r="I49" s="37" t="s">
        <v>16</v>
      </c>
      <c r="J49" s="38" t="s">
        <v>17</v>
      </c>
      <c r="K49" s="39" t="s">
        <v>18</v>
      </c>
      <c r="L49" s="38" t="s">
        <v>19</v>
      </c>
      <c r="M49" s="38" t="s">
        <v>20</v>
      </c>
      <c r="N49" s="38" t="s">
        <v>21</v>
      </c>
      <c r="O49" s="33" t="s">
        <v>22</v>
      </c>
      <c r="P49" s="34" t="s">
        <v>23</v>
      </c>
      <c r="Q49" s="38" t="s">
        <v>24</v>
      </c>
      <c r="R49" s="33" t="s">
        <v>25</v>
      </c>
    </row>
    <row r="50" spans="1:18" ht="49.9" customHeight="1" thickTop="1" thickBot="1">
      <c r="A50" s="166" t="s">
        <v>48</v>
      </c>
      <c r="B50" s="166" t="s">
        <v>785</v>
      </c>
      <c r="C50" s="167">
        <v>0.69097222222222221</v>
      </c>
      <c r="D50" s="166" t="s">
        <v>53</v>
      </c>
      <c r="E50" s="166" t="s">
        <v>51</v>
      </c>
      <c r="F50" s="166" t="s">
        <v>788</v>
      </c>
      <c r="G50" s="297"/>
      <c r="H50" s="300"/>
      <c r="I50" s="140"/>
      <c r="J50" s="140"/>
      <c r="K50" s="140"/>
      <c r="L50" s="140"/>
      <c r="M50" s="140"/>
      <c r="N50" s="140"/>
      <c r="O50" s="141"/>
      <c r="P50" s="140"/>
      <c r="Q50" s="142"/>
      <c r="R50" s="301"/>
    </row>
    <row r="51" spans="1:18" ht="17.45" customHeight="1" thickBot="1">
      <c r="A51" s="283"/>
      <c r="B51" s="284"/>
      <c r="C51" s="284"/>
      <c r="D51" s="284"/>
      <c r="E51" s="284"/>
      <c r="F51" s="284"/>
      <c r="G51" s="284"/>
      <c r="H51" s="284"/>
      <c r="I51" s="284"/>
      <c r="J51" s="284"/>
      <c r="K51" s="284"/>
      <c r="L51" s="284"/>
      <c r="M51" s="284"/>
      <c r="N51" s="284"/>
      <c r="O51" s="284"/>
      <c r="P51" s="284"/>
      <c r="Q51" s="284"/>
      <c r="R51" s="285"/>
    </row>
    <row r="52" spans="1:18" ht="22.15" customHeight="1" thickTop="1" thickBot="1">
      <c r="A52" s="279" t="s">
        <v>6</v>
      </c>
      <c r="B52" s="295"/>
      <c r="C52" s="295"/>
      <c r="D52" s="295"/>
      <c r="E52" s="295"/>
      <c r="F52" s="296"/>
      <c r="G52" s="32">
        <v>46040</v>
      </c>
      <c r="H52" s="278" t="s">
        <v>7</v>
      </c>
      <c r="I52" s="295"/>
      <c r="J52" s="295"/>
      <c r="K52" s="295"/>
      <c r="L52" s="295"/>
      <c r="M52" s="295"/>
      <c r="N52" s="295"/>
      <c r="O52" s="295"/>
      <c r="P52" s="295"/>
      <c r="Q52" s="295"/>
      <c r="R52" s="296"/>
    </row>
    <row r="53" spans="1:18" ht="24" customHeight="1">
      <c r="A53" s="33" t="s">
        <v>8</v>
      </c>
      <c r="B53" s="33" t="s">
        <v>9</v>
      </c>
      <c r="C53" s="34" t="s">
        <v>10</v>
      </c>
      <c r="D53" s="33" t="s">
        <v>11</v>
      </c>
      <c r="E53" s="33" t="s">
        <v>12</v>
      </c>
      <c r="F53" s="35" t="s">
        <v>13</v>
      </c>
      <c r="G53" s="36" t="s">
        <v>14</v>
      </c>
      <c r="H53" s="33" t="s">
        <v>15</v>
      </c>
      <c r="I53" s="37" t="s">
        <v>16</v>
      </c>
      <c r="J53" s="38" t="s">
        <v>17</v>
      </c>
      <c r="K53" s="39" t="s">
        <v>18</v>
      </c>
      <c r="L53" s="38" t="s">
        <v>19</v>
      </c>
      <c r="M53" s="38" t="s">
        <v>20</v>
      </c>
      <c r="N53" s="38" t="s">
        <v>21</v>
      </c>
      <c r="O53" s="33" t="s">
        <v>22</v>
      </c>
      <c r="P53" s="34" t="s">
        <v>23</v>
      </c>
      <c r="Q53" s="38" t="s">
        <v>24</v>
      </c>
      <c r="R53" s="33" t="s">
        <v>25</v>
      </c>
    </row>
    <row r="54" spans="1:18" ht="49.9" customHeight="1" thickTop="1" thickBot="1">
      <c r="A54" s="166" t="s">
        <v>48</v>
      </c>
      <c r="B54" s="166" t="s">
        <v>785</v>
      </c>
      <c r="C54" s="167">
        <v>0.69097222222222221</v>
      </c>
      <c r="D54" s="166" t="s">
        <v>53</v>
      </c>
      <c r="E54" s="166" t="s">
        <v>51</v>
      </c>
      <c r="F54" s="166" t="s">
        <v>788</v>
      </c>
      <c r="G54" s="297"/>
      <c r="H54" s="300"/>
      <c r="I54" s="140"/>
      <c r="J54" s="140"/>
      <c r="K54" s="140"/>
      <c r="L54" s="140"/>
      <c r="M54" s="140"/>
      <c r="N54" s="140"/>
      <c r="O54" s="141"/>
      <c r="P54" s="140"/>
      <c r="Q54" s="142"/>
      <c r="R54" s="301"/>
    </row>
    <row r="55" spans="1:18" ht="17.45" customHeight="1" thickBot="1">
      <c r="A55" s="283"/>
      <c r="B55" s="284"/>
      <c r="C55" s="284"/>
      <c r="D55" s="284"/>
      <c r="E55" s="284"/>
      <c r="F55" s="284"/>
      <c r="G55" s="284"/>
      <c r="H55" s="284"/>
      <c r="I55" s="284"/>
      <c r="J55" s="284"/>
      <c r="K55" s="284"/>
      <c r="L55" s="284"/>
      <c r="M55" s="284"/>
      <c r="N55" s="284"/>
      <c r="O55" s="284"/>
      <c r="P55" s="284"/>
      <c r="Q55" s="284"/>
      <c r="R55" s="285"/>
    </row>
    <row r="56" spans="1:18" ht="22.15" customHeight="1" thickTop="1" thickBot="1">
      <c r="A56" s="279" t="s">
        <v>6</v>
      </c>
      <c r="B56" s="295"/>
      <c r="C56" s="295"/>
      <c r="D56" s="295"/>
      <c r="E56" s="295"/>
      <c r="F56" s="296"/>
      <c r="G56" s="32">
        <v>46042</v>
      </c>
      <c r="H56" s="278" t="s">
        <v>7</v>
      </c>
      <c r="I56" s="295"/>
      <c r="J56" s="295"/>
      <c r="K56" s="295"/>
      <c r="L56" s="295"/>
      <c r="M56" s="295"/>
      <c r="N56" s="295"/>
      <c r="O56" s="295"/>
      <c r="P56" s="295"/>
      <c r="Q56" s="295"/>
      <c r="R56" s="296"/>
    </row>
    <row r="57" spans="1:18" ht="24" customHeight="1">
      <c r="A57" s="33" t="s">
        <v>8</v>
      </c>
      <c r="B57" s="33" t="s">
        <v>9</v>
      </c>
      <c r="C57" s="34" t="s">
        <v>10</v>
      </c>
      <c r="D57" s="33" t="s">
        <v>11</v>
      </c>
      <c r="E57" s="33" t="s">
        <v>12</v>
      </c>
      <c r="F57" s="35" t="s">
        <v>13</v>
      </c>
      <c r="G57" s="36" t="s">
        <v>14</v>
      </c>
      <c r="H57" s="33" t="s">
        <v>15</v>
      </c>
      <c r="I57" s="37" t="s">
        <v>16</v>
      </c>
      <c r="J57" s="38" t="s">
        <v>17</v>
      </c>
      <c r="K57" s="39" t="s">
        <v>18</v>
      </c>
      <c r="L57" s="38" t="s">
        <v>19</v>
      </c>
      <c r="M57" s="38" t="s">
        <v>20</v>
      </c>
      <c r="N57" s="38" t="s">
        <v>21</v>
      </c>
      <c r="O57" s="33" t="s">
        <v>22</v>
      </c>
      <c r="P57" s="34" t="s">
        <v>23</v>
      </c>
      <c r="Q57" s="38" t="s">
        <v>24</v>
      </c>
      <c r="R57" s="33" t="s">
        <v>25</v>
      </c>
    </row>
    <row r="58" spans="1:18" ht="49.9" customHeight="1">
      <c r="A58" s="8" t="s">
        <v>48</v>
      </c>
      <c r="B58" s="8" t="s">
        <v>785</v>
      </c>
      <c r="C58" s="9">
        <v>0.69097222222222221</v>
      </c>
      <c r="D58" s="8" t="s">
        <v>50</v>
      </c>
      <c r="E58" s="8" t="s">
        <v>51</v>
      </c>
      <c r="F58" s="8" t="s">
        <v>786</v>
      </c>
      <c r="G58" s="297"/>
      <c r="H58" s="10"/>
      <c r="I58" s="11"/>
      <c r="J58" s="11"/>
      <c r="K58" s="11"/>
      <c r="L58" s="11"/>
      <c r="M58" s="11"/>
      <c r="N58" s="11"/>
      <c r="O58" s="12"/>
      <c r="P58" s="11"/>
      <c r="Q58" s="13"/>
      <c r="R58" s="14"/>
    </row>
    <row r="59" spans="1:18" ht="49.9" customHeight="1" thickTop="1" thickBot="1">
      <c r="A59" s="76" t="s">
        <v>48</v>
      </c>
      <c r="B59" s="76" t="s">
        <v>785</v>
      </c>
      <c r="C59" s="77">
        <v>0.69097222222222221</v>
      </c>
      <c r="D59" s="76" t="s">
        <v>53</v>
      </c>
      <c r="E59" s="76" t="s">
        <v>54</v>
      </c>
      <c r="F59" s="76" t="s">
        <v>787</v>
      </c>
      <c r="G59" s="299"/>
      <c r="H59" s="300"/>
      <c r="I59" s="140"/>
      <c r="J59" s="140"/>
      <c r="K59" s="140"/>
      <c r="L59" s="140"/>
      <c r="M59" s="140"/>
      <c r="N59" s="140"/>
      <c r="O59" s="141"/>
      <c r="P59" s="140"/>
      <c r="Q59" s="142"/>
      <c r="R59" s="301"/>
    </row>
    <row r="60" spans="1:18" ht="17.45" customHeight="1" thickBot="1">
      <c r="A60" s="283"/>
      <c r="B60" s="284"/>
      <c r="C60" s="284"/>
      <c r="D60" s="284"/>
      <c r="E60" s="284"/>
      <c r="F60" s="284"/>
      <c r="G60" s="284"/>
      <c r="H60" s="284"/>
      <c r="I60" s="284"/>
      <c r="J60" s="284"/>
      <c r="K60" s="284"/>
      <c r="L60" s="284"/>
      <c r="M60" s="284"/>
      <c r="N60" s="284"/>
      <c r="O60" s="284"/>
      <c r="P60" s="284"/>
      <c r="Q60" s="284"/>
      <c r="R60" s="285"/>
    </row>
    <row r="61" spans="1:18" ht="22.15" customHeight="1" thickTop="1" thickBot="1">
      <c r="A61" s="279" t="s">
        <v>6</v>
      </c>
      <c r="B61" s="295"/>
      <c r="C61" s="295"/>
      <c r="D61" s="295"/>
      <c r="E61" s="295"/>
      <c r="F61" s="296"/>
      <c r="G61" s="32">
        <v>46044</v>
      </c>
      <c r="H61" s="278" t="s">
        <v>7</v>
      </c>
      <c r="I61" s="295"/>
      <c r="J61" s="295"/>
      <c r="K61" s="295"/>
      <c r="L61" s="295"/>
      <c r="M61" s="295"/>
      <c r="N61" s="295"/>
      <c r="O61" s="295"/>
      <c r="P61" s="295"/>
      <c r="Q61" s="295"/>
      <c r="R61" s="296"/>
    </row>
    <row r="62" spans="1:18" ht="24" customHeight="1">
      <c r="A62" s="33" t="s">
        <v>8</v>
      </c>
      <c r="B62" s="33" t="s">
        <v>9</v>
      </c>
      <c r="C62" s="34" t="s">
        <v>10</v>
      </c>
      <c r="D62" s="33" t="s">
        <v>11</v>
      </c>
      <c r="E62" s="33" t="s">
        <v>12</v>
      </c>
      <c r="F62" s="35" t="s">
        <v>13</v>
      </c>
      <c r="G62" s="36" t="s">
        <v>14</v>
      </c>
      <c r="H62" s="33" t="s">
        <v>15</v>
      </c>
      <c r="I62" s="37" t="s">
        <v>16</v>
      </c>
      <c r="J62" s="38" t="s">
        <v>17</v>
      </c>
      <c r="K62" s="39" t="s">
        <v>18</v>
      </c>
      <c r="L62" s="38" t="s">
        <v>19</v>
      </c>
      <c r="M62" s="38" t="s">
        <v>20</v>
      </c>
      <c r="N62" s="38" t="s">
        <v>21</v>
      </c>
      <c r="O62" s="33" t="s">
        <v>22</v>
      </c>
      <c r="P62" s="34" t="s">
        <v>23</v>
      </c>
      <c r="Q62" s="38" t="s">
        <v>24</v>
      </c>
      <c r="R62" s="33" t="s">
        <v>25</v>
      </c>
    </row>
    <row r="63" spans="1:18" ht="49.9" customHeight="1" thickTop="1" thickBot="1">
      <c r="A63" s="166" t="s">
        <v>48</v>
      </c>
      <c r="B63" s="166" t="s">
        <v>785</v>
      </c>
      <c r="C63" s="167">
        <v>0.69097222222222221</v>
      </c>
      <c r="D63" s="166" t="s">
        <v>53</v>
      </c>
      <c r="E63" s="166" t="s">
        <v>51</v>
      </c>
      <c r="F63" s="166" t="s">
        <v>791</v>
      </c>
      <c r="G63" s="297"/>
      <c r="H63" s="300"/>
      <c r="I63" s="140"/>
      <c r="J63" s="140"/>
      <c r="K63" s="140"/>
      <c r="L63" s="140"/>
      <c r="M63" s="140"/>
      <c r="N63" s="140"/>
      <c r="O63" s="141"/>
      <c r="P63" s="140"/>
      <c r="Q63" s="142"/>
      <c r="R63" s="301"/>
    </row>
    <row r="64" spans="1:18" ht="17.45" customHeight="1" thickBot="1">
      <c r="A64" s="283"/>
      <c r="B64" s="284"/>
      <c r="C64" s="284"/>
      <c r="D64" s="284"/>
      <c r="E64" s="284"/>
      <c r="F64" s="284"/>
      <c r="G64" s="284"/>
      <c r="H64" s="284"/>
      <c r="I64" s="284"/>
      <c r="J64" s="284"/>
      <c r="K64" s="284"/>
      <c r="L64" s="284"/>
      <c r="M64" s="284"/>
      <c r="N64" s="284"/>
      <c r="O64" s="284"/>
      <c r="P64" s="284"/>
      <c r="Q64" s="284"/>
      <c r="R64" s="285"/>
    </row>
    <row r="65" spans="1:18" ht="22.15" customHeight="1" thickTop="1" thickBot="1">
      <c r="A65" s="279" t="s">
        <v>6</v>
      </c>
      <c r="B65" s="295"/>
      <c r="C65" s="295"/>
      <c r="D65" s="295"/>
      <c r="E65" s="295"/>
      <c r="F65" s="296"/>
      <c r="G65" s="32">
        <v>46046</v>
      </c>
      <c r="H65" s="278" t="s">
        <v>7</v>
      </c>
      <c r="I65" s="295"/>
      <c r="J65" s="295"/>
      <c r="K65" s="295"/>
      <c r="L65" s="295"/>
      <c r="M65" s="295"/>
      <c r="N65" s="295"/>
      <c r="O65" s="295"/>
      <c r="P65" s="295"/>
      <c r="Q65" s="295"/>
      <c r="R65" s="296"/>
    </row>
    <row r="66" spans="1:18" ht="24" customHeight="1">
      <c r="A66" s="33" t="s">
        <v>8</v>
      </c>
      <c r="B66" s="33" t="s">
        <v>9</v>
      </c>
      <c r="C66" s="34" t="s">
        <v>10</v>
      </c>
      <c r="D66" s="33" t="s">
        <v>11</v>
      </c>
      <c r="E66" s="33" t="s">
        <v>12</v>
      </c>
      <c r="F66" s="35" t="s">
        <v>13</v>
      </c>
      <c r="G66" s="36" t="s">
        <v>14</v>
      </c>
      <c r="H66" s="33" t="s">
        <v>15</v>
      </c>
      <c r="I66" s="37" t="s">
        <v>16</v>
      </c>
      <c r="J66" s="38" t="s">
        <v>17</v>
      </c>
      <c r="K66" s="39" t="s">
        <v>18</v>
      </c>
      <c r="L66" s="38" t="s">
        <v>19</v>
      </c>
      <c r="M66" s="38" t="s">
        <v>20</v>
      </c>
      <c r="N66" s="38" t="s">
        <v>21</v>
      </c>
      <c r="O66" s="33" t="s">
        <v>22</v>
      </c>
      <c r="P66" s="34" t="s">
        <v>23</v>
      </c>
      <c r="Q66" s="38" t="s">
        <v>24</v>
      </c>
      <c r="R66" s="33" t="s">
        <v>25</v>
      </c>
    </row>
    <row r="67" spans="1:18" ht="49.9" customHeight="1" thickTop="1" thickBot="1">
      <c r="A67" s="166" t="s">
        <v>48</v>
      </c>
      <c r="B67" s="166" t="s">
        <v>785</v>
      </c>
      <c r="C67" s="167">
        <v>0.69097222222222221</v>
      </c>
      <c r="D67" s="166" t="s">
        <v>53</v>
      </c>
      <c r="E67" s="166" t="s">
        <v>51</v>
      </c>
      <c r="F67" s="166" t="s">
        <v>791</v>
      </c>
      <c r="G67" s="297"/>
      <c r="H67" s="300"/>
      <c r="I67" s="140"/>
      <c r="J67" s="140"/>
      <c r="K67" s="140"/>
      <c r="L67" s="140"/>
      <c r="M67" s="140"/>
      <c r="N67" s="140"/>
      <c r="O67" s="141"/>
      <c r="P67" s="140"/>
      <c r="Q67" s="142"/>
      <c r="R67" s="301"/>
    </row>
    <row r="68" spans="1:18" ht="17.45" customHeight="1" thickBot="1">
      <c r="A68" s="283"/>
      <c r="B68" s="284"/>
      <c r="C68" s="284"/>
      <c r="D68" s="284"/>
      <c r="E68" s="284"/>
      <c r="F68" s="284"/>
      <c r="G68" s="284"/>
      <c r="H68" s="284"/>
      <c r="I68" s="284"/>
      <c r="J68" s="284"/>
      <c r="K68" s="284"/>
      <c r="L68" s="284"/>
      <c r="M68" s="284"/>
      <c r="N68" s="284"/>
      <c r="O68" s="284"/>
      <c r="P68" s="284"/>
      <c r="Q68" s="284"/>
      <c r="R68" s="285"/>
    </row>
    <row r="69" spans="1:18" ht="22.15" customHeight="1" thickTop="1" thickBot="1">
      <c r="A69" s="279" t="s">
        <v>6</v>
      </c>
      <c r="B69" s="295"/>
      <c r="C69" s="295"/>
      <c r="D69" s="295"/>
      <c r="E69" s="295"/>
      <c r="F69" s="296"/>
      <c r="G69" s="32">
        <v>46047</v>
      </c>
      <c r="H69" s="278" t="s">
        <v>7</v>
      </c>
      <c r="I69" s="295"/>
      <c r="J69" s="295"/>
      <c r="K69" s="295"/>
      <c r="L69" s="295"/>
      <c r="M69" s="295"/>
      <c r="N69" s="295"/>
      <c r="O69" s="295"/>
      <c r="P69" s="295"/>
      <c r="Q69" s="295"/>
      <c r="R69" s="296"/>
    </row>
    <row r="70" spans="1:18" ht="24" customHeight="1">
      <c r="A70" s="33" t="s">
        <v>8</v>
      </c>
      <c r="B70" s="33" t="s">
        <v>9</v>
      </c>
      <c r="C70" s="34" t="s">
        <v>10</v>
      </c>
      <c r="D70" s="33" t="s">
        <v>11</v>
      </c>
      <c r="E70" s="33" t="s">
        <v>12</v>
      </c>
      <c r="F70" s="35" t="s">
        <v>13</v>
      </c>
      <c r="G70" s="36" t="s">
        <v>14</v>
      </c>
      <c r="H70" s="33" t="s">
        <v>15</v>
      </c>
      <c r="I70" s="37" t="s">
        <v>16</v>
      </c>
      <c r="J70" s="38" t="s">
        <v>17</v>
      </c>
      <c r="K70" s="39" t="s">
        <v>18</v>
      </c>
      <c r="L70" s="38" t="s">
        <v>19</v>
      </c>
      <c r="M70" s="38" t="s">
        <v>20</v>
      </c>
      <c r="N70" s="38" t="s">
        <v>21</v>
      </c>
      <c r="O70" s="33" t="s">
        <v>22</v>
      </c>
      <c r="P70" s="34" t="s">
        <v>23</v>
      </c>
      <c r="Q70" s="38" t="s">
        <v>24</v>
      </c>
      <c r="R70" s="33" t="s">
        <v>25</v>
      </c>
    </row>
    <row r="71" spans="1:18" ht="49.9" customHeight="1" thickTop="1" thickBot="1">
      <c r="A71" s="166" t="s">
        <v>48</v>
      </c>
      <c r="B71" s="166" t="s">
        <v>785</v>
      </c>
      <c r="C71" s="167">
        <v>0.69097222222222221</v>
      </c>
      <c r="D71" s="166" t="s">
        <v>53</v>
      </c>
      <c r="E71" s="166" t="s">
        <v>51</v>
      </c>
      <c r="F71" s="166" t="s">
        <v>791</v>
      </c>
      <c r="G71" s="297"/>
      <c r="H71" s="300"/>
      <c r="I71" s="140"/>
      <c r="J71" s="140"/>
      <c r="K71" s="140"/>
      <c r="L71" s="140"/>
      <c r="M71" s="140"/>
      <c r="N71" s="140"/>
      <c r="O71" s="141"/>
      <c r="P71" s="140"/>
      <c r="Q71" s="142"/>
      <c r="R71" s="301"/>
    </row>
    <row r="72" spans="1:18" ht="17.45" customHeight="1" thickBot="1">
      <c r="A72" s="283"/>
      <c r="B72" s="284"/>
      <c r="C72" s="284"/>
      <c r="D72" s="284"/>
      <c r="E72" s="284"/>
      <c r="F72" s="284"/>
      <c r="G72" s="284"/>
      <c r="H72" s="284"/>
      <c r="I72" s="284"/>
      <c r="J72" s="284"/>
      <c r="K72" s="284"/>
      <c r="L72" s="284"/>
      <c r="M72" s="284"/>
      <c r="N72" s="284"/>
      <c r="O72" s="284"/>
      <c r="P72" s="284"/>
      <c r="Q72" s="284"/>
      <c r="R72" s="285"/>
    </row>
    <row r="73" spans="1:18" ht="22.15" customHeight="1" thickTop="1" thickBot="1">
      <c r="A73" s="279" t="s">
        <v>6</v>
      </c>
      <c r="B73" s="295"/>
      <c r="C73" s="295"/>
      <c r="D73" s="295"/>
      <c r="E73" s="295"/>
      <c r="F73" s="296"/>
      <c r="G73" s="32">
        <v>46049</v>
      </c>
      <c r="H73" s="278" t="s">
        <v>7</v>
      </c>
      <c r="I73" s="295"/>
      <c r="J73" s="295"/>
      <c r="K73" s="295"/>
      <c r="L73" s="295"/>
      <c r="M73" s="295"/>
      <c r="N73" s="295"/>
      <c r="O73" s="295"/>
      <c r="P73" s="295"/>
      <c r="Q73" s="295"/>
      <c r="R73" s="296"/>
    </row>
    <row r="74" spans="1:18" ht="24" customHeight="1">
      <c r="A74" s="33" t="s">
        <v>8</v>
      </c>
      <c r="B74" s="33" t="s">
        <v>9</v>
      </c>
      <c r="C74" s="34" t="s">
        <v>10</v>
      </c>
      <c r="D74" s="33" t="s">
        <v>11</v>
      </c>
      <c r="E74" s="33" t="s">
        <v>12</v>
      </c>
      <c r="F74" s="35" t="s">
        <v>13</v>
      </c>
      <c r="G74" s="36" t="s">
        <v>14</v>
      </c>
      <c r="H74" s="33" t="s">
        <v>15</v>
      </c>
      <c r="I74" s="37" t="s">
        <v>16</v>
      </c>
      <c r="J74" s="38" t="s">
        <v>17</v>
      </c>
      <c r="K74" s="39" t="s">
        <v>18</v>
      </c>
      <c r="L74" s="38" t="s">
        <v>19</v>
      </c>
      <c r="M74" s="38" t="s">
        <v>20</v>
      </c>
      <c r="N74" s="38" t="s">
        <v>21</v>
      </c>
      <c r="O74" s="33" t="s">
        <v>22</v>
      </c>
      <c r="P74" s="34" t="s">
        <v>23</v>
      </c>
      <c r="Q74" s="38" t="s">
        <v>24</v>
      </c>
      <c r="R74" s="33" t="s">
        <v>25</v>
      </c>
    </row>
    <row r="75" spans="1:18" ht="49.9" customHeight="1" thickTop="1" thickBot="1">
      <c r="A75" s="166" t="s">
        <v>48</v>
      </c>
      <c r="B75" s="166" t="s">
        <v>785</v>
      </c>
      <c r="C75" s="167">
        <v>0.69097222222222221</v>
      </c>
      <c r="D75" s="166" t="s">
        <v>53</v>
      </c>
      <c r="E75" s="166" t="s">
        <v>51</v>
      </c>
      <c r="F75" s="166" t="s">
        <v>791</v>
      </c>
      <c r="G75" s="302"/>
      <c r="H75" s="300"/>
      <c r="I75" s="140"/>
      <c r="J75" s="140"/>
      <c r="K75" s="140"/>
      <c r="L75" s="140"/>
      <c r="M75" s="140"/>
      <c r="N75" s="140"/>
      <c r="O75" s="141"/>
      <c r="P75" s="140"/>
      <c r="Q75" s="142"/>
      <c r="R75" s="301"/>
    </row>
    <row r="76" spans="1:18" ht="17.45" customHeight="1" thickBot="1">
      <c r="A76" s="283"/>
      <c r="B76" s="284"/>
      <c r="C76" s="284"/>
      <c r="D76" s="284"/>
      <c r="E76" s="284"/>
      <c r="F76" s="284"/>
      <c r="G76" s="284"/>
      <c r="H76" s="284"/>
      <c r="I76" s="284"/>
      <c r="J76" s="284"/>
      <c r="K76" s="284"/>
      <c r="L76" s="284"/>
      <c r="M76" s="284"/>
      <c r="N76" s="284"/>
      <c r="O76" s="284"/>
      <c r="P76" s="284"/>
      <c r="Q76" s="284"/>
      <c r="R76" s="285"/>
    </row>
    <row r="77" spans="1:18" ht="22.15" customHeight="1" thickTop="1" thickBot="1">
      <c r="A77" s="279" t="s">
        <v>6</v>
      </c>
      <c r="B77" s="295"/>
      <c r="C77" s="295"/>
      <c r="D77" s="295"/>
      <c r="E77" s="295"/>
      <c r="F77" s="296"/>
      <c r="G77" s="32">
        <v>46051</v>
      </c>
      <c r="H77" s="278" t="s">
        <v>7</v>
      </c>
      <c r="I77" s="295"/>
      <c r="J77" s="295"/>
      <c r="K77" s="295"/>
      <c r="L77" s="295"/>
      <c r="M77" s="295"/>
      <c r="N77" s="295"/>
      <c r="O77" s="295"/>
      <c r="P77" s="295"/>
      <c r="Q77" s="295"/>
      <c r="R77" s="296"/>
    </row>
    <row r="78" spans="1:18" ht="24" customHeight="1">
      <c r="A78" s="33" t="s">
        <v>8</v>
      </c>
      <c r="B78" s="33" t="s">
        <v>9</v>
      </c>
      <c r="C78" s="34" t="s">
        <v>10</v>
      </c>
      <c r="D78" s="33" t="s">
        <v>11</v>
      </c>
      <c r="E78" s="33" t="s">
        <v>12</v>
      </c>
      <c r="F78" s="35" t="s">
        <v>13</v>
      </c>
      <c r="G78" s="36" t="s">
        <v>14</v>
      </c>
      <c r="H78" s="33" t="s">
        <v>15</v>
      </c>
      <c r="I78" s="37" t="s">
        <v>16</v>
      </c>
      <c r="J78" s="38" t="s">
        <v>17</v>
      </c>
      <c r="K78" s="39" t="s">
        <v>18</v>
      </c>
      <c r="L78" s="38" t="s">
        <v>19</v>
      </c>
      <c r="M78" s="38" t="s">
        <v>20</v>
      </c>
      <c r="N78" s="38" t="s">
        <v>21</v>
      </c>
      <c r="O78" s="33" t="s">
        <v>22</v>
      </c>
      <c r="P78" s="34" t="s">
        <v>23</v>
      </c>
      <c r="Q78" s="38" t="s">
        <v>24</v>
      </c>
      <c r="R78" s="33" t="s">
        <v>25</v>
      </c>
    </row>
    <row r="79" spans="1:18" ht="49.9" customHeight="1" thickTop="1" thickBot="1">
      <c r="A79" s="166" t="s">
        <v>48</v>
      </c>
      <c r="B79" s="166" t="s">
        <v>785</v>
      </c>
      <c r="C79" s="167">
        <v>0.69097222222222221</v>
      </c>
      <c r="D79" s="166" t="s">
        <v>53</v>
      </c>
      <c r="E79" s="166" t="s">
        <v>51</v>
      </c>
      <c r="F79" s="166" t="s">
        <v>791</v>
      </c>
      <c r="G79" s="302"/>
      <c r="H79" s="300"/>
      <c r="I79" s="140"/>
      <c r="J79" s="140"/>
      <c r="K79" s="140"/>
      <c r="L79" s="140"/>
      <c r="M79" s="140"/>
      <c r="N79" s="140"/>
      <c r="O79" s="141"/>
      <c r="P79" s="140"/>
      <c r="Q79" s="142"/>
      <c r="R79" s="301"/>
    </row>
    <row r="80" spans="1:18" ht="17.45" customHeight="1" thickBot="1">
      <c r="A80" s="283"/>
      <c r="B80" s="284"/>
      <c r="C80" s="284"/>
      <c r="D80" s="284"/>
      <c r="E80" s="284"/>
      <c r="F80" s="284"/>
      <c r="G80" s="284"/>
      <c r="H80" s="284"/>
      <c r="I80" s="284"/>
      <c r="J80" s="284"/>
      <c r="K80" s="284"/>
      <c r="L80" s="284"/>
      <c r="M80" s="284"/>
      <c r="N80" s="284"/>
      <c r="O80" s="284"/>
      <c r="P80" s="284"/>
      <c r="Q80" s="284"/>
      <c r="R80" s="285"/>
    </row>
    <row r="81" spans="1:18" ht="22.15" customHeight="1" thickTop="1" thickBot="1">
      <c r="A81" s="279" t="s">
        <v>6</v>
      </c>
      <c r="B81" s="295"/>
      <c r="C81" s="295"/>
      <c r="D81" s="295"/>
      <c r="E81" s="295"/>
      <c r="F81" s="296"/>
      <c r="G81" s="32">
        <v>46053</v>
      </c>
      <c r="H81" s="278" t="s">
        <v>7</v>
      </c>
      <c r="I81" s="295"/>
      <c r="J81" s="295"/>
      <c r="K81" s="295"/>
      <c r="L81" s="295"/>
      <c r="M81" s="295"/>
      <c r="N81" s="295"/>
      <c r="O81" s="295"/>
      <c r="P81" s="295"/>
      <c r="Q81" s="295"/>
      <c r="R81" s="296"/>
    </row>
    <row r="82" spans="1:18" ht="24" customHeight="1">
      <c r="A82" s="33" t="s">
        <v>8</v>
      </c>
      <c r="B82" s="33" t="s">
        <v>9</v>
      </c>
      <c r="C82" s="34" t="s">
        <v>10</v>
      </c>
      <c r="D82" s="33" t="s">
        <v>11</v>
      </c>
      <c r="E82" s="33" t="s">
        <v>12</v>
      </c>
      <c r="F82" s="35" t="s">
        <v>13</v>
      </c>
      <c r="G82" s="36" t="s">
        <v>14</v>
      </c>
      <c r="H82" s="33" t="s">
        <v>15</v>
      </c>
      <c r="I82" s="37" t="s">
        <v>16</v>
      </c>
      <c r="J82" s="38" t="s">
        <v>17</v>
      </c>
      <c r="K82" s="39" t="s">
        <v>18</v>
      </c>
      <c r="L82" s="38" t="s">
        <v>19</v>
      </c>
      <c r="M82" s="38" t="s">
        <v>20</v>
      </c>
      <c r="N82" s="38" t="s">
        <v>21</v>
      </c>
      <c r="O82" s="33" t="s">
        <v>22</v>
      </c>
      <c r="P82" s="34" t="s">
        <v>23</v>
      </c>
      <c r="Q82" s="38" t="s">
        <v>24</v>
      </c>
      <c r="R82" s="33" t="s">
        <v>25</v>
      </c>
    </row>
    <row r="83" spans="1:18" ht="49.9" customHeight="1">
      <c r="A83" s="166" t="s">
        <v>48</v>
      </c>
      <c r="B83" s="166" t="s">
        <v>785</v>
      </c>
      <c r="C83" s="167">
        <v>0.69097222222222221</v>
      </c>
      <c r="D83" s="166" t="s">
        <v>53</v>
      </c>
      <c r="E83" s="166" t="s">
        <v>51</v>
      </c>
      <c r="F83" s="166" t="s">
        <v>791</v>
      </c>
      <c r="G83" s="302"/>
      <c r="H83" s="300"/>
      <c r="I83" s="140"/>
      <c r="J83" s="140"/>
      <c r="K83" s="140"/>
      <c r="L83" s="140"/>
      <c r="M83" s="140"/>
      <c r="N83" s="140"/>
      <c r="O83" s="141"/>
      <c r="P83" s="140"/>
      <c r="Q83" s="142"/>
      <c r="R83" s="301"/>
    </row>
  </sheetData>
  <mergeCells count="78">
    <mergeCell ref="G79"/>
    <mergeCell ref="H1:L1"/>
    <mergeCell ref="A1:E1"/>
    <mergeCell ref="G63"/>
    <mergeCell ref="A27:R27"/>
    <mergeCell ref="G50"/>
    <mergeCell ref="H9:R9"/>
    <mergeCell ref="A42:R42"/>
    <mergeCell ref="A17:R17"/>
    <mergeCell ref="G58:G59"/>
    <mergeCell ref="A22:R22"/>
    <mergeCell ref="A56:F56"/>
    <mergeCell ref="A37:R37"/>
    <mergeCell ref="N1:R1"/>
    <mergeCell ref="H73:R73"/>
    <mergeCell ref="G11"/>
    <mergeCell ref="A81:F81"/>
    <mergeCell ref="A38:F38"/>
    <mergeCell ref="H52:R52"/>
    <mergeCell ref="H61:R61"/>
    <mergeCell ref="A13:F13"/>
    <mergeCell ref="H81:R81"/>
    <mergeCell ref="G35:G36"/>
    <mergeCell ref="H13:R13"/>
    <mergeCell ref="A73:F73"/>
    <mergeCell ref="H65:R65"/>
    <mergeCell ref="H28:R28"/>
    <mergeCell ref="H48:R48"/>
    <mergeCell ref="A61:F61"/>
    <mergeCell ref="H23:R23"/>
    <mergeCell ref="H38:R38"/>
    <mergeCell ref="H43:R43"/>
    <mergeCell ref="G83"/>
    <mergeCell ref="H18:R18"/>
    <mergeCell ref="A18:F18"/>
    <mergeCell ref="G54"/>
    <mergeCell ref="A2:F2"/>
    <mergeCell ref="A33:F33"/>
    <mergeCell ref="H56:R56"/>
    <mergeCell ref="A76:R76"/>
    <mergeCell ref="G71"/>
    <mergeCell ref="A8:R8"/>
    <mergeCell ref="A28:F28"/>
    <mergeCell ref="H69:R69"/>
    <mergeCell ref="A9:F9"/>
    <mergeCell ref="A68:R68"/>
    <mergeCell ref="G25:G26"/>
    <mergeCell ref="A48:F48"/>
    <mergeCell ref="A80:R80"/>
    <mergeCell ref="A12:R12"/>
    <mergeCell ref="A32:R32"/>
    <mergeCell ref="G6:G7"/>
    <mergeCell ref="G2:J2"/>
    <mergeCell ref="G15:G16"/>
    <mergeCell ref="G30:G31"/>
    <mergeCell ref="K2:R2"/>
    <mergeCell ref="H77:R77"/>
    <mergeCell ref="A65:F65"/>
    <mergeCell ref="H4:R4"/>
    <mergeCell ref="A3:R3"/>
    <mergeCell ref="G75"/>
    <mergeCell ref="A55:R55"/>
    <mergeCell ref="A23:F23"/>
    <mergeCell ref="A47:R47"/>
    <mergeCell ref="A77:F77"/>
    <mergeCell ref="A64:R64"/>
    <mergeCell ref="A51:R51"/>
    <mergeCell ref="A60:R60"/>
    <mergeCell ref="A4:F4"/>
    <mergeCell ref="G20:G21"/>
    <mergeCell ref="A43:F43"/>
    <mergeCell ref="G67"/>
    <mergeCell ref="A52:F52"/>
    <mergeCell ref="H33:R33"/>
    <mergeCell ref="G40:G41"/>
    <mergeCell ref="A69:F69"/>
    <mergeCell ref="A72:R72"/>
    <mergeCell ref="G45:G46"/>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J1"/>
  <sheetViews>
    <sheetView workbookViewId="0"/>
  </sheetViews>
  <sheetFormatPr defaultColWidth="8.85546875" defaultRowHeight="15.6" outlineLevelCol="1"/>
  <cols>
    <col min="1" max="1" width="4.140625" style="266" bestFit="1" customWidth="1"/>
    <col min="2" max="2" width="5.28515625" style="266" bestFit="1" customWidth="1"/>
    <col min="3" max="3" width="3" style="266" bestFit="1" customWidth="1"/>
    <col min="4" max="4" width="4.28515625" style="266" bestFit="1" customWidth="1"/>
    <col min="5" max="5" width="7.140625" style="266" bestFit="1" customWidth="1"/>
    <col min="6" max="6" width="4" style="266" bestFit="1" customWidth="1"/>
    <col min="7" max="8" width="4.28515625" style="266" bestFit="1" customWidth="1"/>
    <col min="9" max="10" width="6.42578125" style="266" bestFit="1" customWidth="1"/>
    <col min="11" max="11" width="6.140625" style="266" bestFit="1" customWidth="1"/>
    <col min="12" max="12" width="8.7109375" style="266" bestFit="1" customWidth="1"/>
    <col min="13" max="13" width="7.28515625" style="266" bestFit="1" customWidth="1" outlineLevel="1"/>
    <col min="14" max="14" width="6" style="266" bestFit="1" customWidth="1" outlineLevel="1"/>
    <col min="15" max="15" width="7.7109375" style="266" bestFit="1" customWidth="1" outlineLevel="1"/>
    <col min="16" max="16" width="13.28515625" style="266" bestFit="1" customWidth="1"/>
    <col min="17" max="17" width="2" style="266" bestFit="1" customWidth="1"/>
    <col min="18" max="18" width="2.140625" style="266" bestFit="1" customWidth="1"/>
    <col min="19" max="19" width="2.7109375" style="266" bestFit="1" customWidth="1"/>
    <col min="20" max="21" width="2.28515625" style="266" bestFit="1" customWidth="1"/>
    <col min="22" max="22" width="2" style="266" bestFit="1" customWidth="1"/>
    <col min="23" max="23" width="2.140625" style="266" bestFit="1" customWidth="1"/>
    <col min="24" max="24" width="1.85546875" style="266" bestFit="1" customWidth="1"/>
    <col min="25" max="25" width="2.28515625" style="266" bestFit="1" customWidth="1"/>
    <col min="26" max="26" width="1.85546875" style="266" bestFit="1" customWidth="1"/>
    <col min="27" max="27" width="2.7109375" style="266" bestFit="1" customWidth="1"/>
    <col min="28" max="29" width="2" style="266" bestFit="1" customWidth="1"/>
    <col min="30" max="31" width="2.28515625" style="266" bestFit="1" customWidth="1"/>
    <col min="32" max="32" width="1.5703125" style="266" bestFit="1" customWidth="1"/>
    <col min="33" max="33" width="2" style="266" bestFit="1" customWidth="1"/>
    <col min="34" max="34" width="2.140625" style="266" bestFit="1" customWidth="1"/>
    <col min="35" max="35" width="2" style="266" bestFit="1" customWidth="1"/>
    <col min="36" max="36" width="2.2851562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8"/>
  <sheetViews>
    <sheetView workbookViewId="0"/>
  </sheetViews>
  <sheetFormatPr defaultRowHeight="14.45"/>
  <cols>
    <col min="1" max="1" width="11.85546875" bestFit="1" customWidth="1"/>
    <col min="2" max="2" width="13.7109375" bestFit="1" customWidth="1"/>
    <col min="3" max="3" width="19.28515625" bestFit="1" customWidth="1"/>
    <col min="4" max="4" width="12.7109375" bestFit="1" customWidth="1"/>
    <col min="5" max="5" width="18.28515625" bestFit="1" customWidth="1"/>
    <col min="6" max="6" width="31.7109375" bestFit="1" customWidth="1"/>
    <col min="7" max="7" width="20" bestFit="1" customWidth="1"/>
    <col min="8" max="8" width="23.7109375" bestFit="1" customWidth="1"/>
    <col min="9" max="9" width="0"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1" t="s">
        <v>254</v>
      </c>
      <c r="B2" s="112" t="s">
        <v>48</v>
      </c>
      <c r="C2" s="113" t="s">
        <v>785</v>
      </c>
      <c r="D2" s="112" t="s">
        <v>784</v>
      </c>
      <c r="E2" s="112" t="s">
        <v>748</v>
      </c>
      <c r="F2" s="112" t="s">
        <v>50</v>
      </c>
      <c r="G2" s="114">
        <v>9</v>
      </c>
      <c r="H2" s="115" t="s">
        <v>786</v>
      </c>
    </row>
    <row r="3" spans="1:8" ht="19.899999999999999" customHeight="1">
      <c r="A3" s="147" t="s">
        <v>254</v>
      </c>
      <c r="B3" s="124" t="s">
        <v>48</v>
      </c>
      <c r="C3" s="125" t="s">
        <v>785</v>
      </c>
      <c r="D3" s="124" t="s">
        <v>784</v>
      </c>
      <c r="E3" s="124" t="s">
        <v>748</v>
      </c>
      <c r="F3" s="124" t="s">
        <v>53</v>
      </c>
      <c r="G3" s="127">
        <v>9</v>
      </c>
      <c r="H3" s="128" t="s">
        <v>787</v>
      </c>
    </row>
    <row r="4" spans="1:8" ht="19.899999999999999" customHeight="1">
      <c r="A4" s="147" t="s">
        <v>340</v>
      </c>
      <c r="B4" s="124" t="s">
        <v>48</v>
      </c>
      <c r="C4" s="125" t="s">
        <v>785</v>
      </c>
      <c r="D4" s="124" t="s">
        <v>784</v>
      </c>
      <c r="E4" s="124" t="s">
        <v>748</v>
      </c>
      <c r="F4" s="124" t="s">
        <v>53</v>
      </c>
      <c r="G4" s="127">
        <v>9</v>
      </c>
      <c r="H4" s="128" t="s">
        <v>788</v>
      </c>
    </row>
    <row r="5" spans="1:8" ht="19.899999999999999" customHeight="1">
      <c r="A5" s="111" t="s">
        <v>770</v>
      </c>
      <c r="B5" s="112" t="s">
        <v>48</v>
      </c>
      <c r="C5" s="113" t="s">
        <v>785</v>
      </c>
      <c r="D5" s="112" t="s">
        <v>784</v>
      </c>
      <c r="E5" s="112" t="s">
        <v>748</v>
      </c>
      <c r="F5" s="112" t="s">
        <v>50</v>
      </c>
      <c r="G5" s="114">
        <v>9</v>
      </c>
      <c r="H5" s="115" t="s">
        <v>786</v>
      </c>
    </row>
    <row r="6" spans="1:8" ht="19.899999999999999" customHeight="1">
      <c r="A6" s="147" t="s">
        <v>770</v>
      </c>
      <c r="B6" s="124" t="s">
        <v>48</v>
      </c>
      <c r="C6" s="125" t="s">
        <v>785</v>
      </c>
      <c r="D6" s="124" t="s">
        <v>784</v>
      </c>
      <c r="E6" s="124" t="s">
        <v>748</v>
      </c>
      <c r="F6" s="124" t="s">
        <v>53</v>
      </c>
      <c r="G6" s="127">
        <v>9</v>
      </c>
      <c r="H6" s="128" t="s">
        <v>787</v>
      </c>
    </row>
    <row r="7" spans="1:8" ht="19.899999999999999" customHeight="1">
      <c r="A7" s="111" t="s">
        <v>792</v>
      </c>
      <c r="B7" s="112" t="s">
        <v>48</v>
      </c>
      <c r="C7" s="113" t="s">
        <v>785</v>
      </c>
      <c r="D7" s="112" t="s">
        <v>784</v>
      </c>
      <c r="E7" s="112" t="s">
        <v>748</v>
      </c>
      <c r="F7" s="112" t="s">
        <v>50</v>
      </c>
      <c r="G7" s="114">
        <v>9</v>
      </c>
      <c r="H7" s="115" t="s">
        <v>786</v>
      </c>
    </row>
    <row r="8" spans="1:8" ht="19.899999999999999" customHeight="1">
      <c r="A8" s="147" t="s">
        <v>792</v>
      </c>
      <c r="B8" s="124" t="s">
        <v>48</v>
      </c>
      <c r="C8" s="125" t="s">
        <v>785</v>
      </c>
      <c r="D8" s="124" t="s">
        <v>784</v>
      </c>
      <c r="E8" s="124" t="s">
        <v>748</v>
      </c>
      <c r="F8" s="124" t="s">
        <v>53</v>
      </c>
      <c r="G8" s="127">
        <v>9</v>
      </c>
      <c r="H8" s="128" t="s">
        <v>787</v>
      </c>
    </row>
    <row r="9" spans="1:8" ht="19.899999999999999" customHeight="1">
      <c r="A9" s="111" t="s">
        <v>793</v>
      </c>
      <c r="B9" s="112" t="s">
        <v>48</v>
      </c>
      <c r="C9" s="113" t="s">
        <v>785</v>
      </c>
      <c r="D9" s="112" t="s">
        <v>784</v>
      </c>
      <c r="E9" s="112" t="s">
        <v>748</v>
      </c>
      <c r="F9" s="112" t="s">
        <v>50</v>
      </c>
      <c r="G9" s="114">
        <v>9</v>
      </c>
      <c r="H9" s="115" t="s">
        <v>786</v>
      </c>
    </row>
    <row r="10" spans="1:8" ht="19.899999999999999" customHeight="1">
      <c r="A10" s="147" t="s">
        <v>793</v>
      </c>
      <c r="B10" s="124" t="s">
        <v>48</v>
      </c>
      <c r="C10" s="125" t="s">
        <v>785</v>
      </c>
      <c r="D10" s="124" t="s">
        <v>784</v>
      </c>
      <c r="E10" s="124" t="s">
        <v>748</v>
      </c>
      <c r="F10" s="124" t="s">
        <v>53</v>
      </c>
      <c r="G10" s="127">
        <v>9</v>
      </c>
      <c r="H10" s="128" t="s">
        <v>787</v>
      </c>
    </row>
    <row r="11" spans="1:8" ht="19.899999999999999" customHeight="1">
      <c r="A11" s="111" t="s">
        <v>794</v>
      </c>
      <c r="B11" s="112" t="s">
        <v>48</v>
      </c>
      <c r="C11" s="113" t="s">
        <v>785</v>
      </c>
      <c r="D11" s="112" t="s">
        <v>784</v>
      </c>
      <c r="E11" s="112" t="s">
        <v>748</v>
      </c>
      <c r="F11" s="112" t="s">
        <v>50</v>
      </c>
      <c r="G11" s="114">
        <v>9</v>
      </c>
      <c r="H11" s="115" t="s">
        <v>786</v>
      </c>
    </row>
    <row r="12" spans="1:8" ht="19.899999999999999" customHeight="1">
      <c r="A12" s="147" t="s">
        <v>794</v>
      </c>
      <c r="B12" s="124" t="s">
        <v>48</v>
      </c>
      <c r="C12" s="125" t="s">
        <v>785</v>
      </c>
      <c r="D12" s="124" t="s">
        <v>784</v>
      </c>
      <c r="E12" s="124" t="s">
        <v>748</v>
      </c>
      <c r="F12" s="124" t="s">
        <v>53</v>
      </c>
      <c r="G12" s="127">
        <v>9</v>
      </c>
      <c r="H12" s="128" t="s">
        <v>787</v>
      </c>
    </row>
    <row r="13" spans="1:8" ht="19.899999999999999" customHeight="1">
      <c r="A13" s="111" t="s">
        <v>795</v>
      </c>
      <c r="B13" s="112" t="s">
        <v>48</v>
      </c>
      <c r="C13" s="113" t="s">
        <v>785</v>
      </c>
      <c r="D13" s="112" t="s">
        <v>784</v>
      </c>
      <c r="E13" s="112" t="s">
        <v>748</v>
      </c>
      <c r="F13" s="112" t="s">
        <v>50</v>
      </c>
      <c r="G13" s="114">
        <v>9</v>
      </c>
      <c r="H13" s="115" t="s">
        <v>786</v>
      </c>
    </row>
    <row r="14" spans="1:8" ht="19.899999999999999" customHeight="1">
      <c r="A14" s="147" t="s">
        <v>795</v>
      </c>
      <c r="B14" s="124" t="s">
        <v>48</v>
      </c>
      <c r="C14" s="125" t="s">
        <v>785</v>
      </c>
      <c r="D14" s="124" t="s">
        <v>784</v>
      </c>
      <c r="E14" s="124" t="s">
        <v>748</v>
      </c>
      <c r="F14" s="124" t="s">
        <v>53</v>
      </c>
      <c r="G14" s="127">
        <v>9</v>
      </c>
      <c r="H14" s="128" t="s">
        <v>787</v>
      </c>
    </row>
    <row r="15" spans="1:8" ht="19.899999999999999" customHeight="1">
      <c r="A15" s="111" t="s">
        <v>796</v>
      </c>
      <c r="B15" s="112" t="s">
        <v>48</v>
      </c>
      <c r="C15" s="113" t="s">
        <v>785</v>
      </c>
      <c r="D15" s="112" t="s">
        <v>784</v>
      </c>
      <c r="E15" s="112" t="s">
        <v>748</v>
      </c>
      <c r="F15" s="112" t="s">
        <v>50</v>
      </c>
      <c r="G15" s="114">
        <v>9</v>
      </c>
      <c r="H15" s="115" t="s">
        <v>786</v>
      </c>
    </row>
    <row r="16" spans="1:8" ht="19.899999999999999" customHeight="1">
      <c r="A16" s="147" t="s">
        <v>796</v>
      </c>
      <c r="B16" s="124" t="s">
        <v>48</v>
      </c>
      <c r="C16" s="125" t="s">
        <v>785</v>
      </c>
      <c r="D16" s="124" t="s">
        <v>784</v>
      </c>
      <c r="E16" s="124" t="s">
        <v>748</v>
      </c>
      <c r="F16" s="124" t="s">
        <v>53</v>
      </c>
      <c r="G16" s="127">
        <v>9</v>
      </c>
      <c r="H16" s="128" t="s">
        <v>787</v>
      </c>
    </row>
    <row r="17" spans="1:8" ht="19.899999999999999" customHeight="1">
      <c r="A17" s="111" t="s">
        <v>797</v>
      </c>
      <c r="B17" s="112" t="s">
        <v>48</v>
      </c>
      <c r="C17" s="113" t="s">
        <v>785</v>
      </c>
      <c r="D17" s="112" t="s">
        <v>784</v>
      </c>
      <c r="E17" s="112" t="s">
        <v>748</v>
      </c>
      <c r="F17" s="112" t="s">
        <v>50</v>
      </c>
      <c r="G17" s="114">
        <v>3</v>
      </c>
      <c r="H17" s="115" t="s">
        <v>789</v>
      </c>
    </row>
    <row r="18" spans="1:8" ht="19.899999999999999" customHeight="1">
      <c r="A18" s="147" t="s">
        <v>797</v>
      </c>
      <c r="B18" s="124" t="s">
        <v>48</v>
      </c>
      <c r="C18" s="125" t="s">
        <v>785</v>
      </c>
      <c r="D18" s="124" t="s">
        <v>784</v>
      </c>
      <c r="E18" s="124" t="s">
        <v>748</v>
      </c>
      <c r="F18" s="124" t="s">
        <v>53</v>
      </c>
      <c r="G18" s="127">
        <v>3</v>
      </c>
      <c r="H18" s="128" t="s">
        <v>790</v>
      </c>
    </row>
    <row r="19" spans="1:8" ht="19.899999999999999" customHeight="1">
      <c r="A19" s="147" t="s">
        <v>798</v>
      </c>
      <c r="B19" s="124" t="s">
        <v>48</v>
      </c>
      <c r="C19" s="125" t="s">
        <v>785</v>
      </c>
      <c r="D19" s="124" t="s">
        <v>784</v>
      </c>
      <c r="E19" s="124" t="s">
        <v>748</v>
      </c>
      <c r="F19" s="124" t="s">
        <v>53</v>
      </c>
      <c r="G19" s="127">
        <v>9</v>
      </c>
      <c r="H19" s="128" t="s">
        <v>788</v>
      </c>
    </row>
    <row r="20" spans="1:8" ht="19.899999999999999" customHeight="1">
      <c r="A20" s="147" t="s">
        <v>799</v>
      </c>
      <c r="B20" s="124" t="s">
        <v>48</v>
      </c>
      <c r="C20" s="125" t="s">
        <v>785</v>
      </c>
      <c r="D20" s="124" t="s">
        <v>784</v>
      </c>
      <c r="E20" s="124" t="s">
        <v>748</v>
      </c>
      <c r="F20" s="124" t="s">
        <v>53</v>
      </c>
      <c r="G20" s="127">
        <v>9</v>
      </c>
      <c r="H20" s="128" t="s">
        <v>788</v>
      </c>
    </row>
    <row r="21" spans="1:8" ht="19.899999999999999" customHeight="1">
      <c r="A21" s="111" t="s">
        <v>800</v>
      </c>
      <c r="B21" s="112" t="s">
        <v>48</v>
      </c>
      <c r="C21" s="113" t="s">
        <v>785</v>
      </c>
      <c r="D21" s="112" t="s">
        <v>784</v>
      </c>
      <c r="E21" s="112" t="s">
        <v>748</v>
      </c>
      <c r="F21" s="112" t="s">
        <v>50</v>
      </c>
      <c r="G21" s="114">
        <v>9</v>
      </c>
      <c r="H21" s="115" t="s">
        <v>786</v>
      </c>
    </row>
    <row r="22" spans="1:8" ht="19.899999999999999" customHeight="1">
      <c r="A22" s="147" t="s">
        <v>800</v>
      </c>
      <c r="B22" s="124" t="s">
        <v>48</v>
      </c>
      <c r="C22" s="125" t="s">
        <v>785</v>
      </c>
      <c r="D22" s="124" t="s">
        <v>784</v>
      </c>
      <c r="E22" s="124" t="s">
        <v>748</v>
      </c>
      <c r="F22" s="124" t="s">
        <v>53</v>
      </c>
      <c r="G22" s="127">
        <v>9</v>
      </c>
      <c r="H22" s="128" t="s">
        <v>787</v>
      </c>
    </row>
    <row r="23" spans="1:8" ht="19.899999999999999" customHeight="1">
      <c r="A23" s="147" t="s">
        <v>801</v>
      </c>
      <c r="B23" s="124" t="s">
        <v>48</v>
      </c>
      <c r="C23" s="125" t="s">
        <v>785</v>
      </c>
      <c r="D23" s="124" t="s">
        <v>784</v>
      </c>
      <c r="E23" s="124" t="s">
        <v>748</v>
      </c>
      <c r="F23" s="124" t="s">
        <v>53</v>
      </c>
      <c r="G23" s="127">
        <v>9</v>
      </c>
      <c r="H23" s="128" t="s">
        <v>791</v>
      </c>
    </row>
    <row r="24" spans="1:8" ht="19.899999999999999" customHeight="1">
      <c r="A24" s="147" t="s">
        <v>802</v>
      </c>
      <c r="B24" s="124" t="s">
        <v>48</v>
      </c>
      <c r="C24" s="125" t="s">
        <v>785</v>
      </c>
      <c r="D24" s="124" t="s">
        <v>784</v>
      </c>
      <c r="E24" s="124" t="s">
        <v>748</v>
      </c>
      <c r="F24" s="124" t="s">
        <v>53</v>
      </c>
      <c r="G24" s="127">
        <v>9</v>
      </c>
      <c r="H24" s="128" t="s">
        <v>791</v>
      </c>
    </row>
    <row r="25" spans="1:8" ht="19.899999999999999" customHeight="1">
      <c r="A25" s="147" t="s">
        <v>803</v>
      </c>
      <c r="B25" s="124" t="s">
        <v>48</v>
      </c>
      <c r="C25" s="125" t="s">
        <v>785</v>
      </c>
      <c r="D25" s="124" t="s">
        <v>784</v>
      </c>
      <c r="E25" s="124" t="s">
        <v>748</v>
      </c>
      <c r="F25" s="124" t="s">
        <v>53</v>
      </c>
      <c r="G25" s="127">
        <v>9</v>
      </c>
      <c r="H25" s="128" t="s">
        <v>791</v>
      </c>
    </row>
    <row r="26" spans="1:8" ht="19.899999999999999" customHeight="1">
      <c r="A26" s="147" t="s">
        <v>804</v>
      </c>
      <c r="B26" s="124" t="s">
        <v>48</v>
      </c>
      <c r="C26" s="125" t="s">
        <v>785</v>
      </c>
      <c r="D26" s="124" t="s">
        <v>784</v>
      </c>
      <c r="E26" s="124" t="s">
        <v>748</v>
      </c>
      <c r="F26" s="124" t="s">
        <v>53</v>
      </c>
      <c r="G26" s="127">
        <v>9</v>
      </c>
      <c r="H26" s="128" t="s">
        <v>791</v>
      </c>
    </row>
    <row r="27" spans="1:8" ht="19.899999999999999" customHeight="1">
      <c r="A27" s="147" t="s">
        <v>805</v>
      </c>
      <c r="B27" s="124" t="s">
        <v>48</v>
      </c>
      <c r="C27" s="125" t="s">
        <v>785</v>
      </c>
      <c r="D27" s="124" t="s">
        <v>784</v>
      </c>
      <c r="E27" s="124" t="s">
        <v>748</v>
      </c>
      <c r="F27" s="124" t="s">
        <v>53</v>
      </c>
      <c r="G27" s="127">
        <v>9</v>
      </c>
      <c r="H27" s="128" t="s">
        <v>791</v>
      </c>
    </row>
    <row r="28" spans="1:8" ht="19.899999999999999" customHeight="1">
      <c r="A28" s="147" t="s">
        <v>806</v>
      </c>
      <c r="B28" s="124" t="s">
        <v>48</v>
      </c>
      <c r="C28" s="125" t="s">
        <v>785</v>
      </c>
      <c r="D28" s="124" t="s">
        <v>784</v>
      </c>
      <c r="E28" s="124" t="s">
        <v>748</v>
      </c>
      <c r="F28" s="124" t="s">
        <v>53</v>
      </c>
      <c r="G28" s="127">
        <v>9</v>
      </c>
      <c r="H28" s="128" t="s">
        <v>791</v>
      </c>
    </row>
  </sheetData>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N5"/>
  <sheetViews>
    <sheetView workbookViewId="0"/>
  </sheetViews>
  <sheetFormatPr defaultRowHeight="14.45"/>
  <cols>
    <col min="6" max="6" width="17.7109375" bestFit="1" customWidth="1"/>
    <col min="7" max="7" width="13.5703125" bestFit="1" customWidth="1"/>
    <col min="13" max="13" width="7.7109375" bestFit="1" customWidth="1"/>
  </cols>
  <sheetData>
    <row r="1" spans="1:92" ht="28.9" customHeight="1">
      <c r="A1" s="291" t="s">
        <v>0</v>
      </c>
      <c r="B1" s="294"/>
      <c r="C1" s="294"/>
      <c r="D1" s="294"/>
      <c r="E1" s="294"/>
      <c r="F1" s="1" t="s">
        <v>807</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45980.609951699698</v>
      </c>
      <c r="H2" s="294"/>
      <c r="I2" s="294"/>
      <c r="J2" s="294"/>
      <c r="K2" s="287">
        <v>45980.609951700033</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1.6" customHeight="1">
      <c r="A4" s="240"/>
      <c r="B4" s="240"/>
      <c r="C4" s="240"/>
      <c r="D4" s="240"/>
      <c r="E4" s="240"/>
      <c r="F4" s="240"/>
      <c r="G4" s="240"/>
      <c r="H4" s="241"/>
      <c r="I4" s="242"/>
      <c r="J4" s="242"/>
      <c r="K4" s="242"/>
      <c r="L4" s="242"/>
      <c r="M4" s="242"/>
      <c r="N4" s="242"/>
      <c r="O4" s="242"/>
      <c r="P4" s="242"/>
      <c r="Q4" s="242"/>
      <c r="R4" s="242"/>
      <c r="CA4" s="3"/>
      <c r="CB4" s="3"/>
      <c r="CC4" s="3"/>
      <c r="CD4" s="3"/>
      <c r="CE4" s="3"/>
      <c r="CF4" s="3"/>
      <c r="CG4" s="3"/>
      <c r="CH4" s="3"/>
      <c r="CI4" s="3"/>
      <c r="CJ4" s="3"/>
      <c r="CK4" s="3"/>
      <c r="CL4" s="3"/>
      <c r="CM4" s="3"/>
      <c r="CN4" s="3"/>
    </row>
    <row r="5" spans="1:92" ht="18.600000000000001" customHeight="1">
      <c r="A5" s="242"/>
      <c r="B5" s="242"/>
      <c r="C5" s="242"/>
      <c r="D5" s="242"/>
      <c r="E5" s="242"/>
      <c r="F5" s="242"/>
      <c r="G5" s="242"/>
      <c r="H5" s="242"/>
      <c r="I5" s="242"/>
      <c r="J5" s="242"/>
      <c r="K5" s="242"/>
      <c r="L5" s="242"/>
      <c r="M5" s="242"/>
      <c r="N5" s="242"/>
      <c r="O5" s="242"/>
      <c r="P5" s="242"/>
      <c r="Q5" s="242"/>
      <c r="R5" s="242"/>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J1"/>
  <sheetViews>
    <sheetView workbookViewId="0"/>
  </sheetViews>
  <sheetFormatPr defaultColWidth="8.85546875" defaultRowHeight="15.6" outlineLevelCol="1"/>
  <cols>
    <col min="1" max="1" width="4.140625" style="266" bestFit="1" customWidth="1"/>
    <col min="2" max="2" width="5.28515625" style="266" bestFit="1" customWidth="1"/>
    <col min="3" max="3" width="3" style="266" bestFit="1" customWidth="1"/>
    <col min="4" max="4" width="4.28515625" style="266" bestFit="1" customWidth="1"/>
    <col min="5" max="5" width="7.140625" style="266" bestFit="1" customWidth="1"/>
    <col min="6" max="6" width="4" style="266" bestFit="1" customWidth="1"/>
    <col min="7" max="8" width="4.28515625" style="266" bestFit="1" customWidth="1"/>
    <col min="9" max="10" width="6.42578125" style="266" bestFit="1" customWidth="1"/>
    <col min="11" max="11" width="6.140625" style="266" bestFit="1" customWidth="1"/>
    <col min="12" max="12" width="8.7109375" style="266" bestFit="1" customWidth="1"/>
    <col min="13" max="13" width="7.28515625" style="266" bestFit="1" customWidth="1" outlineLevel="1"/>
    <col min="14" max="14" width="6" style="266" bestFit="1" customWidth="1" outlineLevel="1"/>
    <col min="15" max="15" width="7.7109375" style="266" bestFit="1" customWidth="1" outlineLevel="1"/>
    <col min="16" max="16" width="13.28515625" style="266" bestFit="1" customWidth="1"/>
    <col min="17" max="17" width="2" style="266" bestFit="1" customWidth="1"/>
    <col min="18" max="18" width="2.140625" style="266" bestFit="1" customWidth="1"/>
    <col min="19" max="19" width="2.7109375" style="266" bestFit="1" customWidth="1"/>
    <col min="20" max="21" width="2.28515625" style="266" bestFit="1" customWidth="1"/>
    <col min="22" max="22" width="2" style="266" bestFit="1" customWidth="1"/>
    <col min="23" max="23" width="2.140625" style="266" bestFit="1" customWidth="1"/>
    <col min="24" max="24" width="1.85546875" style="266" bestFit="1" customWidth="1"/>
    <col min="25" max="25" width="2.28515625" style="266" bestFit="1" customWidth="1"/>
    <col min="26" max="26" width="1.85546875" style="266" bestFit="1" customWidth="1"/>
    <col min="27" max="27" width="2.7109375" style="266" bestFit="1" customWidth="1"/>
    <col min="28" max="29" width="2" style="266" bestFit="1" customWidth="1"/>
    <col min="30" max="31" width="2.28515625" style="266" bestFit="1" customWidth="1"/>
    <col min="32" max="32" width="1.5703125" style="266" bestFit="1" customWidth="1"/>
    <col min="33" max="33" width="2" style="266" bestFit="1" customWidth="1"/>
    <col min="34" max="34" width="2.140625" style="266" bestFit="1" customWidth="1"/>
    <col min="35" max="35" width="2" style="266" bestFit="1" customWidth="1"/>
    <col min="36" max="36" width="2.2851562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
  <sheetViews>
    <sheetView workbookViewId="0"/>
  </sheetViews>
  <sheetFormatPr defaultRowHeight="14.45"/>
  <cols>
    <col min="1" max="1" width="6.7109375" bestFit="1" customWidth="1"/>
    <col min="2" max="2" width="9.28515625" bestFit="1" customWidth="1"/>
    <col min="3" max="3" width="14.7109375" bestFit="1" customWidth="1"/>
    <col min="4" max="4" width="8.28515625" bestFit="1" customWidth="1"/>
    <col min="5" max="5" width="13.85546875" bestFit="1" customWidth="1"/>
    <col min="6" max="6" width="11.7109375" bestFit="1" customWidth="1"/>
    <col min="7" max="7" width="15.5703125" bestFit="1" customWidth="1"/>
    <col min="8" max="8" width="19.28515625" bestFit="1" customWidth="1"/>
    <col min="9" max="9" width="0" hidden="1" customWidth="1"/>
  </cols>
  <sheetData>
    <row r="1" spans="1:8" ht="18">
      <c r="A1" s="243" t="s">
        <v>252</v>
      </c>
      <c r="B1" s="243" t="s">
        <v>8</v>
      </c>
      <c r="C1" s="243" t="s">
        <v>9</v>
      </c>
      <c r="D1" s="243" t="s">
        <v>253</v>
      </c>
      <c r="E1" s="243" t="s">
        <v>10</v>
      </c>
      <c r="F1" s="243" t="s">
        <v>11</v>
      </c>
      <c r="G1" s="243" t="s">
        <v>12</v>
      </c>
      <c r="H1" s="243" t="s">
        <v>13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N1671"/>
  <sheetViews>
    <sheetView workbookViewId="0"/>
  </sheetViews>
  <sheetFormatPr defaultRowHeight="14.45"/>
  <cols>
    <col min="1" max="1" width="17.28515625" bestFit="1" customWidth="1"/>
    <col min="2" max="2" width="15.7109375" bestFit="1" customWidth="1"/>
    <col min="3" max="3" width="14.7109375" bestFit="1" customWidth="1"/>
    <col min="4" max="4" width="33" bestFit="1" customWidth="1"/>
    <col min="5" max="5" width="18.5703125" bestFit="1" customWidth="1"/>
    <col min="6" max="6" width="23.42578125" bestFit="1" customWidth="1"/>
    <col min="7" max="7" width="45.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33.28515625" bestFit="1" customWidth="1"/>
  </cols>
  <sheetData>
    <row r="1" spans="1:92" ht="28.9" customHeight="1">
      <c r="A1" s="291" t="s">
        <v>0</v>
      </c>
      <c r="B1" s="294"/>
      <c r="C1" s="294"/>
      <c r="D1" s="294"/>
      <c r="E1" s="294"/>
      <c r="F1" s="1" t="s">
        <v>808</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45980.609952722603</v>
      </c>
      <c r="H2" s="294"/>
      <c r="I2" s="294"/>
      <c r="J2" s="294"/>
      <c r="K2" s="287">
        <v>45980.609952722902</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46023</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38</v>
      </c>
      <c r="B6" s="8" t="s">
        <v>809</v>
      </c>
      <c r="C6" s="9">
        <v>0.57638888888888895</v>
      </c>
      <c r="D6" s="8" t="s">
        <v>40</v>
      </c>
      <c r="E6" s="8" t="s">
        <v>100</v>
      </c>
      <c r="F6" s="8" t="s">
        <v>475</v>
      </c>
      <c r="G6" s="297"/>
      <c r="H6" s="10"/>
      <c r="I6" s="11"/>
      <c r="J6" s="11"/>
      <c r="K6" s="11"/>
      <c r="L6" s="11"/>
      <c r="M6" s="11"/>
      <c r="N6" s="11"/>
      <c r="O6" s="12"/>
      <c r="P6" s="11"/>
      <c r="Q6" s="13"/>
      <c r="R6" s="14"/>
    </row>
    <row r="7" spans="1:92" ht="15" customHeight="1">
      <c r="A7" s="15" t="s">
        <v>38</v>
      </c>
      <c r="B7" s="15" t="s">
        <v>809</v>
      </c>
      <c r="C7" s="16">
        <v>0.57638888888888895</v>
      </c>
      <c r="D7" s="15" t="s">
        <v>43</v>
      </c>
      <c r="E7" s="15" t="s">
        <v>115</v>
      </c>
      <c r="F7" s="15" t="s">
        <v>121</v>
      </c>
      <c r="G7" s="298"/>
      <c r="H7" s="10"/>
      <c r="I7" s="11"/>
      <c r="J7" s="11"/>
      <c r="K7" s="11"/>
      <c r="L7" s="11"/>
      <c r="M7" s="11"/>
      <c r="N7" s="11"/>
      <c r="O7" s="12"/>
      <c r="P7" s="11"/>
      <c r="Q7" s="13"/>
      <c r="R7" s="14"/>
    </row>
    <row r="8" spans="1:92" ht="15" customHeight="1">
      <c r="A8" s="15" t="s">
        <v>38</v>
      </c>
      <c r="B8" s="15" t="s">
        <v>809</v>
      </c>
      <c r="C8" s="16">
        <v>0.57638888888888895</v>
      </c>
      <c r="D8" s="15" t="s">
        <v>46</v>
      </c>
      <c r="E8" s="15" t="s">
        <v>115</v>
      </c>
      <c r="F8" s="15" t="s">
        <v>810</v>
      </c>
      <c r="G8" s="298"/>
      <c r="H8" s="10"/>
      <c r="I8" s="11"/>
      <c r="J8" s="11"/>
      <c r="K8" s="11"/>
      <c r="L8" s="11"/>
      <c r="M8" s="11"/>
      <c r="N8" s="11"/>
      <c r="O8" s="12"/>
      <c r="P8" s="11"/>
      <c r="Q8" s="13"/>
      <c r="R8" s="14"/>
    </row>
    <row r="9" spans="1:92" ht="15" customHeight="1">
      <c r="A9" s="17" t="s">
        <v>38</v>
      </c>
      <c r="B9" s="17" t="s">
        <v>811</v>
      </c>
      <c r="C9" s="18">
        <v>0.62847222222222221</v>
      </c>
      <c r="D9" s="17" t="s">
        <v>40</v>
      </c>
      <c r="E9" s="17" t="s">
        <v>441</v>
      </c>
      <c r="F9" s="17" t="s">
        <v>475</v>
      </c>
      <c r="G9" s="298"/>
      <c r="H9" s="10"/>
      <c r="I9" s="11"/>
      <c r="J9" s="11"/>
      <c r="K9" s="11"/>
      <c r="L9" s="11"/>
      <c r="M9" s="11"/>
      <c r="N9" s="11"/>
      <c r="O9" s="12"/>
      <c r="P9" s="11"/>
      <c r="Q9" s="13"/>
      <c r="R9" s="14"/>
    </row>
    <row r="10" spans="1:92" ht="15" customHeight="1">
      <c r="A10" s="15" t="s">
        <v>38</v>
      </c>
      <c r="B10" s="15" t="s">
        <v>811</v>
      </c>
      <c r="C10" s="16">
        <v>0.62847222222222221</v>
      </c>
      <c r="D10" s="15" t="s">
        <v>43</v>
      </c>
      <c r="E10" s="15" t="s">
        <v>132</v>
      </c>
      <c r="F10" s="15" t="s">
        <v>121</v>
      </c>
      <c r="G10" s="298"/>
      <c r="H10" s="10"/>
      <c r="I10" s="11"/>
      <c r="J10" s="11"/>
      <c r="K10" s="11"/>
      <c r="L10" s="11"/>
      <c r="M10" s="11"/>
      <c r="N10" s="11"/>
      <c r="O10" s="12"/>
      <c r="P10" s="11"/>
      <c r="Q10" s="13"/>
      <c r="R10" s="14"/>
    </row>
    <row r="11" spans="1:92" ht="15" customHeight="1">
      <c r="A11" s="15" t="s">
        <v>38</v>
      </c>
      <c r="B11" s="15" t="s">
        <v>811</v>
      </c>
      <c r="C11" s="16">
        <v>0.62847222222222221</v>
      </c>
      <c r="D11" s="15" t="s">
        <v>46</v>
      </c>
      <c r="E11" s="15" t="s">
        <v>132</v>
      </c>
      <c r="F11" s="15" t="s">
        <v>810</v>
      </c>
      <c r="G11" s="298"/>
      <c r="H11" s="10"/>
      <c r="I11" s="11"/>
      <c r="J11" s="11"/>
      <c r="K11" s="11"/>
      <c r="L11" s="11"/>
      <c r="M11" s="11"/>
      <c r="N11" s="11"/>
      <c r="O11" s="12"/>
      <c r="P11" s="11"/>
      <c r="Q11" s="13"/>
      <c r="R11" s="14"/>
    </row>
    <row r="12" spans="1:92" ht="15" customHeight="1">
      <c r="A12" s="17" t="s">
        <v>38</v>
      </c>
      <c r="B12" s="17" t="s">
        <v>812</v>
      </c>
      <c r="C12" s="18">
        <v>0.88888888888888884</v>
      </c>
      <c r="D12" s="17" t="s">
        <v>40</v>
      </c>
      <c r="E12" s="17" t="s">
        <v>170</v>
      </c>
      <c r="F12" s="17" t="s">
        <v>475</v>
      </c>
      <c r="G12" s="298"/>
      <c r="H12" s="10"/>
      <c r="I12" s="11"/>
      <c r="J12" s="11"/>
      <c r="K12" s="11"/>
      <c r="L12" s="11"/>
      <c r="M12" s="11"/>
      <c r="N12" s="11"/>
      <c r="O12" s="12"/>
      <c r="P12" s="11"/>
      <c r="Q12" s="13"/>
      <c r="R12" s="14"/>
    </row>
    <row r="13" spans="1:92" ht="15" customHeight="1">
      <c r="A13" s="15" t="s">
        <v>38</v>
      </c>
      <c r="B13" s="15" t="s">
        <v>812</v>
      </c>
      <c r="C13" s="16">
        <v>0.88888888888888884</v>
      </c>
      <c r="D13" s="15" t="s">
        <v>43</v>
      </c>
      <c r="E13" s="15" t="s">
        <v>152</v>
      </c>
      <c r="F13" s="15" t="s">
        <v>121</v>
      </c>
      <c r="G13" s="298"/>
      <c r="H13" s="10"/>
      <c r="I13" s="11"/>
      <c r="J13" s="11"/>
      <c r="K13" s="11"/>
      <c r="L13" s="11"/>
      <c r="M13" s="11"/>
      <c r="N13" s="11"/>
      <c r="O13" s="12"/>
      <c r="P13" s="11"/>
      <c r="Q13" s="13"/>
      <c r="R13" s="14"/>
    </row>
    <row r="14" spans="1:92" ht="15" customHeight="1">
      <c r="A14" s="15" t="s">
        <v>38</v>
      </c>
      <c r="B14" s="15" t="s">
        <v>812</v>
      </c>
      <c r="C14" s="16">
        <v>0.88888888888888884</v>
      </c>
      <c r="D14" s="15" t="s">
        <v>46</v>
      </c>
      <c r="E14" s="15" t="s">
        <v>152</v>
      </c>
      <c r="F14" s="15" t="s">
        <v>810</v>
      </c>
      <c r="G14" s="298"/>
      <c r="H14" s="10"/>
      <c r="I14" s="11"/>
      <c r="J14" s="11"/>
      <c r="K14" s="11"/>
      <c r="L14" s="11"/>
      <c r="M14" s="11"/>
      <c r="N14" s="11"/>
      <c r="O14" s="12"/>
      <c r="P14" s="11"/>
      <c r="Q14" s="13"/>
      <c r="R14" s="14"/>
    </row>
    <row r="15" spans="1:92" ht="15" customHeight="1">
      <c r="A15" s="17" t="s">
        <v>38</v>
      </c>
      <c r="B15" s="17" t="s">
        <v>813</v>
      </c>
      <c r="C15" s="18">
        <v>0.94444444444444453</v>
      </c>
      <c r="D15" s="17" t="s">
        <v>40</v>
      </c>
      <c r="E15" s="17" t="s">
        <v>442</v>
      </c>
      <c r="F15" s="17" t="s">
        <v>475</v>
      </c>
      <c r="G15" s="298"/>
      <c r="H15" s="10"/>
      <c r="I15" s="11"/>
      <c r="J15" s="11"/>
      <c r="K15" s="11"/>
      <c r="L15" s="11"/>
      <c r="M15" s="11"/>
      <c r="N15" s="11"/>
      <c r="O15" s="12"/>
      <c r="P15" s="11"/>
      <c r="Q15" s="13"/>
      <c r="R15" s="14"/>
    </row>
    <row r="16" spans="1:92" ht="15" customHeight="1">
      <c r="A16" s="15" t="s">
        <v>38</v>
      </c>
      <c r="B16" s="15" t="s">
        <v>813</v>
      </c>
      <c r="C16" s="16">
        <v>0.94444444444444453</v>
      </c>
      <c r="D16" s="15" t="s">
        <v>43</v>
      </c>
      <c r="E16" s="15" t="s">
        <v>122</v>
      </c>
      <c r="F16" s="15" t="s">
        <v>121</v>
      </c>
      <c r="G16" s="298"/>
      <c r="H16" s="10"/>
      <c r="I16" s="11"/>
      <c r="J16" s="11"/>
      <c r="K16" s="11"/>
      <c r="L16" s="11"/>
      <c r="M16" s="11"/>
      <c r="N16" s="11"/>
      <c r="O16" s="12"/>
      <c r="P16" s="11"/>
      <c r="Q16" s="13"/>
      <c r="R16" s="14"/>
    </row>
    <row r="17" spans="1:18" ht="15" customHeight="1">
      <c r="A17" s="15" t="s">
        <v>38</v>
      </c>
      <c r="B17" s="15" t="s">
        <v>813</v>
      </c>
      <c r="C17" s="16">
        <v>0.94444444444444453</v>
      </c>
      <c r="D17" s="15" t="s">
        <v>46</v>
      </c>
      <c r="E17" s="15" t="s">
        <v>122</v>
      </c>
      <c r="F17" s="15" t="s">
        <v>810</v>
      </c>
      <c r="G17" s="298"/>
      <c r="H17" s="10"/>
      <c r="I17" s="11"/>
      <c r="J17" s="11"/>
      <c r="K17" s="11"/>
      <c r="L17" s="11"/>
      <c r="M17" s="11"/>
      <c r="N17" s="11"/>
      <c r="O17" s="12"/>
      <c r="P17" s="11"/>
      <c r="Q17" s="13"/>
      <c r="R17" s="14"/>
    </row>
    <row r="18" spans="1:18" ht="15" customHeight="1">
      <c r="A18" s="19" t="s">
        <v>359</v>
      </c>
      <c r="B18" s="19" t="s">
        <v>814</v>
      </c>
      <c r="C18" s="20">
        <v>0.4375</v>
      </c>
      <c r="D18" s="19" t="s">
        <v>361</v>
      </c>
      <c r="E18" s="19" t="s">
        <v>80</v>
      </c>
      <c r="F18" s="19" t="s">
        <v>815</v>
      </c>
      <c r="G18" s="298"/>
      <c r="H18" s="10"/>
      <c r="I18" s="11"/>
      <c r="J18" s="11"/>
      <c r="K18" s="11"/>
      <c r="L18" s="11"/>
      <c r="M18" s="11"/>
      <c r="N18" s="11"/>
      <c r="O18" s="12"/>
      <c r="P18" s="11"/>
      <c r="Q18" s="13"/>
      <c r="R18" s="14"/>
    </row>
    <row r="19" spans="1:18" ht="15" customHeight="1">
      <c r="A19" s="15" t="s">
        <v>359</v>
      </c>
      <c r="B19" s="15" t="s">
        <v>814</v>
      </c>
      <c r="C19" s="16">
        <v>0.4375</v>
      </c>
      <c r="D19" s="15" t="s">
        <v>46</v>
      </c>
      <c r="E19" s="15" t="s">
        <v>82</v>
      </c>
      <c r="F19" s="15" t="s">
        <v>657</v>
      </c>
      <c r="G19" s="298"/>
      <c r="H19" s="10"/>
      <c r="I19" s="11"/>
      <c r="J19" s="11"/>
      <c r="K19" s="11"/>
      <c r="L19" s="11"/>
      <c r="M19" s="11"/>
      <c r="N19" s="11"/>
      <c r="O19" s="12"/>
      <c r="P19" s="11"/>
      <c r="Q19" s="13"/>
      <c r="R19" s="14"/>
    </row>
    <row r="20" spans="1:18" ht="15" customHeight="1">
      <c r="A20" s="67" t="s">
        <v>61</v>
      </c>
      <c r="B20" s="67" t="s">
        <v>816</v>
      </c>
      <c r="C20" s="68">
        <v>0.41319444444444442</v>
      </c>
      <c r="D20" s="67" t="s">
        <v>63</v>
      </c>
      <c r="E20" s="67" t="s">
        <v>51</v>
      </c>
      <c r="F20" s="67" t="s">
        <v>817</v>
      </c>
      <c r="G20" s="298"/>
      <c r="H20" s="69" t="s">
        <v>818</v>
      </c>
      <c r="I20" s="70">
        <v>1.6799999999999999E-2</v>
      </c>
      <c r="J20" s="71">
        <v>3</v>
      </c>
      <c r="K20" s="72">
        <v>46338</v>
      </c>
      <c r="L20" s="71">
        <v>3</v>
      </c>
      <c r="M20" s="71">
        <v>0</v>
      </c>
      <c r="N20" s="71">
        <v>0</v>
      </c>
      <c r="O20" s="73" t="s">
        <v>326</v>
      </c>
      <c r="P20" s="74">
        <v>0.41319444444444442</v>
      </c>
      <c r="Q20" s="71">
        <v>179</v>
      </c>
      <c r="R20" s="75" t="s">
        <v>819</v>
      </c>
    </row>
    <row r="21" spans="1:18" ht="15" customHeight="1">
      <c r="A21" s="19" t="s">
        <v>26</v>
      </c>
      <c r="B21" s="19" t="s">
        <v>820</v>
      </c>
      <c r="C21" s="20">
        <v>0.4375</v>
      </c>
      <c r="D21" s="19" t="s">
        <v>28</v>
      </c>
      <c r="E21" s="19" t="s">
        <v>80</v>
      </c>
      <c r="F21" s="19" t="s">
        <v>81</v>
      </c>
      <c r="G21" s="298"/>
      <c r="H21" s="10"/>
      <c r="I21" s="11"/>
      <c r="J21" s="11"/>
      <c r="K21" s="11"/>
      <c r="L21" s="11"/>
      <c r="M21" s="11"/>
      <c r="N21" s="11"/>
      <c r="O21" s="12"/>
      <c r="P21" s="11"/>
      <c r="Q21" s="13"/>
      <c r="R21" s="14"/>
    </row>
    <row r="22" spans="1:18" ht="15" customHeight="1">
      <c r="A22" s="15" t="s">
        <v>26</v>
      </c>
      <c r="B22" s="15" t="s">
        <v>820</v>
      </c>
      <c r="C22" s="16">
        <v>0.4375</v>
      </c>
      <c r="D22" s="15" t="s">
        <v>31</v>
      </c>
      <c r="E22" s="15" t="s">
        <v>82</v>
      </c>
      <c r="F22" s="15" t="s">
        <v>83</v>
      </c>
      <c r="G22" s="298"/>
      <c r="H22" s="10"/>
      <c r="I22" s="11"/>
      <c r="J22" s="11"/>
      <c r="K22" s="11"/>
      <c r="L22" s="11"/>
      <c r="M22" s="11"/>
      <c r="N22" s="11"/>
      <c r="O22" s="12"/>
      <c r="P22" s="11"/>
      <c r="Q22" s="13"/>
      <c r="R22" s="14"/>
    </row>
    <row r="23" spans="1:18" ht="15" customHeight="1">
      <c r="A23" s="15" t="s">
        <v>26</v>
      </c>
      <c r="B23" s="15" t="s">
        <v>820</v>
      </c>
      <c r="C23" s="16">
        <v>0.4375</v>
      </c>
      <c r="D23" s="15" t="s">
        <v>34</v>
      </c>
      <c r="E23" s="15" t="s">
        <v>82</v>
      </c>
      <c r="F23" s="15" t="s">
        <v>45</v>
      </c>
      <c r="G23" s="298"/>
      <c r="H23" s="10"/>
      <c r="I23" s="11"/>
      <c r="J23" s="11"/>
      <c r="K23" s="11"/>
      <c r="L23" s="11"/>
      <c r="M23" s="11"/>
      <c r="N23" s="11"/>
      <c r="O23" s="12"/>
      <c r="P23" s="11"/>
      <c r="Q23" s="13"/>
      <c r="R23" s="14"/>
    </row>
    <row r="24" spans="1:18" ht="15" customHeight="1">
      <c r="A24" s="17" t="s">
        <v>26</v>
      </c>
      <c r="B24" s="17" t="s">
        <v>821</v>
      </c>
      <c r="C24" s="18">
        <v>0.63194444444444442</v>
      </c>
      <c r="D24" s="17" t="s">
        <v>28</v>
      </c>
      <c r="E24" s="17" t="s">
        <v>90</v>
      </c>
      <c r="F24" s="17" t="s">
        <v>81</v>
      </c>
      <c r="G24" s="298"/>
      <c r="H24" s="10"/>
      <c r="I24" s="11"/>
      <c r="J24" s="11"/>
      <c r="K24" s="11"/>
      <c r="L24" s="11"/>
      <c r="M24" s="11"/>
      <c r="N24" s="11"/>
      <c r="O24" s="12"/>
      <c r="P24" s="11"/>
      <c r="Q24" s="13"/>
      <c r="R24" s="14"/>
    </row>
    <row r="25" spans="1:18" ht="15" customHeight="1">
      <c r="A25" s="15" t="s">
        <v>26</v>
      </c>
      <c r="B25" s="15" t="s">
        <v>821</v>
      </c>
      <c r="C25" s="16">
        <v>0.63194444444444442</v>
      </c>
      <c r="D25" s="15" t="s">
        <v>31</v>
      </c>
      <c r="E25" s="15" t="s">
        <v>82</v>
      </c>
      <c r="F25" s="15" t="s">
        <v>83</v>
      </c>
      <c r="G25" s="298"/>
      <c r="H25" s="10"/>
      <c r="I25" s="11"/>
      <c r="J25" s="11"/>
      <c r="K25" s="11"/>
      <c r="L25" s="11"/>
      <c r="M25" s="11"/>
      <c r="N25" s="11"/>
      <c r="O25" s="12"/>
      <c r="P25" s="11"/>
      <c r="Q25" s="13"/>
      <c r="R25" s="14"/>
    </row>
    <row r="26" spans="1:18" ht="15" customHeight="1">
      <c r="A26" s="15" t="s">
        <v>26</v>
      </c>
      <c r="B26" s="15" t="s">
        <v>821</v>
      </c>
      <c r="C26" s="16">
        <v>0.63194444444444442</v>
      </c>
      <c r="D26" s="15" t="s">
        <v>34</v>
      </c>
      <c r="E26" s="15" t="s">
        <v>82</v>
      </c>
      <c r="F26" s="15" t="s">
        <v>45</v>
      </c>
      <c r="G26" s="298"/>
      <c r="H26" s="10"/>
      <c r="I26" s="11"/>
      <c r="J26" s="11"/>
      <c r="K26" s="11"/>
      <c r="L26" s="11"/>
      <c r="M26" s="11"/>
      <c r="N26" s="11"/>
      <c r="O26" s="12"/>
      <c r="P26" s="11"/>
      <c r="Q26" s="13"/>
      <c r="R26" s="14"/>
    </row>
    <row r="27" spans="1:18" ht="15" customHeight="1">
      <c r="A27" s="17" t="s">
        <v>26</v>
      </c>
      <c r="B27" s="17" t="s">
        <v>822</v>
      </c>
      <c r="C27" s="18">
        <v>0.55902777777777779</v>
      </c>
      <c r="D27" s="17" t="s">
        <v>28</v>
      </c>
      <c r="E27" s="17" t="s">
        <v>90</v>
      </c>
      <c r="F27" s="17" t="s">
        <v>81</v>
      </c>
      <c r="G27" s="298"/>
      <c r="H27" s="10"/>
      <c r="I27" s="11"/>
      <c r="J27" s="11"/>
      <c r="K27" s="11"/>
      <c r="L27" s="11"/>
      <c r="M27" s="11"/>
      <c r="N27" s="11"/>
      <c r="O27" s="12"/>
      <c r="P27" s="11"/>
      <c r="Q27" s="13"/>
      <c r="R27" s="14"/>
    </row>
    <row r="28" spans="1:18" ht="15" customHeight="1">
      <c r="A28" s="15" t="s">
        <v>26</v>
      </c>
      <c r="B28" s="15" t="s">
        <v>822</v>
      </c>
      <c r="C28" s="16">
        <v>0.55902777777777779</v>
      </c>
      <c r="D28" s="15" t="s">
        <v>31</v>
      </c>
      <c r="E28" s="15" t="s">
        <v>82</v>
      </c>
      <c r="F28" s="15" t="s">
        <v>83</v>
      </c>
      <c r="G28" s="298"/>
      <c r="H28" s="10"/>
      <c r="I28" s="11"/>
      <c r="J28" s="11"/>
      <c r="K28" s="11"/>
      <c r="L28" s="11"/>
      <c r="M28" s="11"/>
      <c r="N28" s="11"/>
      <c r="O28" s="12"/>
      <c r="P28" s="11"/>
      <c r="Q28" s="13"/>
      <c r="R28" s="14"/>
    </row>
    <row r="29" spans="1:18" ht="15" customHeight="1">
      <c r="A29" s="15" t="s">
        <v>26</v>
      </c>
      <c r="B29" s="15" t="s">
        <v>822</v>
      </c>
      <c r="C29" s="16">
        <v>0.55902777777777779</v>
      </c>
      <c r="D29" s="15" t="s">
        <v>34</v>
      </c>
      <c r="E29" s="15" t="s">
        <v>82</v>
      </c>
      <c r="F29" s="15" t="s">
        <v>45</v>
      </c>
      <c r="G29" s="298"/>
      <c r="H29" s="10"/>
      <c r="I29" s="11"/>
      <c r="J29" s="11"/>
      <c r="K29" s="11"/>
      <c r="L29" s="11"/>
      <c r="M29" s="11"/>
      <c r="N29" s="11"/>
      <c r="O29" s="12"/>
      <c r="P29" s="11"/>
      <c r="Q29" s="13"/>
      <c r="R29" s="14"/>
    </row>
    <row r="30" spans="1:18" ht="15" customHeight="1">
      <c r="A30" s="17" t="s">
        <v>26</v>
      </c>
      <c r="B30" s="17" t="s">
        <v>823</v>
      </c>
      <c r="C30" s="18">
        <v>0.81944444444444453</v>
      </c>
      <c r="D30" s="17" t="s">
        <v>28</v>
      </c>
      <c r="E30" s="17" t="s">
        <v>90</v>
      </c>
      <c r="F30" s="17" t="s">
        <v>81</v>
      </c>
      <c r="G30" s="298"/>
      <c r="H30" s="10"/>
      <c r="I30" s="11"/>
      <c r="J30" s="11"/>
      <c r="K30" s="11"/>
      <c r="L30" s="11"/>
      <c r="M30" s="11"/>
      <c r="N30" s="11"/>
      <c r="O30" s="12"/>
      <c r="P30" s="11"/>
      <c r="Q30" s="13"/>
      <c r="R30" s="14"/>
    </row>
    <row r="31" spans="1:18" ht="15" customHeight="1">
      <c r="A31" s="15" t="s">
        <v>26</v>
      </c>
      <c r="B31" s="15" t="s">
        <v>823</v>
      </c>
      <c r="C31" s="16">
        <v>0.81944444444444453</v>
      </c>
      <c r="D31" s="15" t="s">
        <v>31</v>
      </c>
      <c r="E31" s="15" t="s">
        <v>82</v>
      </c>
      <c r="F31" s="15" t="s">
        <v>83</v>
      </c>
      <c r="G31" s="298"/>
      <c r="H31" s="10"/>
      <c r="I31" s="11"/>
      <c r="J31" s="11"/>
      <c r="K31" s="11"/>
      <c r="L31" s="11"/>
      <c r="M31" s="11"/>
      <c r="N31" s="11"/>
      <c r="O31" s="12"/>
      <c r="P31" s="11"/>
      <c r="Q31" s="13"/>
      <c r="R31" s="14"/>
    </row>
    <row r="32" spans="1:18" ht="15" customHeight="1">
      <c r="A32" s="15" t="s">
        <v>26</v>
      </c>
      <c r="B32" s="15" t="s">
        <v>823</v>
      </c>
      <c r="C32" s="16">
        <v>0.81944444444444453</v>
      </c>
      <c r="D32" s="15" t="s">
        <v>34</v>
      </c>
      <c r="E32" s="15" t="s">
        <v>82</v>
      </c>
      <c r="F32" s="15" t="s">
        <v>45</v>
      </c>
      <c r="G32" s="298"/>
      <c r="H32" s="10"/>
      <c r="I32" s="11"/>
      <c r="J32" s="11"/>
      <c r="K32" s="11"/>
      <c r="L32" s="11"/>
      <c r="M32" s="11"/>
      <c r="N32" s="11"/>
      <c r="O32" s="12"/>
      <c r="P32" s="11"/>
      <c r="Q32" s="13"/>
      <c r="R32" s="14"/>
    </row>
    <row r="33" spans="1:18" ht="15" customHeight="1">
      <c r="A33" s="17" t="s">
        <v>26</v>
      </c>
      <c r="B33" s="17" t="s">
        <v>824</v>
      </c>
      <c r="C33" s="18">
        <v>0.50694444444444442</v>
      </c>
      <c r="D33" s="17" t="s">
        <v>28</v>
      </c>
      <c r="E33" s="17" t="s">
        <v>90</v>
      </c>
      <c r="F33" s="17" t="s">
        <v>81</v>
      </c>
      <c r="G33" s="298"/>
      <c r="H33" s="10"/>
      <c r="I33" s="11"/>
      <c r="J33" s="11"/>
      <c r="K33" s="11"/>
      <c r="L33" s="11"/>
      <c r="M33" s="11"/>
      <c r="N33" s="11"/>
      <c r="O33" s="12"/>
      <c r="P33" s="11"/>
      <c r="Q33" s="13"/>
      <c r="R33" s="14"/>
    </row>
    <row r="34" spans="1:18" ht="15" customHeight="1">
      <c r="A34" s="15" t="s">
        <v>26</v>
      </c>
      <c r="B34" s="15" t="s">
        <v>824</v>
      </c>
      <c r="C34" s="16">
        <v>0.50694444444444442</v>
      </c>
      <c r="D34" s="15" t="s">
        <v>31</v>
      </c>
      <c r="E34" s="15" t="s">
        <v>82</v>
      </c>
      <c r="F34" s="15" t="s">
        <v>83</v>
      </c>
      <c r="G34" s="298"/>
      <c r="H34" s="10"/>
      <c r="I34" s="11"/>
      <c r="J34" s="11"/>
      <c r="K34" s="11"/>
      <c r="L34" s="11"/>
      <c r="M34" s="11"/>
      <c r="N34" s="11"/>
      <c r="O34" s="12"/>
      <c r="P34" s="11"/>
      <c r="Q34" s="13"/>
      <c r="R34" s="14"/>
    </row>
    <row r="35" spans="1:18" ht="15" customHeight="1">
      <c r="A35" s="15" t="s">
        <v>26</v>
      </c>
      <c r="B35" s="15" t="s">
        <v>824</v>
      </c>
      <c r="C35" s="16">
        <v>0.50694444444444442</v>
      </c>
      <c r="D35" s="15" t="s">
        <v>34</v>
      </c>
      <c r="E35" s="15" t="s">
        <v>82</v>
      </c>
      <c r="F35" s="15" t="s">
        <v>45</v>
      </c>
      <c r="G35" s="298"/>
      <c r="H35" s="10"/>
      <c r="I35" s="11"/>
      <c r="J35" s="11"/>
      <c r="K35" s="11"/>
      <c r="L35" s="11"/>
      <c r="M35" s="11"/>
      <c r="N35" s="11"/>
      <c r="O35" s="12"/>
      <c r="P35" s="11"/>
      <c r="Q35" s="13"/>
      <c r="R35" s="14"/>
    </row>
    <row r="36" spans="1:18" ht="15" customHeight="1">
      <c r="A36" s="17" t="s">
        <v>26</v>
      </c>
      <c r="B36" s="17" t="s">
        <v>825</v>
      </c>
      <c r="C36" s="18">
        <v>0.69791666666666663</v>
      </c>
      <c r="D36" s="17" t="s">
        <v>28</v>
      </c>
      <c r="E36" s="17" t="s">
        <v>90</v>
      </c>
      <c r="F36" s="17" t="s">
        <v>81</v>
      </c>
      <c r="G36" s="298"/>
      <c r="H36" s="10"/>
      <c r="I36" s="11"/>
      <c r="J36" s="11"/>
      <c r="K36" s="11"/>
      <c r="L36" s="11"/>
      <c r="M36" s="11"/>
      <c r="N36" s="11"/>
      <c r="O36" s="12"/>
      <c r="P36" s="11"/>
      <c r="Q36" s="13"/>
      <c r="R36" s="14"/>
    </row>
    <row r="37" spans="1:18" ht="15" customHeight="1">
      <c r="A37" s="15" t="s">
        <v>26</v>
      </c>
      <c r="B37" s="15" t="s">
        <v>825</v>
      </c>
      <c r="C37" s="16">
        <v>0.69791666666666663</v>
      </c>
      <c r="D37" s="15" t="s">
        <v>31</v>
      </c>
      <c r="E37" s="15" t="s">
        <v>82</v>
      </c>
      <c r="F37" s="15" t="s">
        <v>83</v>
      </c>
      <c r="G37" s="298"/>
      <c r="H37" s="10"/>
      <c r="I37" s="11"/>
      <c r="J37" s="11"/>
      <c r="K37" s="11"/>
      <c r="L37" s="11"/>
      <c r="M37" s="11"/>
      <c r="N37" s="11"/>
      <c r="O37" s="12"/>
      <c r="P37" s="11"/>
      <c r="Q37" s="13"/>
      <c r="R37" s="14"/>
    </row>
    <row r="38" spans="1:18" ht="15" customHeight="1">
      <c r="A38" s="15" t="s">
        <v>26</v>
      </c>
      <c r="B38" s="15" t="s">
        <v>825</v>
      </c>
      <c r="C38" s="16">
        <v>0.69791666666666663</v>
      </c>
      <c r="D38" s="15" t="s">
        <v>34</v>
      </c>
      <c r="E38" s="15" t="s">
        <v>82</v>
      </c>
      <c r="F38" s="15" t="s">
        <v>45</v>
      </c>
      <c r="G38" s="298"/>
      <c r="H38" s="10"/>
      <c r="I38" s="11"/>
      <c r="J38" s="11"/>
      <c r="K38" s="11"/>
      <c r="L38" s="11"/>
      <c r="M38" s="11"/>
      <c r="N38" s="11"/>
      <c r="O38" s="12"/>
      <c r="P38" s="11"/>
      <c r="Q38" s="13"/>
      <c r="R38" s="14"/>
    </row>
    <row r="39" spans="1:18" ht="15" customHeight="1">
      <c r="A39" s="17" t="s">
        <v>26</v>
      </c>
      <c r="B39" s="17" t="s">
        <v>826</v>
      </c>
      <c r="C39" s="18">
        <v>0.95833333333333337</v>
      </c>
      <c r="D39" s="17" t="s">
        <v>28</v>
      </c>
      <c r="E39" s="17" t="s">
        <v>427</v>
      </c>
      <c r="F39" s="17" t="s">
        <v>827</v>
      </c>
      <c r="G39" s="298"/>
      <c r="H39" s="10"/>
      <c r="I39" s="11"/>
      <c r="J39" s="11"/>
      <c r="K39" s="11"/>
      <c r="L39" s="11"/>
      <c r="M39" s="11"/>
      <c r="N39" s="11"/>
      <c r="O39" s="12"/>
      <c r="P39" s="11"/>
      <c r="Q39" s="13"/>
      <c r="R39" s="14"/>
    </row>
    <row r="40" spans="1:18" ht="15" customHeight="1">
      <c r="A40" s="15" t="s">
        <v>26</v>
      </c>
      <c r="B40" s="15" t="s">
        <v>826</v>
      </c>
      <c r="C40" s="16">
        <v>0.95833333333333337</v>
      </c>
      <c r="D40" s="15" t="s">
        <v>31</v>
      </c>
      <c r="E40" s="15" t="s">
        <v>115</v>
      </c>
      <c r="F40" s="15" t="s">
        <v>161</v>
      </c>
      <c r="G40" s="298"/>
      <c r="H40" s="10"/>
      <c r="I40" s="11"/>
      <c r="J40" s="11"/>
      <c r="K40" s="11"/>
      <c r="L40" s="11"/>
      <c r="M40" s="11"/>
      <c r="N40" s="11"/>
      <c r="O40" s="12"/>
      <c r="P40" s="11"/>
      <c r="Q40" s="13"/>
      <c r="R40" s="14"/>
    </row>
    <row r="41" spans="1:18" ht="15" customHeight="1">
      <c r="A41" s="15" t="s">
        <v>26</v>
      </c>
      <c r="B41" s="15" t="s">
        <v>826</v>
      </c>
      <c r="C41" s="16">
        <v>0.95833333333333337</v>
      </c>
      <c r="D41" s="15" t="s">
        <v>34</v>
      </c>
      <c r="E41" s="15" t="s">
        <v>115</v>
      </c>
      <c r="F41" s="15" t="s">
        <v>123</v>
      </c>
      <c r="G41" s="298"/>
      <c r="H41" s="10"/>
      <c r="I41" s="11"/>
      <c r="J41" s="11"/>
      <c r="K41" s="11"/>
      <c r="L41" s="11"/>
      <c r="M41" s="11"/>
      <c r="N41" s="11"/>
      <c r="O41" s="12"/>
      <c r="P41" s="11"/>
      <c r="Q41" s="13"/>
      <c r="R41" s="14"/>
    </row>
    <row r="42" spans="1:18" ht="15" customHeight="1">
      <c r="A42" s="19" t="s">
        <v>48</v>
      </c>
      <c r="B42" s="19" t="s">
        <v>828</v>
      </c>
      <c r="C42" s="20">
        <v>0.82986111111111116</v>
      </c>
      <c r="D42" s="19" t="s">
        <v>50</v>
      </c>
      <c r="E42" s="19" t="s">
        <v>51</v>
      </c>
      <c r="F42" s="19" t="s">
        <v>829</v>
      </c>
      <c r="G42" s="298"/>
      <c r="H42" s="10"/>
      <c r="I42" s="11"/>
      <c r="J42" s="11"/>
      <c r="K42" s="11"/>
      <c r="L42" s="11"/>
      <c r="M42" s="11"/>
      <c r="N42" s="11"/>
      <c r="O42" s="12"/>
      <c r="P42" s="11"/>
      <c r="Q42" s="13"/>
      <c r="R42" s="14"/>
    </row>
    <row r="43" spans="1:18" ht="15" customHeight="1">
      <c r="A43" s="15" t="s">
        <v>48</v>
      </c>
      <c r="B43" s="15" t="s">
        <v>828</v>
      </c>
      <c r="C43" s="16">
        <v>0.82986111111111116</v>
      </c>
      <c r="D43" s="15" t="s">
        <v>53</v>
      </c>
      <c r="E43" s="15" t="s">
        <v>54</v>
      </c>
      <c r="F43" s="15" t="s">
        <v>830</v>
      </c>
      <c r="G43" s="298"/>
      <c r="H43" s="10"/>
      <c r="I43" s="11"/>
      <c r="J43" s="11"/>
      <c r="K43" s="11"/>
      <c r="L43" s="11"/>
      <c r="M43" s="11"/>
      <c r="N43" s="11"/>
      <c r="O43" s="12"/>
      <c r="P43" s="11"/>
      <c r="Q43" s="13"/>
      <c r="R43" s="14"/>
    </row>
    <row r="44" spans="1:18" ht="15" customHeight="1">
      <c r="A44" s="17" t="s">
        <v>48</v>
      </c>
      <c r="B44" s="17" t="s">
        <v>831</v>
      </c>
      <c r="C44" s="18">
        <v>0.98263888888888884</v>
      </c>
      <c r="D44" s="17" t="s">
        <v>50</v>
      </c>
      <c r="E44" s="17" t="s">
        <v>57</v>
      </c>
      <c r="F44" s="17" t="s">
        <v>829</v>
      </c>
      <c r="G44" s="298"/>
      <c r="H44" s="10"/>
      <c r="I44" s="11"/>
      <c r="J44" s="11"/>
      <c r="K44" s="11"/>
      <c r="L44" s="11"/>
      <c r="M44" s="11"/>
      <c r="N44" s="11"/>
      <c r="O44" s="12"/>
      <c r="P44" s="11"/>
      <c r="Q44" s="13"/>
      <c r="R44" s="14"/>
    </row>
    <row r="45" spans="1:18" ht="15" customHeight="1">
      <c r="A45" s="15" t="s">
        <v>48</v>
      </c>
      <c r="B45" s="15" t="s">
        <v>831</v>
      </c>
      <c r="C45" s="16">
        <v>0.98263888888888884</v>
      </c>
      <c r="D45" s="15" t="s">
        <v>53</v>
      </c>
      <c r="E45" s="15" t="s">
        <v>54</v>
      </c>
      <c r="F45" s="15" t="s">
        <v>830</v>
      </c>
      <c r="G45" s="298"/>
      <c r="H45" s="10"/>
      <c r="I45" s="11"/>
      <c r="J45" s="11"/>
      <c r="K45" s="11"/>
      <c r="L45" s="11"/>
      <c r="M45" s="11"/>
      <c r="N45" s="11"/>
      <c r="O45" s="12"/>
      <c r="P45" s="11"/>
      <c r="Q45" s="13"/>
      <c r="R45" s="14"/>
    </row>
    <row r="46" spans="1:18" ht="15" customHeight="1">
      <c r="A46" s="17" t="s">
        <v>48</v>
      </c>
      <c r="B46" s="17" t="s">
        <v>832</v>
      </c>
      <c r="C46" s="18">
        <v>0.62847222222222221</v>
      </c>
      <c r="D46" s="17" t="s">
        <v>643</v>
      </c>
      <c r="E46" s="17" t="s">
        <v>57</v>
      </c>
      <c r="F46" s="17" t="s">
        <v>829</v>
      </c>
      <c r="G46" s="298"/>
      <c r="H46" s="10"/>
      <c r="I46" s="11"/>
      <c r="J46" s="11"/>
      <c r="K46" s="11"/>
      <c r="L46" s="11"/>
      <c r="M46" s="11"/>
      <c r="N46" s="11"/>
      <c r="O46" s="12"/>
      <c r="P46" s="11"/>
      <c r="Q46" s="13"/>
      <c r="R46" s="14"/>
    </row>
    <row r="47" spans="1:18" ht="15" customHeight="1">
      <c r="A47" s="15" t="s">
        <v>48</v>
      </c>
      <c r="B47" s="15" t="s">
        <v>832</v>
      </c>
      <c r="C47" s="16">
        <v>0.62847222222222221</v>
      </c>
      <c r="D47" s="15" t="s">
        <v>50</v>
      </c>
      <c r="E47" s="15" t="s">
        <v>54</v>
      </c>
      <c r="F47" s="15" t="s">
        <v>829</v>
      </c>
      <c r="G47" s="298"/>
      <c r="H47" s="10"/>
      <c r="I47" s="11"/>
      <c r="J47" s="11"/>
      <c r="K47" s="11"/>
      <c r="L47" s="11"/>
      <c r="M47" s="11"/>
      <c r="N47" s="11"/>
      <c r="O47" s="12"/>
      <c r="P47" s="11"/>
      <c r="Q47" s="13"/>
      <c r="R47" s="14"/>
    </row>
    <row r="48" spans="1:18" ht="15" customHeight="1">
      <c r="A48" s="15" t="s">
        <v>48</v>
      </c>
      <c r="B48" s="15" t="s">
        <v>832</v>
      </c>
      <c r="C48" s="16">
        <v>0.62847222222222221</v>
      </c>
      <c r="D48" s="15" t="s">
        <v>53</v>
      </c>
      <c r="E48" s="15" t="s">
        <v>54</v>
      </c>
      <c r="F48" s="15" t="s">
        <v>830</v>
      </c>
      <c r="G48" s="298"/>
      <c r="H48" s="10"/>
      <c r="I48" s="11"/>
      <c r="J48" s="11"/>
      <c r="K48" s="11"/>
      <c r="L48" s="11"/>
      <c r="M48" s="11"/>
      <c r="N48" s="11"/>
      <c r="O48" s="12"/>
      <c r="P48" s="11"/>
      <c r="Q48" s="13"/>
      <c r="R48" s="14"/>
    </row>
    <row r="49" spans="1:18" ht="15" customHeight="1">
      <c r="A49" s="17" t="s">
        <v>48</v>
      </c>
      <c r="B49" s="17" t="s">
        <v>833</v>
      </c>
      <c r="C49" s="18">
        <v>0.44444444444444442</v>
      </c>
      <c r="D49" s="17" t="s">
        <v>50</v>
      </c>
      <c r="E49" s="17" t="s">
        <v>57</v>
      </c>
      <c r="F49" s="17" t="s">
        <v>133</v>
      </c>
      <c r="G49" s="298"/>
      <c r="H49" s="10"/>
      <c r="I49" s="11"/>
      <c r="J49" s="11"/>
      <c r="K49" s="11"/>
      <c r="L49" s="11"/>
      <c r="M49" s="11"/>
      <c r="N49" s="11"/>
      <c r="O49" s="12"/>
      <c r="P49" s="11"/>
      <c r="Q49" s="13"/>
      <c r="R49" s="14"/>
    </row>
    <row r="50" spans="1:18" ht="15" customHeight="1">
      <c r="A50" s="15" t="s">
        <v>48</v>
      </c>
      <c r="B50" s="15" t="s">
        <v>833</v>
      </c>
      <c r="C50" s="16">
        <v>0.44444444444444442</v>
      </c>
      <c r="D50" s="15" t="s">
        <v>53</v>
      </c>
      <c r="E50" s="15" t="s">
        <v>54</v>
      </c>
      <c r="F50" s="15" t="s">
        <v>834</v>
      </c>
      <c r="G50" s="298"/>
      <c r="H50" s="10"/>
      <c r="I50" s="11"/>
      <c r="J50" s="11"/>
      <c r="K50" s="11"/>
      <c r="L50" s="11"/>
      <c r="M50" s="11"/>
      <c r="N50" s="11"/>
      <c r="O50" s="12"/>
      <c r="P50" s="11"/>
      <c r="Q50" s="13"/>
      <c r="R50" s="14"/>
    </row>
    <row r="51" spans="1:18" ht="15" customHeight="1">
      <c r="A51" s="17" t="s">
        <v>48</v>
      </c>
      <c r="B51" s="17" t="s">
        <v>835</v>
      </c>
      <c r="C51" s="18">
        <v>0.88888888888888884</v>
      </c>
      <c r="D51" s="17" t="s">
        <v>53</v>
      </c>
      <c r="E51" s="17" t="s">
        <v>37</v>
      </c>
      <c r="F51" s="17" t="s">
        <v>836</v>
      </c>
      <c r="G51" s="298"/>
      <c r="H51" s="10"/>
      <c r="I51" s="11"/>
      <c r="J51" s="11"/>
      <c r="K51" s="11"/>
      <c r="L51" s="11"/>
      <c r="M51" s="11"/>
      <c r="N51" s="11"/>
      <c r="O51" s="12"/>
      <c r="P51" s="11"/>
      <c r="Q51" s="13"/>
      <c r="R51" s="14"/>
    </row>
    <row r="52" spans="1:18" ht="15" customHeight="1">
      <c r="A52" s="17" t="s">
        <v>48</v>
      </c>
      <c r="B52" s="17" t="s">
        <v>837</v>
      </c>
      <c r="C52" s="18">
        <v>0.62847222222222221</v>
      </c>
      <c r="D52" s="17" t="s">
        <v>53</v>
      </c>
      <c r="E52" s="17" t="s">
        <v>37</v>
      </c>
      <c r="F52" s="17" t="s">
        <v>836</v>
      </c>
      <c r="G52" s="298"/>
      <c r="H52" s="10"/>
      <c r="I52" s="11"/>
      <c r="J52" s="11"/>
      <c r="K52" s="11"/>
      <c r="L52" s="11"/>
      <c r="M52" s="11"/>
      <c r="N52" s="11"/>
      <c r="O52" s="12"/>
      <c r="P52" s="11"/>
      <c r="Q52" s="13"/>
      <c r="R52" s="14"/>
    </row>
    <row r="53" spans="1:18" ht="15" customHeight="1">
      <c r="A53" s="17" t="s">
        <v>48</v>
      </c>
      <c r="B53" s="17" t="s">
        <v>838</v>
      </c>
      <c r="C53" s="18">
        <v>0.94444444444444453</v>
      </c>
      <c r="D53" s="17" t="s">
        <v>53</v>
      </c>
      <c r="E53" s="17" t="s">
        <v>37</v>
      </c>
      <c r="F53" s="17" t="s">
        <v>836</v>
      </c>
      <c r="G53" s="298"/>
      <c r="H53" s="10"/>
      <c r="I53" s="11"/>
      <c r="J53" s="11"/>
      <c r="K53" s="11"/>
      <c r="L53" s="11"/>
      <c r="M53" s="11"/>
      <c r="N53" s="11"/>
      <c r="O53" s="12"/>
      <c r="P53" s="11"/>
      <c r="Q53" s="13"/>
      <c r="R53" s="14"/>
    </row>
    <row r="54" spans="1:18" ht="15" customHeight="1">
      <c r="A54" s="19" t="s">
        <v>402</v>
      </c>
      <c r="B54" s="19" t="s">
        <v>839</v>
      </c>
      <c r="C54" s="20">
        <v>0.1701388888888889</v>
      </c>
      <c r="D54" s="19" t="s">
        <v>63</v>
      </c>
      <c r="E54" s="19" t="s">
        <v>126</v>
      </c>
      <c r="F54" s="19" t="s">
        <v>840</v>
      </c>
      <c r="G54" s="298"/>
      <c r="H54" s="10"/>
      <c r="I54" s="11"/>
      <c r="J54" s="11"/>
      <c r="K54" s="11"/>
      <c r="L54" s="11"/>
      <c r="M54" s="11"/>
      <c r="N54" s="11"/>
      <c r="O54" s="12"/>
      <c r="P54" s="11"/>
      <c r="Q54" s="13"/>
      <c r="R54" s="14"/>
    </row>
    <row r="55" spans="1:18" ht="15" customHeight="1">
      <c r="A55" s="17" t="s">
        <v>402</v>
      </c>
      <c r="B55" s="17" t="s">
        <v>841</v>
      </c>
      <c r="C55" s="18">
        <v>0.61458333333333337</v>
      </c>
      <c r="D55" s="17" t="s">
        <v>63</v>
      </c>
      <c r="E55" s="17" t="s">
        <v>98</v>
      </c>
      <c r="F55" s="17" t="s">
        <v>840</v>
      </c>
      <c r="G55" s="298"/>
      <c r="H55" s="10"/>
      <c r="I55" s="11"/>
      <c r="J55" s="11"/>
      <c r="K55" s="11"/>
      <c r="L55" s="11"/>
      <c r="M55" s="11"/>
      <c r="N55" s="11"/>
      <c r="O55" s="12"/>
      <c r="P55" s="11"/>
      <c r="Q55" s="13"/>
      <c r="R55" s="14"/>
    </row>
    <row r="56" spans="1:18" ht="15" customHeight="1">
      <c r="A56" s="19" t="s">
        <v>68</v>
      </c>
      <c r="B56" s="19" t="s">
        <v>842</v>
      </c>
      <c r="C56" s="20">
        <v>0.98263888888888884</v>
      </c>
      <c r="D56" s="19" t="s">
        <v>70</v>
      </c>
      <c r="E56" s="19" t="s">
        <v>177</v>
      </c>
      <c r="F56" s="19" t="s">
        <v>404</v>
      </c>
      <c r="G56" s="298"/>
      <c r="H56" s="10"/>
      <c r="I56" s="11"/>
      <c r="J56" s="11"/>
      <c r="K56" s="11"/>
      <c r="L56" s="11"/>
      <c r="M56" s="11"/>
      <c r="N56" s="11"/>
      <c r="O56" s="12"/>
      <c r="P56" s="11"/>
      <c r="Q56" s="13"/>
      <c r="R56" s="14"/>
    </row>
    <row r="57" spans="1:18" ht="15" customHeight="1">
      <c r="A57" s="17" t="s">
        <v>68</v>
      </c>
      <c r="B57" s="17" t="s">
        <v>843</v>
      </c>
      <c r="C57" s="18">
        <v>0.35416666666666669</v>
      </c>
      <c r="D57" s="17" t="s">
        <v>70</v>
      </c>
      <c r="E57" s="17" t="s">
        <v>57</v>
      </c>
      <c r="F57" s="17" t="s">
        <v>404</v>
      </c>
      <c r="G57" s="298"/>
      <c r="H57" s="10"/>
      <c r="I57" s="11"/>
      <c r="J57" s="11"/>
      <c r="K57" s="11"/>
      <c r="L57" s="11"/>
      <c r="M57" s="11"/>
      <c r="N57" s="11"/>
      <c r="O57" s="12"/>
      <c r="P57" s="11"/>
      <c r="Q57" s="13"/>
      <c r="R57" s="14"/>
    </row>
    <row r="58" spans="1:18" ht="15" customHeight="1" thickBot="1">
      <c r="A58" s="30" t="s">
        <v>68</v>
      </c>
      <c r="B58" s="30" t="s">
        <v>844</v>
      </c>
      <c r="C58" s="31">
        <v>0.72916666666666663</v>
      </c>
      <c r="D58" s="30" t="s">
        <v>70</v>
      </c>
      <c r="E58" s="30" t="s">
        <v>57</v>
      </c>
      <c r="F58" s="30" t="s">
        <v>845</v>
      </c>
      <c r="G58" s="299"/>
      <c r="H58" s="300"/>
      <c r="I58" s="140"/>
      <c r="J58" s="140"/>
      <c r="K58" s="140"/>
      <c r="L58" s="140"/>
      <c r="M58" s="140"/>
      <c r="N58" s="140"/>
      <c r="O58" s="141"/>
      <c r="P58" s="140"/>
      <c r="Q58" s="142"/>
      <c r="R58" s="301"/>
    </row>
    <row r="59" spans="1:18" ht="17.45" customHeight="1" thickBot="1">
      <c r="A59" s="283"/>
      <c r="B59" s="284"/>
      <c r="C59" s="284"/>
      <c r="D59" s="284"/>
      <c r="E59" s="284"/>
      <c r="F59" s="284"/>
      <c r="G59" s="284"/>
      <c r="H59" s="284"/>
      <c r="I59" s="284"/>
      <c r="J59" s="284"/>
      <c r="K59" s="284"/>
      <c r="L59" s="284"/>
      <c r="M59" s="284"/>
      <c r="N59" s="284"/>
      <c r="O59" s="284"/>
      <c r="P59" s="284"/>
      <c r="Q59" s="284"/>
      <c r="R59" s="285"/>
    </row>
    <row r="60" spans="1:18" ht="22.15" customHeight="1" thickTop="1" thickBot="1">
      <c r="A60" s="279" t="s">
        <v>6</v>
      </c>
      <c r="B60" s="295"/>
      <c r="C60" s="295"/>
      <c r="D60" s="295"/>
      <c r="E60" s="295"/>
      <c r="F60" s="296"/>
      <c r="G60" s="32">
        <v>46024</v>
      </c>
      <c r="H60" s="278" t="s">
        <v>7</v>
      </c>
      <c r="I60" s="295"/>
      <c r="J60" s="295"/>
      <c r="K60" s="295"/>
      <c r="L60" s="295"/>
      <c r="M60" s="295"/>
      <c r="N60" s="295"/>
      <c r="O60" s="295"/>
      <c r="P60" s="295"/>
      <c r="Q60" s="295"/>
      <c r="R60" s="296"/>
    </row>
    <row r="61" spans="1:18" ht="24" customHeight="1">
      <c r="A61" s="33" t="s">
        <v>8</v>
      </c>
      <c r="B61" s="33" t="s">
        <v>9</v>
      </c>
      <c r="C61" s="34" t="s">
        <v>10</v>
      </c>
      <c r="D61" s="33" t="s">
        <v>11</v>
      </c>
      <c r="E61" s="33" t="s">
        <v>12</v>
      </c>
      <c r="F61" s="35" t="s">
        <v>13</v>
      </c>
      <c r="G61" s="36" t="s">
        <v>14</v>
      </c>
      <c r="H61" s="33" t="s">
        <v>15</v>
      </c>
      <c r="I61" s="37" t="s">
        <v>16</v>
      </c>
      <c r="J61" s="38" t="s">
        <v>17</v>
      </c>
      <c r="K61" s="39" t="s">
        <v>18</v>
      </c>
      <c r="L61" s="38" t="s">
        <v>19</v>
      </c>
      <c r="M61" s="38" t="s">
        <v>20</v>
      </c>
      <c r="N61" s="38" t="s">
        <v>21</v>
      </c>
      <c r="O61" s="33" t="s">
        <v>22</v>
      </c>
      <c r="P61" s="34" t="s">
        <v>23</v>
      </c>
      <c r="Q61" s="38" t="s">
        <v>24</v>
      </c>
      <c r="R61" s="33" t="s">
        <v>25</v>
      </c>
    </row>
    <row r="62" spans="1:18" ht="15" customHeight="1">
      <c r="A62" s="8" t="s">
        <v>26</v>
      </c>
      <c r="B62" s="8" t="s">
        <v>820</v>
      </c>
      <c r="C62" s="9">
        <v>0.4375</v>
      </c>
      <c r="D62" s="8" t="s">
        <v>451</v>
      </c>
      <c r="E62" s="8" t="s">
        <v>156</v>
      </c>
      <c r="F62" s="8" t="s">
        <v>88</v>
      </c>
      <c r="G62" s="297"/>
      <c r="H62" s="10"/>
      <c r="I62" s="11"/>
      <c r="J62" s="11"/>
      <c r="K62" s="11"/>
      <c r="L62" s="11"/>
      <c r="M62" s="11"/>
      <c r="N62" s="11"/>
      <c r="O62" s="12"/>
      <c r="P62" s="11"/>
      <c r="Q62" s="13"/>
      <c r="R62" s="14"/>
    </row>
    <row r="63" spans="1:18" ht="15" customHeight="1">
      <c r="A63" s="15" t="s">
        <v>26</v>
      </c>
      <c r="B63" s="15" t="s">
        <v>820</v>
      </c>
      <c r="C63" s="16">
        <v>0.4375</v>
      </c>
      <c r="D63" s="15" t="s">
        <v>28</v>
      </c>
      <c r="E63" s="15" t="s">
        <v>135</v>
      </c>
      <c r="F63" s="15" t="s">
        <v>88</v>
      </c>
      <c r="G63" s="298"/>
      <c r="H63" s="10"/>
      <c r="I63" s="11"/>
      <c r="J63" s="11"/>
      <c r="K63" s="11"/>
      <c r="L63" s="11"/>
      <c r="M63" s="11"/>
      <c r="N63" s="11"/>
      <c r="O63" s="12"/>
      <c r="P63" s="11"/>
      <c r="Q63" s="13"/>
      <c r="R63" s="14"/>
    </row>
    <row r="64" spans="1:18" ht="15" customHeight="1">
      <c r="A64" s="15" t="s">
        <v>26</v>
      </c>
      <c r="B64" s="15" t="s">
        <v>820</v>
      </c>
      <c r="C64" s="16">
        <v>0.4375</v>
      </c>
      <c r="D64" s="15" t="s">
        <v>31</v>
      </c>
      <c r="E64" s="15" t="s">
        <v>135</v>
      </c>
      <c r="F64" s="15" t="s">
        <v>347</v>
      </c>
      <c r="G64" s="298"/>
      <c r="H64" s="10"/>
      <c r="I64" s="11"/>
      <c r="J64" s="11"/>
      <c r="K64" s="11"/>
      <c r="L64" s="11"/>
      <c r="M64" s="11"/>
      <c r="N64" s="11"/>
      <c r="O64" s="12"/>
      <c r="P64" s="11"/>
      <c r="Q64" s="13"/>
      <c r="R64" s="14"/>
    </row>
    <row r="65" spans="1:18" ht="15" customHeight="1">
      <c r="A65" s="15" t="s">
        <v>26</v>
      </c>
      <c r="B65" s="15" t="s">
        <v>820</v>
      </c>
      <c r="C65" s="16">
        <v>0.4375</v>
      </c>
      <c r="D65" s="15" t="s">
        <v>34</v>
      </c>
      <c r="E65" s="15" t="s">
        <v>135</v>
      </c>
      <c r="F65" s="15" t="s">
        <v>161</v>
      </c>
      <c r="G65" s="298"/>
      <c r="H65" s="10"/>
      <c r="I65" s="11"/>
      <c r="J65" s="11"/>
      <c r="K65" s="11"/>
      <c r="L65" s="11"/>
      <c r="M65" s="11"/>
      <c r="N65" s="11"/>
      <c r="O65" s="12"/>
      <c r="P65" s="11"/>
      <c r="Q65" s="13"/>
      <c r="R65" s="14"/>
    </row>
    <row r="66" spans="1:18" ht="15" customHeight="1">
      <c r="A66" s="17" t="s">
        <v>26</v>
      </c>
      <c r="B66" s="17" t="s">
        <v>822</v>
      </c>
      <c r="C66" s="18">
        <v>0.55902777777777779</v>
      </c>
      <c r="D66" s="17" t="s">
        <v>451</v>
      </c>
      <c r="E66" s="17" t="s">
        <v>427</v>
      </c>
      <c r="F66" s="17" t="s">
        <v>88</v>
      </c>
      <c r="G66" s="298"/>
      <c r="H66" s="10"/>
      <c r="I66" s="11"/>
      <c r="J66" s="11"/>
      <c r="K66" s="11"/>
      <c r="L66" s="11"/>
      <c r="M66" s="11"/>
      <c r="N66" s="11"/>
      <c r="O66" s="12"/>
      <c r="P66" s="11"/>
      <c r="Q66" s="13"/>
      <c r="R66" s="14"/>
    </row>
    <row r="67" spans="1:18" ht="15" customHeight="1">
      <c r="A67" s="15" t="s">
        <v>26</v>
      </c>
      <c r="B67" s="15" t="s">
        <v>822</v>
      </c>
      <c r="C67" s="16">
        <v>0.55902777777777779</v>
      </c>
      <c r="D67" s="15" t="s">
        <v>28</v>
      </c>
      <c r="E67" s="15" t="s">
        <v>115</v>
      </c>
      <c r="F67" s="15" t="s">
        <v>88</v>
      </c>
      <c r="G67" s="298"/>
      <c r="H67" s="10"/>
      <c r="I67" s="11"/>
      <c r="J67" s="11"/>
      <c r="K67" s="11"/>
      <c r="L67" s="11"/>
      <c r="M67" s="11"/>
      <c r="N67" s="11"/>
      <c r="O67" s="12"/>
      <c r="P67" s="11"/>
      <c r="Q67" s="13"/>
      <c r="R67" s="14"/>
    </row>
    <row r="68" spans="1:18" ht="15" customHeight="1">
      <c r="A68" s="15" t="s">
        <v>26</v>
      </c>
      <c r="B68" s="15" t="s">
        <v>822</v>
      </c>
      <c r="C68" s="16">
        <v>0.55902777777777779</v>
      </c>
      <c r="D68" s="15" t="s">
        <v>31</v>
      </c>
      <c r="E68" s="15" t="s">
        <v>115</v>
      </c>
      <c r="F68" s="15" t="s">
        <v>347</v>
      </c>
      <c r="G68" s="298"/>
      <c r="H68" s="10"/>
      <c r="I68" s="11"/>
      <c r="J68" s="11"/>
      <c r="K68" s="11"/>
      <c r="L68" s="11"/>
      <c r="M68" s="11"/>
      <c r="N68" s="11"/>
      <c r="O68" s="12"/>
      <c r="P68" s="11"/>
      <c r="Q68" s="13"/>
      <c r="R68" s="14"/>
    </row>
    <row r="69" spans="1:18" ht="15" customHeight="1">
      <c r="A69" s="15" t="s">
        <v>26</v>
      </c>
      <c r="B69" s="15" t="s">
        <v>822</v>
      </c>
      <c r="C69" s="16">
        <v>0.55902777777777779</v>
      </c>
      <c r="D69" s="15" t="s">
        <v>34</v>
      </c>
      <c r="E69" s="15" t="s">
        <v>115</v>
      </c>
      <c r="F69" s="15" t="s">
        <v>161</v>
      </c>
      <c r="G69" s="298"/>
      <c r="H69" s="10"/>
      <c r="I69" s="11"/>
      <c r="J69" s="11"/>
      <c r="K69" s="11"/>
      <c r="L69" s="11"/>
      <c r="M69" s="11"/>
      <c r="N69" s="11"/>
      <c r="O69" s="12"/>
      <c r="P69" s="11"/>
      <c r="Q69" s="13"/>
      <c r="R69" s="14"/>
    </row>
    <row r="70" spans="1:18" ht="15" customHeight="1">
      <c r="A70" s="17" t="s">
        <v>26</v>
      </c>
      <c r="B70" s="17" t="s">
        <v>824</v>
      </c>
      <c r="C70" s="18">
        <v>0.50694444444444442</v>
      </c>
      <c r="D70" s="17" t="s">
        <v>451</v>
      </c>
      <c r="E70" s="17" t="s">
        <v>37</v>
      </c>
      <c r="F70" s="17" t="s">
        <v>88</v>
      </c>
      <c r="G70" s="298"/>
      <c r="H70" s="10"/>
      <c r="I70" s="11"/>
      <c r="J70" s="11"/>
      <c r="K70" s="11"/>
      <c r="L70" s="11"/>
      <c r="M70" s="11"/>
      <c r="N70" s="11"/>
      <c r="O70" s="12"/>
      <c r="P70" s="11"/>
      <c r="Q70" s="13"/>
      <c r="R70" s="14"/>
    </row>
    <row r="71" spans="1:18" ht="15" customHeight="1">
      <c r="A71" s="15" t="s">
        <v>26</v>
      </c>
      <c r="B71" s="15" t="s">
        <v>824</v>
      </c>
      <c r="C71" s="16">
        <v>0.50694444444444442</v>
      </c>
      <c r="D71" s="15" t="s">
        <v>28</v>
      </c>
      <c r="E71" s="15" t="s">
        <v>32</v>
      </c>
      <c r="F71" s="15" t="s">
        <v>88</v>
      </c>
      <c r="G71" s="298"/>
      <c r="H71" s="10"/>
      <c r="I71" s="11"/>
      <c r="J71" s="11"/>
      <c r="K71" s="11"/>
      <c r="L71" s="11"/>
      <c r="M71" s="11"/>
      <c r="N71" s="11"/>
      <c r="O71" s="12"/>
      <c r="P71" s="11"/>
      <c r="Q71" s="13"/>
      <c r="R71" s="14"/>
    </row>
    <row r="72" spans="1:18" ht="15" customHeight="1">
      <c r="A72" s="15" t="s">
        <v>26</v>
      </c>
      <c r="B72" s="15" t="s">
        <v>824</v>
      </c>
      <c r="C72" s="16">
        <v>0.50694444444444442</v>
      </c>
      <c r="D72" s="15" t="s">
        <v>31</v>
      </c>
      <c r="E72" s="15" t="s">
        <v>32</v>
      </c>
      <c r="F72" s="15" t="s">
        <v>347</v>
      </c>
      <c r="G72" s="298"/>
      <c r="H72" s="10"/>
      <c r="I72" s="11"/>
      <c r="J72" s="11"/>
      <c r="K72" s="11"/>
      <c r="L72" s="11"/>
      <c r="M72" s="11"/>
      <c r="N72" s="11"/>
      <c r="O72" s="12"/>
      <c r="P72" s="11"/>
      <c r="Q72" s="13"/>
      <c r="R72" s="14"/>
    </row>
    <row r="73" spans="1:18" ht="15" customHeight="1">
      <c r="A73" s="15" t="s">
        <v>26</v>
      </c>
      <c r="B73" s="15" t="s">
        <v>824</v>
      </c>
      <c r="C73" s="16">
        <v>0.50694444444444442</v>
      </c>
      <c r="D73" s="15" t="s">
        <v>34</v>
      </c>
      <c r="E73" s="15" t="s">
        <v>32</v>
      </c>
      <c r="F73" s="15" t="s">
        <v>161</v>
      </c>
      <c r="G73" s="298"/>
      <c r="H73" s="10"/>
      <c r="I73" s="11"/>
      <c r="J73" s="11"/>
      <c r="K73" s="11"/>
      <c r="L73" s="11"/>
      <c r="M73" s="11"/>
      <c r="N73" s="11"/>
      <c r="O73" s="12"/>
      <c r="P73" s="11"/>
      <c r="Q73" s="13"/>
      <c r="R73" s="14"/>
    </row>
    <row r="74" spans="1:18" ht="15" customHeight="1">
      <c r="A74" s="17" t="s">
        <v>26</v>
      </c>
      <c r="B74" s="17" t="s">
        <v>826</v>
      </c>
      <c r="C74" s="18">
        <v>0.95833333333333337</v>
      </c>
      <c r="D74" s="17" t="s">
        <v>451</v>
      </c>
      <c r="E74" s="17" t="s">
        <v>90</v>
      </c>
      <c r="F74" s="17" t="s">
        <v>827</v>
      </c>
      <c r="G74" s="298"/>
      <c r="H74" s="10"/>
      <c r="I74" s="11"/>
      <c r="J74" s="11"/>
      <c r="K74" s="11"/>
      <c r="L74" s="11"/>
      <c r="M74" s="11"/>
      <c r="N74" s="11"/>
      <c r="O74" s="12"/>
      <c r="P74" s="11"/>
      <c r="Q74" s="13"/>
      <c r="R74" s="14"/>
    </row>
    <row r="75" spans="1:18" ht="15" customHeight="1">
      <c r="A75" s="15" t="s">
        <v>26</v>
      </c>
      <c r="B75" s="15" t="s">
        <v>826</v>
      </c>
      <c r="C75" s="16">
        <v>0.95833333333333337</v>
      </c>
      <c r="D75" s="15" t="s">
        <v>28</v>
      </c>
      <c r="E75" s="15" t="s">
        <v>82</v>
      </c>
      <c r="F75" s="15" t="s">
        <v>827</v>
      </c>
      <c r="G75" s="298"/>
      <c r="H75" s="10"/>
      <c r="I75" s="11"/>
      <c r="J75" s="11"/>
      <c r="K75" s="11"/>
      <c r="L75" s="11"/>
      <c r="M75" s="11"/>
      <c r="N75" s="11"/>
      <c r="O75" s="12"/>
      <c r="P75" s="11"/>
      <c r="Q75" s="13"/>
      <c r="R75" s="14"/>
    </row>
    <row r="76" spans="1:18" ht="15" customHeight="1">
      <c r="A76" s="15" t="s">
        <v>26</v>
      </c>
      <c r="B76" s="15" t="s">
        <v>826</v>
      </c>
      <c r="C76" s="16">
        <v>0.95833333333333337</v>
      </c>
      <c r="D76" s="15" t="s">
        <v>31</v>
      </c>
      <c r="E76" s="15" t="s">
        <v>82</v>
      </c>
      <c r="F76" s="15" t="s">
        <v>161</v>
      </c>
      <c r="G76" s="298"/>
      <c r="H76" s="10"/>
      <c r="I76" s="11"/>
      <c r="J76" s="11"/>
      <c r="K76" s="11"/>
      <c r="L76" s="11"/>
      <c r="M76" s="11"/>
      <c r="N76" s="11"/>
      <c r="O76" s="12"/>
      <c r="P76" s="11"/>
      <c r="Q76" s="13"/>
      <c r="R76" s="14"/>
    </row>
    <row r="77" spans="1:18" ht="15" customHeight="1">
      <c r="A77" s="15" t="s">
        <v>26</v>
      </c>
      <c r="B77" s="15" t="s">
        <v>826</v>
      </c>
      <c r="C77" s="16">
        <v>0.95833333333333337</v>
      </c>
      <c r="D77" s="15" t="s">
        <v>34</v>
      </c>
      <c r="E77" s="15" t="s">
        <v>82</v>
      </c>
      <c r="F77" s="15" t="s">
        <v>123</v>
      </c>
      <c r="G77" s="298"/>
      <c r="H77" s="10"/>
      <c r="I77" s="11"/>
      <c r="J77" s="11"/>
      <c r="K77" s="11"/>
      <c r="L77" s="11"/>
      <c r="M77" s="11"/>
      <c r="N77" s="11"/>
      <c r="O77" s="12"/>
      <c r="P77" s="11"/>
      <c r="Q77" s="13"/>
      <c r="R77" s="14"/>
    </row>
    <row r="78" spans="1:18" ht="15" customHeight="1">
      <c r="A78" s="17" t="s">
        <v>26</v>
      </c>
      <c r="B78" s="17" t="s">
        <v>823</v>
      </c>
      <c r="C78" s="18">
        <v>0.81944444444444453</v>
      </c>
      <c r="D78" s="17" t="s">
        <v>451</v>
      </c>
      <c r="E78" s="17" t="s">
        <v>90</v>
      </c>
      <c r="F78" s="17" t="s">
        <v>827</v>
      </c>
      <c r="G78" s="298"/>
      <c r="H78" s="10"/>
      <c r="I78" s="11"/>
      <c r="J78" s="11"/>
      <c r="K78" s="11"/>
      <c r="L78" s="11"/>
      <c r="M78" s="11"/>
      <c r="N78" s="11"/>
      <c r="O78" s="12"/>
      <c r="P78" s="11"/>
      <c r="Q78" s="13"/>
      <c r="R78" s="14"/>
    </row>
    <row r="79" spans="1:18" ht="15" customHeight="1">
      <c r="A79" s="15" t="s">
        <v>26</v>
      </c>
      <c r="B79" s="15" t="s">
        <v>823</v>
      </c>
      <c r="C79" s="16">
        <v>0.81944444444444453</v>
      </c>
      <c r="D79" s="15" t="s">
        <v>28</v>
      </c>
      <c r="E79" s="15" t="s">
        <v>82</v>
      </c>
      <c r="F79" s="15" t="s">
        <v>827</v>
      </c>
      <c r="G79" s="298"/>
      <c r="H79" s="10"/>
      <c r="I79" s="11"/>
      <c r="J79" s="11"/>
      <c r="K79" s="11"/>
      <c r="L79" s="11"/>
      <c r="M79" s="11"/>
      <c r="N79" s="11"/>
      <c r="O79" s="12"/>
      <c r="P79" s="11"/>
      <c r="Q79" s="13"/>
      <c r="R79" s="14"/>
    </row>
    <row r="80" spans="1:18" ht="15" customHeight="1">
      <c r="A80" s="15" t="s">
        <v>26</v>
      </c>
      <c r="B80" s="15" t="s">
        <v>823</v>
      </c>
      <c r="C80" s="16">
        <v>0.81944444444444453</v>
      </c>
      <c r="D80" s="15" t="s">
        <v>31</v>
      </c>
      <c r="E80" s="15" t="s">
        <v>82</v>
      </c>
      <c r="F80" s="15" t="s">
        <v>161</v>
      </c>
      <c r="G80" s="298"/>
      <c r="H80" s="10"/>
      <c r="I80" s="11"/>
      <c r="J80" s="11"/>
      <c r="K80" s="11"/>
      <c r="L80" s="11"/>
      <c r="M80" s="11"/>
      <c r="N80" s="11"/>
      <c r="O80" s="12"/>
      <c r="P80" s="11"/>
      <c r="Q80" s="13"/>
      <c r="R80" s="14"/>
    </row>
    <row r="81" spans="1:18" ht="15" customHeight="1">
      <c r="A81" s="15" t="s">
        <v>26</v>
      </c>
      <c r="B81" s="15" t="s">
        <v>823</v>
      </c>
      <c r="C81" s="16">
        <v>0.81944444444444453</v>
      </c>
      <c r="D81" s="15" t="s">
        <v>34</v>
      </c>
      <c r="E81" s="15" t="s">
        <v>82</v>
      </c>
      <c r="F81" s="15" t="s">
        <v>123</v>
      </c>
      <c r="G81" s="298"/>
      <c r="H81" s="10"/>
      <c r="I81" s="11"/>
      <c r="J81" s="11"/>
      <c r="K81" s="11"/>
      <c r="L81" s="11"/>
      <c r="M81" s="11"/>
      <c r="N81" s="11"/>
      <c r="O81" s="12"/>
      <c r="P81" s="11"/>
      <c r="Q81" s="13"/>
      <c r="R81" s="14"/>
    </row>
    <row r="82" spans="1:18" ht="15" customHeight="1">
      <c r="A82" s="17" t="s">
        <v>26</v>
      </c>
      <c r="B82" s="17" t="s">
        <v>821</v>
      </c>
      <c r="C82" s="18">
        <v>0.63194444444444442</v>
      </c>
      <c r="D82" s="17" t="s">
        <v>451</v>
      </c>
      <c r="E82" s="17" t="s">
        <v>435</v>
      </c>
      <c r="F82" s="17" t="s">
        <v>83</v>
      </c>
      <c r="G82" s="298"/>
      <c r="H82" s="10"/>
      <c r="I82" s="11"/>
      <c r="J82" s="11"/>
      <c r="K82" s="11"/>
      <c r="L82" s="11"/>
      <c r="M82" s="11"/>
      <c r="N82" s="11"/>
      <c r="O82" s="12"/>
      <c r="P82" s="11"/>
      <c r="Q82" s="13"/>
      <c r="R82" s="14"/>
    </row>
    <row r="83" spans="1:18" ht="15" customHeight="1">
      <c r="A83" s="15" t="s">
        <v>26</v>
      </c>
      <c r="B83" s="15" t="s">
        <v>821</v>
      </c>
      <c r="C83" s="16">
        <v>0.63194444444444442</v>
      </c>
      <c r="D83" s="15" t="s">
        <v>28</v>
      </c>
      <c r="E83" s="15" t="s">
        <v>108</v>
      </c>
      <c r="F83" s="15" t="s">
        <v>83</v>
      </c>
      <c r="G83" s="298"/>
      <c r="H83" s="10"/>
      <c r="I83" s="11"/>
      <c r="J83" s="11"/>
      <c r="K83" s="11"/>
      <c r="L83" s="11"/>
      <c r="M83" s="11"/>
      <c r="N83" s="11"/>
      <c r="O83" s="12"/>
      <c r="P83" s="11"/>
      <c r="Q83" s="13"/>
      <c r="R83" s="14"/>
    </row>
    <row r="84" spans="1:18" ht="15" customHeight="1">
      <c r="A84" s="15" t="s">
        <v>26</v>
      </c>
      <c r="B84" s="15" t="s">
        <v>821</v>
      </c>
      <c r="C84" s="16">
        <v>0.63194444444444442</v>
      </c>
      <c r="D84" s="15" t="s">
        <v>31</v>
      </c>
      <c r="E84" s="15" t="s">
        <v>108</v>
      </c>
      <c r="F84" s="15" t="s">
        <v>159</v>
      </c>
      <c r="G84" s="298"/>
      <c r="H84" s="10"/>
      <c r="I84" s="11"/>
      <c r="J84" s="11"/>
      <c r="K84" s="11"/>
      <c r="L84" s="11"/>
      <c r="M84" s="11"/>
      <c r="N84" s="11"/>
      <c r="O84" s="12"/>
      <c r="P84" s="11"/>
      <c r="Q84" s="13"/>
      <c r="R84" s="14"/>
    </row>
    <row r="85" spans="1:18" ht="15" customHeight="1">
      <c r="A85" s="15" t="s">
        <v>26</v>
      </c>
      <c r="B85" s="15" t="s">
        <v>821</v>
      </c>
      <c r="C85" s="16">
        <v>0.63194444444444442</v>
      </c>
      <c r="D85" s="15" t="s">
        <v>34</v>
      </c>
      <c r="E85" s="15" t="s">
        <v>108</v>
      </c>
      <c r="F85" s="15" t="s">
        <v>355</v>
      </c>
      <c r="G85" s="298"/>
      <c r="H85" s="10"/>
      <c r="I85" s="11"/>
      <c r="J85" s="11"/>
      <c r="K85" s="11"/>
      <c r="L85" s="11"/>
      <c r="M85" s="11"/>
      <c r="N85" s="11"/>
      <c r="O85" s="12"/>
      <c r="P85" s="11"/>
      <c r="Q85" s="13"/>
      <c r="R85" s="14"/>
    </row>
    <row r="86" spans="1:18" ht="15" customHeight="1">
      <c r="A86" s="17" t="s">
        <v>26</v>
      </c>
      <c r="B86" s="17" t="s">
        <v>825</v>
      </c>
      <c r="C86" s="18">
        <v>0.69791666666666663</v>
      </c>
      <c r="D86" s="17" t="s">
        <v>451</v>
      </c>
      <c r="E86" s="17" t="s">
        <v>90</v>
      </c>
      <c r="F86" s="17" t="s">
        <v>83</v>
      </c>
      <c r="G86" s="298"/>
      <c r="H86" s="10"/>
      <c r="I86" s="11"/>
      <c r="J86" s="11"/>
      <c r="K86" s="11"/>
      <c r="L86" s="11"/>
      <c r="M86" s="11"/>
      <c r="N86" s="11"/>
      <c r="O86" s="12"/>
      <c r="P86" s="11"/>
      <c r="Q86" s="13"/>
      <c r="R86" s="14"/>
    </row>
    <row r="87" spans="1:18" ht="15" customHeight="1">
      <c r="A87" s="15" t="s">
        <v>26</v>
      </c>
      <c r="B87" s="15" t="s">
        <v>825</v>
      </c>
      <c r="C87" s="16">
        <v>0.69791666666666663</v>
      </c>
      <c r="D87" s="15" t="s">
        <v>28</v>
      </c>
      <c r="E87" s="15" t="s">
        <v>82</v>
      </c>
      <c r="F87" s="15" t="s">
        <v>83</v>
      </c>
      <c r="G87" s="298"/>
      <c r="H87" s="10"/>
      <c r="I87" s="11"/>
      <c r="J87" s="11"/>
      <c r="K87" s="11"/>
      <c r="L87" s="11"/>
      <c r="M87" s="11"/>
      <c r="N87" s="11"/>
      <c r="O87" s="12"/>
      <c r="P87" s="11"/>
      <c r="Q87" s="13"/>
      <c r="R87" s="14"/>
    </row>
    <row r="88" spans="1:18" ht="15" customHeight="1">
      <c r="A88" s="15" t="s">
        <v>26</v>
      </c>
      <c r="B88" s="15" t="s">
        <v>825</v>
      </c>
      <c r="C88" s="16">
        <v>0.69791666666666663</v>
      </c>
      <c r="D88" s="15" t="s">
        <v>31</v>
      </c>
      <c r="E88" s="15" t="s">
        <v>82</v>
      </c>
      <c r="F88" s="15" t="s">
        <v>159</v>
      </c>
      <c r="G88" s="298"/>
      <c r="H88" s="10"/>
      <c r="I88" s="11"/>
      <c r="J88" s="11"/>
      <c r="K88" s="11"/>
      <c r="L88" s="11"/>
      <c r="M88" s="11"/>
      <c r="N88" s="11"/>
      <c r="O88" s="12"/>
      <c r="P88" s="11"/>
      <c r="Q88" s="13"/>
      <c r="R88" s="14"/>
    </row>
    <row r="89" spans="1:18" ht="15" customHeight="1">
      <c r="A89" s="15" t="s">
        <v>26</v>
      </c>
      <c r="B89" s="15" t="s">
        <v>825</v>
      </c>
      <c r="C89" s="16">
        <v>0.69791666666666663</v>
      </c>
      <c r="D89" s="15" t="s">
        <v>34</v>
      </c>
      <c r="E89" s="15" t="s">
        <v>82</v>
      </c>
      <c r="F89" s="15" t="s">
        <v>355</v>
      </c>
      <c r="G89" s="298"/>
      <c r="H89" s="10"/>
      <c r="I89" s="11"/>
      <c r="J89" s="11"/>
      <c r="K89" s="11"/>
      <c r="L89" s="11"/>
      <c r="M89" s="11"/>
      <c r="N89" s="11"/>
      <c r="O89" s="12"/>
      <c r="P89" s="11"/>
      <c r="Q89" s="13"/>
      <c r="R89" s="14"/>
    </row>
    <row r="90" spans="1:18" ht="15" customHeight="1">
      <c r="A90" s="19" t="s">
        <v>359</v>
      </c>
      <c r="B90" s="19" t="s">
        <v>814</v>
      </c>
      <c r="C90" s="20">
        <v>0.1875</v>
      </c>
      <c r="D90" s="19" t="s">
        <v>361</v>
      </c>
      <c r="E90" s="19" t="s">
        <v>80</v>
      </c>
      <c r="F90" s="19" t="s">
        <v>846</v>
      </c>
      <c r="G90" s="298"/>
      <c r="H90" s="10"/>
      <c r="I90" s="11"/>
      <c r="J90" s="11"/>
      <c r="K90" s="11"/>
      <c r="L90" s="11"/>
      <c r="M90" s="11"/>
      <c r="N90" s="11"/>
      <c r="O90" s="12"/>
      <c r="P90" s="11"/>
      <c r="Q90" s="13"/>
      <c r="R90" s="14"/>
    </row>
    <row r="91" spans="1:18" ht="15" customHeight="1">
      <c r="A91" s="15" t="s">
        <v>359</v>
      </c>
      <c r="B91" s="15" t="s">
        <v>814</v>
      </c>
      <c r="C91" s="16">
        <v>0.1875</v>
      </c>
      <c r="D91" s="15" t="s">
        <v>46</v>
      </c>
      <c r="E91" s="15" t="s">
        <v>82</v>
      </c>
      <c r="F91" s="15" t="s">
        <v>847</v>
      </c>
      <c r="G91" s="298"/>
      <c r="H91" s="10"/>
      <c r="I91" s="11"/>
      <c r="J91" s="11"/>
      <c r="K91" s="11"/>
      <c r="L91" s="11"/>
      <c r="M91" s="11"/>
      <c r="N91" s="11"/>
      <c r="O91" s="12"/>
      <c r="P91" s="11"/>
      <c r="Q91" s="13"/>
      <c r="R91" s="14"/>
    </row>
    <row r="92" spans="1:18" ht="15" customHeight="1">
      <c r="A92" s="19" t="s">
        <v>38</v>
      </c>
      <c r="B92" s="19" t="s">
        <v>812</v>
      </c>
      <c r="C92" s="20">
        <v>0.88888888888888884</v>
      </c>
      <c r="D92" s="19" t="s">
        <v>440</v>
      </c>
      <c r="E92" s="19" t="s">
        <v>103</v>
      </c>
      <c r="F92" s="19" t="s">
        <v>848</v>
      </c>
      <c r="G92" s="298"/>
      <c r="H92" s="10"/>
      <c r="I92" s="11"/>
      <c r="J92" s="11"/>
      <c r="K92" s="11"/>
      <c r="L92" s="11"/>
      <c r="M92" s="11"/>
      <c r="N92" s="11"/>
      <c r="O92" s="12"/>
      <c r="P92" s="11"/>
      <c r="Q92" s="13"/>
      <c r="R92" s="14"/>
    </row>
    <row r="93" spans="1:18" ht="15" customHeight="1">
      <c r="A93" s="15" t="s">
        <v>38</v>
      </c>
      <c r="B93" s="15" t="s">
        <v>812</v>
      </c>
      <c r="C93" s="16">
        <v>0.88888888888888884</v>
      </c>
      <c r="D93" s="15" t="s">
        <v>40</v>
      </c>
      <c r="E93" s="15" t="s">
        <v>99</v>
      </c>
      <c r="F93" s="15" t="s">
        <v>848</v>
      </c>
      <c r="G93" s="298"/>
      <c r="H93" s="10"/>
      <c r="I93" s="11"/>
      <c r="J93" s="11"/>
      <c r="K93" s="11"/>
      <c r="L93" s="11"/>
      <c r="M93" s="11"/>
      <c r="N93" s="11"/>
      <c r="O93" s="12"/>
      <c r="P93" s="11"/>
      <c r="Q93" s="13"/>
      <c r="R93" s="14"/>
    </row>
    <row r="94" spans="1:18" ht="15" customHeight="1">
      <c r="A94" s="15" t="s">
        <v>38</v>
      </c>
      <c r="B94" s="15" t="s">
        <v>812</v>
      </c>
      <c r="C94" s="16">
        <v>0.88888888888888884</v>
      </c>
      <c r="D94" s="15" t="s">
        <v>43</v>
      </c>
      <c r="E94" s="15" t="s">
        <v>99</v>
      </c>
      <c r="F94" s="15" t="s">
        <v>426</v>
      </c>
      <c r="G94" s="298"/>
      <c r="H94" s="10"/>
      <c r="I94" s="11"/>
      <c r="J94" s="11"/>
      <c r="K94" s="11"/>
      <c r="L94" s="11"/>
      <c r="M94" s="11"/>
      <c r="N94" s="11"/>
      <c r="O94" s="12"/>
      <c r="P94" s="11"/>
      <c r="Q94" s="13"/>
      <c r="R94" s="14"/>
    </row>
    <row r="95" spans="1:18" ht="15" customHeight="1">
      <c r="A95" s="15" t="s">
        <v>38</v>
      </c>
      <c r="B95" s="15" t="s">
        <v>812</v>
      </c>
      <c r="C95" s="16">
        <v>0.88888888888888884</v>
      </c>
      <c r="D95" s="15" t="s">
        <v>46</v>
      </c>
      <c r="E95" s="15" t="s">
        <v>99</v>
      </c>
      <c r="F95" s="15" t="s">
        <v>810</v>
      </c>
      <c r="G95" s="298"/>
      <c r="H95" s="10"/>
      <c r="I95" s="11"/>
      <c r="J95" s="11"/>
      <c r="K95" s="11"/>
      <c r="L95" s="11"/>
      <c r="M95" s="11"/>
      <c r="N95" s="11"/>
      <c r="O95" s="12"/>
      <c r="P95" s="11"/>
      <c r="Q95" s="13"/>
      <c r="R95" s="14"/>
    </row>
    <row r="96" spans="1:18" ht="15" customHeight="1">
      <c r="A96" s="17" t="s">
        <v>38</v>
      </c>
      <c r="B96" s="17" t="s">
        <v>813</v>
      </c>
      <c r="C96" s="18">
        <v>0.94444444444444453</v>
      </c>
      <c r="D96" s="17" t="s">
        <v>440</v>
      </c>
      <c r="E96" s="17" t="s">
        <v>113</v>
      </c>
      <c r="F96" s="17" t="s">
        <v>848</v>
      </c>
      <c r="G96" s="298"/>
      <c r="H96" s="10"/>
      <c r="I96" s="11"/>
      <c r="J96" s="11"/>
      <c r="K96" s="11"/>
      <c r="L96" s="11"/>
      <c r="M96" s="11"/>
      <c r="N96" s="11"/>
      <c r="O96" s="12"/>
      <c r="P96" s="11"/>
      <c r="Q96" s="13"/>
      <c r="R96" s="14"/>
    </row>
    <row r="97" spans="1:18" ht="15" customHeight="1">
      <c r="A97" s="15" t="s">
        <v>38</v>
      </c>
      <c r="B97" s="15" t="s">
        <v>813</v>
      </c>
      <c r="C97" s="16">
        <v>0.94444444444444453</v>
      </c>
      <c r="D97" s="15" t="s">
        <v>40</v>
      </c>
      <c r="E97" s="15" t="s">
        <v>114</v>
      </c>
      <c r="F97" s="15" t="s">
        <v>848</v>
      </c>
      <c r="G97" s="298"/>
      <c r="H97" s="10"/>
      <c r="I97" s="11"/>
      <c r="J97" s="11"/>
      <c r="K97" s="11"/>
      <c r="L97" s="11"/>
      <c r="M97" s="11"/>
      <c r="N97" s="11"/>
      <c r="O97" s="12"/>
      <c r="P97" s="11"/>
      <c r="Q97" s="13"/>
      <c r="R97" s="14"/>
    </row>
    <row r="98" spans="1:18" ht="15" customHeight="1">
      <c r="A98" s="15" t="s">
        <v>38</v>
      </c>
      <c r="B98" s="15" t="s">
        <v>813</v>
      </c>
      <c r="C98" s="16">
        <v>0.94444444444444453</v>
      </c>
      <c r="D98" s="15" t="s">
        <v>43</v>
      </c>
      <c r="E98" s="15" t="s">
        <v>114</v>
      </c>
      <c r="F98" s="15" t="s">
        <v>426</v>
      </c>
      <c r="G98" s="298"/>
      <c r="H98" s="10"/>
      <c r="I98" s="11"/>
      <c r="J98" s="11"/>
      <c r="K98" s="11"/>
      <c r="L98" s="11"/>
      <c r="M98" s="11"/>
      <c r="N98" s="11"/>
      <c r="O98" s="12"/>
      <c r="P98" s="11"/>
      <c r="Q98" s="13"/>
      <c r="R98" s="14"/>
    </row>
    <row r="99" spans="1:18" ht="15" customHeight="1">
      <c r="A99" s="15" t="s">
        <v>38</v>
      </c>
      <c r="B99" s="15" t="s">
        <v>813</v>
      </c>
      <c r="C99" s="16">
        <v>0.94444444444444453</v>
      </c>
      <c r="D99" s="15" t="s">
        <v>46</v>
      </c>
      <c r="E99" s="15" t="s">
        <v>114</v>
      </c>
      <c r="F99" s="15" t="s">
        <v>810</v>
      </c>
      <c r="G99" s="298"/>
      <c r="H99" s="10"/>
      <c r="I99" s="11"/>
      <c r="J99" s="11"/>
      <c r="K99" s="11"/>
      <c r="L99" s="11"/>
      <c r="M99" s="11"/>
      <c r="N99" s="11"/>
      <c r="O99" s="12"/>
      <c r="P99" s="11"/>
      <c r="Q99" s="13"/>
      <c r="R99" s="14"/>
    </row>
    <row r="100" spans="1:18" ht="15" customHeight="1">
      <c r="A100" s="17" t="s">
        <v>38</v>
      </c>
      <c r="B100" s="17" t="s">
        <v>809</v>
      </c>
      <c r="C100" s="18">
        <v>0.57638888888888895</v>
      </c>
      <c r="D100" s="17" t="s">
        <v>440</v>
      </c>
      <c r="E100" s="17" t="s">
        <v>441</v>
      </c>
      <c r="F100" s="17" t="s">
        <v>42</v>
      </c>
      <c r="G100" s="298"/>
      <c r="H100" s="10"/>
      <c r="I100" s="11"/>
      <c r="J100" s="11"/>
      <c r="K100" s="11"/>
      <c r="L100" s="11"/>
      <c r="M100" s="11"/>
      <c r="N100" s="11"/>
      <c r="O100" s="12"/>
      <c r="P100" s="11"/>
      <c r="Q100" s="13"/>
      <c r="R100" s="14"/>
    </row>
    <row r="101" spans="1:18" ht="15" customHeight="1">
      <c r="A101" s="15" t="s">
        <v>38</v>
      </c>
      <c r="B101" s="15" t="s">
        <v>809</v>
      </c>
      <c r="C101" s="16">
        <v>0.57638888888888895</v>
      </c>
      <c r="D101" s="15" t="s">
        <v>40</v>
      </c>
      <c r="E101" s="15" t="s">
        <v>132</v>
      </c>
      <c r="F101" s="15" t="s">
        <v>42</v>
      </c>
      <c r="G101" s="298"/>
      <c r="H101" s="10"/>
      <c r="I101" s="11"/>
      <c r="J101" s="11"/>
      <c r="K101" s="11"/>
      <c r="L101" s="11"/>
      <c r="M101" s="11"/>
      <c r="N101" s="11"/>
      <c r="O101" s="12"/>
      <c r="P101" s="11"/>
      <c r="Q101" s="13"/>
      <c r="R101" s="14"/>
    </row>
    <row r="102" spans="1:18" ht="15" customHeight="1">
      <c r="A102" s="15" t="s">
        <v>38</v>
      </c>
      <c r="B102" s="15" t="s">
        <v>809</v>
      </c>
      <c r="C102" s="16">
        <v>0.57638888888888895</v>
      </c>
      <c r="D102" s="15" t="s">
        <v>43</v>
      </c>
      <c r="E102" s="15" t="s">
        <v>132</v>
      </c>
      <c r="F102" s="15" t="s">
        <v>45</v>
      </c>
      <c r="G102" s="298"/>
      <c r="H102" s="10"/>
      <c r="I102" s="11"/>
      <c r="J102" s="11"/>
      <c r="K102" s="11"/>
      <c r="L102" s="11"/>
      <c r="M102" s="11"/>
      <c r="N102" s="11"/>
      <c r="O102" s="12"/>
      <c r="P102" s="11"/>
      <c r="Q102" s="13"/>
      <c r="R102" s="14"/>
    </row>
    <row r="103" spans="1:18" ht="15" customHeight="1">
      <c r="A103" s="15" t="s">
        <v>38</v>
      </c>
      <c r="B103" s="15" t="s">
        <v>809</v>
      </c>
      <c r="C103" s="16">
        <v>0.57638888888888895</v>
      </c>
      <c r="D103" s="15" t="s">
        <v>46</v>
      </c>
      <c r="E103" s="15" t="s">
        <v>132</v>
      </c>
      <c r="F103" s="15" t="s">
        <v>810</v>
      </c>
      <c r="G103" s="298"/>
      <c r="H103" s="10"/>
      <c r="I103" s="11"/>
      <c r="J103" s="11"/>
      <c r="K103" s="11"/>
      <c r="L103" s="11"/>
      <c r="M103" s="11"/>
      <c r="N103" s="11"/>
      <c r="O103" s="12"/>
      <c r="P103" s="11"/>
      <c r="Q103" s="13"/>
      <c r="R103" s="14"/>
    </row>
    <row r="104" spans="1:18" ht="15" customHeight="1">
      <c r="A104" s="17" t="s">
        <v>38</v>
      </c>
      <c r="B104" s="17" t="s">
        <v>811</v>
      </c>
      <c r="C104" s="18">
        <v>0.62847222222222221</v>
      </c>
      <c r="D104" s="17" t="s">
        <v>440</v>
      </c>
      <c r="E104" s="17" t="s">
        <v>421</v>
      </c>
      <c r="F104" s="17" t="s">
        <v>45</v>
      </c>
      <c r="G104" s="298"/>
      <c r="H104" s="10"/>
      <c r="I104" s="11"/>
      <c r="J104" s="11"/>
      <c r="K104" s="11"/>
      <c r="L104" s="11"/>
      <c r="M104" s="11"/>
      <c r="N104" s="11"/>
      <c r="O104" s="12"/>
      <c r="P104" s="11"/>
      <c r="Q104" s="13"/>
      <c r="R104" s="14"/>
    </row>
    <row r="105" spans="1:18" ht="15" customHeight="1">
      <c r="A105" s="15" t="s">
        <v>38</v>
      </c>
      <c r="B105" s="15" t="s">
        <v>811</v>
      </c>
      <c r="C105" s="16">
        <v>0.62847222222222221</v>
      </c>
      <c r="D105" s="15" t="s">
        <v>40</v>
      </c>
      <c r="E105" s="15" t="s">
        <v>193</v>
      </c>
      <c r="F105" s="15" t="s">
        <v>45</v>
      </c>
      <c r="G105" s="298"/>
      <c r="H105" s="10"/>
      <c r="I105" s="11"/>
      <c r="J105" s="11"/>
      <c r="K105" s="11"/>
      <c r="L105" s="11"/>
      <c r="M105" s="11"/>
      <c r="N105" s="11"/>
      <c r="O105" s="12"/>
      <c r="P105" s="11"/>
      <c r="Q105" s="13"/>
      <c r="R105" s="14"/>
    </row>
    <row r="106" spans="1:18" ht="15" customHeight="1">
      <c r="A106" s="15" t="s">
        <v>38</v>
      </c>
      <c r="B106" s="15" t="s">
        <v>811</v>
      </c>
      <c r="C106" s="16">
        <v>0.62847222222222221</v>
      </c>
      <c r="D106" s="15" t="s">
        <v>43</v>
      </c>
      <c r="E106" s="15" t="s">
        <v>193</v>
      </c>
      <c r="F106" s="15" t="s">
        <v>163</v>
      </c>
      <c r="G106" s="298"/>
      <c r="H106" s="10"/>
      <c r="I106" s="11"/>
      <c r="J106" s="11"/>
      <c r="K106" s="11"/>
      <c r="L106" s="11"/>
      <c r="M106" s="11"/>
      <c r="N106" s="11"/>
      <c r="O106" s="12"/>
      <c r="P106" s="11"/>
      <c r="Q106" s="13"/>
      <c r="R106" s="14"/>
    </row>
    <row r="107" spans="1:18" ht="15" customHeight="1">
      <c r="A107" s="15" t="s">
        <v>38</v>
      </c>
      <c r="B107" s="15" t="s">
        <v>811</v>
      </c>
      <c r="C107" s="16">
        <v>0.62847222222222221</v>
      </c>
      <c r="D107" s="15" t="s">
        <v>46</v>
      </c>
      <c r="E107" s="15" t="s">
        <v>193</v>
      </c>
      <c r="F107" s="15" t="s">
        <v>810</v>
      </c>
      <c r="G107" s="298"/>
      <c r="H107" s="10"/>
      <c r="I107" s="11"/>
      <c r="J107" s="11"/>
      <c r="K107" s="11"/>
      <c r="L107" s="11"/>
      <c r="M107" s="11"/>
      <c r="N107" s="11"/>
      <c r="O107" s="12"/>
      <c r="P107" s="11"/>
      <c r="Q107" s="13"/>
      <c r="R107" s="14"/>
    </row>
    <row r="108" spans="1:18" ht="15" customHeight="1">
      <c r="A108" s="49" t="s">
        <v>61</v>
      </c>
      <c r="B108" s="49" t="s">
        <v>816</v>
      </c>
      <c r="C108" s="50">
        <v>0.40625</v>
      </c>
      <c r="D108" s="49" t="s">
        <v>63</v>
      </c>
      <c r="E108" s="49" t="s">
        <v>100</v>
      </c>
      <c r="F108" s="49" t="s">
        <v>849</v>
      </c>
      <c r="G108" s="298"/>
      <c r="H108" s="51" t="s">
        <v>818</v>
      </c>
      <c r="I108" s="52">
        <v>4.4699999999999997E-2</v>
      </c>
      <c r="J108" s="53">
        <v>8</v>
      </c>
      <c r="K108" s="54">
        <v>46344</v>
      </c>
      <c r="L108" s="53">
        <v>8</v>
      </c>
      <c r="M108" s="53">
        <v>0</v>
      </c>
      <c r="N108" s="53">
        <v>0</v>
      </c>
      <c r="O108" s="55" t="s">
        <v>850</v>
      </c>
      <c r="P108" s="56">
        <v>0.40625</v>
      </c>
      <c r="Q108" s="53">
        <v>179</v>
      </c>
      <c r="R108" s="57" t="s">
        <v>851</v>
      </c>
    </row>
    <row r="109" spans="1:18" ht="15" customHeight="1">
      <c r="A109" s="150" t="s">
        <v>61</v>
      </c>
      <c r="B109" s="150" t="s">
        <v>852</v>
      </c>
      <c r="C109" s="151">
        <v>0.72569444444444453</v>
      </c>
      <c r="D109" s="150" t="s">
        <v>63</v>
      </c>
      <c r="E109" s="150" t="s">
        <v>435</v>
      </c>
      <c r="F109" s="150" t="s">
        <v>853</v>
      </c>
      <c r="G109" s="298"/>
      <c r="H109" s="80" t="s">
        <v>854</v>
      </c>
      <c r="I109" s="81">
        <v>8.9399999999999993E-2</v>
      </c>
      <c r="J109" s="82">
        <v>16</v>
      </c>
      <c r="K109" s="83">
        <v>46344</v>
      </c>
      <c r="L109" s="82">
        <v>16</v>
      </c>
      <c r="M109" s="82">
        <v>0</v>
      </c>
      <c r="N109" s="82">
        <v>0</v>
      </c>
      <c r="O109" s="84" t="s">
        <v>552</v>
      </c>
      <c r="P109" s="85">
        <v>0.72569444444444453</v>
      </c>
      <c r="Q109" s="82">
        <v>179</v>
      </c>
      <c r="R109" s="86" t="s">
        <v>855</v>
      </c>
    </row>
    <row r="110" spans="1:18" ht="15" customHeight="1">
      <c r="A110" s="19" t="s">
        <v>402</v>
      </c>
      <c r="B110" s="19" t="s">
        <v>839</v>
      </c>
      <c r="C110" s="20">
        <v>0.21180555555555561</v>
      </c>
      <c r="D110" s="19" t="s">
        <v>63</v>
      </c>
      <c r="E110" s="19" t="s">
        <v>156</v>
      </c>
      <c r="F110" s="19" t="s">
        <v>856</v>
      </c>
      <c r="G110" s="298"/>
      <c r="H110" s="10"/>
      <c r="I110" s="11"/>
      <c r="J110" s="11"/>
      <c r="K110" s="11"/>
      <c r="L110" s="11"/>
      <c r="M110" s="11"/>
      <c r="N110" s="11"/>
      <c r="O110" s="12"/>
      <c r="P110" s="11"/>
      <c r="Q110" s="13"/>
      <c r="R110" s="14"/>
    </row>
    <row r="111" spans="1:18" ht="15" customHeight="1">
      <c r="A111" s="19" t="s">
        <v>68</v>
      </c>
      <c r="B111" s="19" t="s">
        <v>843</v>
      </c>
      <c r="C111" s="20">
        <v>0.35416666666666669</v>
      </c>
      <c r="D111" s="19" t="s">
        <v>70</v>
      </c>
      <c r="E111" s="19" t="s">
        <v>143</v>
      </c>
      <c r="F111" s="19" t="s">
        <v>404</v>
      </c>
      <c r="G111" s="298"/>
      <c r="H111" s="10"/>
      <c r="I111" s="11"/>
      <c r="J111" s="11"/>
      <c r="K111" s="11"/>
      <c r="L111" s="11"/>
      <c r="M111" s="11"/>
      <c r="N111" s="11"/>
      <c r="O111" s="12"/>
      <c r="P111" s="11"/>
      <c r="Q111" s="13"/>
      <c r="R111" s="14"/>
    </row>
    <row r="112" spans="1:18" ht="15" customHeight="1">
      <c r="A112" s="17" t="s">
        <v>68</v>
      </c>
      <c r="B112" s="17" t="s">
        <v>842</v>
      </c>
      <c r="C112" s="18">
        <v>0.98263888888888884</v>
      </c>
      <c r="D112" s="17" t="s">
        <v>70</v>
      </c>
      <c r="E112" s="17" t="s">
        <v>57</v>
      </c>
      <c r="F112" s="17" t="s">
        <v>857</v>
      </c>
      <c r="G112" s="298"/>
      <c r="H112" s="10"/>
      <c r="I112" s="11"/>
      <c r="J112" s="11"/>
      <c r="K112" s="11"/>
      <c r="L112" s="11"/>
      <c r="M112" s="11"/>
      <c r="N112" s="11"/>
      <c r="O112" s="12"/>
      <c r="P112" s="11"/>
      <c r="Q112" s="13"/>
      <c r="R112" s="14"/>
    </row>
    <row r="113" spans="1:18" ht="15" customHeight="1">
      <c r="A113" s="17" t="s">
        <v>68</v>
      </c>
      <c r="B113" s="17" t="s">
        <v>844</v>
      </c>
      <c r="C113" s="18">
        <v>0.72916666666666663</v>
      </c>
      <c r="D113" s="17" t="s">
        <v>70</v>
      </c>
      <c r="E113" s="17" t="s">
        <v>57</v>
      </c>
      <c r="F113" s="17" t="s">
        <v>858</v>
      </c>
      <c r="G113" s="298"/>
      <c r="H113" s="10"/>
      <c r="I113" s="11"/>
      <c r="J113" s="11"/>
      <c r="K113" s="11"/>
      <c r="L113" s="11"/>
      <c r="M113" s="11"/>
      <c r="N113" s="11"/>
      <c r="O113" s="12"/>
      <c r="P113" s="11"/>
      <c r="Q113" s="13"/>
      <c r="R113" s="14"/>
    </row>
    <row r="114" spans="1:18" ht="15" customHeight="1">
      <c r="A114" s="19" t="s">
        <v>48</v>
      </c>
      <c r="B114" s="19" t="s">
        <v>838</v>
      </c>
      <c r="C114" s="20">
        <v>0.94444444444444453</v>
      </c>
      <c r="D114" s="19" t="s">
        <v>70</v>
      </c>
      <c r="E114" s="19" t="s">
        <v>29</v>
      </c>
      <c r="F114" s="19" t="s">
        <v>836</v>
      </c>
      <c r="G114" s="298"/>
      <c r="H114" s="10"/>
      <c r="I114" s="11"/>
      <c r="J114" s="11"/>
      <c r="K114" s="11"/>
      <c r="L114" s="11"/>
      <c r="M114" s="11"/>
      <c r="N114" s="11"/>
      <c r="O114" s="12"/>
      <c r="P114" s="11"/>
      <c r="Q114" s="13"/>
      <c r="R114" s="14"/>
    </row>
    <row r="115" spans="1:18" ht="15" customHeight="1">
      <c r="A115" s="15" t="s">
        <v>48</v>
      </c>
      <c r="B115" s="15" t="s">
        <v>838</v>
      </c>
      <c r="C115" s="16">
        <v>0.94444444444444453</v>
      </c>
      <c r="D115" s="15" t="s">
        <v>53</v>
      </c>
      <c r="E115" s="15" t="s">
        <v>32</v>
      </c>
      <c r="F115" s="15" t="s">
        <v>836</v>
      </c>
      <c r="G115" s="298"/>
      <c r="H115" s="10"/>
      <c r="I115" s="11"/>
      <c r="J115" s="11"/>
      <c r="K115" s="11"/>
      <c r="L115" s="11"/>
      <c r="M115" s="11"/>
      <c r="N115" s="11"/>
      <c r="O115" s="12"/>
      <c r="P115" s="11"/>
      <c r="Q115" s="13"/>
      <c r="R115" s="14"/>
    </row>
    <row r="116" spans="1:18" ht="15" customHeight="1">
      <c r="A116" s="17" t="s">
        <v>48</v>
      </c>
      <c r="B116" s="17" t="s">
        <v>835</v>
      </c>
      <c r="C116" s="18">
        <v>0.88888888888888884</v>
      </c>
      <c r="D116" s="17" t="s">
        <v>70</v>
      </c>
      <c r="E116" s="17" t="s">
        <v>37</v>
      </c>
      <c r="F116" s="17" t="s">
        <v>859</v>
      </c>
      <c r="G116" s="298"/>
      <c r="H116" s="10"/>
      <c r="I116" s="11"/>
      <c r="J116" s="11"/>
      <c r="K116" s="11"/>
      <c r="L116" s="11"/>
      <c r="M116" s="11"/>
      <c r="N116" s="11"/>
      <c r="O116" s="12"/>
      <c r="P116" s="11"/>
      <c r="Q116" s="13"/>
      <c r="R116" s="14"/>
    </row>
    <row r="117" spans="1:18" ht="15" customHeight="1">
      <c r="A117" s="15" t="s">
        <v>48</v>
      </c>
      <c r="B117" s="15" t="s">
        <v>835</v>
      </c>
      <c r="C117" s="16">
        <v>0.88888888888888884</v>
      </c>
      <c r="D117" s="15" t="s">
        <v>53</v>
      </c>
      <c r="E117" s="15" t="s">
        <v>32</v>
      </c>
      <c r="F117" s="15" t="s">
        <v>859</v>
      </c>
      <c r="G117" s="298"/>
      <c r="H117" s="10"/>
      <c r="I117" s="11"/>
      <c r="J117" s="11"/>
      <c r="K117" s="11"/>
      <c r="L117" s="11"/>
      <c r="M117" s="11"/>
      <c r="N117" s="11"/>
      <c r="O117" s="12"/>
      <c r="P117" s="11"/>
      <c r="Q117" s="13"/>
      <c r="R117" s="14"/>
    </row>
    <row r="118" spans="1:18" ht="15" customHeight="1">
      <c r="A118" s="17" t="s">
        <v>48</v>
      </c>
      <c r="B118" s="17" t="s">
        <v>833</v>
      </c>
      <c r="C118" s="18">
        <v>0.44444444444444442</v>
      </c>
      <c r="D118" s="17" t="s">
        <v>70</v>
      </c>
      <c r="E118" s="17" t="s">
        <v>57</v>
      </c>
      <c r="F118" s="17" t="s">
        <v>860</v>
      </c>
      <c r="G118" s="298"/>
      <c r="H118" s="10"/>
      <c r="I118" s="11"/>
      <c r="J118" s="11"/>
      <c r="K118" s="11"/>
      <c r="L118" s="11"/>
      <c r="M118" s="11"/>
      <c r="N118" s="11"/>
      <c r="O118" s="12"/>
      <c r="P118" s="11"/>
      <c r="Q118" s="13"/>
      <c r="R118" s="14"/>
    </row>
    <row r="119" spans="1:18" ht="15" customHeight="1">
      <c r="A119" s="15" t="s">
        <v>48</v>
      </c>
      <c r="B119" s="15" t="s">
        <v>833</v>
      </c>
      <c r="C119" s="16">
        <v>0.44444444444444442</v>
      </c>
      <c r="D119" s="15" t="s">
        <v>53</v>
      </c>
      <c r="E119" s="15" t="s">
        <v>54</v>
      </c>
      <c r="F119" s="15" t="s">
        <v>860</v>
      </c>
      <c r="G119" s="298"/>
      <c r="H119" s="10"/>
      <c r="I119" s="11"/>
      <c r="J119" s="11"/>
      <c r="K119" s="11"/>
      <c r="L119" s="11"/>
      <c r="M119" s="11"/>
      <c r="N119" s="11"/>
      <c r="O119" s="12"/>
      <c r="P119" s="11"/>
      <c r="Q119" s="13"/>
      <c r="R119" s="14"/>
    </row>
    <row r="120" spans="1:18" ht="15" customHeight="1">
      <c r="A120" s="17" t="s">
        <v>48</v>
      </c>
      <c r="B120" s="17" t="s">
        <v>828</v>
      </c>
      <c r="C120" s="18">
        <v>0.82986111111111116</v>
      </c>
      <c r="D120" s="17" t="s">
        <v>70</v>
      </c>
      <c r="E120" s="17" t="s">
        <v>57</v>
      </c>
      <c r="F120" s="17" t="s">
        <v>860</v>
      </c>
      <c r="G120" s="298"/>
      <c r="H120" s="10"/>
      <c r="I120" s="11"/>
      <c r="J120" s="11"/>
      <c r="K120" s="11"/>
      <c r="L120" s="11"/>
      <c r="M120" s="11"/>
      <c r="N120" s="11"/>
      <c r="O120" s="12"/>
      <c r="P120" s="11"/>
      <c r="Q120" s="13"/>
      <c r="R120" s="14"/>
    </row>
    <row r="121" spans="1:18" ht="15" customHeight="1">
      <c r="A121" s="15" t="s">
        <v>48</v>
      </c>
      <c r="B121" s="15" t="s">
        <v>828</v>
      </c>
      <c r="C121" s="16">
        <v>0.82986111111111116</v>
      </c>
      <c r="D121" s="15" t="s">
        <v>53</v>
      </c>
      <c r="E121" s="15" t="s">
        <v>54</v>
      </c>
      <c r="F121" s="15" t="s">
        <v>860</v>
      </c>
      <c r="G121" s="298"/>
      <c r="H121" s="10"/>
      <c r="I121" s="11"/>
      <c r="J121" s="11"/>
      <c r="K121" s="11"/>
      <c r="L121" s="11"/>
      <c r="M121" s="11"/>
      <c r="N121" s="11"/>
      <c r="O121" s="12"/>
      <c r="P121" s="11"/>
      <c r="Q121" s="13"/>
      <c r="R121" s="14"/>
    </row>
    <row r="122" spans="1:18" ht="15" customHeight="1">
      <c r="A122" s="17" t="s">
        <v>48</v>
      </c>
      <c r="B122" s="17" t="s">
        <v>831</v>
      </c>
      <c r="C122" s="18">
        <v>0.98263888888888884</v>
      </c>
      <c r="D122" s="17" t="s">
        <v>70</v>
      </c>
      <c r="E122" s="17" t="s">
        <v>57</v>
      </c>
      <c r="F122" s="17" t="s">
        <v>860</v>
      </c>
      <c r="G122" s="298"/>
      <c r="H122" s="10"/>
      <c r="I122" s="11"/>
      <c r="J122" s="11"/>
      <c r="K122" s="11"/>
      <c r="L122" s="11"/>
      <c r="M122" s="11"/>
      <c r="N122" s="11"/>
      <c r="O122" s="12"/>
      <c r="P122" s="11"/>
      <c r="Q122" s="13"/>
      <c r="R122" s="14"/>
    </row>
    <row r="123" spans="1:18" ht="15" customHeight="1">
      <c r="A123" s="15" t="s">
        <v>48</v>
      </c>
      <c r="B123" s="15" t="s">
        <v>831</v>
      </c>
      <c r="C123" s="16">
        <v>0.98263888888888884</v>
      </c>
      <c r="D123" s="15" t="s">
        <v>53</v>
      </c>
      <c r="E123" s="15" t="s">
        <v>54</v>
      </c>
      <c r="F123" s="15" t="s">
        <v>860</v>
      </c>
      <c r="G123" s="298"/>
      <c r="H123" s="10"/>
      <c r="I123" s="11"/>
      <c r="J123" s="11"/>
      <c r="K123" s="11"/>
      <c r="L123" s="11"/>
      <c r="M123" s="11"/>
      <c r="N123" s="11"/>
      <c r="O123" s="12"/>
      <c r="P123" s="11"/>
      <c r="Q123" s="13"/>
      <c r="R123" s="14"/>
    </row>
    <row r="124" spans="1:18" ht="15" customHeight="1">
      <c r="A124" s="17" t="s">
        <v>48</v>
      </c>
      <c r="B124" s="17" t="s">
        <v>832</v>
      </c>
      <c r="C124" s="18">
        <v>0.62847222222222221</v>
      </c>
      <c r="D124" s="17" t="s">
        <v>53</v>
      </c>
      <c r="E124" s="17" t="s">
        <v>57</v>
      </c>
      <c r="F124" s="17" t="s">
        <v>860</v>
      </c>
      <c r="G124" s="298"/>
      <c r="H124" s="10"/>
      <c r="I124" s="11"/>
      <c r="J124" s="11"/>
      <c r="K124" s="11"/>
      <c r="L124" s="11"/>
      <c r="M124" s="11"/>
      <c r="N124" s="11"/>
      <c r="O124" s="12"/>
      <c r="P124" s="11"/>
      <c r="Q124" s="13"/>
      <c r="R124" s="14"/>
    </row>
    <row r="125" spans="1:18" ht="15" customHeight="1">
      <c r="A125" s="15" t="s">
        <v>48</v>
      </c>
      <c r="B125" s="15" t="s">
        <v>832</v>
      </c>
      <c r="C125" s="16">
        <v>0.62847222222222221</v>
      </c>
      <c r="D125" s="15" t="s">
        <v>70</v>
      </c>
      <c r="E125" s="15" t="s">
        <v>54</v>
      </c>
      <c r="F125" s="15" t="s">
        <v>860</v>
      </c>
      <c r="G125" s="298"/>
      <c r="H125" s="10"/>
      <c r="I125" s="11"/>
      <c r="J125" s="11"/>
      <c r="K125" s="11"/>
      <c r="L125" s="11"/>
      <c r="M125" s="11"/>
      <c r="N125" s="11"/>
      <c r="O125" s="12"/>
      <c r="P125" s="11"/>
      <c r="Q125" s="13"/>
      <c r="R125" s="14"/>
    </row>
    <row r="126" spans="1:18" ht="15" customHeight="1" thickBot="1">
      <c r="A126" s="30" t="s">
        <v>48</v>
      </c>
      <c r="B126" s="30" t="s">
        <v>837</v>
      </c>
      <c r="C126" s="31">
        <v>0.62847222222222221</v>
      </c>
      <c r="D126" s="30" t="s">
        <v>70</v>
      </c>
      <c r="E126" s="30" t="s">
        <v>37</v>
      </c>
      <c r="F126" s="30" t="s">
        <v>861</v>
      </c>
      <c r="G126" s="299"/>
      <c r="H126" s="300"/>
      <c r="I126" s="140"/>
      <c r="J126" s="140"/>
      <c r="K126" s="140"/>
      <c r="L126" s="140"/>
      <c r="M126" s="140"/>
      <c r="N126" s="140"/>
      <c r="O126" s="141"/>
      <c r="P126" s="140"/>
      <c r="Q126" s="142"/>
      <c r="R126" s="301"/>
    </row>
    <row r="127" spans="1:18" ht="17.45" customHeight="1" thickBot="1">
      <c r="A127" s="283"/>
      <c r="B127" s="284"/>
      <c r="C127" s="284"/>
      <c r="D127" s="284"/>
      <c r="E127" s="284"/>
      <c r="F127" s="284"/>
      <c r="G127" s="284"/>
      <c r="H127" s="284"/>
      <c r="I127" s="284"/>
      <c r="J127" s="284"/>
      <c r="K127" s="284"/>
      <c r="L127" s="284"/>
      <c r="M127" s="284"/>
      <c r="N127" s="284"/>
      <c r="O127" s="284"/>
      <c r="P127" s="284"/>
      <c r="Q127" s="284"/>
      <c r="R127" s="285"/>
    </row>
    <row r="128" spans="1:18" ht="22.15" customHeight="1" thickTop="1" thickBot="1">
      <c r="A128" s="279" t="s">
        <v>6</v>
      </c>
      <c r="B128" s="295"/>
      <c r="C128" s="295"/>
      <c r="D128" s="295"/>
      <c r="E128" s="295"/>
      <c r="F128" s="296"/>
      <c r="G128" s="32">
        <v>46025</v>
      </c>
      <c r="H128" s="278" t="s">
        <v>7</v>
      </c>
      <c r="I128" s="295"/>
      <c r="J128" s="295"/>
      <c r="K128" s="295"/>
      <c r="L128" s="295"/>
      <c r="M128" s="295"/>
      <c r="N128" s="295"/>
      <c r="O128" s="295"/>
      <c r="P128" s="295"/>
      <c r="Q128" s="295"/>
      <c r="R128" s="296"/>
    </row>
    <row r="129" spans="1:18" ht="24" customHeight="1">
      <c r="A129" s="33" t="s">
        <v>8</v>
      </c>
      <c r="B129" s="33" t="s">
        <v>9</v>
      </c>
      <c r="C129" s="34" t="s">
        <v>10</v>
      </c>
      <c r="D129" s="33" t="s">
        <v>11</v>
      </c>
      <c r="E129" s="33" t="s">
        <v>12</v>
      </c>
      <c r="F129" s="35" t="s">
        <v>13</v>
      </c>
      <c r="G129" s="36" t="s">
        <v>14</v>
      </c>
      <c r="H129" s="33" t="s">
        <v>15</v>
      </c>
      <c r="I129" s="37" t="s">
        <v>16</v>
      </c>
      <c r="J129" s="38" t="s">
        <v>17</v>
      </c>
      <c r="K129" s="39" t="s">
        <v>18</v>
      </c>
      <c r="L129" s="38" t="s">
        <v>19</v>
      </c>
      <c r="M129" s="38" t="s">
        <v>20</v>
      </c>
      <c r="N129" s="38" t="s">
        <v>21</v>
      </c>
      <c r="O129" s="33" t="s">
        <v>22</v>
      </c>
      <c r="P129" s="34" t="s">
        <v>23</v>
      </c>
      <c r="Q129" s="38" t="s">
        <v>24</v>
      </c>
      <c r="R129" s="33" t="s">
        <v>25</v>
      </c>
    </row>
    <row r="130" spans="1:18" ht="15" customHeight="1">
      <c r="A130" s="98" t="s">
        <v>61</v>
      </c>
      <c r="B130" s="98" t="s">
        <v>816</v>
      </c>
      <c r="C130" s="99">
        <v>0.41319444444444442</v>
      </c>
      <c r="D130" s="98" t="s">
        <v>63</v>
      </c>
      <c r="E130" s="98" t="s">
        <v>156</v>
      </c>
      <c r="F130" s="98" t="s">
        <v>121</v>
      </c>
      <c r="G130" s="297"/>
      <c r="H130" s="100" t="s">
        <v>818</v>
      </c>
      <c r="I130" s="101">
        <v>0.2235</v>
      </c>
      <c r="J130" s="102">
        <v>40</v>
      </c>
      <c r="K130" s="103">
        <v>46345</v>
      </c>
      <c r="L130" s="102">
        <v>40</v>
      </c>
      <c r="M130" s="102">
        <v>0</v>
      </c>
      <c r="N130" s="102">
        <v>0</v>
      </c>
      <c r="O130" s="104" t="s">
        <v>128</v>
      </c>
      <c r="P130" s="105">
        <v>0.41319444444444442</v>
      </c>
      <c r="Q130" s="102">
        <v>179</v>
      </c>
      <c r="R130" s="106" t="s">
        <v>862</v>
      </c>
    </row>
    <row r="131" spans="1:18" ht="15" customHeight="1">
      <c r="A131" s="19" t="s">
        <v>402</v>
      </c>
      <c r="B131" s="19" t="s">
        <v>839</v>
      </c>
      <c r="C131" s="20">
        <v>0.1701388888888889</v>
      </c>
      <c r="D131" s="19" t="s">
        <v>63</v>
      </c>
      <c r="E131" s="19" t="s">
        <v>143</v>
      </c>
      <c r="F131" s="19" t="s">
        <v>404</v>
      </c>
      <c r="G131" s="298"/>
      <c r="H131" s="10"/>
      <c r="I131" s="11"/>
      <c r="J131" s="11"/>
      <c r="K131" s="11"/>
      <c r="L131" s="11"/>
      <c r="M131" s="11"/>
      <c r="N131" s="11"/>
      <c r="O131" s="12"/>
      <c r="P131" s="11"/>
      <c r="Q131" s="13"/>
      <c r="R131" s="14"/>
    </row>
    <row r="132" spans="1:18" ht="15" customHeight="1">
      <c r="A132" s="19" t="s">
        <v>359</v>
      </c>
      <c r="B132" s="19" t="s">
        <v>814</v>
      </c>
      <c r="C132" s="20">
        <v>0.4375</v>
      </c>
      <c r="D132" s="19" t="s">
        <v>469</v>
      </c>
      <c r="E132" s="19" t="s">
        <v>80</v>
      </c>
      <c r="F132" s="19" t="s">
        <v>863</v>
      </c>
      <c r="G132" s="298"/>
      <c r="H132" s="10"/>
      <c r="I132" s="11"/>
      <c r="J132" s="11"/>
      <c r="K132" s="11"/>
      <c r="L132" s="11"/>
      <c r="M132" s="11"/>
      <c r="N132" s="11"/>
      <c r="O132" s="12"/>
      <c r="P132" s="11"/>
      <c r="Q132" s="13"/>
      <c r="R132" s="14"/>
    </row>
    <row r="133" spans="1:18" ht="15" customHeight="1">
      <c r="A133" s="15" t="s">
        <v>359</v>
      </c>
      <c r="B133" s="15" t="s">
        <v>814</v>
      </c>
      <c r="C133" s="16">
        <v>0.4375</v>
      </c>
      <c r="D133" s="15" t="s">
        <v>361</v>
      </c>
      <c r="E133" s="15" t="s">
        <v>82</v>
      </c>
      <c r="F133" s="15" t="s">
        <v>863</v>
      </c>
      <c r="G133" s="298"/>
      <c r="H133" s="10"/>
      <c r="I133" s="11"/>
      <c r="J133" s="11"/>
      <c r="K133" s="11"/>
      <c r="L133" s="11"/>
      <c r="M133" s="11"/>
      <c r="N133" s="11"/>
      <c r="O133" s="12"/>
      <c r="P133" s="11"/>
      <c r="Q133" s="13"/>
      <c r="R133" s="14"/>
    </row>
    <row r="134" spans="1:18" ht="15" customHeight="1">
      <c r="A134" s="15" t="s">
        <v>359</v>
      </c>
      <c r="B134" s="15" t="s">
        <v>814</v>
      </c>
      <c r="C134" s="16">
        <v>0.4375</v>
      </c>
      <c r="D134" s="15" t="s">
        <v>46</v>
      </c>
      <c r="E134" s="15" t="s">
        <v>82</v>
      </c>
      <c r="F134" s="15" t="s">
        <v>864</v>
      </c>
      <c r="G134" s="298"/>
      <c r="H134" s="10"/>
      <c r="I134" s="11"/>
      <c r="J134" s="11"/>
      <c r="K134" s="11"/>
      <c r="L134" s="11"/>
      <c r="M134" s="11"/>
      <c r="N134" s="11"/>
      <c r="O134" s="12"/>
      <c r="P134" s="11"/>
      <c r="Q134" s="13"/>
      <c r="R134" s="14"/>
    </row>
    <row r="135" spans="1:18" ht="15" customHeight="1">
      <c r="A135" s="19" t="s">
        <v>38</v>
      </c>
      <c r="B135" s="19" t="s">
        <v>809</v>
      </c>
      <c r="C135" s="20">
        <v>0.57638888888888895</v>
      </c>
      <c r="D135" s="19" t="s">
        <v>440</v>
      </c>
      <c r="E135" s="19" t="s">
        <v>496</v>
      </c>
      <c r="F135" s="19" t="s">
        <v>45</v>
      </c>
      <c r="G135" s="298"/>
      <c r="H135" s="10"/>
      <c r="I135" s="11"/>
      <c r="J135" s="11"/>
      <c r="K135" s="11"/>
      <c r="L135" s="11"/>
      <c r="M135" s="11"/>
      <c r="N135" s="11"/>
      <c r="O135" s="12"/>
      <c r="P135" s="11"/>
      <c r="Q135" s="13"/>
      <c r="R135" s="14"/>
    </row>
    <row r="136" spans="1:18" ht="15" customHeight="1">
      <c r="A136" s="15" t="s">
        <v>38</v>
      </c>
      <c r="B136" s="15" t="s">
        <v>809</v>
      </c>
      <c r="C136" s="16">
        <v>0.57638888888888895</v>
      </c>
      <c r="D136" s="15" t="s">
        <v>40</v>
      </c>
      <c r="E136" s="15" t="s">
        <v>195</v>
      </c>
      <c r="F136" s="15" t="s">
        <v>45</v>
      </c>
      <c r="G136" s="298"/>
      <c r="H136" s="10"/>
      <c r="I136" s="11"/>
      <c r="J136" s="11"/>
      <c r="K136" s="11"/>
      <c r="L136" s="11"/>
      <c r="M136" s="11"/>
      <c r="N136" s="11"/>
      <c r="O136" s="12"/>
      <c r="P136" s="11"/>
      <c r="Q136" s="13"/>
      <c r="R136" s="14"/>
    </row>
    <row r="137" spans="1:18" ht="15" customHeight="1">
      <c r="A137" s="15" t="s">
        <v>38</v>
      </c>
      <c r="B137" s="15" t="s">
        <v>809</v>
      </c>
      <c r="C137" s="16">
        <v>0.57638888888888895</v>
      </c>
      <c r="D137" s="15" t="s">
        <v>43</v>
      </c>
      <c r="E137" s="15" t="s">
        <v>195</v>
      </c>
      <c r="F137" s="15" t="s">
        <v>163</v>
      </c>
      <c r="G137" s="298"/>
      <c r="H137" s="10"/>
      <c r="I137" s="11"/>
      <c r="J137" s="11"/>
      <c r="K137" s="11"/>
      <c r="L137" s="11"/>
      <c r="M137" s="11"/>
      <c r="N137" s="11"/>
      <c r="O137" s="12"/>
      <c r="P137" s="11"/>
      <c r="Q137" s="13"/>
      <c r="R137" s="14"/>
    </row>
    <row r="138" spans="1:18" ht="15" customHeight="1">
      <c r="A138" s="15" t="s">
        <v>38</v>
      </c>
      <c r="B138" s="15" t="s">
        <v>809</v>
      </c>
      <c r="C138" s="16">
        <v>0.57638888888888895</v>
      </c>
      <c r="D138" s="15" t="s">
        <v>46</v>
      </c>
      <c r="E138" s="15" t="s">
        <v>195</v>
      </c>
      <c r="F138" s="15" t="s">
        <v>810</v>
      </c>
      <c r="G138" s="298"/>
      <c r="H138" s="10"/>
      <c r="I138" s="11"/>
      <c r="J138" s="11"/>
      <c r="K138" s="11"/>
      <c r="L138" s="11"/>
      <c r="M138" s="11"/>
      <c r="N138" s="11"/>
      <c r="O138" s="12"/>
      <c r="P138" s="11"/>
      <c r="Q138" s="13"/>
      <c r="R138" s="14"/>
    </row>
    <row r="139" spans="1:18" ht="15" customHeight="1">
      <c r="A139" s="17" t="s">
        <v>38</v>
      </c>
      <c r="B139" s="17" t="s">
        <v>811</v>
      </c>
      <c r="C139" s="18">
        <v>0.62847222222222221</v>
      </c>
      <c r="D139" s="17" t="s">
        <v>440</v>
      </c>
      <c r="E139" s="17" t="s">
        <v>113</v>
      </c>
      <c r="F139" s="17" t="s">
        <v>162</v>
      </c>
      <c r="G139" s="298"/>
      <c r="H139" s="10"/>
      <c r="I139" s="11"/>
      <c r="J139" s="11"/>
      <c r="K139" s="11"/>
      <c r="L139" s="11"/>
      <c r="M139" s="11"/>
      <c r="N139" s="11"/>
      <c r="O139" s="12"/>
      <c r="P139" s="11"/>
      <c r="Q139" s="13"/>
      <c r="R139" s="14"/>
    </row>
    <row r="140" spans="1:18" ht="15" customHeight="1">
      <c r="A140" s="15" t="s">
        <v>38</v>
      </c>
      <c r="B140" s="15" t="s">
        <v>811</v>
      </c>
      <c r="C140" s="16">
        <v>0.62847222222222221</v>
      </c>
      <c r="D140" s="15" t="s">
        <v>40</v>
      </c>
      <c r="E140" s="15" t="s">
        <v>114</v>
      </c>
      <c r="F140" s="15" t="s">
        <v>162</v>
      </c>
      <c r="G140" s="298"/>
      <c r="H140" s="10"/>
      <c r="I140" s="11"/>
      <c r="J140" s="11"/>
      <c r="K140" s="11"/>
      <c r="L140" s="11"/>
      <c r="M140" s="11"/>
      <c r="N140" s="11"/>
      <c r="O140" s="12"/>
      <c r="P140" s="11"/>
      <c r="Q140" s="13"/>
      <c r="R140" s="14"/>
    </row>
    <row r="141" spans="1:18" ht="15" customHeight="1">
      <c r="A141" s="15" t="s">
        <v>38</v>
      </c>
      <c r="B141" s="15" t="s">
        <v>811</v>
      </c>
      <c r="C141" s="16">
        <v>0.62847222222222221</v>
      </c>
      <c r="D141" s="15" t="s">
        <v>43</v>
      </c>
      <c r="E141" s="15" t="s">
        <v>114</v>
      </c>
      <c r="F141" s="15" t="s">
        <v>865</v>
      </c>
      <c r="G141" s="298"/>
      <c r="H141" s="10"/>
      <c r="I141" s="11"/>
      <c r="J141" s="11"/>
      <c r="K141" s="11"/>
      <c r="L141" s="11"/>
      <c r="M141" s="11"/>
      <c r="N141" s="11"/>
      <c r="O141" s="12"/>
      <c r="P141" s="11"/>
      <c r="Q141" s="13"/>
      <c r="R141" s="14"/>
    </row>
    <row r="142" spans="1:18" ht="15" customHeight="1">
      <c r="A142" s="15" t="s">
        <v>38</v>
      </c>
      <c r="B142" s="15" t="s">
        <v>811</v>
      </c>
      <c r="C142" s="16">
        <v>0.62847222222222221</v>
      </c>
      <c r="D142" s="15" t="s">
        <v>46</v>
      </c>
      <c r="E142" s="15" t="s">
        <v>114</v>
      </c>
      <c r="F142" s="15" t="s">
        <v>810</v>
      </c>
      <c r="G142" s="298"/>
      <c r="H142" s="10"/>
      <c r="I142" s="11"/>
      <c r="J142" s="11"/>
      <c r="K142" s="11"/>
      <c r="L142" s="11"/>
      <c r="M142" s="11"/>
      <c r="N142" s="11"/>
      <c r="O142" s="12"/>
      <c r="P142" s="11"/>
      <c r="Q142" s="13"/>
      <c r="R142" s="14"/>
    </row>
    <row r="143" spans="1:18" ht="15" customHeight="1">
      <c r="A143" s="17" t="s">
        <v>38</v>
      </c>
      <c r="B143" s="17" t="s">
        <v>812</v>
      </c>
      <c r="C143" s="18">
        <v>0.88888888888888884</v>
      </c>
      <c r="D143" s="17" t="s">
        <v>440</v>
      </c>
      <c r="E143" s="17" t="s">
        <v>421</v>
      </c>
      <c r="F143" s="17" t="s">
        <v>503</v>
      </c>
      <c r="G143" s="298"/>
      <c r="H143" s="10"/>
      <c r="I143" s="11"/>
      <c r="J143" s="11"/>
      <c r="K143" s="11"/>
      <c r="L143" s="11"/>
      <c r="M143" s="11"/>
      <c r="N143" s="11"/>
      <c r="O143" s="12"/>
      <c r="P143" s="11"/>
      <c r="Q143" s="13"/>
      <c r="R143" s="14"/>
    </row>
    <row r="144" spans="1:18" ht="15" customHeight="1">
      <c r="A144" s="15" t="s">
        <v>38</v>
      </c>
      <c r="B144" s="15" t="s">
        <v>812</v>
      </c>
      <c r="C144" s="16">
        <v>0.88888888888888884</v>
      </c>
      <c r="D144" s="15" t="s">
        <v>40</v>
      </c>
      <c r="E144" s="15" t="s">
        <v>193</v>
      </c>
      <c r="F144" s="15" t="s">
        <v>503</v>
      </c>
      <c r="G144" s="298"/>
      <c r="H144" s="10"/>
      <c r="I144" s="11"/>
      <c r="J144" s="11"/>
      <c r="K144" s="11"/>
      <c r="L144" s="11"/>
      <c r="M144" s="11"/>
      <c r="N144" s="11"/>
      <c r="O144" s="12"/>
      <c r="P144" s="11"/>
      <c r="Q144" s="13"/>
      <c r="R144" s="14"/>
    </row>
    <row r="145" spans="1:18" ht="15" customHeight="1">
      <c r="A145" s="15" t="s">
        <v>38</v>
      </c>
      <c r="B145" s="15" t="s">
        <v>812</v>
      </c>
      <c r="C145" s="16">
        <v>0.88888888888888884</v>
      </c>
      <c r="D145" s="15" t="s">
        <v>43</v>
      </c>
      <c r="E145" s="15" t="s">
        <v>193</v>
      </c>
      <c r="F145" s="15" t="s">
        <v>47</v>
      </c>
      <c r="G145" s="298"/>
      <c r="H145" s="10"/>
      <c r="I145" s="11"/>
      <c r="J145" s="11"/>
      <c r="K145" s="11"/>
      <c r="L145" s="11"/>
      <c r="M145" s="11"/>
      <c r="N145" s="11"/>
      <c r="O145" s="12"/>
      <c r="P145" s="11"/>
      <c r="Q145" s="13"/>
      <c r="R145" s="14"/>
    </row>
    <row r="146" spans="1:18" ht="15" customHeight="1">
      <c r="A146" s="15" t="s">
        <v>38</v>
      </c>
      <c r="B146" s="15" t="s">
        <v>812</v>
      </c>
      <c r="C146" s="16">
        <v>0.88888888888888884</v>
      </c>
      <c r="D146" s="15" t="s">
        <v>46</v>
      </c>
      <c r="E146" s="15" t="s">
        <v>193</v>
      </c>
      <c r="F146" s="15" t="s">
        <v>810</v>
      </c>
      <c r="G146" s="298"/>
      <c r="H146" s="10"/>
      <c r="I146" s="11"/>
      <c r="J146" s="11"/>
      <c r="K146" s="11"/>
      <c r="L146" s="11"/>
      <c r="M146" s="11"/>
      <c r="N146" s="11"/>
      <c r="O146" s="12"/>
      <c r="P146" s="11"/>
      <c r="Q146" s="13"/>
      <c r="R146" s="14"/>
    </row>
    <row r="147" spans="1:18" ht="15" customHeight="1">
      <c r="A147" s="17" t="s">
        <v>38</v>
      </c>
      <c r="B147" s="17" t="s">
        <v>813</v>
      </c>
      <c r="C147" s="18">
        <v>0.94444444444444453</v>
      </c>
      <c r="D147" s="17" t="s">
        <v>440</v>
      </c>
      <c r="E147" s="17" t="s">
        <v>125</v>
      </c>
      <c r="F147" s="17" t="s">
        <v>503</v>
      </c>
      <c r="G147" s="298"/>
      <c r="H147" s="10"/>
      <c r="I147" s="11"/>
      <c r="J147" s="11"/>
      <c r="K147" s="11"/>
      <c r="L147" s="11"/>
      <c r="M147" s="11"/>
      <c r="N147" s="11"/>
      <c r="O147" s="12"/>
      <c r="P147" s="11"/>
      <c r="Q147" s="13"/>
      <c r="R147" s="14"/>
    </row>
    <row r="148" spans="1:18" ht="15" customHeight="1">
      <c r="A148" s="15" t="s">
        <v>38</v>
      </c>
      <c r="B148" s="15" t="s">
        <v>813</v>
      </c>
      <c r="C148" s="16">
        <v>0.94444444444444453</v>
      </c>
      <c r="D148" s="15" t="s">
        <v>40</v>
      </c>
      <c r="E148" s="15" t="s">
        <v>44</v>
      </c>
      <c r="F148" s="15" t="s">
        <v>503</v>
      </c>
      <c r="G148" s="298"/>
      <c r="H148" s="10"/>
      <c r="I148" s="11"/>
      <c r="J148" s="11"/>
      <c r="K148" s="11"/>
      <c r="L148" s="11"/>
      <c r="M148" s="11"/>
      <c r="N148" s="11"/>
      <c r="O148" s="12"/>
      <c r="P148" s="11"/>
      <c r="Q148" s="13"/>
      <c r="R148" s="14"/>
    </row>
    <row r="149" spans="1:18" ht="15" customHeight="1">
      <c r="A149" s="15" t="s">
        <v>38</v>
      </c>
      <c r="B149" s="15" t="s">
        <v>813</v>
      </c>
      <c r="C149" s="16">
        <v>0.94444444444444453</v>
      </c>
      <c r="D149" s="15" t="s">
        <v>43</v>
      </c>
      <c r="E149" s="15" t="s">
        <v>44</v>
      </c>
      <c r="F149" s="15" t="s">
        <v>47</v>
      </c>
      <c r="G149" s="298"/>
      <c r="H149" s="10"/>
      <c r="I149" s="11"/>
      <c r="J149" s="11"/>
      <c r="K149" s="11"/>
      <c r="L149" s="11"/>
      <c r="M149" s="11"/>
      <c r="N149" s="11"/>
      <c r="O149" s="12"/>
      <c r="P149" s="11"/>
      <c r="Q149" s="13"/>
      <c r="R149" s="14"/>
    </row>
    <row r="150" spans="1:18" ht="15" customHeight="1">
      <c r="A150" s="15" t="s">
        <v>38</v>
      </c>
      <c r="B150" s="15" t="s">
        <v>813</v>
      </c>
      <c r="C150" s="16">
        <v>0.94444444444444453</v>
      </c>
      <c r="D150" s="15" t="s">
        <v>46</v>
      </c>
      <c r="E150" s="15" t="s">
        <v>44</v>
      </c>
      <c r="F150" s="15" t="s">
        <v>810</v>
      </c>
      <c r="G150" s="298"/>
      <c r="H150" s="10"/>
      <c r="I150" s="11"/>
      <c r="J150" s="11"/>
      <c r="K150" s="11"/>
      <c r="L150" s="11"/>
      <c r="M150" s="11"/>
      <c r="N150" s="11"/>
      <c r="O150" s="12"/>
      <c r="P150" s="11"/>
      <c r="Q150" s="13"/>
      <c r="R150" s="14"/>
    </row>
    <row r="151" spans="1:18" ht="15" customHeight="1">
      <c r="A151" s="19" t="s">
        <v>26</v>
      </c>
      <c r="B151" s="19" t="s">
        <v>822</v>
      </c>
      <c r="C151" s="20">
        <v>0.55902777777777779</v>
      </c>
      <c r="D151" s="19" t="s">
        <v>451</v>
      </c>
      <c r="E151" s="19" t="s">
        <v>29</v>
      </c>
      <c r="F151" s="19" t="s">
        <v>35</v>
      </c>
      <c r="G151" s="298"/>
      <c r="H151" s="10"/>
      <c r="I151" s="11"/>
      <c r="J151" s="11"/>
      <c r="K151" s="11"/>
      <c r="L151" s="11"/>
      <c r="M151" s="11"/>
      <c r="N151" s="11"/>
      <c r="O151" s="12"/>
      <c r="P151" s="11"/>
      <c r="Q151" s="13"/>
      <c r="R151" s="14"/>
    </row>
    <row r="152" spans="1:18" ht="15" customHeight="1">
      <c r="A152" s="15" t="s">
        <v>26</v>
      </c>
      <c r="B152" s="15" t="s">
        <v>822</v>
      </c>
      <c r="C152" s="16">
        <v>0.55902777777777779</v>
      </c>
      <c r="D152" s="15" t="s">
        <v>28</v>
      </c>
      <c r="E152" s="15" t="s">
        <v>32</v>
      </c>
      <c r="F152" s="15" t="s">
        <v>35</v>
      </c>
      <c r="G152" s="298"/>
      <c r="H152" s="10"/>
      <c r="I152" s="11"/>
      <c r="J152" s="11"/>
      <c r="K152" s="11"/>
      <c r="L152" s="11"/>
      <c r="M152" s="11"/>
      <c r="N152" s="11"/>
      <c r="O152" s="12"/>
      <c r="P152" s="11"/>
      <c r="Q152" s="13"/>
      <c r="R152" s="14"/>
    </row>
    <row r="153" spans="1:18" ht="15" customHeight="1">
      <c r="A153" s="15" t="s">
        <v>26</v>
      </c>
      <c r="B153" s="15" t="s">
        <v>822</v>
      </c>
      <c r="C153" s="16">
        <v>0.55902777777777779</v>
      </c>
      <c r="D153" s="15" t="s">
        <v>31</v>
      </c>
      <c r="E153" s="15" t="s">
        <v>32</v>
      </c>
      <c r="F153" s="15" t="s">
        <v>467</v>
      </c>
      <c r="G153" s="298"/>
      <c r="H153" s="10"/>
      <c r="I153" s="11"/>
      <c r="J153" s="11"/>
      <c r="K153" s="11"/>
      <c r="L153" s="11"/>
      <c r="M153" s="11"/>
      <c r="N153" s="11"/>
      <c r="O153" s="12"/>
      <c r="P153" s="11"/>
      <c r="Q153" s="13"/>
      <c r="R153" s="14"/>
    </row>
    <row r="154" spans="1:18" ht="15" customHeight="1">
      <c r="A154" s="15" t="s">
        <v>26</v>
      </c>
      <c r="B154" s="15" t="s">
        <v>822</v>
      </c>
      <c r="C154" s="16">
        <v>0.55902777777777779</v>
      </c>
      <c r="D154" s="15" t="s">
        <v>34</v>
      </c>
      <c r="E154" s="15" t="s">
        <v>32</v>
      </c>
      <c r="F154" s="15" t="s">
        <v>455</v>
      </c>
      <c r="G154" s="298"/>
      <c r="H154" s="10"/>
      <c r="I154" s="11"/>
      <c r="J154" s="11"/>
      <c r="K154" s="11"/>
      <c r="L154" s="11"/>
      <c r="M154" s="11"/>
      <c r="N154" s="11"/>
      <c r="O154" s="12"/>
      <c r="P154" s="11"/>
      <c r="Q154" s="13"/>
      <c r="R154" s="14"/>
    </row>
    <row r="155" spans="1:18" ht="15" customHeight="1">
      <c r="A155" s="17" t="s">
        <v>26</v>
      </c>
      <c r="B155" s="17" t="s">
        <v>824</v>
      </c>
      <c r="C155" s="18">
        <v>0.50694444444444442</v>
      </c>
      <c r="D155" s="17" t="s">
        <v>451</v>
      </c>
      <c r="E155" s="17" t="s">
        <v>90</v>
      </c>
      <c r="F155" s="17" t="s">
        <v>35</v>
      </c>
      <c r="G155" s="298"/>
      <c r="H155" s="10"/>
      <c r="I155" s="11"/>
      <c r="J155" s="11"/>
      <c r="K155" s="11"/>
      <c r="L155" s="11"/>
      <c r="M155" s="11"/>
      <c r="N155" s="11"/>
      <c r="O155" s="12"/>
      <c r="P155" s="11"/>
      <c r="Q155" s="13"/>
      <c r="R155" s="14"/>
    </row>
    <row r="156" spans="1:18" ht="15" customHeight="1">
      <c r="A156" s="15" t="s">
        <v>26</v>
      </c>
      <c r="B156" s="15" t="s">
        <v>824</v>
      </c>
      <c r="C156" s="16">
        <v>0.50694444444444442</v>
      </c>
      <c r="D156" s="15" t="s">
        <v>28</v>
      </c>
      <c r="E156" s="15" t="s">
        <v>82</v>
      </c>
      <c r="F156" s="15" t="s">
        <v>35</v>
      </c>
      <c r="G156" s="298"/>
      <c r="H156" s="10"/>
      <c r="I156" s="11"/>
      <c r="J156" s="11"/>
      <c r="K156" s="11"/>
      <c r="L156" s="11"/>
      <c r="M156" s="11"/>
      <c r="N156" s="11"/>
      <c r="O156" s="12"/>
      <c r="P156" s="11"/>
      <c r="Q156" s="13"/>
      <c r="R156" s="14"/>
    </row>
    <row r="157" spans="1:18" ht="15" customHeight="1">
      <c r="A157" s="15" t="s">
        <v>26</v>
      </c>
      <c r="B157" s="15" t="s">
        <v>824</v>
      </c>
      <c r="C157" s="16">
        <v>0.50694444444444442</v>
      </c>
      <c r="D157" s="15" t="s">
        <v>31</v>
      </c>
      <c r="E157" s="15" t="s">
        <v>82</v>
      </c>
      <c r="F157" s="15" t="s">
        <v>467</v>
      </c>
      <c r="G157" s="298"/>
      <c r="H157" s="10"/>
      <c r="I157" s="11"/>
      <c r="J157" s="11"/>
      <c r="K157" s="11"/>
      <c r="L157" s="11"/>
      <c r="M157" s="11"/>
      <c r="N157" s="11"/>
      <c r="O157" s="12"/>
      <c r="P157" s="11"/>
      <c r="Q157" s="13"/>
      <c r="R157" s="14"/>
    </row>
    <row r="158" spans="1:18" ht="15" customHeight="1">
      <c r="A158" s="15" t="s">
        <v>26</v>
      </c>
      <c r="B158" s="15" t="s">
        <v>824</v>
      </c>
      <c r="C158" s="16">
        <v>0.50694444444444442</v>
      </c>
      <c r="D158" s="15" t="s">
        <v>34</v>
      </c>
      <c r="E158" s="15" t="s">
        <v>82</v>
      </c>
      <c r="F158" s="15" t="s">
        <v>455</v>
      </c>
      <c r="G158" s="298"/>
      <c r="H158" s="10"/>
      <c r="I158" s="11"/>
      <c r="J158" s="11"/>
      <c r="K158" s="11"/>
      <c r="L158" s="11"/>
      <c r="M158" s="11"/>
      <c r="N158" s="11"/>
      <c r="O158" s="12"/>
      <c r="P158" s="11"/>
      <c r="Q158" s="13"/>
      <c r="R158" s="14"/>
    </row>
    <row r="159" spans="1:18" ht="15" customHeight="1">
      <c r="A159" s="17" t="s">
        <v>26</v>
      </c>
      <c r="B159" s="17" t="s">
        <v>825</v>
      </c>
      <c r="C159" s="18">
        <v>0.69791666666666663</v>
      </c>
      <c r="D159" s="17" t="s">
        <v>451</v>
      </c>
      <c r="E159" s="17" t="s">
        <v>90</v>
      </c>
      <c r="F159" s="17" t="s">
        <v>35</v>
      </c>
      <c r="G159" s="298"/>
      <c r="H159" s="10"/>
      <c r="I159" s="11"/>
      <c r="J159" s="11"/>
      <c r="K159" s="11"/>
      <c r="L159" s="11"/>
      <c r="M159" s="11"/>
      <c r="N159" s="11"/>
      <c r="O159" s="12"/>
      <c r="P159" s="11"/>
      <c r="Q159" s="13"/>
      <c r="R159" s="14"/>
    </row>
    <row r="160" spans="1:18" ht="15" customHeight="1">
      <c r="A160" s="15" t="s">
        <v>26</v>
      </c>
      <c r="B160" s="15" t="s">
        <v>825</v>
      </c>
      <c r="C160" s="16">
        <v>0.69791666666666663</v>
      </c>
      <c r="D160" s="15" t="s">
        <v>28</v>
      </c>
      <c r="E160" s="15" t="s">
        <v>82</v>
      </c>
      <c r="F160" s="15" t="s">
        <v>35</v>
      </c>
      <c r="G160" s="298"/>
      <c r="H160" s="10"/>
      <c r="I160" s="11"/>
      <c r="J160" s="11"/>
      <c r="K160" s="11"/>
      <c r="L160" s="11"/>
      <c r="M160" s="11"/>
      <c r="N160" s="11"/>
      <c r="O160" s="12"/>
      <c r="P160" s="11"/>
      <c r="Q160" s="13"/>
      <c r="R160" s="14"/>
    </row>
    <row r="161" spans="1:18" ht="15" customHeight="1">
      <c r="A161" s="15" t="s">
        <v>26</v>
      </c>
      <c r="B161" s="15" t="s">
        <v>825</v>
      </c>
      <c r="C161" s="16">
        <v>0.69791666666666663</v>
      </c>
      <c r="D161" s="15" t="s">
        <v>31</v>
      </c>
      <c r="E161" s="15" t="s">
        <v>82</v>
      </c>
      <c r="F161" s="15" t="s">
        <v>467</v>
      </c>
      <c r="G161" s="298"/>
      <c r="H161" s="10"/>
      <c r="I161" s="11"/>
      <c r="J161" s="11"/>
      <c r="K161" s="11"/>
      <c r="L161" s="11"/>
      <c r="M161" s="11"/>
      <c r="N161" s="11"/>
      <c r="O161" s="12"/>
      <c r="P161" s="11"/>
      <c r="Q161" s="13"/>
      <c r="R161" s="14"/>
    </row>
    <row r="162" spans="1:18" ht="15" customHeight="1">
      <c r="A162" s="15" t="s">
        <v>26</v>
      </c>
      <c r="B162" s="15" t="s">
        <v>825</v>
      </c>
      <c r="C162" s="16">
        <v>0.69791666666666663</v>
      </c>
      <c r="D162" s="15" t="s">
        <v>34</v>
      </c>
      <c r="E162" s="15" t="s">
        <v>82</v>
      </c>
      <c r="F162" s="15" t="s">
        <v>455</v>
      </c>
      <c r="G162" s="298"/>
      <c r="H162" s="10"/>
      <c r="I162" s="11"/>
      <c r="J162" s="11"/>
      <c r="K162" s="11"/>
      <c r="L162" s="11"/>
      <c r="M162" s="11"/>
      <c r="N162" s="11"/>
      <c r="O162" s="12"/>
      <c r="P162" s="11"/>
      <c r="Q162" s="13"/>
      <c r="R162" s="14"/>
    </row>
    <row r="163" spans="1:18" ht="15" customHeight="1">
      <c r="A163" s="17" t="s">
        <v>26</v>
      </c>
      <c r="B163" s="17" t="s">
        <v>820</v>
      </c>
      <c r="C163" s="18">
        <v>0.4375</v>
      </c>
      <c r="D163" s="17" t="s">
        <v>451</v>
      </c>
      <c r="E163" s="17" t="s">
        <v>90</v>
      </c>
      <c r="F163" s="17" t="s">
        <v>355</v>
      </c>
      <c r="G163" s="298"/>
      <c r="H163" s="10"/>
      <c r="I163" s="11"/>
      <c r="J163" s="11"/>
      <c r="K163" s="11"/>
      <c r="L163" s="11"/>
      <c r="M163" s="11"/>
      <c r="N163" s="11"/>
      <c r="O163" s="12"/>
      <c r="P163" s="11"/>
      <c r="Q163" s="13"/>
      <c r="R163" s="14"/>
    </row>
    <row r="164" spans="1:18" ht="15" customHeight="1">
      <c r="A164" s="15" t="s">
        <v>26</v>
      </c>
      <c r="B164" s="15" t="s">
        <v>820</v>
      </c>
      <c r="C164" s="16">
        <v>0.4375</v>
      </c>
      <c r="D164" s="15" t="s">
        <v>28</v>
      </c>
      <c r="E164" s="15" t="s">
        <v>82</v>
      </c>
      <c r="F164" s="15" t="s">
        <v>355</v>
      </c>
      <c r="G164" s="298"/>
      <c r="H164" s="10"/>
      <c r="I164" s="11"/>
      <c r="J164" s="11"/>
      <c r="K164" s="11"/>
      <c r="L164" s="11"/>
      <c r="M164" s="11"/>
      <c r="N164" s="11"/>
      <c r="O164" s="12"/>
      <c r="P164" s="11"/>
      <c r="Q164" s="13"/>
      <c r="R164" s="14"/>
    </row>
    <row r="165" spans="1:18" ht="15" customHeight="1">
      <c r="A165" s="15" t="s">
        <v>26</v>
      </c>
      <c r="B165" s="15" t="s">
        <v>820</v>
      </c>
      <c r="C165" s="16">
        <v>0.4375</v>
      </c>
      <c r="D165" s="15" t="s">
        <v>31</v>
      </c>
      <c r="E165" s="15" t="s">
        <v>82</v>
      </c>
      <c r="F165" s="15" t="s">
        <v>160</v>
      </c>
      <c r="G165" s="298"/>
      <c r="H165" s="10"/>
      <c r="I165" s="11"/>
      <c r="J165" s="11"/>
      <c r="K165" s="11"/>
      <c r="L165" s="11"/>
      <c r="M165" s="11"/>
      <c r="N165" s="11"/>
      <c r="O165" s="12"/>
      <c r="P165" s="11"/>
      <c r="Q165" s="13"/>
      <c r="R165" s="14"/>
    </row>
    <row r="166" spans="1:18" ht="15" customHeight="1">
      <c r="A166" s="15" t="s">
        <v>26</v>
      </c>
      <c r="B166" s="15" t="s">
        <v>820</v>
      </c>
      <c r="C166" s="16">
        <v>0.4375</v>
      </c>
      <c r="D166" s="15" t="s">
        <v>34</v>
      </c>
      <c r="E166" s="15" t="s">
        <v>82</v>
      </c>
      <c r="F166" s="15" t="s">
        <v>866</v>
      </c>
      <c r="G166" s="298"/>
      <c r="H166" s="10"/>
      <c r="I166" s="11"/>
      <c r="J166" s="11"/>
      <c r="K166" s="11"/>
      <c r="L166" s="11"/>
      <c r="M166" s="11"/>
      <c r="N166" s="11"/>
      <c r="O166" s="12"/>
      <c r="P166" s="11"/>
      <c r="Q166" s="13"/>
      <c r="R166" s="14"/>
    </row>
    <row r="167" spans="1:18" ht="15" customHeight="1">
      <c r="A167" s="17" t="s">
        <v>26</v>
      </c>
      <c r="B167" s="17" t="s">
        <v>826</v>
      </c>
      <c r="C167" s="18">
        <v>0.95833333333333337</v>
      </c>
      <c r="D167" s="17" t="s">
        <v>28</v>
      </c>
      <c r="E167" s="17" t="s">
        <v>90</v>
      </c>
      <c r="F167" s="17" t="s">
        <v>355</v>
      </c>
      <c r="G167" s="298"/>
      <c r="H167" s="10"/>
      <c r="I167" s="11"/>
      <c r="J167" s="11"/>
      <c r="K167" s="11"/>
      <c r="L167" s="11"/>
      <c r="M167" s="11"/>
      <c r="N167" s="11"/>
      <c r="O167" s="12"/>
      <c r="P167" s="11"/>
      <c r="Q167" s="13"/>
      <c r="R167" s="14"/>
    </row>
    <row r="168" spans="1:18" ht="15" customHeight="1">
      <c r="A168" s="15" t="s">
        <v>26</v>
      </c>
      <c r="B168" s="15" t="s">
        <v>826</v>
      </c>
      <c r="C168" s="16">
        <v>0.95833333333333337</v>
      </c>
      <c r="D168" s="15" t="s">
        <v>31</v>
      </c>
      <c r="E168" s="15" t="s">
        <v>82</v>
      </c>
      <c r="F168" s="15" t="s">
        <v>160</v>
      </c>
      <c r="G168" s="298"/>
      <c r="H168" s="10"/>
      <c r="I168" s="11"/>
      <c r="J168" s="11"/>
      <c r="K168" s="11"/>
      <c r="L168" s="11"/>
      <c r="M168" s="11"/>
      <c r="N168" s="11"/>
      <c r="O168" s="12"/>
      <c r="P168" s="11"/>
      <c r="Q168" s="13"/>
      <c r="R168" s="14"/>
    </row>
    <row r="169" spans="1:18" ht="15" customHeight="1">
      <c r="A169" s="15" t="s">
        <v>26</v>
      </c>
      <c r="B169" s="15" t="s">
        <v>826</v>
      </c>
      <c r="C169" s="16">
        <v>0.95833333333333337</v>
      </c>
      <c r="D169" s="15" t="s">
        <v>34</v>
      </c>
      <c r="E169" s="15" t="s">
        <v>82</v>
      </c>
      <c r="F169" s="15" t="s">
        <v>866</v>
      </c>
      <c r="G169" s="298"/>
      <c r="H169" s="10"/>
      <c r="I169" s="11"/>
      <c r="J169" s="11"/>
      <c r="K169" s="11"/>
      <c r="L169" s="11"/>
      <c r="M169" s="11"/>
      <c r="N169" s="11"/>
      <c r="O169" s="12"/>
      <c r="P169" s="11"/>
      <c r="Q169" s="13"/>
      <c r="R169" s="14"/>
    </row>
    <row r="170" spans="1:18" ht="15" customHeight="1">
      <c r="A170" s="17" t="s">
        <v>26</v>
      </c>
      <c r="B170" s="17" t="s">
        <v>821</v>
      </c>
      <c r="C170" s="18">
        <v>0.63194444444444442</v>
      </c>
      <c r="D170" s="17" t="s">
        <v>451</v>
      </c>
      <c r="E170" s="17" t="s">
        <v>90</v>
      </c>
      <c r="F170" s="17" t="s">
        <v>355</v>
      </c>
      <c r="G170" s="298"/>
      <c r="H170" s="10"/>
      <c r="I170" s="11"/>
      <c r="J170" s="11"/>
      <c r="K170" s="11"/>
      <c r="L170" s="11"/>
      <c r="M170" s="11"/>
      <c r="N170" s="11"/>
      <c r="O170" s="12"/>
      <c r="P170" s="11"/>
      <c r="Q170" s="13"/>
      <c r="R170" s="14"/>
    </row>
    <row r="171" spans="1:18" ht="15" customHeight="1">
      <c r="A171" s="15" t="s">
        <v>26</v>
      </c>
      <c r="B171" s="15" t="s">
        <v>821</v>
      </c>
      <c r="C171" s="16">
        <v>0.63194444444444442</v>
      </c>
      <c r="D171" s="15" t="s">
        <v>28</v>
      </c>
      <c r="E171" s="15" t="s">
        <v>82</v>
      </c>
      <c r="F171" s="15" t="s">
        <v>355</v>
      </c>
      <c r="G171" s="298"/>
      <c r="H171" s="10"/>
      <c r="I171" s="11"/>
      <c r="J171" s="11"/>
      <c r="K171" s="11"/>
      <c r="L171" s="11"/>
      <c r="M171" s="11"/>
      <c r="N171" s="11"/>
      <c r="O171" s="12"/>
      <c r="P171" s="11"/>
      <c r="Q171" s="13"/>
      <c r="R171" s="14"/>
    </row>
    <row r="172" spans="1:18" ht="15" customHeight="1">
      <c r="A172" s="15" t="s">
        <v>26</v>
      </c>
      <c r="B172" s="15" t="s">
        <v>821</v>
      </c>
      <c r="C172" s="16">
        <v>0.63194444444444442</v>
      </c>
      <c r="D172" s="15" t="s">
        <v>31</v>
      </c>
      <c r="E172" s="15" t="s">
        <v>82</v>
      </c>
      <c r="F172" s="15" t="s">
        <v>160</v>
      </c>
      <c r="G172" s="298"/>
      <c r="H172" s="10"/>
      <c r="I172" s="11"/>
      <c r="J172" s="11"/>
      <c r="K172" s="11"/>
      <c r="L172" s="11"/>
      <c r="M172" s="11"/>
      <c r="N172" s="11"/>
      <c r="O172" s="12"/>
      <c r="P172" s="11"/>
      <c r="Q172" s="13"/>
      <c r="R172" s="14"/>
    </row>
    <row r="173" spans="1:18" ht="15" customHeight="1">
      <c r="A173" s="15" t="s">
        <v>26</v>
      </c>
      <c r="B173" s="15" t="s">
        <v>821</v>
      </c>
      <c r="C173" s="16">
        <v>0.63194444444444442</v>
      </c>
      <c r="D173" s="15" t="s">
        <v>34</v>
      </c>
      <c r="E173" s="15" t="s">
        <v>82</v>
      </c>
      <c r="F173" s="15" t="s">
        <v>866</v>
      </c>
      <c r="G173" s="298"/>
      <c r="H173" s="10"/>
      <c r="I173" s="11"/>
      <c r="J173" s="11"/>
      <c r="K173" s="11"/>
      <c r="L173" s="11"/>
      <c r="M173" s="11"/>
      <c r="N173" s="11"/>
      <c r="O173" s="12"/>
      <c r="P173" s="11"/>
      <c r="Q173" s="13"/>
      <c r="R173" s="14"/>
    </row>
    <row r="174" spans="1:18" ht="15" customHeight="1">
      <c r="A174" s="17" t="s">
        <v>26</v>
      </c>
      <c r="B174" s="17" t="s">
        <v>823</v>
      </c>
      <c r="C174" s="18">
        <v>0.81944444444444453</v>
      </c>
      <c r="D174" s="17" t="s">
        <v>451</v>
      </c>
      <c r="E174" s="17" t="s">
        <v>98</v>
      </c>
      <c r="F174" s="17" t="s">
        <v>355</v>
      </c>
      <c r="G174" s="298"/>
      <c r="H174" s="10"/>
      <c r="I174" s="11"/>
      <c r="J174" s="11"/>
      <c r="K174" s="11"/>
      <c r="L174" s="11"/>
      <c r="M174" s="11"/>
      <c r="N174" s="11"/>
      <c r="O174" s="12"/>
      <c r="P174" s="11"/>
      <c r="Q174" s="13"/>
      <c r="R174" s="14"/>
    </row>
    <row r="175" spans="1:18" ht="15" customHeight="1">
      <c r="A175" s="15" t="s">
        <v>26</v>
      </c>
      <c r="B175" s="15" t="s">
        <v>823</v>
      </c>
      <c r="C175" s="16">
        <v>0.81944444444444453</v>
      </c>
      <c r="D175" s="15" t="s">
        <v>28</v>
      </c>
      <c r="E175" s="15" t="s">
        <v>99</v>
      </c>
      <c r="F175" s="15" t="s">
        <v>355</v>
      </c>
      <c r="G175" s="298"/>
      <c r="H175" s="10"/>
      <c r="I175" s="11"/>
      <c r="J175" s="11"/>
      <c r="K175" s="11"/>
      <c r="L175" s="11"/>
      <c r="M175" s="11"/>
      <c r="N175" s="11"/>
      <c r="O175" s="12"/>
      <c r="P175" s="11"/>
      <c r="Q175" s="13"/>
      <c r="R175" s="14"/>
    </row>
    <row r="176" spans="1:18" ht="15" customHeight="1">
      <c r="A176" s="15" t="s">
        <v>26</v>
      </c>
      <c r="B176" s="15" t="s">
        <v>823</v>
      </c>
      <c r="C176" s="16">
        <v>0.81944444444444453</v>
      </c>
      <c r="D176" s="15" t="s">
        <v>31</v>
      </c>
      <c r="E176" s="15" t="s">
        <v>99</v>
      </c>
      <c r="F176" s="15" t="s">
        <v>160</v>
      </c>
      <c r="G176" s="298"/>
      <c r="H176" s="10"/>
      <c r="I176" s="11"/>
      <c r="J176" s="11"/>
      <c r="K176" s="11"/>
      <c r="L176" s="11"/>
      <c r="M176" s="11"/>
      <c r="N176" s="11"/>
      <c r="O176" s="12"/>
      <c r="P176" s="11"/>
      <c r="Q176" s="13"/>
      <c r="R176" s="14"/>
    </row>
    <row r="177" spans="1:18" ht="15" customHeight="1">
      <c r="A177" s="15" t="s">
        <v>26</v>
      </c>
      <c r="B177" s="15" t="s">
        <v>823</v>
      </c>
      <c r="C177" s="16">
        <v>0.81944444444444453</v>
      </c>
      <c r="D177" s="15" t="s">
        <v>34</v>
      </c>
      <c r="E177" s="15" t="s">
        <v>99</v>
      </c>
      <c r="F177" s="15" t="s">
        <v>866</v>
      </c>
      <c r="G177" s="298"/>
      <c r="H177" s="10"/>
      <c r="I177" s="11"/>
      <c r="J177" s="11"/>
      <c r="K177" s="11"/>
      <c r="L177" s="11"/>
      <c r="M177" s="11"/>
      <c r="N177" s="11"/>
      <c r="O177" s="12"/>
      <c r="P177" s="11"/>
      <c r="Q177" s="13"/>
      <c r="R177" s="14"/>
    </row>
    <row r="178" spans="1:18" ht="15" customHeight="1">
      <c r="A178" s="19" t="s">
        <v>68</v>
      </c>
      <c r="B178" s="19" t="s">
        <v>843</v>
      </c>
      <c r="C178" s="20">
        <v>0.35416666666666669</v>
      </c>
      <c r="D178" s="19" t="s">
        <v>70</v>
      </c>
      <c r="E178" s="19" t="s">
        <v>51</v>
      </c>
      <c r="F178" s="19" t="s">
        <v>466</v>
      </c>
      <c r="G178" s="298"/>
      <c r="H178" s="10"/>
      <c r="I178" s="11"/>
      <c r="J178" s="11"/>
      <c r="K178" s="11"/>
      <c r="L178" s="11"/>
      <c r="M178" s="11"/>
      <c r="N178" s="11"/>
      <c r="O178" s="12"/>
      <c r="P178" s="11"/>
      <c r="Q178" s="13"/>
      <c r="R178" s="14"/>
    </row>
    <row r="179" spans="1:18" ht="15" customHeight="1">
      <c r="A179" s="17" t="s">
        <v>68</v>
      </c>
      <c r="B179" s="17" t="s">
        <v>842</v>
      </c>
      <c r="C179" s="18">
        <v>0.98263888888888884</v>
      </c>
      <c r="D179" s="17" t="s">
        <v>70</v>
      </c>
      <c r="E179" s="17" t="s">
        <v>57</v>
      </c>
      <c r="F179" s="17" t="s">
        <v>867</v>
      </c>
      <c r="G179" s="298"/>
      <c r="H179" s="10"/>
      <c r="I179" s="11"/>
      <c r="J179" s="11"/>
      <c r="K179" s="11"/>
      <c r="L179" s="11"/>
      <c r="M179" s="11"/>
      <c r="N179" s="11"/>
      <c r="O179" s="12"/>
      <c r="P179" s="11"/>
      <c r="Q179" s="13"/>
      <c r="R179" s="14"/>
    </row>
    <row r="180" spans="1:18" ht="15" customHeight="1">
      <c r="A180" s="17" t="s">
        <v>68</v>
      </c>
      <c r="B180" s="17" t="s">
        <v>844</v>
      </c>
      <c r="C180" s="18">
        <v>0.72916666666666663</v>
      </c>
      <c r="D180" s="17" t="s">
        <v>70</v>
      </c>
      <c r="E180" s="17" t="s">
        <v>57</v>
      </c>
      <c r="F180" s="17" t="s">
        <v>868</v>
      </c>
      <c r="G180" s="298"/>
      <c r="H180" s="10"/>
      <c r="I180" s="11"/>
      <c r="J180" s="11"/>
      <c r="K180" s="11"/>
      <c r="L180" s="11"/>
      <c r="M180" s="11"/>
      <c r="N180" s="11"/>
      <c r="O180" s="12"/>
      <c r="P180" s="11"/>
      <c r="Q180" s="13"/>
      <c r="R180" s="14"/>
    </row>
    <row r="181" spans="1:18" ht="15" customHeight="1">
      <c r="A181" s="19" t="s">
        <v>48</v>
      </c>
      <c r="B181" s="19" t="s">
        <v>831</v>
      </c>
      <c r="C181" s="20">
        <v>0.98263888888888884</v>
      </c>
      <c r="D181" s="19" t="s">
        <v>70</v>
      </c>
      <c r="E181" s="19" t="s">
        <v>51</v>
      </c>
      <c r="F181" s="19" t="s">
        <v>860</v>
      </c>
      <c r="G181" s="298"/>
      <c r="H181" s="10"/>
      <c r="I181" s="11"/>
      <c r="J181" s="11"/>
      <c r="K181" s="11"/>
      <c r="L181" s="11"/>
      <c r="M181" s="11"/>
      <c r="N181" s="11"/>
      <c r="O181" s="12"/>
      <c r="P181" s="11"/>
      <c r="Q181" s="13"/>
      <c r="R181" s="14"/>
    </row>
    <row r="182" spans="1:18" ht="15" customHeight="1">
      <c r="A182" s="15" t="s">
        <v>48</v>
      </c>
      <c r="B182" s="15" t="s">
        <v>831</v>
      </c>
      <c r="C182" s="16">
        <v>0.98263888888888884</v>
      </c>
      <c r="D182" s="15" t="s">
        <v>53</v>
      </c>
      <c r="E182" s="15" t="s">
        <v>54</v>
      </c>
      <c r="F182" s="15" t="s">
        <v>860</v>
      </c>
      <c r="G182" s="298"/>
      <c r="H182" s="10"/>
      <c r="I182" s="11"/>
      <c r="J182" s="11"/>
      <c r="K182" s="11"/>
      <c r="L182" s="11"/>
      <c r="M182" s="11"/>
      <c r="N182" s="11"/>
      <c r="O182" s="12"/>
      <c r="P182" s="11"/>
      <c r="Q182" s="13"/>
      <c r="R182" s="14"/>
    </row>
    <row r="183" spans="1:18" ht="15" customHeight="1">
      <c r="A183" s="17" t="s">
        <v>48</v>
      </c>
      <c r="B183" s="17" t="s">
        <v>828</v>
      </c>
      <c r="C183" s="18">
        <v>0.82986111111111116</v>
      </c>
      <c r="D183" s="17" t="s">
        <v>70</v>
      </c>
      <c r="E183" s="17" t="s">
        <v>57</v>
      </c>
      <c r="F183" s="17" t="s">
        <v>869</v>
      </c>
      <c r="G183" s="298"/>
      <c r="H183" s="10"/>
      <c r="I183" s="11"/>
      <c r="J183" s="11"/>
      <c r="K183" s="11"/>
      <c r="L183" s="11"/>
      <c r="M183" s="11"/>
      <c r="N183" s="11"/>
      <c r="O183" s="12"/>
      <c r="P183" s="11"/>
      <c r="Q183" s="13"/>
      <c r="R183" s="14"/>
    </row>
    <row r="184" spans="1:18" ht="15" customHeight="1">
      <c r="A184" s="15" t="s">
        <v>48</v>
      </c>
      <c r="B184" s="15" t="s">
        <v>828</v>
      </c>
      <c r="C184" s="16">
        <v>0.82986111111111116</v>
      </c>
      <c r="D184" s="15" t="s">
        <v>53</v>
      </c>
      <c r="E184" s="15" t="s">
        <v>54</v>
      </c>
      <c r="F184" s="15" t="s">
        <v>869</v>
      </c>
      <c r="G184" s="298"/>
      <c r="H184" s="10"/>
      <c r="I184" s="11"/>
      <c r="J184" s="11"/>
      <c r="K184" s="11"/>
      <c r="L184" s="11"/>
      <c r="M184" s="11"/>
      <c r="N184" s="11"/>
      <c r="O184" s="12"/>
      <c r="P184" s="11"/>
      <c r="Q184" s="13"/>
      <c r="R184" s="14"/>
    </row>
    <row r="185" spans="1:18" ht="15" customHeight="1">
      <c r="A185" s="17" t="s">
        <v>48</v>
      </c>
      <c r="B185" s="17" t="s">
        <v>832</v>
      </c>
      <c r="C185" s="18">
        <v>0.62847222222222221</v>
      </c>
      <c r="D185" s="17" t="s">
        <v>70</v>
      </c>
      <c r="E185" s="17" t="s">
        <v>57</v>
      </c>
      <c r="F185" s="17" t="s">
        <v>869</v>
      </c>
      <c r="G185" s="298"/>
      <c r="H185" s="10"/>
      <c r="I185" s="11"/>
      <c r="J185" s="11"/>
      <c r="K185" s="11"/>
      <c r="L185" s="11"/>
      <c r="M185" s="11"/>
      <c r="N185" s="11"/>
      <c r="O185" s="12"/>
      <c r="P185" s="11"/>
      <c r="Q185" s="13"/>
      <c r="R185" s="14"/>
    </row>
    <row r="186" spans="1:18" ht="15" customHeight="1">
      <c r="A186" s="15" t="s">
        <v>48</v>
      </c>
      <c r="B186" s="15" t="s">
        <v>832</v>
      </c>
      <c r="C186" s="16">
        <v>0.62847222222222221</v>
      </c>
      <c r="D186" s="15" t="s">
        <v>53</v>
      </c>
      <c r="E186" s="15" t="s">
        <v>54</v>
      </c>
      <c r="F186" s="15" t="s">
        <v>869</v>
      </c>
      <c r="G186" s="298"/>
      <c r="H186" s="10"/>
      <c r="I186" s="11"/>
      <c r="J186" s="11"/>
      <c r="K186" s="11"/>
      <c r="L186" s="11"/>
      <c r="M186" s="11"/>
      <c r="N186" s="11"/>
      <c r="O186" s="12"/>
      <c r="P186" s="11"/>
      <c r="Q186" s="13"/>
      <c r="R186" s="14"/>
    </row>
    <row r="187" spans="1:18" ht="15" customHeight="1">
      <c r="A187" s="17" t="s">
        <v>48</v>
      </c>
      <c r="B187" s="17" t="s">
        <v>833</v>
      </c>
      <c r="C187" s="18">
        <v>0.44444444444444442</v>
      </c>
      <c r="D187" s="17" t="s">
        <v>70</v>
      </c>
      <c r="E187" s="17" t="s">
        <v>57</v>
      </c>
      <c r="F187" s="17" t="s">
        <v>870</v>
      </c>
      <c r="G187" s="298"/>
      <c r="H187" s="10"/>
      <c r="I187" s="11"/>
      <c r="J187" s="11"/>
      <c r="K187" s="11"/>
      <c r="L187" s="11"/>
      <c r="M187" s="11"/>
      <c r="N187" s="11"/>
      <c r="O187" s="12"/>
      <c r="P187" s="11"/>
      <c r="Q187" s="13"/>
      <c r="R187" s="14"/>
    </row>
    <row r="188" spans="1:18" ht="15" customHeight="1">
      <c r="A188" s="15" t="s">
        <v>48</v>
      </c>
      <c r="B188" s="15" t="s">
        <v>833</v>
      </c>
      <c r="C188" s="16">
        <v>0.44444444444444442</v>
      </c>
      <c r="D188" s="15" t="s">
        <v>53</v>
      </c>
      <c r="E188" s="15" t="s">
        <v>54</v>
      </c>
      <c r="F188" s="15" t="s">
        <v>870</v>
      </c>
      <c r="G188" s="298"/>
      <c r="H188" s="10"/>
      <c r="I188" s="11"/>
      <c r="J188" s="11"/>
      <c r="K188" s="11"/>
      <c r="L188" s="11"/>
      <c r="M188" s="11"/>
      <c r="N188" s="11"/>
      <c r="O188" s="12"/>
      <c r="P188" s="11"/>
      <c r="Q188" s="13"/>
      <c r="R188" s="14"/>
    </row>
    <row r="189" spans="1:18" ht="15" customHeight="1">
      <c r="A189" s="17" t="s">
        <v>48</v>
      </c>
      <c r="B189" s="17" t="s">
        <v>835</v>
      </c>
      <c r="C189" s="18">
        <v>0.88888888888888884</v>
      </c>
      <c r="D189" s="17" t="s">
        <v>70</v>
      </c>
      <c r="E189" s="17" t="s">
        <v>37</v>
      </c>
      <c r="F189" s="17" t="s">
        <v>871</v>
      </c>
      <c r="G189" s="298"/>
      <c r="H189" s="10"/>
      <c r="I189" s="11"/>
      <c r="J189" s="11"/>
      <c r="K189" s="11"/>
      <c r="L189" s="11"/>
      <c r="M189" s="11"/>
      <c r="N189" s="11"/>
      <c r="O189" s="12"/>
      <c r="P189" s="11"/>
      <c r="Q189" s="13"/>
      <c r="R189" s="14"/>
    </row>
    <row r="190" spans="1:18" ht="15" customHeight="1">
      <c r="A190" s="15" t="s">
        <v>48</v>
      </c>
      <c r="B190" s="15" t="s">
        <v>835</v>
      </c>
      <c r="C190" s="16">
        <v>0.88888888888888884</v>
      </c>
      <c r="D190" s="15" t="s">
        <v>53</v>
      </c>
      <c r="E190" s="15" t="s">
        <v>32</v>
      </c>
      <c r="F190" s="15" t="s">
        <v>871</v>
      </c>
      <c r="G190" s="298"/>
      <c r="H190" s="10"/>
      <c r="I190" s="11"/>
      <c r="J190" s="11"/>
      <c r="K190" s="11"/>
      <c r="L190" s="11"/>
      <c r="M190" s="11"/>
      <c r="N190" s="11"/>
      <c r="O190" s="12"/>
      <c r="P190" s="11"/>
      <c r="Q190" s="13"/>
      <c r="R190" s="14"/>
    </row>
    <row r="191" spans="1:18" ht="15" customHeight="1">
      <c r="A191" s="17" t="s">
        <v>48</v>
      </c>
      <c r="B191" s="17" t="s">
        <v>837</v>
      </c>
      <c r="C191" s="18">
        <v>0.62847222222222221</v>
      </c>
      <c r="D191" s="17" t="s">
        <v>70</v>
      </c>
      <c r="E191" s="17" t="s">
        <v>37</v>
      </c>
      <c r="F191" s="17" t="s">
        <v>871</v>
      </c>
      <c r="G191" s="298"/>
      <c r="H191" s="10"/>
      <c r="I191" s="11"/>
      <c r="J191" s="11"/>
      <c r="K191" s="11"/>
      <c r="L191" s="11"/>
      <c r="M191" s="11"/>
      <c r="N191" s="11"/>
      <c r="O191" s="12"/>
      <c r="P191" s="11"/>
      <c r="Q191" s="13"/>
      <c r="R191" s="14"/>
    </row>
    <row r="192" spans="1:18" ht="15" customHeight="1">
      <c r="A192" s="15" t="s">
        <v>48</v>
      </c>
      <c r="B192" s="15" t="s">
        <v>837</v>
      </c>
      <c r="C192" s="16">
        <v>0.62847222222222221</v>
      </c>
      <c r="D192" s="15" t="s">
        <v>53</v>
      </c>
      <c r="E192" s="15" t="s">
        <v>32</v>
      </c>
      <c r="F192" s="15" t="s">
        <v>871</v>
      </c>
      <c r="G192" s="298"/>
      <c r="H192" s="10"/>
      <c r="I192" s="11"/>
      <c r="J192" s="11"/>
      <c r="K192" s="11"/>
      <c r="L192" s="11"/>
      <c r="M192" s="11"/>
      <c r="N192" s="11"/>
      <c r="O192" s="12"/>
      <c r="P192" s="11"/>
      <c r="Q192" s="13"/>
      <c r="R192" s="14"/>
    </row>
    <row r="193" spans="1:18" ht="15" customHeight="1">
      <c r="A193" s="17" t="s">
        <v>48</v>
      </c>
      <c r="B193" s="17" t="s">
        <v>838</v>
      </c>
      <c r="C193" s="18">
        <v>0.94444444444444453</v>
      </c>
      <c r="D193" s="17" t="s">
        <v>70</v>
      </c>
      <c r="E193" s="17" t="s">
        <v>37</v>
      </c>
      <c r="F193" s="17" t="s">
        <v>871</v>
      </c>
      <c r="G193" s="298"/>
      <c r="H193" s="10"/>
      <c r="I193" s="11"/>
      <c r="J193" s="11"/>
      <c r="K193" s="11"/>
      <c r="L193" s="11"/>
      <c r="M193" s="11"/>
      <c r="N193" s="11"/>
      <c r="O193" s="12"/>
      <c r="P193" s="11"/>
      <c r="Q193" s="13"/>
      <c r="R193" s="14"/>
    </row>
    <row r="194" spans="1:18" ht="15" customHeight="1" thickBot="1">
      <c r="A194" s="76" t="s">
        <v>48</v>
      </c>
      <c r="B194" s="76" t="s">
        <v>838</v>
      </c>
      <c r="C194" s="77">
        <v>0.94444444444444453</v>
      </c>
      <c r="D194" s="76" t="s">
        <v>53</v>
      </c>
      <c r="E194" s="76" t="s">
        <v>32</v>
      </c>
      <c r="F194" s="76" t="s">
        <v>871</v>
      </c>
      <c r="G194" s="299"/>
      <c r="H194" s="300"/>
      <c r="I194" s="140"/>
      <c r="J194" s="140"/>
      <c r="K194" s="140"/>
      <c r="L194" s="140"/>
      <c r="M194" s="140"/>
      <c r="N194" s="140"/>
      <c r="O194" s="141"/>
      <c r="P194" s="140"/>
      <c r="Q194" s="142"/>
      <c r="R194" s="301"/>
    </row>
    <row r="195" spans="1:18" ht="17.45" customHeight="1" thickBot="1">
      <c r="A195" s="283"/>
      <c r="B195" s="284"/>
      <c r="C195" s="284"/>
      <c r="D195" s="284"/>
      <c r="E195" s="284"/>
      <c r="F195" s="284"/>
      <c r="G195" s="284"/>
      <c r="H195" s="284"/>
      <c r="I195" s="284"/>
      <c r="J195" s="284"/>
      <c r="K195" s="284"/>
      <c r="L195" s="284"/>
      <c r="M195" s="284"/>
      <c r="N195" s="284"/>
      <c r="O195" s="284"/>
      <c r="P195" s="284"/>
      <c r="Q195" s="284"/>
      <c r="R195" s="285"/>
    </row>
    <row r="196" spans="1:18" ht="22.15" customHeight="1" thickTop="1" thickBot="1">
      <c r="A196" s="279" t="s">
        <v>6</v>
      </c>
      <c r="B196" s="295"/>
      <c r="C196" s="295"/>
      <c r="D196" s="295"/>
      <c r="E196" s="295"/>
      <c r="F196" s="296"/>
      <c r="G196" s="32">
        <v>46026</v>
      </c>
      <c r="H196" s="278" t="s">
        <v>7</v>
      </c>
      <c r="I196" s="295"/>
      <c r="J196" s="295"/>
      <c r="K196" s="295"/>
      <c r="L196" s="295"/>
      <c r="M196" s="295"/>
      <c r="N196" s="295"/>
      <c r="O196" s="295"/>
      <c r="P196" s="295"/>
      <c r="Q196" s="295"/>
      <c r="R196" s="296"/>
    </row>
    <row r="197" spans="1:18" ht="24" customHeight="1">
      <c r="A197" s="33" t="s">
        <v>8</v>
      </c>
      <c r="B197" s="33" t="s">
        <v>9</v>
      </c>
      <c r="C197" s="34" t="s">
        <v>10</v>
      </c>
      <c r="D197" s="33" t="s">
        <v>11</v>
      </c>
      <c r="E197" s="33" t="s">
        <v>12</v>
      </c>
      <c r="F197" s="35" t="s">
        <v>13</v>
      </c>
      <c r="G197" s="36" t="s">
        <v>14</v>
      </c>
      <c r="H197" s="33" t="s">
        <v>15</v>
      </c>
      <c r="I197" s="37" t="s">
        <v>16</v>
      </c>
      <c r="J197" s="38" t="s">
        <v>17</v>
      </c>
      <c r="K197" s="39" t="s">
        <v>18</v>
      </c>
      <c r="L197" s="38" t="s">
        <v>19</v>
      </c>
      <c r="M197" s="38" t="s">
        <v>20</v>
      </c>
      <c r="N197" s="38" t="s">
        <v>21</v>
      </c>
      <c r="O197" s="33" t="s">
        <v>22</v>
      </c>
      <c r="P197" s="34" t="s">
        <v>23</v>
      </c>
      <c r="Q197" s="38" t="s">
        <v>24</v>
      </c>
      <c r="R197" s="33" t="s">
        <v>25</v>
      </c>
    </row>
    <row r="198" spans="1:18" ht="15" customHeight="1">
      <c r="A198" s="8" t="s">
        <v>38</v>
      </c>
      <c r="B198" s="8" t="s">
        <v>812</v>
      </c>
      <c r="C198" s="9">
        <v>0.88888888888888884</v>
      </c>
      <c r="D198" s="8" t="s">
        <v>40</v>
      </c>
      <c r="E198" s="8" t="s">
        <v>181</v>
      </c>
      <c r="F198" s="8" t="s">
        <v>475</v>
      </c>
      <c r="G198" s="297"/>
      <c r="H198" s="10"/>
      <c r="I198" s="11"/>
      <c r="J198" s="11"/>
      <c r="K198" s="11"/>
      <c r="L198" s="11"/>
      <c r="M198" s="11"/>
      <c r="N198" s="11"/>
      <c r="O198" s="12"/>
      <c r="P198" s="11"/>
      <c r="Q198" s="13"/>
      <c r="R198" s="14"/>
    </row>
    <row r="199" spans="1:18" ht="15" customHeight="1">
      <c r="A199" s="15" t="s">
        <v>38</v>
      </c>
      <c r="B199" s="15" t="s">
        <v>812</v>
      </c>
      <c r="C199" s="16">
        <v>0.88888888888888884</v>
      </c>
      <c r="D199" s="15" t="s">
        <v>43</v>
      </c>
      <c r="E199" s="15" t="s">
        <v>182</v>
      </c>
      <c r="F199" s="15" t="s">
        <v>121</v>
      </c>
      <c r="G199" s="298"/>
      <c r="H199" s="10"/>
      <c r="I199" s="11"/>
      <c r="J199" s="11"/>
      <c r="K199" s="11"/>
      <c r="L199" s="11"/>
      <c r="M199" s="11"/>
      <c r="N199" s="11"/>
      <c r="O199" s="12"/>
      <c r="P199" s="11"/>
      <c r="Q199" s="13"/>
      <c r="R199" s="14"/>
    </row>
    <row r="200" spans="1:18" ht="15" customHeight="1">
      <c r="A200" s="15" t="s">
        <v>38</v>
      </c>
      <c r="B200" s="15" t="s">
        <v>812</v>
      </c>
      <c r="C200" s="16">
        <v>0.88888888888888884</v>
      </c>
      <c r="D200" s="15" t="s">
        <v>46</v>
      </c>
      <c r="E200" s="15" t="s">
        <v>182</v>
      </c>
      <c r="F200" s="15" t="s">
        <v>810</v>
      </c>
      <c r="G200" s="298"/>
      <c r="H200" s="10"/>
      <c r="I200" s="11"/>
      <c r="J200" s="11"/>
      <c r="K200" s="11"/>
      <c r="L200" s="11"/>
      <c r="M200" s="11"/>
      <c r="N200" s="11"/>
      <c r="O200" s="12"/>
      <c r="P200" s="11"/>
      <c r="Q200" s="13"/>
      <c r="R200" s="14"/>
    </row>
    <row r="201" spans="1:18" ht="15" customHeight="1">
      <c r="A201" s="17" t="s">
        <v>38</v>
      </c>
      <c r="B201" s="17" t="s">
        <v>813</v>
      </c>
      <c r="C201" s="18">
        <v>0.94444444444444453</v>
      </c>
      <c r="D201" s="17" t="s">
        <v>40</v>
      </c>
      <c r="E201" s="17" t="s">
        <v>458</v>
      </c>
      <c r="F201" s="17" t="s">
        <v>872</v>
      </c>
      <c r="G201" s="298"/>
      <c r="H201" s="10"/>
      <c r="I201" s="11"/>
      <c r="J201" s="11"/>
      <c r="K201" s="11"/>
      <c r="L201" s="11"/>
      <c r="M201" s="11"/>
      <c r="N201" s="11"/>
      <c r="O201" s="12"/>
      <c r="P201" s="11"/>
      <c r="Q201" s="13"/>
      <c r="R201" s="14"/>
    </row>
    <row r="202" spans="1:18" ht="15" customHeight="1">
      <c r="A202" s="15" t="s">
        <v>38</v>
      </c>
      <c r="B202" s="15" t="s">
        <v>813</v>
      </c>
      <c r="C202" s="16">
        <v>0.94444444444444453</v>
      </c>
      <c r="D202" s="15" t="s">
        <v>43</v>
      </c>
      <c r="E202" s="15" t="s">
        <v>155</v>
      </c>
      <c r="F202" s="15" t="s">
        <v>349</v>
      </c>
      <c r="G202" s="298"/>
      <c r="H202" s="10"/>
      <c r="I202" s="11"/>
      <c r="J202" s="11"/>
      <c r="K202" s="11"/>
      <c r="L202" s="11"/>
      <c r="M202" s="11"/>
      <c r="N202" s="11"/>
      <c r="O202" s="12"/>
      <c r="P202" s="11"/>
      <c r="Q202" s="13"/>
      <c r="R202" s="14"/>
    </row>
    <row r="203" spans="1:18" ht="15" customHeight="1">
      <c r="A203" s="15" t="s">
        <v>38</v>
      </c>
      <c r="B203" s="15" t="s">
        <v>813</v>
      </c>
      <c r="C203" s="16">
        <v>0.94444444444444453</v>
      </c>
      <c r="D203" s="15" t="s">
        <v>46</v>
      </c>
      <c r="E203" s="15" t="s">
        <v>155</v>
      </c>
      <c r="F203" s="15" t="s">
        <v>810</v>
      </c>
      <c r="G203" s="298"/>
      <c r="H203" s="10"/>
      <c r="I203" s="11"/>
      <c r="J203" s="11"/>
      <c r="K203" s="11"/>
      <c r="L203" s="11"/>
      <c r="M203" s="11"/>
      <c r="N203" s="11"/>
      <c r="O203" s="12"/>
      <c r="P203" s="11"/>
      <c r="Q203" s="13"/>
      <c r="R203" s="14"/>
    </row>
    <row r="204" spans="1:18" ht="15" customHeight="1">
      <c r="A204" s="17" t="s">
        <v>38</v>
      </c>
      <c r="B204" s="17" t="s">
        <v>809</v>
      </c>
      <c r="C204" s="18">
        <v>0.57638888888888895</v>
      </c>
      <c r="D204" s="17" t="s">
        <v>40</v>
      </c>
      <c r="E204" s="17" t="s">
        <v>458</v>
      </c>
      <c r="F204" s="17" t="s">
        <v>848</v>
      </c>
      <c r="G204" s="298"/>
      <c r="H204" s="10"/>
      <c r="I204" s="11"/>
      <c r="J204" s="11"/>
      <c r="K204" s="11"/>
      <c r="L204" s="11"/>
      <c r="M204" s="11"/>
      <c r="N204" s="11"/>
      <c r="O204" s="12"/>
      <c r="P204" s="11"/>
      <c r="Q204" s="13"/>
      <c r="R204" s="14"/>
    </row>
    <row r="205" spans="1:18" ht="15" customHeight="1">
      <c r="A205" s="15" t="s">
        <v>38</v>
      </c>
      <c r="B205" s="15" t="s">
        <v>809</v>
      </c>
      <c r="C205" s="16">
        <v>0.57638888888888895</v>
      </c>
      <c r="D205" s="15" t="s">
        <v>43</v>
      </c>
      <c r="E205" s="15" t="s">
        <v>155</v>
      </c>
      <c r="F205" s="15" t="s">
        <v>426</v>
      </c>
      <c r="G205" s="298"/>
      <c r="H205" s="10"/>
      <c r="I205" s="11"/>
      <c r="J205" s="11"/>
      <c r="K205" s="11"/>
      <c r="L205" s="11"/>
      <c r="M205" s="11"/>
      <c r="N205" s="11"/>
      <c r="O205" s="12"/>
      <c r="P205" s="11"/>
      <c r="Q205" s="13"/>
      <c r="R205" s="14"/>
    </row>
    <row r="206" spans="1:18" ht="15" customHeight="1">
      <c r="A206" s="15" t="s">
        <v>38</v>
      </c>
      <c r="B206" s="15" t="s">
        <v>809</v>
      </c>
      <c r="C206" s="16">
        <v>0.57638888888888895</v>
      </c>
      <c r="D206" s="15" t="s">
        <v>46</v>
      </c>
      <c r="E206" s="15" t="s">
        <v>155</v>
      </c>
      <c r="F206" s="15" t="s">
        <v>810</v>
      </c>
      <c r="G206" s="298"/>
      <c r="H206" s="10"/>
      <c r="I206" s="11"/>
      <c r="J206" s="11"/>
      <c r="K206" s="11"/>
      <c r="L206" s="11"/>
      <c r="M206" s="11"/>
      <c r="N206" s="11"/>
      <c r="O206" s="12"/>
      <c r="P206" s="11"/>
      <c r="Q206" s="13"/>
      <c r="R206" s="14"/>
    </row>
    <row r="207" spans="1:18" ht="15" customHeight="1">
      <c r="A207" s="17" t="s">
        <v>38</v>
      </c>
      <c r="B207" s="17" t="s">
        <v>811</v>
      </c>
      <c r="C207" s="18">
        <v>0.62847222222222221</v>
      </c>
      <c r="D207" s="17" t="s">
        <v>40</v>
      </c>
      <c r="E207" s="17" t="s">
        <v>113</v>
      </c>
      <c r="F207" s="17" t="s">
        <v>42</v>
      </c>
      <c r="G207" s="298"/>
      <c r="H207" s="10"/>
      <c r="I207" s="11"/>
      <c r="J207" s="11"/>
      <c r="K207" s="11"/>
      <c r="L207" s="11"/>
      <c r="M207" s="11"/>
      <c r="N207" s="11"/>
      <c r="O207" s="12"/>
      <c r="P207" s="11"/>
      <c r="Q207" s="13"/>
      <c r="R207" s="14"/>
    </row>
    <row r="208" spans="1:18" ht="15" customHeight="1">
      <c r="A208" s="15" t="s">
        <v>38</v>
      </c>
      <c r="B208" s="15" t="s">
        <v>811</v>
      </c>
      <c r="C208" s="16">
        <v>0.62847222222222221</v>
      </c>
      <c r="D208" s="15" t="s">
        <v>43</v>
      </c>
      <c r="E208" s="15" t="s">
        <v>114</v>
      </c>
      <c r="F208" s="15" t="s">
        <v>45</v>
      </c>
      <c r="G208" s="298"/>
      <c r="H208" s="10"/>
      <c r="I208" s="11"/>
      <c r="J208" s="11"/>
      <c r="K208" s="11"/>
      <c r="L208" s="11"/>
      <c r="M208" s="11"/>
      <c r="N208" s="11"/>
      <c r="O208" s="12"/>
      <c r="P208" s="11"/>
      <c r="Q208" s="13"/>
      <c r="R208" s="14"/>
    </row>
    <row r="209" spans="1:18" ht="15" customHeight="1">
      <c r="A209" s="15" t="s">
        <v>38</v>
      </c>
      <c r="B209" s="15" t="s">
        <v>811</v>
      </c>
      <c r="C209" s="16">
        <v>0.62847222222222221</v>
      </c>
      <c r="D209" s="15" t="s">
        <v>46</v>
      </c>
      <c r="E209" s="15" t="s">
        <v>114</v>
      </c>
      <c r="F209" s="15" t="s">
        <v>810</v>
      </c>
      <c r="G209" s="298"/>
      <c r="H209" s="10"/>
      <c r="I209" s="11"/>
      <c r="J209" s="11"/>
      <c r="K209" s="11"/>
      <c r="L209" s="11"/>
      <c r="M209" s="11"/>
      <c r="N209" s="11"/>
      <c r="O209" s="12"/>
      <c r="P209" s="11"/>
      <c r="Q209" s="13"/>
      <c r="R209" s="14"/>
    </row>
    <row r="210" spans="1:18" ht="15" customHeight="1">
      <c r="A210" s="19" t="s">
        <v>26</v>
      </c>
      <c r="B210" s="19" t="s">
        <v>820</v>
      </c>
      <c r="C210" s="20">
        <v>0.4375</v>
      </c>
      <c r="D210" s="19" t="s">
        <v>28</v>
      </c>
      <c r="E210" s="19" t="s">
        <v>100</v>
      </c>
      <c r="F210" s="19" t="s">
        <v>88</v>
      </c>
      <c r="G210" s="298"/>
      <c r="H210" s="10"/>
      <c r="I210" s="11"/>
      <c r="J210" s="11"/>
      <c r="K210" s="11"/>
      <c r="L210" s="11"/>
      <c r="M210" s="11"/>
      <c r="N210" s="11"/>
      <c r="O210" s="12"/>
      <c r="P210" s="11"/>
      <c r="Q210" s="13"/>
      <c r="R210" s="14"/>
    </row>
    <row r="211" spans="1:18" ht="15" customHeight="1">
      <c r="A211" s="15" t="s">
        <v>26</v>
      </c>
      <c r="B211" s="15" t="s">
        <v>820</v>
      </c>
      <c r="C211" s="16">
        <v>0.4375</v>
      </c>
      <c r="D211" s="15" t="s">
        <v>31</v>
      </c>
      <c r="E211" s="15" t="s">
        <v>115</v>
      </c>
      <c r="F211" s="15" t="s">
        <v>347</v>
      </c>
      <c r="G211" s="298"/>
      <c r="H211" s="10"/>
      <c r="I211" s="11"/>
      <c r="J211" s="11"/>
      <c r="K211" s="11"/>
      <c r="L211" s="11"/>
      <c r="M211" s="11"/>
      <c r="N211" s="11"/>
      <c r="O211" s="12"/>
      <c r="P211" s="11"/>
      <c r="Q211" s="13"/>
      <c r="R211" s="14"/>
    </row>
    <row r="212" spans="1:18" ht="15" customHeight="1">
      <c r="A212" s="15" t="s">
        <v>26</v>
      </c>
      <c r="B212" s="15" t="s">
        <v>820</v>
      </c>
      <c r="C212" s="16">
        <v>0.4375</v>
      </c>
      <c r="D212" s="15" t="s">
        <v>34</v>
      </c>
      <c r="E212" s="15" t="s">
        <v>115</v>
      </c>
      <c r="F212" s="15" t="s">
        <v>161</v>
      </c>
      <c r="G212" s="298"/>
      <c r="H212" s="10"/>
      <c r="I212" s="11"/>
      <c r="J212" s="11"/>
      <c r="K212" s="11"/>
      <c r="L212" s="11"/>
      <c r="M212" s="11"/>
      <c r="N212" s="11"/>
      <c r="O212" s="12"/>
      <c r="P212" s="11"/>
      <c r="Q212" s="13"/>
      <c r="R212" s="14"/>
    </row>
    <row r="213" spans="1:18" ht="15" customHeight="1">
      <c r="A213" s="17" t="s">
        <v>26</v>
      </c>
      <c r="B213" s="17" t="s">
        <v>821</v>
      </c>
      <c r="C213" s="18">
        <v>0.63194444444444442</v>
      </c>
      <c r="D213" s="17" t="s">
        <v>28</v>
      </c>
      <c r="E213" s="17" t="s">
        <v>37</v>
      </c>
      <c r="F213" s="17" t="s">
        <v>88</v>
      </c>
      <c r="G213" s="298"/>
      <c r="H213" s="10"/>
      <c r="I213" s="11"/>
      <c r="J213" s="11"/>
      <c r="K213" s="11"/>
      <c r="L213" s="11"/>
      <c r="M213" s="11"/>
      <c r="N213" s="11"/>
      <c r="O213" s="12"/>
      <c r="P213" s="11"/>
      <c r="Q213" s="13"/>
      <c r="R213" s="14"/>
    </row>
    <row r="214" spans="1:18" ht="15" customHeight="1">
      <c r="A214" s="15" t="s">
        <v>26</v>
      </c>
      <c r="B214" s="15" t="s">
        <v>821</v>
      </c>
      <c r="C214" s="16">
        <v>0.63194444444444442</v>
      </c>
      <c r="D214" s="15" t="s">
        <v>31</v>
      </c>
      <c r="E214" s="15" t="s">
        <v>32</v>
      </c>
      <c r="F214" s="15" t="s">
        <v>347</v>
      </c>
      <c r="G214" s="298"/>
      <c r="H214" s="10"/>
      <c r="I214" s="11"/>
      <c r="J214" s="11"/>
      <c r="K214" s="11"/>
      <c r="L214" s="11"/>
      <c r="M214" s="11"/>
      <c r="N214" s="11"/>
      <c r="O214" s="12"/>
      <c r="P214" s="11"/>
      <c r="Q214" s="13"/>
      <c r="R214" s="14"/>
    </row>
    <row r="215" spans="1:18" ht="15" customHeight="1">
      <c r="A215" s="15" t="s">
        <v>26</v>
      </c>
      <c r="B215" s="15" t="s">
        <v>821</v>
      </c>
      <c r="C215" s="16">
        <v>0.63194444444444442</v>
      </c>
      <c r="D215" s="15" t="s">
        <v>34</v>
      </c>
      <c r="E215" s="15" t="s">
        <v>32</v>
      </c>
      <c r="F215" s="15" t="s">
        <v>161</v>
      </c>
      <c r="G215" s="298"/>
      <c r="H215" s="10"/>
      <c r="I215" s="11"/>
      <c r="J215" s="11"/>
      <c r="K215" s="11"/>
      <c r="L215" s="11"/>
      <c r="M215" s="11"/>
      <c r="N215" s="11"/>
      <c r="O215" s="12"/>
      <c r="P215" s="11"/>
      <c r="Q215" s="13"/>
      <c r="R215" s="14"/>
    </row>
    <row r="216" spans="1:18" ht="15" customHeight="1">
      <c r="A216" s="17" t="s">
        <v>26</v>
      </c>
      <c r="B216" s="17" t="s">
        <v>822</v>
      </c>
      <c r="C216" s="18">
        <v>0.55902777777777779</v>
      </c>
      <c r="D216" s="17" t="s">
        <v>28</v>
      </c>
      <c r="E216" s="17" t="s">
        <v>90</v>
      </c>
      <c r="F216" s="17" t="s">
        <v>88</v>
      </c>
      <c r="G216" s="298"/>
      <c r="H216" s="10"/>
      <c r="I216" s="11"/>
      <c r="J216" s="11"/>
      <c r="K216" s="11"/>
      <c r="L216" s="11"/>
      <c r="M216" s="11"/>
      <c r="N216" s="11"/>
      <c r="O216" s="12"/>
      <c r="P216" s="11"/>
      <c r="Q216" s="13"/>
      <c r="R216" s="14"/>
    </row>
    <row r="217" spans="1:18" ht="15" customHeight="1">
      <c r="A217" s="15" t="s">
        <v>26</v>
      </c>
      <c r="B217" s="15" t="s">
        <v>822</v>
      </c>
      <c r="C217" s="16">
        <v>0.55902777777777779</v>
      </c>
      <c r="D217" s="15" t="s">
        <v>31</v>
      </c>
      <c r="E217" s="15" t="s">
        <v>82</v>
      </c>
      <c r="F217" s="15" t="s">
        <v>347</v>
      </c>
      <c r="G217" s="298"/>
      <c r="H217" s="10"/>
      <c r="I217" s="11"/>
      <c r="J217" s="11"/>
      <c r="K217" s="11"/>
      <c r="L217" s="11"/>
      <c r="M217" s="11"/>
      <c r="N217" s="11"/>
      <c r="O217" s="12"/>
      <c r="P217" s="11"/>
      <c r="Q217" s="13"/>
      <c r="R217" s="14"/>
    </row>
    <row r="218" spans="1:18" ht="15" customHeight="1">
      <c r="A218" s="15" t="s">
        <v>26</v>
      </c>
      <c r="B218" s="15" t="s">
        <v>822</v>
      </c>
      <c r="C218" s="16">
        <v>0.55902777777777779</v>
      </c>
      <c r="D218" s="15" t="s">
        <v>34</v>
      </c>
      <c r="E218" s="15" t="s">
        <v>82</v>
      </c>
      <c r="F218" s="15" t="s">
        <v>161</v>
      </c>
      <c r="G218" s="298"/>
      <c r="H218" s="10"/>
      <c r="I218" s="11"/>
      <c r="J218" s="11"/>
      <c r="K218" s="11"/>
      <c r="L218" s="11"/>
      <c r="M218" s="11"/>
      <c r="N218" s="11"/>
      <c r="O218" s="12"/>
      <c r="P218" s="11"/>
      <c r="Q218" s="13"/>
      <c r="R218" s="14"/>
    </row>
    <row r="219" spans="1:18" ht="15" customHeight="1">
      <c r="A219" s="17" t="s">
        <v>26</v>
      </c>
      <c r="B219" s="17" t="s">
        <v>823</v>
      </c>
      <c r="C219" s="18">
        <v>0.81944444444444453</v>
      </c>
      <c r="D219" s="17" t="s">
        <v>28</v>
      </c>
      <c r="E219" s="17" t="s">
        <v>90</v>
      </c>
      <c r="F219" s="17" t="s">
        <v>88</v>
      </c>
      <c r="G219" s="298"/>
      <c r="H219" s="10"/>
      <c r="I219" s="11"/>
      <c r="J219" s="11"/>
      <c r="K219" s="11"/>
      <c r="L219" s="11"/>
      <c r="M219" s="11"/>
      <c r="N219" s="11"/>
      <c r="O219" s="12"/>
      <c r="P219" s="11"/>
      <c r="Q219" s="13"/>
      <c r="R219" s="14"/>
    </row>
    <row r="220" spans="1:18" ht="15" customHeight="1">
      <c r="A220" s="15" t="s">
        <v>26</v>
      </c>
      <c r="B220" s="15" t="s">
        <v>823</v>
      </c>
      <c r="C220" s="16">
        <v>0.81944444444444453</v>
      </c>
      <c r="D220" s="15" t="s">
        <v>31</v>
      </c>
      <c r="E220" s="15" t="s">
        <v>82</v>
      </c>
      <c r="F220" s="15" t="s">
        <v>347</v>
      </c>
      <c r="G220" s="298"/>
      <c r="H220" s="10"/>
      <c r="I220" s="11"/>
      <c r="J220" s="11"/>
      <c r="K220" s="11"/>
      <c r="L220" s="11"/>
      <c r="M220" s="11"/>
      <c r="N220" s="11"/>
      <c r="O220" s="12"/>
      <c r="P220" s="11"/>
      <c r="Q220" s="13"/>
      <c r="R220" s="14"/>
    </row>
    <row r="221" spans="1:18" ht="15" customHeight="1">
      <c r="A221" s="15" t="s">
        <v>26</v>
      </c>
      <c r="B221" s="15" t="s">
        <v>823</v>
      </c>
      <c r="C221" s="16">
        <v>0.81944444444444453</v>
      </c>
      <c r="D221" s="15" t="s">
        <v>34</v>
      </c>
      <c r="E221" s="15" t="s">
        <v>82</v>
      </c>
      <c r="F221" s="15" t="s">
        <v>161</v>
      </c>
      <c r="G221" s="298"/>
      <c r="H221" s="10"/>
      <c r="I221" s="11"/>
      <c r="J221" s="11"/>
      <c r="K221" s="11"/>
      <c r="L221" s="11"/>
      <c r="M221" s="11"/>
      <c r="N221" s="11"/>
      <c r="O221" s="12"/>
      <c r="P221" s="11"/>
      <c r="Q221" s="13"/>
      <c r="R221" s="14"/>
    </row>
    <row r="222" spans="1:18" ht="15" customHeight="1">
      <c r="A222" s="17" t="s">
        <v>26</v>
      </c>
      <c r="B222" s="17" t="s">
        <v>824</v>
      </c>
      <c r="C222" s="18">
        <v>0.50694444444444442</v>
      </c>
      <c r="D222" s="17" t="s">
        <v>28</v>
      </c>
      <c r="E222" s="17" t="s">
        <v>90</v>
      </c>
      <c r="F222" s="17" t="s">
        <v>88</v>
      </c>
      <c r="G222" s="298"/>
      <c r="H222" s="10"/>
      <c r="I222" s="11"/>
      <c r="J222" s="11"/>
      <c r="K222" s="11"/>
      <c r="L222" s="11"/>
      <c r="M222" s="11"/>
      <c r="N222" s="11"/>
      <c r="O222" s="12"/>
      <c r="P222" s="11"/>
      <c r="Q222" s="13"/>
      <c r="R222" s="14"/>
    </row>
    <row r="223" spans="1:18" ht="15" customHeight="1">
      <c r="A223" s="15" t="s">
        <v>26</v>
      </c>
      <c r="B223" s="15" t="s">
        <v>824</v>
      </c>
      <c r="C223" s="16">
        <v>0.50694444444444442</v>
      </c>
      <c r="D223" s="15" t="s">
        <v>31</v>
      </c>
      <c r="E223" s="15" t="s">
        <v>82</v>
      </c>
      <c r="F223" s="15" t="s">
        <v>347</v>
      </c>
      <c r="G223" s="298"/>
      <c r="H223" s="10"/>
      <c r="I223" s="11"/>
      <c r="J223" s="11"/>
      <c r="K223" s="11"/>
      <c r="L223" s="11"/>
      <c r="M223" s="11"/>
      <c r="N223" s="11"/>
      <c r="O223" s="12"/>
      <c r="P223" s="11"/>
      <c r="Q223" s="13"/>
      <c r="R223" s="14"/>
    </row>
    <row r="224" spans="1:18" ht="15" customHeight="1">
      <c r="A224" s="15" t="s">
        <v>26</v>
      </c>
      <c r="B224" s="15" t="s">
        <v>824</v>
      </c>
      <c r="C224" s="16">
        <v>0.50694444444444442</v>
      </c>
      <c r="D224" s="15" t="s">
        <v>34</v>
      </c>
      <c r="E224" s="15" t="s">
        <v>82</v>
      </c>
      <c r="F224" s="15" t="s">
        <v>161</v>
      </c>
      <c r="G224" s="298"/>
      <c r="H224" s="10"/>
      <c r="I224" s="11"/>
      <c r="J224" s="11"/>
      <c r="K224" s="11"/>
      <c r="L224" s="11"/>
      <c r="M224" s="11"/>
      <c r="N224" s="11"/>
      <c r="O224" s="12"/>
      <c r="P224" s="11"/>
      <c r="Q224" s="13"/>
      <c r="R224" s="14"/>
    </row>
    <row r="225" spans="1:18" ht="15" customHeight="1">
      <c r="A225" s="17" t="s">
        <v>26</v>
      </c>
      <c r="B225" s="17" t="s">
        <v>826</v>
      </c>
      <c r="C225" s="18">
        <v>0.95833333333333337</v>
      </c>
      <c r="D225" s="17" t="s">
        <v>28</v>
      </c>
      <c r="E225" s="17" t="s">
        <v>90</v>
      </c>
      <c r="F225" s="17" t="s">
        <v>81</v>
      </c>
      <c r="G225" s="298"/>
      <c r="H225" s="10"/>
      <c r="I225" s="11"/>
      <c r="J225" s="11"/>
      <c r="K225" s="11"/>
      <c r="L225" s="11"/>
      <c r="M225" s="11"/>
      <c r="N225" s="11"/>
      <c r="O225" s="12"/>
      <c r="P225" s="11"/>
      <c r="Q225" s="13"/>
      <c r="R225" s="14"/>
    </row>
    <row r="226" spans="1:18" ht="15" customHeight="1">
      <c r="A226" s="15" t="s">
        <v>26</v>
      </c>
      <c r="B226" s="15" t="s">
        <v>826</v>
      </c>
      <c r="C226" s="16">
        <v>0.95833333333333337</v>
      </c>
      <c r="D226" s="15" t="s">
        <v>31</v>
      </c>
      <c r="E226" s="15" t="s">
        <v>82</v>
      </c>
      <c r="F226" s="15" t="s">
        <v>83</v>
      </c>
      <c r="G226" s="298"/>
      <c r="H226" s="10"/>
      <c r="I226" s="11"/>
      <c r="J226" s="11"/>
      <c r="K226" s="11"/>
      <c r="L226" s="11"/>
      <c r="M226" s="11"/>
      <c r="N226" s="11"/>
      <c r="O226" s="12"/>
      <c r="P226" s="11"/>
      <c r="Q226" s="13"/>
      <c r="R226" s="14"/>
    </row>
    <row r="227" spans="1:18" ht="15" customHeight="1">
      <c r="A227" s="15" t="s">
        <v>26</v>
      </c>
      <c r="B227" s="15" t="s">
        <v>826</v>
      </c>
      <c r="C227" s="16">
        <v>0.95833333333333337</v>
      </c>
      <c r="D227" s="15" t="s">
        <v>34</v>
      </c>
      <c r="E227" s="15" t="s">
        <v>82</v>
      </c>
      <c r="F227" s="15" t="s">
        <v>45</v>
      </c>
      <c r="G227" s="298"/>
      <c r="H227" s="10"/>
      <c r="I227" s="11"/>
      <c r="J227" s="11"/>
      <c r="K227" s="11"/>
      <c r="L227" s="11"/>
      <c r="M227" s="11"/>
      <c r="N227" s="11"/>
      <c r="O227" s="12"/>
      <c r="P227" s="11"/>
      <c r="Q227" s="13"/>
      <c r="R227" s="14"/>
    </row>
    <row r="228" spans="1:18" ht="15" customHeight="1">
      <c r="A228" s="17" t="s">
        <v>26</v>
      </c>
      <c r="B228" s="17" t="s">
        <v>825</v>
      </c>
      <c r="C228" s="18">
        <v>0.69791666666666663</v>
      </c>
      <c r="D228" s="17" t="s">
        <v>28</v>
      </c>
      <c r="E228" s="17" t="s">
        <v>372</v>
      </c>
      <c r="F228" s="17" t="s">
        <v>81</v>
      </c>
      <c r="G228" s="298"/>
      <c r="H228" s="10"/>
      <c r="I228" s="11"/>
      <c r="J228" s="11"/>
      <c r="K228" s="11"/>
      <c r="L228" s="11"/>
      <c r="M228" s="11"/>
      <c r="N228" s="11"/>
      <c r="O228" s="12"/>
      <c r="P228" s="11"/>
      <c r="Q228" s="13"/>
      <c r="R228" s="14"/>
    </row>
    <row r="229" spans="1:18" ht="15" customHeight="1">
      <c r="A229" s="15" t="s">
        <v>26</v>
      </c>
      <c r="B229" s="15" t="s">
        <v>825</v>
      </c>
      <c r="C229" s="16">
        <v>0.69791666666666663</v>
      </c>
      <c r="D229" s="15" t="s">
        <v>31</v>
      </c>
      <c r="E229" s="15" t="s">
        <v>454</v>
      </c>
      <c r="F229" s="15" t="s">
        <v>83</v>
      </c>
      <c r="G229" s="298"/>
      <c r="H229" s="10"/>
      <c r="I229" s="11"/>
      <c r="J229" s="11"/>
      <c r="K229" s="11"/>
      <c r="L229" s="11"/>
      <c r="M229" s="11"/>
      <c r="N229" s="11"/>
      <c r="O229" s="12"/>
      <c r="P229" s="11"/>
      <c r="Q229" s="13"/>
      <c r="R229" s="14"/>
    </row>
    <row r="230" spans="1:18" ht="15" customHeight="1">
      <c r="A230" s="15" t="s">
        <v>26</v>
      </c>
      <c r="B230" s="15" t="s">
        <v>825</v>
      </c>
      <c r="C230" s="16">
        <v>0.69791666666666663</v>
      </c>
      <c r="D230" s="15" t="s">
        <v>34</v>
      </c>
      <c r="E230" s="15" t="s">
        <v>454</v>
      </c>
      <c r="F230" s="15" t="s">
        <v>45</v>
      </c>
      <c r="G230" s="298"/>
      <c r="H230" s="10"/>
      <c r="I230" s="11"/>
      <c r="J230" s="11"/>
      <c r="K230" s="11"/>
      <c r="L230" s="11"/>
      <c r="M230" s="11"/>
      <c r="N230" s="11"/>
      <c r="O230" s="12"/>
      <c r="P230" s="11"/>
      <c r="Q230" s="13"/>
      <c r="R230" s="14"/>
    </row>
    <row r="231" spans="1:18" ht="15" customHeight="1">
      <c r="A231" s="19" t="s">
        <v>48</v>
      </c>
      <c r="B231" s="19" t="s">
        <v>831</v>
      </c>
      <c r="C231" s="20">
        <v>0.98263888888888884</v>
      </c>
      <c r="D231" s="19" t="s">
        <v>50</v>
      </c>
      <c r="E231" s="19" t="s">
        <v>156</v>
      </c>
      <c r="F231" s="19" t="s">
        <v>873</v>
      </c>
      <c r="G231" s="298"/>
      <c r="H231" s="10"/>
      <c r="I231" s="11"/>
      <c r="J231" s="11"/>
      <c r="K231" s="11"/>
      <c r="L231" s="11"/>
      <c r="M231" s="11"/>
      <c r="N231" s="11"/>
      <c r="O231" s="12"/>
      <c r="P231" s="11"/>
      <c r="Q231" s="13"/>
      <c r="R231" s="14"/>
    </row>
    <row r="232" spans="1:18" ht="15" customHeight="1">
      <c r="A232" s="15" t="s">
        <v>48</v>
      </c>
      <c r="B232" s="15" t="s">
        <v>831</v>
      </c>
      <c r="C232" s="16">
        <v>0.98263888888888884</v>
      </c>
      <c r="D232" s="15" t="s">
        <v>53</v>
      </c>
      <c r="E232" s="15" t="s">
        <v>135</v>
      </c>
      <c r="F232" s="15" t="s">
        <v>874</v>
      </c>
      <c r="G232" s="298"/>
      <c r="H232" s="10"/>
      <c r="I232" s="11"/>
      <c r="J232" s="11"/>
      <c r="K232" s="11"/>
      <c r="L232" s="11"/>
      <c r="M232" s="11"/>
      <c r="N232" s="11"/>
      <c r="O232" s="12"/>
      <c r="P232" s="11"/>
      <c r="Q232" s="13"/>
      <c r="R232" s="14"/>
    </row>
    <row r="233" spans="1:18" ht="15" customHeight="1">
      <c r="A233" s="17" t="s">
        <v>48</v>
      </c>
      <c r="B233" s="17" t="s">
        <v>828</v>
      </c>
      <c r="C233" s="18">
        <v>0.82986111111111116</v>
      </c>
      <c r="D233" s="17" t="s">
        <v>643</v>
      </c>
      <c r="E233" s="17" t="s">
        <v>57</v>
      </c>
      <c r="F233" s="17" t="s">
        <v>829</v>
      </c>
      <c r="G233" s="298"/>
      <c r="H233" s="10"/>
      <c r="I233" s="11"/>
      <c r="J233" s="11"/>
      <c r="K233" s="11"/>
      <c r="L233" s="11"/>
      <c r="M233" s="11"/>
      <c r="N233" s="11"/>
      <c r="O233" s="12"/>
      <c r="P233" s="11"/>
      <c r="Q233" s="13"/>
      <c r="R233" s="14"/>
    </row>
    <row r="234" spans="1:18" ht="15" customHeight="1">
      <c r="A234" s="17" t="s">
        <v>48</v>
      </c>
      <c r="B234" s="17" t="s">
        <v>875</v>
      </c>
      <c r="C234" s="18">
        <v>0.69791666666666663</v>
      </c>
      <c r="D234" s="17" t="s">
        <v>50</v>
      </c>
      <c r="E234" s="17" t="s">
        <v>57</v>
      </c>
      <c r="F234" s="17" t="s">
        <v>829</v>
      </c>
      <c r="G234" s="298"/>
      <c r="H234" s="10"/>
      <c r="I234" s="11"/>
      <c r="J234" s="11"/>
      <c r="K234" s="11"/>
      <c r="L234" s="11"/>
      <c r="M234" s="11"/>
      <c r="N234" s="11"/>
      <c r="O234" s="12"/>
      <c r="P234" s="11"/>
      <c r="Q234" s="13"/>
      <c r="R234" s="14"/>
    </row>
    <row r="235" spans="1:18" ht="15" customHeight="1">
      <c r="A235" s="15" t="s">
        <v>48</v>
      </c>
      <c r="B235" s="15" t="s">
        <v>875</v>
      </c>
      <c r="C235" s="16">
        <v>0.69791666666666663</v>
      </c>
      <c r="D235" s="15" t="s">
        <v>643</v>
      </c>
      <c r="E235" s="15" t="s">
        <v>54</v>
      </c>
      <c r="F235" s="15" t="s">
        <v>829</v>
      </c>
      <c r="G235" s="298"/>
      <c r="H235" s="10"/>
      <c r="I235" s="11"/>
      <c r="J235" s="11"/>
      <c r="K235" s="11"/>
      <c r="L235" s="11"/>
      <c r="M235" s="11"/>
      <c r="N235" s="11"/>
      <c r="O235" s="12"/>
      <c r="P235" s="11"/>
      <c r="Q235" s="13"/>
      <c r="R235" s="14"/>
    </row>
    <row r="236" spans="1:18" ht="15" customHeight="1">
      <c r="A236" s="15" t="s">
        <v>48</v>
      </c>
      <c r="B236" s="15" t="s">
        <v>875</v>
      </c>
      <c r="C236" s="16">
        <v>0.69791666666666663</v>
      </c>
      <c r="D236" s="15" t="s">
        <v>53</v>
      </c>
      <c r="E236" s="15" t="s">
        <v>54</v>
      </c>
      <c r="F236" s="15" t="s">
        <v>830</v>
      </c>
      <c r="G236" s="298"/>
      <c r="H236" s="10"/>
      <c r="I236" s="11"/>
      <c r="J236" s="11"/>
      <c r="K236" s="11"/>
      <c r="L236" s="11"/>
      <c r="M236" s="11"/>
      <c r="N236" s="11"/>
      <c r="O236" s="12"/>
      <c r="P236" s="11"/>
      <c r="Q236" s="13"/>
      <c r="R236" s="14"/>
    </row>
    <row r="237" spans="1:18" ht="15" customHeight="1">
      <c r="A237" s="17" t="s">
        <v>48</v>
      </c>
      <c r="B237" s="17" t="s">
        <v>832</v>
      </c>
      <c r="C237" s="18">
        <v>0.62847222222222221</v>
      </c>
      <c r="D237" s="17" t="s">
        <v>643</v>
      </c>
      <c r="E237" s="17" t="s">
        <v>57</v>
      </c>
      <c r="F237" s="17" t="s">
        <v>829</v>
      </c>
      <c r="G237" s="298"/>
      <c r="H237" s="10"/>
      <c r="I237" s="11"/>
      <c r="J237" s="11"/>
      <c r="K237" s="11"/>
      <c r="L237" s="11"/>
      <c r="M237" s="11"/>
      <c r="N237" s="11"/>
      <c r="O237" s="12"/>
      <c r="P237" s="11"/>
      <c r="Q237" s="13"/>
      <c r="R237" s="14"/>
    </row>
    <row r="238" spans="1:18" ht="15" customHeight="1">
      <c r="A238" s="17" t="s">
        <v>48</v>
      </c>
      <c r="B238" s="17" t="s">
        <v>833</v>
      </c>
      <c r="C238" s="18">
        <v>0.44444444444444442</v>
      </c>
      <c r="D238" s="17" t="s">
        <v>643</v>
      </c>
      <c r="E238" s="17" t="s">
        <v>57</v>
      </c>
      <c r="F238" s="17" t="s">
        <v>876</v>
      </c>
      <c r="G238" s="298"/>
      <c r="H238" s="10"/>
      <c r="I238" s="11"/>
      <c r="J238" s="11"/>
      <c r="K238" s="11"/>
      <c r="L238" s="11"/>
      <c r="M238" s="11"/>
      <c r="N238" s="11"/>
      <c r="O238" s="12"/>
      <c r="P238" s="11"/>
      <c r="Q238" s="13"/>
      <c r="R238" s="14"/>
    </row>
    <row r="239" spans="1:18" ht="15" customHeight="1">
      <c r="A239" s="17" t="s">
        <v>48</v>
      </c>
      <c r="B239" s="17" t="s">
        <v>835</v>
      </c>
      <c r="C239" s="18">
        <v>0.88888888888888884</v>
      </c>
      <c r="D239" s="17" t="s">
        <v>53</v>
      </c>
      <c r="E239" s="17" t="s">
        <v>37</v>
      </c>
      <c r="F239" s="17" t="s">
        <v>836</v>
      </c>
      <c r="G239" s="298"/>
      <c r="H239" s="10"/>
      <c r="I239" s="11"/>
      <c r="J239" s="11"/>
      <c r="K239" s="11"/>
      <c r="L239" s="11"/>
      <c r="M239" s="11"/>
      <c r="N239" s="11"/>
      <c r="O239" s="12"/>
      <c r="P239" s="11"/>
      <c r="Q239" s="13"/>
      <c r="R239" s="14"/>
    </row>
    <row r="240" spans="1:18" ht="15" customHeight="1">
      <c r="A240" s="17" t="s">
        <v>48</v>
      </c>
      <c r="B240" s="17" t="s">
        <v>838</v>
      </c>
      <c r="C240" s="18">
        <v>0.94444444444444453</v>
      </c>
      <c r="D240" s="17" t="s">
        <v>70</v>
      </c>
      <c r="E240" s="17" t="s">
        <v>37</v>
      </c>
      <c r="F240" s="17" t="s">
        <v>836</v>
      </c>
      <c r="G240" s="298"/>
      <c r="H240" s="10"/>
      <c r="I240" s="11"/>
      <c r="J240" s="11"/>
      <c r="K240" s="11"/>
      <c r="L240" s="11"/>
      <c r="M240" s="11"/>
      <c r="N240" s="11"/>
      <c r="O240" s="12"/>
      <c r="P240" s="11"/>
      <c r="Q240" s="13"/>
      <c r="R240" s="14"/>
    </row>
    <row r="241" spans="1:18" ht="15" customHeight="1">
      <c r="A241" s="17" t="s">
        <v>48</v>
      </c>
      <c r="B241" s="17" t="s">
        <v>837</v>
      </c>
      <c r="C241" s="18">
        <v>0.62847222222222221</v>
      </c>
      <c r="D241" s="17" t="s">
        <v>70</v>
      </c>
      <c r="E241" s="17" t="s">
        <v>37</v>
      </c>
      <c r="F241" s="17" t="s">
        <v>859</v>
      </c>
      <c r="G241" s="298"/>
      <c r="H241" s="10"/>
      <c r="I241" s="11"/>
      <c r="J241" s="11"/>
      <c r="K241" s="11"/>
      <c r="L241" s="11"/>
      <c r="M241" s="11"/>
      <c r="N241" s="11"/>
      <c r="O241" s="12"/>
      <c r="P241" s="11"/>
      <c r="Q241" s="13"/>
      <c r="R241" s="14"/>
    </row>
    <row r="242" spans="1:18" ht="15" customHeight="1">
      <c r="A242" s="58" t="s">
        <v>61</v>
      </c>
      <c r="B242" s="58" t="s">
        <v>816</v>
      </c>
      <c r="C242" s="59">
        <v>0.42708333333333331</v>
      </c>
      <c r="D242" s="58" t="s">
        <v>63</v>
      </c>
      <c r="E242" s="58" t="s">
        <v>51</v>
      </c>
      <c r="F242" s="58" t="s">
        <v>849</v>
      </c>
      <c r="G242" s="298"/>
      <c r="H242" s="60" t="s">
        <v>818</v>
      </c>
      <c r="I242" s="61">
        <v>8.3799999999999999E-2</v>
      </c>
      <c r="J242" s="62">
        <v>15</v>
      </c>
      <c r="K242" s="63">
        <v>46344</v>
      </c>
      <c r="L242" s="62">
        <v>15</v>
      </c>
      <c r="M242" s="62">
        <v>0</v>
      </c>
      <c r="N242" s="62">
        <v>0</v>
      </c>
      <c r="O242" s="64" t="s">
        <v>877</v>
      </c>
      <c r="P242" s="65">
        <v>0.42708333333333331</v>
      </c>
      <c r="Q242" s="62">
        <v>179</v>
      </c>
      <c r="R242" s="66" t="s">
        <v>878</v>
      </c>
    </row>
    <row r="243" spans="1:18" ht="15" customHeight="1">
      <c r="A243" s="19" t="s">
        <v>359</v>
      </c>
      <c r="B243" s="19" t="s">
        <v>814</v>
      </c>
      <c r="C243" s="20">
        <v>0.2951388888888889</v>
      </c>
      <c r="D243" s="19" t="s">
        <v>361</v>
      </c>
      <c r="E243" s="19" t="s">
        <v>80</v>
      </c>
      <c r="F243" s="19" t="s">
        <v>879</v>
      </c>
      <c r="G243" s="298"/>
      <c r="H243" s="10"/>
      <c r="I243" s="11"/>
      <c r="J243" s="11"/>
      <c r="K243" s="11"/>
      <c r="L243" s="11"/>
      <c r="M243" s="11"/>
      <c r="N243" s="11"/>
      <c r="O243" s="12"/>
      <c r="P243" s="11"/>
      <c r="Q243" s="13"/>
      <c r="R243" s="14"/>
    </row>
    <row r="244" spans="1:18" ht="15" customHeight="1">
      <c r="A244" s="15" t="s">
        <v>359</v>
      </c>
      <c r="B244" s="15" t="s">
        <v>814</v>
      </c>
      <c r="C244" s="16">
        <v>0.2951388888888889</v>
      </c>
      <c r="D244" s="15" t="s">
        <v>46</v>
      </c>
      <c r="E244" s="15" t="s">
        <v>82</v>
      </c>
      <c r="F244" s="15" t="s">
        <v>880</v>
      </c>
      <c r="G244" s="298"/>
      <c r="H244" s="10"/>
      <c r="I244" s="11"/>
      <c r="J244" s="11"/>
      <c r="K244" s="11"/>
      <c r="L244" s="11"/>
      <c r="M244" s="11"/>
      <c r="N244" s="11"/>
      <c r="O244" s="12"/>
      <c r="P244" s="11"/>
      <c r="Q244" s="13"/>
      <c r="R244" s="14"/>
    </row>
    <row r="245" spans="1:18" ht="15" customHeight="1">
      <c r="A245" s="19" t="s">
        <v>68</v>
      </c>
      <c r="B245" s="19" t="s">
        <v>842</v>
      </c>
      <c r="C245" s="20">
        <v>0.98263888888888884</v>
      </c>
      <c r="D245" s="19" t="s">
        <v>70</v>
      </c>
      <c r="E245" s="19" t="s">
        <v>51</v>
      </c>
      <c r="F245" s="19" t="s">
        <v>45</v>
      </c>
      <c r="G245" s="298"/>
      <c r="H245" s="10"/>
      <c r="I245" s="11"/>
      <c r="J245" s="11"/>
      <c r="K245" s="11"/>
      <c r="L245" s="11"/>
      <c r="M245" s="11"/>
      <c r="N245" s="11"/>
      <c r="O245" s="12"/>
      <c r="P245" s="11"/>
      <c r="Q245" s="13"/>
      <c r="R245" s="14"/>
    </row>
    <row r="246" spans="1:18" ht="15" customHeight="1">
      <c r="A246" s="17" t="s">
        <v>68</v>
      </c>
      <c r="B246" s="17" t="s">
        <v>843</v>
      </c>
      <c r="C246" s="18">
        <v>0.35416666666666669</v>
      </c>
      <c r="D246" s="17" t="s">
        <v>70</v>
      </c>
      <c r="E246" s="17" t="s">
        <v>57</v>
      </c>
      <c r="F246" s="17" t="s">
        <v>45</v>
      </c>
      <c r="G246" s="298"/>
      <c r="H246" s="10"/>
      <c r="I246" s="11"/>
      <c r="J246" s="11"/>
      <c r="K246" s="11"/>
      <c r="L246" s="11"/>
      <c r="M246" s="11"/>
      <c r="N246" s="11"/>
      <c r="O246" s="12"/>
      <c r="P246" s="11"/>
      <c r="Q246" s="13"/>
      <c r="R246" s="14"/>
    </row>
    <row r="247" spans="1:18" ht="15" customHeight="1">
      <c r="A247" s="17" t="s">
        <v>68</v>
      </c>
      <c r="B247" s="17" t="s">
        <v>844</v>
      </c>
      <c r="C247" s="18">
        <v>0.72916666666666663</v>
      </c>
      <c r="D247" s="17" t="s">
        <v>70</v>
      </c>
      <c r="E247" s="17" t="s">
        <v>57</v>
      </c>
      <c r="F247" s="17" t="s">
        <v>162</v>
      </c>
      <c r="G247" s="298"/>
      <c r="H247" s="10"/>
      <c r="I247" s="11"/>
      <c r="J247" s="11"/>
      <c r="K247" s="11"/>
      <c r="L247" s="11"/>
      <c r="M247" s="11"/>
      <c r="N247" s="11"/>
      <c r="O247" s="12"/>
      <c r="P247" s="11"/>
      <c r="Q247" s="13"/>
      <c r="R247" s="14"/>
    </row>
    <row r="248" spans="1:18" ht="15" customHeight="1" thickBot="1">
      <c r="A248" s="96" t="s">
        <v>402</v>
      </c>
      <c r="B248" s="96" t="s">
        <v>839</v>
      </c>
      <c r="C248" s="97">
        <v>0.1736111111111111</v>
      </c>
      <c r="D248" s="96" t="s">
        <v>63</v>
      </c>
      <c r="E248" s="96" t="s">
        <v>143</v>
      </c>
      <c r="F248" s="96" t="s">
        <v>881</v>
      </c>
      <c r="G248" s="299"/>
      <c r="H248" s="300"/>
      <c r="I248" s="140"/>
      <c r="J248" s="140"/>
      <c r="K248" s="140"/>
      <c r="L248" s="140"/>
      <c r="M248" s="140"/>
      <c r="N248" s="140"/>
      <c r="O248" s="141"/>
      <c r="P248" s="140"/>
      <c r="Q248" s="142"/>
      <c r="R248" s="301"/>
    </row>
    <row r="249" spans="1:18" ht="17.45" customHeight="1" thickBot="1">
      <c r="A249" s="283"/>
      <c r="B249" s="284"/>
      <c r="C249" s="284"/>
      <c r="D249" s="284"/>
      <c r="E249" s="284"/>
      <c r="F249" s="284"/>
      <c r="G249" s="284"/>
      <c r="H249" s="284"/>
      <c r="I249" s="284"/>
      <c r="J249" s="284"/>
      <c r="K249" s="284"/>
      <c r="L249" s="284"/>
      <c r="M249" s="284"/>
      <c r="N249" s="284"/>
      <c r="O249" s="284"/>
      <c r="P249" s="284"/>
      <c r="Q249" s="284"/>
      <c r="R249" s="285"/>
    </row>
    <row r="250" spans="1:18" ht="22.15" customHeight="1" thickTop="1" thickBot="1">
      <c r="A250" s="279" t="s">
        <v>6</v>
      </c>
      <c r="B250" s="295"/>
      <c r="C250" s="295"/>
      <c r="D250" s="295"/>
      <c r="E250" s="295"/>
      <c r="F250" s="296"/>
      <c r="G250" s="32">
        <v>46027</v>
      </c>
      <c r="H250" s="278" t="s">
        <v>7</v>
      </c>
      <c r="I250" s="295"/>
      <c r="J250" s="295"/>
      <c r="K250" s="295"/>
      <c r="L250" s="295"/>
      <c r="M250" s="295"/>
      <c r="N250" s="295"/>
      <c r="O250" s="295"/>
      <c r="P250" s="295"/>
      <c r="Q250" s="295"/>
      <c r="R250" s="296"/>
    </row>
    <row r="251" spans="1:18" ht="24" customHeight="1">
      <c r="A251" s="33" t="s">
        <v>8</v>
      </c>
      <c r="B251" s="33" t="s">
        <v>9</v>
      </c>
      <c r="C251" s="34" t="s">
        <v>10</v>
      </c>
      <c r="D251" s="33" t="s">
        <v>11</v>
      </c>
      <c r="E251" s="33" t="s">
        <v>12</v>
      </c>
      <c r="F251" s="35" t="s">
        <v>13</v>
      </c>
      <c r="G251" s="36" t="s">
        <v>14</v>
      </c>
      <c r="H251" s="33" t="s">
        <v>15</v>
      </c>
      <c r="I251" s="37" t="s">
        <v>16</v>
      </c>
      <c r="J251" s="38" t="s">
        <v>17</v>
      </c>
      <c r="K251" s="39" t="s">
        <v>18</v>
      </c>
      <c r="L251" s="38" t="s">
        <v>19</v>
      </c>
      <c r="M251" s="38" t="s">
        <v>20</v>
      </c>
      <c r="N251" s="38" t="s">
        <v>21</v>
      </c>
      <c r="O251" s="33" t="s">
        <v>22</v>
      </c>
      <c r="P251" s="34" t="s">
        <v>23</v>
      </c>
      <c r="Q251" s="38" t="s">
        <v>24</v>
      </c>
      <c r="R251" s="33" t="s">
        <v>25</v>
      </c>
    </row>
    <row r="252" spans="1:18" ht="15" customHeight="1">
      <c r="A252" s="8" t="s">
        <v>38</v>
      </c>
      <c r="B252" s="8" t="s">
        <v>809</v>
      </c>
      <c r="C252" s="9">
        <v>0.57638888888888895</v>
      </c>
      <c r="D252" s="8" t="s">
        <v>440</v>
      </c>
      <c r="E252" s="8" t="s">
        <v>80</v>
      </c>
      <c r="F252" s="8" t="s">
        <v>475</v>
      </c>
      <c r="G252" s="297"/>
      <c r="H252" s="10"/>
      <c r="I252" s="11"/>
      <c r="J252" s="11"/>
      <c r="K252" s="11"/>
      <c r="L252" s="11"/>
      <c r="M252" s="11"/>
      <c r="N252" s="11"/>
      <c r="O252" s="12"/>
      <c r="P252" s="11"/>
      <c r="Q252" s="13"/>
      <c r="R252" s="14"/>
    </row>
    <row r="253" spans="1:18" ht="15" customHeight="1">
      <c r="A253" s="17" t="s">
        <v>38</v>
      </c>
      <c r="B253" s="17" t="s">
        <v>812</v>
      </c>
      <c r="C253" s="18">
        <v>0.88888888888888884</v>
      </c>
      <c r="D253" s="17" t="s">
        <v>440</v>
      </c>
      <c r="E253" s="17" t="s">
        <v>882</v>
      </c>
      <c r="F253" s="17" t="s">
        <v>475</v>
      </c>
      <c r="G253" s="298"/>
      <c r="H253" s="10"/>
      <c r="I253" s="11"/>
      <c r="J253" s="11"/>
      <c r="K253" s="11"/>
      <c r="L253" s="11"/>
      <c r="M253" s="11"/>
      <c r="N253" s="11"/>
      <c r="O253" s="12"/>
      <c r="P253" s="11"/>
      <c r="Q253" s="13"/>
      <c r="R253" s="14"/>
    </row>
    <row r="254" spans="1:18" ht="15" customHeight="1">
      <c r="A254" s="17" t="s">
        <v>38</v>
      </c>
      <c r="B254" s="17" t="s">
        <v>813</v>
      </c>
      <c r="C254" s="18">
        <v>0.94444444444444453</v>
      </c>
      <c r="D254" s="17" t="s">
        <v>440</v>
      </c>
      <c r="E254" s="17" t="s">
        <v>194</v>
      </c>
      <c r="F254" s="17" t="s">
        <v>475</v>
      </c>
      <c r="G254" s="298"/>
      <c r="H254" s="10"/>
      <c r="I254" s="11"/>
      <c r="J254" s="11"/>
      <c r="K254" s="11"/>
      <c r="L254" s="11"/>
      <c r="M254" s="11"/>
      <c r="N254" s="11"/>
      <c r="O254" s="12"/>
      <c r="P254" s="11"/>
      <c r="Q254" s="13"/>
      <c r="R254" s="14"/>
    </row>
    <row r="255" spans="1:18" ht="15" customHeight="1">
      <c r="A255" s="17" t="s">
        <v>38</v>
      </c>
      <c r="B255" s="17" t="s">
        <v>811</v>
      </c>
      <c r="C255" s="18">
        <v>0.62847222222222221</v>
      </c>
      <c r="D255" s="17" t="s">
        <v>440</v>
      </c>
      <c r="E255" s="17" t="s">
        <v>459</v>
      </c>
      <c r="F255" s="17" t="s">
        <v>872</v>
      </c>
      <c r="G255" s="298"/>
      <c r="H255" s="10"/>
      <c r="I255" s="11"/>
      <c r="J255" s="11"/>
      <c r="K255" s="11"/>
      <c r="L255" s="11"/>
      <c r="M255" s="11"/>
      <c r="N255" s="11"/>
      <c r="O255" s="12"/>
      <c r="P255" s="11"/>
      <c r="Q255" s="13"/>
      <c r="R255" s="14"/>
    </row>
    <row r="256" spans="1:18" ht="15" customHeight="1">
      <c r="A256" s="19" t="s">
        <v>359</v>
      </c>
      <c r="B256" s="19" t="s">
        <v>814</v>
      </c>
      <c r="C256" s="20">
        <v>0.3298611111111111</v>
      </c>
      <c r="D256" s="19" t="s">
        <v>469</v>
      </c>
      <c r="E256" s="19" t="s">
        <v>80</v>
      </c>
      <c r="F256" s="19" t="s">
        <v>883</v>
      </c>
      <c r="G256" s="298"/>
      <c r="H256" s="10"/>
      <c r="I256" s="11"/>
      <c r="J256" s="11"/>
      <c r="K256" s="11"/>
      <c r="L256" s="11"/>
      <c r="M256" s="11"/>
      <c r="N256" s="11"/>
      <c r="O256" s="12"/>
      <c r="P256" s="11"/>
      <c r="Q256" s="13"/>
      <c r="R256" s="14"/>
    </row>
    <row r="257" spans="1:18" ht="15" customHeight="1">
      <c r="A257" s="19" t="s">
        <v>26</v>
      </c>
      <c r="B257" s="19" t="s">
        <v>820</v>
      </c>
      <c r="C257" s="20">
        <v>0.4375</v>
      </c>
      <c r="D257" s="19" t="s">
        <v>451</v>
      </c>
      <c r="E257" s="19" t="s">
        <v>80</v>
      </c>
      <c r="F257" s="19" t="s">
        <v>81</v>
      </c>
      <c r="G257" s="298"/>
      <c r="H257" s="10"/>
      <c r="I257" s="11"/>
      <c r="J257" s="11"/>
      <c r="K257" s="11"/>
      <c r="L257" s="11"/>
      <c r="M257" s="11"/>
      <c r="N257" s="11"/>
      <c r="O257" s="12"/>
      <c r="P257" s="11"/>
      <c r="Q257" s="13"/>
      <c r="R257" s="14"/>
    </row>
    <row r="258" spans="1:18" ht="15" customHeight="1">
      <c r="A258" s="17" t="s">
        <v>26</v>
      </c>
      <c r="B258" s="17" t="s">
        <v>826</v>
      </c>
      <c r="C258" s="18">
        <v>0.95833333333333337</v>
      </c>
      <c r="D258" s="17" t="s">
        <v>28</v>
      </c>
      <c r="E258" s="17" t="s">
        <v>90</v>
      </c>
      <c r="F258" s="17" t="s">
        <v>81</v>
      </c>
      <c r="G258" s="298"/>
      <c r="H258" s="10"/>
      <c r="I258" s="11"/>
      <c r="J258" s="11"/>
      <c r="K258" s="11"/>
      <c r="L258" s="11"/>
      <c r="M258" s="11"/>
      <c r="N258" s="11"/>
      <c r="O258" s="12"/>
      <c r="P258" s="11"/>
      <c r="Q258" s="13"/>
      <c r="R258" s="14"/>
    </row>
    <row r="259" spans="1:18" ht="15" customHeight="1">
      <c r="A259" s="15" t="s">
        <v>26</v>
      </c>
      <c r="B259" s="15" t="s">
        <v>826</v>
      </c>
      <c r="C259" s="16">
        <v>0.95833333333333337</v>
      </c>
      <c r="D259" s="15" t="s">
        <v>31</v>
      </c>
      <c r="E259" s="15" t="s">
        <v>82</v>
      </c>
      <c r="F259" s="15" t="s">
        <v>83</v>
      </c>
      <c r="G259" s="298"/>
      <c r="H259" s="10"/>
      <c r="I259" s="11"/>
      <c r="J259" s="11"/>
      <c r="K259" s="11"/>
      <c r="L259" s="11"/>
      <c r="M259" s="11"/>
      <c r="N259" s="11"/>
      <c r="O259" s="12"/>
      <c r="P259" s="11"/>
      <c r="Q259" s="13"/>
      <c r="R259" s="14"/>
    </row>
    <row r="260" spans="1:18" ht="15" customHeight="1">
      <c r="A260" s="15" t="s">
        <v>26</v>
      </c>
      <c r="B260" s="15" t="s">
        <v>826</v>
      </c>
      <c r="C260" s="16">
        <v>0.95833333333333337</v>
      </c>
      <c r="D260" s="15" t="s">
        <v>34</v>
      </c>
      <c r="E260" s="15" t="s">
        <v>82</v>
      </c>
      <c r="F260" s="15" t="s">
        <v>45</v>
      </c>
      <c r="G260" s="298"/>
      <c r="H260" s="10"/>
      <c r="I260" s="11"/>
      <c r="J260" s="11"/>
      <c r="K260" s="11"/>
      <c r="L260" s="11"/>
      <c r="M260" s="11"/>
      <c r="N260" s="11"/>
      <c r="O260" s="12"/>
      <c r="P260" s="11"/>
      <c r="Q260" s="13"/>
      <c r="R260" s="14"/>
    </row>
    <row r="261" spans="1:18" ht="15" customHeight="1">
      <c r="A261" s="17" t="s">
        <v>26</v>
      </c>
      <c r="B261" s="17" t="s">
        <v>821</v>
      </c>
      <c r="C261" s="18">
        <v>0.63194444444444442</v>
      </c>
      <c r="D261" s="17" t="s">
        <v>451</v>
      </c>
      <c r="E261" s="17" t="s">
        <v>90</v>
      </c>
      <c r="F261" s="17" t="s">
        <v>81</v>
      </c>
      <c r="G261" s="298"/>
      <c r="H261" s="10"/>
      <c r="I261" s="11"/>
      <c r="J261" s="11"/>
      <c r="K261" s="11"/>
      <c r="L261" s="11"/>
      <c r="M261" s="11"/>
      <c r="N261" s="11"/>
      <c r="O261" s="12"/>
      <c r="P261" s="11"/>
      <c r="Q261" s="13"/>
      <c r="R261" s="14"/>
    </row>
    <row r="262" spans="1:18" ht="15" customHeight="1">
      <c r="A262" s="17" t="s">
        <v>26</v>
      </c>
      <c r="B262" s="17" t="s">
        <v>822</v>
      </c>
      <c r="C262" s="18">
        <v>0.55902777777777779</v>
      </c>
      <c r="D262" s="17" t="s">
        <v>451</v>
      </c>
      <c r="E262" s="17" t="s">
        <v>90</v>
      </c>
      <c r="F262" s="17" t="s">
        <v>81</v>
      </c>
      <c r="G262" s="298"/>
      <c r="H262" s="10"/>
      <c r="I262" s="11"/>
      <c r="J262" s="11"/>
      <c r="K262" s="11"/>
      <c r="L262" s="11"/>
      <c r="M262" s="11"/>
      <c r="N262" s="11"/>
      <c r="O262" s="12"/>
      <c r="P262" s="11"/>
      <c r="Q262" s="13"/>
      <c r="R262" s="14"/>
    </row>
    <row r="263" spans="1:18" ht="15" customHeight="1">
      <c r="A263" s="17" t="s">
        <v>26</v>
      </c>
      <c r="B263" s="17" t="s">
        <v>823</v>
      </c>
      <c r="C263" s="18">
        <v>0.81944444444444453</v>
      </c>
      <c r="D263" s="17" t="s">
        <v>451</v>
      </c>
      <c r="E263" s="17" t="s">
        <v>90</v>
      </c>
      <c r="F263" s="17" t="s">
        <v>81</v>
      </c>
      <c r="G263" s="298"/>
      <c r="H263" s="10"/>
      <c r="I263" s="11"/>
      <c r="J263" s="11"/>
      <c r="K263" s="11"/>
      <c r="L263" s="11"/>
      <c r="M263" s="11"/>
      <c r="N263" s="11"/>
      <c r="O263" s="12"/>
      <c r="P263" s="11"/>
      <c r="Q263" s="13"/>
      <c r="R263" s="14"/>
    </row>
    <row r="264" spans="1:18" ht="15" customHeight="1">
      <c r="A264" s="17" t="s">
        <v>26</v>
      </c>
      <c r="B264" s="17" t="s">
        <v>824</v>
      </c>
      <c r="C264" s="18">
        <v>0.50694444444444442</v>
      </c>
      <c r="D264" s="17" t="s">
        <v>451</v>
      </c>
      <c r="E264" s="17" t="s">
        <v>90</v>
      </c>
      <c r="F264" s="17" t="s">
        <v>81</v>
      </c>
      <c r="G264" s="298"/>
      <c r="H264" s="10"/>
      <c r="I264" s="11"/>
      <c r="J264" s="11"/>
      <c r="K264" s="11"/>
      <c r="L264" s="11"/>
      <c r="M264" s="11"/>
      <c r="N264" s="11"/>
      <c r="O264" s="12"/>
      <c r="P264" s="11"/>
      <c r="Q264" s="13"/>
      <c r="R264" s="14"/>
    </row>
    <row r="265" spans="1:18" ht="15" customHeight="1">
      <c r="A265" s="17" t="s">
        <v>26</v>
      </c>
      <c r="B265" s="17" t="s">
        <v>825</v>
      </c>
      <c r="C265" s="18">
        <v>0.69791666666666663</v>
      </c>
      <c r="D265" s="17" t="s">
        <v>451</v>
      </c>
      <c r="E265" s="17" t="s">
        <v>90</v>
      </c>
      <c r="F265" s="17" t="s">
        <v>81</v>
      </c>
      <c r="G265" s="298"/>
      <c r="H265" s="10"/>
      <c r="I265" s="11"/>
      <c r="J265" s="11"/>
      <c r="K265" s="11"/>
      <c r="L265" s="11"/>
      <c r="M265" s="11"/>
      <c r="N265" s="11"/>
      <c r="O265" s="12"/>
      <c r="P265" s="11"/>
      <c r="Q265" s="13"/>
      <c r="R265" s="14"/>
    </row>
    <row r="266" spans="1:18" ht="15" customHeight="1">
      <c r="A266" s="19" t="s">
        <v>48</v>
      </c>
      <c r="B266" s="19" t="s">
        <v>833</v>
      </c>
      <c r="C266" s="20">
        <v>0.44444444444444442</v>
      </c>
      <c r="D266" s="19" t="s">
        <v>643</v>
      </c>
      <c r="E266" s="19" t="s">
        <v>51</v>
      </c>
      <c r="F266" s="19" t="s">
        <v>873</v>
      </c>
      <c r="G266" s="298"/>
      <c r="H266" s="10"/>
      <c r="I266" s="11"/>
      <c r="J266" s="11"/>
      <c r="K266" s="11"/>
      <c r="L266" s="11"/>
      <c r="M266" s="11"/>
      <c r="N266" s="11"/>
      <c r="O266" s="12"/>
      <c r="P266" s="11"/>
      <c r="Q266" s="13"/>
      <c r="R266" s="14"/>
    </row>
    <row r="267" spans="1:18" ht="15" customHeight="1">
      <c r="A267" s="17" t="s">
        <v>48</v>
      </c>
      <c r="B267" s="17" t="s">
        <v>884</v>
      </c>
      <c r="C267" s="18">
        <v>0.20833333333333329</v>
      </c>
      <c r="D267" s="17" t="s">
        <v>643</v>
      </c>
      <c r="E267" s="17" t="s">
        <v>57</v>
      </c>
      <c r="F267" s="17" t="s">
        <v>873</v>
      </c>
      <c r="G267" s="298"/>
      <c r="H267" s="10"/>
      <c r="I267" s="11"/>
      <c r="J267" s="11"/>
      <c r="K267" s="11"/>
      <c r="L267" s="11"/>
      <c r="M267" s="11"/>
      <c r="N267" s="11"/>
      <c r="O267" s="12"/>
      <c r="P267" s="11"/>
      <c r="Q267" s="13"/>
      <c r="R267" s="14"/>
    </row>
    <row r="268" spans="1:18" ht="15" customHeight="1">
      <c r="A268" s="17" t="s">
        <v>48</v>
      </c>
      <c r="B268" s="17" t="s">
        <v>831</v>
      </c>
      <c r="C268" s="18">
        <v>0.98263888888888884</v>
      </c>
      <c r="D268" s="17" t="s">
        <v>643</v>
      </c>
      <c r="E268" s="17" t="s">
        <v>57</v>
      </c>
      <c r="F268" s="17" t="s">
        <v>873</v>
      </c>
      <c r="G268" s="298"/>
      <c r="H268" s="10"/>
      <c r="I268" s="11"/>
      <c r="J268" s="11"/>
      <c r="K268" s="11"/>
      <c r="L268" s="11"/>
      <c r="M268" s="11"/>
      <c r="N268" s="11"/>
      <c r="O268" s="12"/>
      <c r="P268" s="11"/>
      <c r="Q268" s="13"/>
      <c r="R268" s="14"/>
    </row>
    <row r="269" spans="1:18" ht="15" customHeight="1">
      <c r="A269" s="17" t="s">
        <v>48</v>
      </c>
      <c r="B269" s="17" t="s">
        <v>828</v>
      </c>
      <c r="C269" s="18">
        <v>0.82986111111111116</v>
      </c>
      <c r="D269" s="17" t="s">
        <v>643</v>
      </c>
      <c r="E269" s="17" t="s">
        <v>57</v>
      </c>
      <c r="F269" s="17" t="s">
        <v>829</v>
      </c>
      <c r="G269" s="298"/>
      <c r="H269" s="10"/>
      <c r="I269" s="11"/>
      <c r="J269" s="11"/>
      <c r="K269" s="11"/>
      <c r="L269" s="11"/>
      <c r="M269" s="11"/>
      <c r="N269" s="11"/>
      <c r="O269" s="12"/>
      <c r="P269" s="11"/>
      <c r="Q269" s="13"/>
      <c r="R269" s="14"/>
    </row>
    <row r="270" spans="1:18" ht="15" customHeight="1">
      <c r="A270" s="17" t="s">
        <v>48</v>
      </c>
      <c r="B270" s="17" t="s">
        <v>832</v>
      </c>
      <c r="C270" s="18">
        <v>0.62847222222222221</v>
      </c>
      <c r="D270" s="17" t="s">
        <v>643</v>
      </c>
      <c r="E270" s="17" t="s">
        <v>57</v>
      </c>
      <c r="F270" s="17" t="s">
        <v>829</v>
      </c>
      <c r="G270" s="298"/>
      <c r="H270" s="10"/>
      <c r="I270" s="11"/>
      <c r="J270" s="11"/>
      <c r="K270" s="11"/>
      <c r="L270" s="11"/>
      <c r="M270" s="11"/>
      <c r="N270" s="11"/>
      <c r="O270" s="12"/>
      <c r="P270" s="11"/>
      <c r="Q270" s="13"/>
      <c r="R270" s="14"/>
    </row>
    <row r="271" spans="1:18" ht="15" customHeight="1">
      <c r="A271" s="17" t="s">
        <v>48</v>
      </c>
      <c r="B271" s="17" t="s">
        <v>835</v>
      </c>
      <c r="C271" s="18">
        <v>0.88888888888888884</v>
      </c>
      <c r="D271" s="17" t="s">
        <v>53</v>
      </c>
      <c r="E271" s="17" t="s">
        <v>37</v>
      </c>
      <c r="F271" s="17" t="s">
        <v>836</v>
      </c>
      <c r="G271" s="298"/>
      <c r="H271" s="10"/>
      <c r="I271" s="11"/>
      <c r="J271" s="11"/>
      <c r="K271" s="11"/>
      <c r="L271" s="11"/>
      <c r="M271" s="11"/>
      <c r="N271" s="11"/>
      <c r="O271" s="12"/>
      <c r="P271" s="11"/>
      <c r="Q271" s="13"/>
      <c r="R271" s="14"/>
    </row>
    <row r="272" spans="1:18" ht="15" customHeight="1">
      <c r="A272" s="15" t="s">
        <v>48</v>
      </c>
      <c r="B272" s="15" t="s">
        <v>835</v>
      </c>
      <c r="C272" s="16">
        <v>0.88888888888888884</v>
      </c>
      <c r="D272" s="15" t="s">
        <v>70</v>
      </c>
      <c r="E272" s="15" t="s">
        <v>32</v>
      </c>
      <c r="F272" s="15" t="s">
        <v>836</v>
      </c>
      <c r="G272" s="298"/>
      <c r="H272" s="10"/>
      <c r="I272" s="11"/>
      <c r="J272" s="11"/>
      <c r="K272" s="11"/>
      <c r="L272" s="11"/>
      <c r="M272" s="11"/>
      <c r="N272" s="11"/>
      <c r="O272" s="12"/>
      <c r="P272" s="11"/>
      <c r="Q272" s="13"/>
      <c r="R272" s="14"/>
    </row>
    <row r="273" spans="1:18" ht="15" customHeight="1">
      <c r="A273" s="17" t="s">
        <v>48</v>
      </c>
      <c r="B273" s="17" t="s">
        <v>837</v>
      </c>
      <c r="C273" s="18">
        <v>0.62847222222222221</v>
      </c>
      <c r="D273" s="17" t="s">
        <v>70</v>
      </c>
      <c r="E273" s="17" t="s">
        <v>37</v>
      </c>
      <c r="F273" s="17" t="s">
        <v>836</v>
      </c>
      <c r="G273" s="298"/>
      <c r="H273" s="10"/>
      <c r="I273" s="11"/>
      <c r="J273" s="11"/>
      <c r="K273" s="11"/>
      <c r="L273" s="11"/>
      <c r="M273" s="11"/>
      <c r="N273" s="11"/>
      <c r="O273" s="12"/>
      <c r="P273" s="11"/>
      <c r="Q273" s="13"/>
      <c r="R273" s="14"/>
    </row>
    <row r="274" spans="1:18" ht="15" customHeight="1">
      <c r="A274" s="17" t="s">
        <v>48</v>
      </c>
      <c r="B274" s="17" t="s">
        <v>838</v>
      </c>
      <c r="C274" s="18">
        <v>0.94444444444444453</v>
      </c>
      <c r="D274" s="17" t="s">
        <v>70</v>
      </c>
      <c r="E274" s="17" t="s">
        <v>37</v>
      </c>
      <c r="F274" s="17" t="s">
        <v>836</v>
      </c>
      <c r="G274" s="298"/>
      <c r="H274" s="10"/>
      <c r="I274" s="11"/>
      <c r="J274" s="11"/>
      <c r="K274" s="11"/>
      <c r="L274" s="11"/>
      <c r="M274" s="11"/>
      <c r="N274" s="11"/>
      <c r="O274" s="12"/>
      <c r="P274" s="11"/>
      <c r="Q274" s="13"/>
      <c r="R274" s="14"/>
    </row>
    <row r="275" spans="1:18" ht="15" customHeight="1">
      <c r="A275" s="49" t="s">
        <v>61</v>
      </c>
      <c r="B275" s="49" t="s">
        <v>852</v>
      </c>
      <c r="C275" s="50">
        <v>0.72569444444444453</v>
      </c>
      <c r="D275" s="49" t="s">
        <v>63</v>
      </c>
      <c r="E275" s="49" t="s">
        <v>51</v>
      </c>
      <c r="F275" s="49" t="s">
        <v>849</v>
      </c>
      <c r="G275" s="298"/>
      <c r="H275" s="51" t="s">
        <v>854</v>
      </c>
      <c r="I275" s="52">
        <v>3.9100000000000003E-2</v>
      </c>
      <c r="J275" s="53">
        <v>7</v>
      </c>
      <c r="K275" s="54">
        <v>46344</v>
      </c>
      <c r="L275" s="53">
        <v>7</v>
      </c>
      <c r="M275" s="53">
        <v>0</v>
      </c>
      <c r="N275" s="53">
        <v>0</v>
      </c>
      <c r="O275" s="55" t="s">
        <v>877</v>
      </c>
      <c r="P275" s="56">
        <v>0.72569444444444453</v>
      </c>
      <c r="Q275" s="53">
        <v>179</v>
      </c>
      <c r="R275" s="57" t="s">
        <v>885</v>
      </c>
    </row>
    <row r="276" spans="1:18" ht="15" customHeight="1">
      <c r="A276" s="19" t="s">
        <v>68</v>
      </c>
      <c r="B276" s="19" t="s">
        <v>842</v>
      </c>
      <c r="C276" s="20">
        <v>0.98263888888888884</v>
      </c>
      <c r="D276" s="19" t="s">
        <v>70</v>
      </c>
      <c r="E276" s="19" t="s">
        <v>51</v>
      </c>
      <c r="F276" s="19" t="s">
        <v>404</v>
      </c>
      <c r="G276" s="298"/>
      <c r="H276" s="10"/>
      <c r="I276" s="11"/>
      <c r="J276" s="11"/>
      <c r="K276" s="11"/>
      <c r="L276" s="11"/>
      <c r="M276" s="11"/>
      <c r="N276" s="11"/>
      <c r="O276" s="12"/>
      <c r="P276" s="11"/>
      <c r="Q276" s="13"/>
      <c r="R276" s="14"/>
    </row>
    <row r="277" spans="1:18" ht="15" customHeight="1">
      <c r="A277" s="17" t="s">
        <v>68</v>
      </c>
      <c r="B277" s="17" t="s">
        <v>843</v>
      </c>
      <c r="C277" s="18">
        <v>0.35416666666666669</v>
      </c>
      <c r="D277" s="17" t="s">
        <v>70</v>
      </c>
      <c r="E277" s="17" t="s">
        <v>57</v>
      </c>
      <c r="F277" s="17" t="s">
        <v>404</v>
      </c>
      <c r="G277" s="298"/>
      <c r="H277" s="10"/>
      <c r="I277" s="11"/>
      <c r="J277" s="11"/>
      <c r="K277" s="11"/>
      <c r="L277" s="11"/>
      <c r="M277" s="11"/>
      <c r="N277" s="11"/>
      <c r="O277" s="12"/>
      <c r="P277" s="11"/>
      <c r="Q277" s="13"/>
      <c r="R277" s="14"/>
    </row>
    <row r="278" spans="1:18" ht="15" customHeight="1">
      <c r="A278" s="17" t="s">
        <v>68</v>
      </c>
      <c r="B278" s="17" t="s">
        <v>844</v>
      </c>
      <c r="C278" s="18">
        <v>0.72916666666666663</v>
      </c>
      <c r="D278" s="17" t="s">
        <v>70</v>
      </c>
      <c r="E278" s="17" t="s">
        <v>57</v>
      </c>
      <c r="F278" s="17" t="s">
        <v>845</v>
      </c>
      <c r="G278" s="298"/>
      <c r="H278" s="10"/>
      <c r="I278" s="11"/>
      <c r="J278" s="11"/>
      <c r="K278" s="11"/>
      <c r="L278" s="11"/>
      <c r="M278" s="11"/>
      <c r="N278" s="11"/>
      <c r="O278" s="12"/>
      <c r="P278" s="11"/>
      <c r="Q278" s="13"/>
      <c r="R278" s="14"/>
    </row>
    <row r="279" spans="1:18" ht="15" customHeight="1">
      <c r="A279" s="19" t="s">
        <v>402</v>
      </c>
      <c r="B279" s="19" t="s">
        <v>839</v>
      </c>
      <c r="C279" s="20">
        <v>0.1701388888888889</v>
      </c>
      <c r="D279" s="19" t="s">
        <v>63</v>
      </c>
      <c r="E279" s="19" t="s">
        <v>107</v>
      </c>
      <c r="F279" s="19" t="s">
        <v>881</v>
      </c>
      <c r="G279" s="298"/>
      <c r="H279" s="10"/>
      <c r="I279" s="11"/>
      <c r="J279" s="11"/>
      <c r="K279" s="11"/>
      <c r="L279" s="11"/>
      <c r="M279" s="11"/>
      <c r="N279" s="11"/>
      <c r="O279" s="12"/>
      <c r="P279" s="11"/>
      <c r="Q279" s="13"/>
      <c r="R279" s="14"/>
    </row>
    <row r="280" spans="1:18" ht="15" customHeight="1" thickBot="1">
      <c r="A280" s="30" t="s">
        <v>402</v>
      </c>
      <c r="B280" s="30" t="s">
        <v>841</v>
      </c>
      <c r="C280" s="31">
        <v>0.55208333333333337</v>
      </c>
      <c r="D280" s="30" t="s">
        <v>63</v>
      </c>
      <c r="E280" s="30" t="s">
        <v>37</v>
      </c>
      <c r="F280" s="30" t="s">
        <v>881</v>
      </c>
      <c r="G280" s="299"/>
      <c r="H280" s="300"/>
      <c r="I280" s="140"/>
      <c r="J280" s="140"/>
      <c r="K280" s="140"/>
      <c r="L280" s="140"/>
      <c r="M280" s="140"/>
      <c r="N280" s="140"/>
      <c r="O280" s="141"/>
      <c r="P280" s="140"/>
      <c r="Q280" s="142"/>
      <c r="R280" s="301"/>
    </row>
    <row r="281" spans="1:18" ht="17.45" customHeight="1" thickBot="1">
      <c r="A281" s="283"/>
      <c r="B281" s="284"/>
      <c r="C281" s="284"/>
      <c r="D281" s="284"/>
      <c r="E281" s="284"/>
      <c r="F281" s="284"/>
      <c r="G281" s="284"/>
      <c r="H281" s="284"/>
      <c r="I281" s="284"/>
      <c r="J281" s="284"/>
      <c r="K281" s="284"/>
      <c r="L281" s="284"/>
      <c r="M281" s="284"/>
      <c r="N281" s="284"/>
      <c r="O281" s="284"/>
      <c r="P281" s="284"/>
      <c r="Q281" s="284"/>
      <c r="R281" s="285"/>
    </row>
    <row r="282" spans="1:18" ht="22.15" customHeight="1" thickTop="1" thickBot="1">
      <c r="A282" s="279" t="s">
        <v>6</v>
      </c>
      <c r="B282" s="295"/>
      <c r="C282" s="295"/>
      <c r="D282" s="295"/>
      <c r="E282" s="295"/>
      <c r="F282" s="296"/>
      <c r="G282" s="32">
        <v>46028</v>
      </c>
      <c r="H282" s="278" t="s">
        <v>7</v>
      </c>
      <c r="I282" s="295"/>
      <c r="J282" s="295"/>
      <c r="K282" s="295"/>
      <c r="L282" s="295"/>
      <c r="M282" s="295"/>
      <c r="N282" s="295"/>
      <c r="O282" s="295"/>
      <c r="P282" s="295"/>
      <c r="Q282" s="295"/>
      <c r="R282" s="296"/>
    </row>
    <row r="283" spans="1:18" ht="24" customHeight="1">
      <c r="A283" s="33" t="s">
        <v>8</v>
      </c>
      <c r="B283" s="33" t="s">
        <v>9</v>
      </c>
      <c r="C283" s="34" t="s">
        <v>10</v>
      </c>
      <c r="D283" s="33" t="s">
        <v>11</v>
      </c>
      <c r="E283" s="33" t="s">
        <v>12</v>
      </c>
      <c r="F283" s="35" t="s">
        <v>13</v>
      </c>
      <c r="G283" s="36" t="s">
        <v>14</v>
      </c>
      <c r="H283" s="33" t="s">
        <v>15</v>
      </c>
      <c r="I283" s="37" t="s">
        <v>16</v>
      </c>
      <c r="J283" s="38" t="s">
        <v>17</v>
      </c>
      <c r="K283" s="39" t="s">
        <v>18</v>
      </c>
      <c r="L283" s="38" t="s">
        <v>19</v>
      </c>
      <c r="M283" s="38" t="s">
        <v>20</v>
      </c>
      <c r="N283" s="38" t="s">
        <v>21</v>
      </c>
      <c r="O283" s="33" t="s">
        <v>22</v>
      </c>
      <c r="P283" s="34" t="s">
        <v>23</v>
      </c>
      <c r="Q283" s="38" t="s">
        <v>24</v>
      </c>
      <c r="R283" s="33" t="s">
        <v>25</v>
      </c>
    </row>
    <row r="284" spans="1:18" ht="15" customHeight="1">
      <c r="A284" s="8" t="s">
        <v>38</v>
      </c>
      <c r="B284" s="8" t="s">
        <v>809</v>
      </c>
      <c r="C284" s="9">
        <v>0.57638888888888895</v>
      </c>
      <c r="D284" s="8" t="s">
        <v>40</v>
      </c>
      <c r="E284" s="8" t="s">
        <v>168</v>
      </c>
      <c r="F284" s="8" t="s">
        <v>475</v>
      </c>
      <c r="G284" s="297"/>
      <c r="H284" s="10"/>
      <c r="I284" s="11"/>
      <c r="J284" s="11"/>
      <c r="K284" s="11"/>
      <c r="L284" s="11"/>
      <c r="M284" s="11"/>
      <c r="N284" s="11"/>
      <c r="O284" s="12"/>
      <c r="P284" s="11"/>
      <c r="Q284" s="13"/>
      <c r="R284" s="14"/>
    </row>
    <row r="285" spans="1:18" ht="15" customHeight="1">
      <c r="A285" s="15" t="s">
        <v>38</v>
      </c>
      <c r="B285" s="15" t="s">
        <v>809</v>
      </c>
      <c r="C285" s="16">
        <v>0.57638888888888895</v>
      </c>
      <c r="D285" s="15" t="s">
        <v>43</v>
      </c>
      <c r="E285" s="15" t="s">
        <v>114</v>
      </c>
      <c r="F285" s="15" t="s">
        <v>121</v>
      </c>
      <c r="G285" s="298"/>
      <c r="H285" s="10"/>
      <c r="I285" s="11"/>
      <c r="J285" s="11"/>
      <c r="K285" s="11"/>
      <c r="L285" s="11"/>
      <c r="M285" s="11"/>
      <c r="N285" s="11"/>
      <c r="O285" s="12"/>
      <c r="P285" s="11"/>
      <c r="Q285" s="13"/>
      <c r="R285" s="14"/>
    </row>
    <row r="286" spans="1:18" ht="15" customHeight="1">
      <c r="A286" s="15" t="s">
        <v>38</v>
      </c>
      <c r="B286" s="15" t="s">
        <v>809</v>
      </c>
      <c r="C286" s="16">
        <v>0.57638888888888895</v>
      </c>
      <c r="D286" s="15" t="s">
        <v>46</v>
      </c>
      <c r="E286" s="15" t="s">
        <v>114</v>
      </c>
      <c r="F286" s="15" t="s">
        <v>810</v>
      </c>
      <c r="G286" s="298"/>
      <c r="H286" s="10"/>
      <c r="I286" s="11"/>
      <c r="J286" s="11"/>
      <c r="K286" s="11"/>
      <c r="L286" s="11"/>
      <c r="M286" s="11"/>
      <c r="N286" s="11"/>
      <c r="O286" s="12"/>
      <c r="P286" s="11"/>
      <c r="Q286" s="13"/>
      <c r="R286" s="14"/>
    </row>
    <row r="287" spans="1:18" ht="15" customHeight="1">
      <c r="A287" s="17" t="s">
        <v>38</v>
      </c>
      <c r="B287" s="17" t="s">
        <v>811</v>
      </c>
      <c r="C287" s="18">
        <v>0.62847222222222221</v>
      </c>
      <c r="D287" s="17" t="s">
        <v>40</v>
      </c>
      <c r="E287" s="17" t="s">
        <v>194</v>
      </c>
      <c r="F287" s="17" t="s">
        <v>475</v>
      </c>
      <c r="G287" s="298"/>
      <c r="H287" s="10"/>
      <c r="I287" s="11"/>
      <c r="J287" s="11"/>
      <c r="K287" s="11"/>
      <c r="L287" s="11"/>
      <c r="M287" s="11"/>
      <c r="N287" s="11"/>
      <c r="O287" s="12"/>
      <c r="P287" s="11"/>
      <c r="Q287" s="13"/>
      <c r="R287" s="14"/>
    </row>
    <row r="288" spans="1:18" ht="15" customHeight="1">
      <c r="A288" s="15" t="s">
        <v>38</v>
      </c>
      <c r="B288" s="15" t="s">
        <v>811</v>
      </c>
      <c r="C288" s="16">
        <v>0.62847222222222221</v>
      </c>
      <c r="D288" s="15" t="s">
        <v>43</v>
      </c>
      <c r="E288" s="15" t="s">
        <v>195</v>
      </c>
      <c r="F288" s="15" t="s">
        <v>121</v>
      </c>
      <c r="G288" s="298"/>
      <c r="H288" s="10"/>
      <c r="I288" s="11"/>
      <c r="J288" s="11"/>
      <c r="K288" s="11"/>
      <c r="L288" s="11"/>
      <c r="M288" s="11"/>
      <c r="N288" s="11"/>
      <c r="O288" s="12"/>
      <c r="P288" s="11"/>
      <c r="Q288" s="13"/>
      <c r="R288" s="14"/>
    </row>
    <row r="289" spans="1:18" ht="15" customHeight="1">
      <c r="A289" s="15" t="s">
        <v>38</v>
      </c>
      <c r="B289" s="15" t="s">
        <v>811</v>
      </c>
      <c r="C289" s="16">
        <v>0.62847222222222221</v>
      </c>
      <c r="D289" s="15" t="s">
        <v>46</v>
      </c>
      <c r="E289" s="15" t="s">
        <v>195</v>
      </c>
      <c r="F289" s="15" t="s">
        <v>810</v>
      </c>
      <c r="G289" s="298"/>
      <c r="H289" s="10"/>
      <c r="I289" s="11"/>
      <c r="J289" s="11"/>
      <c r="K289" s="11"/>
      <c r="L289" s="11"/>
      <c r="M289" s="11"/>
      <c r="N289" s="11"/>
      <c r="O289" s="12"/>
      <c r="P289" s="11"/>
      <c r="Q289" s="13"/>
      <c r="R289" s="14"/>
    </row>
    <row r="290" spans="1:18" ht="15" customHeight="1">
      <c r="A290" s="17" t="s">
        <v>38</v>
      </c>
      <c r="B290" s="17" t="s">
        <v>812</v>
      </c>
      <c r="C290" s="18">
        <v>0.88888888888888884</v>
      </c>
      <c r="D290" s="17" t="s">
        <v>40</v>
      </c>
      <c r="E290" s="17" t="s">
        <v>170</v>
      </c>
      <c r="F290" s="17" t="s">
        <v>475</v>
      </c>
      <c r="G290" s="298"/>
      <c r="H290" s="10"/>
      <c r="I290" s="11"/>
      <c r="J290" s="11"/>
      <c r="K290" s="11"/>
      <c r="L290" s="11"/>
      <c r="M290" s="11"/>
      <c r="N290" s="11"/>
      <c r="O290" s="12"/>
      <c r="P290" s="11"/>
      <c r="Q290" s="13"/>
      <c r="R290" s="14"/>
    </row>
    <row r="291" spans="1:18" ht="15" customHeight="1">
      <c r="A291" s="15" t="s">
        <v>38</v>
      </c>
      <c r="B291" s="15" t="s">
        <v>812</v>
      </c>
      <c r="C291" s="16">
        <v>0.88888888888888884</v>
      </c>
      <c r="D291" s="15" t="s">
        <v>43</v>
      </c>
      <c r="E291" s="15" t="s">
        <v>152</v>
      </c>
      <c r="F291" s="15" t="s">
        <v>121</v>
      </c>
      <c r="G291" s="298"/>
      <c r="H291" s="10"/>
      <c r="I291" s="11"/>
      <c r="J291" s="11"/>
      <c r="K291" s="11"/>
      <c r="L291" s="11"/>
      <c r="M291" s="11"/>
      <c r="N291" s="11"/>
      <c r="O291" s="12"/>
      <c r="P291" s="11"/>
      <c r="Q291" s="13"/>
      <c r="R291" s="14"/>
    </row>
    <row r="292" spans="1:18" ht="15" customHeight="1">
      <c r="A292" s="15" t="s">
        <v>38</v>
      </c>
      <c r="B292" s="15" t="s">
        <v>812</v>
      </c>
      <c r="C292" s="16">
        <v>0.88888888888888884</v>
      </c>
      <c r="D292" s="15" t="s">
        <v>46</v>
      </c>
      <c r="E292" s="15" t="s">
        <v>152</v>
      </c>
      <c r="F292" s="15" t="s">
        <v>810</v>
      </c>
      <c r="G292" s="298"/>
      <c r="H292" s="10"/>
      <c r="I292" s="11"/>
      <c r="J292" s="11"/>
      <c r="K292" s="11"/>
      <c r="L292" s="11"/>
      <c r="M292" s="11"/>
      <c r="N292" s="11"/>
      <c r="O292" s="12"/>
      <c r="P292" s="11"/>
      <c r="Q292" s="13"/>
      <c r="R292" s="14"/>
    </row>
    <row r="293" spans="1:18" ht="15" customHeight="1">
      <c r="A293" s="17" t="s">
        <v>38</v>
      </c>
      <c r="B293" s="17" t="s">
        <v>813</v>
      </c>
      <c r="C293" s="18">
        <v>0.94444444444444453</v>
      </c>
      <c r="D293" s="17" t="s">
        <v>40</v>
      </c>
      <c r="E293" s="17" t="s">
        <v>458</v>
      </c>
      <c r="F293" s="17" t="s">
        <v>475</v>
      </c>
      <c r="G293" s="298"/>
      <c r="H293" s="10"/>
      <c r="I293" s="11"/>
      <c r="J293" s="11"/>
      <c r="K293" s="11"/>
      <c r="L293" s="11"/>
      <c r="M293" s="11"/>
      <c r="N293" s="11"/>
      <c r="O293" s="12"/>
      <c r="P293" s="11"/>
      <c r="Q293" s="13"/>
      <c r="R293" s="14"/>
    </row>
    <row r="294" spans="1:18" ht="15" customHeight="1">
      <c r="A294" s="15" t="s">
        <v>38</v>
      </c>
      <c r="B294" s="15" t="s">
        <v>813</v>
      </c>
      <c r="C294" s="16">
        <v>0.94444444444444453</v>
      </c>
      <c r="D294" s="15" t="s">
        <v>43</v>
      </c>
      <c r="E294" s="15" t="s">
        <v>155</v>
      </c>
      <c r="F294" s="15" t="s">
        <v>121</v>
      </c>
      <c r="G294" s="298"/>
      <c r="H294" s="10"/>
      <c r="I294" s="11"/>
      <c r="J294" s="11"/>
      <c r="K294" s="11"/>
      <c r="L294" s="11"/>
      <c r="M294" s="11"/>
      <c r="N294" s="11"/>
      <c r="O294" s="12"/>
      <c r="P294" s="11"/>
      <c r="Q294" s="13"/>
      <c r="R294" s="14"/>
    </row>
    <row r="295" spans="1:18" ht="15" customHeight="1">
      <c r="A295" s="15" t="s">
        <v>38</v>
      </c>
      <c r="B295" s="15" t="s">
        <v>813</v>
      </c>
      <c r="C295" s="16">
        <v>0.94444444444444453</v>
      </c>
      <c r="D295" s="15" t="s">
        <v>46</v>
      </c>
      <c r="E295" s="15" t="s">
        <v>155</v>
      </c>
      <c r="F295" s="15" t="s">
        <v>810</v>
      </c>
      <c r="G295" s="298"/>
      <c r="H295" s="10"/>
      <c r="I295" s="11"/>
      <c r="J295" s="11"/>
      <c r="K295" s="11"/>
      <c r="L295" s="11"/>
      <c r="M295" s="11"/>
      <c r="N295" s="11"/>
      <c r="O295" s="12"/>
      <c r="P295" s="11"/>
      <c r="Q295" s="13"/>
      <c r="R295" s="14"/>
    </row>
    <row r="296" spans="1:18" ht="15" customHeight="1">
      <c r="A296" s="19" t="s">
        <v>359</v>
      </c>
      <c r="B296" s="19" t="s">
        <v>814</v>
      </c>
      <c r="C296" s="20">
        <v>0.4375</v>
      </c>
      <c r="D296" s="19" t="s">
        <v>361</v>
      </c>
      <c r="E296" s="19" t="s">
        <v>80</v>
      </c>
      <c r="F296" s="19" t="s">
        <v>883</v>
      </c>
      <c r="G296" s="298"/>
      <c r="H296" s="10"/>
      <c r="I296" s="11"/>
      <c r="J296" s="11"/>
      <c r="K296" s="11"/>
      <c r="L296" s="11"/>
      <c r="M296" s="11"/>
      <c r="N296" s="11"/>
      <c r="O296" s="12"/>
      <c r="P296" s="11"/>
      <c r="Q296" s="13"/>
      <c r="R296" s="14"/>
    </row>
    <row r="297" spans="1:18" ht="15" customHeight="1">
      <c r="A297" s="15" t="s">
        <v>359</v>
      </c>
      <c r="B297" s="15" t="s">
        <v>814</v>
      </c>
      <c r="C297" s="16">
        <v>0.4375</v>
      </c>
      <c r="D297" s="15" t="s">
        <v>46</v>
      </c>
      <c r="E297" s="15" t="s">
        <v>82</v>
      </c>
      <c r="F297" s="15" t="s">
        <v>886</v>
      </c>
      <c r="G297" s="298"/>
      <c r="H297" s="10"/>
      <c r="I297" s="11"/>
      <c r="J297" s="11"/>
      <c r="K297" s="11"/>
      <c r="L297" s="11"/>
      <c r="M297" s="11"/>
      <c r="N297" s="11"/>
      <c r="O297" s="12"/>
      <c r="P297" s="11"/>
      <c r="Q297" s="13"/>
      <c r="R297" s="14"/>
    </row>
    <row r="298" spans="1:18" ht="15" customHeight="1">
      <c r="A298" s="17" t="s">
        <v>359</v>
      </c>
      <c r="B298" s="17" t="s">
        <v>887</v>
      </c>
      <c r="C298" s="18">
        <v>5.2083333333333343E-2</v>
      </c>
      <c r="D298" s="17" t="s">
        <v>361</v>
      </c>
      <c r="E298" s="17" t="s">
        <v>90</v>
      </c>
      <c r="F298" s="17" t="s">
        <v>883</v>
      </c>
      <c r="G298" s="298"/>
      <c r="H298" s="10"/>
      <c r="I298" s="11"/>
      <c r="J298" s="11"/>
      <c r="K298" s="11"/>
      <c r="L298" s="11"/>
      <c r="M298" s="11"/>
      <c r="N298" s="11"/>
      <c r="O298" s="12"/>
      <c r="P298" s="11"/>
      <c r="Q298" s="13"/>
      <c r="R298" s="14"/>
    </row>
    <row r="299" spans="1:18" ht="15" customHeight="1">
      <c r="A299" s="15" t="s">
        <v>359</v>
      </c>
      <c r="B299" s="15" t="s">
        <v>887</v>
      </c>
      <c r="C299" s="16">
        <v>5.2083333333333343E-2</v>
      </c>
      <c r="D299" s="15" t="s">
        <v>46</v>
      </c>
      <c r="E299" s="15" t="s">
        <v>82</v>
      </c>
      <c r="F299" s="15" t="s">
        <v>886</v>
      </c>
      <c r="G299" s="298"/>
      <c r="H299" s="10"/>
      <c r="I299" s="11"/>
      <c r="J299" s="11"/>
      <c r="K299" s="11"/>
      <c r="L299" s="11"/>
      <c r="M299" s="11"/>
      <c r="N299" s="11"/>
      <c r="O299" s="12"/>
      <c r="P299" s="11"/>
      <c r="Q299" s="13"/>
      <c r="R299" s="14"/>
    </row>
    <row r="300" spans="1:18" ht="15" customHeight="1">
      <c r="A300" s="19" t="s">
        <v>68</v>
      </c>
      <c r="B300" s="19" t="s">
        <v>844</v>
      </c>
      <c r="C300" s="20">
        <v>0.72916666666666663</v>
      </c>
      <c r="D300" s="19" t="s">
        <v>643</v>
      </c>
      <c r="E300" s="19" t="s">
        <v>51</v>
      </c>
      <c r="F300" s="19" t="s">
        <v>888</v>
      </c>
      <c r="G300" s="298"/>
      <c r="H300" s="10"/>
      <c r="I300" s="11"/>
      <c r="J300" s="11"/>
      <c r="K300" s="11"/>
      <c r="L300" s="11"/>
      <c r="M300" s="11"/>
      <c r="N300" s="11"/>
      <c r="O300" s="12"/>
      <c r="P300" s="11"/>
      <c r="Q300" s="13"/>
      <c r="R300" s="14"/>
    </row>
    <row r="301" spans="1:18" ht="15" customHeight="1">
      <c r="A301" s="17" t="s">
        <v>68</v>
      </c>
      <c r="B301" s="17" t="s">
        <v>842</v>
      </c>
      <c r="C301" s="18">
        <v>0.98263888888888884</v>
      </c>
      <c r="D301" s="17" t="s">
        <v>70</v>
      </c>
      <c r="E301" s="17" t="s">
        <v>57</v>
      </c>
      <c r="F301" s="17" t="s">
        <v>404</v>
      </c>
      <c r="G301" s="298"/>
      <c r="H301" s="10"/>
      <c r="I301" s="11"/>
      <c r="J301" s="11"/>
      <c r="K301" s="11"/>
      <c r="L301" s="11"/>
      <c r="M301" s="11"/>
      <c r="N301" s="11"/>
      <c r="O301" s="12"/>
      <c r="P301" s="11"/>
      <c r="Q301" s="13"/>
      <c r="R301" s="14"/>
    </row>
    <row r="302" spans="1:18" ht="15" customHeight="1">
      <c r="A302" s="17" t="s">
        <v>68</v>
      </c>
      <c r="B302" s="17" t="s">
        <v>843</v>
      </c>
      <c r="C302" s="18">
        <v>0.35416666666666669</v>
      </c>
      <c r="D302" s="17" t="s">
        <v>70</v>
      </c>
      <c r="E302" s="17" t="s">
        <v>57</v>
      </c>
      <c r="F302" s="17" t="s">
        <v>404</v>
      </c>
      <c r="G302" s="298"/>
      <c r="H302" s="10"/>
      <c r="I302" s="11"/>
      <c r="J302" s="11"/>
      <c r="K302" s="11"/>
      <c r="L302" s="11"/>
      <c r="M302" s="11"/>
      <c r="N302" s="11"/>
      <c r="O302" s="12"/>
      <c r="P302" s="11"/>
      <c r="Q302" s="13"/>
      <c r="R302" s="14"/>
    </row>
    <row r="303" spans="1:18" ht="15" customHeight="1">
      <c r="A303" s="87" t="s">
        <v>61</v>
      </c>
      <c r="B303" s="87" t="s">
        <v>852</v>
      </c>
      <c r="C303" s="88">
        <v>0.71527777777777779</v>
      </c>
      <c r="D303" s="87" t="s">
        <v>63</v>
      </c>
      <c r="E303" s="87" t="s">
        <v>51</v>
      </c>
      <c r="F303" s="87" t="s">
        <v>817</v>
      </c>
      <c r="G303" s="298"/>
      <c r="H303" s="89" t="s">
        <v>854</v>
      </c>
      <c r="I303" s="90">
        <v>3.3500000000000002E-2</v>
      </c>
      <c r="J303" s="91">
        <v>6</v>
      </c>
      <c r="K303" s="92">
        <v>46344</v>
      </c>
      <c r="L303" s="91">
        <v>6</v>
      </c>
      <c r="M303" s="91">
        <v>0</v>
      </c>
      <c r="N303" s="91">
        <v>0</v>
      </c>
      <c r="O303" s="93" t="s">
        <v>326</v>
      </c>
      <c r="P303" s="94">
        <v>0.71527777777777779</v>
      </c>
      <c r="Q303" s="91">
        <v>179</v>
      </c>
      <c r="R303" s="95" t="s">
        <v>889</v>
      </c>
    </row>
    <row r="304" spans="1:18" ht="15" customHeight="1">
      <c r="A304" s="19" t="s">
        <v>26</v>
      </c>
      <c r="B304" s="19" t="s">
        <v>820</v>
      </c>
      <c r="C304" s="20">
        <v>0.4375</v>
      </c>
      <c r="D304" s="19" t="s">
        <v>28</v>
      </c>
      <c r="E304" s="19" t="s">
        <v>80</v>
      </c>
      <c r="F304" s="19" t="s">
        <v>81</v>
      </c>
      <c r="G304" s="298"/>
      <c r="H304" s="10"/>
      <c r="I304" s="11"/>
      <c r="J304" s="11"/>
      <c r="K304" s="11"/>
      <c r="L304" s="11"/>
      <c r="M304" s="11"/>
      <c r="N304" s="11"/>
      <c r="O304" s="12"/>
      <c r="P304" s="11"/>
      <c r="Q304" s="13"/>
      <c r="R304" s="14"/>
    </row>
    <row r="305" spans="1:18" ht="15" customHeight="1">
      <c r="A305" s="15" t="s">
        <v>26</v>
      </c>
      <c r="B305" s="15" t="s">
        <v>820</v>
      </c>
      <c r="C305" s="16">
        <v>0.4375</v>
      </c>
      <c r="D305" s="15" t="s">
        <v>31</v>
      </c>
      <c r="E305" s="15" t="s">
        <v>82</v>
      </c>
      <c r="F305" s="15" t="s">
        <v>83</v>
      </c>
      <c r="G305" s="298"/>
      <c r="H305" s="10"/>
      <c r="I305" s="11"/>
      <c r="J305" s="11"/>
      <c r="K305" s="11"/>
      <c r="L305" s="11"/>
      <c r="M305" s="11"/>
      <c r="N305" s="11"/>
      <c r="O305" s="12"/>
      <c r="P305" s="11"/>
      <c r="Q305" s="13"/>
      <c r="R305" s="14"/>
    </row>
    <row r="306" spans="1:18" ht="15" customHeight="1">
      <c r="A306" s="15" t="s">
        <v>26</v>
      </c>
      <c r="B306" s="15" t="s">
        <v>820</v>
      </c>
      <c r="C306" s="16">
        <v>0.4375</v>
      </c>
      <c r="D306" s="15" t="s">
        <v>34</v>
      </c>
      <c r="E306" s="15" t="s">
        <v>82</v>
      </c>
      <c r="F306" s="15" t="s">
        <v>45</v>
      </c>
      <c r="G306" s="298"/>
      <c r="H306" s="10"/>
      <c r="I306" s="11"/>
      <c r="J306" s="11"/>
      <c r="K306" s="11"/>
      <c r="L306" s="11"/>
      <c r="M306" s="11"/>
      <c r="N306" s="11"/>
      <c r="O306" s="12"/>
      <c r="P306" s="11"/>
      <c r="Q306" s="13"/>
      <c r="R306" s="14"/>
    </row>
    <row r="307" spans="1:18" ht="15" customHeight="1">
      <c r="A307" s="17" t="s">
        <v>26</v>
      </c>
      <c r="B307" s="17" t="s">
        <v>826</v>
      </c>
      <c r="C307" s="18">
        <v>0.95833333333333337</v>
      </c>
      <c r="D307" s="17" t="s">
        <v>28</v>
      </c>
      <c r="E307" s="17" t="s">
        <v>90</v>
      </c>
      <c r="F307" s="17" t="s">
        <v>81</v>
      </c>
      <c r="G307" s="298"/>
      <c r="H307" s="10"/>
      <c r="I307" s="11"/>
      <c r="J307" s="11"/>
      <c r="K307" s="11"/>
      <c r="L307" s="11"/>
      <c r="M307" s="11"/>
      <c r="N307" s="11"/>
      <c r="O307" s="12"/>
      <c r="P307" s="11"/>
      <c r="Q307" s="13"/>
      <c r="R307" s="14"/>
    </row>
    <row r="308" spans="1:18" ht="15" customHeight="1">
      <c r="A308" s="15" t="s">
        <v>26</v>
      </c>
      <c r="B308" s="15" t="s">
        <v>826</v>
      </c>
      <c r="C308" s="16">
        <v>0.95833333333333337</v>
      </c>
      <c r="D308" s="15" t="s">
        <v>31</v>
      </c>
      <c r="E308" s="15" t="s">
        <v>82</v>
      </c>
      <c r="F308" s="15" t="s">
        <v>83</v>
      </c>
      <c r="G308" s="298"/>
      <c r="H308" s="10"/>
      <c r="I308" s="11"/>
      <c r="J308" s="11"/>
      <c r="K308" s="11"/>
      <c r="L308" s="11"/>
      <c r="M308" s="11"/>
      <c r="N308" s="11"/>
      <c r="O308" s="12"/>
      <c r="P308" s="11"/>
      <c r="Q308" s="13"/>
      <c r="R308" s="14"/>
    </row>
    <row r="309" spans="1:18" ht="15" customHeight="1">
      <c r="A309" s="15" t="s">
        <v>26</v>
      </c>
      <c r="B309" s="15" t="s">
        <v>826</v>
      </c>
      <c r="C309" s="16">
        <v>0.95833333333333337</v>
      </c>
      <c r="D309" s="15" t="s">
        <v>34</v>
      </c>
      <c r="E309" s="15" t="s">
        <v>82</v>
      </c>
      <c r="F309" s="15" t="s">
        <v>45</v>
      </c>
      <c r="G309" s="298"/>
      <c r="H309" s="10"/>
      <c r="I309" s="11"/>
      <c r="J309" s="11"/>
      <c r="K309" s="11"/>
      <c r="L309" s="11"/>
      <c r="M309" s="11"/>
      <c r="N309" s="11"/>
      <c r="O309" s="12"/>
      <c r="P309" s="11"/>
      <c r="Q309" s="13"/>
      <c r="R309" s="14"/>
    </row>
    <row r="310" spans="1:18" ht="15" customHeight="1">
      <c r="A310" s="17" t="s">
        <v>26</v>
      </c>
      <c r="B310" s="17" t="s">
        <v>821</v>
      </c>
      <c r="C310" s="18">
        <v>0.63194444444444442</v>
      </c>
      <c r="D310" s="17" t="s">
        <v>28</v>
      </c>
      <c r="E310" s="17" t="s">
        <v>90</v>
      </c>
      <c r="F310" s="17" t="s">
        <v>81</v>
      </c>
      <c r="G310" s="298"/>
      <c r="H310" s="10"/>
      <c r="I310" s="11"/>
      <c r="J310" s="11"/>
      <c r="K310" s="11"/>
      <c r="L310" s="11"/>
      <c r="M310" s="11"/>
      <c r="N310" s="11"/>
      <c r="O310" s="12"/>
      <c r="P310" s="11"/>
      <c r="Q310" s="13"/>
      <c r="R310" s="14"/>
    </row>
    <row r="311" spans="1:18" ht="15" customHeight="1">
      <c r="A311" s="15" t="s">
        <v>26</v>
      </c>
      <c r="B311" s="15" t="s">
        <v>821</v>
      </c>
      <c r="C311" s="16">
        <v>0.63194444444444442</v>
      </c>
      <c r="D311" s="15" t="s">
        <v>31</v>
      </c>
      <c r="E311" s="15" t="s">
        <v>82</v>
      </c>
      <c r="F311" s="15" t="s">
        <v>83</v>
      </c>
      <c r="G311" s="298"/>
      <c r="H311" s="10"/>
      <c r="I311" s="11"/>
      <c r="J311" s="11"/>
      <c r="K311" s="11"/>
      <c r="L311" s="11"/>
      <c r="M311" s="11"/>
      <c r="N311" s="11"/>
      <c r="O311" s="12"/>
      <c r="P311" s="11"/>
      <c r="Q311" s="13"/>
      <c r="R311" s="14"/>
    </row>
    <row r="312" spans="1:18" ht="15" customHeight="1">
      <c r="A312" s="15" t="s">
        <v>26</v>
      </c>
      <c r="B312" s="15" t="s">
        <v>821</v>
      </c>
      <c r="C312" s="16">
        <v>0.63194444444444442</v>
      </c>
      <c r="D312" s="15" t="s">
        <v>34</v>
      </c>
      <c r="E312" s="15" t="s">
        <v>82</v>
      </c>
      <c r="F312" s="15" t="s">
        <v>45</v>
      </c>
      <c r="G312" s="298"/>
      <c r="H312" s="10"/>
      <c r="I312" s="11"/>
      <c r="J312" s="11"/>
      <c r="K312" s="11"/>
      <c r="L312" s="11"/>
      <c r="M312" s="11"/>
      <c r="N312" s="11"/>
      <c r="O312" s="12"/>
      <c r="P312" s="11"/>
      <c r="Q312" s="13"/>
      <c r="R312" s="14"/>
    </row>
    <row r="313" spans="1:18" ht="15" customHeight="1">
      <c r="A313" s="17" t="s">
        <v>26</v>
      </c>
      <c r="B313" s="17" t="s">
        <v>822</v>
      </c>
      <c r="C313" s="18">
        <v>0.55902777777777779</v>
      </c>
      <c r="D313" s="17" t="s">
        <v>28</v>
      </c>
      <c r="E313" s="17" t="s">
        <v>90</v>
      </c>
      <c r="F313" s="17" t="s">
        <v>81</v>
      </c>
      <c r="G313" s="298"/>
      <c r="H313" s="10"/>
      <c r="I313" s="11"/>
      <c r="J313" s="11"/>
      <c r="K313" s="11"/>
      <c r="L313" s="11"/>
      <c r="M313" s="11"/>
      <c r="N313" s="11"/>
      <c r="O313" s="12"/>
      <c r="P313" s="11"/>
      <c r="Q313" s="13"/>
      <c r="R313" s="14"/>
    </row>
    <row r="314" spans="1:18" ht="15" customHeight="1">
      <c r="A314" s="15" t="s">
        <v>26</v>
      </c>
      <c r="B314" s="15" t="s">
        <v>822</v>
      </c>
      <c r="C314" s="16">
        <v>0.55902777777777779</v>
      </c>
      <c r="D314" s="15" t="s">
        <v>31</v>
      </c>
      <c r="E314" s="15" t="s">
        <v>82</v>
      </c>
      <c r="F314" s="15" t="s">
        <v>83</v>
      </c>
      <c r="G314" s="298"/>
      <c r="H314" s="10"/>
      <c r="I314" s="11"/>
      <c r="J314" s="11"/>
      <c r="K314" s="11"/>
      <c r="L314" s="11"/>
      <c r="M314" s="11"/>
      <c r="N314" s="11"/>
      <c r="O314" s="12"/>
      <c r="P314" s="11"/>
      <c r="Q314" s="13"/>
      <c r="R314" s="14"/>
    </row>
    <row r="315" spans="1:18" ht="15" customHeight="1">
      <c r="A315" s="15" t="s">
        <v>26</v>
      </c>
      <c r="B315" s="15" t="s">
        <v>822</v>
      </c>
      <c r="C315" s="16">
        <v>0.55902777777777779</v>
      </c>
      <c r="D315" s="15" t="s">
        <v>34</v>
      </c>
      <c r="E315" s="15" t="s">
        <v>82</v>
      </c>
      <c r="F315" s="15" t="s">
        <v>45</v>
      </c>
      <c r="G315" s="298"/>
      <c r="H315" s="10"/>
      <c r="I315" s="11"/>
      <c r="J315" s="11"/>
      <c r="K315" s="11"/>
      <c r="L315" s="11"/>
      <c r="M315" s="11"/>
      <c r="N315" s="11"/>
      <c r="O315" s="12"/>
      <c r="P315" s="11"/>
      <c r="Q315" s="13"/>
      <c r="R315" s="14"/>
    </row>
    <row r="316" spans="1:18" ht="15" customHeight="1">
      <c r="A316" s="17" t="s">
        <v>26</v>
      </c>
      <c r="B316" s="17" t="s">
        <v>823</v>
      </c>
      <c r="C316" s="18">
        <v>0.81944444444444453</v>
      </c>
      <c r="D316" s="17" t="s">
        <v>28</v>
      </c>
      <c r="E316" s="17" t="s">
        <v>90</v>
      </c>
      <c r="F316" s="17" t="s">
        <v>81</v>
      </c>
      <c r="G316" s="298"/>
      <c r="H316" s="10"/>
      <c r="I316" s="11"/>
      <c r="J316" s="11"/>
      <c r="K316" s="11"/>
      <c r="L316" s="11"/>
      <c r="M316" s="11"/>
      <c r="N316" s="11"/>
      <c r="O316" s="12"/>
      <c r="P316" s="11"/>
      <c r="Q316" s="13"/>
      <c r="R316" s="14"/>
    </row>
    <row r="317" spans="1:18" ht="15" customHeight="1">
      <c r="A317" s="15" t="s">
        <v>26</v>
      </c>
      <c r="B317" s="15" t="s">
        <v>823</v>
      </c>
      <c r="C317" s="16">
        <v>0.81944444444444453</v>
      </c>
      <c r="D317" s="15" t="s">
        <v>31</v>
      </c>
      <c r="E317" s="15" t="s">
        <v>82</v>
      </c>
      <c r="F317" s="15" t="s">
        <v>83</v>
      </c>
      <c r="G317" s="298"/>
      <c r="H317" s="10"/>
      <c r="I317" s="11"/>
      <c r="J317" s="11"/>
      <c r="K317" s="11"/>
      <c r="L317" s="11"/>
      <c r="M317" s="11"/>
      <c r="N317" s="11"/>
      <c r="O317" s="12"/>
      <c r="P317" s="11"/>
      <c r="Q317" s="13"/>
      <c r="R317" s="14"/>
    </row>
    <row r="318" spans="1:18" ht="15" customHeight="1">
      <c r="A318" s="15" t="s">
        <v>26</v>
      </c>
      <c r="B318" s="15" t="s">
        <v>823</v>
      </c>
      <c r="C318" s="16">
        <v>0.81944444444444453</v>
      </c>
      <c r="D318" s="15" t="s">
        <v>34</v>
      </c>
      <c r="E318" s="15" t="s">
        <v>82</v>
      </c>
      <c r="F318" s="15" t="s">
        <v>45</v>
      </c>
      <c r="G318" s="298"/>
      <c r="H318" s="10"/>
      <c r="I318" s="11"/>
      <c r="J318" s="11"/>
      <c r="K318" s="11"/>
      <c r="L318" s="11"/>
      <c r="M318" s="11"/>
      <c r="N318" s="11"/>
      <c r="O318" s="12"/>
      <c r="P318" s="11"/>
      <c r="Q318" s="13"/>
      <c r="R318" s="14"/>
    </row>
    <row r="319" spans="1:18" ht="15" customHeight="1">
      <c r="A319" s="17" t="s">
        <v>26</v>
      </c>
      <c r="B319" s="17" t="s">
        <v>824</v>
      </c>
      <c r="C319" s="18">
        <v>0.50694444444444442</v>
      </c>
      <c r="D319" s="17" t="s">
        <v>28</v>
      </c>
      <c r="E319" s="17" t="s">
        <v>90</v>
      </c>
      <c r="F319" s="17" t="s">
        <v>81</v>
      </c>
      <c r="G319" s="298"/>
      <c r="H319" s="10"/>
      <c r="I319" s="11"/>
      <c r="J319" s="11"/>
      <c r="K319" s="11"/>
      <c r="L319" s="11"/>
      <c r="M319" s="11"/>
      <c r="N319" s="11"/>
      <c r="O319" s="12"/>
      <c r="P319" s="11"/>
      <c r="Q319" s="13"/>
      <c r="R319" s="14"/>
    </row>
    <row r="320" spans="1:18" ht="15" customHeight="1">
      <c r="A320" s="15" t="s">
        <v>26</v>
      </c>
      <c r="B320" s="15" t="s">
        <v>824</v>
      </c>
      <c r="C320" s="16">
        <v>0.50694444444444442</v>
      </c>
      <c r="D320" s="15" t="s">
        <v>31</v>
      </c>
      <c r="E320" s="15" t="s">
        <v>82</v>
      </c>
      <c r="F320" s="15" t="s">
        <v>83</v>
      </c>
      <c r="G320" s="298"/>
      <c r="H320" s="10"/>
      <c r="I320" s="11"/>
      <c r="J320" s="11"/>
      <c r="K320" s="11"/>
      <c r="L320" s="11"/>
      <c r="M320" s="11"/>
      <c r="N320" s="11"/>
      <c r="O320" s="12"/>
      <c r="P320" s="11"/>
      <c r="Q320" s="13"/>
      <c r="R320" s="14"/>
    </row>
    <row r="321" spans="1:18" ht="15" customHeight="1">
      <c r="A321" s="15" t="s">
        <v>26</v>
      </c>
      <c r="B321" s="15" t="s">
        <v>824</v>
      </c>
      <c r="C321" s="16">
        <v>0.50694444444444442</v>
      </c>
      <c r="D321" s="15" t="s">
        <v>34</v>
      </c>
      <c r="E321" s="15" t="s">
        <v>82</v>
      </c>
      <c r="F321" s="15" t="s">
        <v>45</v>
      </c>
      <c r="G321" s="298"/>
      <c r="H321" s="10"/>
      <c r="I321" s="11"/>
      <c r="J321" s="11"/>
      <c r="K321" s="11"/>
      <c r="L321" s="11"/>
      <c r="M321" s="11"/>
      <c r="N321" s="11"/>
      <c r="O321" s="12"/>
      <c r="P321" s="11"/>
      <c r="Q321" s="13"/>
      <c r="R321" s="14"/>
    </row>
    <row r="322" spans="1:18" ht="15" customHeight="1">
      <c r="A322" s="17" t="s">
        <v>26</v>
      </c>
      <c r="B322" s="17" t="s">
        <v>825</v>
      </c>
      <c r="C322" s="18">
        <v>0.69791666666666663</v>
      </c>
      <c r="D322" s="17" t="s">
        <v>28</v>
      </c>
      <c r="E322" s="17" t="s">
        <v>90</v>
      </c>
      <c r="F322" s="17" t="s">
        <v>81</v>
      </c>
      <c r="G322" s="298"/>
      <c r="H322" s="10"/>
      <c r="I322" s="11"/>
      <c r="J322" s="11"/>
      <c r="K322" s="11"/>
      <c r="L322" s="11"/>
      <c r="M322" s="11"/>
      <c r="N322" s="11"/>
      <c r="O322" s="12"/>
      <c r="P322" s="11"/>
      <c r="Q322" s="13"/>
      <c r="R322" s="14"/>
    </row>
    <row r="323" spans="1:18" ht="15" customHeight="1">
      <c r="A323" s="15" t="s">
        <v>26</v>
      </c>
      <c r="B323" s="15" t="s">
        <v>825</v>
      </c>
      <c r="C323" s="16">
        <v>0.69791666666666663</v>
      </c>
      <c r="D323" s="15" t="s">
        <v>31</v>
      </c>
      <c r="E323" s="15" t="s">
        <v>82</v>
      </c>
      <c r="F323" s="15" t="s">
        <v>83</v>
      </c>
      <c r="G323" s="298"/>
      <c r="H323" s="10"/>
      <c r="I323" s="11"/>
      <c r="J323" s="11"/>
      <c r="K323" s="11"/>
      <c r="L323" s="11"/>
      <c r="M323" s="11"/>
      <c r="N323" s="11"/>
      <c r="O323" s="12"/>
      <c r="P323" s="11"/>
      <c r="Q323" s="13"/>
      <c r="R323" s="14"/>
    </row>
    <row r="324" spans="1:18" ht="15" customHeight="1">
      <c r="A324" s="15" t="s">
        <v>26</v>
      </c>
      <c r="B324" s="15" t="s">
        <v>825</v>
      </c>
      <c r="C324" s="16">
        <v>0.69791666666666663</v>
      </c>
      <c r="D324" s="15" t="s">
        <v>34</v>
      </c>
      <c r="E324" s="15" t="s">
        <v>82</v>
      </c>
      <c r="F324" s="15" t="s">
        <v>45</v>
      </c>
      <c r="G324" s="298"/>
      <c r="H324" s="10"/>
      <c r="I324" s="11"/>
      <c r="J324" s="11"/>
      <c r="K324" s="11"/>
      <c r="L324" s="11"/>
      <c r="M324" s="11"/>
      <c r="N324" s="11"/>
      <c r="O324" s="12"/>
      <c r="P324" s="11"/>
      <c r="Q324" s="13"/>
      <c r="R324" s="14"/>
    </row>
    <row r="325" spans="1:18" ht="15" customHeight="1">
      <c r="A325" s="19" t="s">
        <v>48</v>
      </c>
      <c r="B325" s="19" t="s">
        <v>833</v>
      </c>
      <c r="C325" s="20">
        <v>0.44444444444444442</v>
      </c>
      <c r="D325" s="19" t="s">
        <v>50</v>
      </c>
      <c r="E325" s="19" t="s">
        <v>51</v>
      </c>
      <c r="F325" s="19" t="s">
        <v>873</v>
      </c>
      <c r="G325" s="298"/>
      <c r="H325" s="10"/>
      <c r="I325" s="11"/>
      <c r="J325" s="11"/>
      <c r="K325" s="11"/>
      <c r="L325" s="11"/>
      <c r="M325" s="11"/>
      <c r="N325" s="11"/>
      <c r="O325" s="12"/>
      <c r="P325" s="11"/>
      <c r="Q325" s="13"/>
      <c r="R325" s="14"/>
    </row>
    <row r="326" spans="1:18" ht="15" customHeight="1">
      <c r="A326" s="15" t="s">
        <v>48</v>
      </c>
      <c r="B326" s="15" t="s">
        <v>833</v>
      </c>
      <c r="C326" s="16">
        <v>0.44444444444444442</v>
      </c>
      <c r="D326" s="15" t="s">
        <v>53</v>
      </c>
      <c r="E326" s="15" t="s">
        <v>54</v>
      </c>
      <c r="F326" s="15" t="s">
        <v>874</v>
      </c>
      <c r="G326" s="298"/>
      <c r="H326" s="10"/>
      <c r="I326" s="11"/>
      <c r="J326" s="11"/>
      <c r="K326" s="11"/>
      <c r="L326" s="11"/>
      <c r="M326" s="11"/>
      <c r="N326" s="11"/>
      <c r="O326" s="12"/>
      <c r="P326" s="11"/>
      <c r="Q326" s="13"/>
      <c r="R326" s="14"/>
    </row>
    <row r="327" spans="1:18" ht="15" customHeight="1">
      <c r="A327" s="17" t="s">
        <v>48</v>
      </c>
      <c r="B327" s="17" t="s">
        <v>828</v>
      </c>
      <c r="C327" s="18">
        <v>0.82986111111111116</v>
      </c>
      <c r="D327" s="17" t="s">
        <v>50</v>
      </c>
      <c r="E327" s="17" t="s">
        <v>57</v>
      </c>
      <c r="F327" s="17" t="s">
        <v>873</v>
      </c>
      <c r="G327" s="298"/>
      <c r="H327" s="10"/>
      <c r="I327" s="11"/>
      <c r="J327" s="11"/>
      <c r="K327" s="11"/>
      <c r="L327" s="11"/>
      <c r="M327" s="11"/>
      <c r="N327" s="11"/>
      <c r="O327" s="12"/>
      <c r="P327" s="11"/>
      <c r="Q327" s="13"/>
      <c r="R327" s="14"/>
    </row>
    <row r="328" spans="1:18" ht="15" customHeight="1">
      <c r="A328" s="15" t="s">
        <v>48</v>
      </c>
      <c r="B328" s="15" t="s">
        <v>828</v>
      </c>
      <c r="C328" s="16">
        <v>0.82986111111111116</v>
      </c>
      <c r="D328" s="15" t="s">
        <v>53</v>
      </c>
      <c r="E328" s="15" t="s">
        <v>54</v>
      </c>
      <c r="F328" s="15" t="s">
        <v>874</v>
      </c>
      <c r="G328" s="298"/>
      <c r="H328" s="10"/>
      <c r="I328" s="11"/>
      <c r="J328" s="11"/>
      <c r="K328" s="11"/>
      <c r="L328" s="11"/>
      <c r="M328" s="11"/>
      <c r="N328" s="11"/>
      <c r="O328" s="12"/>
      <c r="P328" s="11"/>
      <c r="Q328" s="13"/>
      <c r="R328" s="14"/>
    </row>
    <row r="329" spans="1:18" ht="15" customHeight="1">
      <c r="A329" s="17" t="s">
        <v>48</v>
      </c>
      <c r="B329" s="17" t="s">
        <v>831</v>
      </c>
      <c r="C329" s="18">
        <v>0.98263888888888884</v>
      </c>
      <c r="D329" s="17" t="s">
        <v>50</v>
      </c>
      <c r="E329" s="17" t="s">
        <v>57</v>
      </c>
      <c r="F329" s="17" t="s">
        <v>873</v>
      </c>
      <c r="G329" s="298"/>
      <c r="H329" s="10"/>
      <c r="I329" s="11"/>
      <c r="J329" s="11"/>
      <c r="K329" s="11"/>
      <c r="L329" s="11"/>
      <c r="M329" s="11"/>
      <c r="N329" s="11"/>
      <c r="O329" s="12"/>
      <c r="P329" s="11"/>
      <c r="Q329" s="13"/>
      <c r="R329" s="14"/>
    </row>
    <row r="330" spans="1:18" ht="15" customHeight="1">
      <c r="A330" s="15" t="s">
        <v>48</v>
      </c>
      <c r="B330" s="15" t="s">
        <v>831</v>
      </c>
      <c r="C330" s="16">
        <v>0.98263888888888884</v>
      </c>
      <c r="D330" s="15" t="s">
        <v>53</v>
      </c>
      <c r="E330" s="15" t="s">
        <v>54</v>
      </c>
      <c r="F330" s="15" t="s">
        <v>874</v>
      </c>
      <c r="G330" s="298"/>
      <c r="H330" s="10"/>
      <c r="I330" s="11"/>
      <c r="J330" s="11"/>
      <c r="K330" s="11"/>
      <c r="L330" s="11"/>
      <c r="M330" s="11"/>
      <c r="N330" s="11"/>
      <c r="O330" s="12"/>
      <c r="P330" s="11"/>
      <c r="Q330" s="13"/>
      <c r="R330" s="14"/>
    </row>
    <row r="331" spans="1:18" ht="15" customHeight="1">
      <c r="A331" s="17" t="s">
        <v>48</v>
      </c>
      <c r="B331" s="17" t="s">
        <v>875</v>
      </c>
      <c r="C331" s="18">
        <v>0.69791666666666663</v>
      </c>
      <c r="D331" s="17" t="s">
        <v>50</v>
      </c>
      <c r="E331" s="17" t="s">
        <v>57</v>
      </c>
      <c r="F331" s="17" t="s">
        <v>873</v>
      </c>
      <c r="G331" s="298"/>
      <c r="H331" s="10"/>
      <c r="I331" s="11"/>
      <c r="J331" s="11"/>
      <c r="K331" s="11"/>
      <c r="L331" s="11"/>
      <c r="M331" s="11"/>
      <c r="N331" s="11"/>
      <c r="O331" s="12"/>
      <c r="P331" s="11"/>
      <c r="Q331" s="13"/>
      <c r="R331" s="14"/>
    </row>
    <row r="332" spans="1:18" ht="15" customHeight="1">
      <c r="A332" s="15" t="s">
        <v>48</v>
      </c>
      <c r="B332" s="15" t="s">
        <v>875</v>
      </c>
      <c r="C332" s="16">
        <v>0.69791666666666663</v>
      </c>
      <c r="D332" s="15" t="s">
        <v>53</v>
      </c>
      <c r="E332" s="15" t="s">
        <v>54</v>
      </c>
      <c r="F332" s="15" t="s">
        <v>874</v>
      </c>
      <c r="G332" s="298"/>
      <c r="H332" s="10"/>
      <c r="I332" s="11"/>
      <c r="J332" s="11"/>
      <c r="K332" s="11"/>
      <c r="L332" s="11"/>
      <c r="M332" s="11"/>
      <c r="N332" s="11"/>
      <c r="O332" s="12"/>
      <c r="P332" s="11"/>
      <c r="Q332" s="13"/>
      <c r="R332" s="14"/>
    </row>
    <row r="333" spans="1:18" ht="15" customHeight="1">
      <c r="A333" s="17" t="s">
        <v>48</v>
      </c>
      <c r="B333" s="17" t="s">
        <v>832</v>
      </c>
      <c r="C333" s="18">
        <v>0.62847222222222221</v>
      </c>
      <c r="D333" s="17" t="s">
        <v>50</v>
      </c>
      <c r="E333" s="17" t="s">
        <v>57</v>
      </c>
      <c r="F333" s="17" t="s">
        <v>873</v>
      </c>
      <c r="G333" s="298"/>
      <c r="H333" s="10"/>
      <c r="I333" s="11"/>
      <c r="J333" s="11"/>
      <c r="K333" s="11"/>
      <c r="L333" s="11"/>
      <c r="M333" s="11"/>
      <c r="N333" s="11"/>
      <c r="O333" s="12"/>
      <c r="P333" s="11"/>
      <c r="Q333" s="13"/>
      <c r="R333" s="14"/>
    </row>
    <row r="334" spans="1:18" ht="15" customHeight="1">
      <c r="A334" s="15" t="s">
        <v>48</v>
      </c>
      <c r="B334" s="15" t="s">
        <v>832</v>
      </c>
      <c r="C334" s="16">
        <v>0.62847222222222221</v>
      </c>
      <c r="D334" s="15" t="s">
        <v>53</v>
      </c>
      <c r="E334" s="15" t="s">
        <v>54</v>
      </c>
      <c r="F334" s="15" t="s">
        <v>874</v>
      </c>
      <c r="G334" s="298"/>
      <c r="H334" s="10"/>
      <c r="I334" s="11"/>
      <c r="J334" s="11"/>
      <c r="K334" s="11"/>
      <c r="L334" s="11"/>
      <c r="M334" s="11"/>
      <c r="N334" s="11"/>
      <c r="O334" s="12"/>
      <c r="P334" s="11"/>
      <c r="Q334" s="13"/>
      <c r="R334" s="14"/>
    </row>
    <row r="335" spans="1:18" ht="15" customHeight="1">
      <c r="A335" s="17" t="s">
        <v>48</v>
      </c>
      <c r="B335" s="17" t="s">
        <v>835</v>
      </c>
      <c r="C335" s="18">
        <v>0.88888888888888884</v>
      </c>
      <c r="D335" s="17" t="s">
        <v>53</v>
      </c>
      <c r="E335" s="17" t="s">
        <v>37</v>
      </c>
      <c r="F335" s="17" t="s">
        <v>836</v>
      </c>
      <c r="G335" s="298"/>
      <c r="H335" s="10"/>
      <c r="I335" s="11"/>
      <c r="J335" s="11"/>
      <c r="K335" s="11"/>
      <c r="L335" s="11"/>
      <c r="M335" s="11"/>
      <c r="N335" s="11"/>
      <c r="O335" s="12"/>
      <c r="P335" s="11"/>
      <c r="Q335" s="13"/>
      <c r="R335" s="14"/>
    </row>
    <row r="336" spans="1:18" ht="15" customHeight="1">
      <c r="A336" s="17" t="s">
        <v>48</v>
      </c>
      <c r="B336" s="17" t="s">
        <v>837</v>
      </c>
      <c r="C336" s="18">
        <v>0.62847222222222221</v>
      </c>
      <c r="D336" s="17" t="s">
        <v>53</v>
      </c>
      <c r="E336" s="17" t="s">
        <v>37</v>
      </c>
      <c r="F336" s="17" t="s">
        <v>836</v>
      </c>
      <c r="G336" s="298"/>
      <c r="H336" s="10"/>
      <c r="I336" s="11"/>
      <c r="J336" s="11"/>
      <c r="K336" s="11"/>
      <c r="L336" s="11"/>
      <c r="M336" s="11"/>
      <c r="N336" s="11"/>
      <c r="O336" s="12"/>
      <c r="P336" s="11"/>
      <c r="Q336" s="13"/>
      <c r="R336" s="14"/>
    </row>
    <row r="337" spans="1:18" ht="15" customHeight="1">
      <c r="A337" s="17" t="s">
        <v>48</v>
      </c>
      <c r="B337" s="17" t="s">
        <v>838</v>
      </c>
      <c r="C337" s="18">
        <v>0.94444444444444453</v>
      </c>
      <c r="D337" s="17" t="s">
        <v>53</v>
      </c>
      <c r="E337" s="17" t="s">
        <v>37</v>
      </c>
      <c r="F337" s="17" t="s">
        <v>836</v>
      </c>
      <c r="G337" s="298"/>
      <c r="H337" s="10"/>
      <c r="I337" s="11"/>
      <c r="J337" s="11"/>
      <c r="K337" s="11"/>
      <c r="L337" s="11"/>
      <c r="M337" s="11"/>
      <c r="N337" s="11"/>
      <c r="O337" s="12"/>
      <c r="P337" s="11"/>
      <c r="Q337" s="13"/>
      <c r="R337" s="14"/>
    </row>
    <row r="338" spans="1:18" ht="15" customHeight="1" thickBot="1">
      <c r="A338" s="96" t="s">
        <v>402</v>
      </c>
      <c r="B338" s="96" t="s">
        <v>839</v>
      </c>
      <c r="C338" s="97">
        <v>0.1701388888888889</v>
      </c>
      <c r="D338" s="96" t="s">
        <v>63</v>
      </c>
      <c r="E338" s="96" t="s">
        <v>107</v>
      </c>
      <c r="F338" s="96" t="s">
        <v>881</v>
      </c>
      <c r="G338" s="299"/>
      <c r="H338" s="300"/>
      <c r="I338" s="140"/>
      <c r="J338" s="140"/>
      <c r="K338" s="140"/>
      <c r="L338" s="140"/>
      <c r="M338" s="140"/>
      <c r="N338" s="140"/>
      <c r="O338" s="141"/>
      <c r="P338" s="140"/>
      <c r="Q338" s="142"/>
      <c r="R338" s="301"/>
    </row>
    <row r="339" spans="1:18" ht="17.45" customHeight="1" thickBot="1">
      <c r="A339" s="283"/>
      <c r="B339" s="284"/>
      <c r="C339" s="284"/>
      <c r="D339" s="284"/>
      <c r="E339" s="284"/>
      <c r="F339" s="284"/>
      <c r="G339" s="284"/>
      <c r="H339" s="284"/>
      <c r="I339" s="284"/>
      <c r="J339" s="284"/>
      <c r="K339" s="284"/>
      <c r="L339" s="284"/>
      <c r="M339" s="284"/>
      <c r="N339" s="284"/>
      <c r="O339" s="284"/>
      <c r="P339" s="284"/>
      <c r="Q339" s="284"/>
      <c r="R339" s="285"/>
    </row>
    <row r="340" spans="1:18" ht="22.15" customHeight="1" thickTop="1" thickBot="1">
      <c r="A340" s="279" t="s">
        <v>6</v>
      </c>
      <c r="B340" s="295"/>
      <c r="C340" s="295"/>
      <c r="D340" s="295"/>
      <c r="E340" s="295"/>
      <c r="F340" s="296"/>
      <c r="G340" s="32">
        <v>46029</v>
      </c>
      <c r="H340" s="278" t="s">
        <v>7</v>
      </c>
      <c r="I340" s="295"/>
      <c r="J340" s="295"/>
      <c r="K340" s="295"/>
      <c r="L340" s="295"/>
      <c r="M340" s="295"/>
      <c r="N340" s="295"/>
      <c r="O340" s="295"/>
      <c r="P340" s="295"/>
      <c r="Q340" s="295"/>
      <c r="R340" s="296"/>
    </row>
    <row r="341" spans="1:18" ht="24" customHeight="1">
      <c r="A341" s="33" t="s">
        <v>8</v>
      </c>
      <c r="B341" s="33" t="s">
        <v>9</v>
      </c>
      <c r="C341" s="34" t="s">
        <v>10</v>
      </c>
      <c r="D341" s="33" t="s">
        <v>11</v>
      </c>
      <c r="E341" s="33" t="s">
        <v>12</v>
      </c>
      <c r="F341" s="35" t="s">
        <v>13</v>
      </c>
      <c r="G341" s="36" t="s">
        <v>14</v>
      </c>
      <c r="H341" s="33" t="s">
        <v>15</v>
      </c>
      <c r="I341" s="37" t="s">
        <v>16</v>
      </c>
      <c r="J341" s="38" t="s">
        <v>17</v>
      </c>
      <c r="K341" s="39" t="s">
        <v>18</v>
      </c>
      <c r="L341" s="38" t="s">
        <v>19</v>
      </c>
      <c r="M341" s="38" t="s">
        <v>20</v>
      </c>
      <c r="N341" s="38" t="s">
        <v>21</v>
      </c>
      <c r="O341" s="33" t="s">
        <v>22</v>
      </c>
      <c r="P341" s="34" t="s">
        <v>23</v>
      </c>
      <c r="Q341" s="38" t="s">
        <v>24</v>
      </c>
      <c r="R341" s="33" t="s">
        <v>25</v>
      </c>
    </row>
    <row r="342" spans="1:18" ht="15" customHeight="1">
      <c r="A342" s="8" t="s">
        <v>38</v>
      </c>
      <c r="B342" s="8" t="s">
        <v>809</v>
      </c>
      <c r="C342" s="9">
        <v>0.57638888888888895</v>
      </c>
      <c r="D342" s="8" t="s">
        <v>40</v>
      </c>
      <c r="E342" s="8" t="s">
        <v>496</v>
      </c>
      <c r="F342" s="8" t="s">
        <v>475</v>
      </c>
      <c r="G342" s="297"/>
      <c r="H342" s="10"/>
      <c r="I342" s="11"/>
      <c r="J342" s="11"/>
      <c r="K342" s="11"/>
      <c r="L342" s="11"/>
      <c r="M342" s="11"/>
      <c r="N342" s="11"/>
      <c r="O342" s="12"/>
      <c r="P342" s="11"/>
      <c r="Q342" s="13"/>
      <c r="R342" s="14"/>
    </row>
    <row r="343" spans="1:18" ht="15" customHeight="1">
      <c r="A343" s="15" t="s">
        <v>38</v>
      </c>
      <c r="B343" s="15" t="s">
        <v>809</v>
      </c>
      <c r="C343" s="16">
        <v>0.57638888888888895</v>
      </c>
      <c r="D343" s="15" t="s">
        <v>43</v>
      </c>
      <c r="E343" s="15" t="s">
        <v>195</v>
      </c>
      <c r="F343" s="15" t="s">
        <v>121</v>
      </c>
      <c r="G343" s="298"/>
      <c r="H343" s="10"/>
      <c r="I343" s="11"/>
      <c r="J343" s="11"/>
      <c r="K343" s="11"/>
      <c r="L343" s="11"/>
      <c r="M343" s="11"/>
      <c r="N343" s="11"/>
      <c r="O343" s="12"/>
      <c r="P343" s="11"/>
      <c r="Q343" s="13"/>
      <c r="R343" s="14"/>
    </row>
    <row r="344" spans="1:18" ht="15" customHeight="1">
      <c r="A344" s="15" t="s">
        <v>38</v>
      </c>
      <c r="B344" s="15" t="s">
        <v>809</v>
      </c>
      <c r="C344" s="16">
        <v>0.57638888888888895</v>
      </c>
      <c r="D344" s="15" t="s">
        <v>46</v>
      </c>
      <c r="E344" s="15" t="s">
        <v>195</v>
      </c>
      <c r="F344" s="15" t="s">
        <v>810</v>
      </c>
      <c r="G344" s="298"/>
      <c r="H344" s="10"/>
      <c r="I344" s="11"/>
      <c r="J344" s="11"/>
      <c r="K344" s="11"/>
      <c r="L344" s="11"/>
      <c r="M344" s="11"/>
      <c r="N344" s="11"/>
      <c r="O344" s="12"/>
      <c r="P344" s="11"/>
      <c r="Q344" s="13"/>
      <c r="R344" s="14"/>
    </row>
    <row r="345" spans="1:18" ht="15" customHeight="1">
      <c r="A345" s="17" t="s">
        <v>38</v>
      </c>
      <c r="B345" s="17" t="s">
        <v>811</v>
      </c>
      <c r="C345" s="18">
        <v>0.62847222222222221</v>
      </c>
      <c r="D345" s="17" t="s">
        <v>40</v>
      </c>
      <c r="E345" s="17" t="s">
        <v>125</v>
      </c>
      <c r="F345" s="17" t="s">
        <v>475</v>
      </c>
      <c r="G345" s="298"/>
      <c r="H345" s="10"/>
      <c r="I345" s="11"/>
      <c r="J345" s="11"/>
      <c r="K345" s="11"/>
      <c r="L345" s="11"/>
      <c r="M345" s="11"/>
      <c r="N345" s="11"/>
      <c r="O345" s="12"/>
      <c r="P345" s="11"/>
      <c r="Q345" s="13"/>
      <c r="R345" s="14"/>
    </row>
    <row r="346" spans="1:18" ht="15" customHeight="1">
      <c r="A346" s="15" t="s">
        <v>38</v>
      </c>
      <c r="B346" s="15" t="s">
        <v>811</v>
      </c>
      <c r="C346" s="16">
        <v>0.62847222222222221</v>
      </c>
      <c r="D346" s="15" t="s">
        <v>43</v>
      </c>
      <c r="E346" s="15" t="s">
        <v>44</v>
      </c>
      <c r="F346" s="15" t="s">
        <v>121</v>
      </c>
      <c r="G346" s="298"/>
      <c r="H346" s="10"/>
      <c r="I346" s="11"/>
      <c r="J346" s="11"/>
      <c r="K346" s="11"/>
      <c r="L346" s="11"/>
      <c r="M346" s="11"/>
      <c r="N346" s="11"/>
      <c r="O346" s="12"/>
      <c r="P346" s="11"/>
      <c r="Q346" s="13"/>
      <c r="R346" s="14"/>
    </row>
    <row r="347" spans="1:18" ht="15" customHeight="1">
      <c r="A347" s="15" t="s">
        <v>38</v>
      </c>
      <c r="B347" s="15" t="s">
        <v>811</v>
      </c>
      <c r="C347" s="16">
        <v>0.62847222222222221</v>
      </c>
      <c r="D347" s="15" t="s">
        <v>46</v>
      </c>
      <c r="E347" s="15" t="s">
        <v>44</v>
      </c>
      <c r="F347" s="15" t="s">
        <v>810</v>
      </c>
      <c r="G347" s="298"/>
      <c r="H347" s="10"/>
      <c r="I347" s="11"/>
      <c r="J347" s="11"/>
      <c r="K347" s="11"/>
      <c r="L347" s="11"/>
      <c r="M347" s="11"/>
      <c r="N347" s="11"/>
      <c r="O347" s="12"/>
      <c r="P347" s="11"/>
      <c r="Q347" s="13"/>
      <c r="R347" s="14"/>
    </row>
    <row r="348" spans="1:18" ht="15" customHeight="1">
      <c r="A348" s="17" t="s">
        <v>38</v>
      </c>
      <c r="B348" s="17" t="s">
        <v>812</v>
      </c>
      <c r="C348" s="18">
        <v>0.88888888888888884</v>
      </c>
      <c r="D348" s="17" t="s">
        <v>40</v>
      </c>
      <c r="E348" s="17" t="s">
        <v>170</v>
      </c>
      <c r="F348" s="17" t="s">
        <v>475</v>
      </c>
      <c r="G348" s="298"/>
      <c r="H348" s="10"/>
      <c r="I348" s="11"/>
      <c r="J348" s="11"/>
      <c r="K348" s="11"/>
      <c r="L348" s="11"/>
      <c r="M348" s="11"/>
      <c r="N348" s="11"/>
      <c r="O348" s="12"/>
      <c r="P348" s="11"/>
      <c r="Q348" s="13"/>
      <c r="R348" s="14"/>
    </row>
    <row r="349" spans="1:18" ht="15" customHeight="1">
      <c r="A349" s="15" t="s">
        <v>38</v>
      </c>
      <c r="B349" s="15" t="s">
        <v>812</v>
      </c>
      <c r="C349" s="16">
        <v>0.88888888888888884</v>
      </c>
      <c r="D349" s="15" t="s">
        <v>43</v>
      </c>
      <c r="E349" s="15" t="s">
        <v>152</v>
      </c>
      <c r="F349" s="15" t="s">
        <v>121</v>
      </c>
      <c r="G349" s="298"/>
      <c r="H349" s="10"/>
      <c r="I349" s="11"/>
      <c r="J349" s="11"/>
      <c r="K349" s="11"/>
      <c r="L349" s="11"/>
      <c r="M349" s="11"/>
      <c r="N349" s="11"/>
      <c r="O349" s="12"/>
      <c r="P349" s="11"/>
      <c r="Q349" s="13"/>
      <c r="R349" s="14"/>
    </row>
    <row r="350" spans="1:18" ht="15" customHeight="1">
      <c r="A350" s="15" t="s">
        <v>38</v>
      </c>
      <c r="B350" s="15" t="s">
        <v>812</v>
      </c>
      <c r="C350" s="16">
        <v>0.88888888888888884</v>
      </c>
      <c r="D350" s="15" t="s">
        <v>46</v>
      </c>
      <c r="E350" s="15" t="s">
        <v>152</v>
      </c>
      <c r="F350" s="15" t="s">
        <v>810</v>
      </c>
      <c r="G350" s="298"/>
      <c r="H350" s="10"/>
      <c r="I350" s="11"/>
      <c r="J350" s="11"/>
      <c r="K350" s="11"/>
      <c r="L350" s="11"/>
      <c r="M350" s="11"/>
      <c r="N350" s="11"/>
      <c r="O350" s="12"/>
      <c r="P350" s="11"/>
      <c r="Q350" s="13"/>
      <c r="R350" s="14"/>
    </row>
    <row r="351" spans="1:18" ht="15" customHeight="1">
      <c r="A351" s="17" t="s">
        <v>38</v>
      </c>
      <c r="B351" s="17" t="s">
        <v>813</v>
      </c>
      <c r="C351" s="18">
        <v>0.94444444444444453</v>
      </c>
      <c r="D351" s="17" t="s">
        <v>40</v>
      </c>
      <c r="E351" s="17" t="s">
        <v>890</v>
      </c>
      <c r="F351" s="17" t="s">
        <v>872</v>
      </c>
      <c r="G351" s="298"/>
      <c r="H351" s="10"/>
      <c r="I351" s="11"/>
      <c r="J351" s="11"/>
      <c r="K351" s="11"/>
      <c r="L351" s="11"/>
      <c r="M351" s="11"/>
      <c r="N351" s="11"/>
      <c r="O351" s="12"/>
      <c r="P351" s="11"/>
      <c r="Q351" s="13"/>
      <c r="R351" s="14"/>
    </row>
    <row r="352" spans="1:18" ht="15" customHeight="1">
      <c r="A352" s="15" t="s">
        <v>38</v>
      </c>
      <c r="B352" s="15" t="s">
        <v>813</v>
      </c>
      <c r="C352" s="16">
        <v>0.94444444444444453</v>
      </c>
      <c r="D352" s="15" t="s">
        <v>43</v>
      </c>
      <c r="E352" s="15" t="s">
        <v>148</v>
      </c>
      <c r="F352" s="15" t="s">
        <v>349</v>
      </c>
      <c r="G352" s="298"/>
      <c r="H352" s="10"/>
      <c r="I352" s="11"/>
      <c r="J352" s="11"/>
      <c r="K352" s="11"/>
      <c r="L352" s="11"/>
      <c r="M352" s="11"/>
      <c r="N352" s="11"/>
      <c r="O352" s="12"/>
      <c r="P352" s="11"/>
      <c r="Q352" s="13"/>
      <c r="R352" s="14"/>
    </row>
    <row r="353" spans="1:18" ht="15" customHeight="1">
      <c r="A353" s="15" t="s">
        <v>38</v>
      </c>
      <c r="B353" s="15" t="s">
        <v>813</v>
      </c>
      <c r="C353" s="16">
        <v>0.94444444444444453</v>
      </c>
      <c r="D353" s="15" t="s">
        <v>46</v>
      </c>
      <c r="E353" s="15" t="s">
        <v>148</v>
      </c>
      <c r="F353" s="15" t="s">
        <v>810</v>
      </c>
      <c r="G353" s="298"/>
      <c r="H353" s="10"/>
      <c r="I353" s="11"/>
      <c r="J353" s="11"/>
      <c r="K353" s="11"/>
      <c r="L353" s="11"/>
      <c r="M353" s="11"/>
      <c r="N353" s="11"/>
      <c r="O353" s="12"/>
      <c r="P353" s="11"/>
      <c r="Q353" s="13"/>
      <c r="R353" s="14"/>
    </row>
    <row r="354" spans="1:18" ht="15" customHeight="1">
      <c r="A354" s="19" t="s">
        <v>68</v>
      </c>
      <c r="B354" s="19" t="s">
        <v>842</v>
      </c>
      <c r="C354" s="20">
        <v>0.98263888888888884</v>
      </c>
      <c r="D354" s="19" t="s">
        <v>643</v>
      </c>
      <c r="E354" s="19" t="s">
        <v>51</v>
      </c>
      <c r="F354" s="19" t="s">
        <v>891</v>
      </c>
      <c r="G354" s="298"/>
      <c r="H354" s="10"/>
      <c r="I354" s="11"/>
      <c r="J354" s="11"/>
      <c r="K354" s="11"/>
      <c r="L354" s="11"/>
      <c r="M354" s="11"/>
      <c r="N354" s="11"/>
      <c r="O354" s="12"/>
      <c r="P354" s="11"/>
      <c r="Q354" s="13"/>
      <c r="R354" s="14"/>
    </row>
    <row r="355" spans="1:18" ht="15" customHeight="1">
      <c r="A355" s="17" t="s">
        <v>68</v>
      </c>
      <c r="B355" s="17" t="s">
        <v>843</v>
      </c>
      <c r="C355" s="18">
        <v>0.35416666666666669</v>
      </c>
      <c r="D355" s="17" t="s">
        <v>643</v>
      </c>
      <c r="E355" s="17" t="s">
        <v>57</v>
      </c>
      <c r="F355" s="17" t="s">
        <v>891</v>
      </c>
      <c r="G355" s="298"/>
      <c r="H355" s="10"/>
      <c r="I355" s="11"/>
      <c r="J355" s="11"/>
      <c r="K355" s="11"/>
      <c r="L355" s="11"/>
      <c r="M355" s="11"/>
      <c r="N355" s="11"/>
      <c r="O355" s="12"/>
      <c r="P355" s="11"/>
      <c r="Q355" s="13"/>
      <c r="R355" s="14"/>
    </row>
    <row r="356" spans="1:18" ht="15" customHeight="1">
      <c r="A356" s="17" t="s">
        <v>68</v>
      </c>
      <c r="B356" s="17" t="s">
        <v>844</v>
      </c>
      <c r="C356" s="18">
        <v>0.72916666666666663</v>
      </c>
      <c r="D356" s="17" t="s">
        <v>70</v>
      </c>
      <c r="E356" s="17" t="s">
        <v>57</v>
      </c>
      <c r="F356" s="17" t="s">
        <v>892</v>
      </c>
      <c r="G356" s="298"/>
      <c r="H356" s="10"/>
      <c r="I356" s="11"/>
      <c r="J356" s="11"/>
      <c r="K356" s="11"/>
      <c r="L356" s="11"/>
      <c r="M356" s="11"/>
      <c r="N356" s="11"/>
      <c r="O356" s="12"/>
      <c r="P356" s="11"/>
      <c r="Q356" s="13"/>
      <c r="R356" s="14"/>
    </row>
    <row r="357" spans="1:18" ht="15" customHeight="1">
      <c r="A357" s="49" t="s">
        <v>61</v>
      </c>
      <c r="B357" s="49" t="s">
        <v>816</v>
      </c>
      <c r="C357" s="50">
        <v>0.41319444444444442</v>
      </c>
      <c r="D357" s="49" t="s">
        <v>63</v>
      </c>
      <c r="E357" s="49" t="s">
        <v>51</v>
      </c>
      <c r="F357" s="49" t="s">
        <v>817</v>
      </c>
      <c r="G357" s="298"/>
      <c r="H357" s="51" t="s">
        <v>818</v>
      </c>
      <c r="I357" s="52">
        <v>0</v>
      </c>
      <c r="J357" s="53">
        <v>0</v>
      </c>
      <c r="K357" s="54" t="s">
        <v>66</v>
      </c>
      <c r="L357" s="53">
        <v>0</v>
      </c>
      <c r="M357" s="53">
        <v>0</v>
      </c>
      <c r="N357" s="53">
        <v>0</v>
      </c>
      <c r="O357" s="55" t="s">
        <v>326</v>
      </c>
      <c r="P357" s="56">
        <v>0.41319444444444442</v>
      </c>
      <c r="Q357" s="53">
        <v>179</v>
      </c>
      <c r="R357" s="57" t="s">
        <v>66</v>
      </c>
    </row>
    <row r="358" spans="1:18" ht="15" customHeight="1">
      <c r="A358" s="150" t="s">
        <v>61</v>
      </c>
      <c r="B358" s="150" t="s">
        <v>852</v>
      </c>
      <c r="C358" s="151">
        <v>0.72569444444444453</v>
      </c>
      <c r="D358" s="150" t="s">
        <v>63</v>
      </c>
      <c r="E358" s="150" t="s">
        <v>57</v>
      </c>
      <c r="F358" s="150" t="s">
        <v>817</v>
      </c>
      <c r="G358" s="298"/>
      <c r="H358" s="80" t="s">
        <v>854</v>
      </c>
      <c r="I358" s="81">
        <v>1.6799999999999999E-2</v>
      </c>
      <c r="J358" s="82">
        <v>3</v>
      </c>
      <c r="K358" s="83">
        <v>46330</v>
      </c>
      <c r="L358" s="82">
        <v>3</v>
      </c>
      <c r="M358" s="82">
        <v>0</v>
      </c>
      <c r="N358" s="82">
        <v>0</v>
      </c>
      <c r="O358" s="84" t="s">
        <v>326</v>
      </c>
      <c r="P358" s="85">
        <v>0.72569444444444453</v>
      </c>
      <c r="Q358" s="82">
        <v>179</v>
      </c>
      <c r="R358" s="86" t="s">
        <v>893</v>
      </c>
    </row>
    <row r="359" spans="1:18" ht="15" customHeight="1">
      <c r="A359" s="19" t="s">
        <v>26</v>
      </c>
      <c r="B359" s="19" t="s">
        <v>820</v>
      </c>
      <c r="C359" s="20">
        <v>0.4375</v>
      </c>
      <c r="D359" s="19" t="s">
        <v>28</v>
      </c>
      <c r="E359" s="19" t="s">
        <v>80</v>
      </c>
      <c r="F359" s="19" t="s">
        <v>81</v>
      </c>
      <c r="G359" s="298"/>
      <c r="H359" s="10"/>
      <c r="I359" s="11"/>
      <c r="J359" s="11"/>
      <c r="K359" s="11"/>
      <c r="L359" s="11"/>
      <c r="M359" s="11"/>
      <c r="N359" s="11"/>
      <c r="O359" s="12"/>
      <c r="P359" s="11"/>
      <c r="Q359" s="13"/>
      <c r="R359" s="14"/>
    </row>
    <row r="360" spans="1:18" ht="15" customHeight="1">
      <c r="A360" s="15" t="s">
        <v>26</v>
      </c>
      <c r="B360" s="15" t="s">
        <v>820</v>
      </c>
      <c r="C360" s="16">
        <v>0.4375</v>
      </c>
      <c r="D360" s="15" t="s">
        <v>31</v>
      </c>
      <c r="E360" s="15" t="s">
        <v>82</v>
      </c>
      <c r="F360" s="15" t="s">
        <v>83</v>
      </c>
      <c r="G360" s="298"/>
      <c r="H360" s="10"/>
      <c r="I360" s="11"/>
      <c r="J360" s="11"/>
      <c r="K360" s="11"/>
      <c r="L360" s="11"/>
      <c r="M360" s="11"/>
      <c r="N360" s="11"/>
      <c r="O360" s="12"/>
      <c r="P360" s="11"/>
      <c r="Q360" s="13"/>
      <c r="R360" s="14"/>
    </row>
    <row r="361" spans="1:18" ht="15" customHeight="1">
      <c r="A361" s="15" t="s">
        <v>26</v>
      </c>
      <c r="B361" s="15" t="s">
        <v>820</v>
      </c>
      <c r="C361" s="16">
        <v>0.4375</v>
      </c>
      <c r="D361" s="15" t="s">
        <v>34</v>
      </c>
      <c r="E361" s="15" t="s">
        <v>82</v>
      </c>
      <c r="F361" s="15" t="s">
        <v>45</v>
      </c>
      <c r="G361" s="298"/>
      <c r="H361" s="10"/>
      <c r="I361" s="11"/>
      <c r="J361" s="11"/>
      <c r="K361" s="11"/>
      <c r="L361" s="11"/>
      <c r="M361" s="11"/>
      <c r="N361" s="11"/>
      <c r="O361" s="12"/>
      <c r="P361" s="11"/>
      <c r="Q361" s="13"/>
      <c r="R361" s="14"/>
    </row>
    <row r="362" spans="1:18" ht="15" customHeight="1">
      <c r="A362" s="17" t="s">
        <v>26</v>
      </c>
      <c r="B362" s="17" t="s">
        <v>826</v>
      </c>
      <c r="C362" s="18">
        <v>0.95833333333333337</v>
      </c>
      <c r="D362" s="17" t="s">
        <v>28</v>
      </c>
      <c r="E362" s="17" t="s">
        <v>90</v>
      </c>
      <c r="F362" s="17" t="s">
        <v>81</v>
      </c>
      <c r="G362" s="298"/>
      <c r="H362" s="10"/>
      <c r="I362" s="11"/>
      <c r="J362" s="11"/>
      <c r="K362" s="11"/>
      <c r="L362" s="11"/>
      <c r="M362" s="11"/>
      <c r="N362" s="11"/>
      <c r="O362" s="12"/>
      <c r="P362" s="11"/>
      <c r="Q362" s="13"/>
      <c r="R362" s="14"/>
    </row>
    <row r="363" spans="1:18" ht="15" customHeight="1">
      <c r="A363" s="15" t="s">
        <v>26</v>
      </c>
      <c r="B363" s="15" t="s">
        <v>826</v>
      </c>
      <c r="C363" s="16">
        <v>0.95833333333333337</v>
      </c>
      <c r="D363" s="15" t="s">
        <v>31</v>
      </c>
      <c r="E363" s="15" t="s">
        <v>82</v>
      </c>
      <c r="F363" s="15" t="s">
        <v>83</v>
      </c>
      <c r="G363" s="298"/>
      <c r="H363" s="10"/>
      <c r="I363" s="11"/>
      <c r="J363" s="11"/>
      <c r="K363" s="11"/>
      <c r="L363" s="11"/>
      <c r="M363" s="11"/>
      <c r="N363" s="11"/>
      <c r="O363" s="12"/>
      <c r="P363" s="11"/>
      <c r="Q363" s="13"/>
      <c r="R363" s="14"/>
    </row>
    <row r="364" spans="1:18" ht="15" customHeight="1">
      <c r="A364" s="15" t="s">
        <v>26</v>
      </c>
      <c r="B364" s="15" t="s">
        <v>826</v>
      </c>
      <c r="C364" s="16">
        <v>0.95833333333333337</v>
      </c>
      <c r="D364" s="15" t="s">
        <v>34</v>
      </c>
      <c r="E364" s="15" t="s">
        <v>82</v>
      </c>
      <c r="F364" s="15" t="s">
        <v>45</v>
      </c>
      <c r="G364" s="298"/>
      <c r="H364" s="10"/>
      <c r="I364" s="11"/>
      <c r="J364" s="11"/>
      <c r="K364" s="11"/>
      <c r="L364" s="11"/>
      <c r="M364" s="11"/>
      <c r="N364" s="11"/>
      <c r="O364" s="12"/>
      <c r="P364" s="11"/>
      <c r="Q364" s="13"/>
      <c r="R364" s="14"/>
    </row>
    <row r="365" spans="1:18" ht="15" customHeight="1">
      <c r="A365" s="17" t="s">
        <v>26</v>
      </c>
      <c r="B365" s="17" t="s">
        <v>821</v>
      </c>
      <c r="C365" s="18">
        <v>0.63194444444444442</v>
      </c>
      <c r="D365" s="17" t="s">
        <v>28</v>
      </c>
      <c r="E365" s="17" t="s">
        <v>90</v>
      </c>
      <c r="F365" s="17" t="s">
        <v>81</v>
      </c>
      <c r="G365" s="298"/>
      <c r="H365" s="10"/>
      <c r="I365" s="11"/>
      <c r="J365" s="11"/>
      <c r="K365" s="11"/>
      <c r="L365" s="11"/>
      <c r="M365" s="11"/>
      <c r="N365" s="11"/>
      <c r="O365" s="12"/>
      <c r="P365" s="11"/>
      <c r="Q365" s="13"/>
      <c r="R365" s="14"/>
    </row>
    <row r="366" spans="1:18" ht="15" customHeight="1">
      <c r="A366" s="15" t="s">
        <v>26</v>
      </c>
      <c r="B366" s="15" t="s">
        <v>821</v>
      </c>
      <c r="C366" s="16">
        <v>0.63194444444444442</v>
      </c>
      <c r="D366" s="15" t="s">
        <v>31</v>
      </c>
      <c r="E366" s="15" t="s">
        <v>82</v>
      </c>
      <c r="F366" s="15" t="s">
        <v>83</v>
      </c>
      <c r="G366" s="298"/>
      <c r="H366" s="10"/>
      <c r="I366" s="11"/>
      <c r="J366" s="11"/>
      <c r="K366" s="11"/>
      <c r="L366" s="11"/>
      <c r="M366" s="11"/>
      <c r="N366" s="11"/>
      <c r="O366" s="12"/>
      <c r="P366" s="11"/>
      <c r="Q366" s="13"/>
      <c r="R366" s="14"/>
    </row>
    <row r="367" spans="1:18" ht="15" customHeight="1">
      <c r="A367" s="15" t="s">
        <v>26</v>
      </c>
      <c r="B367" s="15" t="s">
        <v>821</v>
      </c>
      <c r="C367" s="16">
        <v>0.63194444444444442</v>
      </c>
      <c r="D367" s="15" t="s">
        <v>34</v>
      </c>
      <c r="E367" s="15" t="s">
        <v>82</v>
      </c>
      <c r="F367" s="15" t="s">
        <v>45</v>
      </c>
      <c r="G367" s="298"/>
      <c r="H367" s="10"/>
      <c r="I367" s="11"/>
      <c r="J367" s="11"/>
      <c r="K367" s="11"/>
      <c r="L367" s="11"/>
      <c r="M367" s="11"/>
      <c r="N367" s="11"/>
      <c r="O367" s="12"/>
      <c r="P367" s="11"/>
      <c r="Q367" s="13"/>
      <c r="R367" s="14"/>
    </row>
    <row r="368" spans="1:18" ht="15" customHeight="1">
      <c r="A368" s="17" t="s">
        <v>26</v>
      </c>
      <c r="B368" s="17" t="s">
        <v>822</v>
      </c>
      <c r="C368" s="18">
        <v>0.55902777777777779</v>
      </c>
      <c r="D368" s="17" t="s">
        <v>28</v>
      </c>
      <c r="E368" s="17" t="s">
        <v>90</v>
      </c>
      <c r="F368" s="17" t="s">
        <v>81</v>
      </c>
      <c r="G368" s="298"/>
      <c r="H368" s="10"/>
      <c r="I368" s="11"/>
      <c r="J368" s="11"/>
      <c r="K368" s="11"/>
      <c r="L368" s="11"/>
      <c r="M368" s="11"/>
      <c r="N368" s="11"/>
      <c r="O368" s="12"/>
      <c r="P368" s="11"/>
      <c r="Q368" s="13"/>
      <c r="R368" s="14"/>
    </row>
    <row r="369" spans="1:18" ht="15" customHeight="1">
      <c r="A369" s="15" t="s">
        <v>26</v>
      </c>
      <c r="B369" s="15" t="s">
        <v>822</v>
      </c>
      <c r="C369" s="16">
        <v>0.55902777777777779</v>
      </c>
      <c r="D369" s="15" t="s">
        <v>31</v>
      </c>
      <c r="E369" s="15" t="s">
        <v>82</v>
      </c>
      <c r="F369" s="15" t="s">
        <v>83</v>
      </c>
      <c r="G369" s="298"/>
      <c r="H369" s="10"/>
      <c r="I369" s="11"/>
      <c r="J369" s="11"/>
      <c r="K369" s="11"/>
      <c r="L369" s="11"/>
      <c r="M369" s="11"/>
      <c r="N369" s="11"/>
      <c r="O369" s="12"/>
      <c r="P369" s="11"/>
      <c r="Q369" s="13"/>
      <c r="R369" s="14"/>
    </row>
    <row r="370" spans="1:18" ht="15" customHeight="1">
      <c r="A370" s="15" t="s">
        <v>26</v>
      </c>
      <c r="B370" s="15" t="s">
        <v>822</v>
      </c>
      <c r="C370" s="16">
        <v>0.55902777777777779</v>
      </c>
      <c r="D370" s="15" t="s">
        <v>34</v>
      </c>
      <c r="E370" s="15" t="s">
        <v>82</v>
      </c>
      <c r="F370" s="15" t="s">
        <v>45</v>
      </c>
      <c r="G370" s="298"/>
      <c r="H370" s="10"/>
      <c r="I370" s="11"/>
      <c r="J370" s="11"/>
      <c r="K370" s="11"/>
      <c r="L370" s="11"/>
      <c r="M370" s="11"/>
      <c r="N370" s="11"/>
      <c r="O370" s="12"/>
      <c r="P370" s="11"/>
      <c r="Q370" s="13"/>
      <c r="R370" s="14"/>
    </row>
    <row r="371" spans="1:18" ht="15" customHeight="1">
      <c r="A371" s="17" t="s">
        <v>26</v>
      </c>
      <c r="B371" s="17" t="s">
        <v>823</v>
      </c>
      <c r="C371" s="18">
        <v>0.81944444444444453</v>
      </c>
      <c r="D371" s="17" t="s">
        <v>28</v>
      </c>
      <c r="E371" s="17" t="s">
        <v>90</v>
      </c>
      <c r="F371" s="17" t="s">
        <v>81</v>
      </c>
      <c r="G371" s="298"/>
      <c r="H371" s="10"/>
      <c r="I371" s="11"/>
      <c r="J371" s="11"/>
      <c r="K371" s="11"/>
      <c r="L371" s="11"/>
      <c r="M371" s="11"/>
      <c r="N371" s="11"/>
      <c r="O371" s="12"/>
      <c r="P371" s="11"/>
      <c r="Q371" s="13"/>
      <c r="R371" s="14"/>
    </row>
    <row r="372" spans="1:18" ht="15" customHeight="1">
      <c r="A372" s="15" t="s">
        <v>26</v>
      </c>
      <c r="B372" s="15" t="s">
        <v>823</v>
      </c>
      <c r="C372" s="16">
        <v>0.81944444444444453</v>
      </c>
      <c r="D372" s="15" t="s">
        <v>31</v>
      </c>
      <c r="E372" s="15" t="s">
        <v>82</v>
      </c>
      <c r="F372" s="15" t="s">
        <v>83</v>
      </c>
      <c r="G372" s="298"/>
      <c r="H372" s="10"/>
      <c r="I372" s="11"/>
      <c r="J372" s="11"/>
      <c r="K372" s="11"/>
      <c r="L372" s="11"/>
      <c r="M372" s="11"/>
      <c r="N372" s="11"/>
      <c r="O372" s="12"/>
      <c r="P372" s="11"/>
      <c r="Q372" s="13"/>
      <c r="R372" s="14"/>
    </row>
    <row r="373" spans="1:18" ht="15" customHeight="1">
      <c r="A373" s="15" t="s">
        <v>26</v>
      </c>
      <c r="B373" s="15" t="s">
        <v>823</v>
      </c>
      <c r="C373" s="16">
        <v>0.81944444444444453</v>
      </c>
      <c r="D373" s="15" t="s">
        <v>34</v>
      </c>
      <c r="E373" s="15" t="s">
        <v>82</v>
      </c>
      <c r="F373" s="15" t="s">
        <v>45</v>
      </c>
      <c r="G373" s="298"/>
      <c r="H373" s="10"/>
      <c r="I373" s="11"/>
      <c r="J373" s="11"/>
      <c r="K373" s="11"/>
      <c r="L373" s="11"/>
      <c r="M373" s="11"/>
      <c r="N373" s="11"/>
      <c r="O373" s="12"/>
      <c r="P373" s="11"/>
      <c r="Q373" s="13"/>
      <c r="R373" s="14"/>
    </row>
    <row r="374" spans="1:18" ht="15" customHeight="1">
      <c r="A374" s="17" t="s">
        <v>26</v>
      </c>
      <c r="B374" s="17" t="s">
        <v>824</v>
      </c>
      <c r="C374" s="18">
        <v>0.50694444444444442</v>
      </c>
      <c r="D374" s="17" t="s">
        <v>28</v>
      </c>
      <c r="E374" s="17" t="s">
        <v>90</v>
      </c>
      <c r="F374" s="17" t="s">
        <v>81</v>
      </c>
      <c r="G374" s="298"/>
      <c r="H374" s="10"/>
      <c r="I374" s="11"/>
      <c r="J374" s="11"/>
      <c r="K374" s="11"/>
      <c r="L374" s="11"/>
      <c r="M374" s="11"/>
      <c r="N374" s="11"/>
      <c r="O374" s="12"/>
      <c r="P374" s="11"/>
      <c r="Q374" s="13"/>
      <c r="R374" s="14"/>
    </row>
    <row r="375" spans="1:18" ht="15" customHeight="1">
      <c r="A375" s="15" t="s">
        <v>26</v>
      </c>
      <c r="B375" s="15" t="s">
        <v>824</v>
      </c>
      <c r="C375" s="16">
        <v>0.50694444444444442</v>
      </c>
      <c r="D375" s="15" t="s">
        <v>31</v>
      </c>
      <c r="E375" s="15" t="s">
        <v>82</v>
      </c>
      <c r="F375" s="15" t="s">
        <v>83</v>
      </c>
      <c r="G375" s="298"/>
      <c r="H375" s="10"/>
      <c r="I375" s="11"/>
      <c r="J375" s="11"/>
      <c r="K375" s="11"/>
      <c r="L375" s="11"/>
      <c r="M375" s="11"/>
      <c r="N375" s="11"/>
      <c r="O375" s="12"/>
      <c r="P375" s="11"/>
      <c r="Q375" s="13"/>
      <c r="R375" s="14"/>
    </row>
    <row r="376" spans="1:18" ht="15" customHeight="1">
      <c r="A376" s="15" t="s">
        <v>26</v>
      </c>
      <c r="B376" s="15" t="s">
        <v>824</v>
      </c>
      <c r="C376" s="16">
        <v>0.50694444444444442</v>
      </c>
      <c r="D376" s="15" t="s">
        <v>34</v>
      </c>
      <c r="E376" s="15" t="s">
        <v>82</v>
      </c>
      <c r="F376" s="15" t="s">
        <v>45</v>
      </c>
      <c r="G376" s="298"/>
      <c r="H376" s="10"/>
      <c r="I376" s="11"/>
      <c r="J376" s="11"/>
      <c r="K376" s="11"/>
      <c r="L376" s="11"/>
      <c r="M376" s="11"/>
      <c r="N376" s="11"/>
      <c r="O376" s="12"/>
      <c r="P376" s="11"/>
      <c r="Q376" s="13"/>
      <c r="R376" s="14"/>
    </row>
    <row r="377" spans="1:18" ht="15" customHeight="1">
      <c r="A377" s="17" t="s">
        <v>26</v>
      </c>
      <c r="B377" s="17" t="s">
        <v>825</v>
      </c>
      <c r="C377" s="18">
        <v>0.69791666666666663</v>
      </c>
      <c r="D377" s="17" t="s">
        <v>28</v>
      </c>
      <c r="E377" s="17" t="s">
        <v>90</v>
      </c>
      <c r="F377" s="17" t="s">
        <v>81</v>
      </c>
      <c r="G377" s="298"/>
      <c r="H377" s="10"/>
      <c r="I377" s="11"/>
      <c r="J377" s="11"/>
      <c r="K377" s="11"/>
      <c r="L377" s="11"/>
      <c r="M377" s="11"/>
      <c r="N377" s="11"/>
      <c r="O377" s="12"/>
      <c r="P377" s="11"/>
      <c r="Q377" s="13"/>
      <c r="R377" s="14"/>
    </row>
    <row r="378" spans="1:18" ht="15" customHeight="1">
      <c r="A378" s="15" t="s">
        <v>26</v>
      </c>
      <c r="B378" s="15" t="s">
        <v>825</v>
      </c>
      <c r="C378" s="16">
        <v>0.69791666666666663</v>
      </c>
      <c r="D378" s="15" t="s">
        <v>31</v>
      </c>
      <c r="E378" s="15" t="s">
        <v>82</v>
      </c>
      <c r="F378" s="15" t="s">
        <v>83</v>
      </c>
      <c r="G378" s="298"/>
      <c r="H378" s="10"/>
      <c r="I378" s="11"/>
      <c r="J378" s="11"/>
      <c r="K378" s="11"/>
      <c r="L378" s="11"/>
      <c r="M378" s="11"/>
      <c r="N378" s="11"/>
      <c r="O378" s="12"/>
      <c r="P378" s="11"/>
      <c r="Q378" s="13"/>
      <c r="R378" s="14"/>
    </row>
    <row r="379" spans="1:18" ht="15" customHeight="1">
      <c r="A379" s="15" t="s">
        <v>26</v>
      </c>
      <c r="B379" s="15" t="s">
        <v>825</v>
      </c>
      <c r="C379" s="16">
        <v>0.69791666666666663</v>
      </c>
      <c r="D379" s="15" t="s">
        <v>34</v>
      </c>
      <c r="E379" s="15" t="s">
        <v>82</v>
      </c>
      <c r="F379" s="15" t="s">
        <v>45</v>
      </c>
      <c r="G379" s="298"/>
      <c r="H379" s="10"/>
      <c r="I379" s="11"/>
      <c r="J379" s="11"/>
      <c r="K379" s="11"/>
      <c r="L379" s="11"/>
      <c r="M379" s="11"/>
      <c r="N379" s="11"/>
      <c r="O379" s="12"/>
      <c r="P379" s="11"/>
      <c r="Q379" s="13"/>
      <c r="R379" s="14"/>
    </row>
    <row r="380" spans="1:18" ht="15" customHeight="1">
      <c r="A380" s="19" t="s">
        <v>48</v>
      </c>
      <c r="B380" s="19" t="s">
        <v>833</v>
      </c>
      <c r="C380" s="20">
        <v>0.44444444444444442</v>
      </c>
      <c r="D380" s="19" t="s">
        <v>50</v>
      </c>
      <c r="E380" s="19" t="s">
        <v>51</v>
      </c>
      <c r="F380" s="19" t="s">
        <v>873</v>
      </c>
      <c r="G380" s="298"/>
      <c r="H380" s="10"/>
      <c r="I380" s="11"/>
      <c r="J380" s="11"/>
      <c r="K380" s="11"/>
      <c r="L380" s="11"/>
      <c r="M380" s="11"/>
      <c r="N380" s="11"/>
      <c r="O380" s="12"/>
      <c r="P380" s="11"/>
      <c r="Q380" s="13"/>
      <c r="R380" s="14"/>
    </row>
    <row r="381" spans="1:18" ht="15" customHeight="1">
      <c r="A381" s="15" t="s">
        <v>48</v>
      </c>
      <c r="B381" s="15" t="s">
        <v>833</v>
      </c>
      <c r="C381" s="16">
        <v>0.44444444444444442</v>
      </c>
      <c r="D381" s="15" t="s">
        <v>53</v>
      </c>
      <c r="E381" s="15" t="s">
        <v>54</v>
      </c>
      <c r="F381" s="15" t="s">
        <v>874</v>
      </c>
      <c r="G381" s="298"/>
      <c r="H381" s="10"/>
      <c r="I381" s="11"/>
      <c r="J381" s="11"/>
      <c r="K381" s="11"/>
      <c r="L381" s="11"/>
      <c r="M381" s="11"/>
      <c r="N381" s="11"/>
      <c r="O381" s="12"/>
      <c r="P381" s="11"/>
      <c r="Q381" s="13"/>
      <c r="R381" s="14"/>
    </row>
    <row r="382" spans="1:18" ht="15" customHeight="1">
      <c r="A382" s="17" t="s">
        <v>48</v>
      </c>
      <c r="B382" s="17" t="s">
        <v>828</v>
      </c>
      <c r="C382" s="18">
        <v>0.82986111111111116</v>
      </c>
      <c r="D382" s="17" t="s">
        <v>50</v>
      </c>
      <c r="E382" s="17" t="s">
        <v>57</v>
      </c>
      <c r="F382" s="17" t="s">
        <v>873</v>
      </c>
      <c r="G382" s="298"/>
      <c r="H382" s="10"/>
      <c r="I382" s="11"/>
      <c r="J382" s="11"/>
      <c r="K382" s="11"/>
      <c r="L382" s="11"/>
      <c r="M382" s="11"/>
      <c r="N382" s="11"/>
      <c r="O382" s="12"/>
      <c r="P382" s="11"/>
      <c r="Q382" s="13"/>
      <c r="R382" s="14"/>
    </row>
    <row r="383" spans="1:18" ht="15" customHeight="1">
      <c r="A383" s="15" t="s">
        <v>48</v>
      </c>
      <c r="B383" s="15" t="s">
        <v>828</v>
      </c>
      <c r="C383" s="16">
        <v>0.82986111111111116</v>
      </c>
      <c r="D383" s="15" t="s">
        <v>53</v>
      </c>
      <c r="E383" s="15" t="s">
        <v>54</v>
      </c>
      <c r="F383" s="15" t="s">
        <v>874</v>
      </c>
      <c r="G383" s="298"/>
      <c r="H383" s="10"/>
      <c r="I383" s="11"/>
      <c r="J383" s="11"/>
      <c r="K383" s="11"/>
      <c r="L383" s="11"/>
      <c r="M383" s="11"/>
      <c r="N383" s="11"/>
      <c r="O383" s="12"/>
      <c r="P383" s="11"/>
      <c r="Q383" s="13"/>
      <c r="R383" s="14"/>
    </row>
    <row r="384" spans="1:18" ht="15" customHeight="1">
      <c r="A384" s="17" t="s">
        <v>48</v>
      </c>
      <c r="B384" s="17" t="s">
        <v>831</v>
      </c>
      <c r="C384" s="18">
        <v>0.98263888888888884</v>
      </c>
      <c r="D384" s="17" t="s">
        <v>50</v>
      </c>
      <c r="E384" s="17" t="s">
        <v>57</v>
      </c>
      <c r="F384" s="17" t="s">
        <v>873</v>
      </c>
      <c r="G384" s="298"/>
      <c r="H384" s="10"/>
      <c r="I384" s="11"/>
      <c r="J384" s="11"/>
      <c r="K384" s="11"/>
      <c r="L384" s="11"/>
      <c r="M384" s="11"/>
      <c r="N384" s="11"/>
      <c r="O384" s="12"/>
      <c r="P384" s="11"/>
      <c r="Q384" s="13"/>
      <c r="R384" s="14"/>
    </row>
    <row r="385" spans="1:18" ht="15" customHeight="1">
      <c r="A385" s="15" t="s">
        <v>48</v>
      </c>
      <c r="B385" s="15" t="s">
        <v>831</v>
      </c>
      <c r="C385" s="16">
        <v>0.98263888888888884</v>
      </c>
      <c r="D385" s="15" t="s">
        <v>53</v>
      </c>
      <c r="E385" s="15" t="s">
        <v>54</v>
      </c>
      <c r="F385" s="15" t="s">
        <v>874</v>
      </c>
      <c r="G385" s="298"/>
      <c r="H385" s="10"/>
      <c r="I385" s="11"/>
      <c r="J385" s="11"/>
      <c r="K385" s="11"/>
      <c r="L385" s="11"/>
      <c r="M385" s="11"/>
      <c r="N385" s="11"/>
      <c r="O385" s="12"/>
      <c r="P385" s="11"/>
      <c r="Q385" s="13"/>
      <c r="R385" s="14"/>
    </row>
    <row r="386" spans="1:18" ht="15" customHeight="1">
      <c r="A386" s="17" t="s">
        <v>48</v>
      </c>
      <c r="B386" s="17" t="s">
        <v>832</v>
      </c>
      <c r="C386" s="18">
        <v>0.62847222222222221</v>
      </c>
      <c r="D386" s="17" t="s">
        <v>50</v>
      </c>
      <c r="E386" s="17" t="s">
        <v>57</v>
      </c>
      <c r="F386" s="17" t="s">
        <v>873</v>
      </c>
      <c r="G386" s="298"/>
      <c r="H386" s="10"/>
      <c r="I386" s="11"/>
      <c r="J386" s="11"/>
      <c r="K386" s="11"/>
      <c r="L386" s="11"/>
      <c r="M386" s="11"/>
      <c r="N386" s="11"/>
      <c r="O386" s="12"/>
      <c r="P386" s="11"/>
      <c r="Q386" s="13"/>
      <c r="R386" s="14"/>
    </row>
    <row r="387" spans="1:18" ht="15" customHeight="1">
      <c r="A387" s="15" t="s">
        <v>48</v>
      </c>
      <c r="B387" s="15" t="s">
        <v>832</v>
      </c>
      <c r="C387" s="16">
        <v>0.62847222222222221</v>
      </c>
      <c r="D387" s="15" t="s">
        <v>53</v>
      </c>
      <c r="E387" s="15" t="s">
        <v>54</v>
      </c>
      <c r="F387" s="15" t="s">
        <v>874</v>
      </c>
      <c r="G387" s="298"/>
      <c r="H387" s="10"/>
      <c r="I387" s="11"/>
      <c r="J387" s="11"/>
      <c r="K387" s="11"/>
      <c r="L387" s="11"/>
      <c r="M387" s="11"/>
      <c r="N387" s="11"/>
      <c r="O387" s="12"/>
      <c r="P387" s="11"/>
      <c r="Q387" s="13"/>
      <c r="R387" s="14"/>
    </row>
    <row r="388" spans="1:18" ht="15" customHeight="1">
      <c r="A388" s="17" t="s">
        <v>48</v>
      </c>
      <c r="B388" s="17" t="s">
        <v>835</v>
      </c>
      <c r="C388" s="18">
        <v>0.88888888888888884</v>
      </c>
      <c r="D388" s="17" t="s">
        <v>53</v>
      </c>
      <c r="E388" s="17" t="s">
        <v>37</v>
      </c>
      <c r="F388" s="17" t="s">
        <v>836</v>
      </c>
      <c r="G388" s="298"/>
      <c r="H388" s="10"/>
      <c r="I388" s="11"/>
      <c r="J388" s="11"/>
      <c r="K388" s="11"/>
      <c r="L388" s="11"/>
      <c r="M388" s="11"/>
      <c r="N388" s="11"/>
      <c r="O388" s="12"/>
      <c r="P388" s="11"/>
      <c r="Q388" s="13"/>
      <c r="R388" s="14"/>
    </row>
    <row r="389" spans="1:18" ht="15" customHeight="1">
      <c r="A389" s="17" t="s">
        <v>48</v>
      </c>
      <c r="B389" s="17" t="s">
        <v>837</v>
      </c>
      <c r="C389" s="18">
        <v>0.62847222222222221</v>
      </c>
      <c r="D389" s="17" t="s">
        <v>53</v>
      </c>
      <c r="E389" s="17" t="s">
        <v>37</v>
      </c>
      <c r="F389" s="17" t="s">
        <v>836</v>
      </c>
      <c r="G389" s="298"/>
      <c r="H389" s="10"/>
      <c r="I389" s="11"/>
      <c r="J389" s="11"/>
      <c r="K389" s="11"/>
      <c r="L389" s="11"/>
      <c r="M389" s="11"/>
      <c r="N389" s="11"/>
      <c r="O389" s="12"/>
      <c r="P389" s="11"/>
      <c r="Q389" s="13"/>
      <c r="R389" s="14"/>
    </row>
    <row r="390" spans="1:18" ht="15" customHeight="1">
      <c r="A390" s="17" t="s">
        <v>48</v>
      </c>
      <c r="B390" s="17" t="s">
        <v>838</v>
      </c>
      <c r="C390" s="18">
        <v>0.94444444444444453</v>
      </c>
      <c r="D390" s="17" t="s">
        <v>53</v>
      </c>
      <c r="E390" s="17" t="s">
        <v>37</v>
      </c>
      <c r="F390" s="17" t="s">
        <v>836</v>
      </c>
      <c r="G390" s="298"/>
      <c r="H390" s="10"/>
      <c r="I390" s="11"/>
      <c r="J390" s="11"/>
      <c r="K390" s="11"/>
      <c r="L390" s="11"/>
      <c r="M390" s="11"/>
      <c r="N390" s="11"/>
      <c r="O390" s="12"/>
      <c r="P390" s="11"/>
      <c r="Q390" s="13"/>
      <c r="R390" s="14"/>
    </row>
    <row r="391" spans="1:18" ht="15" customHeight="1">
      <c r="A391" s="19" t="s">
        <v>402</v>
      </c>
      <c r="B391" s="19" t="s">
        <v>839</v>
      </c>
      <c r="C391" s="20">
        <v>0.2013888888888889</v>
      </c>
      <c r="D391" s="19" t="s">
        <v>63</v>
      </c>
      <c r="E391" s="19" t="s">
        <v>107</v>
      </c>
      <c r="F391" s="19" t="s">
        <v>881</v>
      </c>
      <c r="G391" s="298"/>
      <c r="H391" s="10"/>
      <c r="I391" s="11"/>
      <c r="J391" s="11"/>
      <c r="K391" s="11"/>
      <c r="L391" s="11"/>
      <c r="M391" s="11"/>
      <c r="N391" s="11"/>
      <c r="O391" s="12"/>
      <c r="P391" s="11"/>
      <c r="Q391" s="13"/>
      <c r="R391" s="14"/>
    </row>
    <row r="392" spans="1:18" ht="15" customHeight="1" thickBot="1">
      <c r="A392" s="30" t="s">
        <v>402</v>
      </c>
      <c r="B392" s="30" t="s">
        <v>841</v>
      </c>
      <c r="C392" s="31">
        <v>0.61458333333333337</v>
      </c>
      <c r="D392" s="30" t="s">
        <v>63</v>
      </c>
      <c r="E392" s="30" t="s">
        <v>435</v>
      </c>
      <c r="F392" s="30" t="s">
        <v>881</v>
      </c>
      <c r="G392" s="299"/>
      <c r="H392" s="300"/>
      <c r="I392" s="140"/>
      <c r="J392" s="140"/>
      <c r="K392" s="140"/>
      <c r="L392" s="140"/>
      <c r="M392" s="140"/>
      <c r="N392" s="140"/>
      <c r="O392" s="141"/>
      <c r="P392" s="140"/>
      <c r="Q392" s="142"/>
      <c r="R392" s="301"/>
    </row>
    <row r="393" spans="1:18" ht="17.45" customHeight="1" thickBot="1">
      <c r="A393" s="283"/>
      <c r="B393" s="284"/>
      <c r="C393" s="284"/>
      <c r="D393" s="284"/>
      <c r="E393" s="284"/>
      <c r="F393" s="284"/>
      <c r="G393" s="284"/>
      <c r="H393" s="284"/>
      <c r="I393" s="284"/>
      <c r="J393" s="284"/>
      <c r="K393" s="284"/>
      <c r="L393" s="284"/>
      <c r="M393" s="284"/>
      <c r="N393" s="284"/>
      <c r="O393" s="284"/>
      <c r="P393" s="284"/>
      <c r="Q393" s="284"/>
      <c r="R393" s="285"/>
    </row>
    <row r="394" spans="1:18" ht="22.15" customHeight="1" thickTop="1" thickBot="1">
      <c r="A394" s="279" t="s">
        <v>6</v>
      </c>
      <c r="B394" s="295"/>
      <c r="C394" s="295"/>
      <c r="D394" s="295"/>
      <c r="E394" s="295"/>
      <c r="F394" s="296"/>
      <c r="G394" s="32">
        <v>46030</v>
      </c>
      <c r="H394" s="278" t="s">
        <v>7</v>
      </c>
      <c r="I394" s="295"/>
      <c r="J394" s="295"/>
      <c r="K394" s="295"/>
      <c r="L394" s="295"/>
      <c r="M394" s="295"/>
      <c r="N394" s="295"/>
      <c r="O394" s="295"/>
      <c r="P394" s="295"/>
      <c r="Q394" s="295"/>
      <c r="R394" s="296"/>
    </row>
    <row r="395" spans="1:18" ht="24" customHeight="1">
      <c r="A395" s="33" t="s">
        <v>8</v>
      </c>
      <c r="B395" s="33" t="s">
        <v>9</v>
      </c>
      <c r="C395" s="34" t="s">
        <v>10</v>
      </c>
      <c r="D395" s="33" t="s">
        <v>11</v>
      </c>
      <c r="E395" s="33" t="s">
        <v>12</v>
      </c>
      <c r="F395" s="35" t="s">
        <v>13</v>
      </c>
      <c r="G395" s="36" t="s">
        <v>14</v>
      </c>
      <c r="H395" s="33" t="s">
        <v>15</v>
      </c>
      <c r="I395" s="37" t="s">
        <v>16</v>
      </c>
      <c r="J395" s="38" t="s">
        <v>17</v>
      </c>
      <c r="K395" s="39" t="s">
        <v>18</v>
      </c>
      <c r="L395" s="38" t="s">
        <v>19</v>
      </c>
      <c r="M395" s="38" t="s">
        <v>20</v>
      </c>
      <c r="N395" s="38" t="s">
        <v>21</v>
      </c>
      <c r="O395" s="33" t="s">
        <v>22</v>
      </c>
      <c r="P395" s="34" t="s">
        <v>23</v>
      </c>
      <c r="Q395" s="38" t="s">
        <v>24</v>
      </c>
      <c r="R395" s="33" t="s">
        <v>25</v>
      </c>
    </row>
    <row r="396" spans="1:18" ht="15" customHeight="1">
      <c r="A396" s="8" t="s">
        <v>38</v>
      </c>
      <c r="B396" s="8" t="s">
        <v>809</v>
      </c>
      <c r="C396" s="9">
        <v>0.57638888888888895</v>
      </c>
      <c r="D396" s="8" t="s">
        <v>40</v>
      </c>
      <c r="E396" s="8" t="s">
        <v>94</v>
      </c>
      <c r="F396" s="8" t="s">
        <v>475</v>
      </c>
      <c r="G396" s="302"/>
      <c r="H396" s="10"/>
      <c r="I396" s="11"/>
      <c r="J396" s="11"/>
      <c r="K396" s="11"/>
      <c r="L396" s="11"/>
      <c r="M396" s="11"/>
      <c r="N396" s="11"/>
      <c r="O396" s="12"/>
      <c r="P396" s="11"/>
      <c r="Q396" s="13"/>
      <c r="R396" s="14"/>
    </row>
    <row r="397" spans="1:18" ht="15" customHeight="1">
      <c r="A397" s="15" t="s">
        <v>38</v>
      </c>
      <c r="B397" s="15" t="s">
        <v>809</v>
      </c>
      <c r="C397" s="16">
        <v>0.57638888888888895</v>
      </c>
      <c r="D397" s="15" t="s">
        <v>43</v>
      </c>
      <c r="E397" s="15" t="s">
        <v>95</v>
      </c>
      <c r="F397" s="15" t="s">
        <v>121</v>
      </c>
      <c r="G397" s="298"/>
      <c r="H397" s="10"/>
      <c r="I397" s="11"/>
      <c r="J397" s="11"/>
      <c r="K397" s="11"/>
      <c r="L397" s="11"/>
      <c r="M397" s="11"/>
      <c r="N397" s="11"/>
      <c r="O397" s="12"/>
      <c r="P397" s="11"/>
      <c r="Q397" s="13"/>
      <c r="R397" s="14"/>
    </row>
    <row r="398" spans="1:18" ht="15" customHeight="1">
      <c r="A398" s="15" t="s">
        <v>38</v>
      </c>
      <c r="B398" s="15" t="s">
        <v>809</v>
      </c>
      <c r="C398" s="16">
        <v>0.57638888888888895</v>
      </c>
      <c r="D398" s="15" t="s">
        <v>46</v>
      </c>
      <c r="E398" s="15" t="s">
        <v>95</v>
      </c>
      <c r="F398" s="15" t="s">
        <v>810</v>
      </c>
      <c r="G398" s="298"/>
      <c r="H398" s="10"/>
      <c r="I398" s="11"/>
      <c r="J398" s="11"/>
      <c r="K398" s="11"/>
      <c r="L398" s="11"/>
      <c r="M398" s="11"/>
      <c r="N398" s="11"/>
      <c r="O398" s="12"/>
      <c r="P398" s="11"/>
      <c r="Q398" s="13"/>
      <c r="R398" s="14"/>
    </row>
    <row r="399" spans="1:18" ht="15" customHeight="1">
      <c r="A399" s="17" t="s">
        <v>38</v>
      </c>
      <c r="B399" s="17" t="s">
        <v>811</v>
      </c>
      <c r="C399" s="18">
        <v>0.62847222222222221</v>
      </c>
      <c r="D399" s="17" t="s">
        <v>40</v>
      </c>
      <c r="E399" s="17" t="s">
        <v>459</v>
      </c>
      <c r="F399" s="17" t="s">
        <v>475</v>
      </c>
      <c r="G399" s="298"/>
      <c r="H399" s="10"/>
      <c r="I399" s="11"/>
      <c r="J399" s="11"/>
      <c r="K399" s="11"/>
      <c r="L399" s="11"/>
      <c r="M399" s="11"/>
      <c r="N399" s="11"/>
      <c r="O399" s="12"/>
      <c r="P399" s="11"/>
      <c r="Q399" s="13"/>
      <c r="R399" s="14"/>
    </row>
    <row r="400" spans="1:18" ht="15" customHeight="1">
      <c r="A400" s="15" t="s">
        <v>38</v>
      </c>
      <c r="B400" s="15" t="s">
        <v>811</v>
      </c>
      <c r="C400" s="16">
        <v>0.62847222222222221</v>
      </c>
      <c r="D400" s="15" t="s">
        <v>43</v>
      </c>
      <c r="E400" s="15" t="s">
        <v>182</v>
      </c>
      <c r="F400" s="15" t="s">
        <v>121</v>
      </c>
      <c r="G400" s="298"/>
      <c r="H400" s="10"/>
      <c r="I400" s="11"/>
      <c r="J400" s="11"/>
      <c r="K400" s="11"/>
      <c r="L400" s="11"/>
      <c r="M400" s="11"/>
      <c r="N400" s="11"/>
      <c r="O400" s="12"/>
      <c r="P400" s="11"/>
      <c r="Q400" s="13"/>
      <c r="R400" s="14"/>
    </row>
    <row r="401" spans="1:18" ht="15" customHeight="1">
      <c r="A401" s="15" t="s">
        <v>38</v>
      </c>
      <c r="B401" s="15" t="s">
        <v>811</v>
      </c>
      <c r="C401" s="16">
        <v>0.62847222222222221</v>
      </c>
      <c r="D401" s="15" t="s">
        <v>46</v>
      </c>
      <c r="E401" s="15" t="s">
        <v>182</v>
      </c>
      <c r="F401" s="15" t="s">
        <v>894</v>
      </c>
      <c r="G401" s="298"/>
      <c r="H401" s="10"/>
      <c r="I401" s="11"/>
      <c r="J401" s="11"/>
      <c r="K401" s="11"/>
      <c r="L401" s="11"/>
      <c r="M401" s="11"/>
      <c r="N401" s="11"/>
      <c r="O401" s="12"/>
      <c r="P401" s="11"/>
      <c r="Q401" s="13"/>
      <c r="R401" s="14"/>
    </row>
    <row r="402" spans="1:18" ht="15" customHeight="1">
      <c r="A402" s="17" t="s">
        <v>38</v>
      </c>
      <c r="B402" s="17" t="s">
        <v>812</v>
      </c>
      <c r="C402" s="18">
        <v>0.88888888888888884</v>
      </c>
      <c r="D402" s="17" t="s">
        <v>40</v>
      </c>
      <c r="E402" s="17" t="s">
        <v>421</v>
      </c>
      <c r="F402" s="17" t="s">
        <v>475</v>
      </c>
      <c r="G402" s="298"/>
      <c r="H402" s="10"/>
      <c r="I402" s="11"/>
      <c r="J402" s="11"/>
      <c r="K402" s="11"/>
      <c r="L402" s="11"/>
      <c r="M402" s="11"/>
      <c r="N402" s="11"/>
      <c r="O402" s="12"/>
      <c r="P402" s="11"/>
      <c r="Q402" s="13"/>
      <c r="R402" s="14"/>
    </row>
    <row r="403" spans="1:18" ht="15" customHeight="1">
      <c r="A403" s="15" t="s">
        <v>38</v>
      </c>
      <c r="B403" s="15" t="s">
        <v>812</v>
      </c>
      <c r="C403" s="16">
        <v>0.88888888888888884</v>
      </c>
      <c r="D403" s="15" t="s">
        <v>43</v>
      </c>
      <c r="E403" s="15" t="s">
        <v>193</v>
      </c>
      <c r="F403" s="15" t="s">
        <v>121</v>
      </c>
      <c r="G403" s="298"/>
      <c r="H403" s="10"/>
      <c r="I403" s="11"/>
      <c r="J403" s="11"/>
      <c r="K403" s="11"/>
      <c r="L403" s="11"/>
      <c r="M403" s="11"/>
      <c r="N403" s="11"/>
      <c r="O403" s="12"/>
      <c r="P403" s="11"/>
      <c r="Q403" s="13"/>
      <c r="R403" s="14"/>
    </row>
    <row r="404" spans="1:18" ht="15" customHeight="1">
      <c r="A404" s="15" t="s">
        <v>38</v>
      </c>
      <c r="B404" s="15" t="s">
        <v>812</v>
      </c>
      <c r="C404" s="16">
        <v>0.88888888888888884</v>
      </c>
      <c r="D404" s="15" t="s">
        <v>46</v>
      </c>
      <c r="E404" s="15" t="s">
        <v>193</v>
      </c>
      <c r="F404" s="15" t="s">
        <v>810</v>
      </c>
      <c r="G404" s="298"/>
      <c r="H404" s="10"/>
      <c r="I404" s="11"/>
      <c r="J404" s="11"/>
      <c r="K404" s="11"/>
      <c r="L404" s="11"/>
      <c r="M404" s="11"/>
      <c r="N404" s="11"/>
      <c r="O404" s="12"/>
      <c r="P404" s="11"/>
      <c r="Q404" s="13"/>
      <c r="R404" s="14"/>
    </row>
    <row r="405" spans="1:18" ht="15" customHeight="1">
      <c r="A405" s="17" t="s">
        <v>38</v>
      </c>
      <c r="B405" s="17" t="s">
        <v>813</v>
      </c>
      <c r="C405" s="18">
        <v>0.94444444444444453</v>
      </c>
      <c r="D405" s="17" t="s">
        <v>40</v>
      </c>
      <c r="E405" s="17" t="s">
        <v>442</v>
      </c>
      <c r="F405" s="17" t="s">
        <v>475</v>
      </c>
      <c r="G405" s="298"/>
      <c r="H405" s="10"/>
      <c r="I405" s="11"/>
      <c r="J405" s="11"/>
      <c r="K405" s="11"/>
      <c r="L405" s="11"/>
      <c r="M405" s="11"/>
      <c r="N405" s="11"/>
      <c r="O405" s="12"/>
      <c r="P405" s="11"/>
      <c r="Q405" s="13"/>
      <c r="R405" s="14"/>
    </row>
    <row r="406" spans="1:18" ht="15" customHeight="1">
      <c r="A406" s="15" t="s">
        <v>38</v>
      </c>
      <c r="B406" s="15" t="s">
        <v>813</v>
      </c>
      <c r="C406" s="16">
        <v>0.94444444444444453</v>
      </c>
      <c r="D406" s="15" t="s">
        <v>43</v>
      </c>
      <c r="E406" s="15" t="s">
        <v>122</v>
      </c>
      <c r="F406" s="15" t="s">
        <v>121</v>
      </c>
      <c r="G406" s="298"/>
      <c r="H406" s="10"/>
      <c r="I406" s="11"/>
      <c r="J406" s="11"/>
      <c r="K406" s="11"/>
      <c r="L406" s="11"/>
      <c r="M406" s="11"/>
      <c r="N406" s="11"/>
      <c r="O406" s="12"/>
      <c r="P406" s="11"/>
      <c r="Q406" s="13"/>
      <c r="R406" s="14"/>
    </row>
    <row r="407" spans="1:18" ht="15" customHeight="1">
      <c r="A407" s="15" t="s">
        <v>38</v>
      </c>
      <c r="B407" s="15" t="s">
        <v>813</v>
      </c>
      <c r="C407" s="16">
        <v>0.94444444444444453</v>
      </c>
      <c r="D407" s="15" t="s">
        <v>46</v>
      </c>
      <c r="E407" s="15" t="s">
        <v>122</v>
      </c>
      <c r="F407" s="15" t="s">
        <v>810</v>
      </c>
      <c r="G407" s="298"/>
      <c r="H407" s="10"/>
      <c r="I407" s="11"/>
      <c r="J407" s="11"/>
      <c r="K407" s="11"/>
      <c r="L407" s="11"/>
      <c r="M407" s="11"/>
      <c r="N407" s="11"/>
      <c r="O407" s="12"/>
      <c r="P407" s="11"/>
      <c r="Q407" s="13"/>
      <c r="R407" s="14"/>
    </row>
    <row r="408" spans="1:18" ht="15" customHeight="1">
      <c r="A408" s="19" t="s">
        <v>359</v>
      </c>
      <c r="B408" s="19" t="s">
        <v>814</v>
      </c>
      <c r="C408" s="20">
        <v>0.4375</v>
      </c>
      <c r="D408" s="19" t="s">
        <v>361</v>
      </c>
      <c r="E408" s="19" t="s">
        <v>80</v>
      </c>
      <c r="F408" s="19" t="s">
        <v>883</v>
      </c>
      <c r="G408" s="298"/>
      <c r="H408" s="10"/>
      <c r="I408" s="11"/>
      <c r="J408" s="11"/>
      <c r="K408" s="11"/>
      <c r="L408" s="11"/>
      <c r="M408" s="11"/>
      <c r="N408" s="11"/>
      <c r="O408" s="12"/>
      <c r="P408" s="11"/>
      <c r="Q408" s="13"/>
      <c r="R408" s="14"/>
    </row>
    <row r="409" spans="1:18" ht="15" customHeight="1">
      <c r="A409" s="15" t="s">
        <v>359</v>
      </c>
      <c r="B409" s="15" t="s">
        <v>814</v>
      </c>
      <c r="C409" s="16">
        <v>0.4375</v>
      </c>
      <c r="D409" s="15" t="s">
        <v>46</v>
      </c>
      <c r="E409" s="15" t="s">
        <v>82</v>
      </c>
      <c r="F409" s="15" t="s">
        <v>886</v>
      </c>
      <c r="G409" s="298"/>
      <c r="H409" s="10"/>
      <c r="I409" s="11"/>
      <c r="J409" s="11"/>
      <c r="K409" s="11"/>
      <c r="L409" s="11"/>
      <c r="M409" s="11"/>
      <c r="N409" s="11"/>
      <c r="O409" s="12"/>
      <c r="P409" s="11"/>
      <c r="Q409" s="13"/>
      <c r="R409" s="14"/>
    </row>
    <row r="410" spans="1:18" ht="15" customHeight="1">
      <c r="A410" s="19" t="s">
        <v>68</v>
      </c>
      <c r="B410" s="19" t="s">
        <v>842</v>
      </c>
      <c r="C410" s="20">
        <v>0.98263888888888884</v>
      </c>
      <c r="D410" s="19" t="s">
        <v>643</v>
      </c>
      <c r="E410" s="19" t="s">
        <v>177</v>
      </c>
      <c r="F410" s="19" t="s">
        <v>891</v>
      </c>
      <c r="G410" s="298"/>
      <c r="H410" s="10"/>
      <c r="I410" s="11"/>
      <c r="J410" s="11"/>
      <c r="K410" s="11"/>
      <c r="L410" s="11"/>
      <c r="M410" s="11"/>
      <c r="N410" s="11"/>
      <c r="O410" s="12"/>
      <c r="P410" s="11"/>
      <c r="Q410" s="13"/>
      <c r="R410" s="14"/>
    </row>
    <row r="411" spans="1:18" ht="15" customHeight="1">
      <c r="A411" s="17" t="s">
        <v>68</v>
      </c>
      <c r="B411" s="17" t="s">
        <v>844</v>
      </c>
      <c r="C411" s="18">
        <v>0.72916666666666663</v>
      </c>
      <c r="D411" s="17" t="s">
        <v>643</v>
      </c>
      <c r="E411" s="17" t="s">
        <v>200</v>
      </c>
      <c r="F411" s="17" t="s">
        <v>888</v>
      </c>
      <c r="G411" s="298"/>
      <c r="H411" s="10"/>
      <c r="I411" s="11"/>
      <c r="J411" s="11"/>
      <c r="K411" s="11"/>
      <c r="L411" s="11"/>
      <c r="M411" s="11"/>
      <c r="N411" s="11"/>
      <c r="O411" s="12"/>
      <c r="P411" s="11"/>
      <c r="Q411" s="13"/>
      <c r="R411" s="14"/>
    </row>
    <row r="412" spans="1:18" ht="15" customHeight="1">
      <c r="A412" s="17" t="s">
        <v>68</v>
      </c>
      <c r="B412" s="17" t="s">
        <v>843</v>
      </c>
      <c r="C412" s="18">
        <v>0.35416666666666669</v>
      </c>
      <c r="D412" s="17" t="s">
        <v>70</v>
      </c>
      <c r="E412" s="17" t="s">
        <v>57</v>
      </c>
      <c r="F412" s="17" t="s">
        <v>404</v>
      </c>
      <c r="G412" s="298"/>
      <c r="H412" s="10"/>
      <c r="I412" s="11"/>
      <c r="J412" s="11"/>
      <c r="K412" s="11"/>
      <c r="L412" s="11"/>
      <c r="M412" s="11"/>
      <c r="N412" s="11"/>
      <c r="O412" s="12"/>
      <c r="P412" s="11"/>
      <c r="Q412" s="13"/>
      <c r="R412" s="14"/>
    </row>
    <row r="413" spans="1:18" ht="15" customHeight="1">
      <c r="A413" s="87" t="s">
        <v>61</v>
      </c>
      <c r="B413" s="87" t="s">
        <v>816</v>
      </c>
      <c r="C413" s="88">
        <v>0.41319444444444442</v>
      </c>
      <c r="D413" s="87" t="s">
        <v>63</v>
      </c>
      <c r="E413" s="87" t="s">
        <v>51</v>
      </c>
      <c r="F413" s="87" t="s">
        <v>817</v>
      </c>
      <c r="G413" s="298"/>
      <c r="H413" s="89" t="s">
        <v>818</v>
      </c>
      <c r="I413" s="90">
        <v>3.9100000000000003E-2</v>
      </c>
      <c r="J413" s="91">
        <v>7</v>
      </c>
      <c r="K413" s="92">
        <v>46341</v>
      </c>
      <c r="L413" s="91">
        <v>7</v>
      </c>
      <c r="M413" s="91">
        <v>0</v>
      </c>
      <c r="N413" s="91">
        <v>0</v>
      </c>
      <c r="O413" s="93" t="s">
        <v>326</v>
      </c>
      <c r="P413" s="94">
        <v>0.41319444444444442</v>
      </c>
      <c r="Q413" s="91">
        <v>179</v>
      </c>
      <c r="R413" s="95" t="s">
        <v>895</v>
      </c>
    </row>
    <row r="414" spans="1:18" ht="15" customHeight="1">
      <c r="A414" s="19" t="s">
        <v>26</v>
      </c>
      <c r="B414" s="19" t="s">
        <v>820</v>
      </c>
      <c r="C414" s="20">
        <v>0.4375</v>
      </c>
      <c r="D414" s="19" t="s">
        <v>28</v>
      </c>
      <c r="E414" s="19" t="s">
        <v>80</v>
      </c>
      <c r="F414" s="19" t="s">
        <v>81</v>
      </c>
      <c r="G414" s="298"/>
      <c r="H414" s="10"/>
      <c r="I414" s="11"/>
      <c r="J414" s="11"/>
      <c r="K414" s="11"/>
      <c r="L414" s="11"/>
      <c r="M414" s="11"/>
      <c r="N414" s="11"/>
      <c r="O414" s="12"/>
      <c r="P414" s="11"/>
      <c r="Q414" s="13"/>
      <c r="R414" s="14"/>
    </row>
    <row r="415" spans="1:18" ht="15" customHeight="1">
      <c r="A415" s="15" t="s">
        <v>26</v>
      </c>
      <c r="B415" s="15" t="s">
        <v>820</v>
      </c>
      <c r="C415" s="16">
        <v>0.4375</v>
      </c>
      <c r="D415" s="15" t="s">
        <v>31</v>
      </c>
      <c r="E415" s="15" t="s">
        <v>82</v>
      </c>
      <c r="F415" s="15" t="s">
        <v>83</v>
      </c>
      <c r="G415" s="298"/>
      <c r="H415" s="10"/>
      <c r="I415" s="11"/>
      <c r="J415" s="11"/>
      <c r="K415" s="11"/>
      <c r="L415" s="11"/>
      <c r="M415" s="11"/>
      <c r="N415" s="11"/>
      <c r="O415" s="12"/>
      <c r="P415" s="11"/>
      <c r="Q415" s="13"/>
      <c r="R415" s="14"/>
    </row>
    <row r="416" spans="1:18" ht="15" customHeight="1">
      <c r="A416" s="15" t="s">
        <v>26</v>
      </c>
      <c r="B416" s="15" t="s">
        <v>820</v>
      </c>
      <c r="C416" s="16">
        <v>0.4375</v>
      </c>
      <c r="D416" s="15" t="s">
        <v>34</v>
      </c>
      <c r="E416" s="15" t="s">
        <v>82</v>
      </c>
      <c r="F416" s="15" t="s">
        <v>45</v>
      </c>
      <c r="G416" s="298"/>
      <c r="H416" s="10"/>
      <c r="I416" s="11"/>
      <c r="J416" s="11"/>
      <c r="K416" s="11"/>
      <c r="L416" s="11"/>
      <c r="M416" s="11"/>
      <c r="N416" s="11"/>
      <c r="O416" s="12"/>
      <c r="P416" s="11"/>
      <c r="Q416" s="13"/>
      <c r="R416" s="14"/>
    </row>
    <row r="417" spans="1:18" ht="15" customHeight="1">
      <c r="A417" s="17" t="s">
        <v>26</v>
      </c>
      <c r="B417" s="17" t="s">
        <v>826</v>
      </c>
      <c r="C417" s="18">
        <v>0.95833333333333337</v>
      </c>
      <c r="D417" s="17" t="s">
        <v>28</v>
      </c>
      <c r="E417" s="17" t="s">
        <v>90</v>
      </c>
      <c r="F417" s="17" t="s">
        <v>81</v>
      </c>
      <c r="G417" s="298"/>
      <c r="H417" s="10"/>
      <c r="I417" s="11"/>
      <c r="J417" s="11"/>
      <c r="K417" s="11"/>
      <c r="L417" s="11"/>
      <c r="M417" s="11"/>
      <c r="N417" s="11"/>
      <c r="O417" s="12"/>
      <c r="P417" s="11"/>
      <c r="Q417" s="13"/>
      <c r="R417" s="14"/>
    </row>
    <row r="418" spans="1:18" ht="15" customHeight="1">
      <c r="A418" s="15" t="s">
        <v>26</v>
      </c>
      <c r="B418" s="15" t="s">
        <v>826</v>
      </c>
      <c r="C418" s="16">
        <v>0.95833333333333337</v>
      </c>
      <c r="D418" s="15" t="s">
        <v>31</v>
      </c>
      <c r="E418" s="15" t="s">
        <v>82</v>
      </c>
      <c r="F418" s="15" t="s">
        <v>83</v>
      </c>
      <c r="G418" s="298"/>
      <c r="H418" s="10"/>
      <c r="I418" s="11"/>
      <c r="J418" s="11"/>
      <c r="K418" s="11"/>
      <c r="L418" s="11"/>
      <c r="M418" s="11"/>
      <c r="N418" s="11"/>
      <c r="O418" s="12"/>
      <c r="P418" s="11"/>
      <c r="Q418" s="13"/>
      <c r="R418" s="14"/>
    </row>
    <row r="419" spans="1:18" ht="15" customHeight="1">
      <c r="A419" s="15" t="s">
        <v>26</v>
      </c>
      <c r="B419" s="15" t="s">
        <v>826</v>
      </c>
      <c r="C419" s="16">
        <v>0.95833333333333337</v>
      </c>
      <c r="D419" s="15" t="s">
        <v>34</v>
      </c>
      <c r="E419" s="15" t="s">
        <v>82</v>
      </c>
      <c r="F419" s="15" t="s">
        <v>45</v>
      </c>
      <c r="G419" s="298"/>
      <c r="H419" s="10"/>
      <c r="I419" s="11"/>
      <c r="J419" s="11"/>
      <c r="K419" s="11"/>
      <c r="L419" s="11"/>
      <c r="M419" s="11"/>
      <c r="N419" s="11"/>
      <c r="O419" s="12"/>
      <c r="P419" s="11"/>
      <c r="Q419" s="13"/>
      <c r="R419" s="14"/>
    </row>
    <row r="420" spans="1:18" ht="15" customHeight="1">
      <c r="A420" s="17" t="s">
        <v>26</v>
      </c>
      <c r="B420" s="17" t="s">
        <v>821</v>
      </c>
      <c r="C420" s="18">
        <v>0.63194444444444442</v>
      </c>
      <c r="D420" s="17" t="s">
        <v>28</v>
      </c>
      <c r="E420" s="17" t="s">
        <v>90</v>
      </c>
      <c r="F420" s="17" t="s">
        <v>81</v>
      </c>
      <c r="G420" s="298"/>
      <c r="H420" s="10"/>
      <c r="I420" s="11"/>
      <c r="J420" s="11"/>
      <c r="K420" s="11"/>
      <c r="L420" s="11"/>
      <c r="M420" s="11"/>
      <c r="N420" s="11"/>
      <c r="O420" s="12"/>
      <c r="P420" s="11"/>
      <c r="Q420" s="13"/>
      <c r="R420" s="14"/>
    </row>
    <row r="421" spans="1:18" ht="15" customHeight="1">
      <c r="A421" s="15" t="s">
        <v>26</v>
      </c>
      <c r="B421" s="15" t="s">
        <v>821</v>
      </c>
      <c r="C421" s="16">
        <v>0.63194444444444442</v>
      </c>
      <c r="D421" s="15" t="s">
        <v>31</v>
      </c>
      <c r="E421" s="15" t="s">
        <v>82</v>
      </c>
      <c r="F421" s="15" t="s">
        <v>83</v>
      </c>
      <c r="G421" s="298"/>
      <c r="H421" s="10"/>
      <c r="I421" s="11"/>
      <c r="J421" s="11"/>
      <c r="K421" s="11"/>
      <c r="L421" s="11"/>
      <c r="M421" s="11"/>
      <c r="N421" s="11"/>
      <c r="O421" s="12"/>
      <c r="P421" s="11"/>
      <c r="Q421" s="13"/>
      <c r="R421" s="14"/>
    </row>
    <row r="422" spans="1:18" ht="15" customHeight="1">
      <c r="A422" s="15" t="s">
        <v>26</v>
      </c>
      <c r="B422" s="15" t="s">
        <v>821</v>
      </c>
      <c r="C422" s="16">
        <v>0.63194444444444442</v>
      </c>
      <c r="D422" s="15" t="s">
        <v>34</v>
      </c>
      <c r="E422" s="15" t="s">
        <v>82</v>
      </c>
      <c r="F422" s="15" t="s">
        <v>45</v>
      </c>
      <c r="G422" s="298"/>
      <c r="H422" s="10"/>
      <c r="I422" s="11"/>
      <c r="J422" s="11"/>
      <c r="K422" s="11"/>
      <c r="L422" s="11"/>
      <c r="M422" s="11"/>
      <c r="N422" s="11"/>
      <c r="O422" s="12"/>
      <c r="P422" s="11"/>
      <c r="Q422" s="13"/>
      <c r="R422" s="14"/>
    </row>
    <row r="423" spans="1:18" ht="15" customHeight="1">
      <c r="A423" s="17" t="s">
        <v>26</v>
      </c>
      <c r="B423" s="17" t="s">
        <v>822</v>
      </c>
      <c r="C423" s="18">
        <v>0.55902777777777779</v>
      </c>
      <c r="D423" s="17" t="s">
        <v>28</v>
      </c>
      <c r="E423" s="17" t="s">
        <v>90</v>
      </c>
      <c r="F423" s="17" t="s">
        <v>81</v>
      </c>
      <c r="G423" s="298"/>
      <c r="H423" s="10"/>
      <c r="I423" s="11"/>
      <c r="J423" s="11"/>
      <c r="K423" s="11"/>
      <c r="L423" s="11"/>
      <c r="M423" s="11"/>
      <c r="N423" s="11"/>
      <c r="O423" s="12"/>
      <c r="P423" s="11"/>
      <c r="Q423" s="13"/>
      <c r="R423" s="14"/>
    </row>
    <row r="424" spans="1:18" ht="15" customHeight="1">
      <c r="A424" s="15" t="s">
        <v>26</v>
      </c>
      <c r="B424" s="15" t="s">
        <v>822</v>
      </c>
      <c r="C424" s="16">
        <v>0.55902777777777779</v>
      </c>
      <c r="D424" s="15" t="s">
        <v>31</v>
      </c>
      <c r="E424" s="15" t="s">
        <v>82</v>
      </c>
      <c r="F424" s="15" t="s">
        <v>83</v>
      </c>
      <c r="G424" s="298"/>
      <c r="H424" s="10"/>
      <c r="I424" s="11"/>
      <c r="J424" s="11"/>
      <c r="K424" s="11"/>
      <c r="L424" s="11"/>
      <c r="M424" s="11"/>
      <c r="N424" s="11"/>
      <c r="O424" s="12"/>
      <c r="P424" s="11"/>
      <c r="Q424" s="13"/>
      <c r="R424" s="14"/>
    </row>
    <row r="425" spans="1:18" ht="15" customHeight="1">
      <c r="A425" s="15" t="s">
        <v>26</v>
      </c>
      <c r="B425" s="15" t="s">
        <v>822</v>
      </c>
      <c r="C425" s="16">
        <v>0.55902777777777779</v>
      </c>
      <c r="D425" s="15" t="s">
        <v>34</v>
      </c>
      <c r="E425" s="15" t="s">
        <v>82</v>
      </c>
      <c r="F425" s="15" t="s">
        <v>45</v>
      </c>
      <c r="G425" s="298"/>
      <c r="H425" s="10"/>
      <c r="I425" s="11"/>
      <c r="J425" s="11"/>
      <c r="K425" s="11"/>
      <c r="L425" s="11"/>
      <c r="M425" s="11"/>
      <c r="N425" s="11"/>
      <c r="O425" s="12"/>
      <c r="P425" s="11"/>
      <c r="Q425" s="13"/>
      <c r="R425" s="14"/>
    </row>
    <row r="426" spans="1:18" ht="15" customHeight="1">
      <c r="A426" s="17" t="s">
        <v>26</v>
      </c>
      <c r="B426" s="17" t="s">
        <v>823</v>
      </c>
      <c r="C426" s="18">
        <v>0.81944444444444453</v>
      </c>
      <c r="D426" s="17" t="s">
        <v>28</v>
      </c>
      <c r="E426" s="17" t="s">
        <v>90</v>
      </c>
      <c r="F426" s="17" t="s">
        <v>81</v>
      </c>
      <c r="G426" s="298"/>
      <c r="H426" s="10"/>
      <c r="I426" s="11"/>
      <c r="J426" s="11"/>
      <c r="K426" s="11"/>
      <c r="L426" s="11"/>
      <c r="M426" s="11"/>
      <c r="N426" s="11"/>
      <c r="O426" s="12"/>
      <c r="P426" s="11"/>
      <c r="Q426" s="13"/>
      <c r="R426" s="14"/>
    </row>
    <row r="427" spans="1:18" ht="15" customHeight="1">
      <c r="A427" s="15" t="s">
        <v>26</v>
      </c>
      <c r="B427" s="15" t="s">
        <v>823</v>
      </c>
      <c r="C427" s="16">
        <v>0.81944444444444453</v>
      </c>
      <c r="D427" s="15" t="s">
        <v>31</v>
      </c>
      <c r="E427" s="15" t="s">
        <v>82</v>
      </c>
      <c r="F427" s="15" t="s">
        <v>83</v>
      </c>
      <c r="G427" s="298"/>
      <c r="H427" s="10"/>
      <c r="I427" s="11"/>
      <c r="J427" s="11"/>
      <c r="K427" s="11"/>
      <c r="L427" s="11"/>
      <c r="M427" s="11"/>
      <c r="N427" s="11"/>
      <c r="O427" s="12"/>
      <c r="P427" s="11"/>
      <c r="Q427" s="13"/>
      <c r="R427" s="14"/>
    </row>
    <row r="428" spans="1:18" ht="15" customHeight="1">
      <c r="A428" s="15" t="s">
        <v>26</v>
      </c>
      <c r="B428" s="15" t="s">
        <v>823</v>
      </c>
      <c r="C428" s="16">
        <v>0.81944444444444453</v>
      </c>
      <c r="D428" s="15" t="s">
        <v>34</v>
      </c>
      <c r="E428" s="15" t="s">
        <v>82</v>
      </c>
      <c r="F428" s="15" t="s">
        <v>45</v>
      </c>
      <c r="G428" s="298"/>
      <c r="H428" s="10"/>
      <c r="I428" s="11"/>
      <c r="J428" s="11"/>
      <c r="K428" s="11"/>
      <c r="L428" s="11"/>
      <c r="M428" s="11"/>
      <c r="N428" s="11"/>
      <c r="O428" s="12"/>
      <c r="P428" s="11"/>
      <c r="Q428" s="13"/>
      <c r="R428" s="14"/>
    </row>
    <row r="429" spans="1:18" ht="15" customHeight="1">
      <c r="A429" s="17" t="s">
        <v>26</v>
      </c>
      <c r="B429" s="17" t="s">
        <v>824</v>
      </c>
      <c r="C429" s="18">
        <v>0.50694444444444442</v>
      </c>
      <c r="D429" s="17" t="s">
        <v>28</v>
      </c>
      <c r="E429" s="17" t="s">
        <v>90</v>
      </c>
      <c r="F429" s="17" t="s">
        <v>81</v>
      </c>
      <c r="G429" s="298"/>
      <c r="H429" s="10"/>
      <c r="I429" s="11"/>
      <c r="J429" s="11"/>
      <c r="K429" s="11"/>
      <c r="L429" s="11"/>
      <c r="M429" s="11"/>
      <c r="N429" s="11"/>
      <c r="O429" s="12"/>
      <c r="P429" s="11"/>
      <c r="Q429" s="13"/>
      <c r="R429" s="14"/>
    </row>
    <row r="430" spans="1:18" ht="15" customHeight="1">
      <c r="A430" s="15" t="s">
        <v>26</v>
      </c>
      <c r="B430" s="15" t="s">
        <v>824</v>
      </c>
      <c r="C430" s="16">
        <v>0.50694444444444442</v>
      </c>
      <c r="D430" s="15" t="s">
        <v>31</v>
      </c>
      <c r="E430" s="15" t="s">
        <v>82</v>
      </c>
      <c r="F430" s="15" t="s">
        <v>83</v>
      </c>
      <c r="G430" s="298"/>
      <c r="H430" s="10"/>
      <c r="I430" s="11"/>
      <c r="J430" s="11"/>
      <c r="K430" s="11"/>
      <c r="L430" s="11"/>
      <c r="M430" s="11"/>
      <c r="N430" s="11"/>
      <c r="O430" s="12"/>
      <c r="P430" s="11"/>
      <c r="Q430" s="13"/>
      <c r="R430" s="14"/>
    </row>
    <row r="431" spans="1:18" ht="15" customHeight="1">
      <c r="A431" s="15" t="s">
        <v>26</v>
      </c>
      <c r="B431" s="15" t="s">
        <v>824</v>
      </c>
      <c r="C431" s="16">
        <v>0.50694444444444442</v>
      </c>
      <c r="D431" s="15" t="s">
        <v>34</v>
      </c>
      <c r="E431" s="15" t="s">
        <v>82</v>
      </c>
      <c r="F431" s="15" t="s">
        <v>45</v>
      </c>
      <c r="G431" s="298"/>
      <c r="H431" s="10"/>
      <c r="I431" s="11"/>
      <c r="J431" s="11"/>
      <c r="K431" s="11"/>
      <c r="L431" s="11"/>
      <c r="M431" s="11"/>
      <c r="N431" s="11"/>
      <c r="O431" s="12"/>
      <c r="P431" s="11"/>
      <c r="Q431" s="13"/>
      <c r="R431" s="14"/>
    </row>
    <row r="432" spans="1:18" ht="15" customHeight="1">
      <c r="A432" s="17" t="s">
        <v>26</v>
      </c>
      <c r="B432" s="17" t="s">
        <v>825</v>
      </c>
      <c r="C432" s="18">
        <v>0.69791666666666663</v>
      </c>
      <c r="D432" s="17" t="s">
        <v>28</v>
      </c>
      <c r="E432" s="17" t="s">
        <v>90</v>
      </c>
      <c r="F432" s="17" t="s">
        <v>81</v>
      </c>
      <c r="G432" s="298"/>
      <c r="H432" s="10"/>
      <c r="I432" s="11"/>
      <c r="J432" s="11"/>
      <c r="K432" s="11"/>
      <c r="L432" s="11"/>
      <c r="M432" s="11"/>
      <c r="N432" s="11"/>
      <c r="O432" s="12"/>
      <c r="P432" s="11"/>
      <c r="Q432" s="13"/>
      <c r="R432" s="14"/>
    </row>
    <row r="433" spans="1:18" ht="15" customHeight="1">
      <c r="A433" s="15" t="s">
        <v>26</v>
      </c>
      <c r="B433" s="15" t="s">
        <v>825</v>
      </c>
      <c r="C433" s="16">
        <v>0.69791666666666663</v>
      </c>
      <c r="D433" s="15" t="s">
        <v>31</v>
      </c>
      <c r="E433" s="15" t="s">
        <v>82</v>
      </c>
      <c r="F433" s="15" t="s">
        <v>83</v>
      </c>
      <c r="G433" s="298"/>
      <c r="H433" s="10"/>
      <c r="I433" s="11"/>
      <c r="J433" s="11"/>
      <c r="K433" s="11"/>
      <c r="L433" s="11"/>
      <c r="M433" s="11"/>
      <c r="N433" s="11"/>
      <c r="O433" s="12"/>
      <c r="P433" s="11"/>
      <c r="Q433" s="13"/>
      <c r="R433" s="14"/>
    </row>
    <row r="434" spans="1:18" ht="15" customHeight="1">
      <c r="A434" s="15" t="s">
        <v>26</v>
      </c>
      <c r="B434" s="15" t="s">
        <v>825</v>
      </c>
      <c r="C434" s="16">
        <v>0.69791666666666663</v>
      </c>
      <c r="D434" s="15" t="s">
        <v>34</v>
      </c>
      <c r="E434" s="15" t="s">
        <v>82</v>
      </c>
      <c r="F434" s="15" t="s">
        <v>45</v>
      </c>
      <c r="G434" s="298"/>
      <c r="H434" s="10"/>
      <c r="I434" s="11"/>
      <c r="J434" s="11"/>
      <c r="K434" s="11"/>
      <c r="L434" s="11"/>
      <c r="M434" s="11"/>
      <c r="N434" s="11"/>
      <c r="O434" s="12"/>
      <c r="P434" s="11"/>
      <c r="Q434" s="13"/>
      <c r="R434" s="14"/>
    </row>
    <row r="435" spans="1:18" ht="15" customHeight="1">
      <c r="A435" s="19" t="s">
        <v>48</v>
      </c>
      <c r="B435" s="19" t="s">
        <v>833</v>
      </c>
      <c r="C435" s="20">
        <v>0.44444444444444442</v>
      </c>
      <c r="D435" s="19" t="s">
        <v>50</v>
      </c>
      <c r="E435" s="19" t="s">
        <v>51</v>
      </c>
      <c r="F435" s="19" t="s">
        <v>873</v>
      </c>
      <c r="G435" s="298"/>
      <c r="H435" s="10"/>
      <c r="I435" s="11"/>
      <c r="J435" s="11"/>
      <c r="K435" s="11"/>
      <c r="L435" s="11"/>
      <c r="M435" s="11"/>
      <c r="N435" s="11"/>
      <c r="O435" s="12"/>
      <c r="P435" s="11"/>
      <c r="Q435" s="13"/>
      <c r="R435" s="14"/>
    </row>
    <row r="436" spans="1:18" ht="15" customHeight="1">
      <c r="A436" s="15" t="s">
        <v>48</v>
      </c>
      <c r="B436" s="15" t="s">
        <v>833</v>
      </c>
      <c r="C436" s="16">
        <v>0.44444444444444442</v>
      </c>
      <c r="D436" s="15" t="s">
        <v>53</v>
      </c>
      <c r="E436" s="15" t="s">
        <v>54</v>
      </c>
      <c r="F436" s="15" t="s">
        <v>874</v>
      </c>
      <c r="G436" s="298"/>
      <c r="H436" s="10"/>
      <c r="I436" s="11"/>
      <c r="J436" s="11"/>
      <c r="K436" s="11"/>
      <c r="L436" s="11"/>
      <c r="M436" s="11"/>
      <c r="N436" s="11"/>
      <c r="O436" s="12"/>
      <c r="P436" s="11"/>
      <c r="Q436" s="13"/>
      <c r="R436" s="14"/>
    </row>
    <row r="437" spans="1:18" ht="15" customHeight="1">
      <c r="A437" s="17" t="s">
        <v>48</v>
      </c>
      <c r="B437" s="17" t="s">
        <v>828</v>
      </c>
      <c r="C437" s="18">
        <v>0.82986111111111116</v>
      </c>
      <c r="D437" s="17" t="s">
        <v>50</v>
      </c>
      <c r="E437" s="17" t="s">
        <v>57</v>
      </c>
      <c r="F437" s="17" t="s">
        <v>873</v>
      </c>
      <c r="G437" s="298"/>
      <c r="H437" s="10"/>
      <c r="I437" s="11"/>
      <c r="J437" s="11"/>
      <c r="K437" s="11"/>
      <c r="L437" s="11"/>
      <c r="M437" s="11"/>
      <c r="N437" s="11"/>
      <c r="O437" s="12"/>
      <c r="P437" s="11"/>
      <c r="Q437" s="13"/>
      <c r="R437" s="14"/>
    </row>
    <row r="438" spans="1:18" ht="15" customHeight="1">
      <c r="A438" s="15" t="s">
        <v>48</v>
      </c>
      <c r="B438" s="15" t="s">
        <v>828</v>
      </c>
      <c r="C438" s="16">
        <v>0.82986111111111116</v>
      </c>
      <c r="D438" s="15" t="s">
        <v>53</v>
      </c>
      <c r="E438" s="15" t="s">
        <v>54</v>
      </c>
      <c r="F438" s="15" t="s">
        <v>874</v>
      </c>
      <c r="G438" s="298"/>
      <c r="H438" s="10"/>
      <c r="I438" s="11"/>
      <c r="J438" s="11"/>
      <c r="K438" s="11"/>
      <c r="L438" s="11"/>
      <c r="M438" s="11"/>
      <c r="N438" s="11"/>
      <c r="O438" s="12"/>
      <c r="P438" s="11"/>
      <c r="Q438" s="13"/>
      <c r="R438" s="14"/>
    </row>
    <row r="439" spans="1:18" ht="15" customHeight="1">
      <c r="A439" s="17" t="s">
        <v>48</v>
      </c>
      <c r="B439" s="17" t="s">
        <v>831</v>
      </c>
      <c r="C439" s="18">
        <v>0.98263888888888884</v>
      </c>
      <c r="D439" s="17" t="s">
        <v>50</v>
      </c>
      <c r="E439" s="17" t="s">
        <v>57</v>
      </c>
      <c r="F439" s="17" t="s">
        <v>873</v>
      </c>
      <c r="G439" s="298"/>
      <c r="H439" s="10"/>
      <c r="I439" s="11"/>
      <c r="J439" s="11"/>
      <c r="K439" s="11"/>
      <c r="L439" s="11"/>
      <c r="M439" s="11"/>
      <c r="N439" s="11"/>
      <c r="O439" s="12"/>
      <c r="P439" s="11"/>
      <c r="Q439" s="13"/>
      <c r="R439" s="14"/>
    </row>
    <row r="440" spans="1:18" ht="15" customHeight="1">
      <c r="A440" s="15" t="s">
        <v>48</v>
      </c>
      <c r="B440" s="15" t="s">
        <v>831</v>
      </c>
      <c r="C440" s="16">
        <v>0.98263888888888884</v>
      </c>
      <c r="D440" s="15" t="s">
        <v>53</v>
      </c>
      <c r="E440" s="15" t="s">
        <v>54</v>
      </c>
      <c r="F440" s="15" t="s">
        <v>874</v>
      </c>
      <c r="G440" s="298"/>
      <c r="H440" s="10"/>
      <c r="I440" s="11"/>
      <c r="J440" s="11"/>
      <c r="K440" s="11"/>
      <c r="L440" s="11"/>
      <c r="M440" s="11"/>
      <c r="N440" s="11"/>
      <c r="O440" s="12"/>
      <c r="P440" s="11"/>
      <c r="Q440" s="13"/>
      <c r="R440" s="14"/>
    </row>
    <row r="441" spans="1:18" ht="15" customHeight="1">
      <c r="A441" s="17" t="s">
        <v>48</v>
      </c>
      <c r="B441" s="17" t="s">
        <v>832</v>
      </c>
      <c r="C441" s="18">
        <v>0.62847222222222221</v>
      </c>
      <c r="D441" s="17" t="s">
        <v>50</v>
      </c>
      <c r="E441" s="17" t="s">
        <v>200</v>
      </c>
      <c r="F441" s="17" t="s">
        <v>873</v>
      </c>
      <c r="G441" s="298"/>
      <c r="H441" s="10"/>
      <c r="I441" s="11"/>
      <c r="J441" s="11"/>
      <c r="K441" s="11"/>
      <c r="L441" s="11"/>
      <c r="M441" s="11"/>
      <c r="N441" s="11"/>
      <c r="O441" s="12"/>
      <c r="P441" s="11"/>
      <c r="Q441" s="13"/>
      <c r="R441" s="14"/>
    </row>
    <row r="442" spans="1:18" ht="15" customHeight="1">
      <c r="A442" s="15" t="s">
        <v>48</v>
      </c>
      <c r="B442" s="15" t="s">
        <v>832</v>
      </c>
      <c r="C442" s="16">
        <v>0.62847222222222221</v>
      </c>
      <c r="D442" s="15" t="s">
        <v>53</v>
      </c>
      <c r="E442" s="15" t="s">
        <v>127</v>
      </c>
      <c r="F442" s="15" t="s">
        <v>874</v>
      </c>
      <c r="G442" s="298"/>
      <c r="H442" s="10"/>
      <c r="I442" s="11"/>
      <c r="J442" s="11"/>
      <c r="K442" s="11"/>
      <c r="L442" s="11"/>
      <c r="M442" s="11"/>
      <c r="N442" s="11"/>
      <c r="O442" s="12"/>
      <c r="P442" s="11"/>
      <c r="Q442" s="13"/>
      <c r="R442" s="14"/>
    </row>
    <row r="443" spans="1:18" ht="15" customHeight="1">
      <c r="A443" s="17" t="s">
        <v>48</v>
      </c>
      <c r="B443" s="17" t="s">
        <v>835</v>
      </c>
      <c r="C443" s="18">
        <v>0.88888888888888884</v>
      </c>
      <c r="D443" s="17" t="s">
        <v>53</v>
      </c>
      <c r="E443" s="17" t="s">
        <v>37</v>
      </c>
      <c r="F443" s="17" t="s">
        <v>836</v>
      </c>
      <c r="G443" s="298"/>
      <c r="H443" s="10"/>
      <c r="I443" s="11"/>
      <c r="J443" s="11"/>
      <c r="K443" s="11"/>
      <c r="L443" s="11"/>
      <c r="M443" s="11"/>
      <c r="N443" s="11"/>
      <c r="O443" s="12"/>
      <c r="P443" s="11"/>
      <c r="Q443" s="13"/>
      <c r="R443" s="14"/>
    </row>
    <row r="444" spans="1:18" ht="15" customHeight="1">
      <c r="A444" s="17" t="s">
        <v>48</v>
      </c>
      <c r="B444" s="17" t="s">
        <v>837</v>
      </c>
      <c r="C444" s="18">
        <v>0.62847222222222221</v>
      </c>
      <c r="D444" s="17" t="s">
        <v>53</v>
      </c>
      <c r="E444" s="17" t="s">
        <v>37</v>
      </c>
      <c r="F444" s="17" t="s">
        <v>836</v>
      </c>
      <c r="G444" s="298"/>
      <c r="H444" s="10"/>
      <c r="I444" s="11"/>
      <c r="J444" s="11"/>
      <c r="K444" s="11"/>
      <c r="L444" s="11"/>
      <c r="M444" s="11"/>
      <c r="N444" s="11"/>
      <c r="O444" s="12"/>
      <c r="P444" s="11"/>
      <c r="Q444" s="13"/>
      <c r="R444" s="14"/>
    </row>
    <row r="445" spans="1:18" ht="15" customHeight="1">
      <c r="A445" s="17" t="s">
        <v>48</v>
      </c>
      <c r="B445" s="17" t="s">
        <v>838</v>
      </c>
      <c r="C445" s="18">
        <v>0.94444444444444453</v>
      </c>
      <c r="D445" s="17" t="s">
        <v>53</v>
      </c>
      <c r="E445" s="17" t="s">
        <v>37</v>
      </c>
      <c r="F445" s="17" t="s">
        <v>836</v>
      </c>
      <c r="G445" s="298"/>
      <c r="H445" s="10"/>
      <c r="I445" s="11"/>
      <c r="J445" s="11"/>
      <c r="K445" s="11"/>
      <c r="L445" s="11"/>
      <c r="M445" s="11"/>
      <c r="N445" s="11"/>
      <c r="O445" s="12"/>
      <c r="P445" s="11"/>
      <c r="Q445" s="13"/>
      <c r="R445" s="14"/>
    </row>
    <row r="446" spans="1:18" ht="15" customHeight="1">
      <c r="A446" s="19" t="s">
        <v>402</v>
      </c>
      <c r="B446" s="19" t="s">
        <v>839</v>
      </c>
      <c r="C446" s="20">
        <v>0.1701388888888889</v>
      </c>
      <c r="D446" s="19" t="s">
        <v>63</v>
      </c>
      <c r="E446" s="19" t="s">
        <v>107</v>
      </c>
      <c r="F446" s="19" t="s">
        <v>881</v>
      </c>
      <c r="G446" s="298"/>
      <c r="H446" s="10"/>
      <c r="I446" s="11"/>
      <c r="J446" s="11"/>
      <c r="K446" s="11"/>
      <c r="L446" s="11"/>
      <c r="M446" s="11"/>
      <c r="N446" s="11"/>
      <c r="O446" s="12"/>
      <c r="P446" s="11"/>
      <c r="Q446" s="13"/>
      <c r="R446" s="14"/>
    </row>
    <row r="447" spans="1:18" ht="15" customHeight="1" thickBot="1">
      <c r="A447" s="30" t="s">
        <v>402</v>
      </c>
      <c r="B447" s="30" t="s">
        <v>841</v>
      </c>
      <c r="C447" s="31">
        <v>0.61458333333333337</v>
      </c>
      <c r="D447" s="30" t="s">
        <v>63</v>
      </c>
      <c r="E447" s="30" t="s">
        <v>435</v>
      </c>
      <c r="F447" s="30" t="s">
        <v>881</v>
      </c>
      <c r="G447" s="299"/>
      <c r="H447" s="300"/>
      <c r="I447" s="140"/>
      <c r="J447" s="140"/>
      <c r="K447" s="140"/>
      <c r="L447" s="140"/>
      <c r="M447" s="140"/>
      <c r="N447" s="140"/>
      <c r="O447" s="141"/>
      <c r="P447" s="140"/>
      <c r="Q447" s="142"/>
      <c r="R447" s="301"/>
    </row>
    <row r="448" spans="1:18" ht="17.45" customHeight="1" thickBot="1">
      <c r="A448" s="283"/>
      <c r="B448" s="284"/>
      <c r="C448" s="284"/>
      <c r="D448" s="284"/>
      <c r="E448" s="284"/>
      <c r="F448" s="284"/>
      <c r="G448" s="284"/>
      <c r="H448" s="284"/>
      <c r="I448" s="284"/>
      <c r="J448" s="284"/>
      <c r="K448" s="284"/>
      <c r="L448" s="284"/>
      <c r="M448" s="284"/>
      <c r="N448" s="284"/>
      <c r="O448" s="284"/>
      <c r="P448" s="284"/>
      <c r="Q448" s="284"/>
      <c r="R448" s="285"/>
    </row>
    <row r="449" spans="1:18" ht="22.15" customHeight="1" thickTop="1" thickBot="1">
      <c r="A449" s="279" t="s">
        <v>6</v>
      </c>
      <c r="B449" s="295"/>
      <c r="C449" s="295"/>
      <c r="D449" s="295"/>
      <c r="E449" s="295"/>
      <c r="F449" s="296"/>
      <c r="G449" s="32">
        <v>46031</v>
      </c>
      <c r="H449" s="278" t="s">
        <v>7</v>
      </c>
      <c r="I449" s="295"/>
      <c r="J449" s="295"/>
      <c r="K449" s="295"/>
      <c r="L449" s="295"/>
      <c r="M449" s="295"/>
      <c r="N449" s="295"/>
      <c r="O449" s="295"/>
      <c r="P449" s="295"/>
      <c r="Q449" s="295"/>
      <c r="R449" s="296"/>
    </row>
    <row r="450" spans="1:18" ht="24" customHeight="1">
      <c r="A450" s="33" t="s">
        <v>8</v>
      </c>
      <c r="B450" s="33" t="s">
        <v>9</v>
      </c>
      <c r="C450" s="34" t="s">
        <v>10</v>
      </c>
      <c r="D450" s="33" t="s">
        <v>11</v>
      </c>
      <c r="E450" s="33" t="s">
        <v>12</v>
      </c>
      <c r="F450" s="35" t="s">
        <v>13</v>
      </c>
      <c r="G450" s="36" t="s">
        <v>14</v>
      </c>
      <c r="H450" s="33" t="s">
        <v>15</v>
      </c>
      <c r="I450" s="37" t="s">
        <v>16</v>
      </c>
      <c r="J450" s="38" t="s">
        <v>17</v>
      </c>
      <c r="K450" s="39" t="s">
        <v>18</v>
      </c>
      <c r="L450" s="38" t="s">
        <v>19</v>
      </c>
      <c r="M450" s="38" t="s">
        <v>20</v>
      </c>
      <c r="N450" s="38" t="s">
        <v>21</v>
      </c>
      <c r="O450" s="33" t="s">
        <v>22</v>
      </c>
      <c r="P450" s="34" t="s">
        <v>23</v>
      </c>
      <c r="Q450" s="38" t="s">
        <v>24</v>
      </c>
      <c r="R450" s="33" t="s">
        <v>25</v>
      </c>
    </row>
    <row r="451" spans="1:18" ht="15" customHeight="1">
      <c r="A451" s="8" t="s">
        <v>38</v>
      </c>
      <c r="B451" s="8" t="s">
        <v>809</v>
      </c>
      <c r="C451" s="9">
        <v>0.57638888888888895</v>
      </c>
      <c r="D451" s="8" t="s">
        <v>40</v>
      </c>
      <c r="E451" s="8" t="s">
        <v>168</v>
      </c>
      <c r="F451" s="8" t="s">
        <v>475</v>
      </c>
      <c r="G451" s="297"/>
      <c r="H451" s="10"/>
      <c r="I451" s="11"/>
      <c r="J451" s="11"/>
      <c r="K451" s="11"/>
      <c r="L451" s="11"/>
      <c r="M451" s="11"/>
      <c r="N451" s="11"/>
      <c r="O451" s="12"/>
      <c r="P451" s="11"/>
      <c r="Q451" s="13"/>
      <c r="R451" s="14"/>
    </row>
    <row r="452" spans="1:18" ht="15" customHeight="1">
      <c r="A452" s="15" t="s">
        <v>38</v>
      </c>
      <c r="B452" s="15" t="s">
        <v>809</v>
      </c>
      <c r="C452" s="16">
        <v>0.57638888888888895</v>
      </c>
      <c r="D452" s="15" t="s">
        <v>43</v>
      </c>
      <c r="E452" s="15" t="s">
        <v>114</v>
      </c>
      <c r="F452" s="15" t="s">
        <v>121</v>
      </c>
      <c r="G452" s="298"/>
      <c r="H452" s="10"/>
      <c r="I452" s="11"/>
      <c r="J452" s="11"/>
      <c r="K452" s="11"/>
      <c r="L452" s="11"/>
      <c r="M452" s="11"/>
      <c r="N452" s="11"/>
      <c r="O452" s="12"/>
      <c r="P452" s="11"/>
      <c r="Q452" s="13"/>
      <c r="R452" s="14"/>
    </row>
    <row r="453" spans="1:18" ht="15" customHeight="1">
      <c r="A453" s="15" t="s">
        <v>38</v>
      </c>
      <c r="B453" s="15" t="s">
        <v>809</v>
      </c>
      <c r="C453" s="16">
        <v>0.57638888888888895</v>
      </c>
      <c r="D453" s="15" t="s">
        <v>46</v>
      </c>
      <c r="E453" s="15" t="s">
        <v>114</v>
      </c>
      <c r="F453" s="15" t="s">
        <v>810</v>
      </c>
      <c r="G453" s="298"/>
      <c r="H453" s="10"/>
      <c r="I453" s="11"/>
      <c r="J453" s="11"/>
      <c r="K453" s="11"/>
      <c r="L453" s="11"/>
      <c r="M453" s="11"/>
      <c r="N453" s="11"/>
      <c r="O453" s="12"/>
      <c r="P453" s="11"/>
      <c r="Q453" s="13"/>
      <c r="R453" s="14"/>
    </row>
    <row r="454" spans="1:18" ht="15" customHeight="1">
      <c r="A454" s="17" t="s">
        <v>38</v>
      </c>
      <c r="B454" s="17" t="s">
        <v>813</v>
      </c>
      <c r="C454" s="18">
        <v>0.94444444444444453</v>
      </c>
      <c r="D454" s="17" t="s">
        <v>40</v>
      </c>
      <c r="E454" s="17" t="s">
        <v>113</v>
      </c>
      <c r="F454" s="17" t="s">
        <v>475</v>
      </c>
      <c r="G454" s="298"/>
      <c r="H454" s="10"/>
      <c r="I454" s="11"/>
      <c r="J454" s="11"/>
      <c r="K454" s="11"/>
      <c r="L454" s="11"/>
      <c r="M454" s="11"/>
      <c r="N454" s="11"/>
      <c r="O454" s="12"/>
      <c r="P454" s="11"/>
      <c r="Q454" s="13"/>
      <c r="R454" s="14"/>
    </row>
    <row r="455" spans="1:18" ht="15" customHeight="1">
      <c r="A455" s="15" t="s">
        <v>38</v>
      </c>
      <c r="B455" s="15" t="s">
        <v>813</v>
      </c>
      <c r="C455" s="16">
        <v>0.94444444444444453</v>
      </c>
      <c r="D455" s="15" t="s">
        <v>43</v>
      </c>
      <c r="E455" s="15" t="s">
        <v>114</v>
      </c>
      <c r="F455" s="15" t="s">
        <v>121</v>
      </c>
      <c r="G455" s="298"/>
      <c r="H455" s="10"/>
      <c r="I455" s="11"/>
      <c r="J455" s="11"/>
      <c r="K455" s="11"/>
      <c r="L455" s="11"/>
      <c r="M455" s="11"/>
      <c r="N455" s="11"/>
      <c r="O455" s="12"/>
      <c r="P455" s="11"/>
      <c r="Q455" s="13"/>
      <c r="R455" s="14"/>
    </row>
    <row r="456" spans="1:18" ht="15" customHeight="1">
      <c r="A456" s="15" t="s">
        <v>38</v>
      </c>
      <c r="B456" s="15" t="s">
        <v>813</v>
      </c>
      <c r="C456" s="16">
        <v>0.94444444444444453</v>
      </c>
      <c r="D456" s="15" t="s">
        <v>46</v>
      </c>
      <c r="E456" s="15" t="s">
        <v>114</v>
      </c>
      <c r="F456" s="15" t="s">
        <v>810</v>
      </c>
      <c r="G456" s="298"/>
      <c r="H456" s="10"/>
      <c r="I456" s="11"/>
      <c r="J456" s="11"/>
      <c r="K456" s="11"/>
      <c r="L456" s="11"/>
      <c r="M456" s="11"/>
      <c r="N456" s="11"/>
      <c r="O456" s="12"/>
      <c r="P456" s="11"/>
      <c r="Q456" s="13"/>
      <c r="R456" s="14"/>
    </row>
    <row r="457" spans="1:18" ht="15" customHeight="1">
      <c r="A457" s="17" t="s">
        <v>38</v>
      </c>
      <c r="B457" s="17" t="s">
        <v>811</v>
      </c>
      <c r="C457" s="18">
        <v>0.62847222222222221</v>
      </c>
      <c r="D457" s="17" t="s">
        <v>40</v>
      </c>
      <c r="E457" s="17" t="s">
        <v>441</v>
      </c>
      <c r="F457" s="17" t="s">
        <v>872</v>
      </c>
      <c r="G457" s="298"/>
      <c r="H457" s="10"/>
      <c r="I457" s="11"/>
      <c r="J457" s="11"/>
      <c r="K457" s="11"/>
      <c r="L457" s="11"/>
      <c r="M457" s="11"/>
      <c r="N457" s="11"/>
      <c r="O457" s="12"/>
      <c r="P457" s="11"/>
      <c r="Q457" s="13"/>
      <c r="R457" s="14"/>
    </row>
    <row r="458" spans="1:18" ht="15" customHeight="1">
      <c r="A458" s="15" t="s">
        <v>38</v>
      </c>
      <c r="B458" s="15" t="s">
        <v>811</v>
      </c>
      <c r="C458" s="16">
        <v>0.62847222222222221</v>
      </c>
      <c r="D458" s="15" t="s">
        <v>43</v>
      </c>
      <c r="E458" s="15" t="s">
        <v>132</v>
      </c>
      <c r="F458" s="15" t="s">
        <v>349</v>
      </c>
      <c r="G458" s="298"/>
      <c r="H458" s="10"/>
      <c r="I458" s="11"/>
      <c r="J458" s="11"/>
      <c r="K458" s="11"/>
      <c r="L458" s="11"/>
      <c r="M458" s="11"/>
      <c r="N458" s="11"/>
      <c r="O458" s="12"/>
      <c r="P458" s="11"/>
      <c r="Q458" s="13"/>
      <c r="R458" s="14"/>
    </row>
    <row r="459" spans="1:18" ht="15" customHeight="1">
      <c r="A459" s="15" t="s">
        <v>38</v>
      </c>
      <c r="B459" s="15" t="s">
        <v>811</v>
      </c>
      <c r="C459" s="16">
        <v>0.62847222222222221</v>
      </c>
      <c r="D459" s="15" t="s">
        <v>46</v>
      </c>
      <c r="E459" s="15" t="s">
        <v>132</v>
      </c>
      <c r="F459" s="15" t="s">
        <v>810</v>
      </c>
      <c r="G459" s="298"/>
      <c r="H459" s="10"/>
      <c r="I459" s="11"/>
      <c r="J459" s="11"/>
      <c r="K459" s="11"/>
      <c r="L459" s="11"/>
      <c r="M459" s="11"/>
      <c r="N459" s="11"/>
      <c r="O459" s="12"/>
      <c r="P459" s="11"/>
      <c r="Q459" s="13"/>
      <c r="R459" s="14"/>
    </row>
    <row r="460" spans="1:18" ht="15" customHeight="1">
      <c r="A460" s="17" t="s">
        <v>38</v>
      </c>
      <c r="B460" s="17" t="s">
        <v>812</v>
      </c>
      <c r="C460" s="18">
        <v>0.88888888888888884</v>
      </c>
      <c r="D460" s="17" t="s">
        <v>40</v>
      </c>
      <c r="E460" s="17" t="s">
        <v>896</v>
      </c>
      <c r="F460" s="17" t="s">
        <v>872</v>
      </c>
      <c r="G460" s="298"/>
      <c r="H460" s="10"/>
      <c r="I460" s="11"/>
      <c r="J460" s="11"/>
      <c r="K460" s="11"/>
      <c r="L460" s="11"/>
      <c r="M460" s="11"/>
      <c r="N460" s="11"/>
      <c r="O460" s="12"/>
      <c r="P460" s="11"/>
      <c r="Q460" s="13"/>
      <c r="R460" s="14"/>
    </row>
    <row r="461" spans="1:18" ht="15" customHeight="1">
      <c r="A461" s="15" t="s">
        <v>38</v>
      </c>
      <c r="B461" s="15" t="s">
        <v>812</v>
      </c>
      <c r="C461" s="16">
        <v>0.88888888888888884</v>
      </c>
      <c r="D461" s="15" t="s">
        <v>43</v>
      </c>
      <c r="E461" s="15" t="s">
        <v>897</v>
      </c>
      <c r="F461" s="15" t="s">
        <v>349</v>
      </c>
      <c r="G461" s="298"/>
      <c r="H461" s="10"/>
      <c r="I461" s="11"/>
      <c r="J461" s="11"/>
      <c r="K461" s="11"/>
      <c r="L461" s="11"/>
      <c r="M461" s="11"/>
      <c r="N461" s="11"/>
      <c r="O461" s="12"/>
      <c r="P461" s="11"/>
      <c r="Q461" s="13"/>
      <c r="R461" s="14"/>
    </row>
    <row r="462" spans="1:18" ht="15" customHeight="1">
      <c r="A462" s="15" t="s">
        <v>38</v>
      </c>
      <c r="B462" s="15" t="s">
        <v>812</v>
      </c>
      <c r="C462" s="16">
        <v>0.88888888888888884</v>
      </c>
      <c r="D462" s="15" t="s">
        <v>46</v>
      </c>
      <c r="E462" s="15" t="s">
        <v>897</v>
      </c>
      <c r="F462" s="15" t="s">
        <v>810</v>
      </c>
      <c r="G462" s="298"/>
      <c r="H462" s="10"/>
      <c r="I462" s="11"/>
      <c r="J462" s="11"/>
      <c r="K462" s="11"/>
      <c r="L462" s="11"/>
      <c r="M462" s="11"/>
      <c r="N462" s="11"/>
      <c r="O462" s="12"/>
      <c r="P462" s="11"/>
      <c r="Q462" s="13"/>
      <c r="R462" s="14"/>
    </row>
    <row r="463" spans="1:18" ht="15" customHeight="1">
      <c r="A463" s="19" t="s">
        <v>359</v>
      </c>
      <c r="B463" s="19" t="s">
        <v>814</v>
      </c>
      <c r="C463" s="20">
        <v>0.1875</v>
      </c>
      <c r="D463" s="19" t="s">
        <v>361</v>
      </c>
      <c r="E463" s="19" t="s">
        <v>80</v>
      </c>
      <c r="F463" s="19" t="s">
        <v>898</v>
      </c>
      <c r="G463" s="298"/>
      <c r="H463" s="10"/>
      <c r="I463" s="11"/>
      <c r="J463" s="11"/>
      <c r="K463" s="11"/>
      <c r="L463" s="11"/>
      <c r="M463" s="11"/>
      <c r="N463" s="11"/>
      <c r="O463" s="12"/>
      <c r="P463" s="11"/>
      <c r="Q463" s="13"/>
      <c r="R463" s="14"/>
    </row>
    <row r="464" spans="1:18" ht="15" customHeight="1">
      <c r="A464" s="15" t="s">
        <v>359</v>
      </c>
      <c r="B464" s="15" t="s">
        <v>814</v>
      </c>
      <c r="C464" s="16">
        <v>0.1875</v>
      </c>
      <c r="D464" s="15" t="s">
        <v>46</v>
      </c>
      <c r="E464" s="15" t="s">
        <v>82</v>
      </c>
      <c r="F464" s="15" t="s">
        <v>899</v>
      </c>
      <c r="G464" s="298"/>
      <c r="H464" s="10"/>
      <c r="I464" s="11"/>
      <c r="J464" s="11"/>
      <c r="K464" s="11"/>
      <c r="L464" s="11"/>
      <c r="M464" s="11"/>
      <c r="N464" s="11"/>
      <c r="O464" s="12"/>
      <c r="P464" s="11"/>
      <c r="Q464" s="13"/>
      <c r="R464" s="14"/>
    </row>
    <row r="465" spans="1:18" ht="15" customHeight="1">
      <c r="A465" s="21" t="s">
        <v>61</v>
      </c>
      <c r="B465" s="21" t="s">
        <v>816</v>
      </c>
      <c r="C465" s="22">
        <v>0.40625</v>
      </c>
      <c r="D465" s="21" t="s">
        <v>63</v>
      </c>
      <c r="E465" s="21" t="s">
        <v>177</v>
      </c>
      <c r="F465" s="21" t="s">
        <v>817</v>
      </c>
      <c r="G465" s="298"/>
      <c r="H465" s="23" t="s">
        <v>818</v>
      </c>
      <c r="I465" s="24">
        <v>5.5999999999999999E-3</v>
      </c>
      <c r="J465" s="25">
        <v>1</v>
      </c>
      <c r="K465" s="26">
        <v>46338</v>
      </c>
      <c r="L465" s="25">
        <v>1</v>
      </c>
      <c r="M465" s="25">
        <v>0</v>
      </c>
      <c r="N465" s="25">
        <v>0</v>
      </c>
      <c r="O465" s="27" t="s">
        <v>900</v>
      </c>
      <c r="P465" s="28">
        <v>0.40625</v>
      </c>
      <c r="Q465" s="25">
        <v>179</v>
      </c>
      <c r="R465" s="29" t="s">
        <v>244</v>
      </c>
    </row>
    <row r="466" spans="1:18" ht="15" customHeight="1">
      <c r="A466" s="156" t="s">
        <v>61</v>
      </c>
      <c r="B466" s="156" t="s">
        <v>852</v>
      </c>
      <c r="C466" s="157">
        <v>0.72569444444444453</v>
      </c>
      <c r="D466" s="156" t="s">
        <v>63</v>
      </c>
      <c r="E466" s="156" t="s">
        <v>37</v>
      </c>
      <c r="F466" s="156" t="s">
        <v>817</v>
      </c>
      <c r="G466" s="298"/>
      <c r="H466" s="42" t="s">
        <v>854</v>
      </c>
      <c r="I466" s="43">
        <v>1.6799999999999999E-2</v>
      </c>
      <c r="J466" s="44">
        <v>3</v>
      </c>
      <c r="K466" s="45">
        <v>46326</v>
      </c>
      <c r="L466" s="44">
        <v>3</v>
      </c>
      <c r="M466" s="44">
        <v>0</v>
      </c>
      <c r="N466" s="44">
        <v>0</v>
      </c>
      <c r="O466" s="46" t="s">
        <v>901</v>
      </c>
      <c r="P466" s="47">
        <v>0.72569444444444453</v>
      </c>
      <c r="Q466" s="44">
        <v>179</v>
      </c>
      <c r="R466" s="48" t="s">
        <v>902</v>
      </c>
    </row>
    <row r="467" spans="1:18" ht="15" customHeight="1">
      <c r="A467" s="19" t="s">
        <v>26</v>
      </c>
      <c r="B467" s="19" t="s">
        <v>820</v>
      </c>
      <c r="C467" s="20">
        <v>0.4375</v>
      </c>
      <c r="D467" s="19" t="s">
        <v>28</v>
      </c>
      <c r="E467" s="19" t="s">
        <v>80</v>
      </c>
      <c r="F467" s="19" t="s">
        <v>81</v>
      </c>
      <c r="G467" s="298"/>
      <c r="H467" s="10"/>
      <c r="I467" s="11"/>
      <c r="J467" s="11"/>
      <c r="K467" s="11"/>
      <c r="L467" s="11"/>
      <c r="M467" s="11"/>
      <c r="N467" s="11"/>
      <c r="O467" s="12"/>
      <c r="P467" s="11"/>
      <c r="Q467" s="13"/>
      <c r="R467" s="14"/>
    </row>
    <row r="468" spans="1:18" ht="15" customHeight="1">
      <c r="A468" s="15" t="s">
        <v>26</v>
      </c>
      <c r="B468" s="15" t="s">
        <v>820</v>
      </c>
      <c r="C468" s="16">
        <v>0.4375</v>
      </c>
      <c r="D468" s="15" t="s">
        <v>31</v>
      </c>
      <c r="E468" s="15" t="s">
        <v>82</v>
      </c>
      <c r="F468" s="15" t="s">
        <v>83</v>
      </c>
      <c r="G468" s="298"/>
      <c r="H468" s="10"/>
      <c r="I468" s="11"/>
      <c r="J468" s="11"/>
      <c r="K468" s="11"/>
      <c r="L468" s="11"/>
      <c r="M468" s="11"/>
      <c r="N468" s="11"/>
      <c r="O468" s="12"/>
      <c r="P468" s="11"/>
      <c r="Q468" s="13"/>
      <c r="R468" s="14"/>
    </row>
    <row r="469" spans="1:18" ht="15" customHeight="1">
      <c r="A469" s="15" t="s">
        <v>26</v>
      </c>
      <c r="B469" s="15" t="s">
        <v>820</v>
      </c>
      <c r="C469" s="16">
        <v>0.4375</v>
      </c>
      <c r="D469" s="15" t="s">
        <v>34</v>
      </c>
      <c r="E469" s="15" t="s">
        <v>82</v>
      </c>
      <c r="F469" s="15" t="s">
        <v>45</v>
      </c>
      <c r="G469" s="298"/>
      <c r="H469" s="10"/>
      <c r="I469" s="11"/>
      <c r="J469" s="11"/>
      <c r="K469" s="11"/>
      <c r="L469" s="11"/>
      <c r="M469" s="11"/>
      <c r="N469" s="11"/>
      <c r="O469" s="12"/>
      <c r="P469" s="11"/>
      <c r="Q469" s="13"/>
      <c r="R469" s="14"/>
    </row>
    <row r="470" spans="1:18" ht="15" customHeight="1">
      <c r="A470" s="17" t="s">
        <v>26</v>
      </c>
      <c r="B470" s="17" t="s">
        <v>826</v>
      </c>
      <c r="C470" s="18">
        <v>0.95833333333333337</v>
      </c>
      <c r="D470" s="17" t="s">
        <v>28</v>
      </c>
      <c r="E470" s="17" t="s">
        <v>90</v>
      </c>
      <c r="F470" s="17" t="s">
        <v>81</v>
      </c>
      <c r="G470" s="298"/>
      <c r="H470" s="10"/>
      <c r="I470" s="11"/>
      <c r="J470" s="11"/>
      <c r="K470" s="11"/>
      <c r="L470" s="11"/>
      <c r="M470" s="11"/>
      <c r="N470" s="11"/>
      <c r="O470" s="12"/>
      <c r="P470" s="11"/>
      <c r="Q470" s="13"/>
      <c r="R470" s="14"/>
    </row>
    <row r="471" spans="1:18" ht="15" customHeight="1">
      <c r="A471" s="15" t="s">
        <v>26</v>
      </c>
      <c r="B471" s="15" t="s">
        <v>826</v>
      </c>
      <c r="C471" s="16">
        <v>0.95833333333333337</v>
      </c>
      <c r="D471" s="15" t="s">
        <v>31</v>
      </c>
      <c r="E471" s="15" t="s">
        <v>82</v>
      </c>
      <c r="F471" s="15" t="s">
        <v>83</v>
      </c>
      <c r="G471" s="298"/>
      <c r="H471" s="10"/>
      <c r="I471" s="11"/>
      <c r="J471" s="11"/>
      <c r="K471" s="11"/>
      <c r="L471" s="11"/>
      <c r="M471" s="11"/>
      <c r="N471" s="11"/>
      <c r="O471" s="12"/>
      <c r="P471" s="11"/>
      <c r="Q471" s="13"/>
      <c r="R471" s="14"/>
    </row>
    <row r="472" spans="1:18" ht="15" customHeight="1">
      <c r="A472" s="15" t="s">
        <v>26</v>
      </c>
      <c r="B472" s="15" t="s">
        <v>826</v>
      </c>
      <c r="C472" s="16">
        <v>0.95833333333333337</v>
      </c>
      <c r="D472" s="15" t="s">
        <v>34</v>
      </c>
      <c r="E472" s="15" t="s">
        <v>82</v>
      </c>
      <c r="F472" s="15" t="s">
        <v>45</v>
      </c>
      <c r="G472" s="298"/>
      <c r="H472" s="10"/>
      <c r="I472" s="11"/>
      <c r="J472" s="11"/>
      <c r="K472" s="11"/>
      <c r="L472" s="11"/>
      <c r="M472" s="11"/>
      <c r="N472" s="11"/>
      <c r="O472" s="12"/>
      <c r="P472" s="11"/>
      <c r="Q472" s="13"/>
      <c r="R472" s="14"/>
    </row>
    <row r="473" spans="1:18" ht="15" customHeight="1">
      <c r="A473" s="17" t="s">
        <v>26</v>
      </c>
      <c r="B473" s="17" t="s">
        <v>821</v>
      </c>
      <c r="C473" s="18">
        <v>0.63194444444444442</v>
      </c>
      <c r="D473" s="17" t="s">
        <v>28</v>
      </c>
      <c r="E473" s="17" t="s">
        <v>90</v>
      </c>
      <c r="F473" s="17" t="s">
        <v>81</v>
      </c>
      <c r="G473" s="298"/>
      <c r="H473" s="10"/>
      <c r="I473" s="11"/>
      <c r="J473" s="11"/>
      <c r="K473" s="11"/>
      <c r="L473" s="11"/>
      <c r="M473" s="11"/>
      <c r="N473" s="11"/>
      <c r="O473" s="12"/>
      <c r="P473" s="11"/>
      <c r="Q473" s="13"/>
      <c r="R473" s="14"/>
    </row>
    <row r="474" spans="1:18" ht="15" customHeight="1">
      <c r="A474" s="15" t="s">
        <v>26</v>
      </c>
      <c r="B474" s="15" t="s">
        <v>821</v>
      </c>
      <c r="C474" s="16">
        <v>0.63194444444444442</v>
      </c>
      <c r="D474" s="15" t="s">
        <v>31</v>
      </c>
      <c r="E474" s="15" t="s">
        <v>82</v>
      </c>
      <c r="F474" s="15" t="s">
        <v>83</v>
      </c>
      <c r="G474" s="298"/>
      <c r="H474" s="10"/>
      <c r="I474" s="11"/>
      <c r="J474" s="11"/>
      <c r="K474" s="11"/>
      <c r="L474" s="11"/>
      <c r="M474" s="11"/>
      <c r="N474" s="11"/>
      <c r="O474" s="12"/>
      <c r="P474" s="11"/>
      <c r="Q474" s="13"/>
      <c r="R474" s="14"/>
    </row>
    <row r="475" spans="1:18" ht="15" customHeight="1">
      <c r="A475" s="15" t="s">
        <v>26</v>
      </c>
      <c r="B475" s="15" t="s">
        <v>821</v>
      </c>
      <c r="C475" s="16">
        <v>0.63194444444444442</v>
      </c>
      <c r="D475" s="15" t="s">
        <v>34</v>
      </c>
      <c r="E475" s="15" t="s">
        <v>82</v>
      </c>
      <c r="F475" s="15" t="s">
        <v>45</v>
      </c>
      <c r="G475" s="298"/>
      <c r="H475" s="10"/>
      <c r="I475" s="11"/>
      <c r="J475" s="11"/>
      <c r="K475" s="11"/>
      <c r="L475" s="11"/>
      <c r="M475" s="11"/>
      <c r="N475" s="11"/>
      <c r="O475" s="12"/>
      <c r="P475" s="11"/>
      <c r="Q475" s="13"/>
      <c r="R475" s="14"/>
    </row>
    <row r="476" spans="1:18" ht="15" customHeight="1">
      <c r="A476" s="17" t="s">
        <v>26</v>
      </c>
      <c r="B476" s="17" t="s">
        <v>822</v>
      </c>
      <c r="C476" s="18">
        <v>0.55902777777777779</v>
      </c>
      <c r="D476" s="17" t="s">
        <v>28</v>
      </c>
      <c r="E476" s="17" t="s">
        <v>90</v>
      </c>
      <c r="F476" s="17" t="s">
        <v>81</v>
      </c>
      <c r="G476" s="298"/>
      <c r="H476" s="10"/>
      <c r="I476" s="11"/>
      <c r="J476" s="11"/>
      <c r="K476" s="11"/>
      <c r="L476" s="11"/>
      <c r="M476" s="11"/>
      <c r="N476" s="11"/>
      <c r="O476" s="12"/>
      <c r="P476" s="11"/>
      <c r="Q476" s="13"/>
      <c r="R476" s="14"/>
    </row>
    <row r="477" spans="1:18" ht="15" customHeight="1">
      <c r="A477" s="15" t="s">
        <v>26</v>
      </c>
      <c r="B477" s="15" t="s">
        <v>822</v>
      </c>
      <c r="C477" s="16">
        <v>0.55902777777777779</v>
      </c>
      <c r="D477" s="15" t="s">
        <v>31</v>
      </c>
      <c r="E477" s="15" t="s">
        <v>82</v>
      </c>
      <c r="F477" s="15" t="s">
        <v>83</v>
      </c>
      <c r="G477" s="298"/>
      <c r="H477" s="10"/>
      <c r="I477" s="11"/>
      <c r="J477" s="11"/>
      <c r="K477" s="11"/>
      <c r="L477" s="11"/>
      <c r="M477" s="11"/>
      <c r="N477" s="11"/>
      <c r="O477" s="12"/>
      <c r="P477" s="11"/>
      <c r="Q477" s="13"/>
      <c r="R477" s="14"/>
    </row>
    <row r="478" spans="1:18" ht="15" customHeight="1">
      <c r="A478" s="15" t="s">
        <v>26</v>
      </c>
      <c r="B478" s="15" t="s">
        <v>822</v>
      </c>
      <c r="C478" s="16">
        <v>0.55902777777777779</v>
      </c>
      <c r="D478" s="15" t="s">
        <v>34</v>
      </c>
      <c r="E478" s="15" t="s">
        <v>82</v>
      </c>
      <c r="F478" s="15" t="s">
        <v>45</v>
      </c>
      <c r="G478" s="298"/>
      <c r="H478" s="10"/>
      <c r="I478" s="11"/>
      <c r="J478" s="11"/>
      <c r="K478" s="11"/>
      <c r="L478" s="11"/>
      <c r="M478" s="11"/>
      <c r="N478" s="11"/>
      <c r="O478" s="12"/>
      <c r="P478" s="11"/>
      <c r="Q478" s="13"/>
      <c r="R478" s="14"/>
    </row>
    <row r="479" spans="1:18" ht="15" customHeight="1">
      <c r="A479" s="17" t="s">
        <v>26</v>
      </c>
      <c r="B479" s="17" t="s">
        <v>823</v>
      </c>
      <c r="C479" s="18">
        <v>0.81944444444444453</v>
      </c>
      <c r="D479" s="17" t="s">
        <v>451</v>
      </c>
      <c r="E479" s="17" t="s">
        <v>90</v>
      </c>
      <c r="F479" s="17" t="s">
        <v>81</v>
      </c>
      <c r="G479" s="298"/>
      <c r="H479" s="10"/>
      <c r="I479" s="11"/>
      <c r="J479" s="11"/>
      <c r="K479" s="11"/>
      <c r="L479" s="11"/>
      <c r="M479" s="11"/>
      <c r="N479" s="11"/>
      <c r="O479" s="12"/>
      <c r="P479" s="11"/>
      <c r="Q479" s="13"/>
      <c r="R479" s="14"/>
    </row>
    <row r="480" spans="1:18" ht="15" customHeight="1">
      <c r="A480" s="17" t="s">
        <v>26</v>
      </c>
      <c r="B480" s="17" t="s">
        <v>824</v>
      </c>
      <c r="C480" s="18">
        <v>0.50694444444444442</v>
      </c>
      <c r="D480" s="17" t="s">
        <v>28</v>
      </c>
      <c r="E480" s="17" t="s">
        <v>90</v>
      </c>
      <c r="F480" s="17" t="s">
        <v>81</v>
      </c>
      <c r="G480" s="298"/>
      <c r="H480" s="10"/>
      <c r="I480" s="11"/>
      <c r="J480" s="11"/>
      <c r="K480" s="11"/>
      <c r="L480" s="11"/>
      <c r="M480" s="11"/>
      <c r="N480" s="11"/>
      <c r="O480" s="12"/>
      <c r="P480" s="11"/>
      <c r="Q480" s="13"/>
      <c r="R480" s="14"/>
    </row>
    <row r="481" spans="1:18" ht="15" customHeight="1">
      <c r="A481" s="15" t="s">
        <v>26</v>
      </c>
      <c r="B481" s="15" t="s">
        <v>824</v>
      </c>
      <c r="C481" s="16">
        <v>0.50694444444444442</v>
      </c>
      <c r="D481" s="15" t="s">
        <v>31</v>
      </c>
      <c r="E481" s="15" t="s">
        <v>82</v>
      </c>
      <c r="F481" s="15" t="s">
        <v>83</v>
      </c>
      <c r="G481" s="298"/>
      <c r="H481" s="10"/>
      <c r="I481" s="11"/>
      <c r="J481" s="11"/>
      <c r="K481" s="11"/>
      <c r="L481" s="11"/>
      <c r="M481" s="11"/>
      <c r="N481" s="11"/>
      <c r="O481" s="12"/>
      <c r="P481" s="11"/>
      <c r="Q481" s="13"/>
      <c r="R481" s="14"/>
    </row>
    <row r="482" spans="1:18" ht="15" customHeight="1">
      <c r="A482" s="15" t="s">
        <v>26</v>
      </c>
      <c r="B482" s="15" t="s">
        <v>824</v>
      </c>
      <c r="C482" s="16">
        <v>0.50694444444444442</v>
      </c>
      <c r="D482" s="15" t="s">
        <v>34</v>
      </c>
      <c r="E482" s="15" t="s">
        <v>82</v>
      </c>
      <c r="F482" s="15" t="s">
        <v>45</v>
      </c>
      <c r="G482" s="298"/>
      <c r="H482" s="10"/>
      <c r="I482" s="11"/>
      <c r="J482" s="11"/>
      <c r="K482" s="11"/>
      <c r="L482" s="11"/>
      <c r="M482" s="11"/>
      <c r="N482" s="11"/>
      <c r="O482" s="12"/>
      <c r="P482" s="11"/>
      <c r="Q482" s="13"/>
      <c r="R482" s="14"/>
    </row>
    <row r="483" spans="1:18" ht="15" customHeight="1">
      <c r="A483" s="17" t="s">
        <v>26</v>
      </c>
      <c r="B483" s="17" t="s">
        <v>825</v>
      </c>
      <c r="C483" s="18">
        <v>0.69791666666666663</v>
      </c>
      <c r="D483" s="17" t="s">
        <v>28</v>
      </c>
      <c r="E483" s="17" t="s">
        <v>90</v>
      </c>
      <c r="F483" s="17" t="s">
        <v>81</v>
      </c>
      <c r="G483" s="298"/>
      <c r="H483" s="10"/>
      <c r="I483" s="11"/>
      <c r="J483" s="11"/>
      <c r="K483" s="11"/>
      <c r="L483" s="11"/>
      <c r="M483" s="11"/>
      <c r="N483" s="11"/>
      <c r="O483" s="12"/>
      <c r="P483" s="11"/>
      <c r="Q483" s="13"/>
      <c r="R483" s="14"/>
    </row>
    <row r="484" spans="1:18" ht="15" customHeight="1">
      <c r="A484" s="15" t="s">
        <v>26</v>
      </c>
      <c r="B484" s="15" t="s">
        <v>825</v>
      </c>
      <c r="C484" s="16">
        <v>0.69791666666666663</v>
      </c>
      <c r="D484" s="15" t="s">
        <v>31</v>
      </c>
      <c r="E484" s="15" t="s">
        <v>82</v>
      </c>
      <c r="F484" s="15" t="s">
        <v>83</v>
      </c>
      <c r="G484" s="298"/>
      <c r="H484" s="10"/>
      <c r="I484" s="11"/>
      <c r="J484" s="11"/>
      <c r="K484" s="11"/>
      <c r="L484" s="11"/>
      <c r="M484" s="11"/>
      <c r="N484" s="11"/>
      <c r="O484" s="12"/>
      <c r="P484" s="11"/>
      <c r="Q484" s="13"/>
      <c r="R484" s="14"/>
    </row>
    <row r="485" spans="1:18" ht="15" customHeight="1">
      <c r="A485" s="15" t="s">
        <v>26</v>
      </c>
      <c r="B485" s="15" t="s">
        <v>825</v>
      </c>
      <c r="C485" s="16">
        <v>0.69791666666666663</v>
      </c>
      <c r="D485" s="15" t="s">
        <v>34</v>
      </c>
      <c r="E485" s="15" t="s">
        <v>82</v>
      </c>
      <c r="F485" s="15" t="s">
        <v>45</v>
      </c>
      <c r="G485" s="298"/>
      <c r="H485" s="10"/>
      <c r="I485" s="11"/>
      <c r="J485" s="11"/>
      <c r="K485" s="11"/>
      <c r="L485" s="11"/>
      <c r="M485" s="11"/>
      <c r="N485" s="11"/>
      <c r="O485" s="12"/>
      <c r="P485" s="11"/>
      <c r="Q485" s="13"/>
      <c r="R485" s="14"/>
    </row>
    <row r="486" spans="1:18" ht="15" customHeight="1">
      <c r="A486" s="19" t="s">
        <v>48</v>
      </c>
      <c r="B486" s="19" t="s">
        <v>833</v>
      </c>
      <c r="C486" s="20">
        <v>0.44444444444444442</v>
      </c>
      <c r="D486" s="19" t="s">
        <v>50</v>
      </c>
      <c r="E486" s="19" t="s">
        <v>103</v>
      </c>
      <c r="F486" s="19" t="s">
        <v>873</v>
      </c>
      <c r="G486" s="298"/>
      <c r="H486" s="10"/>
      <c r="I486" s="11"/>
      <c r="J486" s="11"/>
      <c r="K486" s="11"/>
      <c r="L486" s="11"/>
      <c r="M486" s="11"/>
      <c r="N486" s="11"/>
      <c r="O486" s="12"/>
      <c r="P486" s="11"/>
      <c r="Q486" s="13"/>
      <c r="R486" s="14"/>
    </row>
    <row r="487" spans="1:18" ht="15" customHeight="1">
      <c r="A487" s="15" t="s">
        <v>48</v>
      </c>
      <c r="B487" s="15" t="s">
        <v>833</v>
      </c>
      <c r="C487" s="16">
        <v>0.44444444444444442</v>
      </c>
      <c r="D487" s="15" t="s">
        <v>53</v>
      </c>
      <c r="E487" s="15" t="s">
        <v>99</v>
      </c>
      <c r="F487" s="15" t="s">
        <v>874</v>
      </c>
      <c r="G487" s="298"/>
      <c r="H487" s="10"/>
      <c r="I487" s="11"/>
      <c r="J487" s="11"/>
      <c r="K487" s="11"/>
      <c r="L487" s="11"/>
      <c r="M487" s="11"/>
      <c r="N487" s="11"/>
      <c r="O487" s="12"/>
      <c r="P487" s="11"/>
      <c r="Q487" s="13"/>
      <c r="R487" s="14"/>
    </row>
    <row r="488" spans="1:18" ht="15" customHeight="1">
      <c r="A488" s="17" t="s">
        <v>48</v>
      </c>
      <c r="B488" s="17" t="s">
        <v>828</v>
      </c>
      <c r="C488" s="18">
        <v>0.82986111111111116</v>
      </c>
      <c r="D488" s="17" t="s">
        <v>50</v>
      </c>
      <c r="E488" s="17" t="s">
        <v>57</v>
      </c>
      <c r="F488" s="17" t="s">
        <v>829</v>
      </c>
      <c r="G488" s="298"/>
      <c r="H488" s="10"/>
      <c r="I488" s="11"/>
      <c r="J488" s="11"/>
      <c r="K488" s="11"/>
      <c r="L488" s="11"/>
      <c r="M488" s="11"/>
      <c r="N488" s="11"/>
      <c r="O488" s="12"/>
      <c r="P488" s="11"/>
      <c r="Q488" s="13"/>
      <c r="R488" s="14"/>
    </row>
    <row r="489" spans="1:18" ht="15" customHeight="1">
      <c r="A489" s="15" t="s">
        <v>48</v>
      </c>
      <c r="B489" s="15" t="s">
        <v>828</v>
      </c>
      <c r="C489" s="16">
        <v>0.82986111111111116</v>
      </c>
      <c r="D489" s="15" t="s">
        <v>53</v>
      </c>
      <c r="E489" s="15" t="s">
        <v>54</v>
      </c>
      <c r="F489" s="15" t="s">
        <v>830</v>
      </c>
      <c r="G489" s="298"/>
      <c r="H489" s="10"/>
      <c r="I489" s="11"/>
      <c r="J489" s="11"/>
      <c r="K489" s="11"/>
      <c r="L489" s="11"/>
      <c r="M489" s="11"/>
      <c r="N489" s="11"/>
      <c r="O489" s="12"/>
      <c r="P489" s="11"/>
      <c r="Q489" s="13"/>
      <c r="R489" s="14"/>
    </row>
    <row r="490" spans="1:18" ht="15" customHeight="1">
      <c r="A490" s="17" t="s">
        <v>48</v>
      </c>
      <c r="B490" s="17" t="s">
        <v>831</v>
      </c>
      <c r="C490" s="18">
        <v>0.98263888888888884</v>
      </c>
      <c r="D490" s="17" t="s">
        <v>50</v>
      </c>
      <c r="E490" s="17" t="s">
        <v>57</v>
      </c>
      <c r="F490" s="17" t="s">
        <v>829</v>
      </c>
      <c r="G490" s="298"/>
      <c r="H490" s="10"/>
      <c r="I490" s="11"/>
      <c r="J490" s="11"/>
      <c r="K490" s="11"/>
      <c r="L490" s="11"/>
      <c r="M490" s="11"/>
      <c r="N490" s="11"/>
      <c r="O490" s="12"/>
      <c r="P490" s="11"/>
      <c r="Q490" s="13"/>
      <c r="R490" s="14"/>
    </row>
    <row r="491" spans="1:18" ht="15" customHeight="1">
      <c r="A491" s="15" t="s">
        <v>48</v>
      </c>
      <c r="B491" s="15" t="s">
        <v>831</v>
      </c>
      <c r="C491" s="16">
        <v>0.98263888888888884</v>
      </c>
      <c r="D491" s="15" t="s">
        <v>53</v>
      </c>
      <c r="E491" s="15" t="s">
        <v>54</v>
      </c>
      <c r="F491" s="15" t="s">
        <v>830</v>
      </c>
      <c r="G491" s="298"/>
      <c r="H491" s="10"/>
      <c r="I491" s="11"/>
      <c r="J491" s="11"/>
      <c r="K491" s="11"/>
      <c r="L491" s="11"/>
      <c r="M491" s="11"/>
      <c r="N491" s="11"/>
      <c r="O491" s="12"/>
      <c r="P491" s="11"/>
      <c r="Q491" s="13"/>
      <c r="R491" s="14"/>
    </row>
    <row r="492" spans="1:18" ht="15" customHeight="1">
      <c r="A492" s="17" t="s">
        <v>48</v>
      </c>
      <c r="B492" s="17" t="s">
        <v>832</v>
      </c>
      <c r="C492" s="18">
        <v>0.62847222222222221</v>
      </c>
      <c r="D492" s="17" t="s">
        <v>50</v>
      </c>
      <c r="E492" s="17" t="s">
        <v>57</v>
      </c>
      <c r="F492" s="17" t="s">
        <v>829</v>
      </c>
      <c r="G492" s="298"/>
      <c r="H492" s="10"/>
      <c r="I492" s="11"/>
      <c r="J492" s="11"/>
      <c r="K492" s="11"/>
      <c r="L492" s="11"/>
      <c r="M492" s="11"/>
      <c r="N492" s="11"/>
      <c r="O492" s="12"/>
      <c r="P492" s="11"/>
      <c r="Q492" s="13"/>
      <c r="R492" s="14"/>
    </row>
    <row r="493" spans="1:18" ht="15" customHeight="1">
      <c r="A493" s="15" t="s">
        <v>48</v>
      </c>
      <c r="B493" s="15" t="s">
        <v>832</v>
      </c>
      <c r="C493" s="16">
        <v>0.62847222222222221</v>
      </c>
      <c r="D493" s="15" t="s">
        <v>53</v>
      </c>
      <c r="E493" s="15" t="s">
        <v>54</v>
      </c>
      <c r="F493" s="15" t="s">
        <v>830</v>
      </c>
      <c r="G493" s="298"/>
      <c r="H493" s="10"/>
      <c r="I493" s="11"/>
      <c r="J493" s="11"/>
      <c r="K493" s="11"/>
      <c r="L493" s="11"/>
      <c r="M493" s="11"/>
      <c r="N493" s="11"/>
      <c r="O493" s="12"/>
      <c r="P493" s="11"/>
      <c r="Q493" s="13"/>
      <c r="R493" s="14"/>
    </row>
    <row r="494" spans="1:18" ht="15" customHeight="1">
      <c r="A494" s="17" t="s">
        <v>48</v>
      </c>
      <c r="B494" s="17" t="s">
        <v>835</v>
      </c>
      <c r="C494" s="18">
        <v>0.88888888888888884</v>
      </c>
      <c r="D494" s="17" t="s">
        <v>53</v>
      </c>
      <c r="E494" s="17" t="s">
        <v>37</v>
      </c>
      <c r="F494" s="17" t="s">
        <v>836</v>
      </c>
      <c r="G494" s="298"/>
      <c r="H494" s="10"/>
      <c r="I494" s="11"/>
      <c r="J494" s="11"/>
      <c r="K494" s="11"/>
      <c r="L494" s="11"/>
      <c r="M494" s="11"/>
      <c r="N494" s="11"/>
      <c r="O494" s="12"/>
      <c r="P494" s="11"/>
      <c r="Q494" s="13"/>
      <c r="R494" s="14"/>
    </row>
    <row r="495" spans="1:18" ht="15" customHeight="1">
      <c r="A495" s="17" t="s">
        <v>48</v>
      </c>
      <c r="B495" s="17" t="s">
        <v>837</v>
      </c>
      <c r="C495" s="18">
        <v>0.62847222222222221</v>
      </c>
      <c r="D495" s="17" t="s">
        <v>53</v>
      </c>
      <c r="E495" s="17" t="s">
        <v>37</v>
      </c>
      <c r="F495" s="17" t="s">
        <v>836</v>
      </c>
      <c r="G495" s="298"/>
      <c r="H495" s="10"/>
      <c r="I495" s="11"/>
      <c r="J495" s="11"/>
      <c r="K495" s="11"/>
      <c r="L495" s="11"/>
      <c r="M495" s="11"/>
      <c r="N495" s="11"/>
      <c r="O495" s="12"/>
      <c r="P495" s="11"/>
      <c r="Q495" s="13"/>
      <c r="R495" s="14"/>
    </row>
    <row r="496" spans="1:18" ht="15" customHeight="1">
      <c r="A496" s="17" t="s">
        <v>48</v>
      </c>
      <c r="B496" s="17" t="s">
        <v>838</v>
      </c>
      <c r="C496" s="18">
        <v>0.94444444444444453</v>
      </c>
      <c r="D496" s="17" t="s">
        <v>53</v>
      </c>
      <c r="E496" s="17" t="s">
        <v>37</v>
      </c>
      <c r="F496" s="17" t="s">
        <v>836</v>
      </c>
      <c r="G496" s="298"/>
      <c r="H496" s="10"/>
      <c r="I496" s="11"/>
      <c r="J496" s="11"/>
      <c r="K496" s="11"/>
      <c r="L496" s="11"/>
      <c r="M496" s="11"/>
      <c r="N496" s="11"/>
      <c r="O496" s="12"/>
      <c r="P496" s="11"/>
      <c r="Q496" s="13"/>
      <c r="R496" s="14"/>
    </row>
    <row r="497" spans="1:18" ht="15" customHeight="1">
      <c r="A497" s="19" t="s">
        <v>68</v>
      </c>
      <c r="B497" s="19" t="s">
        <v>842</v>
      </c>
      <c r="C497" s="20">
        <v>0.98263888888888884</v>
      </c>
      <c r="D497" s="19" t="s">
        <v>70</v>
      </c>
      <c r="E497" s="19" t="s">
        <v>103</v>
      </c>
      <c r="F497" s="19" t="s">
        <v>404</v>
      </c>
      <c r="G497" s="298"/>
      <c r="H497" s="10"/>
      <c r="I497" s="11"/>
      <c r="J497" s="11"/>
      <c r="K497" s="11"/>
      <c r="L497" s="11"/>
      <c r="M497" s="11"/>
      <c r="N497" s="11"/>
      <c r="O497" s="12"/>
      <c r="P497" s="11"/>
      <c r="Q497" s="13"/>
      <c r="R497" s="14"/>
    </row>
    <row r="498" spans="1:18" ht="15" customHeight="1">
      <c r="A498" s="17" t="s">
        <v>68</v>
      </c>
      <c r="B498" s="17" t="s">
        <v>843</v>
      </c>
      <c r="C498" s="18">
        <v>0.35416666666666669</v>
      </c>
      <c r="D498" s="17" t="s">
        <v>70</v>
      </c>
      <c r="E498" s="17" t="s">
        <v>57</v>
      </c>
      <c r="F498" s="17" t="s">
        <v>45</v>
      </c>
      <c r="G498" s="298"/>
      <c r="H498" s="10"/>
      <c r="I498" s="11"/>
      <c r="J498" s="11"/>
      <c r="K498" s="11"/>
      <c r="L498" s="11"/>
      <c r="M498" s="11"/>
      <c r="N498" s="11"/>
      <c r="O498" s="12"/>
      <c r="P498" s="11"/>
      <c r="Q498" s="13"/>
      <c r="R498" s="14"/>
    </row>
    <row r="499" spans="1:18" ht="15" customHeight="1">
      <c r="A499" s="17" t="s">
        <v>68</v>
      </c>
      <c r="B499" s="17" t="s">
        <v>844</v>
      </c>
      <c r="C499" s="18">
        <v>0.72916666666666663</v>
      </c>
      <c r="D499" s="17" t="s">
        <v>70</v>
      </c>
      <c r="E499" s="17" t="s">
        <v>57</v>
      </c>
      <c r="F499" s="17" t="s">
        <v>845</v>
      </c>
      <c r="G499" s="298"/>
      <c r="H499" s="10"/>
      <c r="I499" s="11"/>
      <c r="J499" s="11"/>
      <c r="K499" s="11"/>
      <c r="L499" s="11"/>
      <c r="M499" s="11"/>
      <c r="N499" s="11"/>
      <c r="O499" s="12"/>
      <c r="P499" s="11"/>
      <c r="Q499" s="13"/>
      <c r="R499" s="14"/>
    </row>
    <row r="500" spans="1:18" ht="15" customHeight="1" thickBot="1">
      <c r="A500" s="96" t="s">
        <v>402</v>
      </c>
      <c r="B500" s="96" t="s">
        <v>839</v>
      </c>
      <c r="C500" s="97">
        <v>0.21180555555555561</v>
      </c>
      <c r="D500" s="96" t="s">
        <v>63</v>
      </c>
      <c r="E500" s="96" t="s">
        <v>103</v>
      </c>
      <c r="F500" s="96" t="s">
        <v>881</v>
      </c>
      <c r="G500" s="299"/>
      <c r="H500" s="300"/>
      <c r="I500" s="140"/>
      <c r="J500" s="140"/>
      <c r="K500" s="140"/>
      <c r="L500" s="140"/>
      <c r="M500" s="140"/>
      <c r="N500" s="140"/>
      <c r="O500" s="141"/>
      <c r="P500" s="140"/>
      <c r="Q500" s="142"/>
      <c r="R500" s="301"/>
    </row>
    <row r="501" spans="1:18" ht="17.45" customHeight="1" thickBot="1">
      <c r="A501" s="283"/>
      <c r="B501" s="284"/>
      <c r="C501" s="284"/>
      <c r="D501" s="284"/>
      <c r="E501" s="284"/>
      <c r="F501" s="284"/>
      <c r="G501" s="284"/>
      <c r="H501" s="284"/>
      <c r="I501" s="284"/>
      <c r="J501" s="284"/>
      <c r="K501" s="284"/>
      <c r="L501" s="284"/>
      <c r="M501" s="284"/>
      <c r="N501" s="284"/>
      <c r="O501" s="284"/>
      <c r="P501" s="284"/>
      <c r="Q501" s="284"/>
      <c r="R501" s="285"/>
    </row>
    <row r="502" spans="1:18" ht="22.15" customHeight="1" thickTop="1" thickBot="1">
      <c r="A502" s="279" t="s">
        <v>6</v>
      </c>
      <c r="B502" s="295"/>
      <c r="C502" s="295"/>
      <c r="D502" s="295"/>
      <c r="E502" s="295"/>
      <c r="F502" s="296"/>
      <c r="G502" s="32">
        <v>46032</v>
      </c>
      <c r="H502" s="278" t="s">
        <v>7</v>
      </c>
      <c r="I502" s="295"/>
      <c r="J502" s="295"/>
      <c r="K502" s="295"/>
      <c r="L502" s="295"/>
      <c r="M502" s="295"/>
      <c r="N502" s="295"/>
      <c r="O502" s="295"/>
      <c r="P502" s="295"/>
      <c r="Q502" s="295"/>
      <c r="R502" s="296"/>
    </row>
    <row r="503" spans="1:18" ht="24" customHeight="1">
      <c r="A503" s="33" t="s">
        <v>8</v>
      </c>
      <c r="B503" s="33" t="s">
        <v>9</v>
      </c>
      <c r="C503" s="34" t="s">
        <v>10</v>
      </c>
      <c r="D503" s="33" t="s">
        <v>11</v>
      </c>
      <c r="E503" s="33" t="s">
        <v>12</v>
      </c>
      <c r="F503" s="35" t="s">
        <v>13</v>
      </c>
      <c r="G503" s="36" t="s">
        <v>14</v>
      </c>
      <c r="H503" s="33" t="s">
        <v>15</v>
      </c>
      <c r="I503" s="37" t="s">
        <v>16</v>
      </c>
      <c r="J503" s="38" t="s">
        <v>17</v>
      </c>
      <c r="K503" s="39" t="s">
        <v>18</v>
      </c>
      <c r="L503" s="38" t="s">
        <v>19</v>
      </c>
      <c r="M503" s="38" t="s">
        <v>20</v>
      </c>
      <c r="N503" s="38" t="s">
        <v>21</v>
      </c>
      <c r="O503" s="33" t="s">
        <v>22</v>
      </c>
      <c r="P503" s="34" t="s">
        <v>23</v>
      </c>
      <c r="Q503" s="38" t="s">
        <v>24</v>
      </c>
      <c r="R503" s="33" t="s">
        <v>25</v>
      </c>
    </row>
    <row r="504" spans="1:18" ht="15" customHeight="1">
      <c r="A504" s="8" t="s">
        <v>38</v>
      </c>
      <c r="B504" s="8" t="s">
        <v>812</v>
      </c>
      <c r="C504" s="9">
        <v>0.88888888888888884</v>
      </c>
      <c r="D504" s="8" t="s">
        <v>40</v>
      </c>
      <c r="E504" s="8" t="s">
        <v>482</v>
      </c>
      <c r="F504" s="8" t="s">
        <v>475</v>
      </c>
      <c r="G504" s="297"/>
      <c r="H504" s="10"/>
      <c r="I504" s="11"/>
      <c r="J504" s="11"/>
      <c r="K504" s="11"/>
      <c r="L504" s="11"/>
      <c r="M504" s="11"/>
      <c r="N504" s="11"/>
      <c r="O504" s="12"/>
      <c r="P504" s="11"/>
      <c r="Q504" s="13"/>
      <c r="R504" s="14"/>
    </row>
    <row r="505" spans="1:18" ht="15" customHeight="1">
      <c r="A505" s="15" t="s">
        <v>38</v>
      </c>
      <c r="B505" s="15" t="s">
        <v>812</v>
      </c>
      <c r="C505" s="16">
        <v>0.88888888888888884</v>
      </c>
      <c r="D505" s="15" t="s">
        <v>43</v>
      </c>
      <c r="E505" s="15" t="s">
        <v>483</v>
      </c>
      <c r="F505" s="15" t="s">
        <v>121</v>
      </c>
      <c r="G505" s="298"/>
      <c r="H505" s="10"/>
      <c r="I505" s="11"/>
      <c r="J505" s="11"/>
      <c r="K505" s="11"/>
      <c r="L505" s="11"/>
      <c r="M505" s="11"/>
      <c r="N505" s="11"/>
      <c r="O505" s="12"/>
      <c r="P505" s="11"/>
      <c r="Q505" s="13"/>
      <c r="R505" s="14"/>
    </row>
    <row r="506" spans="1:18" ht="15" customHeight="1">
      <c r="A506" s="15" t="s">
        <v>38</v>
      </c>
      <c r="B506" s="15" t="s">
        <v>812</v>
      </c>
      <c r="C506" s="16">
        <v>0.88888888888888884</v>
      </c>
      <c r="D506" s="15" t="s">
        <v>46</v>
      </c>
      <c r="E506" s="15" t="s">
        <v>483</v>
      </c>
      <c r="F506" s="15" t="s">
        <v>810</v>
      </c>
      <c r="G506" s="298"/>
      <c r="H506" s="10"/>
      <c r="I506" s="11"/>
      <c r="J506" s="11"/>
      <c r="K506" s="11"/>
      <c r="L506" s="11"/>
      <c r="M506" s="11"/>
      <c r="N506" s="11"/>
      <c r="O506" s="12"/>
      <c r="P506" s="11"/>
      <c r="Q506" s="13"/>
      <c r="R506" s="14"/>
    </row>
    <row r="507" spans="1:18" ht="15" customHeight="1">
      <c r="A507" s="17" t="s">
        <v>38</v>
      </c>
      <c r="B507" s="17" t="s">
        <v>813</v>
      </c>
      <c r="C507" s="18">
        <v>0.94444444444444453</v>
      </c>
      <c r="D507" s="17" t="s">
        <v>40</v>
      </c>
      <c r="E507" s="17" t="s">
        <v>882</v>
      </c>
      <c r="F507" s="17" t="s">
        <v>475</v>
      </c>
      <c r="G507" s="298"/>
      <c r="H507" s="10"/>
      <c r="I507" s="11"/>
      <c r="J507" s="11"/>
      <c r="K507" s="11"/>
      <c r="L507" s="11"/>
      <c r="M507" s="11"/>
      <c r="N507" s="11"/>
      <c r="O507" s="12"/>
      <c r="P507" s="11"/>
      <c r="Q507" s="13"/>
      <c r="R507" s="14"/>
    </row>
    <row r="508" spans="1:18" ht="15" customHeight="1">
      <c r="A508" s="15" t="s">
        <v>38</v>
      </c>
      <c r="B508" s="15" t="s">
        <v>813</v>
      </c>
      <c r="C508" s="16">
        <v>0.94444444444444453</v>
      </c>
      <c r="D508" s="15" t="s">
        <v>43</v>
      </c>
      <c r="E508" s="15" t="s">
        <v>483</v>
      </c>
      <c r="F508" s="15" t="s">
        <v>121</v>
      </c>
      <c r="G508" s="298"/>
      <c r="H508" s="10"/>
      <c r="I508" s="11"/>
      <c r="J508" s="11"/>
      <c r="K508" s="11"/>
      <c r="L508" s="11"/>
      <c r="M508" s="11"/>
      <c r="N508" s="11"/>
      <c r="O508" s="12"/>
      <c r="P508" s="11"/>
      <c r="Q508" s="13"/>
      <c r="R508" s="14"/>
    </row>
    <row r="509" spans="1:18" ht="15" customHeight="1">
      <c r="A509" s="15" t="s">
        <v>38</v>
      </c>
      <c r="B509" s="15" t="s">
        <v>813</v>
      </c>
      <c r="C509" s="16">
        <v>0.94444444444444453</v>
      </c>
      <c r="D509" s="15" t="s">
        <v>46</v>
      </c>
      <c r="E509" s="15" t="s">
        <v>483</v>
      </c>
      <c r="F509" s="15" t="s">
        <v>810</v>
      </c>
      <c r="G509" s="298"/>
      <c r="H509" s="10"/>
      <c r="I509" s="11"/>
      <c r="J509" s="11"/>
      <c r="K509" s="11"/>
      <c r="L509" s="11"/>
      <c r="M509" s="11"/>
      <c r="N509" s="11"/>
      <c r="O509" s="12"/>
      <c r="P509" s="11"/>
      <c r="Q509" s="13"/>
      <c r="R509" s="14"/>
    </row>
    <row r="510" spans="1:18" ht="15" customHeight="1">
      <c r="A510" s="17" t="s">
        <v>38</v>
      </c>
      <c r="B510" s="17" t="s">
        <v>809</v>
      </c>
      <c r="C510" s="18">
        <v>0.57638888888888895</v>
      </c>
      <c r="D510" s="17" t="s">
        <v>40</v>
      </c>
      <c r="E510" s="17" t="s">
        <v>421</v>
      </c>
      <c r="F510" s="17" t="s">
        <v>872</v>
      </c>
      <c r="G510" s="298"/>
      <c r="H510" s="10"/>
      <c r="I510" s="11"/>
      <c r="J510" s="11"/>
      <c r="K510" s="11"/>
      <c r="L510" s="11"/>
      <c r="M510" s="11"/>
      <c r="N510" s="11"/>
      <c r="O510" s="12"/>
      <c r="P510" s="11"/>
      <c r="Q510" s="13"/>
      <c r="R510" s="14"/>
    </row>
    <row r="511" spans="1:18" ht="15" customHeight="1">
      <c r="A511" s="15" t="s">
        <v>38</v>
      </c>
      <c r="B511" s="15" t="s">
        <v>809</v>
      </c>
      <c r="C511" s="16">
        <v>0.57638888888888895</v>
      </c>
      <c r="D511" s="15" t="s">
        <v>43</v>
      </c>
      <c r="E511" s="15" t="s">
        <v>193</v>
      </c>
      <c r="F511" s="15" t="s">
        <v>349</v>
      </c>
      <c r="G511" s="298"/>
      <c r="H511" s="10"/>
      <c r="I511" s="11"/>
      <c r="J511" s="11"/>
      <c r="K511" s="11"/>
      <c r="L511" s="11"/>
      <c r="M511" s="11"/>
      <c r="N511" s="11"/>
      <c r="O511" s="12"/>
      <c r="P511" s="11"/>
      <c r="Q511" s="13"/>
      <c r="R511" s="14"/>
    </row>
    <row r="512" spans="1:18" ht="15" customHeight="1">
      <c r="A512" s="15" t="s">
        <v>38</v>
      </c>
      <c r="B512" s="15" t="s">
        <v>809</v>
      </c>
      <c r="C512" s="16">
        <v>0.57638888888888895</v>
      </c>
      <c r="D512" s="15" t="s">
        <v>46</v>
      </c>
      <c r="E512" s="15" t="s">
        <v>193</v>
      </c>
      <c r="F512" s="15" t="s">
        <v>810</v>
      </c>
      <c r="G512" s="298"/>
      <c r="H512" s="10"/>
      <c r="I512" s="11"/>
      <c r="J512" s="11"/>
      <c r="K512" s="11"/>
      <c r="L512" s="11"/>
      <c r="M512" s="11"/>
      <c r="N512" s="11"/>
      <c r="O512" s="12"/>
      <c r="P512" s="11"/>
      <c r="Q512" s="13"/>
      <c r="R512" s="14"/>
    </row>
    <row r="513" spans="1:18" ht="15" customHeight="1">
      <c r="A513" s="17" t="s">
        <v>38</v>
      </c>
      <c r="B513" s="17" t="s">
        <v>811</v>
      </c>
      <c r="C513" s="18">
        <v>0.62847222222222221</v>
      </c>
      <c r="D513" s="17" t="s">
        <v>40</v>
      </c>
      <c r="E513" s="17" t="s">
        <v>458</v>
      </c>
      <c r="F513" s="17" t="s">
        <v>149</v>
      </c>
      <c r="G513" s="298"/>
      <c r="H513" s="10"/>
      <c r="I513" s="11"/>
      <c r="J513" s="11"/>
      <c r="K513" s="11"/>
      <c r="L513" s="11"/>
      <c r="M513" s="11"/>
      <c r="N513" s="11"/>
      <c r="O513" s="12"/>
      <c r="P513" s="11"/>
      <c r="Q513" s="13"/>
      <c r="R513" s="14"/>
    </row>
    <row r="514" spans="1:18" ht="15" customHeight="1">
      <c r="A514" s="15" t="s">
        <v>38</v>
      </c>
      <c r="B514" s="15" t="s">
        <v>811</v>
      </c>
      <c r="C514" s="16">
        <v>0.62847222222222221</v>
      </c>
      <c r="D514" s="15" t="s">
        <v>43</v>
      </c>
      <c r="E514" s="15" t="s">
        <v>155</v>
      </c>
      <c r="F514" s="15" t="s">
        <v>35</v>
      </c>
      <c r="G514" s="298"/>
      <c r="H514" s="10"/>
      <c r="I514" s="11"/>
      <c r="J514" s="11"/>
      <c r="K514" s="11"/>
      <c r="L514" s="11"/>
      <c r="M514" s="11"/>
      <c r="N514" s="11"/>
      <c r="O514" s="12"/>
      <c r="P514" s="11"/>
      <c r="Q514" s="13"/>
      <c r="R514" s="14"/>
    </row>
    <row r="515" spans="1:18" ht="15" customHeight="1">
      <c r="A515" s="15" t="s">
        <v>38</v>
      </c>
      <c r="B515" s="15" t="s">
        <v>811</v>
      </c>
      <c r="C515" s="16">
        <v>0.62847222222222221</v>
      </c>
      <c r="D515" s="15" t="s">
        <v>46</v>
      </c>
      <c r="E515" s="15" t="s">
        <v>155</v>
      </c>
      <c r="F515" s="15" t="s">
        <v>894</v>
      </c>
      <c r="G515" s="298"/>
      <c r="H515" s="10"/>
      <c r="I515" s="11"/>
      <c r="J515" s="11"/>
      <c r="K515" s="11"/>
      <c r="L515" s="11"/>
      <c r="M515" s="11"/>
      <c r="N515" s="11"/>
      <c r="O515" s="12"/>
      <c r="P515" s="11"/>
      <c r="Q515" s="13"/>
      <c r="R515" s="14"/>
    </row>
    <row r="516" spans="1:18" ht="15" customHeight="1">
      <c r="A516" s="19" t="s">
        <v>26</v>
      </c>
      <c r="B516" s="19" t="s">
        <v>823</v>
      </c>
      <c r="C516" s="20">
        <v>0.81944444444444453</v>
      </c>
      <c r="D516" s="19" t="s">
        <v>28</v>
      </c>
      <c r="E516" s="19" t="s">
        <v>126</v>
      </c>
      <c r="F516" s="19" t="s">
        <v>88</v>
      </c>
      <c r="G516" s="298"/>
      <c r="H516" s="10"/>
      <c r="I516" s="11"/>
      <c r="J516" s="11"/>
      <c r="K516" s="11"/>
      <c r="L516" s="11"/>
      <c r="M516" s="11"/>
      <c r="N516" s="11"/>
      <c r="O516" s="12"/>
      <c r="P516" s="11"/>
      <c r="Q516" s="13"/>
      <c r="R516" s="14"/>
    </row>
    <row r="517" spans="1:18" ht="15" customHeight="1">
      <c r="A517" s="15" t="s">
        <v>26</v>
      </c>
      <c r="B517" s="15" t="s">
        <v>823</v>
      </c>
      <c r="C517" s="16">
        <v>0.81944444444444453</v>
      </c>
      <c r="D517" s="15" t="s">
        <v>31</v>
      </c>
      <c r="E517" s="15" t="s">
        <v>127</v>
      </c>
      <c r="F517" s="15" t="s">
        <v>347</v>
      </c>
      <c r="G517" s="298"/>
      <c r="H517" s="10"/>
      <c r="I517" s="11"/>
      <c r="J517" s="11"/>
      <c r="K517" s="11"/>
      <c r="L517" s="11"/>
      <c r="M517" s="11"/>
      <c r="N517" s="11"/>
      <c r="O517" s="12"/>
      <c r="P517" s="11"/>
      <c r="Q517" s="13"/>
      <c r="R517" s="14"/>
    </row>
    <row r="518" spans="1:18" ht="15" customHeight="1">
      <c r="A518" s="15" t="s">
        <v>26</v>
      </c>
      <c r="B518" s="15" t="s">
        <v>823</v>
      </c>
      <c r="C518" s="16">
        <v>0.81944444444444453</v>
      </c>
      <c r="D518" s="15" t="s">
        <v>34</v>
      </c>
      <c r="E518" s="15" t="s">
        <v>127</v>
      </c>
      <c r="F518" s="15" t="s">
        <v>161</v>
      </c>
      <c r="G518" s="298"/>
      <c r="H518" s="10"/>
      <c r="I518" s="11"/>
      <c r="J518" s="11"/>
      <c r="K518" s="11"/>
      <c r="L518" s="11"/>
      <c r="M518" s="11"/>
      <c r="N518" s="11"/>
      <c r="O518" s="12"/>
      <c r="P518" s="11"/>
      <c r="Q518" s="13"/>
      <c r="R518" s="14"/>
    </row>
    <row r="519" spans="1:18" ht="15" customHeight="1">
      <c r="A519" s="17" t="s">
        <v>26</v>
      </c>
      <c r="B519" s="17" t="s">
        <v>820</v>
      </c>
      <c r="C519" s="18">
        <v>0.4375</v>
      </c>
      <c r="D519" s="17" t="s">
        <v>28</v>
      </c>
      <c r="E519" s="17" t="s">
        <v>90</v>
      </c>
      <c r="F519" s="17" t="s">
        <v>81</v>
      </c>
      <c r="G519" s="298"/>
      <c r="H519" s="10"/>
      <c r="I519" s="11"/>
      <c r="J519" s="11"/>
      <c r="K519" s="11"/>
      <c r="L519" s="11"/>
      <c r="M519" s="11"/>
      <c r="N519" s="11"/>
      <c r="O519" s="12"/>
      <c r="P519" s="11"/>
      <c r="Q519" s="13"/>
      <c r="R519" s="14"/>
    </row>
    <row r="520" spans="1:18" ht="15" customHeight="1">
      <c r="A520" s="15" t="s">
        <v>26</v>
      </c>
      <c r="B520" s="15" t="s">
        <v>820</v>
      </c>
      <c r="C520" s="16">
        <v>0.4375</v>
      </c>
      <c r="D520" s="15" t="s">
        <v>31</v>
      </c>
      <c r="E520" s="15" t="s">
        <v>82</v>
      </c>
      <c r="F520" s="15" t="s">
        <v>83</v>
      </c>
      <c r="G520" s="298"/>
      <c r="H520" s="10"/>
      <c r="I520" s="11"/>
      <c r="J520" s="11"/>
      <c r="K520" s="11"/>
      <c r="L520" s="11"/>
      <c r="M520" s="11"/>
      <c r="N520" s="11"/>
      <c r="O520" s="12"/>
      <c r="P520" s="11"/>
      <c r="Q520" s="13"/>
      <c r="R520" s="14"/>
    </row>
    <row r="521" spans="1:18" ht="15" customHeight="1">
      <c r="A521" s="15" t="s">
        <v>26</v>
      </c>
      <c r="B521" s="15" t="s">
        <v>820</v>
      </c>
      <c r="C521" s="16">
        <v>0.4375</v>
      </c>
      <c r="D521" s="15" t="s">
        <v>34</v>
      </c>
      <c r="E521" s="15" t="s">
        <v>82</v>
      </c>
      <c r="F521" s="15" t="s">
        <v>45</v>
      </c>
      <c r="G521" s="298"/>
      <c r="H521" s="10"/>
      <c r="I521" s="11"/>
      <c r="J521" s="11"/>
      <c r="K521" s="11"/>
      <c r="L521" s="11"/>
      <c r="M521" s="11"/>
      <c r="N521" s="11"/>
      <c r="O521" s="12"/>
      <c r="P521" s="11"/>
      <c r="Q521" s="13"/>
      <c r="R521" s="14"/>
    </row>
    <row r="522" spans="1:18" ht="15" customHeight="1">
      <c r="A522" s="17" t="s">
        <v>26</v>
      </c>
      <c r="B522" s="17" t="s">
        <v>826</v>
      </c>
      <c r="C522" s="18">
        <v>0.95833333333333337</v>
      </c>
      <c r="D522" s="17" t="s">
        <v>28</v>
      </c>
      <c r="E522" s="17" t="s">
        <v>90</v>
      </c>
      <c r="F522" s="17" t="s">
        <v>81</v>
      </c>
      <c r="G522" s="298"/>
      <c r="H522" s="10"/>
      <c r="I522" s="11"/>
      <c r="J522" s="11"/>
      <c r="K522" s="11"/>
      <c r="L522" s="11"/>
      <c r="M522" s="11"/>
      <c r="N522" s="11"/>
      <c r="O522" s="12"/>
      <c r="P522" s="11"/>
      <c r="Q522" s="13"/>
      <c r="R522" s="14"/>
    </row>
    <row r="523" spans="1:18" ht="15" customHeight="1">
      <c r="A523" s="15" t="s">
        <v>26</v>
      </c>
      <c r="B523" s="15" t="s">
        <v>826</v>
      </c>
      <c r="C523" s="16">
        <v>0.95833333333333337</v>
      </c>
      <c r="D523" s="15" t="s">
        <v>31</v>
      </c>
      <c r="E523" s="15" t="s">
        <v>82</v>
      </c>
      <c r="F523" s="15" t="s">
        <v>83</v>
      </c>
      <c r="G523" s="298"/>
      <c r="H523" s="10"/>
      <c r="I523" s="11"/>
      <c r="J523" s="11"/>
      <c r="K523" s="11"/>
      <c r="L523" s="11"/>
      <c r="M523" s="11"/>
      <c r="N523" s="11"/>
      <c r="O523" s="12"/>
      <c r="P523" s="11"/>
      <c r="Q523" s="13"/>
      <c r="R523" s="14"/>
    </row>
    <row r="524" spans="1:18" ht="15" customHeight="1">
      <c r="A524" s="15" t="s">
        <v>26</v>
      </c>
      <c r="B524" s="15" t="s">
        <v>826</v>
      </c>
      <c r="C524" s="16">
        <v>0.95833333333333337</v>
      </c>
      <c r="D524" s="15" t="s">
        <v>34</v>
      </c>
      <c r="E524" s="15" t="s">
        <v>82</v>
      </c>
      <c r="F524" s="15" t="s">
        <v>45</v>
      </c>
      <c r="G524" s="298"/>
      <c r="H524" s="10"/>
      <c r="I524" s="11"/>
      <c r="J524" s="11"/>
      <c r="K524" s="11"/>
      <c r="L524" s="11"/>
      <c r="M524" s="11"/>
      <c r="N524" s="11"/>
      <c r="O524" s="12"/>
      <c r="P524" s="11"/>
      <c r="Q524" s="13"/>
      <c r="R524" s="14"/>
    </row>
    <row r="525" spans="1:18" ht="15" customHeight="1">
      <c r="A525" s="17" t="s">
        <v>26</v>
      </c>
      <c r="B525" s="17" t="s">
        <v>821</v>
      </c>
      <c r="C525" s="18">
        <v>0.63194444444444442</v>
      </c>
      <c r="D525" s="17" t="s">
        <v>28</v>
      </c>
      <c r="E525" s="17" t="s">
        <v>90</v>
      </c>
      <c r="F525" s="17" t="s">
        <v>81</v>
      </c>
      <c r="G525" s="298"/>
      <c r="H525" s="10"/>
      <c r="I525" s="11"/>
      <c r="J525" s="11"/>
      <c r="K525" s="11"/>
      <c r="L525" s="11"/>
      <c r="M525" s="11"/>
      <c r="N525" s="11"/>
      <c r="O525" s="12"/>
      <c r="P525" s="11"/>
      <c r="Q525" s="13"/>
      <c r="R525" s="14"/>
    </row>
    <row r="526" spans="1:18" ht="15" customHeight="1">
      <c r="A526" s="15" t="s">
        <v>26</v>
      </c>
      <c r="B526" s="15" t="s">
        <v>821</v>
      </c>
      <c r="C526" s="16">
        <v>0.63194444444444442</v>
      </c>
      <c r="D526" s="15" t="s">
        <v>31</v>
      </c>
      <c r="E526" s="15" t="s">
        <v>82</v>
      </c>
      <c r="F526" s="15" t="s">
        <v>83</v>
      </c>
      <c r="G526" s="298"/>
      <c r="H526" s="10"/>
      <c r="I526" s="11"/>
      <c r="J526" s="11"/>
      <c r="K526" s="11"/>
      <c r="L526" s="11"/>
      <c r="M526" s="11"/>
      <c r="N526" s="11"/>
      <c r="O526" s="12"/>
      <c r="P526" s="11"/>
      <c r="Q526" s="13"/>
      <c r="R526" s="14"/>
    </row>
    <row r="527" spans="1:18" ht="15" customHeight="1">
      <c r="A527" s="15" t="s">
        <v>26</v>
      </c>
      <c r="B527" s="15" t="s">
        <v>821</v>
      </c>
      <c r="C527" s="16">
        <v>0.63194444444444442</v>
      </c>
      <c r="D527" s="15" t="s">
        <v>34</v>
      </c>
      <c r="E527" s="15" t="s">
        <v>82</v>
      </c>
      <c r="F527" s="15" t="s">
        <v>45</v>
      </c>
      <c r="G527" s="298"/>
      <c r="H527" s="10"/>
      <c r="I527" s="11"/>
      <c r="J527" s="11"/>
      <c r="K527" s="11"/>
      <c r="L527" s="11"/>
      <c r="M527" s="11"/>
      <c r="N527" s="11"/>
      <c r="O527" s="12"/>
      <c r="P527" s="11"/>
      <c r="Q527" s="13"/>
      <c r="R527" s="14"/>
    </row>
    <row r="528" spans="1:18" ht="15" customHeight="1">
      <c r="A528" s="17" t="s">
        <v>26</v>
      </c>
      <c r="B528" s="17" t="s">
        <v>822</v>
      </c>
      <c r="C528" s="18">
        <v>0.55902777777777779</v>
      </c>
      <c r="D528" s="17" t="s">
        <v>28</v>
      </c>
      <c r="E528" s="17" t="s">
        <v>90</v>
      </c>
      <c r="F528" s="17" t="s">
        <v>81</v>
      </c>
      <c r="G528" s="298"/>
      <c r="H528" s="10"/>
      <c r="I528" s="11"/>
      <c r="J528" s="11"/>
      <c r="K528" s="11"/>
      <c r="L528" s="11"/>
      <c r="M528" s="11"/>
      <c r="N528" s="11"/>
      <c r="O528" s="12"/>
      <c r="P528" s="11"/>
      <c r="Q528" s="13"/>
      <c r="R528" s="14"/>
    </row>
    <row r="529" spans="1:18" ht="15" customHeight="1">
      <c r="A529" s="15" t="s">
        <v>26</v>
      </c>
      <c r="B529" s="15" t="s">
        <v>822</v>
      </c>
      <c r="C529" s="16">
        <v>0.55902777777777779</v>
      </c>
      <c r="D529" s="15" t="s">
        <v>31</v>
      </c>
      <c r="E529" s="15" t="s">
        <v>82</v>
      </c>
      <c r="F529" s="15" t="s">
        <v>83</v>
      </c>
      <c r="G529" s="298"/>
      <c r="H529" s="10"/>
      <c r="I529" s="11"/>
      <c r="J529" s="11"/>
      <c r="K529" s="11"/>
      <c r="L529" s="11"/>
      <c r="M529" s="11"/>
      <c r="N529" s="11"/>
      <c r="O529" s="12"/>
      <c r="P529" s="11"/>
      <c r="Q529" s="13"/>
      <c r="R529" s="14"/>
    </row>
    <row r="530" spans="1:18" ht="15" customHeight="1">
      <c r="A530" s="15" t="s">
        <v>26</v>
      </c>
      <c r="B530" s="15" t="s">
        <v>822</v>
      </c>
      <c r="C530" s="16">
        <v>0.55902777777777779</v>
      </c>
      <c r="D530" s="15" t="s">
        <v>34</v>
      </c>
      <c r="E530" s="15" t="s">
        <v>82</v>
      </c>
      <c r="F530" s="15" t="s">
        <v>45</v>
      </c>
      <c r="G530" s="298"/>
      <c r="H530" s="10"/>
      <c r="I530" s="11"/>
      <c r="J530" s="11"/>
      <c r="K530" s="11"/>
      <c r="L530" s="11"/>
      <c r="M530" s="11"/>
      <c r="N530" s="11"/>
      <c r="O530" s="12"/>
      <c r="P530" s="11"/>
      <c r="Q530" s="13"/>
      <c r="R530" s="14"/>
    </row>
    <row r="531" spans="1:18" ht="15" customHeight="1">
      <c r="A531" s="17" t="s">
        <v>26</v>
      </c>
      <c r="B531" s="17" t="s">
        <v>824</v>
      </c>
      <c r="C531" s="18">
        <v>0.50694444444444442</v>
      </c>
      <c r="D531" s="17" t="s">
        <v>28</v>
      </c>
      <c r="E531" s="17" t="s">
        <v>90</v>
      </c>
      <c r="F531" s="17" t="s">
        <v>81</v>
      </c>
      <c r="G531" s="298"/>
      <c r="H531" s="10"/>
      <c r="I531" s="11"/>
      <c r="J531" s="11"/>
      <c r="K531" s="11"/>
      <c r="L531" s="11"/>
      <c r="M531" s="11"/>
      <c r="N531" s="11"/>
      <c r="O531" s="12"/>
      <c r="P531" s="11"/>
      <c r="Q531" s="13"/>
      <c r="R531" s="14"/>
    </row>
    <row r="532" spans="1:18" ht="15" customHeight="1">
      <c r="A532" s="15" t="s">
        <v>26</v>
      </c>
      <c r="B532" s="15" t="s">
        <v>824</v>
      </c>
      <c r="C532" s="16">
        <v>0.50694444444444442</v>
      </c>
      <c r="D532" s="15" t="s">
        <v>31</v>
      </c>
      <c r="E532" s="15" t="s">
        <v>82</v>
      </c>
      <c r="F532" s="15" t="s">
        <v>83</v>
      </c>
      <c r="G532" s="298"/>
      <c r="H532" s="10"/>
      <c r="I532" s="11"/>
      <c r="J532" s="11"/>
      <c r="K532" s="11"/>
      <c r="L532" s="11"/>
      <c r="M532" s="11"/>
      <c r="N532" s="11"/>
      <c r="O532" s="12"/>
      <c r="P532" s="11"/>
      <c r="Q532" s="13"/>
      <c r="R532" s="14"/>
    </row>
    <row r="533" spans="1:18" ht="15" customHeight="1">
      <c r="A533" s="15" t="s">
        <v>26</v>
      </c>
      <c r="B533" s="15" t="s">
        <v>824</v>
      </c>
      <c r="C533" s="16">
        <v>0.50694444444444442</v>
      </c>
      <c r="D533" s="15" t="s">
        <v>34</v>
      </c>
      <c r="E533" s="15" t="s">
        <v>82</v>
      </c>
      <c r="F533" s="15" t="s">
        <v>45</v>
      </c>
      <c r="G533" s="298"/>
      <c r="H533" s="10"/>
      <c r="I533" s="11"/>
      <c r="J533" s="11"/>
      <c r="K533" s="11"/>
      <c r="L533" s="11"/>
      <c r="M533" s="11"/>
      <c r="N533" s="11"/>
      <c r="O533" s="12"/>
      <c r="P533" s="11"/>
      <c r="Q533" s="13"/>
      <c r="R533" s="14"/>
    </row>
    <row r="534" spans="1:18" ht="15" customHeight="1">
      <c r="A534" s="17" t="s">
        <v>26</v>
      </c>
      <c r="B534" s="17" t="s">
        <v>825</v>
      </c>
      <c r="C534" s="18">
        <v>0.69791666666666663</v>
      </c>
      <c r="D534" s="17" t="s">
        <v>28</v>
      </c>
      <c r="E534" s="17" t="s">
        <v>90</v>
      </c>
      <c r="F534" s="17" t="s">
        <v>81</v>
      </c>
      <c r="G534" s="298"/>
      <c r="H534" s="10"/>
      <c r="I534" s="11"/>
      <c r="J534" s="11"/>
      <c r="K534" s="11"/>
      <c r="L534" s="11"/>
      <c r="M534" s="11"/>
      <c r="N534" s="11"/>
      <c r="O534" s="12"/>
      <c r="P534" s="11"/>
      <c r="Q534" s="13"/>
      <c r="R534" s="14"/>
    </row>
    <row r="535" spans="1:18" ht="15" customHeight="1">
      <c r="A535" s="15" t="s">
        <v>26</v>
      </c>
      <c r="B535" s="15" t="s">
        <v>825</v>
      </c>
      <c r="C535" s="16">
        <v>0.69791666666666663</v>
      </c>
      <c r="D535" s="15" t="s">
        <v>31</v>
      </c>
      <c r="E535" s="15" t="s">
        <v>82</v>
      </c>
      <c r="F535" s="15" t="s">
        <v>83</v>
      </c>
      <c r="G535" s="298"/>
      <c r="H535" s="10"/>
      <c r="I535" s="11"/>
      <c r="J535" s="11"/>
      <c r="K535" s="11"/>
      <c r="L535" s="11"/>
      <c r="M535" s="11"/>
      <c r="N535" s="11"/>
      <c r="O535" s="12"/>
      <c r="P535" s="11"/>
      <c r="Q535" s="13"/>
      <c r="R535" s="14"/>
    </row>
    <row r="536" spans="1:18" ht="15" customHeight="1">
      <c r="A536" s="15" t="s">
        <v>26</v>
      </c>
      <c r="B536" s="15" t="s">
        <v>825</v>
      </c>
      <c r="C536" s="16">
        <v>0.69791666666666663</v>
      </c>
      <c r="D536" s="15" t="s">
        <v>34</v>
      </c>
      <c r="E536" s="15" t="s">
        <v>82</v>
      </c>
      <c r="F536" s="15" t="s">
        <v>45</v>
      </c>
      <c r="G536" s="298"/>
      <c r="H536" s="10"/>
      <c r="I536" s="11"/>
      <c r="J536" s="11"/>
      <c r="K536" s="11"/>
      <c r="L536" s="11"/>
      <c r="M536" s="11"/>
      <c r="N536" s="11"/>
      <c r="O536" s="12"/>
      <c r="P536" s="11"/>
      <c r="Q536" s="13"/>
      <c r="R536" s="14"/>
    </row>
    <row r="537" spans="1:18" ht="15" customHeight="1">
      <c r="A537" s="19" t="s">
        <v>359</v>
      </c>
      <c r="B537" s="19" t="s">
        <v>814</v>
      </c>
      <c r="C537" s="20">
        <v>0.4375</v>
      </c>
      <c r="D537" s="19" t="s">
        <v>361</v>
      </c>
      <c r="E537" s="19" t="s">
        <v>80</v>
      </c>
      <c r="F537" s="19" t="s">
        <v>903</v>
      </c>
      <c r="G537" s="298"/>
      <c r="H537" s="10"/>
      <c r="I537" s="11"/>
      <c r="J537" s="11"/>
      <c r="K537" s="11"/>
      <c r="L537" s="11"/>
      <c r="M537" s="11"/>
      <c r="N537" s="11"/>
      <c r="O537" s="12"/>
      <c r="P537" s="11"/>
      <c r="Q537" s="13"/>
      <c r="R537" s="14"/>
    </row>
    <row r="538" spans="1:18" ht="15" customHeight="1">
      <c r="A538" s="15" t="s">
        <v>359</v>
      </c>
      <c r="B538" s="15" t="s">
        <v>814</v>
      </c>
      <c r="C538" s="16">
        <v>0.4375</v>
      </c>
      <c r="D538" s="15" t="s">
        <v>46</v>
      </c>
      <c r="E538" s="15" t="s">
        <v>82</v>
      </c>
      <c r="F538" s="15" t="s">
        <v>904</v>
      </c>
      <c r="G538" s="298"/>
      <c r="H538" s="10"/>
      <c r="I538" s="11"/>
      <c r="J538" s="11"/>
      <c r="K538" s="11"/>
      <c r="L538" s="11"/>
      <c r="M538" s="11"/>
      <c r="N538" s="11"/>
      <c r="O538" s="12"/>
      <c r="P538" s="11"/>
      <c r="Q538" s="13"/>
      <c r="R538" s="14"/>
    </row>
    <row r="539" spans="1:18" ht="15" customHeight="1">
      <c r="A539" s="98" t="s">
        <v>61</v>
      </c>
      <c r="B539" s="98" t="s">
        <v>816</v>
      </c>
      <c r="C539" s="99">
        <v>0.41319444444444442</v>
      </c>
      <c r="D539" s="98" t="s">
        <v>63</v>
      </c>
      <c r="E539" s="98" t="s">
        <v>177</v>
      </c>
      <c r="F539" s="98" t="s">
        <v>849</v>
      </c>
      <c r="G539" s="298"/>
      <c r="H539" s="100" t="s">
        <v>818</v>
      </c>
      <c r="I539" s="101">
        <v>4.4699999999999997E-2</v>
      </c>
      <c r="J539" s="102">
        <v>8</v>
      </c>
      <c r="K539" s="103">
        <v>46345</v>
      </c>
      <c r="L539" s="102">
        <v>8</v>
      </c>
      <c r="M539" s="102">
        <v>0</v>
      </c>
      <c r="N539" s="102">
        <v>0</v>
      </c>
      <c r="O539" s="104" t="s">
        <v>905</v>
      </c>
      <c r="P539" s="105">
        <v>0.41319444444444442</v>
      </c>
      <c r="Q539" s="102">
        <v>179</v>
      </c>
      <c r="R539" s="106" t="s">
        <v>906</v>
      </c>
    </row>
    <row r="540" spans="1:18" ht="15" customHeight="1">
      <c r="A540" s="19" t="s">
        <v>48</v>
      </c>
      <c r="B540" s="19" t="s">
        <v>833</v>
      </c>
      <c r="C540" s="20">
        <v>0.44444444444444442</v>
      </c>
      <c r="D540" s="19" t="s">
        <v>50</v>
      </c>
      <c r="E540" s="19" t="s">
        <v>51</v>
      </c>
      <c r="F540" s="19" t="s">
        <v>829</v>
      </c>
      <c r="G540" s="298"/>
      <c r="H540" s="10"/>
      <c r="I540" s="11"/>
      <c r="J540" s="11"/>
      <c r="K540" s="11"/>
      <c r="L540" s="11"/>
      <c r="M540" s="11"/>
      <c r="N540" s="11"/>
      <c r="O540" s="12"/>
      <c r="P540" s="11"/>
      <c r="Q540" s="13"/>
      <c r="R540" s="14"/>
    </row>
    <row r="541" spans="1:18" ht="15" customHeight="1">
      <c r="A541" s="15" t="s">
        <v>48</v>
      </c>
      <c r="B541" s="15" t="s">
        <v>833</v>
      </c>
      <c r="C541" s="16">
        <v>0.44444444444444442</v>
      </c>
      <c r="D541" s="15" t="s">
        <v>53</v>
      </c>
      <c r="E541" s="15" t="s">
        <v>54</v>
      </c>
      <c r="F541" s="15" t="s">
        <v>830</v>
      </c>
      <c r="G541" s="298"/>
      <c r="H541" s="10"/>
      <c r="I541" s="11"/>
      <c r="J541" s="11"/>
      <c r="K541" s="11"/>
      <c r="L541" s="11"/>
      <c r="M541" s="11"/>
      <c r="N541" s="11"/>
      <c r="O541" s="12"/>
      <c r="P541" s="11"/>
      <c r="Q541" s="13"/>
      <c r="R541" s="14"/>
    </row>
    <row r="542" spans="1:18" ht="15" customHeight="1">
      <c r="A542" s="17" t="s">
        <v>48</v>
      </c>
      <c r="B542" s="17" t="s">
        <v>831</v>
      </c>
      <c r="C542" s="18">
        <v>0.98263888888888884</v>
      </c>
      <c r="D542" s="17" t="s">
        <v>50</v>
      </c>
      <c r="E542" s="17" t="s">
        <v>57</v>
      </c>
      <c r="F542" s="17" t="s">
        <v>907</v>
      </c>
      <c r="G542" s="298"/>
      <c r="H542" s="10"/>
      <c r="I542" s="11"/>
      <c r="J542" s="11"/>
      <c r="K542" s="11"/>
      <c r="L542" s="11"/>
      <c r="M542" s="11"/>
      <c r="N542" s="11"/>
      <c r="O542" s="12"/>
      <c r="P542" s="11"/>
      <c r="Q542" s="13"/>
      <c r="R542" s="14"/>
    </row>
    <row r="543" spans="1:18" ht="15" customHeight="1">
      <c r="A543" s="15" t="s">
        <v>48</v>
      </c>
      <c r="B543" s="15" t="s">
        <v>831</v>
      </c>
      <c r="C543" s="16">
        <v>0.98263888888888884</v>
      </c>
      <c r="D543" s="15" t="s">
        <v>53</v>
      </c>
      <c r="E543" s="15" t="s">
        <v>54</v>
      </c>
      <c r="F543" s="15" t="s">
        <v>908</v>
      </c>
      <c r="G543" s="298"/>
      <c r="H543" s="10"/>
      <c r="I543" s="11"/>
      <c r="J543" s="11"/>
      <c r="K543" s="11"/>
      <c r="L543" s="11"/>
      <c r="M543" s="11"/>
      <c r="N543" s="11"/>
      <c r="O543" s="12"/>
      <c r="P543" s="11"/>
      <c r="Q543" s="13"/>
      <c r="R543" s="14"/>
    </row>
    <row r="544" spans="1:18" ht="15" customHeight="1">
      <c r="A544" s="17" t="s">
        <v>48</v>
      </c>
      <c r="B544" s="17" t="s">
        <v>832</v>
      </c>
      <c r="C544" s="18">
        <v>0.62847222222222221</v>
      </c>
      <c r="D544" s="17" t="s">
        <v>50</v>
      </c>
      <c r="E544" s="17" t="s">
        <v>57</v>
      </c>
      <c r="F544" s="17" t="s">
        <v>909</v>
      </c>
      <c r="G544" s="298"/>
      <c r="H544" s="10"/>
      <c r="I544" s="11"/>
      <c r="J544" s="11"/>
      <c r="K544" s="11"/>
      <c r="L544" s="11"/>
      <c r="M544" s="11"/>
      <c r="N544" s="11"/>
      <c r="O544" s="12"/>
      <c r="P544" s="11"/>
      <c r="Q544" s="13"/>
      <c r="R544" s="14"/>
    </row>
    <row r="545" spans="1:18" ht="15" customHeight="1">
      <c r="A545" s="15" t="s">
        <v>48</v>
      </c>
      <c r="B545" s="15" t="s">
        <v>832</v>
      </c>
      <c r="C545" s="16">
        <v>0.62847222222222221</v>
      </c>
      <c r="D545" s="15" t="s">
        <v>53</v>
      </c>
      <c r="E545" s="15" t="s">
        <v>54</v>
      </c>
      <c r="F545" s="15" t="s">
        <v>910</v>
      </c>
      <c r="G545" s="298"/>
      <c r="H545" s="10"/>
      <c r="I545" s="11"/>
      <c r="J545" s="11"/>
      <c r="K545" s="11"/>
      <c r="L545" s="11"/>
      <c r="M545" s="11"/>
      <c r="N545" s="11"/>
      <c r="O545" s="12"/>
      <c r="P545" s="11"/>
      <c r="Q545" s="13"/>
      <c r="R545" s="14"/>
    </row>
    <row r="546" spans="1:18" ht="15" customHeight="1">
      <c r="A546" s="17" t="s">
        <v>48</v>
      </c>
      <c r="B546" s="17" t="s">
        <v>828</v>
      </c>
      <c r="C546" s="18">
        <v>0.82986111111111116</v>
      </c>
      <c r="D546" s="17" t="s">
        <v>50</v>
      </c>
      <c r="E546" s="17" t="s">
        <v>57</v>
      </c>
      <c r="F546" s="17" t="s">
        <v>467</v>
      </c>
      <c r="G546" s="298"/>
      <c r="H546" s="10"/>
      <c r="I546" s="11"/>
      <c r="J546" s="11"/>
      <c r="K546" s="11"/>
      <c r="L546" s="11"/>
      <c r="M546" s="11"/>
      <c r="N546" s="11"/>
      <c r="O546" s="12"/>
      <c r="P546" s="11"/>
      <c r="Q546" s="13"/>
      <c r="R546" s="14"/>
    </row>
    <row r="547" spans="1:18" ht="15" customHeight="1">
      <c r="A547" s="15" t="s">
        <v>48</v>
      </c>
      <c r="B547" s="15" t="s">
        <v>828</v>
      </c>
      <c r="C547" s="16">
        <v>0.82986111111111116</v>
      </c>
      <c r="D547" s="15" t="s">
        <v>53</v>
      </c>
      <c r="E547" s="15" t="s">
        <v>54</v>
      </c>
      <c r="F547" s="15" t="s">
        <v>911</v>
      </c>
      <c r="G547" s="298"/>
      <c r="H547" s="10"/>
      <c r="I547" s="11"/>
      <c r="J547" s="11"/>
      <c r="K547" s="11"/>
      <c r="L547" s="11"/>
      <c r="M547" s="11"/>
      <c r="N547" s="11"/>
      <c r="O547" s="12"/>
      <c r="P547" s="11"/>
      <c r="Q547" s="13"/>
      <c r="R547" s="14"/>
    </row>
    <row r="548" spans="1:18" ht="15" customHeight="1">
      <c r="A548" s="17" t="s">
        <v>48</v>
      </c>
      <c r="B548" s="17" t="s">
        <v>835</v>
      </c>
      <c r="C548" s="18">
        <v>0.88888888888888884</v>
      </c>
      <c r="D548" s="17" t="s">
        <v>53</v>
      </c>
      <c r="E548" s="17" t="s">
        <v>37</v>
      </c>
      <c r="F548" s="17" t="s">
        <v>836</v>
      </c>
      <c r="G548" s="298"/>
      <c r="H548" s="10"/>
      <c r="I548" s="11"/>
      <c r="J548" s="11"/>
      <c r="K548" s="11"/>
      <c r="L548" s="11"/>
      <c r="M548" s="11"/>
      <c r="N548" s="11"/>
      <c r="O548" s="12"/>
      <c r="P548" s="11"/>
      <c r="Q548" s="13"/>
      <c r="R548" s="14"/>
    </row>
    <row r="549" spans="1:18" ht="15" customHeight="1">
      <c r="A549" s="17" t="s">
        <v>48</v>
      </c>
      <c r="B549" s="17" t="s">
        <v>838</v>
      </c>
      <c r="C549" s="18">
        <v>0.94444444444444453</v>
      </c>
      <c r="D549" s="17" t="s">
        <v>53</v>
      </c>
      <c r="E549" s="17" t="s">
        <v>37</v>
      </c>
      <c r="F549" s="17" t="s">
        <v>836</v>
      </c>
      <c r="G549" s="298"/>
      <c r="H549" s="10"/>
      <c r="I549" s="11"/>
      <c r="J549" s="11"/>
      <c r="K549" s="11"/>
      <c r="L549" s="11"/>
      <c r="M549" s="11"/>
      <c r="N549" s="11"/>
      <c r="O549" s="12"/>
      <c r="P549" s="11"/>
      <c r="Q549" s="13"/>
      <c r="R549" s="14"/>
    </row>
    <row r="550" spans="1:18" ht="15" customHeight="1">
      <c r="A550" s="17" t="s">
        <v>48</v>
      </c>
      <c r="B550" s="17" t="s">
        <v>837</v>
      </c>
      <c r="C550" s="18">
        <v>0.62847222222222221</v>
      </c>
      <c r="D550" s="17" t="s">
        <v>53</v>
      </c>
      <c r="E550" s="17" t="s">
        <v>37</v>
      </c>
      <c r="F550" s="17" t="s">
        <v>912</v>
      </c>
      <c r="G550" s="298"/>
      <c r="H550" s="10"/>
      <c r="I550" s="11"/>
      <c r="J550" s="11"/>
      <c r="K550" s="11"/>
      <c r="L550" s="11"/>
      <c r="M550" s="11"/>
      <c r="N550" s="11"/>
      <c r="O550" s="12"/>
      <c r="P550" s="11"/>
      <c r="Q550" s="13"/>
      <c r="R550" s="14"/>
    </row>
    <row r="551" spans="1:18" ht="15" customHeight="1">
      <c r="A551" s="19" t="s">
        <v>68</v>
      </c>
      <c r="B551" s="19" t="s">
        <v>842</v>
      </c>
      <c r="C551" s="20">
        <v>0.98263888888888884</v>
      </c>
      <c r="D551" s="19" t="s">
        <v>70</v>
      </c>
      <c r="E551" s="19" t="s">
        <v>51</v>
      </c>
      <c r="F551" s="19" t="s">
        <v>45</v>
      </c>
      <c r="G551" s="298"/>
      <c r="H551" s="10"/>
      <c r="I551" s="11"/>
      <c r="J551" s="11"/>
      <c r="K551" s="11"/>
      <c r="L551" s="11"/>
      <c r="M551" s="11"/>
      <c r="N551" s="11"/>
      <c r="O551" s="12"/>
      <c r="P551" s="11"/>
      <c r="Q551" s="13"/>
      <c r="R551" s="14"/>
    </row>
    <row r="552" spans="1:18" ht="15" customHeight="1">
      <c r="A552" s="17" t="s">
        <v>68</v>
      </c>
      <c r="B552" s="17" t="s">
        <v>844</v>
      </c>
      <c r="C552" s="18">
        <v>0.72916666666666663</v>
      </c>
      <c r="D552" s="17" t="s">
        <v>70</v>
      </c>
      <c r="E552" s="17" t="s">
        <v>134</v>
      </c>
      <c r="F552" s="17" t="s">
        <v>845</v>
      </c>
      <c r="G552" s="298"/>
      <c r="H552" s="10"/>
      <c r="I552" s="11"/>
      <c r="J552" s="11"/>
      <c r="K552" s="11"/>
      <c r="L552" s="11"/>
      <c r="M552" s="11"/>
      <c r="N552" s="11"/>
      <c r="O552" s="12"/>
      <c r="P552" s="11"/>
      <c r="Q552" s="13"/>
      <c r="R552" s="14"/>
    </row>
    <row r="553" spans="1:18" ht="15" customHeight="1">
      <c r="A553" s="17" t="s">
        <v>68</v>
      </c>
      <c r="B553" s="17" t="s">
        <v>843</v>
      </c>
      <c r="C553" s="18">
        <v>0.35416666666666669</v>
      </c>
      <c r="D553" s="17" t="s">
        <v>70</v>
      </c>
      <c r="E553" s="17" t="s">
        <v>57</v>
      </c>
      <c r="F553" s="17" t="s">
        <v>845</v>
      </c>
      <c r="G553" s="298"/>
      <c r="H553" s="10"/>
      <c r="I553" s="11"/>
      <c r="J553" s="11"/>
      <c r="K553" s="11"/>
      <c r="L553" s="11"/>
      <c r="M553" s="11"/>
      <c r="N553" s="11"/>
      <c r="O553" s="12"/>
      <c r="P553" s="11"/>
      <c r="Q553" s="13"/>
      <c r="R553" s="14"/>
    </row>
    <row r="554" spans="1:18" ht="15" customHeight="1" thickBot="1">
      <c r="A554" s="96" t="s">
        <v>402</v>
      </c>
      <c r="B554" s="96" t="s">
        <v>839</v>
      </c>
      <c r="C554" s="97">
        <v>0.1701388888888889</v>
      </c>
      <c r="D554" s="96" t="s">
        <v>63</v>
      </c>
      <c r="E554" s="96" t="s">
        <v>29</v>
      </c>
      <c r="F554" s="96" t="s">
        <v>881</v>
      </c>
      <c r="G554" s="299"/>
      <c r="H554" s="300"/>
      <c r="I554" s="140"/>
      <c r="J554" s="140"/>
      <c r="K554" s="140"/>
      <c r="L554" s="140"/>
      <c r="M554" s="140"/>
      <c r="N554" s="140"/>
      <c r="O554" s="141"/>
      <c r="P554" s="140"/>
      <c r="Q554" s="142"/>
      <c r="R554" s="301"/>
    </row>
    <row r="555" spans="1:18" ht="17.45" customHeight="1" thickBot="1">
      <c r="A555" s="283"/>
      <c r="B555" s="284"/>
      <c r="C555" s="284"/>
      <c r="D555" s="284"/>
      <c r="E555" s="284"/>
      <c r="F555" s="284"/>
      <c r="G555" s="284"/>
      <c r="H555" s="284"/>
      <c r="I555" s="284"/>
      <c r="J555" s="284"/>
      <c r="K555" s="284"/>
      <c r="L555" s="284"/>
      <c r="M555" s="284"/>
      <c r="N555" s="284"/>
      <c r="O555" s="284"/>
      <c r="P555" s="284"/>
      <c r="Q555" s="284"/>
      <c r="R555" s="285"/>
    </row>
    <row r="556" spans="1:18" ht="22.15" customHeight="1" thickTop="1" thickBot="1">
      <c r="A556" s="279" t="s">
        <v>6</v>
      </c>
      <c r="B556" s="295"/>
      <c r="C556" s="295"/>
      <c r="D556" s="295"/>
      <c r="E556" s="295"/>
      <c r="F556" s="296"/>
      <c r="G556" s="32">
        <v>46033</v>
      </c>
      <c r="H556" s="278" t="s">
        <v>7</v>
      </c>
      <c r="I556" s="295"/>
      <c r="J556" s="295"/>
      <c r="K556" s="295"/>
      <c r="L556" s="295"/>
      <c r="M556" s="295"/>
      <c r="N556" s="295"/>
      <c r="O556" s="295"/>
      <c r="P556" s="295"/>
      <c r="Q556" s="295"/>
      <c r="R556" s="296"/>
    </row>
    <row r="557" spans="1:18" ht="24" customHeight="1">
      <c r="A557" s="33" t="s">
        <v>8</v>
      </c>
      <c r="B557" s="33" t="s">
        <v>9</v>
      </c>
      <c r="C557" s="34" t="s">
        <v>10</v>
      </c>
      <c r="D557" s="33" t="s">
        <v>11</v>
      </c>
      <c r="E557" s="33" t="s">
        <v>12</v>
      </c>
      <c r="F557" s="35" t="s">
        <v>13</v>
      </c>
      <c r="G557" s="36" t="s">
        <v>14</v>
      </c>
      <c r="H557" s="33" t="s">
        <v>15</v>
      </c>
      <c r="I557" s="37" t="s">
        <v>16</v>
      </c>
      <c r="J557" s="38" t="s">
        <v>17</v>
      </c>
      <c r="K557" s="39" t="s">
        <v>18</v>
      </c>
      <c r="L557" s="38" t="s">
        <v>19</v>
      </c>
      <c r="M557" s="38" t="s">
        <v>20</v>
      </c>
      <c r="N557" s="38" t="s">
        <v>21</v>
      </c>
      <c r="O557" s="33" t="s">
        <v>22</v>
      </c>
      <c r="P557" s="34" t="s">
        <v>23</v>
      </c>
      <c r="Q557" s="38" t="s">
        <v>24</v>
      </c>
      <c r="R557" s="33" t="s">
        <v>25</v>
      </c>
    </row>
    <row r="558" spans="1:18" ht="15" customHeight="1">
      <c r="A558" s="8" t="s">
        <v>38</v>
      </c>
      <c r="B558" s="8" t="s">
        <v>809</v>
      </c>
      <c r="C558" s="9">
        <v>0.57638888888888895</v>
      </c>
      <c r="D558" s="8" t="s">
        <v>40</v>
      </c>
      <c r="E558" s="8" t="s">
        <v>154</v>
      </c>
      <c r="F558" s="8" t="s">
        <v>475</v>
      </c>
      <c r="G558" s="302"/>
      <c r="H558" s="10"/>
      <c r="I558" s="11"/>
      <c r="J558" s="11"/>
      <c r="K558" s="11"/>
      <c r="L558" s="11"/>
      <c r="M558" s="11"/>
      <c r="N558" s="11"/>
      <c r="O558" s="12"/>
      <c r="P558" s="11"/>
      <c r="Q558" s="13"/>
      <c r="R558" s="14"/>
    </row>
    <row r="559" spans="1:18" ht="15" customHeight="1">
      <c r="A559" s="15" t="s">
        <v>38</v>
      </c>
      <c r="B559" s="15" t="s">
        <v>809</v>
      </c>
      <c r="C559" s="16">
        <v>0.57638888888888895</v>
      </c>
      <c r="D559" s="15" t="s">
        <v>43</v>
      </c>
      <c r="E559" s="15" t="s">
        <v>155</v>
      </c>
      <c r="F559" s="15" t="s">
        <v>121</v>
      </c>
      <c r="G559" s="298"/>
      <c r="H559" s="10"/>
      <c r="I559" s="11"/>
      <c r="J559" s="11"/>
      <c r="K559" s="11"/>
      <c r="L559" s="11"/>
      <c r="M559" s="11"/>
      <c r="N559" s="11"/>
      <c r="O559" s="12"/>
      <c r="P559" s="11"/>
      <c r="Q559" s="13"/>
      <c r="R559" s="14"/>
    </row>
    <row r="560" spans="1:18" ht="15" customHeight="1">
      <c r="A560" s="15" t="s">
        <v>38</v>
      </c>
      <c r="B560" s="15" t="s">
        <v>809</v>
      </c>
      <c r="C560" s="16">
        <v>0.57638888888888895</v>
      </c>
      <c r="D560" s="15" t="s">
        <v>46</v>
      </c>
      <c r="E560" s="15" t="s">
        <v>155</v>
      </c>
      <c r="F560" s="15" t="s">
        <v>810</v>
      </c>
      <c r="G560" s="298"/>
      <c r="H560" s="10"/>
      <c r="I560" s="11"/>
      <c r="J560" s="11"/>
      <c r="K560" s="11"/>
      <c r="L560" s="11"/>
      <c r="M560" s="11"/>
      <c r="N560" s="11"/>
      <c r="O560" s="12"/>
      <c r="P560" s="11"/>
      <c r="Q560" s="13"/>
      <c r="R560" s="14"/>
    </row>
    <row r="561" spans="1:18" ht="15" customHeight="1">
      <c r="A561" s="17" t="s">
        <v>38</v>
      </c>
      <c r="B561" s="17" t="s">
        <v>812</v>
      </c>
      <c r="C561" s="18">
        <v>0.88888888888888884</v>
      </c>
      <c r="D561" s="17" t="s">
        <v>40</v>
      </c>
      <c r="E561" s="17" t="s">
        <v>458</v>
      </c>
      <c r="F561" s="17" t="s">
        <v>475</v>
      </c>
      <c r="G561" s="298"/>
      <c r="H561" s="10"/>
      <c r="I561" s="11"/>
      <c r="J561" s="11"/>
      <c r="K561" s="11"/>
      <c r="L561" s="11"/>
      <c r="M561" s="11"/>
      <c r="N561" s="11"/>
      <c r="O561" s="12"/>
      <c r="P561" s="11"/>
      <c r="Q561" s="13"/>
      <c r="R561" s="14"/>
    </row>
    <row r="562" spans="1:18" ht="15" customHeight="1">
      <c r="A562" s="15" t="s">
        <v>38</v>
      </c>
      <c r="B562" s="15" t="s">
        <v>812</v>
      </c>
      <c r="C562" s="16">
        <v>0.88888888888888884</v>
      </c>
      <c r="D562" s="15" t="s">
        <v>43</v>
      </c>
      <c r="E562" s="15" t="s">
        <v>155</v>
      </c>
      <c r="F562" s="15" t="s">
        <v>121</v>
      </c>
      <c r="G562" s="298"/>
      <c r="H562" s="10"/>
      <c r="I562" s="11"/>
      <c r="J562" s="11"/>
      <c r="K562" s="11"/>
      <c r="L562" s="11"/>
      <c r="M562" s="11"/>
      <c r="N562" s="11"/>
      <c r="O562" s="12"/>
      <c r="P562" s="11"/>
      <c r="Q562" s="13"/>
      <c r="R562" s="14"/>
    </row>
    <row r="563" spans="1:18" ht="15" customHeight="1">
      <c r="A563" s="15" t="s">
        <v>38</v>
      </c>
      <c r="B563" s="15" t="s">
        <v>812</v>
      </c>
      <c r="C563" s="16">
        <v>0.88888888888888884</v>
      </c>
      <c r="D563" s="15" t="s">
        <v>46</v>
      </c>
      <c r="E563" s="15" t="s">
        <v>155</v>
      </c>
      <c r="F563" s="15" t="s">
        <v>810</v>
      </c>
      <c r="G563" s="298"/>
      <c r="H563" s="10"/>
      <c r="I563" s="11"/>
      <c r="J563" s="11"/>
      <c r="K563" s="11"/>
      <c r="L563" s="11"/>
      <c r="M563" s="11"/>
      <c r="N563" s="11"/>
      <c r="O563" s="12"/>
      <c r="P563" s="11"/>
      <c r="Q563" s="13"/>
      <c r="R563" s="14"/>
    </row>
    <row r="564" spans="1:18" ht="15" customHeight="1">
      <c r="A564" s="17" t="s">
        <v>38</v>
      </c>
      <c r="B564" s="17" t="s">
        <v>813</v>
      </c>
      <c r="C564" s="18">
        <v>0.94444444444444453</v>
      </c>
      <c r="D564" s="17" t="s">
        <v>40</v>
      </c>
      <c r="E564" s="17" t="s">
        <v>170</v>
      </c>
      <c r="F564" s="17" t="s">
        <v>475</v>
      </c>
      <c r="G564" s="298"/>
      <c r="H564" s="10"/>
      <c r="I564" s="11"/>
      <c r="J564" s="11"/>
      <c r="K564" s="11"/>
      <c r="L564" s="11"/>
      <c r="M564" s="11"/>
      <c r="N564" s="11"/>
      <c r="O564" s="12"/>
      <c r="P564" s="11"/>
      <c r="Q564" s="13"/>
      <c r="R564" s="14"/>
    </row>
    <row r="565" spans="1:18" ht="15" customHeight="1">
      <c r="A565" s="15" t="s">
        <v>38</v>
      </c>
      <c r="B565" s="15" t="s">
        <v>813</v>
      </c>
      <c r="C565" s="16">
        <v>0.94444444444444453</v>
      </c>
      <c r="D565" s="15" t="s">
        <v>43</v>
      </c>
      <c r="E565" s="15" t="s">
        <v>152</v>
      </c>
      <c r="F565" s="15" t="s">
        <v>121</v>
      </c>
      <c r="G565" s="298"/>
      <c r="H565" s="10"/>
      <c r="I565" s="11"/>
      <c r="J565" s="11"/>
      <c r="K565" s="11"/>
      <c r="L565" s="11"/>
      <c r="M565" s="11"/>
      <c r="N565" s="11"/>
      <c r="O565" s="12"/>
      <c r="P565" s="11"/>
      <c r="Q565" s="13"/>
      <c r="R565" s="14"/>
    </row>
    <row r="566" spans="1:18" ht="15" customHeight="1">
      <c r="A566" s="15" t="s">
        <v>38</v>
      </c>
      <c r="B566" s="15" t="s">
        <v>813</v>
      </c>
      <c r="C566" s="16">
        <v>0.94444444444444453</v>
      </c>
      <c r="D566" s="15" t="s">
        <v>46</v>
      </c>
      <c r="E566" s="15" t="s">
        <v>152</v>
      </c>
      <c r="F566" s="15" t="s">
        <v>810</v>
      </c>
      <c r="G566" s="298"/>
      <c r="H566" s="10"/>
      <c r="I566" s="11"/>
      <c r="J566" s="11"/>
      <c r="K566" s="11"/>
      <c r="L566" s="11"/>
      <c r="M566" s="11"/>
      <c r="N566" s="11"/>
      <c r="O566" s="12"/>
      <c r="P566" s="11"/>
      <c r="Q566" s="13"/>
      <c r="R566" s="14"/>
    </row>
    <row r="567" spans="1:18" ht="15" customHeight="1">
      <c r="A567" s="17" t="s">
        <v>38</v>
      </c>
      <c r="B567" s="17" t="s">
        <v>811</v>
      </c>
      <c r="C567" s="18">
        <v>0.62847222222222221</v>
      </c>
      <c r="D567" s="17" t="s">
        <v>40</v>
      </c>
      <c r="E567" s="17" t="s">
        <v>194</v>
      </c>
      <c r="F567" s="17" t="s">
        <v>872</v>
      </c>
      <c r="G567" s="298"/>
      <c r="H567" s="10"/>
      <c r="I567" s="11"/>
      <c r="J567" s="11"/>
      <c r="K567" s="11"/>
      <c r="L567" s="11"/>
      <c r="M567" s="11"/>
      <c r="N567" s="11"/>
      <c r="O567" s="12"/>
      <c r="P567" s="11"/>
      <c r="Q567" s="13"/>
      <c r="R567" s="14"/>
    </row>
    <row r="568" spans="1:18" ht="15" customHeight="1">
      <c r="A568" s="15" t="s">
        <v>38</v>
      </c>
      <c r="B568" s="15" t="s">
        <v>811</v>
      </c>
      <c r="C568" s="16">
        <v>0.62847222222222221</v>
      </c>
      <c r="D568" s="15" t="s">
        <v>43</v>
      </c>
      <c r="E568" s="15" t="s">
        <v>195</v>
      </c>
      <c r="F568" s="15" t="s">
        <v>349</v>
      </c>
      <c r="G568" s="298"/>
      <c r="H568" s="10"/>
      <c r="I568" s="11"/>
      <c r="J568" s="11"/>
      <c r="K568" s="11"/>
      <c r="L568" s="11"/>
      <c r="M568" s="11"/>
      <c r="N568" s="11"/>
      <c r="O568" s="12"/>
      <c r="P568" s="11"/>
      <c r="Q568" s="13"/>
      <c r="R568" s="14"/>
    </row>
    <row r="569" spans="1:18" ht="15" customHeight="1">
      <c r="A569" s="15" t="s">
        <v>38</v>
      </c>
      <c r="B569" s="15" t="s">
        <v>811</v>
      </c>
      <c r="C569" s="16">
        <v>0.62847222222222221</v>
      </c>
      <c r="D569" s="15" t="s">
        <v>46</v>
      </c>
      <c r="E569" s="15" t="s">
        <v>195</v>
      </c>
      <c r="F569" s="15" t="s">
        <v>810</v>
      </c>
      <c r="G569" s="298"/>
      <c r="H569" s="10"/>
      <c r="I569" s="11"/>
      <c r="J569" s="11"/>
      <c r="K569" s="11"/>
      <c r="L569" s="11"/>
      <c r="M569" s="11"/>
      <c r="N569" s="11"/>
      <c r="O569" s="12"/>
      <c r="P569" s="11"/>
      <c r="Q569" s="13"/>
      <c r="R569" s="14"/>
    </row>
    <row r="570" spans="1:18" ht="15" customHeight="1">
      <c r="A570" s="19" t="s">
        <v>359</v>
      </c>
      <c r="B570" s="19" t="s">
        <v>814</v>
      </c>
      <c r="C570" s="20">
        <v>0.2951388888888889</v>
      </c>
      <c r="D570" s="19" t="s">
        <v>361</v>
      </c>
      <c r="E570" s="19" t="s">
        <v>80</v>
      </c>
      <c r="F570" s="19" t="s">
        <v>898</v>
      </c>
      <c r="G570" s="298"/>
      <c r="H570" s="10"/>
      <c r="I570" s="11"/>
      <c r="J570" s="11"/>
      <c r="K570" s="11"/>
      <c r="L570" s="11"/>
      <c r="M570" s="11"/>
      <c r="N570" s="11"/>
      <c r="O570" s="12"/>
      <c r="P570" s="11"/>
      <c r="Q570" s="13"/>
      <c r="R570" s="14"/>
    </row>
    <row r="571" spans="1:18" ht="15" customHeight="1">
      <c r="A571" s="15" t="s">
        <v>359</v>
      </c>
      <c r="B571" s="15" t="s">
        <v>814</v>
      </c>
      <c r="C571" s="16">
        <v>0.2951388888888889</v>
      </c>
      <c r="D571" s="15" t="s">
        <v>46</v>
      </c>
      <c r="E571" s="15" t="s">
        <v>82</v>
      </c>
      <c r="F571" s="15" t="s">
        <v>899</v>
      </c>
      <c r="G571" s="298"/>
      <c r="H571" s="10"/>
      <c r="I571" s="11"/>
      <c r="J571" s="11"/>
      <c r="K571" s="11"/>
      <c r="L571" s="11"/>
      <c r="M571" s="11"/>
      <c r="N571" s="11"/>
      <c r="O571" s="12"/>
      <c r="P571" s="11"/>
      <c r="Q571" s="13"/>
      <c r="R571" s="14"/>
    </row>
    <row r="572" spans="1:18" ht="15" customHeight="1">
      <c r="A572" s="87" t="s">
        <v>61</v>
      </c>
      <c r="B572" s="87" t="s">
        <v>816</v>
      </c>
      <c r="C572" s="88">
        <v>0.42708333333333331</v>
      </c>
      <c r="D572" s="87" t="s">
        <v>63</v>
      </c>
      <c r="E572" s="87" t="s">
        <v>51</v>
      </c>
      <c r="F572" s="87" t="s">
        <v>817</v>
      </c>
      <c r="G572" s="298"/>
      <c r="H572" s="89" t="s">
        <v>818</v>
      </c>
      <c r="I572" s="90">
        <v>1.6799999999999999E-2</v>
      </c>
      <c r="J572" s="91">
        <v>3</v>
      </c>
      <c r="K572" s="92">
        <v>46311</v>
      </c>
      <c r="L572" s="91">
        <v>3</v>
      </c>
      <c r="M572" s="91">
        <v>0</v>
      </c>
      <c r="N572" s="91">
        <v>0</v>
      </c>
      <c r="O572" s="93" t="s">
        <v>326</v>
      </c>
      <c r="P572" s="94">
        <v>0.42708333333333331</v>
      </c>
      <c r="Q572" s="91">
        <v>179</v>
      </c>
      <c r="R572" s="95" t="s">
        <v>902</v>
      </c>
    </row>
    <row r="573" spans="1:18" ht="15" customHeight="1">
      <c r="A573" s="19" t="s">
        <v>26</v>
      </c>
      <c r="B573" s="19" t="s">
        <v>820</v>
      </c>
      <c r="C573" s="20">
        <v>0.4375</v>
      </c>
      <c r="D573" s="19" t="s">
        <v>28</v>
      </c>
      <c r="E573" s="19" t="s">
        <v>80</v>
      </c>
      <c r="F573" s="19" t="s">
        <v>81</v>
      </c>
      <c r="G573" s="298"/>
      <c r="H573" s="10"/>
      <c r="I573" s="11"/>
      <c r="J573" s="11"/>
      <c r="K573" s="11"/>
      <c r="L573" s="11"/>
      <c r="M573" s="11"/>
      <c r="N573" s="11"/>
      <c r="O573" s="12"/>
      <c r="P573" s="11"/>
      <c r="Q573" s="13"/>
      <c r="R573" s="14"/>
    </row>
    <row r="574" spans="1:18" ht="15" customHeight="1">
      <c r="A574" s="15" t="s">
        <v>26</v>
      </c>
      <c r="B574" s="15" t="s">
        <v>820</v>
      </c>
      <c r="C574" s="16">
        <v>0.4375</v>
      </c>
      <c r="D574" s="15" t="s">
        <v>31</v>
      </c>
      <c r="E574" s="15" t="s">
        <v>82</v>
      </c>
      <c r="F574" s="15" t="s">
        <v>83</v>
      </c>
      <c r="G574" s="298"/>
      <c r="H574" s="10"/>
      <c r="I574" s="11"/>
      <c r="J574" s="11"/>
      <c r="K574" s="11"/>
      <c r="L574" s="11"/>
      <c r="M574" s="11"/>
      <c r="N574" s="11"/>
      <c r="O574" s="12"/>
      <c r="P574" s="11"/>
      <c r="Q574" s="13"/>
      <c r="R574" s="14"/>
    </row>
    <row r="575" spans="1:18" ht="15" customHeight="1">
      <c r="A575" s="15" t="s">
        <v>26</v>
      </c>
      <c r="B575" s="15" t="s">
        <v>820</v>
      </c>
      <c r="C575" s="16">
        <v>0.4375</v>
      </c>
      <c r="D575" s="15" t="s">
        <v>34</v>
      </c>
      <c r="E575" s="15" t="s">
        <v>82</v>
      </c>
      <c r="F575" s="15" t="s">
        <v>45</v>
      </c>
      <c r="G575" s="298"/>
      <c r="H575" s="10"/>
      <c r="I575" s="11"/>
      <c r="J575" s="11"/>
      <c r="K575" s="11"/>
      <c r="L575" s="11"/>
      <c r="M575" s="11"/>
      <c r="N575" s="11"/>
      <c r="O575" s="12"/>
      <c r="P575" s="11"/>
      <c r="Q575" s="13"/>
      <c r="R575" s="14"/>
    </row>
    <row r="576" spans="1:18" ht="15" customHeight="1">
      <c r="A576" s="17" t="s">
        <v>26</v>
      </c>
      <c r="B576" s="17" t="s">
        <v>826</v>
      </c>
      <c r="C576" s="18">
        <v>0.95833333333333337</v>
      </c>
      <c r="D576" s="17" t="s">
        <v>28</v>
      </c>
      <c r="E576" s="17" t="s">
        <v>90</v>
      </c>
      <c r="F576" s="17" t="s">
        <v>81</v>
      </c>
      <c r="G576" s="298"/>
      <c r="H576" s="10"/>
      <c r="I576" s="11"/>
      <c r="J576" s="11"/>
      <c r="K576" s="11"/>
      <c r="L576" s="11"/>
      <c r="M576" s="11"/>
      <c r="N576" s="11"/>
      <c r="O576" s="12"/>
      <c r="P576" s="11"/>
      <c r="Q576" s="13"/>
      <c r="R576" s="14"/>
    </row>
    <row r="577" spans="1:18" ht="15" customHeight="1">
      <c r="A577" s="15" t="s">
        <v>26</v>
      </c>
      <c r="B577" s="15" t="s">
        <v>826</v>
      </c>
      <c r="C577" s="16">
        <v>0.95833333333333337</v>
      </c>
      <c r="D577" s="15" t="s">
        <v>31</v>
      </c>
      <c r="E577" s="15" t="s">
        <v>82</v>
      </c>
      <c r="F577" s="15" t="s">
        <v>83</v>
      </c>
      <c r="G577" s="298"/>
      <c r="H577" s="10"/>
      <c r="I577" s="11"/>
      <c r="J577" s="11"/>
      <c r="K577" s="11"/>
      <c r="L577" s="11"/>
      <c r="M577" s="11"/>
      <c r="N577" s="11"/>
      <c r="O577" s="12"/>
      <c r="P577" s="11"/>
      <c r="Q577" s="13"/>
      <c r="R577" s="14"/>
    </row>
    <row r="578" spans="1:18" ht="15" customHeight="1">
      <c r="A578" s="15" t="s">
        <v>26</v>
      </c>
      <c r="B578" s="15" t="s">
        <v>826</v>
      </c>
      <c r="C578" s="16">
        <v>0.95833333333333337</v>
      </c>
      <c r="D578" s="15" t="s">
        <v>34</v>
      </c>
      <c r="E578" s="15" t="s">
        <v>82</v>
      </c>
      <c r="F578" s="15" t="s">
        <v>45</v>
      </c>
      <c r="G578" s="298"/>
      <c r="H578" s="10"/>
      <c r="I578" s="11"/>
      <c r="J578" s="11"/>
      <c r="K578" s="11"/>
      <c r="L578" s="11"/>
      <c r="M578" s="11"/>
      <c r="N578" s="11"/>
      <c r="O578" s="12"/>
      <c r="P578" s="11"/>
      <c r="Q578" s="13"/>
      <c r="R578" s="14"/>
    </row>
    <row r="579" spans="1:18" ht="15" customHeight="1">
      <c r="A579" s="17" t="s">
        <v>26</v>
      </c>
      <c r="B579" s="17" t="s">
        <v>821</v>
      </c>
      <c r="C579" s="18">
        <v>0.63194444444444442</v>
      </c>
      <c r="D579" s="17" t="s">
        <v>28</v>
      </c>
      <c r="E579" s="17" t="s">
        <v>90</v>
      </c>
      <c r="F579" s="17" t="s">
        <v>81</v>
      </c>
      <c r="G579" s="298"/>
      <c r="H579" s="10"/>
      <c r="I579" s="11"/>
      <c r="J579" s="11"/>
      <c r="K579" s="11"/>
      <c r="L579" s="11"/>
      <c r="M579" s="11"/>
      <c r="N579" s="11"/>
      <c r="O579" s="12"/>
      <c r="P579" s="11"/>
      <c r="Q579" s="13"/>
      <c r="R579" s="14"/>
    </row>
    <row r="580" spans="1:18" ht="15" customHeight="1">
      <c r="A580" s="15" t="s">
        <v>26</v>
      </c>
      <c r="B580" s="15" t="s">
        <v>821</v>
      </c>
      <c r="C580" s="16">
        <v>0.63194444444444442</v>
      </c>
      <c r="D580" s="15" t="s">
        <v>31</v>
      </c>
      <c r="E580" s="15" t="s">
        <v>82</v>
      </c>
      <c r="F580" s="15" t="s">
        <v>83</v>
      </c>
      <c r="G580" s="298"/>
      <c r="H580" s="10"/>
      <c r="I580" s="11"/>
      <c r="J580" s="11"/>
      <c r="K580" s="11"/>
      <c r="L580" s="11"/>
      <c r="M580" s="11"/>
      <c r="N580" s="11"/>
      <c r="O580" s="12"/>
      <c r="P580" s="11"/>
      <c r="Q580" s="13"/>
      <c r="R580" s="14"/>
    </row>
    <row r="581" spans="1:18" ht="15" customHeight="1">
      <c r="A581" s="15" t="s">
        <v>26</v>
      </c>
      <c r="B581" s="15" t="s">
        <v>821</v>
      </c>
      <c r="C581" s="16">
        <v>0.63194444444444442</v>
      </c>
      <c r="D581" s="15" t="s">
        <v>34</v>
      </c>
      <c r="E581" s="15" t="s">
        <v>82</v>
      </c>
      <c r="F581" s="15" t="s">
        <v>45</v>
      </c>
      <c r="G581" s="298"/>
      <c r="H581" s="10"/>
      <c r="I581" s="11"/>
      <c r="J581" s="11"/>
      <c r="K581" s="11"/>
      <c r="L581" s="11"/>
      <c r="M581" s="11"/>
      <c r="N581" s="11"/>
      <c r="O581" s="12"/>
      <c r="P581" s="11"/>
      <c r="Q581" s="13"/>
      <c r="R581" s="14"/>
    </row>
    <row r="582" spans="1:18" ht="15" customHeight="1">
      <c r="A582" s="17" t="s">
        <v>26</v>
      </c>
      <c r="B582" s="17" t="s">
        <v>822</v>
      </c>
      <c r="C582" s="18">
        <v>0.55902777777777779</v>
      </c>
      <c r="D582" s="17" t="s">
        <v>28</v>
      </c>
      <c r="E582" s="17" t="s">
        <v>90</v>
      </c>
      <c r="F582" s="17" t="s">
        <v>81</v>
      </c>
      <c r="G582" s="298"/>
      <c r="H582" s="10"/>
      <c r="I582" s="11"/>
      <c r="J582" s="11"/>
      <c r="K582" s="11"/>
      <c r="L582" s="11"/>
      <c r="M582" s="11"/>
      <c r="N582" s="11"/>
      <c r="O582" s="12"/>
      <c r="P582" s="11"/>
      <c r="Q582" s="13"/>
      <c r="R582" s="14"/>
    </row>
    <row r="583" spans="1:18" ht="15" customHeight="1">
      <c r="A583" s="15" t="s">
        <v>26</v>
      </c>
      <c r="B583" s="15" t="s">
        <v>822</v>
      </c>
      <c r="C583" s="16">
        <v>0.55902777777777779</v>
      </c>
      <c r="D583" s="15" t="s">
        <v>31</v>
      </c>
      <c r="E583" s="15" t="s">
        <v>82</v>
      </c>
      <c r="F583" s="15" t="s">
        <v>83</v>
      </c>
      <c r="G583" s="298"/>
      <c r="H583" s="10"/>
      <c r="I583" s="11"/>
      <c r="J583" s="11"/>
      <c r="K583" s="11"/>
      <c r="L583" s="11"/>
      <c r="M583" s="11"/>
      <c r="N583" s="11"/>
      <c r="O583" s="12"/>
      <c r="P583" s="11"/>
      <c r="Q583" s="13"/>
      <c r="R583" s="14"/>
    </row>
    <row r="584" spans="1:18" ht="15" customHeight="1">
      <c r="A584" s="15" t="s">
        <v>26</v>
      </c>
      <c r="B584" s="15" t="s">
        <v>822</v>
      </c>
      <c r="C584" s="16">
        <v>0.55902777777777779</v>
      </c>
      <c r="D584" s="15" t="s">
        <v>34</v>
      </c>
      <c r="E584" s="15" t="s">
        <v>82</v>
      </c>
      <c r="F584" s="15" t="s">
        <v>45</v>
      </c>
      <c r="G584" s="298"/>
      <c r="H584" s="10"/>
      <c r="I584" s="11"/>
      <c r="J584" s="11"/>
      <c r="K584" s="11"/>
      <c r="L584" s="11"/>
      <c r="M584" s="11"/>
      <c r="N584" s="11"/>
      <c r="O584" s="12"/>
      <c r="P584" s="11"/>
      <c r="Q584" s="13"/>
      <c r="R584" s="14"/>
    </row>
    <row r="585" spans="1:18" ht="15" customHeight="1">
      <c r="A585" s="17" t="s">
        <v>26</v>
      </c>
      <c r="B585" s="17" t="s">
        <v>823</v>
      </c>
      <c r="C585" s="18">
        <v>0.81944444444444453</v>
      </c>
      <c r="D585" s="17" t="s">
        <v>28</v>
      </c>
      <c r="E585" s="17" t="s">
        <v>90</v>
      </c>
      <c r="F585" s="17" t="s">
        <v>81</v>
      </c>
      <c r="G585" s="298"/>
      <c r="H585" s="10"/>
      <c r="I585" s="11"/>
      <c r="J585" s="11"/>
      <c r="K585" s="11"/>
      <c r="L585" s="11"/>
      <c r="M585" s="11"/>
      <c r="N585" s="11"/>
      <c r="O585" s="12"/>
      <c r="P585" s="11"/>
      <c r="Q585" s="13"/>
      <c r="R585" s="14"/>
    </row>
    <row r="586" spans="1:18" ht="15" customHeight="1">
      <c r="A586" s="15" t="s">
        <v>26</v>
      </c>
      <c r="B586" s="15" t="s">
        <v>823</v>
      </c>
      <c r="C586" s="16">
        <v>0.81944444444444453</v>
      </c>
      <c r="D586" s="15" t="s">
        <v>31</v>
      </c>
      <c r="E586" s="15" t="s">
        <v>82</v>
      </c>
      <c r="F586" s="15" t="s">
        <v>83</v>
      </c>
      <c r="G586" s="298"/>
      <c r="H586" s="10"/>
      <c r="I586" s="11"/>
      <c r="J586" s="11"/>
      <c r="K586" s="11"/>
      <c r="L586" s="11"/>
      <c r="M586" s="11"/>
      <c r="N586" s="11"/>
      <c r="O586" s="12"/>
      <c r="P586" s="11"/>
      <c r="Q586" s="13"/>
      <c r="R586" s="14"/>
    </row>
    <row r="587" spans="1:18" ht="15" customHeight="1">
      <c r="A587" s="15" t="s">
        <v>26</v>
      </c>
      <c r="B587" s="15" t="s">
        <v>823</v>
      </c>
      <c r="C587" s="16">
        <v>0.81944444444444453</v>
      </c>
      <c r="D587" s="15" t="s">
        <v>34</v>
      </c>
      <c r="E587" s="15" t="s">
        <v>82</v>
      </c>
      <c r="F587" s="15" t="s">
        <v>45</v>
      </c>
      <c r="G587" s="298"/>
      <c r="H587" s="10"/>
      <c r="I587" s="11"/>
      <c r="J587" s="11"/>
      <c r="K587" s="11"/>
      <c r="L587" s="11"/>
      <c r="M587" s="11"/>
      <c r="N587" s="11"/>
      <c r="O587" s="12"/>
      <c r="P587" s="11"/>
      <c r="Q587" s="13"/>
      <c r="R587" s="14"/>
    </row>
    <row r="588" spans="1:18" ht="15" customHeight="1">
      <c r="A588" s="17" t="s">
        <v>26</v>
      </c>
      <c r="B588" s="17" t="s">
        <v>824</v>
      </c>
      <c r="C588" s="18">
        <v>0.50694444444444442</v>
      </c>
      <c r="D588" s="17" t="s">
        <v>28</v>
      </c>
      <c r="E588" s="17" t="s">
        <v>427</v>
      </c>
      <c r="F588" s="17" t="s">
        <v>81</v>
      </c>
      <c r="G588" s="298"/>
      <c r="H588" s="10"/>
      <c r="I588" s="11"/>
      <c r="J588" s="11"/>
      <c r="K588" s="11"/>
      <c r="L588" s="11"/>
      <c r="M588" s="11"/>
      <c r="N588" s="11"/>
      <c r="O588" s="12"/>
      <c r="P588" s="11"/>
      <c r="Q588" s="13"/>
      <c r="R588" s="14"/>
    </row>
    <row r="589" spans="1:18" ht="15" customHeight="1">
      <c r="A589" s="15" t="s">
        <v>26</v>
      </c>
      <c r="B589" s="15" t="s">
        <v>824</v>
      </c>
      <c r="C589" s="16">
        <v>0.50694444444444442</v>
      </c>
      <c r="D589" s="15" t="s">
        <v>31</v>
      </c>
      <c r="E589" s="15" t="s">
        <v>115</v>
      </c>
      <c r="F589" s="15" t="s">
        <v>83</v>
      </c>
      <c r="G589" s="298"/>
      <c r="H589" s="10"/>
      <c r="I589" s="11"/>
      <c r="J589" s="11"/>
      <c r="K589" s="11"/>
      <c r="L589" s="11"/>
      <c r="M589" s="11"/>
      <c r="N589" s="11"/>
      <c r="O589" s="12"/>
      <c r="P589" s="11"/>
      <c r="Q589" s="13"/>
      <c r="R589" s="14"/>
    </row>
    <row r="590" spans="1:18" ht="15" customHeight="1">
      <c r="A590" s="15" t="s">
        <v>26</v>
      </c>
      <c r="B590" s="15" t="s">
        <v>824</v>
      </c>
      <c r="C590" s="16">
        <v>0.50694444444444442</v>
      </c>
      <c r="D590" s="15" t="s">
        <v>34</v>
      </c>
      <c r="E590" s="15" t="s">
        <v>115</v>
      </c>
      <c r="F590" s="15" t="s">
        <v>45</v>
      </c>
      <c r="G590" s="298"/>
      <c r="H590" s="10"/>
      <c r="I590" s="11"/>
      <c r="J590" s="11"/>
      <c r="K590" s="11"/>
      <c r="L590" s="11"/>
      <c r="M590" s="11"/>
      <c r="N590" s="11"/>
      <c r="O590" s="12"/>
      <c r="P590" s="11"/>
      <c r="Q590" s="13"/>
      <c r="R590" s="14"/>
    </row>
    <row r="591" spans="1:18" ht="15" customHeight="1">
      <c r="A591" s="17" t="s">
        <v>26</v>
      </c>
      <c r="B591" s="17" t="s">
        <v>825</v>
      </c>
      <c r="C591" s="18">
        <v>0.69791666666666663</v>
      </c>
      <c r="D591" s="17" t="s">
        <v>28</v>
      </c>
      <c r="E591" s="17" t="s">
        <v>90</v>
      </c>
      <c r="F591" s="17" t="s">
        <v>81</v>
      </c>
      <c r="G591" s="298"/>
      <c r="H591" s="10"/>
      <c r="I591" s="11"/>
      <c r="J591" s="11"/>
      <c r="K591" s="11"/>
      <c r="L591" s="11"/>
      <c r="M591" s="11"/>
      <c r="N591" s="11"/>
      <c r="O591" s="12"/>
      <c r="P591" s="11"/>
      <c r="Q591" s="13"/>
      <c r="R591" s="14"/>
    </row>
    <row r="592" spans="1:18" ht="15" customHeight="1">
      <c r="A592" s="15" t="s">
        <v>26</v>
      </c>
      <c r="B592" s="15" t="s">
        <v>825</v>
      </c>
      <c r="C592" s="16">
        <v>0.69791666666666663</v>
      </c>
      <c r="D592" s="15" t="s">
        <v>31</v>
      </c>
      <c r="E592" s="15" t="s">
        <v>82</v>
      </c>
      <c r="F592" s="15" t="s">
        <v>83</v>
      </c>
      <c r="G592" s="298"/>
      <c r="H592" s="10"/>
      <c r="I592" s="11"/>
      <c r="J592" s="11"/>
      <c r="K592" s="11"/>
      <c r="L592" s="11"/>
      <c r="M592" s="11"/>
      <c r="N592" s="11"/>
      <c r="O592" s="12"/>
      <c r="P592" s="11"/>
      <c r="Q592" s="13"/>
      <c r="R592" s="14"/>
    </row>
    <row r="593" spans="1:18" ht="15" customHeight="1">
      <c r="A593" s="15" t="s">
        <v>26</v>
      </c>
      <c r="B593" s="15" t="s">
        <v>825</v>
      </c>
      <c r="C593" s="16">
        <v>0.69791666666666663</v>
      </c>
      <c r="D593" s="15" t="s">
        <v>34</v>
      </c>
      <c r="E593" s="15" t="s">
        <v>82</v>
      </c>
      <c r="F593" s="15" t="s">
        <v>45</v>
      </c>
      <c r="G593" s="298"/>
      <c r="H593" s="10"/>
      <c r="I593" s="11"/>
      <c r="J593" s="11"/>
      <c r="K593" s="11"/>
      <c r="L593" s="11"/>
      <c r="M593" s="11"/>
      <c r="N593" s="11"/>
      <c r="O593" s="12"/>
      <c r="P593" s="11"/>
      <c r="Q593" s="13"/>
      <c r="R593" s="14"/>
    </row>
    <row r="594" spans="1:18" ht="15" customHeight="1">
      <c r="A594" s="19" t="s">
        <v>48</v>
      </c>
      <c r="B594" s="19" t="s">
        <v>833</v>
      </c>
      <c r="C594" s="20">
        <v>0.44444444444444442</v>
      </c>
      <c r="D594" s="19" t="s">
        <v>50</v>
      </c>
      <c r="E594" s="19" t="s">
        <v>51</v>
      </c>
      <c r="F594" s="19" t="s">
        <v>873</v>
      </c>
      <c r="G594" s="298"/>
      <c r="H594" s="10"/>
      <c r="I594" s="11"/>
      <c r="J594" s="11"/>
      <c r="K594" s="11"/>
      <c r="L594" s="11"/>
      <c r="M594" s="11"/>
      <c r="N594" s="11"/>
      <c r="O594" s="12"/>
      <c r="P594" s="11"/>
      <c r="Q594" s="13"/>
      <c r="R594" s="14"/>
    </row>
    <row r="595" spans="1:18" ht="15" customHeight="1">
      <c r="A595" s="15" t="s">
        <v>48</v>
      </c>
      <c r="B595" s="15" t="s">
        <v>833</v>
      </c>
      <c r="C595" s="16">
        <v>0.44444444444444442</v>
      </c>
      <c r="D595" s="15" t="s">
        <v>53</v>
      </c>
      <c r="E595" s="15" t="s">
        <v>54</v>
      </c>
      <c r="F595" s="15" t="s">
        <v>874</v>
      </c>
      <c r="G595" s="298"/>
      <c r="H595" s="10"/>
      <c r="I595" s="11"/>
      <c r="J595" s="11"/>
      <c r="K595" s="11"/>
      <c r="L595" s="11"/>
      <c r="M595" s="11"/>
      <c r="N595" s="11"/>
      <c r="O595" s="12"/>
      <c r="P595" s="11"/>
      <c r="Q595" s="13"/>
      <c r="R595" s="14"/>
    </row>
    <row r="596" spans="1:18" ht="15" customHeight="1">
      <c r="A596" s="17" t="s">
        <v>48</v>
      </c>
      <c r="B596" s="17" t="s">
        <v>828</v>
      </c>
      <c r="C596" s="18">
        <v>0.82986111111111116</v>
      </c>
      <c r="D596" s="17" t="s">
        <v>50</v>
      </c>
      <c r="E596" s="17" t="s">
        <v>57</v>
      </c>
      <c r="F596" s="17" t="s">
        <v>873</v>
      </c>
      <c r="G596" s="298"/>
      <c r="H596" s="10"/>
      <c r="I596" s="11"/>
      <c r="J596" s="11"/>
      <c r="K596" s="11"/>
      <c r="L596" s="11"/>
      <c r="M596" s="11"/>
      <c r="N596" s="11"/>
      <c r="O596" s="12"/>
      <c r="P596" s="11"/>
      <c r="Q596" s="13"/>
      <c r="R596" s="14"/>
    </row>
    <row r="597" spans="1:18" ht="15" customHeight="1">
      <c r="A597" s="15" t="s">
        <v>48</v>
      </c>
      <c r="B597" s="15" t="s">
        <v>828</v>
      </c>
      <c r="C597" s="16">
        <v>0.82986111111111116</v>
      </c>
      <c r="D597" s="15" t="s">
        <v>53</v>
      </c>
      <c r="E597" s="15" t="s">
        <v>54</v>
      </c>
      <c r="F597" s="15" t="s">
        <v>874</v>
      </c>
      <c r="G597" s="298"/>
      <c r="H597" s="10"/>
      <c r="I597" s="11"/>
      <c r="J597" s="11"/>
      <c r="K597" s="11"/>
      <c r="L597" s="11"/>
      <c r="M597" s="11"/>
      <c r="N597" s="11"/>
      <c r="O597" s="12"/>
      <c r="P597" s="11"/>
      <c r="Q597" s="13"/>
      <c r="R597" s="14"/>
    </row>
    <row r="598" spans="1:18" ht="15" customHeight="1">
      <c r="A598" s="17" t="s">
        <v>48</v>
      </c>
      <c r="B598" s="17" t="s">
        <v>831</v>
      </c>
      <c r="C598" s="18">
        <v>0.98263888888888884</v>
      </c>
      <c r="D598" s="17" t="s">
        <v>50</v>
      </c>
      <c r="E598" s="17" t="s">
        <v>57</v>
      </c>
      <c r="F598" s="17" t="s">
        <v>873</v>
      </c>
      <c r="G598" s="298"/>
      <c r="H598" s="10"/>
      <c r="I598" s="11"/>
      <c r="J598" s="11"/>
      <c r="K598" s="11"/>
      <c r="L598" s="11"/>
      <c r="M598" s="11"/>
      <c r="N598" s="11"/>
      <c r="O598" s="12"/>
      <c r="P598" s="11"/>
      <c r="Q598" s="13"/>
      <c r="R598" s="14"/>
    </row>
    <row r="599" spans="1:18" ht="15" customHeight="1">
      <c r="A599" s="15" t="s">
        <v>48</v>
      </c>
      <c r="B599" s="15" t="s">
        <v>831</v>
      </c>
      <c r="C599" s="16">
        <v>0.98263888888888884</v>
      </c>
      <c r="D599" s="15" t="s">
        <v>53</v>
      </c>
      <c r="E599" s="15" t="s">
        <v>54</v>
      </c>
      <c r="F599" s="15" t="s">
        <v>874</v>
      </c>
      <c r="G599" s="298"/>
      <c r="H599" s="10"/>
      <c r="I599" s="11"/>
      <c r="J599" s="11"/>
      <c r="K599" s="11"/>
      <c r="L599" s="11"/>
      <c r="M599" s="11"/>
      <c r="N599" s="11"/>
      <c r="O599" s="12"/>
      <c r="P599" s="11"/>
      <c r="Q599" s="13"/>
      <c r="R599" s="14"/>
    </row>
    <row r="600" spans="1:18" ht="15" customHeight="1">
      <c r="A600" s="17" t="s">
        <v>48</v>
      </c>
      <c r="B600" s="17" t="s">
        <v>875</v>
      </c>
      <c r="C600" s="18">
        <v>0.69791666666666663</v>
      </c>
      <c r="D600" s="17" t="s">
        <v>50</v>
      </c>
      <c r="E600" s="17" t="s">
        <v>57</v>
      </c>
      <c r="F600" s="17" t="s">
        <v>873</v>
      </c>
      <c r="G600" s="298"/>
      <c r="H600" s="10"/>
      <c r="I600" s="11"/>
      <c r="J600" s="11"/>
      <c r="K600" s="11"/>
      <c r="L600" s="11"/>
      <c r="M600" s="11"/>
      <c r="N600" s="11"/>
      <c r="O600" s="12"/>
      <c r="P600" s="11"/>
      <c r="Q600" s="13"/>
      <c r="R600" s="14"/>
    </row>
    <row r="601" spans="1:18" ht="15" customHeight="1">
      <c r="A601" s="15" t="s">
        <v>48</v>
      </c>
      <c r="B601" s="15" t="s">
        <v>875</v>
      </c>
      <c r="C601" s="16">
        <v>0.69791666666666663</v>
      </c>
      <c r="D601" s="15" t="s">
        <v>53</v>
      </c>
      <c r="E601" s="15" t="s">
        <v>54</v>
      </c>
      <c r="F601" s="15" t="s">
        <v>874</v>
      </c>
      <c r="G601" s="298"/>
      <c r="H601" s="10"/>
      <c r="I601" s="11"/>
      <c r="J601" s="11"/>
      <c r="K601" s="11"/>
      <c r="L601" s="11"/>
      <c r="M601" s="11"/>
      <c r="N601" s="11"/>
      <c r="O601" s="12"/>
      <c r="P601" s="11"/>
      <c r="Q601" s="13"/>
      <c r="R601" s="14"/>
    </row>
    <row r="602" spans="1:18" ht="15" customHeight="1">
      <c r="A602" s="17" t="s">
        <v>48</v>
      </c>
      <c r="B602" s="17" t="s">
        <v>832</v>
      </c>
      <c r="C602" s="18">
        <v>0.62847222222222221</v>
      </c>
      <c r="D602" s="17" t="s">
        <v>50</v>
      </c>
      <c r="E602" s="17" t="s">
        <v>57</v>
      </c>
      <c r="F602" s="17" t="s">
        <v>873</v>
      </c>
      <c r="G602" s="298"/>
      <c r="H602" s="10"/>
      <c r="I602" s="11"/>
      <c r="J602" s="11"/>
      <c r="K602" s="11"/>
      <c r="L602" s="11"/>
      <c r="M602" s="11"/>
      <c r="N602" s="11"/>
      <c r="O602" s="12"/>
      <c r="P602" s="11"/>
      <c r="Q602" s="13"/>
      <c r="R602" s="14"/>
    </row>
    <row r="603" spans="1:18" ht="15" customHeight="1">
      <c r="A603" s="15" t="s">
        <v>48</v>
      </c>
      <c r="B603" s="15" t="s">
        <v>832</v>
      </c>
      <c r="C603" s="16">
        <v>0.62847222222222221</v>
      </c>
      <c r="D603" s="15" t="s">
        <v>53</v>
      </c>
      <c r="E603" s="15" t="s">
        <v>54</v>
      </c>
      <c r="F603" s="15" t="s">
        <v>874</v>
      </c>
      <c r="G603" s="298"/>
      <c r="H603" s="10"/>
      <c r="I603" s="11"/>
      <c r="J603" s="11"/>
      <c r="K603" s="11"/>
      <c r="L603" s="11"/>
      <c r="M603" s="11"/>
      <c r="N603" s="11"/>
      <c r="O603" s="12"/>
      <c r="P603" s="11"/>
      <c r="Q603" s="13"/>
      <c r="R603" s="14"/>
    </row>
    <row r="604" spans="1:18" ht="15" customHeight="1">
      <c r="A604" s="17" t="s">
        <v>48</v>
      </c>
      <c r="B604" s="17" t="s">
        <v>835</v>
      </c>
      <c r="C604" s="18">
        <v>0.88888888888888884</v>
      </c>
      <c r="D604" s="17" t="s">
        <v>53</v>
      </c>
      <c r="E604" s="17" t="s">
        <v>37</v>
      </c>
      <c r="F604" s="17" t="s">
        <v>836</v>
      </c>
      <c r="G604" s="298"/>
      <c r="H604" s="10"/>
      <c r="I604" s="11"/>
      <c r="J604" s="11"/>
      <c r="K604" s="11"/>
      <c r="L604" s="11"/>
      <c r="M604" s="11"/>
      <c r="N604" s="11"/>
      <c r="O604" s="12"/>
      <c r="P604" s="11"/>
      <c r="Q604" s="13"/>
      <c r="R604" s="14"/>
    </row>
    <row r="605" spans="1:18" ht="15" customHeight="1">
      <c r="A605" s="17" t="s">
        <v>48</v>
      </c>
      <c r="B605" s="17" t="s">
        <v>837</v>
      </c>
      <c r="C605" s="18">
        <v>0.62847222222222221</v>
      </c>
      <c r="D605" s="17" t="s">
        <v>53</v>
      </c>
      <c r="E605" s="17" t="s">
        <v>37</v>
      </c>
      <c r="F605" s="17" t="s">
        <v>836</v>
      </c>
      <c r="G605" s="298"/>
      <c r="H605" s="10"/>
      <c r="I605" s="11"/>
      <c r="J605" s="11"/>
      <c r="K605" s="11"/>
      <c r="L605" s="11"/>
      <c r="M605" s="11"/>
      <c r="N605" s="11"/>
      <c r="O605" s="12"/>
      <c r="P605" s="11"/>
      <c r="Q605" s="13"/>
      <c r="R605" s="14"/>
    </row>
    <row r="606" spans="1:18" ht="15" customHeight="1">
      <c r="A606" s="17" t="s">
        <v>48</v>
      </c>
      <c r="B606" s="17" t="s">
        <v>838</v>
      </c>
      <c r="C606" s="18">
        <v>0.94444444444444453</v>
      </c>
      <c r="D606" s="17" t="s">
        <v>53</v>
      </c>
      <c r="E606" s="17" t="s">
        <v>37</v>
      </c>
      <c r="F606" s="17" t="s">
        <v>836</v>
      </c>
      <c r="G606" s="298"/>
      <c r="H606" s="10"/>
      <c r="I606" s="11"/>
      <c r="J606" s="11"/>
      <c r="K606" s="11"/>
      <c r="L606" s="11"/>
      <c r="M606" s="11"/>
      <c r="N606" s="11"/>
      <c r="O606" s="12"/>
      <c r="P606" s="11"/>
      <c r="Q606" s="13"/>
      <c r="R606" s="14"/>
    </row>
    <row r="607" spans="1:18" ht="15" customHeight="1">
      <c r="A607" s="19" t="s">
        <v>68</v>
      </c>
      <c r="B607" s="19" t="s">
        <v>842</v>
      </c>
      <c r="C607" s="20">
        <v>0.98263888888888884</v>
      </c>
      <c r="D607" s="19" t="s">
        <v>70</v>
      </c>
      <c r="E607" s="19" t="s">
        <v>51</v>
      </c>
      <c r="F607" s="19" t="s">
        <v>404</v>
      </c>
      <c r="G607" s="298"/>
      <c r="H607" s="10"/>
      <c r="I607" s="11"/>
      <c r="J607" s="11"/>
      <c r="K607" s="11"/>
      <c r="L607" s="11"/>
      <c r="M607" s="11"/>
      <c r="N607" s="11"/>
      <c r="O607" s="12"/>
      <c r="P607" s="11"/>
      <c r="Q607" s="13"/>
      <c r="R607" s="14"/>
    </row>
    <row r="608" spans="1:18" ht="15" customHeight="1">
      <c r="A608" s="17" t="s">
        <v>68</v>
      </c>
      <c r="B608" s="17" t="s">
        <v>843</v>
      </c>
      <c r="C608" s="18">
        <v>0.35416666666666669</v>
      </c>
      <c r="D608" s="17" t="s">
        <v>70</v>
      </c>
      <c r="E608" s="17" t="s">
        <v>57</v>
      </c>
      <c r="F608" s="17" t="s">
        <v>404</v>
      </c>
      <c r="G608" s="298"/>
      <c r="H608" s="10"/>
      <c r="I608" s="11"/>
      <c r="J608" s="11"/>
      <c r="K608" s="11"/>
      <c r="L608" s="11"/>
      <c r="M608" s="11"/>
      <c r="N608" s="11"/>
      <c r="O608" s="12"/>
      <c r="P608" s="11"/>
      <c r="Q608" s="13"/>
      <c r="R608" s="14"/>
    </row>
    <row r="609" spans="1:18" ht="15" customHeight="1">
      <c r="A609" s="17" t="s">
        <v>68</v>
      </c>
      <c r="B609" s="17" t="s">
        <v>844</v>
      </c>
      <c r="C609" s="18">
        <v>0.72916666666666663</v>
      </c>
      <c r="D609" s="17" t="s">
        <v>70</v>
      </c>
      <c r="E609" s="17" t="s">
        <v>57</v>
      </c>
      <c r="F609" s="17" t="s">
        <v>892</v>
      </c>
      <c r="G609" s="298"/>
      <c r="H609" s="10"/>
      <c r="I609" s="11"/>
      <c r="J609" s="11"/>
      <c r="K609" s="11"/>
      <c r="L609" s="11"/>
      <c r="M609" s="11"/>
      <c r="N609" s="11"/>
      <c r="O609" s="12"/>
      <c r="P609" s="11"/>
      <c r="Q609" s="13"/>
      <c r="R609" s="14"/>
    </row>
    <row r="610" spans="1:18" ht="15" customHeight="1" thickBot="1">
      <c r="A610" s="96" t="s">
        <v>402</v>
      </c>
      <c r="B610" s="96" t="s">
        <v>839</v>
      </c>
      <c r="C610" s="97">
        <v>0.1736111111111111</v>
      </c>
      <c r="D610" s="96" t="s">
        <v>63</v>
      </c>
      <c r="E610" s="96" t="s">
        <v>177</v>
      </c>
      <c r="F610" s="96" t="s">
        <v>881</v>
      </c>
      <c r="G610" s="299"/>
      <c r="H610" s="300"/>
      <c r="I610" s="140"/>
      <c r="J610" s="140"/>
      <c r="K610" s="140"/>
      <c r="L610" s="140"/>
      <c r="M610" s="140"/>
      <c r="N610" s="140"/>
      <c r="O610" s="141"/>
      <c r="P610" s="140"/>
      <c r="Q610" s="142"/>
      <c r="R610" s="301"/>
    </row>
    <row r="611" spans="1:18" ht="17.45" customHeight="1" thickBot="1">
      <c r="A611" s="283"/>
      <c r="B611" s="284"/>
      <c r="C611" s="284"/>
      <c r="D611" s="284"/>
      <c r="E611" s="284"/>
      <c r="F611" s="284"/>
      <c r="G611" s="284"/>
      <c r="H611" s="284"/>
      <c r="I611" s="284"/>
      <c r="J611" s="284"/>
      <c r="K611" s="284"/>
      <c r="L611" s="284"/>
      <c r="M611" s="284"/>
      <c r="N611" s="284"/>
      <c r="O611" s="284"/>
      <c r="P611" s="284"/>
      <c r="Q611" s="284"/>
      <c r="R611" s="285"/>
    </row>
    <row r="612" spans="1:18" ht="22.15" customHeight="1" thickTop="1" thickBot="1">
      <c r="A612" s="279" t="s">
        <v>6</v>
      </c>
      <c r="B612" s="295"/>
      <c r="C612" s="295"/>
      <c r="D612" s="295"/>
      <c r="E612" s="295"/>
      <c r="F612" s="296"/>
      <c r="G612" s="32">
        <v>46034</v>
      </c>
      <c r="H612" s="278" t="s">
        <v>7</v>
      </c>
      <c r="I612" s="295"/>
      <c r="J612" s="295"/>
      <c r="K612" s="295"/>
      <c r="L612" s="295"/>
      <c r="M612" s="295"/>
      <c r="N612" s="295"/>
      <c r="O612" s="295"/>
      <c r="P612" s="295"/>
      <c r="Q612" s="295"/>
      <c r="R612" s="296"/>
    </row>
    <row r="613" spans="1:18" ht="24" customHeight="1">
      <c r="A613" s="33" t="s">
        <v>8</v>
      </c>
      <c r="B613" s="33" t="s">
        <v>9</v>
      </c>
      <c r="C613" s="34" t="s">
        <v>10</v>
      </c>
      <c r="D613" s="33" t="s">
        <v>11</v>
      </c>
      <c r="E613" s="33" t="s">
        <v>12</v>
      </c>
      <c r="F613" s="35" t="s">
        <v>13</v>
      </c>
      <c r="G613" s="36" t="s">
        <v>14</v>
      </c>
      <c r="H613" s="33" t="s">
        <v>15</v>
      </c>
      <c r="I613" s="37" t="s">
        <v>16</v>
      </c>
      <c r="J613" s="38" t="s">
        <v>17</v>
      </c>
      <c r="K613" s="39" t="s">
        <v>18</v>
      </c>
      <c r="L613" s="38" t="s">
        <v>19</v>
      </c>
      <c r="M613" s="38" t="s">
        <v>20</v>
      </c>
      <c r="N613" s="38" t="s">
        <v>21</v>
      </c>
      <c r="O613" s="33" t="s">
        <v>22</v>
      </c>
      <c r="P613" s="34" t="s">
        <v>23</v>
      </c>
      <c r="Q613" s="38" t="s">
        <v>24</v>
      </c>
      <c r="R613" s="33" t="s">
        <v>25</v>
      </c>
    </row>
    <row r="614" spans="1:18" ht="15" customHeight="1">
      <c r="A614" s="8" t="s">
        <v>38</v>
      </c>
      <c r="B614" s="8" t="s">
        <v>809</v>
      </c>
      <c r="C614" s="9">
        <v>0.57638888888888895</v>
      </c>
      <c r="D614" s="8" t="s">
        <v>40</v>
      </c>
      <c r="E614" s="8" t="s">
        <v>154</v>
      </c>
      <c r="F614" s="8" t="s">
        <v>475</v>
      </c>
      <c r="G614" s="297"/>
      <c r="H614" s="10"/>
      <c r="I614" s="11"/>
      <c r="J614" s="11"/>
      <c r="K614" s="11"/>
      <c r="L614" s="11"/>
      <c r="M614" s="11"/>
      <c r="N614" s="11"/>
      <c r="O614" s="12"/>
      <c r="P614" s="11"/>
      <c r="Q614" s="13"/>
      <c r="R614" s="14"/>
    </row>
    <row r="615" spans="1:18" ht="15" customHeight="1">
      <c r="A615" s="15" t="s">
        <v>38</v>
      </c>
      <c r="B615" s="15" t="s">
        <v>809</v>
      </c>
      <c r="C615" s="16">
        <v>0.57638888888888895</v>
      </c>
      <c r="D615" s="15" t="s">
        <v>43</v>
      </c>
      <c r="E615" s="15" t="s">
        <v>155</v>
      </c>
      <c r="F615" s="15" t="s">
        <v>121</v>
      </c>
      <c r="G615" s="298"/>
      <c r="H615" s="10"/>
      <c r="I615" s="11"/>
      <c r="J615" s="11"/>
      <c r="K615" s="11"/>
      <c r="L615" s="11"/>
      <c r="M615" s="11"/>
      <c r="N615" s="11"/>
      <c r="O615" s="12"/>
      <c r="P615" s="11"/>
      <c r="Q615" s="13"/>
      <c r="R615" s="14"/>
    </row>
    <row r="616" spans="1:18" ht="15" customHeight="1">
      <c r="A616" s="15" t="s">
        <v>38</v>
      </c>
      <c r="B616" s="15" t="s">
        <v>809</v>
      </c>
      <c r="C616" s="16">
        <v>0.57638888888888895</v>
      </c>
      <c r="D616" s="15" t="s">
        <v>46</v>
      </c>
      <c r="E616" s="15" t="s">
        <v>155</v>
      </c>
      <c r="F616" s="15" t="s">
        <v>810</v>
      </c>
      <c r="G616" s="298"/>
      <c r="H616" s="10"/>
      <c r="I616" s="11"/>
      <c r="J616" s="11"/>
      <c r="K616" s="11"/>
      <c r="L616" s="11"/>
      <c r="M616" s="11"/>
      <c r="N616" s="11"/>
      <c r="O616" s="12"/>
      <c r="P616" s="11"/>
      <c r="Q616" s="13"/>
      <c r="R616" s="14"/>
    </row>
    <row r="617" spans="1:18" ht="15" customHeight="1">
      <c r="A617" s="17" t="s">
        <v>38</v>
      </c>
      <c r="B617" s="17" t="s">
        <v>812</v>
      </c>
      <c r="C617" s="18">
        <v>0.88888888888888884</v>
      </c>
      <c r="D617" s="17" t="s">
        <v>40</v>
      </c>
      <c r="E617" s="17" t="s">
        <v>882</v>
      </c>
      <c r="F617" s="17" t="s">
        <v>475</v>
      </c>
      <c r="G617" s="298"/>
      <c r="H617" s="10"/>
      <c r="I617" s="11"/>
      <c r="J617" s="11"/>
      <c r="K617" s="11"/>
      <c r="L617" s="11"/>
      <c r="M617" s="11"/>
      <c r="N617" s="11"/>
      <c r="O617" s="12"/>
      <c r="P617" s="11"/>
      <c r="Q617" s="13"/>
      <c r="R617" s="14"/>
    </row>
    <row r="618" spans="1:18" ht="15" customHeight="1">
      <c r="A618" s="15" t="s">
        <v>38</v>
      </c>
      <c r="B618" s="15" t="s">
        <v>812</v>
      </c>
      <c r="C618" s="16">
        <v>0.88888888888888884</v>
      </c>
      <c r="D618" s="15" t="s">
        <v>43</v>
      </c>
      <c r="E618" s="15" t="s">
        <v>483</v>
      </c>
      <c r="F618" s="15" t="s">
        <v>121</v>
      </c>
      <c r="G618" s="298"/>
      <c r="H618" s="10"/>
      <c r="I618" s="11"/>
      <c r="J618" s="11"/>
      <c r="K618" s="11"/>
      <c r="L618" s="11"/>
      <c r="M618" s="11"/>
      <c r="N618" s="11"/>
      <c r="O618" s="12"/>
      <c r="P618" s="11"/>
      <c r="Q618" s="13"/>
      <c r="R618" s="14"/>
    </row>
    <row r="619" spans="1:18" ht="15" customHeight="1">
      <c r="A619" s="15" t="s">
        <v>38</v>
      </c>
      <c r="B619" s="15" t="s">
        <v>812</v>
      </c>
      <c r="C619" s="16">
        <v>0.88888888888888884</v>
      </c>
      <c r="D619" s="15" t="s">
        <v>46</v>
      </c>
      <c r="E619" s="15" t="s">
        <v>483</v>
      </c>
      <c r="F619" s="15" t="s">
        <v>810</v>
      </c>
      <c r="G619" s="298"/>
      <c r="H619" s="10"/>
      <c r="I619" s="11"/>
      <c r="J619" s="11"/>
      <c r="K619" s="11"/>
      <c r="L619" s="11"/>
      <c r="M619" s="11"/>
      <c r="N619" s="11"/>
      <c r="O619" s="12"/>
      <c r="P619" s="11"/>
      <c r="Q619" s="13"/>
      <c r="R619" s="14"/>
    </row>
    <row r="620" spans="1:18" ht="15" customHeight="1">
      <c r="A620" s="17" t="s">
        <v>38</v>
      </c>
      <c r="B620" s="17" t="s">
        <v>813</v>
      </c>
      <c r="C620" s="18">
        <v>0.94444444444444453</v>
      </c>
      <c r="D620" s="17" t="s">
        <v>40</v>
      </c>
      <c r="E620" s="17" t="s">
        <v>170</v>
      </c>
      <c r="F620" s="17" t="s">
        <v>475</v>
      </c>
      <c r="G620" s="298"/>
      <c r="H620" s="10"/>
      <c r="I620" s="11"/>
      <c r="J620" s="11"/>
      <c r="K620" s="11"/>
      <c r="L620" s="11"/>
      <c r="M620" s="11"/>
      <c r="N620" s="11"/>
      <c r="O620" s="12"/>
      <c r="P620" s="11"/>
      <c r="Q620" s="13"/>
      <c r="R620" s="14"/>
    </row>
    <row r="621" spans="1:18" ht="15" customHeight="1">
      <c r="A621" s="15" t="s">
        <v>38</v>
      </c>
      <c r="B621" s="15" t="s">
        <v>813</v>
      </c>
      <c r="C621" s="16">
        <v>0.94444444444444453</v>
      </c>
      <c r="D621" s="15" t="s">
        <v>43</v>
      </c>
      <c r="E621" s="15" t="s">
        <v>152</v>
      </c>
      <c r="F621" s="15" t="s">
        <v>121</v>
      </c>
      <c r="G621" s="298"/>
      <c r="H621" s="10"/>
      <c r="I621" s="11"/>
      <c r="J621" s="11"/>
      <c r="K621" s="11"/>
      <c r="L621" s="11"/>
      <c r="M621" s="11"/>
      <c r="N621" s="11"/>
      <c r="O621" s="12"/>
      <c r="P621" s="11"/>
      <c r="Q621" s="13"/>
      <c r="R621" s="14"/>
    </row>
    <row r="622" spans="1:18" ht="15" customHeight="1">
      <c r="A622" s="15" t="s">
        <v>38</v>
      </c>
      <c r="B622" s="15" t="s">
        <v>813</v>
      </c>
      <c r="C622" s="16">
        <v>0.94444444444444453</v>
      </c>
      <c r="D622" s="15" t="s">
        <v>46</v>
      </c>
      <c r="E622" s="15" t="s">
        <v>152</v>
      </c>
      <c r="F622" s="15" t="s">
        <v>810</v>
      </c>
      <c r="G622" s="298"/>
      <c r="H622" s="10"/>
      <c r="I622" s="11"/>
      <c r="J622" s="11"/>
      <c r="K622" s="11"/>
      <c r="L622" s="11"/>
      <c r="M622" s="11"/>
      <c r="N622" s="11"/>
      <c r="O622" s="12"/>
      <c r="P622" s="11"/>
      <c r="Q622" s="13"/>
      <c r="R622" s="14"/>
    </row>
    <row r="623" spans="1:18" ht="15" customHeight="1">
      <c r="A623" s="17" t="s">
        <v>38</v>
      </c>
      <c r="B623" s="17" t="s">
        <v>811</v>
      </c>
      <c r="C623" s="18">
        <v>0.62847222222222221</v>
      </c>
      <c r="D623" s="17" t="s">
        <v>40</v>
      </c>
      <c r="E623" s="17" t="s">
        <v>458</v>
      </c>
      <c r="F623" s="17" t="s">
        <v>872</v>
      </c>
      <c r="G623" s="298"/>
      <c r="H623" s="10"/>
      <c r="I623" s="11"/>
      <c r="J623" s="11"/>
      <c r="K623" s="11"/>
      <c r="L623" s="11"/>
      <c r="M623" s="11"/>
      <c r="N623" s="11"/>
      <c r="O623" s="12"/>
      <c r="P623" s="11"/>
      <c r="Q623" s="13"/>
      <c r="R623" s="14"/>
    </row>
    <row r="624" spans="1:18" ht="15" customHeight="1">
      <c r="A624" s="15" t="s">
        <v>38</v>
      </c>
      <c r="B624" s="15" t="s">
        <v>811</v>
      </c>
      <c r="C624" s="16">
        <v>0.62847222222222221</v>
      </c>
      <c r="D624" s="15" t="s">
        <v>43</v>
      </c>
      <c r="E624" s="15" t="s">
        <v>155</v>
      </c>
      <c r="F624" s="15" t="s">
        <v>349</v>
      </c>
      <c r="G624" s="298"/>
      <c r="H624" s="10"/>
      <c r="I624" s="11"/>
      <c r="J624" s="11"/>
      <c r="K624" s="11"/>
      <c r="L624" s="11"/>
      <c r="M624" s="11"/>
      <c r="N624" s="11"/>
      <c r="O624" s="12"/>
      <c r="P624" s="11"/>
      <c r="Q624" s="13"/>
      <c r="R624" s="14"/>
    </row>
    <row r="625" spans="1:18" ht="15" customHeight="1">
      <c r="A625" s="15" t="s">
        <v>38</v>
      </c>
      <c r="B625" s="15" t="s">
        <v>811</v>
      </c>
      <c r="C625" s="16">
        <v>0.62847222222222221</v>
      </c>
      <c r="D625" s="15" t="s">
        <v>46</v>
      </c>
      <c r="E625" s="15" t="s">
        <v>155</v>
      </c>
      <c r="F625" s="15" t="s">
        <v>810</v>
      </c>
      <c r="G625" s="298"/>
      <c r="H625" s="10"/>
      <c r="I625" s="11"/>
      <c r="J625" s="11"/>
      <c r="K625" s="11"/>
      <c r="L625" s="11"/>
      <c r="M625" s="11"/>
      <c r="N625" s="11"/>
      <c r="O625" s="12"/>
      <c r="P625" s="11"/>
      <c r="Q625" s="13"/>
      <c r="R625" s="14"/>
    </row>
    <row r="626" spans="1:18" ht="15" customHeight="1">
      <c r="A626" s="19" t="s">
        <v>359</v>
      </c>
      <c r="B626" s="19" t="s">
        <v>814</v>
      </c>
      <c r="C626" s="20">
        <v>0.3298611111111111</v>
      </c>
      <c r="D626" s="19" t="s">
        <v>361</v>
      </c>
      <c r="E626" s="19" t="s">
        <v>80</v>
      </c>
      <c r="F626" s="19" t="s">
        <v>883</v>
      </c>
      <c r="G626" s="298"/>
      <c r="H626" s="10"/>
      <c r="I626" s="11"/>
      <c r="J626" s="11"/>
      <c r="K626" s="11"/>
      <c r="L626" s="11"/>
      <c r="M626" s="11"/>
      <c r="N626" s="11"/>
      <c r="O626" s="12"/>
      <c r="P626" s="11"/>
      <c r="Q626" s="13"/>
      <c r="R626" s="14"/>
    </row>
    <row r="627" spans="1:18" ht="15" customHeight="1">
      <c r="A627" s="15" t="s">
        <v>359</v>
      </c>
      <c r="B627" s="15" t="s">
        <v>814</v>
      </c>
      <c r="C627" s="16">
        <v>0.3298611111111111</v>
      </c>
      <c r="D627" s="15" t="s">
        <v>46</v>
      </c>
      <c r="E627" s="15" t="s">
        <v>82</v>
      </c>
      <c r="F627" s="15" t="s">
        <v>886</v>
      </c>
      <c r="G627" s="298"/>
      <c r="H627" s="10"/>
      <c r="I627" s="11"/>
      <c r="J627" s="11"/>
      <c r="K627" s="11"/>
      <c r="L627" s="11"/>
      <c r="M627" s="11"/>
      <c r="N627" s="11"/>
      <c r="O627" s="12"/>
      <c r="P627" s="11"/>
      <c r="Q627" s="13"/>
      <c r="R627" s="14"/>
    </row>
    <row r="628" spans="1:18" ht="15" customHeight="1">
      <c r="A628" s="19" t="s">
        <v>68</v>
      </c>
      <c r="B628" s="19" t="s">
        <v>842</v>
      </c>
      <c r="C628" s="20">
        <v>0.98263888888888884</v>
      </c>
      <c r="D628" s="19" t="s">
        <v>643</v>
      </c>
      <c r="E628" s="19" t="s">
        <v>51</v>
      </c>
      <c r="F628" s="19" t="s">
        <v>891</v>
      </c>
      <c r="G628" s="298"/>
      <c r="H628" s="10"/>
      <c r="I628" s="11"/>
      <c r="J628" s="11"/>
      <c r="K628" s="11"/>
      <c r="L628" s="11"/>
      <c r="M628" s="11"/>
      <c r="N628" s="11"/>
      <c r="O628" s="12"/>
      <c r="P628" s="11"/>
      <c r="Q628" s="13"/>
      <c r="R628" s="14"/>
    </row>
    <row r="629" spans="1:18" ht="15" customHeight="1">
      <c r="A629" s="17" t="s">
        <v>68</v>
      </c>
      <c r="B629" s="17" t="s">
        <v>843</v>
      </c>
      <c r="C629" s="18">
        <v>0.35416666666666669</v>
      </c>
      <c r="D629" s="17" t="s">
        <v>70</v>
      </c>
      <c r="E629" s="17" t="s">
        <v>57</v>
      </c>
      <c r="F629" s="17" t="s">
        <v>404</v>
      </c>
      <c r="G629" s="298"/>
      <c r="H629" s="10"/>
      <c r="I629" s="11"/>
      <c r="J629" s="11"/>
      <c r="K629" s="11"/>
      <c r="L629" s="11"/>
      <c r="M629" s="11"/>
      <c r="N629" s="11"/>
      <c r="O629" s="12"/>
      <c r="P629" s="11"/>
      <c r="Q629" s="13"/>
      <c r="R629" s="14"/>
    </row>
    <row r="630" spans="1:18" ht="15" customHeight="1">
      <c r="A630" s="17" t="s">
        <v>68</v>
      </c>
      <c r="B630" s="17" t="s">
        <v>844</v>
      </c>
      <c r="C630" s="18">
        <v>0.72916666666666663</v>
      </c>
      <c r="D630" s="17" t="s">
        <v>70</v>
      </c>
      <c r="E630" s="17" t="s">
        <v>57</v>
      </c>
      <c r="F630" s="17" t="s">
        <v>892</v>
      </c>
      <c r="G630" s="298"/>
      <c r="H630" s="10"/>
      <c r="I630" s="11"/>
      <c r="J630" s="11"/>
      <c r="K630" s="11"/>
      <c r="L630" s="11"/>
      <c r="M630" s="11"/>
      <c r="N630" s="11"/>
      <c r="O630" s="12"/>
      <c r="P630" s="11"/>
      <c r="Q630" s="13"/>
      <c r="R630" s="14"/>
    </row>
    <row r="631" spans="1:18" ht="15" customHeight="1">
      <c r="A631" s="49" t="s">
        <v>61</v>
      </c>
      <c r="B631" s="49" t="s">
        <v>852</v>
      </c>
      <c r="C631" s="50">
        <v>0.72569444444444453</v>
      </c>
      <c r="D631" s="49" t="s">
        <v>63</v>
      </c>
      <c r="E631" s="49" t="s">
        <v>51</v>
      </c>
      <c r="F631" s="49" t="s">
        <v>817</v>
      </c>
      <c r="G631" s="298"/>
      <c r="H631" s="51" t="s">
        <v>854</v>
      </c>
      <c r="I631" s="52">
        <v>1.12E-2</v>
      </c>
      <c r="J631" s="53">
        <v>2</v>
      </c>
      <c r="K631" s="54">
        <v>46338</v>
      </c>
      <c r="L631" s="53">
        <v>2</v>
      </c>
      <c r="M631" s="53">
        <v>0</v>
      </c>
      <c r="N631" s="53">
        <v>0</v>
      </c>
      <c r="O631" s="55" t="s">
        <v>326</v>
      </c>
      <c r="P631" s="56">
        <v>0.72569444444444453</v>
      </c>
      <c r="Q631" s="53">
        <v>179</v>
      </c>
      <c r="R631" s="57" t="s">
        <v>325</v>
      </c>
    </row>
    <row r="632" spans="1:18" ht="15" customHeight="1">
      <c r="A632" s="19" t="s">
        <v>26</v>
      </c>
      <c r="B632" s="19" t="s">
        <v>820</v>
      </c>
      <c r="C632" s="20">
        <v>0.4375</v>
      </c>
      <c r="D632" s="19" t="s">
        <v>28</v>
      </c>
      <c r="E632" s="19" t="s">
        <v>80</v>
      </c>
      <c r="F632" s="19" t="s">
        <v>81</v>
      </c>
      <c r="G632" s="298"/>
      <c r="H632" s="10"/>
      <c r="I632" s="11"/>
      <c r="J632" s="11"/>
      <c r="K632" s="11"/>
      <c r="L632" s="11"/>
      <c r="M632" s="11"/>
      <c r="N632" s="11"/>
      <c r="O632" s="12"/>
      <c r="P632" s="11"/>
      <c r="Q632" s="13"/>
      <c r="R632" s="14"/>
    </row>
    <row r="633" spans="1:18" ht="15" customHeight="1">
      <c r="A633" s="15" t="s">
        <v>26</v>
      </c>
      <c r="B633" s="15" t="s">
        <v>820</v>
      </c>
      <c r="C633" s="16">
        <v>0.4375</v>
      </c>
      <c r="D633" s="15" t="s">
        <v>31</v>
      </c>
      <c r="E633" s="15" t="s">
        <v>82</v>
      </c>
      <c r="F633" s="15" t="s">
        <v>83</v>
      </c>
      <c r="G633" s="298"/>
      <c r="H633" s="10"/>
      <c r="I633" s="11"/>
      <c r="J633" s="11"/>
      <c r="K633" s="11"/>
      <c r="L633" s="11"/>
      <c r="M633" s="11"/>
      <c r="N633" s="11"/>
      <c r="O633" s="12"/>
      <c r="P633" s="11"/>
      <c r="Q633" s="13"/>
      <c r="R633" s="14"/>
    </row>
    <row r="634" spans="1:18" ht="15" customHeight="1">
      <c r="A634" s="15" t="s">
        <v>26</v>
      </c>
      <c r="B634" s="15" t="s">
        <v>820</v>
      </c>
      <c r="C634" s="16">
        <v>0.4375</v>
      </c>
      <c r="D634" s="15" t="s">
        <v>34</v>
      </c>
      <c r="E634" s="15" t="s">
        <v>82</v>
      </c>
      <c r="F634" s="15" t="s">
        <v>45</v>
      </c>
      <c r="G634" s="298"/>
      <c r="H634" s="10"/>
      <c r="I634" s="11"/>
      <c r="J634" s="11"/>
      <c r="K634" s="11"/>
      <c r="L634" s="11"/>
      <c r="M634" s="11"/>
      <c r="N634" s="11"/>
      <c r="O634" s="12"/>
      <c r="P634" s="11"/>
      <c r="Q634" s="13"/>
      <c r="R634" s="14"/>
    </row>
    <row r="635" spans="1:18" ht="15" customHeight="1">
      <c r="A635" s="17" t="s">
        <v>26</v>
      </c>
      <c r="B635" s="17" t="s">
        <v>826</v>
      </c>
      <c r="C635" s="18">
        <v>0.95833333333333337</v>
      </c>
      <c r="D635" s="17" t="s">
        <v>28</v>
      </c>
      <c r="E635" s="17" t="s">
        <v>90</v>
      </c>
      <c r="F635" s="17" t="s">
        <v>81</v>
      </c>
      <c r="G635" s="298"/>
      <c r="H635" s="10"/>
      <c r="I635" s="11"/>
      <c r="J635" s="11"/>
      <c r="K635" s="11"/>
      <c r="L635" s="11"/>
      <c r="M635" s="11"/>
      <c r="N635" s="11"/>
      <c r="O635" s="12"/>
      <c r="P635" s="11"/>
      <c r="Q635" s="13"/>
      <c r="R635" s="14"/>
    </row>
    <row r="636" spans="1:18" ht="15" customHeight="1">
      <c r="A636" s="15" t="s">
        <v>26</v>
      </c>
      <c r="B636" s="15" t="s">
        <v>826</v>
      </c>
      <c r="C636" s="16">
        <v>0.95833333333333337</v>
      </c>
      <c r="D636" s="15" t="s">
        <v>31</v>
      </c>
      <c r="E636" s="15" t="s">
        <v>82</v>
      </c>
      <c r="F636" s="15" t="s">
        <v>83</v>
      </c>
      <c r="G636" s="298"/>
      <c r="H636" s="10"/>
      <c r="I636" s="11"/>
      <c r="J636" s="11"/>
      <c r="K636" s="11"/>
      <c r="L636" s="11"/>
      <c r="M636" s="11"/>
      <c r="N636" s="11"/>
      <c r="O636" s="12"/>
      <c r="P636" s="11"/>
      <c r="Q636" s="13"/>
      <c r="R636" s="14"/>
    </row>
    <row r="637" spans="1:18" ht="15" customHeight="1">
      <c r="A637" s="15" t="s">
        <v>26</v>
      </c>
      <c r="B637" s="15" t="s">
        <v>826</v>
      </c>
      <c r="C637" s="16">
        <v>0.95833333333333337</v>
      </c>
      <c r="D637" s="15" t="s">
        <v>34</v>
      </c>
      <c r="E637" s="15" t="s">
        <v>82</v>
      </c>
      <c r="F637" s="15" t="s">
        <v>45</v>
      </c>
      <c r="G637" s="298"/>
      <c r="H637" s="10"/>
      <c r="I637" s="11"/>
      <c r="J637" s="11"/>
      <c r="K637" s="11"/>
      <c r="L637" s="11"/>
      <c r="M637" s="11"/>
      <c r="N637" s="11"/>
      <c r="O637" s="12"/>
      <c r="P637" s="11"/>
      <c r="Q637" s="13"/>
      <c r="R637" s="14"/>
    </row>
    <row r="638" spans="1:18" ht="15" customHeight="1">
      <c r="A638" s="17" t="s">
        <v>26</v>
      </c>
      <c r="B638" s="17" t="s">
        <v>821</v>
      </c>
      <c r="C638" s="18">
        <v>0.63194444444444442</v>
      </c>
      <c r="D638" s="17" t="s">
        <v>28</v>
      </c>
      <c r="E638" s="17" t="s">
        <v>90</v>
      </c>
      <c r="F638" s="17" t="s">
        <v>81</v>
      </c>
      <c r="G638" s="298"/>
      <c r="H638" s="10"/>
      <c r="I638" s="11"/>
      <c r="J638" s="11"/>
      <c r="K638" s="11"/>
      <c r="L638" s="11"/>
      <c r="M638" s="11"/>
      <c r="N638" s="11"/>
      <c r="O638" s="12"/>
      <c r="P638" s="11"/>
      <c r="Q638" s="13"/>
      <c r="R638" s="14"/>
    </row>
    <row r="639" spans="1:18" ht="15" customHeight="1">
      <c r="A639" s="15" t="s">
        <v>26</v>
      </c>
      <c r="B639" s="15" t="s">
        <v>821</v>
      </c>
      <c r="C639" s="16">
        <v>0.63194444444444442</v>
      </c>
      <c r="D639" s="15" t="s">
        <v>31</v>
      </c>
      <c r="E639" s="15" t="s">
        <v>82</v>
      </c>
      <c r="F639" s="15" t="s">
        <v>83</v>
      </c>
      <c r="G639" s="298"/>
      <c r="H639" s="10"/>
      <c r="I639" s="11"/>
      <c r="J639" s="11"/>
      <c r="K639" s="11"/>
      <c r="L639" s="11"/>
      <c r="M639" s="11"/>
      <c r="N639" s="11"/>
      <c r="O639" s="12"/>
      <c r="P639" s="11"/>
      <c r="Q639" s="13"/>
      <c r="R639" s="14"/>
    </row>
    <row r="640" spans="1:18" ht="15" customHeight="1">
      <c r="A640" s="15" t="s">
        <v>26</v>
      </c>
      <c r="B640" s="15" t="s">
        <v>821</v>
      </c>
      <c r="C640" s="16">
        <v>0.63194444444444442</v>
      </c>
      <c r="D640" s="15" t="s">
        <v>34</v>
      </c>
      <c r="E640" s="15" t="s">
        <v>82</v>
      </c>
      <c r="F640" s="15" t="s">
        <v>45</v>
      </c>
      <c r="G640" s="298"/>
      <c r="H640" s="10"/>
      <c r="I640" s="11"/>
      <c r="J640" s="11"/>
      <c r="K640" s="11"/>
      <c r="L640" s="11"/>
      <c r="M640" s="11"/>
      <c r="N640" s="11"/>
      <c r="O640" s="12"/>
      <c r="P640" s="11"/>
      <c r="Q640" s="13"/>
      <c r="R640" s="14"/>
    </row>
    <row r="641" spans="1:18" ht="15" customHeight="1">
      <c r="A641" s="17" t="s">
        <v>26</v>
      </c>
      <c r="B641" s="17" t="s">
        <v>822</v>
      </c>
      <c r="C641" s="18">
        <v>0.55902777777777779</v>
      </c>
      <c r="D641" s="17" t="s">
        <v>28</v>
      </c>
      <c r="E641" s="17" t="s">
        <v>90</v>
      </c>
      <c r="F641" s="17" t="s">
        <v>81</v>
      </c>
      <c r="G641" s="298"/>
      <c r="H641" s="10"/>
      <c r="I641" s="11"/>
      <c r="J641" s="11"/>
      <c r="K641" s="11"/>
      <c r="L641" s="11"/>
      <c r="M641" s="11"/>
      <c r="N641" s="11"/>
      <c r="O641" s="12"/>
      <c r="P641" s="11"/>
      <c r="Q641" s="13"/>
      <c r="R641" s="14"/>
    </row>
    <row r="642" spans="1:18" ht="15" customHeight="1">
      <c r="A642" s="15" t="s">
        <v>26</v>
      </c>
      <c r="B642" s="15" t="s">
        <v>822</v>
      </c>
      <c r="C642" s="16">
        <v>0.55902777777777779</v>
      </c>
      <c r="D642" s="15" t="s">
        <v>31</v>
      </c>
      <c r="E642" s="15" t="s">
        <v>82</v>
      </c>
      <c r="F642" s="15" t="s">
        <v>83</v>
      </c>
      <c r="G642" s="298"/>
      <c r="H642" s="10"/>
      <c r="I642" s="11"/>
      <c r="J642" s="11"/>
      <c r="K642" s="11"/>
      <c r="L642" s="11"/>
      <c r="M642" s="11"/>
      <c r="N642" s="11"/>
      <c r="O642" s="12"/>
      <c r="P642" s="11"/>
      <c r="Q642" s="13"/>
      <c r="R642" s="14"/>
    </row>
    <row r="643" spans="1:18" ht="15" customHeight="1">
      <c r="A643" s="15" t="s">
        <v>26</v>
      </c>
      <c r="B643" s="15" t="s">
        <v>822</v>
      </c>
      <c r="C643" s="16">
        <v>0.55902777777777779</v>
      </c>
      <c r="D643" s="15" t="s">
        <v>34</v>
      </c>
      <c r="E643" s="15" t="s">
        <v>82</v>
      </c>
      <c r="F643" s="15" t="s">
        <v>45</v>
      </c>
      <c r="G643" s="298"/>
      <c r="H643" s="10"/>
      <c r="I643" s="11"/>
      <c r="J643" s="11"/>
      <c r="K643" s="11"/>
      <c r="L643" s="11"/>
      <c r="M643" s="11"/>
      <c r="N643" s="11"/>
      <c r="O643" s="12"/>
      <c r="P643" s="11"/>
      <c r="Q643" s="13"/>
      <c r="R643" s="14"/>
    </row>
    <row r="644" spans="1:18" ht="15" customHeight="1">
      <c r="A644" s="17" t="s">
        <v>26</v>
      </c>
      <c r="B644" s="17" t="s">
        <v>823</v>
      </c>
      <c r="C644" s="18">
        <v>0.81944444444444453</v>
      </c>
      <c r="D644" s="17" t="s">
        <v>28</v>
      </c>
      <c r="E644" s="17" t="s">
        <v>90</v>
      </c>
      <c r="F644" s="17" t="s">
        <v>81</v>
      </c>
      <c r="G644" s="298"/>
      <c r="H644" s="10"/>
      <c r="I644" s="11"/>
      <c r="J644" s="11"/>
      <c r="K644" s="11"/>
      <c r="L644" s="11"/>
      <c r="M644" s="11"/>
      <c r="N644" s="11"/>
      <c r="O644" s="12"/>
      <c r="P644" s="11"/>
      <c r="Q644" s="13"/>
      <c r="R644" s="14"/>
    </row>
    <row r="645" spans="1:18" ht="15" customHeight="1">
      <c r="A645" s="15" t="s">
        <v>26</v>
      </c>
      <c r="B645" s="15" t="s">
        <v>823</v>
      </c>
      <c r="C645" s="16">
        <v>0.81944444444444453</v>
      </c>
      <c r="D645" s="15" t="s">
        <v>31</v>
      </c>
      <c r="E645" s="15" t="s">
        <v>82</v>
      </c>
      <c r="F645" s="15" t="s">
        <v>83</v>
      </c>
      <c r="G645" s="298"/>
      <c r="H645" s="10"/>
      <c r="I645" s="11"/>
      <c r="J645" s="11"/>
      <c r="K645" s="11"/>
      <c r="L645" s="11"/>
      <c r="M645" s="11"/>
      <c r="N645" s="11"/>
      <c r="O645" s="12"/>
      <c r="P645" s="11"/>
      <c r="Q645" s="13"/>
      <c r="R645" s="14"/>
    </row>
    <row r="646" spans="1:18" ht="15" customHeight="1">
      <c r="A646" s="15" t="s">
        <v>26</v>
      </c>
      <c r="B646" s="15" t="s">
        <v>823</v>
      </c>
      <c r="C646" s="16">
        <v>0.81944444444444453</v>
      </c>
      <c r="D646" s="15" t="s">
        <v>34</v>
      </c>
      <c r="E646" s="15" t="s">
        <v>82</v>
      </c>
      <c r="F646" s="15" t="s">
        <v>45</v>
      </c>
      <c r="G646" s="298"/>
      <c r="H646" s="10"/>
      <c r="I646" s="11"/>
      <c r="J646" s="11"/>
      <c r="K646" s="11"/>
      <c r="L646" s="11"/>
      <c r="M646" s="11"/>
      <c r="N646" s="11"/>
      <c r="O646" s="12"/>
      <c r="P646" s="11"/>
      <c r="Q646" s="13"/>
      <c r="R646" s="14"/>
    </row>
    <row r="647" spans="1:18" ht="15" customHeight="1">
      <c r="A647" s="17" t="s">
        <v>26</v>
      </c>
      <c r="B647" s="17" t="s">
        <v>824</v>
      </c>
      <c r="C647" s="18">
        <v>0.50694444444444442</v>
      </c>
      <c r="D647" s="17" t="s">
        <v>28</v>
      </c>
      <c r="E647" s="17" t="s">
        <v>90</v>
      </c>
      <c r="F647" s="17" t="s">
        <v>81</v>
      </c>
      <c r="G647" s="298"/>
      <c r="H647" s="10"/>
      <c r="I647" s="11"/>
      <c r="J647" s="11"/>
      <c r="K647" s="11"/>
      <c r="L647" s="11"/>
      <c r="M647" s="11"/>
      <c r="N647" s="11"/>
      <c r="O647" s="12"/>
      <c r="P647" s="11"/>
      <c r="Q647" s="13"/>
      <c r="R647" s="14"/>
    </row>
    <row r="648" spans="1:18" ht="15" customHeight="1">
      <c r="A648" s="15" t="s">
        <v>26</v>
      </c>
      <c r="B648" s="15" t="s">
        <v>824</v>
      </c>
      <c r="C648" s="16">
        <v>0.50694444444444442</v>
      </c>
      <c r="D648" s="15" t="s">
        <v>31</v>
      </c>
      <c r="E648" s="15" t="s">
        <v>82</v>
      </c>
      <c r="F648" s="15" t="s">
        <v>83</v>
      </c>
      <c r="G648" s="298"/>
      <c r="H648" s="10"/>
      <c r="I648" s="11"/>
      <c r="J648" s="11"/>
      <c r="K648" s="11"/>
      <c r="L648" s="11"/>
      <c r="M648" s="11"/>
      <c r="N648" s="11"/>
      <c r="O648" s="12"/>
      <c r="P648" s="11"/>
      <c r="Q648" s="13"/>
      <c r="R648" s="14"/>
    </row>
    <row r="649" spans="1:18" ht="15" customHeight="1">
      <c r="A649" s="15" t="s">
        <v>26</v>
      </c>
      <c r="B649" s="15" t="s">
        <v>824</v>
      </c>
      <c r="C649" s="16">
        <v>0.50694444444444442</v>
      </c>
      <c r="D649" s="15" t="s">
        <v>34</v>
      </c>
      <c r="E649" s="15" t="s">
        <v>82</v>
      </c>
      <c r="F649" s="15" t="s">
        <v>45</v>
      </c>
      <c r="G649" s="298"/>
      <c r="H649" s="10"/>
      <c r="I649" s="11"/>
      <c r="J649" s="11"/>
      <c r="K649" s="11"/>
      <c r="L649" s="11"/>
      <c r="M649" s="11"/>
      <c r="N649" s="11"/>
      <c r="O649" s="12"/>
      <c r="P649" s="11"/>
      <c r="Q649" s="13"/>
      <c r="R649" s="14"/>
    </row>
    <row r="650" spans="1:18" ht="15" customHeight="1">
      <c r="A650" s="17" t="s">
        <v>26</v>
      </c>
      <c r="B650" s="17" t="s">
        <v>825</v>
      </c>
      <c r="C650" s="18">
        <v>0.69791666666666663</v>
      </c>
      <c r="D650" s="17" t="s">
        <v>28</v>
      </c>
      <c r="E650" s="17" t="s">
        <v>90</v>
      </c>
      <c r="F650" s="17" t="s">
        <v>81</v>
      </c>
      <c r="G650" s="298"/>
      <c r="H650" s="10"/>
      <c r="I650" s="11"/>
      <c r="J650" s="11"/>
      <c r="K650" s="11"/>
      <c r="L650" s="11"/>
      <c r="M650" s="11"/>
      <c r="N650" s="11"/>
      <c r="O650" s="12"/>
      <c r="P650" s="11"/>
      <c r="Q650" s="13"/>
      <c r="R650" s="14"/>
    </row>
    <row r="651" spans="1:18" ht="15" customHeight="1">
      <c r="A651" s="15" t="s">
        <v>26</v>
      </c>
      <c r="B651" s="15" t="s">
        <v>825</v>
      </c>
      <c r="C651" s="16">
        <v>0.69791666666666663</v>
      </c>
      <c r="D651" s="15" t="s">
        <v>31</v>
      </c>
      <c r="E651" s="15" t="s">
        <v>82</v>
      </c>
      <c r="F651" s="15" t="s">
        <v>83</v>
      </c>
      <c r="G651" s="298"/>
      <c r="H651" s="10"/>
      <c r="I651" s="11"/>
      <c r="J651" s="11"/>
      <c r="K651" s="11"/>
      <c r="L651" s="11"/>
      <c r="M651" s="11"/>
      <c r="N651" s="11"/>
      <c r="O651" s="12"/>
      <c r="P651" s="11"/>
      <c r="Q651" s="13"/>
      <c r="R651" s="14"/>
    </row>
    <row r="652" spans="1:18" ht="15" customHeight="1">
      <c r="A652" s="15" t="s">
        <v>26</v>
      </c>
      <c r="B652" s="15" t="s">
        <v>825</v>
      </c>
      <c r="C652" s="16">
        <v>0.69791666666666663</v>
      </c>
      <c r="D652" s="15" t="s">
        <v>34</v>
      </c>
      <c r="E652" s="15" t="s">
        <v>82</v>
      </c>
      <c r="F652" s="15" t="s">
        <v>45</v>
      </c>
      <c r="G652" s="298"/>
      <c r="H652" s="10"/>
      <c r="I652" s="11"/>
      <c r="J652" s="11"/>
      <c r="K652" s="11"/>
      <c r="L652" s="11"/>
      <c r="M652" s="11"/>
      <c r="N652" s="11"/>
      <c r="O652" s="12"/>
      <c r="P652" s="11"/>
      <c r="Q652" s="13"/>
      <c r="R652" s="14"/>
    </row>
    <row r="653" spans="1:18" ht="15" customHeight="1">
      <c r="A653" s="19" t="s">
        <v>48</v>
      </c>
      <c r="B653" s="19" t="s">
        <v>833</v>
      </c>
      <c r="C653" s="20">
        <v>0.44444444444444442</v>
      </c>
      <c r="D653" s="19" t="s">
        <v>50</v>
      </c>
      <c r="E653" s="19" t="s">
        <v>51</v>
      </c>
      <c r="F653" s="19" t="s">
        <v>873</v>
      </c>
      <c r="G653" s="298"/>
      <c r="H653" s="10"/>
      <c r="I653" s="11"/>
      <c r="J653" s="11"/>
      <c r="K653" s="11"/>
      <c r="L653" s="11"/>
      <c r="M653" s="11"/>
      <c r="N653" s="11"/>
      <c r="O653" s="12"/>
      <c r="P653" s="11"/>
      <c r="Q653" s="13"/>
      <c r="R653" s="14"/>
    </row>
    <row r="654" spans="1:18" ht="15" customHeight="1">
      <c r="A654" s="15" t="s">
        <v>48</v>
      </c>
      <c r="B654" s="15" t="s">
        <v>833</v>
      </c>
      <c r="C654" s="16">
        <v>0.44444444444444442</v>
      </c>
      <c r="D654" s="15" t="s">
        <v>53</v>
      </c>
      <c r="E654" s="15" t="s">
        <v>54</v>
      </c>
      <c r="F654" s="15" t="s">
        <v>874</v>
      </c>
      <c r="G654" s="298"/>
      <c r="H654" s="10"/>
      <c r="I654" s="11"/>
      <c r="J654" s="11"/>
      <c r="K654" s="11"/>
      <c r="L654" s="11"/>
      <c r="M654" s="11"/>
      <c r="N654" s="11"/>
      <c r="O654" s="12"/>
      <c r="P654" s="11"/>
      <c r="Q654" s="13"/>
      <c r="R654" s="14"/>
    </row>
    <row r="655" spans="1:18" ht="15" customHeight="1">
      <c r="A655" s="17" t="s">
        <v>48</v>
      </c>
      <c r="B655" s="17" t="s">
        <v>828</v>
      </c>
      <c r="C655" s="18">
        <v>0.82986111111111116</v>
      </c>
      <c r="D655" s="17" t="s">
        <v>50</v>
      </c>
      <c r="E655" s="17" t="s">
        <v>57</v>
      </c>
      <c r="F655" s="17" t="s">
        <v>873</v>
      </c>
      <c r="G655" s="298"/>
      <c r="H655" s="10"/>
      <c r="I655" s="11"/>
      <c r="J655" s="11"/>
      <c r="K655" s="11"/>
      <c r="L655" s="11"/>
      <c r="M655" s="11"/>
      <c r="N655" s="11"/>
      <c r="O655" s="12"/>
      <c r="P655" s="11"/>
      <c r="Q655" s="13"/>
      <c r="R655" s="14"/>
    </row>
    <row r="656" spans="1:18" ht="15" customHeight="1">
      <c r="A656" s="15" t="s">
        <v>48</v>
      </c>
      <c r="B656" s="15" t="s">
        <v>828</v>
      </c>
      <c r="C656" s="16">
        <v>0.82986111111111116</v>
      </c>
      <c r="D656" s="15" t="s">
        <v>53</v>
      </c>
      <c r="E656" s="15" t="s">
        <v>54</v>
      </c>
      <c r="F656" s="15" t="s">
        <v>874</v>
      </c>
      <c r="G656" s="298"/>
      <c r="H656" s="10"/>
      <c r="I656" s="11"/>
      <c r="J656" s="11"/>
      <c r="K656" s="11"/>
      <c r="L656" s="11"/>
      <c r="M656" s="11"/>
      <c r="N656" s="11"/>
      <c r="O656" s="12"/>
      <c r="P656" s="11"/>
      <c r="Q656" s="13"/>
      <c r="R656" s="14"/>
    </row>
    <row r="657" spans="1:18" ht="15" customHeight="1">
      <c r="A657" s="17" t="s">
        <v>48</v>
      </c>
      <c r="B657" s="17" t="s">
        <v>884</v>
      </c>
      <c r="C657" s="18">
        <v>0.20833333333333329</v>
      </c>
      <c r="D657" s="17" t="s">
        <v>50</v>
      </c>
      <c r="E657" s="17" t="s">
        <v>57</v>
      </c>
      <c r="F657" s="17" t="s">
        <v>873</v>
      </c>
      <c r="G657" s="298"/>
      <c r="H657" s="10"/>
      <c r="I657" s="11"/>
      <c r="J657" s="11"/>
      <c r="K657" s="11"/>
      <c r="L657" s="11"/>
      <c r="M657" s="11"/>
      <c r="N657" s="11"/>
      <c r="O657" s="12"/>
      <c r="P657" s="11"/>
      <c r="Q657" s="13"/>
      <c r="R657" s="14"/>
    </row>
    <row r="658" spans="1:18" ht="15" customHeight="1">
      <c r="A658" s="15" t="s">
        <v>48</v>
      </c>
      <c r="B658" s="15" t="s">
        <v>884</v>
      </c>
      <c r="C658" s="16">
        <v>0.20833333333333329</v>
      </c>
      <c r="D658" s="15" t="s">
        <v>53</v>
      </c>
      <c r="E658" s="15" t="s">
        <v>54</v>
      </c>
      <c r="F658" s="15" t="s">
        <v>874</v>
      </c>
      <c r="G658" s="298"/>
      <c r="H658" s="10"/>
      <c r="I658" s="11"/>
      <c r="J658" s="11"/>
      <c r="K658" s="11"/>
      <c r="L658" s="11"/>
      <c r="M658" s="11"/>
      <c r="N658" s="11"/>
      <c r="O658" s="12"/>
      <c r="P658" s="11"/>
      <c r="Q658" s="13"/>
      <c r="R658" s="14"/>
    </row>
    <row r="659" spans="1:18" ht="15" customHeight="1">
      <c r="A659" s="17" t="s">
        <v>48</v>
      </c>
      <c r="B659" s="17" t="s">
        <v>831</v>
      </c>
      <c r="C659" s="18">
        <v>0.98263888888888884</v>
      </c>
      <c r="D659" s="17" t="s">
        <v>50</v>
      </c>
      <c r="E659" s="17" t="s">
        <v>57</v>
      </c>
      <c r="F659" s="17" t="s">
        <v>873</v>
      </c>
      <c r="G659" s="298"/>
      <c r="H659" s="10"/>
      <c r="I659" s="11"/>
      <c r="J659" s="11"/>
      <c r="K659" s="11"/>
      <c r="L659" s="11"/>
      <c r="M659" s="11"/>
      <c r="N659" s="11"/>
      <c r="O659" s="12"/>
      <c r="P659" s="11"/>
      <c r="Q659" s="13"/>
      <c r="R659" s="14"/>
    </row>
    <row r="660" spans="1:18" ht="15" customHeight="1">
      <c r="A660" s="15" t="s">
        <v>48</v>
      </c>
      <c r="B660" s="15" t="s">
        <v>831</v>
      </c>
      <c r="C660" s="16">
        <v>0.98263888888888884</v>
      </c>
      <c r="D660" s="15" t="s">
        <v>53</v>
      </c>
      <c r="E660" s="15" t="s">
        <v>54</v>
      </c>
      <c r="F660" s="15" t="s">
        <v>874</v>
      </c>
      <c r="G660" s="298"/>
      <c r="H660" s="10"/>
      <c r="I660" s="11"/>
      <c r="J660" s="11"/>
      <c r="K660" s="11"/>
      <c r="L660" s="11"/>
      <c r="M660" s="11"/>
      <c r="N660" s="11"/>
      <c r="O660" s="12"/>
      <c r="P660" s="11"/>
      <c r="Q660" s="13"/>
      <c r="R660" s="14"/>
    </row>
    <row r="661" spans="1:18" ht="15" customHeight="1">
      <c r="A661" s="17" t="s">
        <v>48</v>
      </c>
      <c r="B661" s="17" t="s">
        <v>832</v>
      </c>
      <c r="C661" s="18">
        <v>0.62847222222222221</v>
      </c>
      <c r="D661" s="17" t="s">
        <v>50</v>
      </c>
      <c r="E661" s="17" t="s">
        <v>57</v>
      </c>
      <c r="F661" s="17" t="s">
        <v>873</v>
      </c>
      <c r="G661" s="298"/>
      <c r="H661" s="10"/>
      <c r="I661" s="11"/>
      <c r="J661" s="11"/>
      <c r="K661" s="11"/>
      <c r="L661" s="11"/>
      <c r="M661" s="11"/>
      <c r="N661" s="11"/>
      <c r="O661" s="12"/>
      <c r="P661" s="11"/>
      <c r="Q661" s="13"/>
      <c r="R661" s="14"/>
    </row>
    <row r="662" spans="1:18" ht="15" customHeight="1">
      <c r="A662" s="15" t="s">
        <v>48</v>
      </c>
      <c r="B662" s="15" t="s">
        <v>832</v>
      </c>
      <c r="C662" s="16">
        <v>0.62847222222222221</v>
      </c>
      <c r="D662" s="15" t="s">
        <v>53</v>
      </c>
      <c r="E662" s="15" t="s">
        <v>54</v>
      </c>
      <c r="F662" s="15" t="s">
        <v>874</v>
      </c>
      <c r="G662" s="298"/>
      <c r="H662" s="10"/>
      <c r="I662" s="11"/>
      <c r="J662" s="11"/>
      <c r="K662" s="11"/>
      <c r="L662" s="11"/>
      <c r="M662" s="11"/>
      <c r="N662" s="11"/>
      <c r="O662" s="12"/>
      <c r="P662" s="11"/>
      <c r="Q662" s="13"/>
      <c r="R662" s="14"/>
    </row>
    <row r="663" spans="1:18" ht="15" customHeight="1">
      <c r="A663" s="17" t="s">
        <v>48</v>
      </c>
      <c r="B663" s="17" t="s">
        <v>835</v>
      </c>
      <c r="C663" s="18">
        <v>0.88888888888888884</v>
      </c>
      <c r="D663" s="17" t="s">
        <v>53</v>
      </c>
      <c r="E663" s="17" t="s">
        <v>37</v>
      </c>
      <c r="F663" s="17" t="s">
        <v>836</v>
      </c>
      <c r="G663" s="298"/>
      <c r="H663" s="10"/>
      <c r="I663" s="11"/>
      <c r="J663" s="11"/>
      <c r="K663" s="11"/>
      <c r="L663" s="11"/>
      <c r="M663" s="11"/>
      <c r="N663" s="11"/>
      <c r="O663" s="12"/>
      <c r="P663" s="11"/>
      <c r="Q663" s="13"/>
      <c r="R663" s="14"/>
    </row>
    <row r="664" spans="1:18" ht="15" customHeight="1">
      <c r="A664" s="17" t="s">
        <v>48</v>
      </c>
      <c r="B664" s="17" t="s">
        <v>837</v>
      </c>
      <c r="C664" s="18">
        <v>0.62847222222222221</v>
      </c>
      <c r="D664" s="17" t="s">
        <v>53</v>
      </c>
      <c r="E664" s="17" t="s">
        <v>37</v>
      </c>
      <c r="F664" s="17" t="s">
        <v>836</v>
      </c>
      <c r="G664" s="298"/>
      <c r="H664" s="10"/>
      <c r="I664" s="11"/>
      <c r="J664" s="11"/>
      <c r="K664" s="11"/>
      <c r="L664" s="11"/>
      <c r="M664" s="11"/>
      <c r="N664" s="11"/>
      <c r="O664" s="12"/>
      <c r="P664" s="11"/>
      <c r="Q664" s="13"/>
      <c r="R664" s="14"/>
    </row>
    <row r="665" spans="1:18" ht="15" customHeight="1">
      <c r="A665" s="17" t="s">
        <v>48</v>
      </c>
      <c r="B665" s="17" t="s">
        <v>838</v>
      </c>
      <c r="C665" s="18">
        <v>0.94444444444444453</v>
      </c>
      <c r="D665" s="17" t="s">
        <v>53</v>
      </c>
      <c r="E665" s="17" t="s">
        <v>37</v>
      </c>
      <c r="F665" s="17" t="s">
        <v>836</v>
      </c>
      <c r="G665" s="298"/>
      <c r="H665" s="10"/>
      <c r="I665" s="11"/>
      <c r="J665" s="11"/>
      <c r="K665" s="11"/>
      <c r="L665" s="11"/>
      <c r="M665" s="11"/>
      <c r="N665" s="11"/>
      <c r="O665" s="12"/>
      <c r="P665" s="11"/>
      <c r="Q665" s="13"/>
      <c r="R665" s="14"/>
    </row>
    <row r="666" spans="1:18" ht="15" customHeight="1">
      <c r="A666" s="19" t="s">
        <v>402</v>
      </c>
      <c r="B666" s="19" t="s">
        <v>839</v>
      </c>
      <c r="C666" s="20">
        <v>0.1701388888888889</v>
      </c>
      <c r="D666" s="19" t="s">
        <v>63</v>
      </c>
      <c r="E666" s="19" t="s">
        <v>177</v>
      </c>
      <c r="F666" s="19" t="s">
        <v>881</v>
      </c>
      <c r="G666" s="298"/>
      <c r="H666" s="10"/>
      <c r="I666" s="11"/>
      <c r="J666" s="11"/>
      <c r="K666" s="11"/>
      <c r="L666" s="11"/>
      <c r="M666" s="11"/>
      <c r="N666" s="11"/>
      <c r="O666" s="12"/>
      <c r="P666" s="11"/>
      <c r="Q666" s="13"/>
      <c r="R666" s="14"/>
    </row>
    <row r="667" spans="1:18" ht="15" customHeight="1" thickBot="1">
      <c r="A667" s="30" t="s">
        <v>402</v>
      </c>
      <c r="B667" s="30" t="s">
        <v>841</v>
      </c>
      <c r="C667" s="31">
        <v>0.55208333333333337</v>
      </c>
      <c r="D667" s="30" t="s">
        <v>63</v>
      </c>
      <c r="E667" s="30" t="s">
        <v>435</v>
      </c>
      <c r="F667" s="30" t="s">
        <v>881</v>
      </c>
      <c r="G667" s="299"/>
      <c r="H667" s="300"/>
      <c r="I667" s="140"/>
      <c r="J667" s="140"/>
      <c r="K667" s="140"/>
      <c r="L667" s="140"/>
      <c r="M667" s="140"/>
      <c r="N667" s="140"/>
      <c r="O667" s="141"/>
      <c r="P667" s="140"/>
      <c r="Q667" s="142"/>
      <c r="R667" s="301"/>
    </row>
    <row r="668" spans="1:18" ht="17.45" customHeight="1" thickBot="1">
      <c r="A668" s="283"/>
      <c r="B668" s="284"/>
      <c r="C668" s="284"/>
      <c r="D668" s="284"/>
      <c r="E668" s="284"/>
      <c r="F668" s="284"/>
      <c r="G668" s="284"/>
      <c r="H668" s="284"/>
      <c r="I668" s="284"/>
      <c r="J668" s="284"/>
      <c r="K668" s="284"/>
      <c r="L668" s="284"/>
      <c r="M668" s="284"/>
      <c r="N668" s="284"/>
      <c r="O668" s="284"/>
      <c r="P668" s="284"/>
      <c r="Q668" s="284"/>
      <c r="R668" s="285"/>
    </row>
    <row r="669" spans="1:18" ht="22.15" customHeight="1" thickTop="1" thickBot="1">
      <c r="A669" s="279" t="s">
        <v>6</v>
      </c>
      <c r="B669" s="295"/>
      <c r="C669" s="295"/>
      <c r="D669" s="295"/>
      <c r="E669" s="295"/>
      <c r="F669" s="296"/>
      <c r="G669" s="32">
        <v>46035</v>
      </c>
      <c r="H669" s="278" t="s">
        <v>7</v>
      </c>
      <c r="I669" s="295"/>
      <c r="J669" s="295"/>
      <c r="K669" s="295"/>
      <c r="L669" s="295"/>
      <c r="M669" s="295"/>
      <c r="N669" s="295"/>
      <c r="O669" s="295"/>
      <c r="P669" s="295"/>
      <c r="Q669" s="295"/>
      <c r="R669" s="296"/>
    </row>
    <row r="670" spans="1:18" ht="24" customHeight="1">
      <c r="A670" s="33" t="s">
        <v>8</v>
      </c>
      <c r="B670" s="33" t="s">
        <v>9</v>
      </c>
      <c r="C670" s="34" t="s">
        <v>10</v>
      </c>
      <c r="D670" s="33" t="s">
        <v>11</v>
      </c>
      <c r="E670" s="33" t="s">
        <v>12</v>
      </c>
      <c r="F670" s="35" t="s">
        <v>13</v>
      </c>
      <c r="G670" s="36" t="s">
        <v>14</v>
      </c>
      <c r="H670" s="33" t="s">
        <v>15</v>
      </c>
      <c r="I670" s="37" t="s">
        <v>16</v>
      </c>
      <c r="J670" s="38" t="s">
        <v>17</v>
      </c>
      <c r="K670" s="39" t="s">
        <v>18</v>
      </c>
      <c r="L670" s="38" t="s">
        <v>19</v>
      </c>
      <c r="M670" s="38" t="s">
        <v>20</v>
      </c>
      <c r="N670" s="38" t="s">
        <v>21</v>
      </c>
      <c r="O670" s="33" t="s">
        <v>22</v>
      </c>
      <c r="P670" s="34" t="s">
        <v>23</v>
      </c>
      <c r="Q670" s="38" t="s">
        <v>24</v>
      </c>
      <c r="R670" s="33" t="s">
        <v>25</v>
      </c>
    </row>
    <row r="671" spans="1:18" ht="15" customHeight="1">
      <c r="A671" s="8" t="s">
        <v>38</v>
      </c>
      <c r="B671" s="8" t="s">
        <v>809</v>
      </c>
      <c r="C671" s="9">
        <v>0.57638888888888895</v>
      </c>
      <c r="D671" s="8" t="s">
        <v>40</v>
      </c>
      <c r="E671" s="8" t="s">
        <v>192</v>
      </c>
      <c r="F671" s="8" t="s">
        <v>475</v>
      </c>
      <c r="G671" s="297"/>
      <c r="H671" s="10"/>
      <c r="I671" s="11"/>
      <c r="J671" s="11"/>
      <c r="K671" s="11"/>
      <c r="L671" s="11"/>
      <c r="M671" s="11"/>
      <c r="N671" s="11"/>
      <c r="O671" s="12"/>
      <c r="P671" s="11"/>
      <c r="Q671" s="13"/>
      <c r="R671" s="14"/>
    </row>
    <row r="672" spans="1:18" ht="15" customHeight="1">
      <c r="A672" s="15" t="s">
        <v>38</v>
      </c>
      <c r="B672" s="15" t="s">
        <v>809</v>
      </c>
      <c r="C672" s="16">
        <v>0.57638888888888895</v>
      </c>
      <c r="D672" s="15" t="s">
        <v>43</v>
      </c>
      <c r="E672" s="15" t="s">
        <v>193</v>
      </c>
      <c r="F672" s="15" t="s">
        <v>121</v>
      </c>
      <c r="G672" s="298"/>
      <c r="H672" s="10"/>
      <c r="I672" s="11"/>
      <c r="J672" s="11"/>
      <c r="K672" s="11"/>
      <c r="L672" s="11"/>
      <c r="M672" s="11"/>
      <c r="N672" s="11"/>
      <c r="O672" s="12"/>
      <c r="P672" s="11"/>
      <c r="Q672" s="13"/>
      <c r="R672" s="14"/>
    </row>
    <row r="673" spans="1:18" ht="15" customHeight="1">
      <c r="A673" s="15" t="s">
        <v>38</v>
      </c>
      <c r="B673" s="15" t="s">
        <v>809</v>
      </c>
      <c r="C673" s="16">
        <v>0.57638888888888895</v>
      </c>
      <c r="D673" s="15" t="s">
        <v>46</v>
      </c>
      <c r="E673" s="15" t="s">
        <v>193</v>
      </c>
      <c r="F673" s="15" t="s">
        <v>810</v>
      </c>
      <c r="G673" s="298"/>
      <c r="H673" s="10"/>
      <c r="I673" s="11"/>
      <c r="J673" s="11"/>
      <c r="K673" s="11"/>
      <c r="L673" s="11"/>
      <c r="M673" s="11"/>
      <c r="N673" s="11"/>
      <c r="O673" s="12"/>
      <c r="P673" s="11"/>
      <c r="Q673" s="13"/>
      <c r="R673" s="14"/>
    </row>
    <row r="674" spans="1:18" ht="15" customHeight="1">
      <c r="A674" s="17" t="s">
        <v>38</v>
      </c>
      <c r="B674" s="17" t="s">
        <v>811</v>
      </c>
      <c r="C674" s="18">
        <v>0.62847222222222221</v>
      </c>
      <c r="D674" s="17" t="s">
        <v>40</v>
      </c>
      <c r="E674" s="17" t="s">
        <v>421</v>
      </c>
      <c r="F674" s="17" t="s">
        <v>475</v>
      </c>
      <c r="G674" s="298"/>
      <c r="H674" s="10"/>
      <c r="I674" s="11"/>
      <c r="J674" s="11"/>
      <c r="K674" s="11"/>
      <c r="L674" s="11"/>
      <c r="M674" s="11"/>
      <c r="N674" s="11"/>
      <c r="O674" s="12"/>
      <c r="P674" s="11"/>
      <c r="Q674" s="13"/>
      <c r="R674" s="14"/>
    </row>
    <row r="675" spans="1:18" ht="15" customHeight="1">
      <c r="A675" s="15" t="s">
        <v>38</v>
      </c>
      <c r="B675" s="15" t="s">
        <v>811</v>
      </c>
      <c r="C675" s="16">
        <v>0.62847222222222221</v>
      </c>
      <c r="D675" s="15" t="s">
        <v>43</v>
      </c>
      <c r="E675" s="15" t="s">
        <v>193</v>
      </c>
      <c r="F675" s="15" t="s">
        <v>121</v>
      </c>
      <c r="G675" s="298"/>
      <c r="H675" s="10"/>
      <c r="I675" s="11"/>
      <c r="J675" s="11"/>
      <c r="K675" s="11"/>
      <c r="L675" s="11"/>
      <c r="M675" s="11"/>
      <c r="N675" s="11"/>
      <c r="O675" s="12"/>
      <c r="P675" s="11"/>
      <c r="Q675" s="13"/>
      <c r="R675" s="14"/>
    </row>
    <row r="676" spans="1:18" ht="15" customHeight="1">
      <c r="A676" s="15" t="s">
        <v>38</v>
      </c>
      <c r="B676" s="15" t="s">
        <v>811</v>
      </c>
      <c r="C676" s="16">
        <v>0.62847222222222221</v>
      </c>
      <c r="D676" s="15" t="s">
        <v>46</v>
      </c>
      <c r="E676" s="15" t="s">
        <v>193</v>
      </c>
      <c r="F676" s="15" t="s">
        <v>810</v>
      </c>
      <c r="G676" s="298"/>
      <c r="H676" s="10"/>
      <c r="I676" s="11"/>
      <c r="J676" s="11"/>
      <c r="K676" s="11"/>
      <c r="L676" s="11"/>
      <c r="M676" s="11"/>
      <c r="N676" s="11"/>
      <c r="O676" s="12"/>
      <c r="P676" s="11"/>
      <c r="Q676" s="13"/>
      <c r="R676" s="14"/>
    </row>
    <row r="677" spans="1:18" ht="15" customHeight="1">
      <c r="A677" s="17" t="s">
        <v>38</v>
      </c>
      <c r="B677" s="17" t="s">
        <v>813</v>
      </c>
      <c r="C677" s="18">
        <v>0.94444444444444453</v>
      </c>
      <c r="D677" s="17" t="s">
        <v>40</v>
      </c>
      <c r="E677" s="17" t="s">
        <v>170</v>
      </c>
      <c r="F677" s="17" t="s">
        <v>475</v>
      </c>
      <c r="G677" s="298"/>
      <c r="H677" s="10"/>
      <c r="I677" s="11"/>
      <c r="J677" s="11"/>
      <c r="K677" s="11"/>
      <c r="L677" s="11"/>
      <c r="M677" s="11"/>
      <c r="N677" s="11"/>
      <c r="O677" s="12"/>
      <c r="P677" s="11"/>
      <c r="Q677" s="13"/>
      <c r="R677" s="14"/>
    </row>
    <row r="678" spans="1:18" ht="15" customHeight="1">
      <c r="A678" s="15" t="s">
        <v>38</v>
      </c>
      <c r="B678" s="15" t="s">
        <v>813</v>
      </c>
      <c r="C678" s="16">
        <v>0.94444444444444453</v>
      </c>
      <c r="D678" s="15" t="s">
        <v>43</v>
      </c>
      <c r="E678" s="15" t="s">
        <v>152</v>
      </c>
      <c r="F678" s="15" t="s">
        <v>121</v>
      </c>
      <c r="G678" s="298"/>
      <c r="H678" s="10"/>
      <c r="I678" s="11"/>
      <c r="J678" s="11"/>
      <c r="K678" s="11"/>
      <c r="L678" s="11"/>
      <c r="M678" s="11"/>
      <c r="N678" s="11"/>
      <c r="O678" s="12"/>
      <c r="P678" s="11"/>
      <c r="Q678" s="13"/>
      <c r="R678" s="14"/>
    </row>
    <row r="679" spans="1:18" ht="15" customHeight="1">
      <c r="A679" s="15" t="s">
        <v>38</v>
      </c>
      <c r="B679" s="15" t="s">
        <v>813</v>
      </c>
      <c r="C679" s="16">
        <v>0.94444444444444453</v>
      </c>
      <c r="D679" s="15" t="s">
        <v>46</v>
      </c>
      <c r="E679" s="15" t="s">
        <v>152</v>
      </c>
      <c r="F679" s="15" t="s">
        <v>810</v>
      </c>
      <c r="G679" s="298"/>
      <c r="H679" s="10"/>
      <c r="I679" s="11"/>
      <c r="J679" s="11"/>
      <c r="K679" s="11"/>
      <c r="L679" s="11"/>
      <c r="M679" s="11"/>
      <c r="N679" s="11"/>
      <c r="O679" s="12"/>
      <c r="P679" s="11"/>
      <c r="Q679" s="13"/>
      <c r="R679" s="14"/>
    </row>
    <row r="680" spans="1:18" ht="15" customHeight="1">
      <c r="A680" s="17" t="s">
        <v>38</v>
      </c>
      <c r="B680" s="17" t="s">
        <v>812</v>
      </c>
      <c r="C680" s="18">
        <v>0.88888888888888884</v>
      </c>
      <c r="D680" s="17" t="s">
        <v>40</v>
      </c>
      <c r="E680" s="17" t="s">
        <v>913</v>
      </c>
      <c r="F680" s="17" t="s">
        <v>872</v>
      </c>
      <c r="G680" s="298"/>
      <c r="H680" s="10"/>
      <c r="I680" s="11"/>
      <c r="J680" s="11"/>
      <c r="K680" s="11"/>
      <c r="L680" s="11"/>
      <c r="M680" s="11"/>
      <c r="N680" s="11"/>
      <c r="O680" s="12"/>
      <c r="P680" s="11"/>
      <c r="Q680" s="13"/>
      <c r="R680" s="14"/>
    </row>
    <row r="681" spans="1:18" ht="15" customHeight="1">
      <c r="A681" s="15" t="s">
        <v>38</v>
      </c>
      <c r="B681" s="15" t="s">
        <v>812</v>
      </c>
      <c r="C681" s="16">
        <v>0.88888888888888884</v>
      </c>
      <c r="D681" s="15" t="s">
        <v>43</v>
      </c>
      <c r="E681" s="15" t="s">
        <v>914</v>
      </c>
      <c r="F681" s="15" t="s">
        <v>349</v>
      </c>
      <c r="G681" s="298"/>
      <c r="H681" s="10"/>
      <c r="I681" s="11"/>
      <c r="J681" s="11"/>
      <c r="K681" s="11"/>
      <c r="L681" s="11"/>
      <c r="M681" s="11"/>
      <c r="N681" s="11"/>
      <c r="O681" s="12"/>
      <c r="P681" s="11"/>
      <c r="Q681" s="13"/>
      <c r="R681" s="14"/>
    </row>
    <row r="682" spans="1:18" ht="15" customHeight="1">
      <c r="A682" s="15" t="s">
        <v>38</v>
      </c>
      <c r="B682" s="15" t="s">
        <v>812</v>
      </c>
      <c r="C682" s="16">
        <v>0.88888888888888884</v>
      </c>
      <c r="D682" s="15" t="s">
        <v>46</v>
      </c>
      <c r="E682" s="15" t="s">
        <v>914</v>
      </c>
      <c r="F682" s="15" t="s">
        <v>810</v>
      </c>
      <c r="G682" s="298"/>
      <c r="H682" s="10"/>
      <c r="I682" s="11"/>
      <c r="J682" s="11"/>
      <c r="K682" s="11"/>
      <c r="L682" s="11"/>
      <c r="M682" s="11"/>
      <c r="N682" s="11"/>
      <c r="O682" s="12"/>
      <c r="P682" s="11"/>
      <c r="Q682" s="13"/>
      <c r="R682" s="14"/>
    </row>
    <row r="683" spans="1:18" ht="15" customHeight="1">
      <c r="A683" s="19" t="s">
        <v>359</v>
      </c>
      <c r="B683" s="19" t="s">
        <v>887</v>
      </c>
      <c r="C683" s="20">
        <v>5.2083333333333343E-2</v>
      </c>
      <c r="D683" s="19" t="s">
        <v>361</v>
      </c>
      <c r="E683" s="19" t="s">
        <v>80</v>
      </c>
      <c r="F683" s="19" t="s">
        <v>883</v>
      </c>
      <c r="G683" s="298"/>
      <c r="H683" s="10"/>
      <c r="I683" s="11"/>
      <c r="J683" s="11"/>
      <c r="K683" s="11"/>
      <c r="L683" s="11"/>
      <c r="M683" s="11"/>
      <c r="N683" s="11"/>
      <c r="O683" s="12"/>
      <c r="P683" s="11"/>
      <c r="Q683" s="13"/>
      <c r="R683" s="14"/>
    </row>
    <row r="684" spans="1:18" ht="15" customHeight="1">
      <c r="A684" s="15" t="s">
        <v>359</v>
      </c>
      <c r="B684" s="15" t="s">
        <v>887</v>
      </c>
      <c r="C684" s="16">
        <v>5.2083333333333343E-2</v>
      </c>
      <c r="D684" s="15" t="s">
        <v>46</v>
      </c>
      <c r="E684" s="15" t="s">
        <v>82</v>
      </c>
      <c r="F684" s="15" t="s">
        <v>886</v>
      </c>
      <c r="G684" s="298"/>
      <c r="H684" s="10"/>
      <c r="I684" s="11"/>
      <c r="J684" s="11"/>
      <c r="K684" s="11"/>
      <c r="L684" s="11"/>
      <c r="M684" s="11"/>
      <c r="N684" s="11"/>
      <c r="O684" s="12"/>
      <c r="P684" s="11"/>
      <c r="Q684" s="13"/>
      <c r="R684" s="14"/>
    </row>
    <row r="685" spans="1:18" ht="15" customHeight="1">
      <c r="A685" s="17" t="s">
        <v>359</v>
      </c>
      <c r="B685" s="17" t="s">
        <v>814</v>
      </c>
      <c r="C685" s="18">
        <v>0.4375</v>
      </c>
      <c r="D685" s="17" t="s">
        <v>361</v>
      </c>
      <c r="E685" s="17" t="s">
        <v>90</v>
      </c>
      <c r="F685" s="17" t="s">
        <v>815</v>
      </c>
      <c r="G685" s="298"/>
      <c r="H685" s="10"/>
      <c r="I685" s="11"/>
      <c r="J685" s="11"/>
      <c r="K685" s="11"/>
      <c r="L685" s="11"/>
      <c r="M685" s="11"/>
      <c r="N685" s="11"/>
      <c r="O685" s="12"/>
      <c r="P685" s="11"/>
      <c r="Q685" s="13"/>
      <c r="R685" s="14"/>
    </row>
    <row r="686" spans="1:18" ht="15" customHeight="1">
      <c r="A686" s="15" t="s">
        <v>359</v>
      </c>
      <c r="B686" s="15" t="s">
        <v>814</v>
      </c>
      <c r="C686" s="16">
        <v>0.4375</v>
      </c>
      <c r="D686" s="15" t="s">
        <v>46</v>
      </c>
      <c r="E686" s="15" t="s">
        <v>82</v>
      </c>
      <c r="F686" s="15" t="s">
        <v>657</v>
      </c>
      <c r="G686" s="298"/>
      <c r="H686" s="10"/>
      <c r="I686" s="11"/>
      <c r="J686" s="11"/>
      <c r="K686" s="11"/>
      <c r="L686" s="11"/>
      <c r="M686" s="11"/>
      <c r="N686" s="11"/>
      <c r="O686" s="12"/>
      <c r="P686" s="11"/>
      <c r="Q686" s="13"/>
      <c r="R686" s="14"/>
    </row>
    <row r="687" spans="1:18" ht="15" customHeight="1">
      <c r="A687" s="19" t="s">
        <v>68</v>
      </c>
      <c r="B687" s="19" t="s">
        <v>842</v>
      </c>
      <c r="C687" s="20">
        <v>0.98263888888888884</v>
      </c>
      <c r="D687" s="19" t="s">
        <v>643</v>
      </c>
      <c r="E687" s="19" t="s">
        <v>51</v>
      </c>
      <c r="F687" s="19" t="s">
        <v>891</v>
      </c>
      <c r="G687" s="298"/>
      <c r="H687" s="10"/>
      <c r="I687" s="11"/>
      <c r="J687" s="11"/>
      <c r="K687" s="11"/>
      <c r="L687" s="11"/>
      <c r="M687" s="11"/>
      <c r="N687" s="11"/>
      <c r="O687" s="12"/>
      <c r="P687" s="11"/>
      <c r="Q687" s="13"/>
      <c r="R687" s="14"/>
    </row>
    <row r="688" spans="1:18" ht="15" customHeight="1">
      <c r="A688" s="17" t="s">
        <v>68</v>
      </c>
      <c r="B688" s="17" t="s">
        <v>844</v>
      </c>
      <c r="C688" s="18">
        <v>0.72916666666666663</v>
      </c>
      <c r="D688" s="17" t="s">
        <v>643</v>
      </c>
      <c r="E688" s="17" t="s">
        <v>427</v>
      </c>
      <c r="F688" s="17" t="s">
        <v>888</v>
      </c>
      <c r="G688" s="298"/>
      <c r="H688" s="10"/>
      <c r="I688" s="11"/>
      <c r="J688" s="11"/>
      <c r="K688" s="11"/>
      <c r="L688" s="11"/>
      <c r="M688" s="11"/>
      <c r="N688" s="11"/>
      <c r="O688" s="12"/>
      <c r="P688" s="11"/>
      <c r="Q688" s="13"/>
      <c r="R688" s="14"/>
    </row>
    <row r="689" spans="1:18" ht="15" customHeight="1">
      <c r="A689" s="17" t="s">
        <v>68</v>
      </c>
      <c r="B689" s="17" t="s">
        <v>843</v>
      </c>
      <c r="C689" s="18">
        <v>0.35416666666666669</v>
      </c>
      <c r="D689" s="17" t="s">
        <v>70</v>
      </c>
      <c r="E689" s="17" t="s">
        <v>57</v>
      </c>
      <c r="F689" s="17" t="s">
        <v>404</v>
      </c>
      <c r="G689" s="298"/>
      <c r="H689" s="10"/>
      <c r="I689" s="11"/>
      <c r="J689" s="11"/>
      <c r="K689" s="11"/>
      <c r="L689" s="11"/>
      <c r="M689" s="11"/>
      <c r="N689" s="11"/>
      <c r="O689" s="12"/>
      <c r="P689" s="11"/>
      <c r="Q689" s="13"/>
      <c r="R689" s="14"/>
    </row>
    <row r="690" spans="1:18" ht="15" customHeight="1">
      <c r="A690" s="78" t="s">
        <v>61</v>
      </c>
      <c r="B690" s="78" t="s">
        <v>852</v>
      </c>
      <c r="C690" s="79">
        <v>0.71527777777777779</v>
      </c>
      <c r="D690" s="78" t="s">
        <v>63</v>
      </c>
      <c r="E690" s="78" t="s">
        <v>51</v>
      </c>
      <c r="F690" s="78" t="s">
        <v>817</v>
      </c>
      <c r="G690" s="298"/>
      <c r="H690" s="80" t="s">
        <v>854</v>
      </c>
      <c r="I690" s="81">
        <v>3.3500000000000002E-2</v>
      </c>
      <c r="J690" s="82">
        <v>6</v>
      </c>
      <c r="K690" s="83">
        <v>46343</v>
      </c>
      <c r="L690" s="82">
        <v>6</v>
      </c>
      <c r="M690" s="82">
        <v>0</v>
      </c>
      <c r="N690" s="82">
        <v>0</v>
      </c>
      <c r="O690" s="84" t="s">
        <v>326</v>
      </c>
      <c r="P690" s="85">
        <v>0.71527777777777779</v>
      </c>
      <c r="Q690" s="82">
        <v>179</v>
      </c>
      <c r="R690" s="86" t="s">
        <v>915</v>
      </c>
    </row>
    <row r="691" spans="1:18" ht="15" customHeight="1">
      <c r="A691" s="19" t="s">
        <v>26</v>
      </c>
      <c r="B691" s="19" t="s">
        <v>820</v>
      </c>
      <c r="C691" s="20">
        <v>0.4375</v>
      </c>
      <c r="D691" s="19" t="s">
        <v>28</v>
      </c>
      <c r="E691" s="19" t="s">
        <v>80</v>
      </c>
      <c r="F691" s="19" t="s">
        <v>81</v>
      </c>
      <c r="G691" s="298"/>
      <c r="H691" s="10"/>
      <c r="I691" s="11"/>
      <c r="J691" s="11"/>
      <c r="K691" s="11"/>
      <c r="L691" s="11"/>
      <c r="M691" s="11"/>
      <c r="N691" s="11"/>
      <c r="O691" s="12"/>
      <c r="P691" s="11"/>
      <c r="Q691" s="13"/>
      <c r="R691" s="14"/>
    </row>
    <row r="692" spans="1:18" ht="15" customHeight="1">
      <c r="A692" s="15" t="s">
        <v>26</v>
      </c>
      <c r="B692" s="15" t="s">
        <v>820</v>
      </c>
      <c r="C692" s="16">
        <v>0.4375</v>
      </c>
      <c r="D692" s="15" t="s">
        <v>31</v>
      </c>
      <c r="E692" s="15" t="s">
        <v>82</v>
      </c>
      <c r="F692" s="15" t="s">
        <v>83</v>
      </c>
      <c r="G692" s="298"/>
      <c r="H692" s="10"/>
      <c r="I692" s="11"/>
      <c r="J692" s="11"/>
      <c r="K692" s="11"/>
      <c r="L692" s="11"/>
      <c r="M692" s="11"/>
      <c r="N692" s="11"/>
      <c r="O692" s="12"/>
      <c r="P692" s="11"/>
      <c r="Q692" s="13"/>
      <c r="R692" s="14"/>
    </row>
    <row r="693" spans="1:18" ht="15" customHeight="1">
      <c r="A693" s="15" t="s">
        <v>26</v>
      </c>
      <c r="B693" s="15" t="s">
        <v>820</v>
      </c>
      <c r="C693" s="16">
        <v>0.4375</v>
      </c>
      <c r="D693" s="15" t="s">
        <v>34</v>
      </c>
      <c r="E693" s="15" t="s">
        <v>82</v>
      </c>
      <c r="F693" s="15" t="s">
        <v>45</v>
      </c>
      <c r="G693" s="298"/>
      <c r="H693" s="10"/>
      <c r="I693" s="11"/>
      <c r="J693" s="11"/>
      <c r="K693" s="11"/>
      <c r="L693" s="11"/>
      <c r="M693" s="11"/>
      <c r="N693" s="11"/>
      <c r="O693" s="12"/>
      <c r="P693" s="11"/>
      <c r="Q693" s="13"/>
      <c r="R693" s="14"/>
    </row>
    <row r="694" spans="1:18" ht="15" customHeight="1">
      <c r="A694" s="17" t="s">
        <v>26</v>
      </c>
      <c r="B694" s="17" t="s">
        <v>826</v>
      </c>
      <c r="C694" s="18">
        <v>0.95833333333333337</v>
      </c>
      <c r="D694" s="17" t="s">
        <v>28</v>
      </c>
      <c r="E694" s="17" t="s">
        <v>90</v>
      </c>
      <c r="F694" s="17" t="s">
        <v>81</v>
      </c>
      <c r="G694" s="298"/>
      <c r="H694" s="10"/>
      <c r="I694" s="11"/>
      <c r="J694" s="11"/>
      <c r="K694" s="11"/>
      <c r="L694" s="11"/>
      <c r="M694" s="11"/>
      <c r="N694" s="11"/>
      <c r="O694" s="12"/>
      <c r="P694" s="11"/>
      <c r="Q694" s="13"/>
      <c r="R694" s="14"/>
    </row>
    <row r="695" spans="1:18" ht="15" customHeight="1">
      <c r="A695" s="15" t="s">
        <v>26</v>
      </c>
      <c r="B695" s="15" t="s">
        <v>826</v>
      </c>
      <c r="C695" s="16">
        <v>0.95833333333333337</v>
      </c>
      <c r="D695" s="15" t="s">
        <v>31</v>
      </c>
      <c r="E695" s="15" t="s">
        <v>82</v>
      </c>
      <c r="F695" s="15" t="s">
        <v>83</v>
      </c>
      <c r="G695" s="298"/>
      <c r="H695" s="10"/>
      <c r="I695" s="11"/>
      <c r="J695" s="11"/>
      <c r="K695" s="11"/>
      <c r="L695" s="11"/>
      <c r="M695" s="11"/>
      <c r="N695" s="11"/>
      <c r="O695" s="12"/>
      <c r="P695" s="11"/>
      <c r="Q695" s="13"/>
      <c r="R695" s="14"/>
    </row>
    <row r="696" spans="1:18" ht="15" customHeight="1">
      <c r="A696" s="15" t="s">
        <v>26</v>
      </c>
      <c r="B696" s="15" t="s">
        <v>826</v>
      </c>
      <c r="C696" s="16">
        <v>0.95833333333333337</v>
      </c>
      <c r="D696" s="15" t="s">
        <v>34</v>
      </c>
      <c r="E696" s="15" t="s">
        <v>82</v>
      </c>
      <c r="F696" s="15" t="s">
        <v>45</v>
      </c>
      <c r="G696" s="298"/>
      <c r="H696" s="10"/>
      <c r="I696" s="11"/>
      <c r="J696" s="11"/>
      <c r="K696" s="11"/>
      <c r="L696" s="11"/>
      <c r="M696" s="11"/>
      <c r="N696" s="11"/>
      <c r="O696" s="12"/>
      <c r="P696" s="11"/>
      <c r="Q696" s="13"/>
      <c r="R696" s="14"/>
    </row>
    <row r="697" spans="1:18" ht="15" customHeight="1">
      <c r="A697" s="17" t="s">
        <v>26</v>
      </c>
      <c r="B697" s="17" t="s">
        <v>821</v>
      </c>
      <c r="C697" s="18">
        <v>0.63194444444444442</v>
      </c>
      <c r="D697" s="17" t="s">
        <v>28</v>
      </c>
      <c r="E697" s="17" t="s">
        <v>90</v>
      </c>
      <c r="F697" s="17" t="s">
        <v>81</v>
      </c>
      <c r="G697" s="298"/>
      <c r="H697" s="10"/>
      <c r="I697" s="11"/>
      <c r="J697" s="11"/>
      <c r="K697" s="11"/>
      <c r="L697" s="11"/>
      <c r="M697" s="11"/>
      <c r="N697" s="11"/>
      <c r="O697" s="12"/>
      <c r="P697" s="11"/>
      <c r="Q697" s="13"/>
      <c r="R697" s="14"/>
    </row>
    <row r="698" spans="1:18" ht="15" customHeight="1">
      <c r="A698" s="15" t="s">
        <v>26</v>
      </c>
      <c r="B698" s="15" t="s">
        <v>821</v>
      </c>
      <c r="C698" s="16">
        <v>0.63194444444444442</v>
      </c>
      <c r="D698" s="15" t="s">
        <v>31</v>
      </c>
      <c r="E698" s="15" t="s">
        <v>82</v>
      </c>
      <c r="F698" s="15" t="s">
        <v>83</v>
      </c>
      <c r="G698" s="298"/>
      <c r="H698" s="10"/>
      <c r="I698" s="11"/>
      <c r="J698" s="11"/>
      <c r="K698" s="11"/>
      <c r="L698" s="11"/>
      <c r="M698" s="11"/>
      <c r="N698" s="11"/>
      <c r="O698" s="12"/>
      <c r="P698" s="11"/>
      <c r="Q698" s="13"/>
      <c r="R698" s="14"/>
    </row>
    <row r="699" spans="1:18" ht="15" customHeight="1">
      <c r="A699" s="15" t="s">
        <v>26</v>
      </c>
      <c r="B699" s="15" t="s">
        <v>821</v>
      </c>
      <c r="C699" s="16">
        <v>0.63194444444444442</v>
      </c>
      <c r="D699" s="15" t="s">
        <v>34</v>
      </c>
      <c r="E699" s="15" t="s">
        <v>82</v>
      </c>
      <c r="F699" s="15" t="s">
        <v>45</v>
      </c>
      <c r="G699" s="298"/>
      <c r="H699" s="10"/>
      <c r="I699" s="11"/>
      <c r="J699" s="11"/>
      <c r="K699" s="11"/>
      <c r="L699" s="11"/>
      <c r="M699" s="11"/>
      <c r="N699" s="11"/>
      <c r="O699" s="12"/>
      <c r="P699" s="11"/>
      <c r="Q699" s="13"/>
      <c r="R699" s="14"/>
    </row>
    <row r="700" spans="1:18" ht="15" customHeight="1">
      <c r="A700" s="17" t="s">
        <v>26</v>
      </c>
      <c r="B700" s="17" t="s">
        <v>822</v>
      </c>
      <c r="C700" s="18">
        <v>0.55902777777777779</v>
      </c>
      <c r="D700" s="17" t="s">
        <v>28</v>
      </c>
      <c r="E700" s="17" t="s">
        <v>90</v>
      </c>
      <c r="F700" s="17" t="s">
        <v>81</v>
      </c>
      <c r="G700" s="298"/>
      <c r="H700" s="10"/>
      <c r="I700" s="11"/>
      <c r="J700" s="11"/>
      <c r="K700" s="11"/>
      <c r="L700" s="11"/>
      <c r="M700" s="11"/>
      <c r="N700" s="11"/>
      <c r="O700" s="12"/>
      <c r="P700" s="11"/>
      <c r="Q700" s="13"/>
      <c r="R700" s="14"/>
    </row>
    <row r="701" spans="1:18" ht="15" customHeight="1">
      <c r="A701" s="15" t="s">
        <v>26</v>
      </c>
      <c r="B701" s="15" t="s">
        <v>822</v>
      </c>
      <c r="C701" s="16">
        <v>0.55902777777777779</v>
      </c>
      <c r="D701" s="15" t="s">
        <v>31</v>
      </c>
      <c r="E701" s="15" t="s">
        <v>82</v>
      </c>
      <c r="F701" s="15" t="s">
        <v>83</v>
      </c>
      <c r="G701" s="298"/>
      <c r="H701" s="10"/>
      <c r="I701" s="11"/>
      <c r="J701" s="11"/>
      <c r="K701" s="11"/>
      <c r="L701" s="11"/>
      <c r="M701" s="11"/>
      <c r="N701" s="11"/>
      <c r="O701" s="12"/>
      <c r="P701" s="11"/>
      <c r="Q701" s="13"/>
      <c r="R701" s="14"/>
    </row>
    <row r="702" spans="1:18" ht="15" customHeight="1">
      <c r="A702" s="15" t="s">
        <v>26</v>
      </c>
      <c r="B702" s="15" t="s">
        <v>822</v>
      </c>
      <c r="C702" s="16">
        <v>0.55902777777777779</v>
      </c>
      <c r="D702" s="15" t="s">
        <v>34</v>
      </c>
      <c r="E702" s="15" t="s">
        <v>82</v>
      </c>
      <c r="F702" s="15" t="s">
        <v>45</v>
      </c>
      <c r="G702" s="298"/>
      <c r="H702" s="10"/>
      <c r="I702" s="11"/>
      <c r="J702" s="11"/>
      <c r="K702" s="11"/>
      <c r="L702" s="11"/>
      <c r="M702" s="11"/>
      <c r="N702" s="11"/>
      <c r="O702" s="12"/>
      <c r="P702" s="11"/>
      <c r="Q702" s="13"/>
      <c r="R702" s="14"/>
    </row>
    <row r="703" spans="1:18" ht="15" customHeight="1">
      <c r="A703" s="17" t="s">
        <v>26</v>
      </c>
      <c r="B703" s="17" t="s">
        <v>823</v>
      </c>
      <c r="C703" s="18">
        <v>0.81944444444444453</v>
      </c>
      <c r="D703" s="17" t="s">
        <v>28</v>
      </c>
      <c r="E703" s="17" t="s">
        <v>90</v>
      </c>
      <c r="F703" s="17" t="s">
        <v>81</v>
      </c>
      <c r="G703" s="298"/>
      <c r="H703" s="10"/>
      <c r="I703" s="11"/>
      <c r="J703" s="11"/>
      <c r="K703" s="11"/>
      <c r="L703" s="11"/>
      <c r="M703" s="11"/>
      <c r="N703" s="11"/>
      <c r="O703" s="12"/>
      <c r="P703" s="11"/>
      <c r="Q703" s="13"/>
      <c r="R703" s="14"/>
    </row>
    <row r="704" spans="1:18" ht="15" customHeight="1">
      <c r="A704" s="15" t="s">
        <v>26</v>
      </c>
      <c r="B704" s="15" t="s">
        <v>823</v>
      </c>
      <c r="C704" s="16">
        <v>0.81944444444444453</v>
      </c>
      <c r="D704" s="15" t="s">
        <v>31</v>
      </c>
      <c r="E704" s="15" t="s">
        <v>82</v>
      </c>
      <c r="F704" s="15" t="s">
        <v>83</v>
      </c>
      <c r="G704" s="298"/>
      <c r="H704" s="10"/>
      <c r="I704" s="11"/>
      <c r="J704" s="11"/>
      <c r="K704" s="11"/>
      <c r="L704" s="11"/>
      <c r="M704" s="11"/>
      <c r="N704" s="11"/>
      <c r="O704" s="12"/>
      <c r="P704" s="11"/>
      <c r="Q704" s="13"/>
      <c r="R704" s="14"/>
    </row>
    <row r="705" spans="1:18" ht="15" customHeight="1">
      <c r="A705" s="15" t="s">
        <v>26</v>
      </c>
      <c r="B705" s="15" t="s">
        <v>823</v>
      </c>
      <c r="C705" s="16">
        <v>0.81944444444444453</v>
      </c>
      <c r="D705" s="15" t="s">
        <v>34</v>
      </c>
      <c r="E705" s="15" t="s">
        <v>82</v>
      </c>
      <c r="F705" s="15" t="s">
        <v>45</v>
      </c>
      <c r="G705" s="298"/>
      <c r="H705" s="10"/>
      <c r="I705" s="11"/>
      <c r="J705" s="11"/>
      <c r="K705" s="11"/>
      <c r="L705" s="11"/>
      <c r="M705" s="11"/>
      <c r="N705" s="11"/>
      <c r="O705" s="12"/>
      <c r="P705" s="11"/>
      <c r="Q705" s="13"/>
      <c r="R705" s="14"/>
    </row>
    <row r="706" spans="1:18" ht="15" customHeight="1">
      <c r="A706" s="17" t="s">
        <v>26</v>
      </c>
      <c r="B706" s="17" t="s">
        <v>824</v>
      </c>
      <c r="C706" s="18">
        <v>0.50694444444444442</v>
      </c>
      <c r="D706" s="17" t="s">
        <v>28</v>
      </c>
      <c r="E706" s="17" t="s">
        <v>90</v>
      </c>
      <c r="F706" s="17" t="s">
        <v>81</v>
      </c>
      <c r="G706" s="298"/>
      <c r="H706" s="10"/>
      <c r="I706" s="11"/>
      <c r="J706" s="11"/>
      <c r="K706" s="11"/>
      <c r="L706" s="11"/>
      <c r="M706" s="11"/>
      <c r="N706" s="11"/>
      <c r="O706" s="12"/>
      <c r="P706" s="11"/>
      <c r="Q706" s="13"/>
      <c r="R706" s="14"/>
    </row>
    <row r="707" spans="1:18" ht="15" customHeight="1">
      <c r="A707" s="15" t="s">
        <v>26</v>
      </c>
      <c r="B707" s="15" t="s">
        <v>824</v>
      </c>
      <c r="C707" s="16">
        <v>0.50694444444444442</v>
      </c>
      <c r="D707" s="15" t="s">
        <v>31</v>
      </c>
      <c r="E707" s="15" t="s">
        <v>82</v>
      </c>
      <c r="F707" s="15" t="s">
        <v>83</v>
      </c>
      <c r="G707" s="298"/>
      <c r="H707" s="10"/>
      <c r="I707" s="11"/>
      <c r="J707" s="11"/>
      <c r="K707" s="11"/>
      <c r="L707" s="11"/>
      <c r="M707" s="11"/>
      <c r="N707" s="11"/>
      <c r="O707" s="12"/>
      <c r="P707" s="11"/>
      <c r="Q707" s="13"/>
      <c r="R707" s="14"/>
    </row>
    <row r="708" spans="1:18" ht="15" customHeight="1">
      <c r="A708" s="15" t="s">
        <v>26</v>
      </c>
      <c r="B708" s="15" t="s">
        <v>824</v>
      </c>
      <c r="C708" s="16">
        <v>0.50694444444444442</v>
      </c>
      <c r="D708" s="15" t="s">
        <v>34</v>
      </c>
      <c r="E708" s="15" t="s">
        <v>82</v>
      </c>
      <c r="F708" s="15" t="s">
        <v>45</v>
      </c>
      <c r="G708" s="298"/>
      <c r="H708" s="10"/>
      <c r="I708" s="11"/>
      <c r="J708" s="11"/>
      <c r="K708" s="11"/>
      <c r="L708" s="11"/>
      <c r="M708" s="11"/>
      <c r="N708" s="11"/>
      <c r="O708" s="12"/>
      <c r="P708" s="11"/>
      <c r="Q708" s="13"/>
      <c r="R708" s="14"/>
    </row>
    <row r="709" spans="1:18" ht="15" customHeight="1">
      <c r="A709" s="17" t="s">
        <v>26</v>
      </c>
      <c r="B709" s="17" t="s">
        <v>825</v>
      </c>
      <c r="C709" s="18">
        <v>0.69791666666666663</v>
      </c>
      <c r="D709" s="17" t="s">
        <v>28</v>
      </c>
      <c r="E709" s="17" t="s">
        <v>90</v>
      </c>
      <c r="F709" s="17" t="s">
        <v>81</v>
      </c>
      <c r="G709" s="298"/>
      <c r="H709" s="10"/>
      <c r="I709" s="11"/>
      <c r="J709" s="11"/>
      <c r="K709" s="11"/>
      <c r="L709" s="11"/>
      <c r="M709" s="11"/>
      <c r="N709" s="11"/>
      <c r="O709" s="12"/>
      <c r="P709" s="11"/>
      <c r="Q709" s="13"/>
      <c r="R709" s="14"/>
    </row>
    <row r="710" spans="1:18" ht="15" customHeight="1">
      <c r="A710" s="15" t="s">
        <v>26</v>
      </c>
      <c r="B710" s="15" t="s">
        <v>825</v>
      </c>
      <c r="C710" s="16">
        <v>0.69791666666666663</v>
      </c>
      <c r="D710" s="15" t="s">
        <v>31</v>
      </c>
      <c r="E710" s="15" t="s">
        <v>82</v>
      </c>
      <c r="F710" s="15" t="s">
        <v>83</v>
      </c>
      <c r="G710" s="298"/>
      <c r="H710" s="10"/>
      <c r="I710" s="11"/>
      <c r="J710" s="11"/>
      <c r="K710" s="11"/>
      <c r="L710" s="11"/>
      <c r="M710" s="11"/>
      <c r="N710" s="11"/>
      <c r="O710" s="12"/>
      <c r="P710" s="11"/>
      <c r="Q710" s="13"/>
      <c r="R710" s="14"/>
    </row>
    <row r="711" spans="1:18" ht="15" customHeight="1">
      <c r="A711" s="15" t="s">
        <v>26</v>
      </c>
      <c r="B711" s="15" t="s">
        <v>825</v>
      </c>
      <c r="C711" s="16">
        <v>0.69791666666666663</v>
      </c>
      <c r="D711" s="15" t="s">
        <v>34</v>
      </c>
      <c r="E711" s="15" t="s">
        <v>82</v>
      </c>
      <c r="F711" s="15" t="s">
        <v>45</v>
      </c>
      <c r="G711" s="298"/>
      <c r="H711" s="10"/>
      <c r="I711" s="11"/>
      <c r="J711" s="11"/>
      <c r="K711" s="11"/>
      <c r="L711" s="11"/>
      <c r="M711" s="11"/>
      <c r="N711" s="11"/>
      <c r="O711" s="12"/>
      <c r="P711" s="11"/>
      <c r="Q711" s="13"/>
      <c r="R711" s="14"/>
    </row>
    <row r="712" spans="1:18" ht="15" customHeight="1">
      <c r="A712" s="19" t="s">
        <v>48</v>
      </c>
      <c r="B712" s="19" t="s">
        <v>833</v>
      </c>
      <c r="C712" s="20">
        <v>0.44444444444444442</v>
      </c>
      <c r="D712" s="19" t="s">
        <v>50</v>
      </c>
      <c r="E712" s="19" t="s">
        <v>51</v>
      </c>
      <c r="F712" s="19" t="s">
        <v>873</v>
      </c>
      <c r="G712" s="298"/>
      <c r="H712" s="10"/>
      <c r="I712" s="11"/>
      <c r="J712" s="11"/>
      <c r="K712" s="11"/>
      <c r="L712" s="11"/>
      <c r="M712" s="11"/>
      <c r="N712" s="11"/>
      <c r="O712" s="12"/>
      <c r="P712" s="11"/>
      <c r="Q712" s="13"/>
      <c r="R712" s="14"/>
    </row>
    <row r="713" spans="1:18" ht="15" customHeight="1">
      <c r="A713" s="15" t="s">
        <v>48</v>
      </c>
      <c r="B713" s="15" t="s">
        <v>833</v>
      </c>
      <c r="C713" s="16">
        <v>0.44444444444444442</v>
      </c>
      <c r="D713" s="15" t="s">
        <v>53</v>
      </c>
      <c r="E713" s="15" t="s">
        <v>54</v>
      </c>
      <c r="F713" s="15" t="s">
        <v>874</v>
      </c>
      <c r="G713" s="298"/>
      <c r="H713" s="10"/>
      <c r="I713" s="11"/>
      <c r="J713" s="11"/>
      <c r="K713" s="11"/>
      <c r="L713" s="11"/>
      <c r="M713" s="11"/>
      <c r="N713" s="11"/>
      <c r="O713" s="12"/>
      <c r="P713" s="11"/>
      <c r="Q713" s="13"/>
      <c r="R713" s="14"/>
    </row>
    <row r="714" spans="1:18" ht="15" customHeight="1">
      <c r="A714" s="17" t="s">
        <v>48</v>
      </c>
      <c r="B714" s="17" t="s">
        <v>828</v>
      </c>
      <c r="C714" s="18">
        <v>0.82986111111111116</v>
      </c>
      <c r="D714" s="17" t="s">
        <v>50</v>
      </c>
      <c r="E714" s="17" t="s">
        <v>57</v>
      </c>
      <c r="F714" s="17" t="s">
        <v>873</v>
      </c>
      <c r="G714" s="298"/>
      <c r="H714" s="10"/>
      <c r="I714" s="11"/>
      <c r="J714" s="11"/>
      <c r="K714" s="11"/>
      <c r="L714" s="11"/>
      <c r="M714" s="11"/>
      <c r="N714" s="11"/>
      <c r="O714" s="12"/>
      <c r="P714" s="11"/>
      <c r="Q714" s="13"/>
      <c r="R714" s="14"/>
    </row>
    <row r="715" spans="1:18" ht="15" customHeight="1">
      <c r="A715" s="15" t="s">
        <v>48</v>
      </c>
      <c r="B715" s="15" t="s">
        <v>828</v>
      </c>
      <c r="C715" s="16">
        <v>0.82986111111111116</v>
      </c>
      <c r="D715" s="15" t="s">
        <v>53</v>
      </c>
      <c r="E715" s="15" t="s">
        <v>54</v>
      </c>
      <c r="F715" s="15" t="s">
        <v>874</v>
      </c>
      <c r="G715" s="298"/>
      <c r="H715" s="10"/>
      <c r="I715" s="11"/>
      <c r="J715" s="11"/>
      <c r="K715" s="11"/>
      <c r="L715" s="11"/>
      <c r="M715" s="11"/>
      <c r="N715" s="11"/>
      <c r="O715" s="12"/>
      <c r="P715" s="11"/>
      <c r="Q715" s="13"/>
      <c r="R715" s="14"/>
    </row>
    <row r="716" spans="1:18" ht="15" customHeight="1">
      <c r="A716" s="17" t="s">
        <v>48</v>
      </c>
      <c r="B716" s="17" t="s">
        <v>831</v>
      </c>
      <c r="C716" s="18">
        <v>0.98263888888888884</v>
      </c>
      <c r="D716" s="17" t="s">
        <v>50</v>
      </c>
      <c r="E716" s="17" t="s">
        <v>57</v>
      </c>
      <c r="F716" s="17" t="s">
        <v>873</v>
      </c>
      <c r="G716" s="298"/>
      <c r="H716" s="10"/>
      <c r="I716" s="11"/>
      <c r="J716" s="11"/>
      <c r="K716" s="11"/>
      <c r="L716" s="11"/>
      <c r="M716" s="11"/>
      <c r="N716" s="11"/>
      <c r="O716" s="12"/>
      <c r="P716" s="11"/>
      <c r="Q716" s="13"/>
      <c r="R716" s="14"/>
    </row>
    <row r="717" spans="1:18" ht="15" customHeight="1">
      <c r="A717" s="15" t="s">
        <v>48</v>
      </c>
      <c r="B717" s="15" t="s">
        <v>831</v>
      </c>
      <c r="C717" s="16">
        <v>0.98263888888888884</v>
      </c>
      <c r="D717" s="15" t="s">
        <v>53</v>
      </c>
      <c r="E717" s="15" t="s">
        <v>54</v>
      </c>
      <c r="F717" s="15" t="s">
        <v>874</v>
      </c>
      <c r="G717" s="298"/>
      <c r="H717" s="10"/>
      <c r="I717" s="11"/>
      <c r="J717" s="11"/>
      <c r="K717" s="11"/>
      <c r="L717" s="11"/>
      <c r="M717" s="11"/>
      <c r="N717" s="11"/>
      <c r="O717" s="12"/>
      <c r="P717" s="11"/>
      <c r="Q717" s="13"/>
      <c r="R717" s="14"/>
    </row>
    <row r="718" spans="1:18" ht="15" customHeight="1">
      <c r="A718" s="17" t="s">
        <v>48</v>
      </c>
      <c r="B718" s="17" t="s">
        <v>875</v>
      </c>
      <c r="C718" s="18">
        <v>0.69791666666666663</v>
      </c>
      <c r="D718" s="17" t="s">
        <v>50</v>
      </c>
      <c r="E718" s="17" t="s">
        <v>57</v>
      </c>
      <c r="F718" s="17" t="s">
        <v>873</v>
      </c>
      <c r="G718" s="298"/>
      <c r="H718" s="10"/>
      <c r="I718" s="11"/>
      <c r="J718" s="11"/>
      <c r="K718" s="11"/>
      <c r="L718" s="11"/>
      <c r="M718" s="11"/>
      <c r="N718" s="11"/>
      <c r="O718" s="12"/>
      <c r="P718" s="11"/>
      <c r="Q718" s="13"/>
      <c r="R718" s="14"/>
    </row>
    <row r="719" spans="1:18" ht="15" customHeight="1">
      <c r="A719" s="15" t="s">
        <v>48</v>
      </c>
      <c r="B719" s="15" t="s">
        <v>875</v>
      </c>
      <c r="C719" s="16">
        <v>0.69791666666666663</v>
      </c>
      <c r="D719" s="15" t="s">
        <v>53</v>
      </c>
      <c r="E719" s="15" t="s">
        <v>54</v>
      </c>
      <c r="F719" s="15" t="s">
        <v>874</v>
      </c>
      <c r="G719" s="298"/>
      <c r="H719" s="10"/>
      <c r="I719" s="11"/>
      <c r="J719" s="11"/>
      <c r="K719" s="11"/>
      <c r="L719" s="11"/>
      <c r="M719" s="11"/>
      <c r="N719" s="11"/>
      <c r="O719" s="12"/>
      <c r="P719" s="11"/>
      <c r="Q719" s="13"/>
      <c r="R719" s="14"/>
    </row>
    <row r="720" spans="1:18" ht="15" customHeight="1">
      <c r="A720" s="17" t="s">
        <v>48</v>
      </c>
      <c r="B720" s="17" t="s">
        <v>832</v>
      </c>
      <c r="C720" s="18">
        <v>0.62847222222222221</v>
      </c>
      <c r="D720" s="17" t="s">
        <v>50</v>
      </c>
      <c r="E720" s="17" t="s">
        <v>57</v>
      </c>
      <c r="F720" s="17" t="s">
        <v>873</v>
      </c>
      <c r="G720" s="298"/>
      <c r="H720" s="10"/>
      <c r="I720" s="11"/>
      <c r="J720" s="11"/>
      <c r="K720" s="11"/>
      <c r="L720" s="11"/>
      <c r="M720" s="11"/>
      <c r="N720" s="11"/>
      <c r="O720" s="12"/>
      <c r="P720" s="11"/>
      <c r="Q720" s="13"/>
      <c r="R720" s="14"/>
    </row>
    <row r="721" spans="1:18" ht="15" customHeight="1">
      <c r="A721" s="15" t="s">
        <v>48</v>
      </c>
      <c r="B721" s="15" t="s">
        <v>832</v>
      </c>
      <c r="C721" s="16">
        <v>0.62847222222222221</v>
      </c>
      <c r="D721" s="15" t="s">
        <v>53</v>
      </c>
      <c r="E721" s="15" t="s">
        <v>54</v>
      </c>
      <c r="F721" s="15" t="s">
        <v>874</v>
      </c>
      <c r="G721" s="298"/>
      <c r="H721" s="10"/>
      <c r="I721" s="11"/>
      <c r="J721" s="11"/>
      <c r="K721" s="11"/>
      <c r="L721" s="11"/>
      <c r="M721" s="11"/>
      <c r="N721" s="11"/>
      <c r="O721" s="12"/>
      <c r="P721" s="11"/>
      <c r="Q721" s="13"/>
      <c r="R721" s="14"/>
    </row>
    <row r="722" spans="1:18" ht="15" customHeight="1">
      <c r="A722" s="17" t="s">
        <v>48</v>
      </c>
      <c r="B722" s="17" t="s">
        <v>835</v>
      </c>
      <c r="C722" s="18">
        <v>0.88888888888888884</v>
      </c>
      <c r="D722" s="17" t="s">
        <v>53</v>
      </c>
      <c r="E722" s="17" t="s">
        <v>37</v>
      </c>
      <c r="F722" s="17" t="s">
        <v>836</v>
      </c>
      <c r="G722" s="298"/>
      <c r="H722" s="10"/>
      <c r="I722" s="11"/>
      <c r="J722" s="11"/>
      <c r="K722" s="11"/>
      <c r="L722" s="11"/>
      <c r="M722" s="11"/>
      <c r="N722" s="11"/>
      <c r="O722" s="12"/>
      <c r="P722" s="11"/>
      <c r="Q722" s="13"/>
      <c r="R722" s="14"/>
    </row>
    <row r="723" spans="1:18" ht="15" customHeight="1">
      <c r="A723" s="17" t="s">
        <v>48</v>
      </c>
      <c r="B723" s="17" t="s">
        <v>837</v>
      </c>
      <c r="C723" s="18">
        <v>0.62847222222222221</v>
      </c>
      <c r="D723" s="17" t="s">
        <v>53</v>
      </c>
      <c r="E723" s="17" t="s">
        <v>37</v>
      </c>
      <c r="F723" s="17" t="s">
        <v>836</v>
      </c>
      <c r="G723" s="298"/>
      <c r="H723" s="10"/>
      <c r="I723" s="11"/>
      <c r="J723" s="11"/>
      <c r="K723" s="11"/>
      <c r="L723" s="11"/>
      <c r="M723" s="11"/>
      <c r="N723" s="11"/>
      <c r="O723" s="12"/>
      <c r="P723" s="11"/>
      <c r="Q723" s="13"/>
      <c r="R723" s="14"/>
    </row>
    <row r="724" spans="1:18" ht="15" customHeight="1">
      <c r="A724" s="17" t="s">
        <v>48</v>
      </c>
      <c r="B724" s="17" t="s">
        <v>838</v>
      </c>
      <c r="C724" s="18">
        <v>0.94444444444444453</v>
      </c>
      <c r="D724" s="17" t="s">
        <v>53</v>
      </c>
      <c r="E724" s="17" t="s">
        <v>37</v>
      </c>
      <c r="F724" s="17" t="s">
        <v>836</v>
      </c>
      <c r="G724" s="298"/>
      <c r="H724" s="10"/>
      <c r="I724" s="11"/>
      <c r="J724" s="11"/>
      <c r="K724" s="11"/>
      <c r="L724" s="11"/>
      <c r="M724" s="11"/>
      <c r="N724" s="11"/>
      <c r="O724" s="12"/>
      <c r="P724" s="11"/>
      <c r="Q724" s="13"/>
      <c r="R724" s="14"/>
    </row>
    <row r="725" spans="1:18" ht="15" customHeight="1" thickBot="1">
      <c r="A725" s="96" t="s">
        <v>402</v>
      </c>
      <c r="B725" s="96" t="s">
        <v>839</v>
      </c>
      <c r="C725" s="97">
        <v>0.1701388888888889</v>
      </c>
      <c r="D725" s="96" t="s">
        <v>63</v>
      </c>
      <c r="E725" s="96" t="s">
        <v>103</v>
      </c>
      <c r="F725" s="96" t="s">
        <v>881</v>
      </c>
      <c r="G725" s="299"/>
      <c r="H725" s="300"/>
      <c r="I725" s="140"/>
      <c r="J725" s="140"/>
      <c r="K725" s="140"/>
      <c r="L725" s="140"/>
      <c r="M725" s="140"/>
      <c r="N725" s="140"/>
      <c r="O725" s="141"/>
      <c r="P725" s="140"/>
      <c r="Q725" s="142"/>
      <c r="R725" s="301"/>
    </row>
    <row r="726" spans="1:18" ht="17.45" customHeight="1" thickBot="1">
      <c r="A726" s="283"/>
      <c r="B726" s="284"/>
      <c r="C726" s="284"/>
      <c r="D726" s="284"/>
      <c r="E726" s="284"/>
      <c r="F726" s="284"/>
      <c r="G726" s="284"/>
      <c r="H726" s="284"/>
      <c r="I726" s="284"/>
      <c r="J726" s="284"/>
      <c r="K726" s="284"/>
      <c r="L726" s="284"/>
      <c r="M726" s="284"/>
      <c r="N726" s="284"/>
      <c r="O726" s="284"/>
      <c r="P726" s="284"/>
      <c r="Q726" s="284"/>
      <c r="R726" s="285"/>
    </row>
    <row r="727" spans="1:18" ht="22.15" customHeight="1" thickTop="1" thickBot="1">
      <c r="A727" s="279" t="s">
        <v>6</v>
      </c>
      <c r="B727" s="295"/>
      <c r="C727" s="295"/>
      <c r="D727" s="295"/>
      <c r="E727" s="295"/>
      <c r="F727" s="296"/>
      <c r="G727" s="32">
        <v>46036</v>
      </c>
      <c r="H727" s="278" t="s">
        <v>7</v>
      </c>
      <c r="I727" s="295"/>
      <c r="J727" s="295"/>
      <c r="K727" s="295"/>
      <c r="L727" s="295"/>
      <c r="M727" s="295"/>
      <c r="N727" s="295"/>
      <c r="O727" s="295"/>
      <c r="P727" s="295"/>
      <c r="Q727" s="295"/>
      <c r="R727" s="296"/>
    </row>
    <row r="728" spans="1:18" ht="24" customHeight="1">
      <c r="A728" s="33" t="s">
        <v>8</v>
      </c>
      <c r="B728" s="33" t="s">
        <v>9</v>
      </c>
      <c r="C728" s="34" t="s">
        <v>10</v>
      </c>
      <c r="D728" s="33" t="s">
        <v>11</v>
      </c>
      <c r="E728" s="33" t="s">
        <v>12</v>
      </c>
      <c r="F728" s="35" t="s">
        <v>13</v>
      </c>
      <c r="G728" s="36" t="s">
        <v>14</v>
      </c>
      <c r="H728" s="33" t="s">
        <v>15</v>
      </c>
      <c r="I728" s="37" t="s">
        <v>16</v>
      </c>
      <c r="J728" s="38" t="s">
        <v>17</v>
      </c>
      <c r="K728" s="39" t="s">
        <v>18</v>
      </c>
      <c r="L728" s="38" t="s">
        <v>19</v>
      </c>
      <c r="M728" s="38" t="s">
        <v>20</v>
      </c>
      <c r="N728" s="38" t="s">
        <v>21</v>
      </c>
      <c r="O728" s="33" t="s">
        <v>22</v>
      </c>
      <c r="P728" s="34" t="s">
        <v>23</v>
      </c>
      <c r="Q728" s="38" t="s">
        <v>24</v>
      </c>
      <c r="R728" s="33" t="s">
        <v>25</v>
      </c>
    </row>
    <row r="729" spans="1:18" ht="15" customHeight="1">
      <c r="A729" s="8" t="s">
        <v>38</v>
      </c>
      <c r="B729" s="8" t="s">
        <v>811</v>
      </c>
      <c r="C729" s="9">
        <v>0.62847222222222221</v>
      </c>
      <c r="D729" s="8" t="s">
        <v>40</v>
      </c>
      <c r="E729" s="8" t="s">
        <v>103</v>
      </c>
      <c r="F729" s="8" t="s">
        <v>475</v>
      </c>
      <c r="G729" s="297"/>
      <c r="H729" s="10"/>
      <c r="I729" s="11"/>
      <c r="J729" s="11"/>
      <c r="K729" s="11"/>
      <c r="L729" s="11"/>
      <c r="M729" s="11"/>
      <c r="N729" s="11"/>
      <c r="O729" s="12"/>
      <c r="P729" s="11"/>
      <c r="Q729" s="13"/>
      <c r="R729" s="14"/>
    </row>
    <row r="730" spans="1:18" ht="15" customHeight="1">
      <c r="A730" s="15" t="s">
        <v>38</v>
      </c>
      <c r="B730" s="15" t="s">
        <v>811</v>
      </c>
      <c r="C730" s="16">
        <v>0.62847222222222221</v>
      </c>
      <c r="D730" s="15" t="s">
        <v>43</v>
      </c>
      <c r="E730" s="15" t="s">
        <v>99</v>
      </c>
      <c r="F730" s="15" t="s">
        <v>121</v>
      </c>
      <c r="G730" s="298"/>
      <c r="H730" s="10"/>
      <c r="I730" s="11"/>
      <c r="J730" s="11"/>
      <c r="K730" s="11"/>
      <c r="L730" s="11"/>
      <c r="M730" s="11"/>
      <c r="N730" s="11"/>
      <c r="O730" s="12"/>
      <c r="P730" s="11"/>
      <c r="Q730" s="13"/>
      <c r="R730" s="14"/>
    </row>
    <row r="731" spans="1:18" ht="15" customHeight="1">
      <c r="A731" s="15" t="s">
        <v>38</v>
      </c>
      <c r="B731" s="15" t="s">
        <v>811</v>
      </c>
      <c r="C731" s="16">
        <v>0.62847222222222221</v>
      </c>
      <c r="D731" s="15" t="s">
        <v>46</v>
      </c>
      <c r="E731" s="15" t="s">
        <v>99</v>
      </c>
      <c r="F731" s="15" t="s">
        <v>810</v>
      </c>
      <c r="G731" s="298"/>
      <c r="H731" s="10"/>
      <c r="I731" s="11"/>
      <c r="J731" s="11"/>
      <c r="K731" s="11"/>
      <c r="L731" s="11"/>
      <c r="M731" s="11"/>
      <c r="N731" s="11"/>
      <c r="O731" s="12"/>
      <c r="P731" s="11"/>
      <c r="Q731" s="13"/>
      <c r="R731" s="14"/>
    </row>
    <row r="732" spans="1:18" ht="15" customHeight="1">
      <c r="A732" s="17" t="s">
        <v>38</v>
      </c>
      <c r="B732" s="17" t="s">
        <v>812</v>
      </c>
      <c r="C732" s="18">
        <v>0.88888888888888884</v>
      </c>
      <c r="D732" s="17" t="s">
        <v>40</v>
      </c>
      <c r="E732" s="17" t="s">
        <v>441</v>
      </c>
      <c r="F732" s="17" t="s">
        <v>475</v>
      </c>
      <c r="G732" s="298"/>
      <c r="H732" s="10"/>
      <c r="I732" s="11"/>
      <c r="J732" s="11"/>
      <c r="K732" s="11"/>
      <c r="L732" s="11"/>
      <c r="M732" s="11"/>
      <c r="N732" s="11"/>
      <c r="O732" s="12"/>
      <c r="P732" s="11"/>
      <c r="Q732" s="13"/>
      <c r="R732" s="14"/>
    </row>
    <row r="733" spans="1:18" ht="15" customHeight="1">
      <c r="A733" s="15" t="s">
        <v>38</v>
      </c>
      <c r="B733" s="15" t="s">
        <v>812</v>
      </c>
      <c r="C733" s="16">
        <v>0.88888888888888884</v>
      </c>
      <c r="D733" s="15" t="s">
        <v>43</v>
      </c>
      <c r="E733" s="15" t="s">
        <v>132</v>
      </c>
      <c r="F733" s="15" t="s">
        <v>121</v>
      </c>
      <c r="G733" s="298"/>
      <c r="H733" s="10"/>
      <c r="I733" s="11"/>
      <c r="J733" s="11"/>
      <c r="K733" s="11"/>
      <c r="L733" s="11"/>
      <c r="M733" s="11"/>
      <c r="N733" s="11"/>
      <c r="O733" s="12"/>
      <c r="P733" s="11"/>
      <c r="Q733" s="13"/>
      <c r="R733" s="14"/>
    </row>
    <row r="734" spans="1:18" ht="15" customHeight="1">
      <c r="A734" s="15" t="s">
        <v>38</v>
      </c>
      <c r="B734" s="15" t="s">
        <v>812</v>
      </c>
      <c r="C734" s="16">
        <v>0.88888888888888884</v>
      </c>
      <c r="D734" s="15" t="s">
        <v>46</v>
      </c>
      <c r="E734" s="15" t="s">
        <v>132</v>
      </c>
      <c r="F734" s="15" t="s">
        <v>810</v>
      </c>
      <c r="G734" s="298"/>
      <c r="H734" s="10"/>
      <c r="I734" s="11"/>
      <c r="J734" s="11"/>
      <c r="K734" s="11"/>
      <c r="L734" s="11"/>
      <c r="M734" s="11"/>
      <c r="N734" s="11"/>
      <c r="O734" s="12"/>
      <c r="P734" s="11"/>
      <c r="Q734" s="13"/>
      <c r="R734" s="14"/>
    </row>
    <row r="735" spans="1:18" ht="15" customHeight="1">
      <c r="A735" s="17" t="s">
        <v>38</v>
      </c>
      <c r="B735" s="17" t="s">
        <v>809</v>
      </c>
      <c r="C735" s="18">
        <v>0.57638888888888895</v>
      </c>
      <c r="D735" s="17" t="s">
        <v>40</v>
      </c>
      <c r="E735" s="17" t="s">
        <v>882</v>
      </c>
      <c r="F735" s="17" t="s">
        <v>872</v>
      </c>
      <c r="G735" s="298"/>
      <c r="H735" s="10"/>
      <c r="I735" s="11"/>
      <c r="J735" s="11"/>
      <c r="K735" s="11"/>
      <c r="L735" s="11"/>
      <c r="M735" s="11"/>
      <c r="N735" s="11"/>
      <c r="O735" s="12"/>
      <c r="P735" s="11"/>
      <c r="Q735" s="13"/>
      <c r="R735" s="14"/>
    </row>
    <row r="736" spans="1:18" ht="15" customHeight="1">
      <c r="A736" s="15" t="s">
        <v>38</v>
      </c>
      <c r="B736" s="15" t="s">
        <v>809</v>
      </c>
      <c r="C736" s="16">
        <v>0.57638888888888895</v>
      </c>
      <c r="D736" s="15" t="s">
        <v>43</v>
      </c>
      <c r="E736" s="15" t="s">
        <v>483</v>
      </c>
      <c r="F736" s="15" t="s">
        <v>349</v>
      </c>
      <c r="G736" s="298"/>
      <c r="H736" s="10"/>
      <c r="I736" s="11"/>
      <c r="J736" s="11"/>
      <c r="K736" s="11"/>
      <c r="L736" s="11"/>
      <c r="M736" s="11"/>
      <c r="N736" s="11"/>
      <c r="O736" s="12"/>
      <c r="P736" s="11"/>
      <c r="Q736" s="13"/>
      <c r="R736" s="14"/>
    </row>
    <row r="737" spans="1:18" ht="15" customHeight="1">
      <c r="A737" s="15" t="s">
        <v>38</v>
      </c>
      <c r="B737" s="15" t="s">
        <v>809</v>
      </c>
      <c r="C737" s="16">
        <v>0.57638888888888895</v>
      </c>
      <c r="D737" s="15" t="s">
        <v>46</v>
      </c>
      <c r="E737" s="15" t="s">
        <v>483</v>
      </c>
      <c r="F737" s="15" t="s">
        <v>810</v>
      </c>
      <c r="G737" s="298"/>
      <c r="H737" s="10"/>
      <c r="I737" s="11"/>
      <c r="J737" s="11"/>
      <c r="K737" s="11"/>
      <c r="L737" s="11"/>
      <c r="M737" s="11"/>
      <c r="N737" s="11"/>
      <c r="O737" s="12"/>
      <c r="P737" s="11"/>
      <c r="Q737" s="13"/>
      <c r="R737" s="14"/>
    </row>
    <row r="738" spans="1:18" ht="15" customHeight="1">
      <c r="A738" s="17" t="s">
        <v>38</v>
      </c>
      <c r="B738" s="17" t="s">
        <v>813</v>
      </c>
      <c r="C738" s="18">
        <v>0.94444444444444453</v>
      </c>
      <c r="D738" s="17" t="s">
        <v>40</v>
      </c>
      <c r="E738" s="17" t="s">
        <v>916</v>
      </c>
      <c r="F738" s="17" t="s">
        <v>872</v>
      </c>
      <c r="G738" s="298"/>
      <c r="H738" s="10"/>
      <c r="I738" s="11"/>
      <c r="J738" s="11"/>
      <c r="K738" s="11"/>
      <c r="L738" s="11"/>
      <c r="M738" s="11"/>
      <c r="N738" s="11"/>
      <c r="O738" s="12"/>
      <c r="P738" s="11"/>
      <c r="Q738" s="13"/>
      <c r="R738" s="14"/>
    </row>
    <row r="739" spans="1:18" ht="15" customHeight="1">
      <c r="A739" s="15" t="s">
        <v>38</v>
      </c>
      <c r="B739" s="15" t="s">
        <v>813</v>
      </c>
      <c r="C739" s="16">
        <v>0.94444444444444453</v>
      </c>
      <c r="D739" s="15" t="s">
        <v>43</v>
      </c>
      <c r="E739" s="15" t="s">
        <v>917</v>
      </c>
      <c r="F739" s="15" t="s">
        <v>349</v>
      </c>
      <c r="G739" s="298"/>
      <c r="H739" s="10"/>
      <c r="I739" s="11"/>
      <c r="J739" s="11"/>
      <c r="K739" s="11"/>
      <c r="L739" s="11"/>
      <c r="M739" s="11"/>
      <c r="N739" s="11"/>
      <c r="O739" s="12"/>
      <c r="P739" s="11"/>
      <c r="Q739" s="13"/>
      <c r="R739" s="14"/>
    </row>
    <row r="740" spans="1:18" ht="15" customHeight="1">
      <c r="A740" s="15" t="s">
        <v>38</v>
      </c>
      <c r="B740" s="15" t="s">
        <v>813</v>
      </c>
      <c r="C740" s="16">
        <v>0.94444444444444453</v>
      </c>
      <c r="D740" s="15" t="s">
        <v>46</v>
      </c>
      <c r="E740" s="15" t="s">
        <v>917</v>
      </c>
      <c r="F740" s="15" t="s">
        <v>810</v>
      </c>
      <c r="G740" s="298"/>
      <c r="H740" s="10"/>
      <c r="I740" s="11"/>
      <c r="J740" s="11"/>
      <c r="K740" s="11"/>
      <c r="L740" s="11"/>
      <c r="M740" s="11"/>
      <c r="N740" s="11"/>
      <c r="O740" s="12"/>
      <c r="P740" s="11"/>
      <c r="Q740" s="13"/>
      <c r="R740" s="14"/>
    </row>
    <row r="741" spans="1:18" ht="15" customHeight="1">
      <c r="A741" s="19" t="s">
        <v>68</v>
      </c>
      <c r="B741" s="19" t="s">
        <v>843</v>
      </c>
      <c r="C741" s="20">
        <v>0.35416666666666669</v>
      </c>
      <c r="D741" s="19" t="s">
        <v>643</v>
      </c>
      <c r="E741" s="19" t="s">
        <v>51</v>
      </c>
      <c r="F741" s="19" t="s">
        <v>891</v>
      </c>
      <c r="G741" s="298"/>
      <c r="H741" s="10"/>
      <c r="I741" s="11"/>
      <c r="J741" s="11"/>
      <c r="K741" s="11"/>
      <c r="L741" s="11"/>
      <c r="M741" s="11"/>
      <c r="N741" s="11"/>
      <c r="O741" s="12"/>
      <c r="P741" s="11"/>
      <c r="Q741" s="13"/>
      <c r="R741" s="14"/>
    </row>
    <row r="742" spans="1:18" ht="15" customHeight="1">
      <c r="A742" s="17" t="s">
        <v>68</v>
      </c>
      <c r="B742" s="17" t="s">
        <v>842</v>
      </c>
      <c r="C742" s="18">
        <v>0.98263888888888884</v>
      </c>
      <c r="D742" s="17" t="s">
        <v>70</v>
      </c>
      <c r="E742" s="17" t="s">
        <v>57</v>
      </c>
      <c r="F742" s="17" t="s">
        <v>404</v>
      </c>
      <c r="G742" s="298"/>
      <c r="H742" s="10"/>
      <c r="I742" s="11"/>
      <c r="J742" s="11"/>
      <c r="K742" s="11"/>
      <c r="L742" s="11"/>
      <c r="M742" s="11"/>
      <c r="N742" s="11"/>
      <c r="O742" s="12"/>
      <c r="P742" s="11"/>
      <c r="Q742" s="13"/>
      <c r="R742" s="14"/>
    </row>
    <row r="743" spans="1:18" ht="15" customHeight="1">
      <c r="A743" s="17" t="s">
        <v>68</v>
      </c>
      <c r="B743" s="17" t="s">
        <v>844</v>
      </c>
      <c r="C743" s="18">
        <v>0.72916666666666663</v>
      </c>
      <c r="D743" s="17" t="s">
        <v>70</v>
      </c>
      <c r="E743" s="17" t="s">
        <v>57</v>
      </c>
      <c r="F743" s="17" t="s">
        <v>892</v>
      </c>
      <c r="G743" s="298"/>
      <c r="H743" s="10"/>
      <c r="I743" s="11"/>
      <c r="J743" s="11"/>
      <c r="K743" s="11"/>
      <c r="L743" s="11"/>
      <c r="M743" s="11"/>
      <c r="N743" s="11"/>
      <c r="O743" s="12"/>
      <c r="P743" s="11"/>
      <c r="Q743" s="13"/>
      <c r="R743" s="14"/>
    </row>
    <row r="744" spans="1:18" ht="15" customHeight="1">
      <c r="A744" s="40" t="s">
        <v>61</v>
      </c>
      <c r="B744" s="40" t="s">
        <v>816</v>
      </c>
      <c r="C744" s="41">
        <v>0.41319444444444442</v>
      </c>
      <c r="D744" s="40" t="s">
        <v>63</v>
      </c>
      <c r="E744" s="40" t="s">
        <v>51</v>
      </c>
      <c r="F744" s="40" t="s">
        <v>817</v>
      </c>
      <c r="G744" s="298"/>
      <c r="H744" s="42" t="s">
        <v>818</v>
      </c>
      <c r="I744" s="43">
        <v>3.3500000000000002E-2</v>
      </c>
      <c r="J744" s="44">
        <v>6</v>
      </c>
      <c r="K744" s="45">
        <v>46344</v>
      </c>
      <c r="L744" s="44">
        <v>6</v>
      </c>
      <c r="M744" s="44">
        <v>0</v>
      </c>
      <c r="N744" s="44">
        <v>0</v>
      </c>
      <c r="O744" s="46" t="s">
        <v>326</v>
      </c>
      <c r="P744" s="47">
        <v>0.41319444444444442</v>
      </c>
      <c r="Q744" s="44">
        <v>179</v>
      </c>
      <c r="R744" s="48" t="s">
        <v>900</v>
      </c>
    </row>
    <row r="745" spans="1:18" ht="15" customHeight="1">
      <c r="A745" s="152" t="s">
        <v>61</v>
      </c>
      <c r="B745" s="152" t="s">
        <v>852</v>
      </c>
      <c r="C745" s="153">
        <v>0.72569444444444453</v>
      </c>
      <c r="D745" s="152" t="s">
        <v>63</v>
      </c>
      <c r="E745" s="152" t="s">
        <v>435</v>
      </c>
      <c r="F745" s="152" t="s">
        <v>849</v>
      </c>
      <c r="G745" s="298"/>
      <c r="H745" s="100" t="s">
        <v>854</v>
      </c>
      <c r="I745" s="101">
        <v>3.9100000000000003E-2</v>
      </c>
      <c r="J745" s="102">
        <v>7</v>
      </c>
      <c r="K745" s="103">
        <v>46337</v>
      </c>
      <c r="L745" s="102">
        <v>7</v>
      </c>
      <c r="M745" s="102">
        <v>0</v>
      </c>
      <c r="N745" s="102">
        <v>0</v>
      </c>
      <c r="O745" s="104" t="s">
        <v>918</v>
      </c>
      <c r="P745" s="105">
        <v>0.72569444444444453</v>
      </c>
      <c r="Q745" s="102">
        <v>179</v>
      </c>
      <c r="R745" s="106" t="s">
        <v>885</v>
      </c>
    </row>
    <row r="746" spans="1:18" ht="15" customHeight="1">
      <c r="A746" s="19" t="s">
        <v>26</v>
      </c>
      <c r="B746" s="19" t="s">
        <v>820</v>
      </c>
      <c r="C746" s="20">
        <v>0.4375</v>
      </c>
      <c r="D746" s="19" t="s">
        <v>28</v>
      </c>
      <c r="E746" s="19" t="s">
        <v>80</v>
      </c>
      <c r="F746" s="19" t="s">
        <v>81</v>
      </c>
      <c r="G746" s="298"/>
      <c r="H746" s="10"/>
      <c r="I746" s="11"/>
      <c r="J746" s="11"/>
      <c r="K746" s="11"/>
      <c r="L746" s="11"/>
      <c r="M746" s="11"/>
      <c r="N746" s="11"/>
      <c r="O746" s="12"/>
      <c r="P746" s="11"/>
      <c r="Q746" s="13"/>
      <c r="R746" s="14"/>
    </row>
    <row r="747" spans="1:18" ht="15" customHeight="1">
      <c r="A747" s="15" t="s">
        <v>26</v>
      </c>
      <c r="B747" s="15" t="s">
        <v>820</v>
      </c>
      <c r="C747" s="16">
        <v>0.4375</v>
      </c>
      <c r="D747" s="15" t="s">
        <v>31</v>
      </c>
      <c r="E747" s="15" t="s">
        <v>82</v>
      </c>
      <c r="F747" s="15" t="s">
        <v>83</v>
      </c>
      <c r="G747" s="298"/>
      <c r="H747" s="10"/>
      <c r="I747" s="11"/>
      <c r="J747" s="11"/>
      <c r="K747" s="11"/>
      <c r="L747" s="11"/>
      <c r="M747" s="11"/>
      <c r="N747" s="11"/>
      <c r="O747" s="12"/>
      <c r="P747" s="11"/>
      <c r="Q747" s="13"/>
      <c r="R747" s="14"/>
    </row>
    <row r="748" spans="1:18" ht="15" customHeight="1">
      <c r="A748" s="15" t="s">
        <v>26</v>
      </c>
      <c r="B748" s="15" t="s">
        <v>820</v>
      </c>
      <c r="C748" s="16">
        <v>0.4375</v>
      </c>
      <c r="D748" s="15" t="s">
        <v>34</v>
      </c>
      <c r="E748" s="15" t="s">
        <v>82</v>
      </c>
      <c r="F748" s="15" t="s">
        <v>45</v>
      </c>
      <c r="G748" s="298"/>
      <c r="H748" s="10"/>
      <c r="I748" s="11"/>
      <c r="J748" s="11"/>
      <c r="K748" s="11"/>
      <c r="L748" s="11"/>
      <c r="M748" s="11"/>
      <c r="N748" s="11"/>
      <c r="O748" s="12"/>
      <c r="P748" s="11"/>
      <c r="Q748" s="13"/>
      <c r="R748" s="14"/>
    </row>
    <row r="749" spans="1:18" ht="15" customHeight="1">
      <c r="A749" s="17" t="s">
        <v>26</v>
      </c>
      <c r="B749" s="17" t="s">
        <v>826</v>
      </c>
      <c r="C749" s="18">
        <v>0.95833333333333337</v>
      </c>
      <c r="D749" s="17" t="s">
        <v>28</v>
      </c>
      <c r="E749" s="17" t="s">
        <v>90</v>
      </c>
      <c r="F749" s="17" t="s">
        <v>81</v>
      </c>
      <c r="G749" s="298"/>
      <c r="H749" s="10"/>
      <c r="I749" s="11"/>
      <c r="J749" s="11"/>
      <c r="K749" s="11"/>
      <c r="L749" s="11"/>
      <c r="M749" s="11"/>
      <c r="N749" s="11"/>
      <c r="O749" s="12"/>
      <c r="P749" s="11"/>
      <c r="Q749" s="13"/>
      <c r="R749" s="14"/>
    </row>
    <row r="750" spans="1:18" ht="15" customHeight="1">
      <c r="A750" s="15" t="s">
        <v>26</v>
      </c>
      <c r="B750" s="15" t="s">
        <v>826</v>
      </c>
      <c r="C750" s="16">
        <v>0.95833333333333337</v>
      </c>
      <c r="D750" s="15" t="s">
        <v>31</v>
      </c>
      <c r="E750" s="15" t="s">
        <v>82</v>
      </c>
      <c r="F750" s="15" t="s">
        <v>83</v>
      </c>
      <c r="G750" s="298"/>
      <c r="H750" s="10"/>
      <c r="I750" s="11"/>
      <c r="J750" s="11"/>
      <c r="K750" s="11"/>
      <c r="L750" s="11"/>
      <c r="M750" s="11"/>
      <c r="N750" s="11"/>
      <c r="O750" s="12"/>
      <c r="P750" s="11"/>
      <c r="Q750" s="13"/>
      <c r="R750" s="14"/>
    </row>
    <row r="751" spans="1:18" ht="15" customHeight="1">
      <c r="A751" s="15" t="s">
        <v>26</v>
      </c>
      <c r="B751" s="15" t="s">
        <v>826</v>
      </c>
      <c r="C751" s="16">
        <v>0.95833333333333337</v>
      </c>
      <c r="D751" s="15" t="s">
        <v>34</v>
      </c>
      <c r="E751" s="15" t="s">
        <v>82</v>
      </c>
      <c r="F751" s="15" t="s">
        <v>45</v>
      </c>
      <c r="G751" s="298"/>
      <c r="H751" s="10"/>
      <c r="I751" s="11"/>
      <c r="J751" s="11"/>
      <c r="K751" s="11"/>
      <c r="L751" s="11"/>
      <c r="M751" s="11"/>
      <c r="N751" s="11"/>
      <c r="O751" s="12"/>
      <c r="P751" s="11"/>
      <c r="Q751" s="13"/>
      <c r="R751" s="14"/>
    </row>
    <row r="752" spans="1:18" ht="15" customHeight="1">
      <c r="A752" s="17" t="s">
        <v>26</v>
      </c>
      <c r="B752" s="17" t="s">
        <v>821</v>
      </c>
      <c r="C752" s="18">
        <v>0.63194444444444442</v>
      </c>
      <c r="D752" s="17" t="s">
        <v>28</v>
      </c>
      <c r="E752" s="17" t="s">
        <v>90</v>
      </c>
      <c r="F752" s="17" t="s">
        <v>81</v>
      </c>
      <c r="G752" s="298"/>
      <c r="H752" s="10"/>
      <c r="I752" s="11"/>
      <c r="J752" s="11"/>
      <c r="K752" s="11"/>
      <c r="L752" s="11"/>
      <c r="M752" s="11"/>
      <c r="N752" s="11"/>
      <c r="O752" s="12"/>
      <c r="P752" s="11"/>
      <c r="Q752" s="13"/>
      <c r="R752" s="14"/>
    </row>
    <row r="753" spans="1:18" ht="15" customHeight="1">
      <c r="A753" s="15" t="s">
        <v>26</v>
      </c>
      <c r="B753" s="15" t="s">
        <v>821</v>
      </c>
      <c r="C753" s="16">
        <v>0.63194444444444442</v>
      </c>
      <c r="D753" s="15" t="s">
        <v>31</v>
      </c>
      <c r="E753" s="15" t="s">
        <v>82</v>
      </c>
      <c r="F753" s="15" t="s">
        <v>83</v>
      </c>
      <c r="G753" s="298"/>
      <c r="H753" s="10"/>
      <c r="I753" s="11"/>
      <c r="J753" s="11"/>
      <c r="K753" s="11"/>
      <c r="L753" s="11"/>
      <c r="M753" s="11"/>
      <c r="N753" s="11"/>
      <c r="O753" s="12"/>
      <c r="P753" s="11"/>
      <c r="Q753" s="13"/>
      <c r="R753" s="14"/>
    </row>
    <row r="754" spans="1:18" ht="15" customHeight="1">
      <c r="A754" s="15" t="s">
        <v>26</v>
      </c>
      <c r="B754" s="15" t="s">
        <v>821</v>
      </c>
      <c r="C754" s="16">
        <v>0.63194444444444442</v>
      </c>
      <c r="D754" s="15" t="s">
        <v>34</v>
      </c>
      <c r="E754" s="15" t="s">
        <v>82</v>
      </c>
      <c r="F754" s="15" t="s">
        <v>45</v>
      </c>
      <c r="G754" s="298"/>
      <c r="H754" s="10"/>
      <c r="I754" s="11"/>
      <c r="J754" s="11"/>
      <c r="K754" s="11"/>
      <c r="L754" s="11"/>
      <c r="M754" s="11"/>
      <c r="N754" s="11"/>
      <c r="O754" s="12"/>
      <c r="P754" s="11"/>
      <c r="Q754" s="13"/>
      <c r="R754" s="14"/>
    </row>
    <row r="755" spans="1:18" ht="15" customHeight="1">
      <c r="A755" s="17" t="s">
        <v>26</v>
      </c>
      <c r="B755" s="17" t="s">
        <v>822</v>
      </c>
      <c r="C755" s="18">
        <v>0.55902777777777779</v>
      </c>
      <c r="D755" s="17" t="s">
        <v>28</v>
      </c>
      <c r="E755" s="17" t="s">
        <v>90</v>
      </c>
      <c r="F755" s="17" t="s">
        <v>81</v>
      </c>
      <c r="G755" s="298"/>
      <c r="H755" s="10"/>
      <c r="I755" s="11"/>
      <c r="J755" s="11"/>
      <c r="K755" s="11"/>
      <c r="L755" s="11"/>
      <c r="M755" s="11"/>
      <c r="N755" s="11"/>
      <c r="O755" s="12"/>
      <c r="P755" s="11"/>
      <c r="Q755" s="13"/>
      <c r="R755" s="14"/>
    </row>
    <row r="756" spans="1:18" ht="15" customHeight="1">
      <c r="A756" s="15" t="s">
        <v>26</v>
      </c>
      <c r="B756" s="15" t="s">
        <v>822</v>
      </c>
      <c r="C756" s="16">
        <v>0.55902777777777779</v>
      </c>
      <c r="D756" s="15" t="s">
        <v>31</v>
      </c>
      <c r="E756" s="15" t="s">
        <v>82</v>
      </c>
      <c r="F756" s="15" t="s">
        <v>83</v>
      </c>
      <c r="G756" s="298"/>
      <c r="H756" s="10"/>
      <c r="I756" s="11"/>
      <c r="J756" s="11"/>
      <c r="K756" s="11"/>
      <c r="L756" s="11"/>
      <c r="M756" s="11"/>
      <c r="N756" s="11"/>
      <c r="O756" s="12"/>
      <c r="P756" s="11"/>
      <c r="Q756" s="13"/>
      <c r="R756" s="14"/>
    </row>
    <row r="757" spans="1:18" ht="15" customHeight="1">
      <c r="A757" s="15" t="s">
        <v>26</v>
      </c>
      <c r="B757" s="15" t="s">
        <v>822</v>
      </c>
      <c r="C757" s="16">
        <v>0.55902777777777779</v>
      </c>
      <c r="D757" s="15" t="s">
        <v>34</v>
      </c>
      <c r="E757" s="15" t="s">
        <v>82</v>
      </c>
      <c r="F757" s="15" t="s">
        <v>45</v>
      </c>
      <c r="G757" s="298"/>
      <c r="H757" s="10"/>
      <c r="I757" s="11"/>
      <c r="J757" s="11"/>
      <c r="K757" s="11"/>
      <c r="L757" s="11"/>
      <c r="M757" s="11"/>
      <c r="N757" s="11"/>
      <c r="O757" s="12"/>
      <c r="P757" s="11"/>
      <c r="Q757" s="13"/>
      <c r="R757" s="14"/>
    </row>
    <row r="758" spans="1:18" ht="15" customHeight="1">
      <c r="A758" s="17" t="s">
        <v>26</v>
      </c>
      <c r="B758" s="17" t="s">
        <v>823</v>
      </c>
      <c r="C758" s="18">
        <v>0.81944444444444453</v>
      </c>
      <c r="D758" s="17" t="s">
        <v>28</v>
      </c>
      <c r="E758" s="17" t="s">
        <v>90</v>
      </c>
      <c r="F758" s="17" t="s">
        <v>81</v>
      </c>
      <c r="G758" s="298"/>
      <c r="H758" s="10"/>
      <c r="I758" s="11"/>
      <c r="J758" s="11"/>
      <c r="K758" s="11"/>
      <c r="L758" s="11"/>
      <c r="M758" s="11"/>
      <c r="N758" s="11"/>
      <c r="O758" s="12"/>
      <c r="P758" s="11"/>
      <c r="Q758" s="13"/>
      <c r="R758" s="14"/>
    </row>
    <row r="759" spans="1:18" ht="15" customHeight="1">
      <c r="A759" s="15" t="s">
        <v>26</v>
      </c>
      <c r="B759" s="15" t="s">
        <v>823</v>
      </c>
      <c r="C759" s="16">
        <v>0.81944444444444453</v>
      </c>
      <c r="D759" s="15" t="s">
        <v>31</v>
      </c>
      <c r="E759" s="15" t="s">
        <v>82</v>
      </c>
      <c r="F759" s="15" t="s">
        <v>83</v>
      </c>
      <c r="G759" s="298"/>
      <c r="H759" s="10"/>
      <c r="I759" s="11"/>
      <c r="J759" s="11"/>
      <c r="K759" s="11"/>
      <c r="L759" s="11"/>
      <c r="M759" s="11"/>
      <c r="N759" s="11"/>
      <c r="O759" s="12"/>
      <c r="P759" s="11"/>
      <c r="Q759" s="13"/>
      <c r="R759" s="14"/>
    </row>
    <row r="760" spans="1:18" ht="15" customHeight="1">
      <c r="A760" s="15" t="s">
        <v>26</v>
      </c>
      <c r="B760" s="15" t="s">
        <v>823</v>
      </c>
      <c r="C760" s="16">
        <v>0.81944444444444453</v>
      </c>
      <c r="D760" s="15" t="s">
        <v>34</v>
      </c>
      <c r="E760" s="15" t="s">
        <v>82</v>
      </c>
      <c r="F760" s="15" t="s">
        <v>45</v>
      </c>
      <c r="G760" s="298"/>
      <c r="H760" s="10"/>
      <c r="I760" s="11"/>
      <c r="J760" s="11"/>
      <c r="K760" s="11"/>
      <c r="L760" s="11"/>
      <c r="M760" s="11"/>
      <c r="N760" s="11"/>
      <c r="O760" s="12"/>
      <c r="P760" s="11"/>
      <c r="Q760" s="13"/>
      <c r="R760" s="14"/>
    </row>
    <row r="761" spans="1:18" ht="15" customHeight="1">
      <c r="A761" s="17" t="s">
        <v>26</v>
      </c>
      <c r="B761" s="17" t="s">
        <v>824</v>
      </c>
      <c r="C761" s="18">
        <v>0.50694444444444442</v>
      </c>
      <c r="D761" s="17" t="s">
        <v>28</v>
      </c>
      <c r="E761" s="17" t="s">
        <v>90</v>
      </c>
      <c r="F761" s="17" t="s">
        <v>81</v>
      </c>
      <c r="G761" s="298"/>
      <c r="H761" s="10"/>
      <c r="I761" s="11"/>
      <c r="J761" s="11"/>
      <c r="K761" s="11"/>
      <c r="L761" s="11"/>
      <c r="M761" s="11"/>
      <c r="N761" s="11"/>
      <c r="O761" s="12"/>
      <c r="P761" s="11"/>
      <c r="Q761" s="13"/>
      <c r="R761" s="14"/>
    </row>
    <row r="762" spans="1:18" ht="15" customHeight="1">
      <c r="A762" s="15" t="s">
        <v>26</v>
      </c>
      <c r="B762" s="15" t="s">
        <v>824</v>
      </c>
      <c r="C762" s="16">
        <v>0.50694444444444442</v>
      </c>
      <c r="D762" s="15" t="s">
        <v>31</v>
      </c>
      <c r="E762" s="15" t="s">
        <v>82</v>
      </c>
      <c r="F762" s="15" t="s">
        <v>83</v>
      </c>
      <c r="G762" s="298"/>
      <c r="H762" s="10"/>
      <c r="I762" s="11"/>
      <c r="J762" s="11"/>
      <c r="K762" s="11"/>
      <c r="L762" s="11"/>
      <c r="M762" s="11"/>
      <c r="N762" s="11"/>
      <c r="O762" s="12"/>
      <c r="P762" s="11"/>
      <c r="Q762" s="13"/>
      <c r="R762" s="14"/>
    </row>
    <row r="763" spans="1:18" ht="15" customHeight="1">
      <c r="A763" s="15" t="s">
        <v>26</v>
      </c>
      <c r="B763" s="15" t="s">
        <v>824</v>
      </c>
      <c r="C763" s="16">
        <v>0.50694444444444442</v>
      </c>
      <c r="D763" s="15" t="s">
        <v>34</v>
      </c>
      <c r="E763" s="15" t="s">
        <v>82</v>
      </c>
      <c r="F763" s="15" t="s">
        <v>45</v>
      </c>
      <c r="G763" s="298"/>
      <c r="H763" s="10"/>
      <c r="I763" s="11"/>
      <c r="J763" s="11"/>
      <c r="K763" s="11"/>
      <c r="L763" s="11"/>
      <c r="M763" s="11"/>
      <c r="N763" s="11"/>
      <c r="O763" s="12"/>
      <c r="P763" s="11"/>
      <c r="Q763" s="13"/>
      <c r="R763" s="14"/>
    </row>
    <row r="764" spans="1:18" ht="15" customHeight="1">
      <c r="A764" s="17" t="s">
        <v>26</v>
      </c>
      <c r="B764" s="17" t="s">
        <v>825</v>
      </c>
      <c r="C764" s="18">
        <v>0.69791666666666663</v>
      </c>
      <c r="D764" s="17" t="s">
        <v>28</v>
      </c>
      <c r="E764" s="17" t="s">
        <v>90</v>
      </c>
      <c r="F764" s="17" t="s">
        <v>81</v>
      </c>
      <c r="G764" s="298"/>
      <c r="H764" s="10"/>
      <c r="I764" s="11"/>
      <c r="J764" s="11"/>
      <c r="K764" s="11"/>
      <c r="L764" s="11"/>
      <c r="M764" s="11"/>
      <c r="N764" s="11"/>
      <c r="O764" s="12"/>
      <c r="P764" s="11"/>
      <c r="Q764" s="13"/>
      <c r="R764" s="14"/>
    </row>
    <row r="765" spans="1:18" ht="15" customHeight="1">
      <c r="A765" s="15" t="s">
        <v>26</v>
      </c>
      <c r="B765" s="15" t="s">
        <v>825</v>
      </c>
      <c r="C765" s="16">
        <v>0.69791666666666663</v>
      </c>
      <c r="D765" s="15" t="s">
        <v>31</v>
      </c>
      <c r="E765" s="15" t="s">
        <v>82</v>
      </c>
      <c r="F765" s="15" t="s">
        <v>83</v>
      </c>
      <c r="G765" s="298"/>
      <c r="H765" s="10"/>
      <c r="I765" s="11"/>
      <c r="J765" s="11"/>
      <c r="K765" s="11"/>
      <c r="L765" s="11"/>
      <c r="M765" s="11"/>
      <c r="N765" s="11"/>
      <c r="O765" s="12"/>
      <c r="P765" s="11"/>
      <c r="Q765" s="13"/>
      <c r="R765" s="14"/>
    </row>
    <row r="766" spans="1:18" ht="15" customHeight="1">
      <c r="A766" s="15" t="s">
        <v>26</v>
      </c>
      <c r="B766" s="15" t="s">
        <v>825</v>
      </c>
      <c r="C766" s="16">
        <v>0.69791666666666663</v>
      </c>
      <c r="D766" s="15" t="s">
        <v>34</v>
      </c>
      <c r="E766" s="15" t="s">
        <v>82</v>
      </c>
      <c r="F766" s="15" t="s">
        <v>45</v>
      </c>
      <c r="G766" s="298"/>
      <c r="H766" s="10"/>
      <c r="I766" s="11"/>
      <c r="J766" s="11"/>
      <c r="K766" s="11"/>
      <c r="L766" s="11"/>
      <c r="M766" s="11"/>
      <c r="N766" s="11"/>
      <c r="O766" s="12"/>
      <c r="P766" s="11"/>
      <c r="Q766" s="13"/>
      <c r="R766" s="14"/>
    </row>
    <row r="767" spans="1:18" ht="15" customHeight="1">
      <c r="A767" s="19" t="s">
        <v>48</v>
      </c>
      <c r="B767" s="19" t="s">
        <v>833</v>
      </c>
      <c r="C767" s="20">
        <v>0.44444444444444442</v>
      </c>
      <c r="D767" s="19" t="s">
        <v>50</v>
      </c>
      <c r="E767" s="19" t="s">
        <v>51</v>
      </c>
      <c r="F767" s="19" t="s">
        <v>873</v>
      </c>
      <c r="G767" s="298"/>
      <c r="H767" s="10"/>
      <c r="I767" s="11"/>
      <c r="J767" s="11"/>
      <c r="K767" s="11"/>
      <c r="L767" s="11"/>
      <c r="M767" s="11"/>
      <c r="N767" s="11"/>
      <c r="O767" s="12"/>
      <c r="P767" s="11"/>
      <c r="Q767" s="13"/>
      <c r="R767" s="14"/>
    </row>
    <row r="768" spans="1:18" ht="15" customHeight="1">
      <c r="A768" s="15" t="s">
        <v>48</v>
      </c>
      <c r="B768" s="15" t="s">
        <v>833</v>
      </c>
      <c r="C768" s="16">
        <v>0.44444444444444442</v>
      </c>
      <c r="D768" s="15" t="s">
        <v>53</v>
      </c>
      <c r="E768" s="15" t="s">
        <v>54</v>
      </c>
      <c r="F768" s="15" t="s">
        <v>874</v>
      </c>
      <c r="G768" s="298"/>
      <c r="H768" s="10"/>
      <c r="I768" s="11"/>
      <c r="J768" s="11"/>
      <c r="K768" s="11"/>
      <c r="L768" s="11"/>
      <c r="M768" s="11"/>
      <c r="N768" s="11"/>
      <c r="O768" s="12"/>
      <c r="P768" s="11"/>
      <c r="Q768" s="13"/>
      <c r="R768" s="14"/>
    </row>
    <row r="769" spans="1:18" ht="15" customHeight="1">
      <c r="A769" s="17" t="s">
        <v>48</v>
      </c>
      <c r="B769" s="17" t="s">
        <v>831</v>
      </c>
      <c r="C769" s="18">
        <v>0.98263888888888884</v>
      </c>
      <c r="D769" s="17" t="s">
        <v>50</v>
      </c>
      <c r="E769" s="17" t="s">
        <v>57</v>
      </c>
      <c r="F769" s="17" t="s">
        <v>873</v>
      </c>
      <c r="G769" s="298"/>
      <c r="H769" s="10"/>
      <c r="I769" s="11"/>
      <c r="J769" s="11"/>
      <c r="K769" s="11"/>
      <c r="L769" s="11"/>
      <c r="M769" s="11"/>
      <c r="N769" s="11"/>
      <c r="O769" s="12"/>
      <c r="P769" s="11"/>
      <c r="Q769" s="13"/>
      <c r="R769" s="14"/>
    </row>
    <row r="770" spans="1:18" ht="15" customHeight="1">
      <c r="A770" s="15" t="s">
        <v>48</v>
      </c>
      <c r="B770" s="15" t="s">
        <v>831</v>
      </c>
      <c r="C770" s="16">
        <v>0.98263888888888884</v>
      </c>
      <c r="D770" s="15" t="s">
        <v>53</v>
      </c>
      <c r="E770" s="15" t="s">
        <v>54</v>
      </c>
      <c r="F770" s="15" t="s">
        <v>874</v>
      </c>
      <c r="G770" s="298"/>
      <c r="H770" s="10"/>
      <c r="I770" s="11"/>
      <c r="J770" s="11"/>
      <c r="K770" s="11"/>
      <c r="L770" s="11"/>
      <c r="M770" s="11"/>
      <c r="N770" s="11"/>
      <c r="O770" s="12"/>
      <c r="P770" s="11"/>
      <c r="Q770" s="13"/>
      <c r="R770" s="14"/>
    </row>
    <row r="771" spans="1:18" ht="15" customHeight="1">
      <c r="A771" s="17" t="s">
        <v>48</v>
      </c>
      <c r="B771" s="17" t="s">
        <v>832</v>
      </c>
      <c r="C771" s="18">
        <v>0.62847222222222221</v>
      </c>
      <c r="D771" s="17" t="s">
        <v>50</v>
      </c>
      <c r="E771" s="17" t="s">
        <v>37</v>
      </c>
      <c r="F771" s="17" t="s">
        <v>873</v>
      </c>
      <c r="G771" s="298"/>
      <c r="H771" s="10"/>
      <c r="I771" s="11"/>
      <c r="J771" s="11"/>
      <c r="K771" s="11"/>
      <c r="L771" s="11"/>
      <c r="M771" s="11"/>
      <c r="N771" s="11"/>
      <c r="O771" s="12"/>
      <c r="P771" s="11"/>
      <c r="Q771" s="13"/>
      <c r="R771" s="14"/>
    </row>
    <row r="772" spans="1:18" ht="15" customHeight="1">
      <c r="A772" s="15" t="s">
        <v>48</v>
      </c>
      <c r="B772" s="15" t="s">
        <v>832</v>
      </c>
      <c r="C772" s="16">
        <v>0.62847222222222221</v>
      </c>
      <c r="D772" s="15" t="s">
        <v>53</v>
      </c>
      <c r="E772" s="15" t="s">
        <v>32</v>
      </c>
      <c r="F772" s="15" t="s">
        <v>874</v>
      </c>
      <c r="G772" s="298"/>
      <c r="H772" s="10"/>
      <c r="I772" s="11"/>
      <c r="J772" s="11"/>
      <c r="K772" s="11"/>
      <c r="L772" s="11"/>
      <c r="M772" s="11"/>
      <c r="N772" s="11"/>
      <c r="O772" s="12"/>
      <c r="P772" s="11"/>
      <c r="Q772" s="13"/>
      <c r="R772" s="14"/>
    </row>
    <row r="773" spans="1:18" ht="15" customHeight="1">
      <c r="A773" s="17" t="s">
        <v>48</v>
      </c>
      <c r="B773" s="17" t="s">
        <v>828</v>
      </c>
      <c r="C773" s="18">
        <v>0.82986111111111116</v>
      </c>
      <c r="D773" s="17" t="s">
        <v>50</v>
      </c>
      <c r="E773" s="17" t="s">
        <v>57</v>
      </c>
      <c r="F773" s="17" t="s">
        <v>829</v>
      </c>
      <c r="G773" s="298"/>
      <c r="H773" s="10"/>
      <c r="I773" s="11"/>
      <c r="J773" s="11"/>
      <c r="K773" s="11"/>
      <c r="L773" s="11"/>
      <c r="M773" s="11"/>
      <c r="N773" s="11"/>
      <c r="O773" s="12"/>
      <c r="P773" s="11"/>
      <c r="Q773" s="13"/>
      <c r="R773" s="14"/>
    </row>
    <row r="774" spans="1:18" ht="15" customHeight="1">
      <c r="A774" s="15" t="s">
        <v>48</v>
      </c>
      <c r="B774" s="15" t="s">
        <v>828</v>
      </c>
      <c r="C774" s="16">
        <v>0.82986111111111116</v>
      </c>
      <c r="D774" s="15" t="s">
        <v>53</v>
      </c>
      <c r="E774" s="15" t="s">
        <v>54</v>
      </c>
      <c r="F774" s="15" t="s">
        <v>830</v>
      </c>
      <c r="G774" s="298"/>
      <c r="H774" s="10"/>
      <c r="I774" s="11"/>
      <c r="J774" s="11"/>
      <c r="K774" s="11"/>
      <c r="L774" s="11"/>
      <c r="M774" s="11"/>
      <c r="N774" s="11"/>
      <c r="O774" s="12"/>
      <c r="P774" s="11"/>
      <c r="Q774" s="13"/>
      <c r="R774" s="14"/>
    </row>
    <row r="775" spans="1:18" ht="15" customHeight="1">
      <c r="A775" s="17" t="s">
        <v>48</v>
      </c>
      <c r="B775" s="17" t="s">
        <v>835</v>
      </c>
      <c r="C775" s="18">
        <v>0.88888888888888884</v>
      </c>
      <c r="D775" s="17" t="s">
        <v>53</v>
      </c>
      <c r="E775" s="17" t="s">
        <v>37</v>
      </c>
      <c r="F775" s="17" t="s">
        <v>836</v>
      </c>
      <c r="G775" s="298"/>
      <c r="H775" s="10"/>
      <c r="I775" s="11"/>
      <c r="J775" s="11"/>
      <c r="K775" s="11"/>
      <c r="L775" s="11"/>
      <c r="M775" s="11"/>
      <c r="N775" s="11"/>
      <c r="O775" s="12"/>
      <c r="P775" s="11"/>
      <c r="Q775" s="13"/>
      <c r="R775" s="14"/>
    </row>
    <row r="776" spans="1:18" ht="15" customHeight="1">
      <c r="A776" s="17" t="s">
        <v>48</v>
      </c>
      <c r="B776" s="17" t="s">
        <v>837</v>
      </c>
      <c r="C776" s="18">
        <v>0.62847222222222221</v>
      </c>
      <c r="D776" s="17" t="s">
        <v>53</v>
      </c>
      <c r="E776" s="17" t="s">
        <v>37</v>
      </c>
      <c r="F776" s="17" t="s">
        <v>836</v>
      </c>
      <c r="G776" s="298"/>
      <c r="H776" s="10"/>
      <c r="I776" s="11"/>
      <c r="J776" s="11"/>
      <c r="K776" s="11"/>
      <c r="L776" s="11"/>
      <c r="M776" s="11"/>
      <c r="N776" s="11"/>
      <c r="O776" s="12"/>
      <c r="P776" s="11"/>
      <c r="Q776" s="13"/>
      <c r="R776" s="14"/>
    </row>
    <row r="777" spans="1:18" ht="15" customHeight="1">
      <c r="A777" s="17" t="s">
        <v>48</v>
      </c>
      <c r="B777" s="17" t="s">
        <v>838</v>
      </c>
      <c r="C777" s="18">
        <v>0.94444444444444453</v>
      </c>
      <c r="D777" s="17" t="s">
        <v>53</v>
      </c>
      <c r="E777" s="17" t="s">
        <v>37</v>
      </c>
      <c r="F777" s="17" t="s">
        <v>836</v>
      </c>
      <c r="G777" s="298"/>
      <c r="H777" s="10"/>
      <c r="I777" s="11"/>
      <c r="J777" s="11"/>
      <c r="K777" s="11"/>
      <c r="L777" s="11"/>
      <c r="M777" s="11"/>
      <c r="N777" s="11"/>
      <c r="O777" s="12"/>
      <c r="P777" s="11"/>
      <c r="Q777" s="13"/>
      <c r="R777" s="14"/>
    </row>
    <row r="778" spans="1:18" ht="15" customHeight="1">
      <c r="A778" s="19" t="s">
        <v>359</v>
      </c>
      <c r="B778" s="19" t="s">
        <v>887</v>
      </c>
      <c r="C778" s="20">
        <v>5.2083333333333343E-2</v>
      </c>
      <c r="D778" s="19" t="s">
        <v>361</v>
      </c>
      <c r="E778" s="19" t="s">
        <v>80</v>
      </c>
      <c r="F778" s="19" t="s">
        <v>919</v>
      </c>
      <c r="G778" s="298"/>
      <c r="H778" s="10"/>
      <c r="I778" s="11"/>
      <c r="J778" s="11"/>
      <c r="K778" s="11"/>
      <c r="L778" s="11"/>
      <c r="M778" s="11"/>
      <c r="N778" s="11"/>
      <c r="O778" s="12"/>
      <c r="P778" s="11"/>
      <c r="Q778" s="13"/>
      <c r="R778" s="14"/>
    </row>
    <row r="779" spans="1:18" ht="15" customHeight="1">
      <c r="A779" s="15" t="s">
        <v>359</v>
      </c>
      <c r="B779" s="15" t="s">
        <v>887</v>
      </c>
      <c r="C779" s="16">
        <v>5.2083333333333343E-2</v>
      </c>
      <c r="D779" s="15" t="s">
        <v>46</v>
      </c>
      <c r="E779" s="15" t="s">
        <v>82</v>
      </c>
      <c r="F779" s="15" t="s">
        <v>607</v>
      </c>
      <c r="G779" s="298"/>
      <c r="H779" s="10"/>
      <c r="I779" s="11"/>
      <c r="J779" s="11"/>
      <c r="K779" s="11"/>
      <c r="L779" s="11"/>
      <c r="M779" s="11"/>
      <c r="N779" s="11"/>
      <c r="O779" s="12"/>
      <c r="P779" s="11"/>
      <c r="Q779" s="13"/>
      <c r="R779" s="14"/>
    </row>
    <row r="780" spans="1:18" ht="15" customHeight="1">
      <c r="A780" s="19" t="s">
        <v>402</v>
      </c>
      <c r="B780" s="19" t="s">
        <v>839</v>
      </c>
      <c r="C780" s="20">
        <v>0.2013888888888889</v>
      </c>
      <c r="D780" s="19" t="s">
        <v>63</v>
      </c>
      <c r="E780" s="19" t="s">
        <v>107</v>
      </c>
      <c r="F780" s="19" t="s">
        <v>881</v>
      </c>
      <c r="G780" s="298"/>
      <c r="H780" s="10"/>
      <c r="I780" s="11"/>
      <c r="J780" s="11"/>
      <c r="K780" s="11"/>
      <c r="L780" s="11"/>
      <c r="M780" s="11"/>
      <c r="N780" s="11"/>
      <c r="O780" s="12"/>
      <c r="P780" s="11"/>
      <c r="Q780" s="13"/>
      <c r="R780" s="14"/>
    </row>
    <row r="781" spans="1:18" ht="15" customHeight="1" thickBot="1">
      <c r="A781" s="30" t="s">
        <v>402</v>
      </c>
      <c r="B781" s="30" t="s">
        <v>841</v>
      </c>
      <c r="C781" s="31">
        <v>0.61458333333333337</v>
      </c>
      <c r="D781" s="30" t="s">
        <v>63</v>
      </c>
      <c r="E781" s="30" t="s">
        <v>372</v>
      </c>
      <c r="F781" s="30" t="s">
        <v>881</v>
      </c>
      <c r="G781" s="299"/>
      <c r="H781" s="300"/>
      <c r="I781" s="140"/>
      <c r="J781" s="140"/>
      <c r="K781" s="140"/>
      <c r="L781" s="140"/>
      <c r="M781" s="140"/>
      <c r="N781" s="140"/>
      <c r="O781" s="141"/>
      <c r="P781" s="140"/>
      <c r="Q781" s="142"/>
      <c r="R781" s="301"/>
    </row>
    <row r="782" spans="1:18" ht="17.45" customHeight="1" thickBot="1">
      <c r="A782" s="283"/>
      <c r="B782" s="284"/>
      <c r="C782" s="284"/>
      <c r="D782" s="284"/>
      <c r="E782" s="284"/>
      <c r="F782" s="284"/>
      <c r="G782" s="284"/>
      <c r="H782" s="284"/>
      <c r="I782" s="284"/>
      <c r="J782" s="284"/>
      <c r="K782" s="284"/>
      <c r="L782" s="284"/>
      <c r="M782" s="284"/>
      <c r="N782" s="284"/>
      <c r="O782" s="284"/>
      <c r="P782" s="284"/>
      <c r="Q782" s="284"/>
      <c r="R782" s="285"/>
    </row>
    <row r="783" spans="1:18" ht="22.15" customHeight="1" thickTop="1" thickBot="1">
      <c r="A783" s="279" t="s">
        <v>6</v>
      </c>
      <c r="B783" s="295"/>
      <c r="C783" s="295"/>
      <c r="D783" s="295"/>
      <c r="E783" s="295"/>
      <c r="F783" s="296"/>
      <c r="G783" s="32">
        <v>46037</v>
      </c>
      <c r="H783" s="278" t="s">
        <v>7</v>
      </c>
      <c r="I783" s="295"/>
      <c r="J783" s="295"/>
      <c r="K783" s="295"/>
      <c r="L783" s="295"/>
      <c r="M783" s="295"/>
      <c r="N783" s="295"/>
      <c r="O783" s="295"/>
      <c r="P783" s="295"/>
      <c r="Q783" s="295"/>
      <c r="R783" s="296"/>
    </row>
    <row r="784" spans="1:18" ht="24" customHeight="1">
      <c r="A784" s="33" t="s">
        <v>8</v>
      </c>
      <c r="B784" s="33" t="s">
        <v>9</v>
      </c>
      <c r="C784" s="34" t="s">
        <v>10</v>
      </c>
      <c r="D784" s="33" t="s">
        <v>11</v>
      </c>
      <c r="E784" s="33" t="s">
        <v>12</v>
      </c>
      <c r="F784" s="35" t="s">
        <v>13</v>
      </c>
      <c r="G784" s="36" t="s">
        <v>14</v>
      </c>
      <c r="H784" s="33" t="s">
        <v>15</v>
      </c>
      <c r="I784" s="37" t="s">
        <v>16</v>
      </c>
      <c r="J784" s="38" t="s">
        <v>17</v>
      </c>
      <c r="K784" s="39" t="s">
        <v>18</v>
      </c>
      <c r="L784" s="38" t="s">
        <v>19</v>
      </c>
      <c r="M784" s="38" t="s">
        <v>20</v>
      </c>
      <c r="N784" s="38" t="s">
        <v>21</v>
      </c>
      <c r="O784" s="33" t="s">
        <v>22</v>
      </c>
      <c r="P784" s="34" t="s">
        <v>23</v>
      </c>
      <c r="Q784" s="38" t="s">
        <v>24</v>
      </c>
      <c r="R784" s="33" t="s">
        <v>25</v>
      </c>
    </row>
    <row r="785" spans="1:18" ht="15" customHeight="1">
      <c r="A785" s="8" t="s">
        <v>38</v>
      </c>
      <c r="B785" s="8" t="s">
        <v>809</v>
      </c>
      <c r="C785" s="9">
        <v>0.57638888888888895</v>
      </c>
      <c r="D785" s="8" t="s">
        <v>40</v>
      </c>
      <c r="E785" s="8" t="s">
        <v>482</v>
      </c>
      <c r="F785" s="8" t="s">
        <v>872</v>
      </c>
      <c r="G785" s="297"/>
      <c r="H785" s="10"/>
      <c r="I785" s="11"/>
      <c r="J785" s="11"/>
      <c r="K785" s="11"/>
      <c r="L785" s="11"/>
      <c r="M785" s="11"/>
      <c r="N785" s="11"/>
      <c r="O785" s="12"/>
      <c r="P785" s="11"/>
      <c r="Q785" s="13"/>
      <c r="R785" s="14"/>
    </row>
    <row r="786" spans="1:18" ht="15" customHeight="1">
      <c r="A786" s="15" t="s">
        <v>38</v>
      </c>
      <c r="B786" s="15" t="s">
        <v>809</v>
      </c>
      <c r="C786" s="16">
        <v>0.57638888888888895</v>
      </c>
      <c r="D786" s="15" t="s">
        <v>43</v>
      </c>
      <c r="E786" s="15" t="s">
        <v>483</v>
      </c>
      <c r="F786" s="15" t="s">
        <v>349</v>
      </c>
      <c r="G786" s="298"/>
      <c r="H786" s="10"/>
      <c r="I786" s="11"/>
      <c r="J786" s="11"/>
      <c r="K786" s="11"/>
      <c r="L786" s="11"/>
      <c r="M786" s="11"/>
      <c r="N786" s="11"/>
      <c r="O786" s="12"/>
      <c r="P786" s="11"/>
      <c r="Q786" s="13"/>
      <c r="R786" s="14"/>
    </row>
    <row r="787" spans="1:18" ht="15" customHeight="1">
      <c r="A787" s="15" t="s">
        <v>38</v>
      </c>
      <c r="B787" s="15" t="s">
        <v>809</v>
      </c>
      <c r="C787" s="16">
        <v>0.57638888888888895</v>
      </c>
      <c r="D787" s="15" t="s">
        <v>46</v>
      </c>
      <c r="E787" s="15" t="s">
        <v>483</v>
      </c>
      <c r="F787" s="15" t="s">
        <v>810</v>
      </c>
      <c r="G787" s="298"/>
      <c r="H787" s="10"/>
      <c r="I787" s="11"/>
      <c r="J787" s="11"/>
      <c r="K787" s="11"/>
      <c r="L787" s="11"/>
      <c r="M787" s="11"/>
      <c r="N787" s="11"/>
      <c r="O787" s="12"/>
      <c r="P787" s="11"/>
      <c r="Q787" s="13"/>
      <c r="R787" s="14"/>
    </row>
    <row r="788" spans="1:18" ht="15" customHeight="1">
      <c r="A788" s="17" t="s">
        <v>38</v>
      </c>
      <c r="B788" s="17" t="s">
        <v>811</v>
      </c>
      <c r="C788" s="18">
        <v>0.62847222222222221</v>
      </c>
      <c r="D788" s="17" t="s">
        <v>40</v>
      </c>
      <c r="E788" s="17" t="s">
        <v>882</v>
      </c>
      <c r="F788" s="17" t="s">
        <v>872</v>
      </c>
      <c r="G788" s="298"/>
      <c r="H788" s="10"/>
      <c r="I788" s="11"/>
      <c r="J788" s="11"/>
      <c r="K788" s="11"/>
      <c r="L788" s="11"/>
      <c r="M788" s="11"/>
      <c r="N788" s="11"/>
      <c r="O788" s="12"/>
      <c r="P788" s="11"/>
      <c r="Q788" s="13"/>
      <c r="R788" s="14"/>
    </row>
    <row r="789" spans="1:18" ht="15" customHeight="1">
      <c r="A789" s="15" t="s">
        <v>38</v>
      </c>
      <c r="B789" s="15" t="s">
        <v>811</v>
      </c>
      <c r="C789" s="16">
        <v>0.62847222222222221</v>
      </c>
      <c r="D789" s="15" t="s">
        <v>43</v>
      </c>
      <c r="E789" s="15" t="s">
        <v>483</v>
      </c>
      <c r="F789" s="15" t="s">
        <v>349</v>
      </c>
      <c r="G789" s="298"/>
      <c r="H789" s="10"/>
      <c r="I789" s="11"/>
      <c r="J789" s="11"/>
      <c r="K789" s="11"/>
      <c r="L789" s="11"/>
      <c r="M789" s="11"/>
      <c r="N789" s="11"/>
      <c r="O789" s="12"/>
      <c r="P789" s="11"/>
      <c r="Q789" s="13"/>
      <c r="R789" s="14"/>
    </row>
    <row r="790" spans="1:18" ht="15" customHeight="1">
      <c r="A790" s="15" t="s">
        <v>38</v>
      </c>
      <c r="B790" s="15" t="s">
        <v>811</v>
      </c>
      <c r="C790" s="16">
        <v>0.62847222222222221</v>
      </c>
      <c r="D790" s="15" t="s">
        <v>46</v>
      </c>
      <c r="E790" s="15" t="s">
        <v>483</v>
      </c>
      <c r="F790" s="15" t="s">
        <v>810</v>
      </c>
      <c r="G790" s="298"/>
      <c r="H790" s="10"/>
      <c r="I790" s="11"/>
      <c r="J790" s="11"/>
      <c r="K790" s="11"/>
      <c r="L790" s="11"/>
      <c r="M790" s="11"/>
      <c r="N790" s="11"/>
      <c r="O790" s="12"/>
      <c r="P790" s="11"/>
      <c r="Q790" s="13"/>
      <c r="R790" s="14"/>
    </row>
    <row r="791" spans="1:18" ht="15" customHeight="1">
      <c r="A791" s="17" t="s">
        <v>38</v>
      </c>
      <c r="B791" s="17" t="s">
        <v>812</v>
      </c>
      <c r="C791" s="18">
        <v>0.88888888888888884</v>
      </c>
      <c r="D791" s="17" t="s">
        <v>40</v>
      </c>
      <c r="E791" s="17" t="s">
        <v>458</v>
      </c>
      <c r="F791" s="17" t="s">
        <v>872</v>
      </c>
      <c r="G791" s="298"/>
      <c r="H791" s="10"/>
      <c r="I791" s="11"/>
      <c r="J791" s="11"/>
      <c r="K791" s="11"/>
      <c r="L791" s="11"/>
      <c r="M791" s="11"/>
      <c r="N791" s="11"/>
      <c r="O791" s="12"/>
      <c r="P791" s="11"/>
      <c r="Q791" s="13"/>
      <c r="R791" s="14"/>
    </row>
    <row r="792" spans="1:18" ht="15" customHeight="1">
      <c r="A792" s="15" t="s">
        <v>38</v>
      </c>
      <c r="B792" s="15" t="s">
        <v>812</v>
      </c>
      <c r="C792" s="16">
        <v>0.88888888888888884</v>
      </c>
      <c r="D792" s="15" t="s">
        <v>43</v>
      </c>
      <c r="E792" s="15" t="s">
        <v>155</v>
      </c>
      <c r="F792" s="15" t="s">
        <v>349</v>
      </c>
      <c r="G792" s="298"/>
      <c r="H792" s="10"/>
      <c r="I792" s="11"/>
      <c r="J792" s="11"/>
      <c r="K792" s="11"/>
      <c r="L792" s="11"/>
      <c r="M792" s="11"/>
      <c r="N792" s="11"/>
      <c r="O792" s="12"/>
      <c r="P792" s="11"/>
      <c r="Q792" s="13"/>
      <c r="R792" s="14"/>
    </row>
    <row r="793" spans="1:18" ht="15" customHeight="1">
      <c r="A793" s="15" t="s">
        <v>38</v>
      </c>
      <c r="B793" s="15" t="s">
        <v>812</v>
      </c>
      <c r="C793" s="16">
        <v>0.88888888888888884</v>
      </c>
      <c r="D793" s="15" t="s">
        <v>46</v>
      </c>
      <c r="E793" s="15" t="s">
        <v>155</v>
      </c>
      <c r="F793" s="15" t="s">
        <v>810</v>
      </c>
      <c r="G793" s="298"/>
      <c r="H793" s="10"/>
      <c r="I793" s="11"/>
      <c r="J793" s="11"/>
      <c r="K793" s="11"/>
      <c r="L793" s="11"/>
      <c r="M793" s="11"/>
      <c r="N793" s="11"/>
      <c r="O793" s="12"/>
      <c r="P793" s="11"/>
      <c r="Q793" s="13"/>
      <c r="R793" s="14"/>
    </row>
    <row r="794" spans="1:18" ht="15" customHeight="1">
      <c r="A794" s="17" t="s">
        <v>38</v>
      </c>
      <c r="B794" s="17" t="s">
        <v>813</v>
      </c>
      <c r="C794" s="18">
        <v>0.94444444444444453</v>
      </c>
      <c r="D794" s="17" t="s">
        <v>40</v>
      </c>
      <c r="E794" s="17" t="s">
        <v>882</v>
      </c>
      <c r="F794" s="17" t="s">
        <v>872</v>
      </c>
      <c r="G794" s="298"/>
      <c r="H794" s="10"/>
      <c r="I794" s="11"/>
      <c r="J794" s="11"/>
      <c r="K794" s="11"/>
      <c r="L794" s="11"/>
      <c r="M794" s="11"/>
      <c r="N794" s="11"/>
      <c r="O794" s="12"/>
      <c r="P794" s="11"/>
      <c r="Q794" s="13"/>
      <c r="R794" s="14"/>
    </row>
    <row r="795" spans="1:18" ht="15" customHeight="1">
      <c r="A795" s="15" t="s">
        <v>38</v>
      </c>
      <c r="B795" s="15" t="s">
        <v>813</v>
      </c>
      <c r="C795" s="16">
        <v>0.94444444444444453</v>
      </c>
      <c r="D795" s="15" t="s">
        <v>43</v>
      </c>
      <c r="E795" s="15" t="s">
        <v>483</v>
      </c>
      <c r="F795" s="15" t="s">
        <v>349</v>
      </c>
      <c r="G795" s="298"/>
      <c r="H795" s="10"/>
      <c r="I795" s="11"/>
      <c r="J795" s="11"/>
      <c r="K795" s="11"/>
      <c r="L795" s="11"/>
      <c r="M795" s="11"/>
      <c r="N795" s="11"/>
      <c r="O795" s="12"/>
      <c r="P795" s="11"/>
      <c r="Q795" s="13"/>
      <c r="R795" s="14"/>
    </row>
    <row r="796" spans="1:18" ht="15" customHeight="1">
      <c r="A796" s="15" t="s">
        <v>38</v>
      </c>
      <c r="B796" s="15" t="s">
        <v>813</v>
      </c>
      <c r="C796" s="16">
        <v>0.94444444444444453</v>
      </c>
      <c r="D796" s="15" t="s">
        <v>46</v>
      </c>
      <c r="E796" s="15" t="s">
        <v>483</v>
      </c>
      <c r="F796" s="15" t="s">
        <v>810</v>
      </c>
      <c r="G796" s="298"/>
      <c r="H796" s="10"/>
      <c r="I796" s="11"/>
      <c r="J796" s="11"/>
      <c r="K796" s="11"/>
      <c r="L796" s="11"/>
      <c r="M796" s="11"/>
      <c r="N796" s="11"/>
      <c r="O796" s="12"/>
      <c r="P796" s="11"/>
      <c r="Q796" s="13"/>
      <c r="R796" s="14"/>
    </row>
    <row r="797" spans="1:18" ht="15" customHeight="1">
      <c r="A797" s="19" t="s">
        <v>26</v>
      </c>
      <c r="B797" s="19" t="s">
        <v>820</v>
      </c>
      <c r="C797" s="20">
        <v>0.4375</v>
      </c>
      <c r="D797" s="19" t="s">
        <v>28</v>
      </c>
      <c r="E797" s="19" t="s">
        <v>80</v>
      </c>
      <c r="F797" s="19" t="s">
        <v>81</v>
      </c>
      <c r="G797" s="298"/>
      <c r="H797" s="10"/>
      <c r="I797" s="11"/>
      <c r="J797" s="11"/>
      <c r="K797" s="11"/>
      <c r="L797" s="11"/>
      <c r="M797" s="11"/>
      <c r="N797" s="11"/>
      <c r="O797" s="12"/>
      <c r="P797" s="11"/>
      <c r="Q797" s="13"/>
      <c r="R797" s="14"/>
    </row>
    <row r="798" spans="1:18" ht="15" customHeight="1">
      <c r="A798" s="15" t="s">
        <v>26</v>
      </c>
      <c r="B798" s="15" t="s">
        <v>820</v>
      </c>
      <c r="C798" s="16">
        <v>0.4375</v>
      </c>
      <c r="D798" s="15" t="s">
        <v>31</v>
      </c>
      <c r="E798" s="15" t="s">
        <v>82</v>
      </c>
      <c r="F798" s="15" t="s">
        <v>83</v>
      </c>
      <c r="G798" s="298"/>
      <c r="H798" s="10"/>
      <c r="I798" s="11"/>
      <c r="J798" s="11"/>
      <c r="K798" s="11"/>
      <c r="L798" s="11"/>
      <c r="M798" s="11"/>
      <c r="N798" s="11"/>
      <c r="O798" s="12"/>
      <c r="P798" s="11"/>
      <c r="Q798" s="13"/>
      <c r="R798" s="14"/>
    </row>
    <row r="799" spans="1:18" ht="15" customHeight="1">
      <c r="A799" s="15" t="s">
        <v>26</v>
      </c>
      <c r="B799" s="15" t="s">
        <v>820</v>
      </c>
      <c r="C799" s="16">
        <v>0.4375</v>
      </c>
      <c r="D799" s="15" t="s">
        <v>34</v>
      </c>
      <c r="E799" s="15" t="s">
        <v>82</v>
      </c>
      <c r="F799" s="15" t="s">
        <v>45</v>
      </c>
      <c r="G799" s="298"/>
      <c r="H799" s="10"/>
      <c r="I799" s="11"/>
      <c r="J799" s="11"/>
      <c r="K799" s="11"/>
      <c r="L799" s="11"/>
      <c r="M799" s="11"/>
      <c r="N799" s="11"/>
      <c r="O799" s="12"/>
      <c r="P799" s="11"/>
      <c r="Q799" s="13"/>
      <c r="R799" s="14"/>
    </row>
    <row r="800" spans="1:18" ht="15" customHeight="1">
      <c r="A800" s="17" t="s">
        <v>26</v>
      </c>
      <c r="B800" s="17" t="s">
        <v>821</v>
      </c>
      <c r="C800" s="18">
        <v>0.63194444444444442</v>
      </c>
      <c r="D800" s="17" t="s">
        <v>28</v>
      </c>
      <c r="E800" s="17" t="s">
        <v>90</v>
      </c>
      <c r="F800" s="17" t="s">
        <v>81</v>
      </c>
      <c r="G800" s="298"/>
      <c r="H800" s="10"/>
      <c r="I800" s="11"/>
      <c r="J800" s="11"/>
      <c r="K800" s="11"/>
      <c r="L800" s="11"/>
      <c r="M800" s="11"/>
      <c r="N800" s="11"/>
      <c r="O800" s="12"/>
      <c r="P800" s="11"/>
      <c r="Q800" s="13"/>
      <c r="R800" s="14"/>
    </row>
    <row r="801" spans="1:18" ht="15" customHeight="1">
      <c r="A801" s="15" t="s">
        <v>26</v>
      </c>
      <c r="B801" s="15" t="s">
        <v>821</v>
      </c>
      <c r="C801" s="16">
        <v>0.63194444444444442</v>
      </c>
      <c r="D801" s="15" t="s">
        <v>31</v>
      </c>
      <c r="E801" s="15" t="s">
        <v>82</v>
      </c>
      <c r="F801" s="15" t="s">
        <v>83</v>
      </c>
      <c r="G801" s="298"/>
      <c r="H801" s="10"/>
      <c r="I801" s="11"/>
      <c r="J801" s="11"/>
      <c r="K801" s="11"/>
      <c r="L801" s="11"/>
      <c r="M801" s="11"/>
      <c r="N801" s="11"/>
      <c r="O801" s="12"/>
      <c r="P801" s="11"/>
      <c r="Q801" s="13"/>
      <c r="R801" s="14"/>
    </row>
    <row r="802" spans="1:18" ht="15" customHeight="1">
      <c r="A802" s="15" t="s">
        <v>26</v>
      </c>
      <c r="B802" s="15" t="s">
        <v>821</v>
      </c>
      <c r="C802" s="16">
        <v>0.63194444444444442</v>
      </c>
      <c r="D802" s="15" t="s">
        <v>34</v>
      </c>
      <c r="E802" s="15" t="s">
        <v>82</v>
      </c>
      <c r="F802" s="15" t="s">
        <v>45</v>
      </c>
      <c r="G802" s="298"/>
      <c r="H802" s="10"/>
      <c r="I802" s="11"/>
      <c r="J802" s="11"/>
      <c r="K802" s="11"/>
      <c r="L802" s="11"/>
      <c r="M802" s="11"/>
      <c r="N802" s="11"/>
      <c r="O802" s="12"/>
      <c r="P802" s="11"/>
      <c r="Q802" s="13"/>
      <c r="R802" s="14"/>
    </row>
    <row r="803" spans="1:18" ht="15" customHeight="1">
      <c r="A803" s="17" t="s">
        <v>26</v>
      </c>
      <c r="B803" s="17" t="s">
        <v>822</v>
      </c>
      <c r="C803" s="18">
        <v>0.55902777777777779</v>
      </c>
      <c r="D803" s="17" t="s">
        <v>28</v>
      </c>
      <c r="E803" s="17" t="s">
        <v>90</v>
      </c>
      <c r="F803" s="17" t="s">
        <v>81</v>
      </c>
      <c r="G803" s="298"/>
      <c r="H803" s="10"/>
      <c r="I803" s="11"/>
      <c r="J803" s="11"/>
      <c r="K803" s="11"/>
      <c r="L803" s="11"/>
      <c r="M803" s="11"/>
      <c r="N803" s="11"/>
      <c r="O803" s="12"/>
      <c r="P803" s="11"/>
      <c r="Q803" s="13"/>
      <c r="R803" s="14"/>
    </row>
    <row r="804" spans="1:18" ht="15" customHeight="1">
      <c r="A804" s="15" t="s">
        <v>26</v>
      </c>
      <c r="B804" s="15" t="s">
        <v>822</v>
      </c>
      <c r="C804" s="16">
        <v>0.55902777777777779</v>
      </c>
      <c r="D804" s="15" t="s">
        <v>31</v>
      </c>
      <c r="E804" s="15" t="s">
        <v>82</v>
      </c>
      <c r="F804" s="15" t="s">
        <v>83</v>
      </c>
      <c r="G804" s="298"/>
      <c r="H804" s="10"/>
      <c r="I804" s="11"/>
      <c r="J804" s="11"/>
      <c r="K804" s="11"/>
      <c r="L804" s="11"/>
      <c r="M804" s="11"/>
      <c r="N804" s="11"/>
      <c r="O804" s="12"/>
      <c r="P804" s="11"/>
      <c r="Q804" s="13"/>
      <c r="R804" s="14"/>
    </row>
    <row r="805" spans="1:18" ht="15" customHeight="1">
      <c r="A805" s="15" t="s">
        <v>26</v>
      </c>
      <c r="B805" s="15" t="s">
        <v>822</v>
      </c>
      <c r="C805" s="16">
        <v>0.55902777777777779</v>
      </c>
      <c r="D805" s="15" t="s">
        <v>34</v>
      </c>
      <c r="E805" s="15" t="s">
        <v>82</v>
      </c>
      <c r="F805" s="15" t="s">
        <v>45</v>
      </c>
      <c r="G805" s="298"/>
      <c r="H805" s="10"/>
      <c r="I805" s="11"/>
      <c r="J805" s="11"/>
      <c r="K805" s="11"/>
      <c r="L805" s="11"/>
      <c r="M805" s="11"/>
      <c r="N805" s="11"/>
      <c r="O805" s="12"/>
      <c r="P805" s="11"/>
      <c r="Q805" s="13"/>
      <c r="R805" s="14"/>
    </row>
    <row r="806" spans="1:18" ht="15" customHeight="1">
      <c r="A806" s="17" t="s">
        <v>26</v>
      </c>
      <c r="B806" s="17" t="s">
        <v>824</v>
      </c>
      <c r="C806" s="18">
        <v>0.50694444444444442</v>
      </c>
      <c r="D806" s="17" t="s">
        <v>28</v>
      </c>
      <c r="E806" s="17" t="s">
        <v>90</v>
      </c>
      <c r="F806" s="17" t="s">
        <v>81</v>
      </c>
      <c r="G806" s="298"/>
      <c r="H806" s="10"/>
      <c r="I806" s="11"/>
      <c r="J806" s="11"/>
      <c r="K806" s="11"/>
      <c r="L806" s="11"/>
      <c r="M806" s="11"/>
      <c r="N806" s="11"/>
      <c r="O806" s="12"/>
      <c r="P806" s="11"/>
      <c r="Q806" s="13"/>
      <c r="R806" s="14"/>
    </row>
    <row r="807" spans="1:18" ht="15" customHeight="1">
      <c r="A807" s="15" t="s">
        <v>26</v>
      </c>
      <c r="B807" s="15" t="s">
        <v>824</v>
      </c>
      <c r="C807" s="16">
        <v>0.50694444444444442</v>
      </c>
      <c r="D807" s="15" t="s">
        <v>31</v>
      </c>
      <c r="E807" s="15" t="s">
        <v>82</v>
      </c>
      <c r="F807" s="15" t="s">
        <v>83</v>
      </c>
      <c r="G807" s="298"/>
      <c r="H807" s="10"/>
      <c r="I807" s="11"/>
      <c r="J807" s="11"/>
      <c r="K807" s="11"/>
      <c r="L807" s="11"/>
      <c r="M807" s="11"/>
      <c r="N807" s="11"/>
      <c r="O807" s="12"/>
      <c r="P807" s="11"/>
      <c r="Q807" s="13"/>
      <c r="R807" s="14"/>
    </row>
    <row r="808" spans="1:18" ht="15" customHeight="1">
      <c r="A808" s="15" t="s">
        <v>26</v>
      </c>
      <c r="B808" s="15" t="s">
        <v>824</v>
      </c>
      <c r="C808" s="16">
        <v>0.50694444444444442</v>
      </c>
      <c r="D808" s="15" t="s">
        <v>34</v>
      </c>
      <c r="E808" s="15" t="s">
        <v>82</v>
      </c>
      <c r="F808" s="15" t="s">
        <v>45</v>
      </c>
      <c r="G808" s="298"/>
      <c r="H808" s="10"/>
      <c r="I808" s="11"/>
      <c r="J808" s="11"/>
      <c r="K808" s="11"/>
      <c r="L808" s="11"/>
      <c r="M808" s="11"/>
      <c r="N808" s="11"/>
      <c r="O808" s="12"/>
      <c r="P808" s="11"/>
      <c r="Q808" s="13"/>
      <c r="R808" s="14"/>
    </row>
    <row r="809" spans="1:18" ht="15" customHeight="1">
      <c r="A809" s="17" t="s">
        <v>26</v>
      </c>
      <c r="B809" s="17" t="s">
        <v>825</v>
      </c>
      <c r="C809" s="18">
        <v>0.69791666666666663</v>
      </c>
      <c r="D809" s="17" t="s">
        <v>28</v>
      </c>
      <c r="E809" s="17" t="s">
        <v>37</v>
      </c>
      <c r="F809" s="17" t="s">
        <v>81</v>
      </c>
      <c r="G809" s="298"/>
      <c r="H809" s="10"/>
      <c r="I809" s="11"/>
      <c r="J809" s="11"/>
      <c r="K809" s="11"/>
      <c r="L809" s="11"/>
      <c r="M809" s="11"/>
      <c r="N809" s="11"/>
      <c r="O809" s="12"/>
      <c r="P809" s="11"/>
      <c r="Q809" s="13"/>
      <c r="R809" s="14"/>
    </row>
    <row r="810" spans="1:18" ht="15" customHeight="1">
      <c r="A810" s="15" t="s">
        <v>26</v>
      </c>
      <c r="B810" s="15" t="s">
        <v>825</v>
      </c>
      <c r="C810" s="16">
        <v>0.69791666666666663</v>
      </c>
      <c r="D810" s="15" t="s">
        <v>31</v>
      </c>
      <c r="E810" s="15" t="s">
        <v>32</v>
      </c>
      <c r="F810" s="15" t="s">
        <v>83</v>
      </c>
      <c r="G810" s="298"/>
      <c r="H810" s="10"/>
      <c r="I810" s="11"/>
      <c r="J810" s="11"/>
      <c r="K810" s="11"/>
      <c r="L810" s="11"/>
      <c r="M810" s="11"/>
      <c r="N810" s="11"/>
      <c r="O810" s="12"/>
      <c r="P810" s="11"/>
      <c r="Q810" s="13"/>
      <c r="R810" s="14"/>
    </row>
    <row r="811" spans="1:18" ht="15" customHeight="1">
      <c r="A811" s="15" t="s">
        <v>26</v>
      </c>
      <c r="B811" s="15" t="s">
        <v>825</v>
      </c>
      <c r="C811" s="16">
        <v>0.69791666666666663</v>
      </c>
      <c r="D811" s="15" t="s">
        <v>34</v>
      </c>
      <c r="E811" s="15" t="s">
        <v>32</v>
      </c>
      <c r="F811" s="15" t="s">
        <v>45</v>
      </c>
      <c r="G811" s="298"/>
      <c r="H811" s="10"/>
      <c r="I811" s="11"/>
      <c r="J811" s="11"/>
      <c r="K811" s="11"/>
      <c r="L811" s="11"/>
      <c r="M811" s="11"/>
      <c r="N811" s="11"/>
      <c r="O811" s="12"/>
      <c r="P811" s="11"/>
      <c r="Q811" s="13"/>
      <c r="R811" s="14"/>
    </row>
    <row r="812" spans="1:18" ht="15" customHeight="1">
      <c r="A812" s="17" t="s">
        <v>26</v>
      </c>
      <c r="B812" s="17" t="s">
        <v>826</v>
      </c>
      <c r="C812" s="18">
        <v>0.95833333333333337</v>
      </c>
      <c r="D812" s="17" t="s">
        <v>28</v>
      </c>
      <c r="E812" s="17" t="s">
        <v>90</v>
      </c>
      <c r="F812" s="17" t="s">
        <v>827</v>
      </c>
      <c r="G812" s="298"/>
      <c r="H812" s="10"/>
      <c r="I812" s="11"/>
      <c r="J812" s="11"/>
      <c r="K812" s="11"/>
      <c r="L812" s="11"/>
      <c r="M812" s="11"/>
      <c r="N812" s="11"/>
      <c r="O812" s="12"/>
      <c r="P812" s="11"/>
      <c r="Q812" s="13"/>
      <c r="R812" s="14"/>
    </row>
    <row r="813" spans="1:18" ht="15" customHeight="1">
      <c r="A813" s="15" t="s">
        <v>26</v>
      </c>
      <c r="B813" s="15" t="s">
        <v>826</v>
      </c>
      <c r="C813" s="16">
        <v>0.95833333333333337</v>
      </c>
      <c r="D813" s="15" t="s">
        <v>31</v>
      </c>
      <c r="E813" s="15" t="s">
        <v>82</v>
      </c>
      <c r="F813" s="15" t="s">
        <v>161</v>
      </c>
      <c r="G813" s="298"/>
      <c r="H813" s="10"/>
      <c r="I813" s="11"/>
      <c r="J813" s="11"/>
      <c r="K813" s="11"/>
      <c r="L813" s="11"/>
      <c r="M813" s="11"/>
      <c r="N813" s="11"/>
      <c r="O813" s="12"/>
      <c r="P813" s="11"/>
      <c r="Q813" s="13"/>
      <c r="R813" s="14"/>
    </row>
    <row r="814" spans="1:18" ht="15" customHeight="1">
      <c r="A814" s="15" t="s">
        <v>26</v>
      </c>
      <c r="B814" s="15" t="s">
        <v>826</v>
      </c>
      <c r="C814" s="16">
        <v>0.95833333333333337</v>
      </c>
      <c r="D814" s="15" t="s">
        <v>34</v>
      </c>
      <c r="E814" s="15" t="s">
        <v>82</v>
      </c>
      <c r="F814" s="15" t="s">
        <v>123</v>
      </c>
      <c r="G814" s="298"/>
      <c r="H814" s="10"/>
      <c r="I814" s="11"/>
      <c r="J814" s="11"/>
      <c r="K814" s="11"/>
      <c r="L814" s="11"/>
      <c r="M814" s="11"/>
      <c r="N814" s="11"/>
      <c r="O814" s="12"/>
      <c r="P814" s="11"/>
      <c r="Q814" s="13"/>
      <c r="R814" s="14"/>
    </row>
    <row r="815" spans="1:18" ht="15" customHeight="1">
      <c r="A815" s="17" t="s">
        <v>26</v>
      </c>
      <c r="B815" s="17" t="s">
        <v>823</v>
      </c>
      <c r="C815" s="18">
        <v>0.81944444444444453</v>
      </c>
      <c r="D815" s="17" t="s">
        <v>28</v>
      </c>
      <c r="E815" s="17" t="s">
        <v>90</v>
      </c>
      <c r="F815" s="17" t="s">
        <v>827</v>
      </c>
      <c r="G815" s="298"/>
      <c r="H815" s="10"/>
      <c r="I815" s="11"/>
      <c r="J815" s="11"/>
      <c r="K815" s="11"/>
      <c r="L815" s="11"/>
      <c r="M815" s="11"/>
      <c r="N815" s="11"/>
      <c r="O815" s="12"/>
      <c r="P815" s="11"/>
      <c r="Q815" s="13"/>
      <c r="R815" s="14"/>
    </row>
    <row r="816" spans="1:18" ht="15" customHeight="1">
      <c r="A816" s="15" t="s">
        <v>26</v>
      </c>
      <c r="B816" s="15" t="s">
        <v>823</v>
      </c>
      <c r="C816" s="16">
        <v>0.81944444444444453</v>
      </c>
      <c r="D816" s="15" t="s">
        <v>31</v>
      </c>
      <c r="E816" s="15" t="s">
        <v>82</v>
      </c>
      <c r="F816" s="15" t="s">
        <v>161</v>
      </c>
      <c r="G816" s="298"/>
      <c r="H816" s="10"/>
      <c r="I816" s="11"/>
      <c r="J816" s="11"/>
      <c r="K816" s="11"/>
      <c r="L816" s="11"/>
      <c r="M816" s="11"/>
      <c r="N816" s="11"/>
      <c r="O816" s="12"/>
      <c r="P816" s="11"/>
      <c r="Q816" s="13"/>
      <c r="R816" s="14"/>
    </row>
    <row r="817" spans="1:18" ht="15" customHeight="1">
      <c r="A817" s="15" t="s">
        <v>26</v>
      </c>
      <c r="B817" s="15" t="s">
        <v>823</v>
      </c>
      <c r="C817" s="16">
        <v>0.81944444444444453</v>
      </c>
      <c r="D817" s="15" t="s">
        <v>34</v>
      </c>
      <c r="E817" s="15" t="s">
        <v>82</v>
      </c>
      <c r="F817" s="15" t="s">
        <v>123</v>
      </c>
      <c r="G817" s="298"/>
      <c r="H817" s="10"/>
      <c r="I817" s="11"/>
      <c r="J817" s="11"/>
      <c r="K817" s="11"/>
      <c r="L817" s="11"/>
      <c r="M817" s="11"/>
      <c r="N817" s="11"/>
      <c r="O817" s="12"/>
      <c r="P817" s="11"/>
      <c r="Q817" s="13"/>
      <c r="R817" s="14"/>
    </row>
    <row r="818" spans="1:18" ht="15" customHeight="1">
      <c r="A818" s="40" t="s">
        <v>61</v>
      </c>
      <c r="B818" s="40" t="s">
        <v>816</v>
      </c>
      <c r="C818" s="41">
        <v>0.41319444444444442</v>
      </c>
      <c r="D818" s="40" t="s">
        <v>63</v>
      </c>
      <c r="E818" s="40" t="s">
        <v>107</v>
      </c>
      <c r="F818" s="40" t="s">
        <v>121</v>
      </c>
      <c r="G818" s="298"/>
      <c r="H818" s="42" t="s">
        <v>818</v>
      </c>
      <c r="I818" s="43">
        <v>1.6799999999999999E-2</v>
      </c>
      <c r="J818" s="44">
        <v>3</v>
      </c>
      <c r="K818" s="45">
        <v>46344</v>
      </c>
      <c r="L818" s="44">
        <v>3</v>
      </c>
      <c r="M818" s="44">
        <v>0</v>
      </c>
      <c r="N818" s="44">
        <v>0</v>
      </c>
      <c r="O818" s="46" t="s">
        <v>183</v>
      </c>
      <c r="P818" s="47">
        <v>0.41319444444444442</v>
      </c>
      <c r="Q818" s="44">
        <v>179</v>
      </c>
      <c r="R818" s="48" t="s">
        <v>920</v>
      </c>
    </row>
    <row r="819" spans="1:18" ht="15" customHeight="1">
      <c r="A819" s="19" t="s">
        <v>359</v>
      </c>
      <c r="B819" s="19" t="s">
        <v>814</v>
      </c>
      <c r="C819" s="20">
        <v>0.4375</v>
      </c>
      <c r="D819" s="19" t="s">
        <v>361</v>
      </c>
      <c r="E819" s="19" t="s">
        <v>80</v>
      </c>
      <c r="F819" s="19" t="s">
        <v>919</v>
      </c>
      <c r="G819" s="298"/>
      <c r="H819" s="10"/>
      <c r="I819" s="11"/>
      <c r="J819" s="11"/>
      <c r="K819" s="11"/>
      <c r="L819" s="11"/>
      <c r="M819" s="11"/>
      <c r="N819" s="11"/>
      <c r="O819" s="12"/>
      <c r="P819" s="11"/>
      <c r="Q819" s="13"/>
      <c r="R819" s="14"/>
    </row>
    <row r="820" spans="1:18" ht="15" customHeight="1">
      <c r="A820" s="15" t="s">
        <v>359</v>
      </c>
      <c r="B820" s="15" t="s">
        <v>814</v>
      </c>
      <c r="C820" s="16">
        <v>0.4375</v>
      </c>
      <c r="D820" s="15" t="s">
        <v>46</v>
      </c>
      <c r="E820" s="15" t="s">
        <v>82</v>
      </c>
      <c r="F820" s="15" t="s">
        <v>607</v>
      </c>
      <c r="G820" s="298"/>
      <c r="H820" s="10"/>
      <c r="I820" s="11"/>
      <c r="J820" s="11"/>
      <c r="K820" s="11"/>
      <c r="L820" s="11"/>
      <c r="M820" s="11"/>
      <c r="N820" s="11"/>
      <c r="O820" s="12"/>
      <c r="P820" s="11"/>
      <c r="Q820" s="13"/>
      <c r="R820" s="14"/>
    </row>
    <row r="821" spans="1:18" ht="15" customHeight="1">
      <c r="A821" s="19" t="s">
        <v>68</v>
      </c>
      <c r="B821" s="19" t="s">
        <v>843</v>
      </c>
      <c r="C821" s="20">
        <v>0.35416666666666669</v>
      </c>
      <c r="D821" s="19" t="s">
        <v>70</v>
      </c>
      <c r="E821" s="19" t="s">
        <v>51</v>
      </c>
      <c r="F821" s="19" t="s">
        <v>404</v>
      </c>
      <c r="G821" s="298"/>
      <c r="H821" s="10"/>
      <c r="I821" s="11"/>
      <c r="J821" s="11"/>
      <c r="K821" s="11"/>
      <c r="L821" s="11"/>
      <c r="M821" s="11"/>
      <c r="N821" s="11"/>
      <c r="O821" s="12"/>
      <c r="P821" s="11"/>
      <c r="Q821" s="13"/>
      <c r="R821" s="14"/>
    </row>
    <row r="822" spans="1:18" ht="15" customHeight="1">
      <c r="A822" s="17" t="s">
        <v>68</v>
      </c>
      <c r="B822" s="17" t="s">
        <v>842</v>
      </c>
      <c r="C822" s="18">
        <v>0.98263888888888884</v>
      </c>
      <c r="D822" s="17" t="s">
        <v>70</v>
      </c>
      <c r="E822" s="17" t="s">
        <v>57</v>
      </c>
      <c r="F822" s="17" t="s">
        <v>45</v>
      </c>
      <c r="G822" s="298"/>
      <c r="H822" s="10"/>
      <c r="I822" s="11"/>
      <c r="J822" s="11"/>
      <c r="K822" s="11"/>
      <c r="L822" s="11"/>
      <c r="M822" s="11"/>
      <c r="N822" s="11"/>
      <c r="O822" s="12"/>
      <c r="P822" s="11"/>
      <c r="Q822" s="13"/>
      <c r="R822" s="14"/>
    </row>
    <row r="823" spans="1:18" ht="15" customHeight="1">
      <c r="A823" s="17" t="s">
        <v>68</v>
      </c>
      <c r="B823" s="17" t="s">
        <v>844</v>
      </c>
      <c r="C823" s="18">
        <v>0.72916666666666663</v>
      </c>
      <c r="D823" s="17" t="s">
        <v>70</v>
      </c>
      <c r="E823" s="17" t="s">
        <v>57</v>
      </c>
      <c r="F823" s="17" t="s">
        <v>921</v>
      </c>
      <c r="G823" s="298"/>
      <c r="H823" s="10"/>
      <c r="I823" s="11"/>
      <c r="J823" s="11"/>
      <c r="K823" s="11"/>
      <c r="L823" s="11"/>
      <c r="M823" s="11"/>
      <c r="N823" s="11"/>
      <c r="O823" s="12"/>
      <c r="P823" s="11"/>
      <c r="Q823" s="13"/>
      <c r="R823" s="14"/>
    </row>
    <row r="824" spans="1:18" ht="15" customHeight="1">
      <c r="A824" s="19" t="s">
        <v>48</v>
      </c>
      <c r="B824" s="19" t="s">
        <v>833</v>
      </c>
      <c r="C824" s="20">
        <v>0.44444444444444442</v>
      </c>
      <c r="D824" s="19" t="s">
        <v>50</v>
      </c>
      <c r="E824" s="19" t="s">
        <v>51</v>
      </c>
      <c r="F824" s="19" t="s">
        <v>133</v>
      </c>
      <c r="G824" s="298"/>
      <c r="H824" s="10"/>
      <c r="I824" s="11"/>
      <c r="J824" s="11"/>
      <c r="K824" s="11"/>
      <c r="L824" s="11"/>
      <c r="M824" s="11"/>
      <c r="N824" s="11"/>
      <c r="O824" s="12"/>
      <c r="P824" s="11"/>
      <c r="Q824" s="13"/>
      <c r="R824" s="14"/>
    </row>
    <row r="825" spans="1:18" ht="15" customHeight="1">
      <c r="A825" s="15" t="s">
        <v>48</v>
      </c>
      <c r="B825" s="15" t="s">
        <v>833</v>
      </c>
      <c r="C825" s="16">
        <v>0.44444444444444442</v>
      </c>
      <c r="D825" s="15" t="s">
        <v>53</v>
      </c>
      <c r="E825" s="15" t="s">
        <v>54</v>
      </c>
      <c r="F825" s="15" t="s">
        <v>834</v>
      </c>
      <c r="G825" s="298"/>
      <c r="H825" s="10"/>
      <c r="I825" s="11"/>
      <c r="J825" s="11"/>
      <c r="K825" s="11"/>
      <c r="L825" s="11"/>
      <c r="M825" s="11"/>
      <c r="N825" s="11"/>
      <c r="O825" s="12"/>
      <c r="P825" s="11"/>
      <c r="Q825" s="13"/>
      <c r="R825" s="14"/>
    </row>
    <row r="826" spans="1:18" ht="15" customHeight="1">
      <c r="A826" s="17" t="s">
        <v>48</v>
      </c>
      <c r="B826" s="17" t="s">
        <v>828</v>
      </c>
      <c r="C826" s="18">
        <v>0.82986111111111116</v>
      </c>
      <c r="D826" s="17" t="s">
        <v>50</v>
      </c>
      <c r="E826" s="17" t="s">
        <v>200</v>
      </c>
      <c r="F826" s="17" t="s">
        <v>133</v>
      </c>
      <c r="G826" s="298"/>
      <c r="H826" s="10"/>
      <c r="I826" s="11"/>
      <c r="J826" s="11"/>
      <c r="K826" s="11"/>
      <c r="L826" s="11"/>
      <c r="M826" s="11"/>
      <c r="N826" s="11"/>
      <c r="O826" s="12"/>
      <c r="P826" s="11"/>
      <c r="Q826" s="13"/>
      <c r="R826" s="14"/>
    </row>
    <row r="827" spans="1:18" ht="15" customHeight="1">
      <c r="A827" s="15" t="s">
        <v>48</v>
      </c>
      <c r="B827" s="15" t="s">
        <v>828</v>
      </c>
      <c r="C827" s="16">
        <v>0.82986111111111116</v>
      </c>
      <c r="D827" s="15" t="s">
        <v>53</v>
      </c>
      <c r="E827" s="15" t="s">
        <v>127</v>
      </c>
      <c r="F827" s="15" t="s">
        <v>834</v>
      </c>
      <c r="G827" s="298"/>
      <c r="H827" s="10"/>
      <c r="I827" s="11"/>
      <c r="J827" s="11"/>
      <c r="K827" s="11"/>
      <c r="L827" s="11"/>
      <c r="M827" s="11"/>
      <c r="N827" s="11"/>
      <c r="O827" s="12"/>
      <c r="P827" s="11"/>
      <c r="Q827" s="13"/>
      <c r="R827" s="14"/>
    </row>
    <row r="828" spans="1:18" ht="15" customHeight="1">
      <c r="A828" s="17" t="s">
        <v>48</v>
      </c>
      <c r="B828" s="17" t="s">
        <v>831</v>
      </c>
      <c r="C828" s="18">
        <v>0.98263888888888884</v>
      </c>
      <c r="D828" s="17" t="s">
        <v>50</v>
      </c>
      <c r="E828" s="17" t="s">
        <v>57</v>
      </c>
      <c r="F828" s="17" t="s">
        <v>133</v>
      </c>
      <c r="G828" s="298"/>
      <c r="H828" s="10"/>
      <c r="I828" s="11"/>
      <c r="J828" s="11"/>
      <c r="K828" s="11"/>
      <c r="L828" s="11"/>
      <c r="M828" s="11"/>
      <c r="N828" s="11"/>
      <c r="O828" s="12"/>
      <c r="P828" s="11"/>
      <c r="Q828" s="13"/>
      <c r="R828" s="14"/>
    </row>
    <row r="829" spans="1:18" ht="15" customHeight="1">
      <c r="A829" s="15" t="s">
        <v>48</v>
      </c>
      <c r="B829" s="15" t="s">
        <v>831</v>
      </c>
      <c r="C829" s="16">
        <v>0.98263888888888884</v>
      </c>
      <c r="D829" s="15" t="s">
        <v>53</v>
      </c>
      <c r="E829" s="15" t="s">
        <v>54</v>
      </c>
      <c r="F829" s="15" t="s">
        <v>834</v>
      </c>
      <c r="G829" s="298"/>
      <c r="H829" s="10"/>
      <c r="I829" s="11"/>
      <c r="J829" s="11"/>
      <c r="K829" s="11"/>
      <c r="L829" s="11"/>
      <c r="M829" s="11"/>
      <c r="N829" s="11"/>
      <c r="O829" s="12"/>
      <c r="P829" s="11"/>
      <c r="Q829" s="13"/>
      <c r="R829" s="14"/>
    </row>
    <row r="830" spans="1:18" ht="15" customHeight="1">
      <c r="A830" s="17" t="s">
        <v>48</v>
      </c>
      <c r="B830" s="17" t="s">
        <v>832</v>
      </c>
      <c r="C830" s="18">
        <v>0.62847222222222221</v>
      </c>
      <c r="D830" s="17" t="s">
        <v>50</v>
      </c>
      <c r="E830" s="17" t="s">
        <v>57</v>
      </c>
      <c r="F830" s="17" t="s">
        <v>133</v>
      </c>
      <c r="G830" s="298"/>
      <c r="H830" s="10"/>
      <c r="I830" s="11"/>
      <c r="J830" s="11"/>
      <c r="K830" s="11"/>
      <c r="L830" s="11"/>
      <c r="M830" s="11"/>
      <c r="N830" s="11"/>
      <c r="O830" s="12"/>
      <c r="P830" s="11"/>
      <c r="Q830" s="13"/>
      <c r="R830" s="14"/>
    </row>
    <row r="831" spans="1:18" ht="15" customHeight="1">
      <c r="A831" s="15" t="s">
        <v>48</v>
      </c>
      <c r="B831" s="15" t="s">
        <v>832</v>
      </c>
      <c r="C831" s="16">
        <v>0.62847222222222221</v>
      </c>
      <c r="D831" s="15" t="s">
        <v>53</v>
      </c>
      <c r="E831" s="15" t="s">
        <v>54</v>
      </c>
      <c r="F831" s="15" t="s">
        <v>834</v>
      </c>
      <c r="G831" s="298"/>
      <c r="H831" s="10"/>
      <c r="I831" s="11"/>
      <c r="J831" s="11"/>
      <c r="K831" s="11"/>
      <c r="L831" s="11"/>
      <c r="M831" s="11"/>
      <c r="N831" s="11"/>
      <c r="O831" s="12"/>
      <c r="P831" s="11"/>
      <c r="Q831" s="13"/>
      <c r="R831" s="14"/>
    </row>
    <row r="832" spans="1:18" ht="15" customHeight="1">
      <c r="A832" s="17" t="s">
        <v>48</v>
      </c>
      <c r="B832" s="17" t="s">
        <v>835</v>
      </c>
      <c r="C832" s="18">
        <v>0.88888888888888884</v>
      </c>
      <c r="D832" s="17" t="s">
        <v>53</v>
      </c>
      <c r="E832" s="17" t="s">
        <v>37</v>
      </c>
      <c r="F832" s="17" t="s">
        <v>836</v>
      </c>
      <c r="G832" s="298"/>
      <c r="H832" s="10"/>
      <c r="I832" s="11"/>
      <c r="J832" s="11"/>
      <c r="K832" s="11"/>
      <c r="L832" s="11"/>
      <c r="M832" s="11"/>
      <c r="N832" s="11"/>
      <c r="O832" s="12"/>
      <c r="P832" s="11"/>
      <c r="Q832" s="13"/>
      <c r="R832" s="14"/>
    </row>
    <row r="833" spans="1:18" ht="15" customHeight="1">
      <c r="A833" s="17" t="s">
        <v>48</v>
      </c>
      <c r="B833" s="17" t="s">
        <v>837</v>
      </c>
      <c r="C833" s="18">
        <v>0.62847222222222221</v>
      </c>
      <c r="D833" s="17" t="s">
        <v>53</v>
      </c>
      <c r="E833" s="17" t="s">
        <v>37</v>
      </c>
      <c r="F833" s="17" t="s">
        <v>836</v>
      </c>
      <c r="G833" s="298"/>
      <c r="H833" s="10"/>
      <c r="I833" s="11"/>
      <c r="J833" s="11"/>
      <c r="K833" s="11"/>
      <c r="L833" s="11"/>
      <c r="M833" s="11"/>
      <c r="N833" s="11"/>
      <c r="O833" s="12"/>
      <c r="P833" s="11"/>
      <c r="Q833" s="13"/>
      <c r="R833" s="14"/>
    </row>
    <row r="834" spans="1:18" ht="15" customHeight="1">
      <c r="A834" s="17" t="s">
        <v>48</v>
      </c>
      <c r="B834" s="17" t="s">
        <v>838</v>
      </c>
      <c r="C834" s="18">
        <v>0.94444444444444453</v>
      </c>
      <c r="D834" s="17" t="s">
        <v>53</v>
      </c>
      <c r="E834" s="17" t="s">
        <v>37</v>
      </c>
      <c r="F834" s="17" t="s">
        <v>836</v>
      </c>
      <c r="G834" s="298"/>
      <c r="H834" s="10"/>
      <c r="I834" s="11"/>
      <c r="J834" s="11"/>
      <c r="K834" s="11"/>
      <c r="L834" s="11"/>
      <c r="M834" s="11"/>
      <c r="N834" s="11"/>
      <c r="O834" s="12"/>
      <c r="P834" s="11"/>
      <c r="Q834" s="13"/>
      <c r="R834" s="14"/>
    </row>
    <row r="835" spans="1:18" ht="15" customHeight="1">
      <c r="A835" s="19" t="s">
        <v>402</v>
      </c>
      <c r="B835" s="19" t="s">
        <v>839</v>
      </c>
      <c r="C835" s="20">
        <v>0.1701388888888889</v>
      </c>
      <c r="D835" s="19" t="s">
        <v>63</v>
      </c>
      <c r="E835" s="19" t="s">
        <v>103</v>
      </c>
      <c r="F835" s="19" t="s">
        <v>881</v>
      </c>
      <c r="G835" s="298"/>
      <c r="H835" s="10"/>
      <c r="I835" s="11"/>
      <c r="J835" s="11"/>
      <c r="K835" s="11"/>
      <c r="L835" s="11"/>
      <c r="M835" s="11"/>
      <c r="N835" s="11"/>
      <c r="O835" s="12"/>
      <c r="P835" s="11"/>
      <c r="Q835" s="13"/>
      <c r="R835" s="14"/>
    </row>
    <row r="836" spans="1:18" ht="15" customHeight="1" thickBot="1">
      <c r="A836" s="30" t="s">
        <v>402</v>
      </c>
      <c r="B836" s="30" t="s">
        <v>841</v>
      </c>
      <c r="C836" s="31">
        <v>0.61458333333333337</v>
      </c>
      <c r="D836" s="30" t="s">
        <v>63</v>
      </c>
      <c r="E836" s="30" t="s">
        <v>200</v>
      </c>
      <c r="F836" s="30" t="s">
        <v>118</v>
      </c>
      <c r="G836" s="299"/>
      <c r="H836" s="300"/>
      <c r="I836" s="140"/>
      <c r="J836" s="140"/>
      <c r="K836" s="140"/>
      <c r="L836" s="140"/>
      <c r="M836" s="140"/>
      <c r="N836" s="140"/>
      <c r="O836" s="141"/>
      <c r="P836" s="140"/>
      <c r="Q836" s="142"/>
      <c r="R836" s="301"/>
    </row>
    <row r="837" spans="1:18" ht="17.45" customHeight="1" thickBot="1">
      <c r="A837" s="283"/>
      <c r="B837" s="284"/>
      <c r="C837" s="284"/>
      <c r="D837" s="284"/>
      <c r="E837" s="284"/>
      <c r="F837" s="284"/>
      <c r="G837" s="284"/>
      <c r="H837" s="284"/>
      <c r="I837" s="284"/>
      <c r="J837" s="284"/>
      <c r="K837" s="284"/>
      <c r="L837" s="284"/>
      <c r="M837" s="284"/>
      <c r="N837" s="284"/>
      <c r="O837" s="284"/>
      <c r="P837" s="284"/>
      <c r="Q837" s="284"/>
      <c r="R837" s="285"/>
    </row>
    <row r="838" spans="1:18" ht="22.15" customHeight="1" thickTop="1" thickBot="1">
      <c r="A838" s="279" t="s">
        <v>6</v>
      </c>
      <c r="B838" s="295"/>
      <c r="C838" s="295"/>
      <c r="D838" s="295"/>
      <c r="E838" s="295"/>
      <c r="F838" s="296"/>
      <c r="G838" s="32">
        <v>46038</v>
      </c>
      <c r="H838" s="278" t="s">
        <v>7</v>
      </c>
      <c r="I838" s="295"/>
      <c r="J838" s="295"/>
      <c r="K838" s="295"/>
      <c r="L838" s="295"/>
      <c r="M838" s="295"/>
      <c r="N838" s="295"/>
      <c r="O838" s="295"/>
      <c r="P838" s="295"/>
      <c r="Q838" s="295"/>
      <c r="R838" s="296"/>
    </row>
    <row r="839" spans="1:18" ht="24" customHeight="1">
      <c r="A839" s="33" t="s">
        <v>8</v>
      </c>
      <c r="B839" s="33" t="s">
        <v>9</v>
      </c>
      <c r="C839" s="34" t="s">
        <v>10</v>
      </c>
      <c r="D839" s="33" t="s">
        <v>11</v>
      </c>
      <c r="E839" s="33" t="s">
        <v>12</v>
      </c>
      <c r="F839" s="35" t="s">
        <v>13</v>
      </c>
      <c r="G839" s="36" t="s">
        <v>14</v>
      </c>
      <c r="H839" s="33" t="s">
        <v>15</v>
      </c>
      <c r="I839" s="37" t="s">
        <v>16</v>
      </c>
      <c r="J839" s="38" t="s">
        <v>17</v>
      </c>
      <c r="K839" s="39" t="s">
        <v>18</v>
      </c>
      <c r="L839" s="38" t="s">
        <v>19</v>
      </c>
      <c r="M839" s="38" t="s">
        <v>20</v>
      </c>
      <c r="N839" s="38" t="s">
        <v>21</v>
      </c>
      <c r="O839" s="33" t="s">
        <v>22</v>
      </c>
      <c r="P839" s="34" t="s">
        <v>23</v>
      </c>
      <c r="Q839" s="38" t="s">
        <v>24</v>
      </c>
      <c r="R839" s="33" t="s">
        <v>25</v>
      </c>
    </row>
    <row r="840" spans="1:18" ht="15" customHeight="1">
      <c r="A840" s="8" t="s">
        <v>359</v>
      </c>
      <c r="B840" s="8" t="s">
        <v>814</v>
      </c>
      <c r="C840" s="9">
        <v>0.1875</v>
      </c>
      <c r="D840" s="8" t="s">
        <v>361</v>
      </c>
      <c r="E840" s="8" t="s">
        <v>80</v>
      </c>
      <c r="F840" s="8" t="s">
        <v>922</v>
      </c>
      <c r="G840" s="297"/>
      <c r="H840" s="10"/>
      <c r="I840" s="11"/>
      <c r="J840" s="11"/>
      <c r="K840" s="11"/>
      <c r="L840" s="11"/>
      <c r="M840" s="11"/>
      <c r="N840" s="11"/>
      <c r="O840" s="12"/>
      <c r="P840" s="11"/>
      <c r="Q840" s="13"/>
      <c r="R840" s="14"/>
    </row>
    <row r="841" spans="1:18" ht="15" customHeight="1">
      <c r="A841" s="15" t="s">
        <v>359</v>
      </c>
      <c r="B841" s="15" t="s">
        <v>814</v>
      </c>
      <c r="C841" s="16">
        <v>0.1875</v>
      </c>
      <c r="D841" s="15" t="s">
        <v>46</v>
      </c>
      <c r="E841" s="15" t="s">
        <v>82</v>
      </c>
      <c r="F841" s="15" t="s">
        <v>923</v>
      </c>
      <c r="G841" s="298"/>
      <c r="H841" s="10"/>
      <c r="I841" s="11"/>
      <c r="J841" s="11"/>
      <c r="K841" s="11"/>
      <c r="L841" s="11"/>
      <c r="M841" s="11"/>
      <c r="N841" s="11"/>
      <c r="O841" s="12"/>
      <c r="P841" s="11"/>
      <c r="Q841" s="13"/>
      <c r="R841" s="14"/>
    </row>
    <row r="842" spans="1:18" ht="15" customHeight="1">
      <c r="A842" s="58" t="s">
        <v>61</v>
      </c>
      <c r="B842" s="58" t="s">
        <v>816</v>
      </c>
      <c r="C842" s="59">
        <v>0.40625</v>
      </c>
      <c r="D842" s="58" t="s">
        <v>63</v>
      </c>
      <c r="E842" s="58" t="s">
        <v>51</v>
      </c>
      <c r="F842" s="58" t="s">
        <v>33</v>
      </c>
      <c r="G842" s="298"/>
      <c r="H842" s="60" t="s">
        <v>818</v>
      </c>
      <c r="I842" s="61">
        <v>5.5999999999999999E-3</v>
      </c>
      <c r="J842" s="62">
        <v>1</v>
      </c>
      <c r="K842" s="244"/>
      <c r="L842" s="62">
        <v>0</v>
      </c>
      <c r="M842" s="62">
        <v>0</v>
      </c>
      <c r="N842" s="62">
        <v>0</v>
      </c>
      <c r="O842" s="64" t="s">
        <v>514</v>
      </c>
      <c r="P842" s="65">
        <v>0.40625</v>
      </c>
      <c r="Q842" s="62">
        <v>179</v>
      </c>
      <c r="R842" s="66" t="s">
        <v>686</v>
      </c>
    </row>
    <row r="843" spans="1:18" ht="15" customHeight="1">
      <c r="A843" s="156" t="s">
        <v>61</v>
      </c>
      <c r="B843" s="156" t="s">
        <v>852</v>
      </c>
      <c r="C843" s="157">
        <v>0.72569444444444453</v>
      </c>
      <c r="D843" s="156" t="s">
        <v>63</v>
      </c>
      <c r="E843" s="156" t="s">
        <v>57</v>
      </c>
      <c r="F843" s="156" t="s">
        <v>924</v>
      </c>
      <c r="G843" s="298"/>
      <c r="H843" s="42" t="s">
        <v>854</v>
      </c>
      <c r="I843" s="43">
        <v>6.1499999999999999E-2</v>
      </c>
      <c r="J843" s="44">
        <v>11</v>
      </c>
      <c r="K843" s="45">
        <v>46344</v>
      </c>
      <c r="L843" s="44">
        <v>11</v>
      </c>
      <c r="M843" s="44">
        <v>0</v>
      </c>
      <c r="N843" s="44">
        <v>0</v>
      </c>
      <c r="O843" s="46" t="s">
        <v>667</v>
      </c>
      <c r="P843" s="47">
        <v>0.72569444444444453</v>
      </c>
      <c r="Q843" s="44">
        <v>179</v>
      </c>
      <c r="R843" s="48" t="s">
        <v>925</v>
      </c>
    </row>
    <row r="844" spans="1:18" ht="15" customHeight="1">
      <c r="A844" s="19" t="s">
        <v>38</v>
      </c>
      <c r="B844" s="19" t="s">
        <v>812</v>
      </c>
      <c r="C844" s="20">
        <v>0.88888888888888884</v>
      </c>
      <c r="D844" s="19" t="s">
        <v>40</v>
      </c>
      <c r="E844" s="19" t="s">
        <v>177</v>
      </c>
      <c r="F844" s="19" t="s">
        <v>33</v>
      </c>
      <c r="G844" s="298"/>
      <c r="H844" s="10"/>
      <c r="I844" s="11"/>
      <c r="J844" s="11"/>
      <c r="K844" s="11"/>
      <c r="L844" s="11"/>
      <c r="M844" s="11"/>
      <c r="N844" s="11"/>
      <c r="O844" s="12"/>
      <c r="P844" s="11"/>
      <c r="Q844" s="13"/>
      <c r="R844" s="14"/>
    </row>
    <row r="845" spans="1:18" ht="15" customHeight="1">
      <c r="A845" s="15" t="s">
        <v>38</v>
      </c>
      <c r="B845" s="15" t="s">
        <v>812</v>
      </c>
      <c r="C845" s="16">
        <v>0.88888888888888884</v>
      </c>
      <c r="D845" s="15" t="s">
        <v>43</v>
      </c>
      <c r="E845" s="15" t="s">
        <v>454</v>
      </c>
      <c r="F845" s="15" t="s">
        <v>926</v>
      </c>
      <c r="G845" s="298"/>
      <c r="H845" s="10"/>
      <c r="I845" s="11"/>
      <c r="J845" s="11"/>
      <c r="K845" s="11"/>
      <c r="L845" s="11"/>
      <c r="M845" s="11"/>
      <c r="N845" s="11"/>
      <c r="O845" s="12"/>
      <c r="P845" s="11"/>
      <c r="Q845" s="13"/>
      <c r="R845" s="14"/>
    </row>
    <row r="846" spans="1:18" ht="15" customHeight="1">
      <c r="A846" s="15" t="s">
        <v>38</v>
      </c>
      <c r="B846" s="15" t="s">
        <v>812</v>
      </c>
      <c r="C846" s="16">
        <v>0.88888888888888884</v>
      </c>
      <c r="D846" s="15" t="s">
        <v>46</v>
      </c>
      <c r="E846" s="15" t="s">
        <v>454</v>
      </c>
      <c r="F846" s="15" t="s">
        <v>810</v>
      </c>
      <c r="G846" s="298"/>
      <c r="H846" s="10"/>
      <c r="I846" s="11"/>
      <c r="J846" s="11"/>
      <c r="K846" s="11"/>
      <c r="L846" s="11"/>
      <c r="M846" s="11"/>
      <c r="N846" s="11"/>
      <c r="O846" s="12"/>
      <c r="P846" s="11"/>
      <c r="Q846" s="13"/>
      <c r="R846" s="14"/>
    </row>
    <row r="847" spans="1:18" ht="15" customHeight="1">
      <c r="A847" s="17" t="s">
        <v>38</v>
      </c>
      <c r="B847" s="17" t="s">
        <v>813</v>
      </c>
      <c r="C847" s="18">
        <v>0.94444444444444453</v>
      </c>
      <c r="D847" s="17" t="s">
        <v>40</v>
      </c>
      <c r="E847" s="17" t="s">
        <v>927</v>
      </c>
      <c r="F847" s="17" t="s">
        <v>33</v>
      </c>
      <c r="G847" s="298"/>
      <c r="H847" s="10"/>
      <c r="I847" s="11"/>
      <c r="J847" s="11"/>
      <c r="K847" s="11"/>
      <c r="L847" s="11"/>
      <c r="M847" s="11"/>
      <c r="N847" s="11"/>
      <c r="O847" s="12"/>
      <c r="P847" s="11"/>
      <c r="Q847" s="13"/>
      <c r="R847" s="14"/>
    </row>
    <row r="848" spans="1:18" ht="15" customHeight="1">
      <c r="A848" s="15" t="s">
        <v>38</v>
      </c>
      <c r="B848" s="15" t="s">
        <v>813</v>
      </c>
      <c r="C848" s="16">
        <v>0.94444444444444453</v>
      </c>
      <c r="D848" s="15" t="s">
        <v>43</v>
      </c>
      <c r="E848" s="15" t="s">
        <v>928</v>
      </c>
      <c r="F848" s="15" t="s">
        <v>926</v>
      </c>
      <c r="G848" s="298"/>
      <c r="H848" s="10"/>
      <c r="I848" s="11"/>
      <c r="J848" s="11"/>
      <c r="K848" s="11"/>
      <c r="L848" s="11"/>
      <c r="M848" s="11"/>
      <c r="N848" s="11"/>
      <c r="O848" s="12"/>
      <c r="P848" s="11"/>
      <c r="Q848" s="13"/>
      <c r="R848" s="14"/>
    </row>
    <row r="849" spans="1:18" ht="15" customHeight="1">
      <c r="A849" s="15" t="s">
        <v>38</v>
      </c>
      <c r="B849" s="15" t="s">
        <v>813</v>
      </c>
      <c r="C849" s="16">
        <v>0.94444444444444453</v>
      </c>
      <c r="D849" s="15" t="s">
        <v>46</v>
      </c>
      <c r="E849" s="15" t="s">
        <v>928</v>
      </c>
      <c r="F849" s="15" t="s">
        <v>810</v>
      </c>
      <c r="G849" s="298"/>
      <c r="H849" s="10"/>
      <c r="I849" s="11"/>
      <c r="J849" s="11"/>
      <c r="K849" s="11"/>
      <c r="L849" s="11"/>
      <c r="M849" s="11"/>
      <c r="N849" s="11"/>
      <c r="O849" s="12"/>
      <c r="P849" s="11"/>
      <c r="Q849" s="13"/>
      <c r="R849" s="14"/>
    </row>
    <row r="850" spans="1:18" ht="15" customHeight="1">
      <c r="A850" s="17" t="s">
        <v>38</v>
      </c>
      <c r="B850" s="17" t="s">
        <v>811</v>
      </c>
      <c r="C850" s="18">
        <v>0.62847222222222221</v>
      </c>
      <c r="D850" s="17" t="s">
        <v>40</v>
      </c>
      <c r="E850" s="17" t="s">
        <v>929</v>
      </c>
      <c r="F850" s="17" t="s">
        <v>426</v>
      </c>
      <c r="G850" s="298"/>
      <c r="H850" s="10"/>
      <c r="I850" s="11"/>
      <c r="J850" s="11"/>
      <c r="K850" s="11"/>
      <c r="L850" s="11"/>
      <c r="M850" s="11"/>
      <c r="N850" s="11"/>
      <c r="O850" s="12"/>
      <c r="P850" s="11"/>
      <c r="Q850" s="13"/>
      <c r="R850" s="14"/>
    </row>
    <row r="851" spans="1:18" ht="15" customHeight="1">
      <c r="A851" s="15" t="s">
        <v>38</v>
      </c>
      <c r="B851" s="15" t="s">
        <v>811</v>
      </c>
      <c r="C851" s="16">
        <v>0.62847222222222221</v>
      </c>
      <c r="D851" s="15" t="s">
        <v>43</v>
      </c>
      <c r="E851" s="15" t="s">
        <v>930</v>
      </c>
      <c r="F851" s="15" t="s">
        <v>503</v>
      </c>
      <c r="G851" s="298"/>
      <c r="H851" s="10"/>
      <c r="I851" s="11"/>
      <c r="J851" s="11"/>
      <c r="K851" s="11"/>
      <c r="L851" s="11"/>
      <c r="M851" s="11"/>
      <c r="N851" s="11"/>
      <c r="O851" s="12"/>
      <c r="P851" s="11"/>
      <c r="Q851" s="13"/>
      <c r="R851" s="14"/>
    </row>
    <row r="852" spans="1:18" ht="15" customHeight="1">
      <c r="A852" s="15" t="s">
        <v>38</v>
      </c>
      <c r="B852" s="15" t="s">
        <v>811</v>
      </c>
      <c r="C852" s="16">
        <v>0.62847222222222221</v>
      </c>
      <c r="D852" s="15" t="s">
        <v>46</v>
      </c>
      <c r="E852" s="15" t="s">
        <v>930</v>
      </c>
      <c r="F852" s="15" t="s">
        <v>810</v>
      </c>
      <c r="G852" s="298"/>
      <c r="H852" s="10"/>
      <c r="I852" s="11"/>
      <c r="J852" s="11"/>
      <c r="K852" s="11"/>
      <c r="L852" s="11"/>
      <c r="M852" s="11"/>
      <c r="N852" s="11"/>
      <c r="O852" s="12"/>
      <c r="P852" s="11"/>
      <c r="Q852" s="13"/>
      <c r="R852" s="14"/>
    </row>
    <row r="853" spans="1:18" ht="15" customHeight="1">
      <c r="A853" s="17" t="s">
        <v>38</v>
      </c>
      <c r="B853" s="17" t="s">
        <v>809</v>
      </c>
      <c r="C853" s="18">
        <v>0.57638888888888895</v>
      </c>
      <c r="D853" s="17" t="s">
        <v>40</v>
      </c>
      <c r="E853" s="17" t="s">
        <v>125</v>
      </c>
      <c r="F853" s="17" t="s">
        <v>45</v>
      </c>
      <c r="G853" s="298"/>
      <c r="H853" s="10"/>
      <c r="I853" s="11"/>
      <c r="J853" s="11"/>
      <c r="K853" s="11"/>
      <c r="L853" s="11"/>
      <c r="M853" s="11"/>
      <c r="N853" s="11"/>
      <c r="O853" s="12"/>
      <c r="P853" s="11"/>
      <c r="Q853" s="13"/>
      <c r="R853" s="14"/>
    </row>
    <row r="854" spans="1:18" ht="15" customHeight="1">
      <c r="A854" s="15" t="s">
        <v>38</v>
      </c>
      <c r="B854" s="15" t="s">
        <v>809</v>
      </c>
      <c r="C854" s="16">
        <v>0.57638888888888895</v>
      </c>
      <c r="D854" s="15" t="s">
        <v>43</v>
      </c>
      <c r="E854" s="15" t="s">
        <v>44</v>
      </c>
      <c r="F854" s="15" t="s">
        <v>163</v>
      </c>
      <c r="G854" s="298"/>
      <c r="H854" s="10"/>
      <c r="I854" s="11"/>
      <c r="J854" s="11"/>
      <c r="K854" s="11"/>
      <c r="L854" s="11"/>
      <c r="M854" s="11"/>
      <c r="N854" s="11"/>
      <c r="O854" s="12"/>
      <c r="P854" s="11"/>
      <c r="Q854" s="13"/>
      <c r="R854" s="14"/>
    </row>
    <row r="855" spans="1:18" ht="15" customHeight="1">
      <c r="A855" s="15" t="s">
        <v>38</v>
      </c>
      <c r="B855" s="15" t="s">
        <v>809</v>
      </c>
      <c r="C855" s="16">
        <v>0.57638888888888895</v>
      </c>
      <c r="D855" s="15" t="s">
        <v>46</v>
      </c>
      <c r="E855" s="15" t="s">
        <v>44</v>
      </c>
      <c r="F855" s="15" t="s">
        <v>810</v>
      </c>
      <c r="G855" s="298"/>
      <c r="H855" s="10"/>
      <c r="I855" s="11"/>
      <c r="J855" s="11"/>
      <c r="K855" s="11"/>
      <c r="L855" s="11"/>
      <c r="M855" s="11"/>
      <c r="N855" s="11"/>
      <c r="O855" s="12"/>
      <c r="P855" s="11"/>
      <c r="Q855" s="13"/>
      <c r="R855" s="14"/>
    </row>
    <row r="856" spans="1:18" ht="15" customHeight="1">
      <c r="A856" s="19" t="s">
        <v>68</v>
      </c>
      <c r="B856" s="19" t="s">
        <v>843</v>
      </c>
      <c r="C856" s="20">
        <v>0.35416666666666669</v>
      </c>
      <c r="D856" s="19" t="s">
        <v>70</v>
      </c>
      <c r="E856" s="19" t="s">
        <v>51</v>
      </c>
      <c r="F856" s="19" t="s">
        <v>931</v>
      </c>
      <c r="G856" s="298"/>
      <c r="H856" s="10"/>
      <c r="I856" s="11"/>
      <c r="J856" s="11"/>
      <c r="K856" s="11"/>
      <c r="L856" s="11"/>
      <c r="M856" s="11"/>
      <c r="N856" s="11"/>
      <c r="O856" s="12"/>
      <c r="P856" s="11"/>
      <c r="Q856" s="13"/>
      <c r="R856" s="14"/>
    </row>
    <row r="857" spans="1:18" ht="15" customHeight="1">
      <c r="A857" s="17" t="s">
        <v>68</v>
      </c>
      <c r="B857" s="17" t="s">
        <v>842</v>
      </c>
      <c r="C857" s="18">
        <v>0.98263888888888884</v>
      </c>
      <c r="D857" s="17" t="s">
        <v>70</v>
      </c>
      <c r="E857" s="17" t="s">
        <v>57</v>
      </c>
      <c r="F857" s="17" t="s">
        <v>666</v>
      </c>
      <c r="G857" s="298"/>
      <c r="H857" s="10"/>
      <c r="I857" s="11"/>
      <c r="J857" s="11"/>
      <c r="K857" s="11"/>
      <c r="L857" s="11"/>
      <c r="M857" s="11"/>
      <c r="N857" s="11"/>
      <c r="O857" s="12"/>
      <c r="P857" s="11"/>
      <c r="Q857" s="13"/>
      <c r="R857" s="14"/>
    </row>
    <row r="858" spans="1:18" ht="15" customHeight="1">
      <c r="A858" s="17" t="s">
        <v>68</v>
      </c>
      <c r="B858" s="17" t="s">
        <v>844</v>
      </c>
      <c r="C858" s="18">
        <v>0.72916666666666663</v>
      </c>
      <c r="D858" s="17" t="s">
        <v>70</v>
      </c>
      <c r="E858" s="17" t="s">
        <v>57</v>
      </c>
      <c r="F858" s="17" t="s">
        <v>466</v>
      </c>
      <c r="G858" s="298"/>
      <c r="H858" s="10"/>
      <c r="I858" s="11"/>
      <c r="J858" s="11"/>
      <c r="K858" s="11"/>
      <c r="L858" s="11"/>
      <c r="M858" s="11"/>
      <c r="N858" s="11"/>
      <c r="O858" s="12"/>
      <c r="P858" s="11"/>
      <c r="Q858" s="13"/>
      <c r="R858" s="14"/>
    </row>
    <row r="859" spans="1:18" ht="15" customHeight="1">
      <c r="A859" s="19" t="s">
        <v>402</v>
      </c>
      <c r="B859" s="19" t="s">
        <v>839</v>
      </c>
      <c r="C859" s="20">
        <v>0.21180555555555561</v>
      </c>
      <c r="D859" s="19" t="s">
        <v>63</v>
      </c>
      <c r="E859" s="19" t="s">
        <v>156</v>
      </c>
      <c r="F859" s="19" t="s">
        <v>118</v>
      </c>
      <c r="G859" s="298"/>
      <c r="H859" s="10"/>
      <c r="I859" s="11"/>
      <c r="J859" s="11"/>
      <c r="K859" s="11"/>
      <c r="L859" s="11"/>
      <c r="M859" s="11"/>
      <c r="N859" s="11"/>
      <c r="O859" s="12"/>
      <c r="P859" s="11"/>
      <c r="Q859" s="13"/>
      <c r="R859" s="14"/>
    </row>
    <row r="860" spans="1:18" ht="15" customHeight="1">
      <c r="A860" s="19" t="s">
        <v>26</v>
      </c>
      <c r="B860" s="19" t="s">
        <v>820</v>
      </c>
      <c r="C860" s="20">
        <v>0.4375</v>
      </c>
      <c r="D860" s="19" t="s">
        <v>28</v>
      </c>
      <c r="E860" s="19" t="s">
        <v>100</v>
      </c>
      <c r="F860" s="19" t="s">
        <v>511</v>
      </c>
      <c r="G860" s="298"/>
      <c r="H860" s="10"/>
      <c r="I860" s="11"/>
      <c r="J860" s="11"/>
      <c r="K860" s="11"/>
      <c r="L860" s="11"/>
      <c r="M860" s="11"/>
      <c r="N860" s="11"/>
      <c r="O860" s="12"/>
      <c r="P860" s="11"/>
      <c r="Q860" s="13"/>
      <c r="R860" s="14"/>
    </row>
    <row r="861" spans="1:18" ht="15" customHeight="1">
      <c r="A861" s="15" t="s">
        <v>26</v>
      </c>
      <c r="B861" s="15" t="s">
        <v>820</v>
      </c>
      <c r="C861" s="16">
        <v>0.4375</v>
      </c>
      <c r="D861" s="15" t="s">
        <v>31</v>
      </c>
      <c r="E861" s="15" t="s">
        <v>115</v>
      </c>
      <c r="F861" s="15" t="s">
        <v>47</v>
      </c>
      <c r="G861" s="298"/>
      <c r="H861" s="10"/>
      <c r="I861" s="11"/>
      <c r="J861" s="11"/>
      <c r="K861" s="11"/>
      <c r="L861" s="11"/>
      <c r="M861" s="11"/>
      <c r="N861" s="11"/>
      <c r="O861" s="12"/>
      <c r="P861" s="11"/>
      <c r="Q861" s="13"/>
      <c r="R861" s="14"/>
    </row>
    <row r="862" spans="1:18" ht="15" customHeight="1">
      <c r="A862" s="15" t="s">
        <v>26</v>
      </c>
      <c r="B862" s="15" t="s">
        <v>820</v>
      </c>
      <c r="C862" s="16">
        <v>0.4375</v>
      </c>
      <c r="D862" s="15" t="s">
        <v>34</v>
      </c>
      <c r="E862" s="15" t="s">
        <v>115</v>
      </c>
      <c r="F862" s="15" t="s">
        <v>932</v>
      </c>
      <c r="G862" s="298"/>
      <c r="H862" s="10"/>
      <c r="I862" s="11"/>
      <c r="J862" s="11"/>
      <c r="K862" s="11"/>
      <c r="L862" s="11"/>
      <c r="M862" s="11"/>
      <c r="N862" s="11"/>
      <c r="O862" s="12"/>
      <c r="P862" s="11"/>
      <c r="Q862" s="13"/>
      <c r="R862" s="14"/>
    </row>
    <row r="863" spans="1:18" ht="15" customHeight="1">
      <c r="A863" s="17" t="s">
        <v>26</v>
      </c>
      <c r="B863" s="17" t="s">
        <v>826</v>
      </c>
      <c r="C863" s="18">
        <v>0.95833333333333337</v>
      </c>
      <c r="D863" s="17" t="s">
        <v>28</v>
      </c>
      <c r="E863" s="17" t="s">
        <v>427</v>
      </c>
      <c r="F863" s="17" t="s">
        <v>511</v>
      </c>
      <c r="G863" s="298"/>
      <c r="H863" s="10"/>
      <c r="I863" s="11"/>
      <c r="J863" s="11"/>
      <c r="K863" s="11"/>
      <c r="L863" s="11"/>
      <c r="M863" s="11"/>
      <c r="N863" s="11"/>
      <c r="O863" s="12"/>
      <c r="P863" s="11"/>
      <c r="Q863" s="13"/>
      <c r="R863" s="14"/>
    </row>
    <row r="864" spans="1:18" ht="15" customHeight="1">
      <c r="A864" s="15" t="s">
        <v>26</v>
      </c>
      <c r="B864" s="15" t="s">
        <v>826</v>
      </c>
      <c r="C864" s="16">
        <v>0.95833333333333337</v>
      </c>
      <c r="D864" s="15" t="s">
        <v>31</v>
      </c>
      <c r="E864" s="15" t="s">
        <v>115</v>
      </c>
      <c r="F864" s="15" t="s">
        <v>47</v>
      </c>
      <c r="G864" s="298"/>
      <c r="H864" s="10"/>
      <c r="I864" s="11"/>
      <c r="J864" s="11"/>
      <c r="K864" s="11"/>
      <c r="L864" s="11"/>
      <c r="M864" s="11"/>
      <c r="N864" s="11"/>
      <c r="O864" s="12"/>
      <c r="P864" s="11"/>
      <c r="Q864" s="13"/>
      <c r="R864" s="14"/>
    </row>
    <row r="865" spans="1:18" ht="15" customHeight="1">
      <c r="A865" s="15" t="s">
        <v>26</v>
      </c>
      <c r="B865" s="15" t="s">
        <v>826</v>
      </c>
      <c r="C865" s="16">
        <v>0.95833333333333337</v>
      </c>
      <c r="D865" s="15" t="s">
        <v>34</v>
      </c>
      <c r="E865" s="15" t="s">
        <v>115</v>
      </c>
      <c r="F865" s="15" t="s">
        <v>932</v>
      </c>
      <c r="G865" s="298"/>
      <c r="H865" s="10"/>
      <c r="I865" s="11"/>
      <c r="J865" s="11"/>
      <c r="K865" s="11"/>
      <c r="L865" s="11"/>
      <c r="M865" s="11"/>
      <c r="N865" s="11"/>
      <c r="O865" s="12"/>
      <c r="P865" s="11"/>
      <c r="Q865" s="13"/>
      <c r="R865" s="14"/>
    </row>
    <row r="866" spans="1:18" ht="15" customHeight="1">
      <c r="A866" s="17" t="s">
        <v>26</v>
      </c>
      <c r="B866" s="17" t="s">
        <v>821</v>
      </c>
      <c r="C866" s="18">
        <v>0.63194444444444442</v>
      </c>
      <c r="D866" s="17" t="s">
        <v>28</v>
      </c>
      <c r="E866" s="17" t="s">
        <v>427</v>
      </c>
      <c r="F866" s="17" t="s">
        <v>511</v>
      </c>
      <c r="G866" s="298"/>
      <c r="H866" s="10"/>
      <c r="I866" s="11"/>
      <c r="J866" s="11"/>
      <c r="K866" s="11"/>
      <c r="L866" s="11"/>
      <c r="M866" s="11"/>
      <c r="N866" s="11"/>
      <c r="O866" s="12"/>
      <c r="P866" s="11"/>
      <c r="Q866" s="13"/>
      <c r="R866" s="14"/>
    </row>
    <row r="867" spans="1:18" ht="15" customHeight="1">
      <c r="A867" s="15" t="s">
        <v>26</v>
      </c>
      <c r="B867" s="15" t="s">
        <v>821</v>
      </c>
      <c r="C867" s="16">
        <v>0.63194444444444442</v>
      </c>
      <c r="D867" s="15" t="s">
        <v>31</v>
      </c>
      <c r="E867" s="15" t="s">
        <v>115</v>
      </c>
      <c r="F867" s="15" t="s">
        <v>47</v>
      </c>
      <c r="G867" s="298"/>
      <c r="H867" s="10"/>
      <c r="I867" s="11"/>
      <c r="J867" s="11"/>
      <c r="K867" s="11"/>
      <c r="L867" s="11"/>
      <c r="M867" s="11"/>
      <c r="N867" s="11"/>
      <c r="O867" s="12"/>
      <c r="P867" s="11"/>
      <c r="Q867" s="13"/>
      <c r="R867" s="14"/>
    </row>
    <row r="868" spans="1:18" ht="15" customHeight="1">
      <c r="A868" s="15" t="s">
        <v>26</v>
      </c>
      <c r="B868" s="15" t="s">
        <v>821</v>
      </c>
      <c r="C868" s="16">
        <v>0.63194444444444442</v>
      </c>
      <c r="D868" s="15" t="s">
        <v>34</v>
      </c>
      <c r="E868" s="15" t="s">
        <v>115</v>
      </c>
      <c r="F868" s="15" t="s">
        <v>932</v>
      </c>
      <c r="G868" s="298"/>
      <c r="H868" s="10"/>
      <c r="I868" s="11"/>
      <c r="J868" s="11"/>
      <c r="K868" s="11"/>
      <c r="L868" s="11"/>
      <c r="M868" s="11"/>
      <c r="N868" s="11"/>
      <c r="O868" s="12"/>
      <c r="P868" s="11"/>
      <c r="Q868" s="13"/>
      <c r="R868" s="14"/>
    </row>
    <row r="869" spans="1:18" ht="15" customHeight="1">
      <c r="A869" s="17" t="s">
        <v>26</v>
      </c>
      <c r="B869" s="17" t="s">
        <v>822</v>
      </c>
      <c r="C869" s="18">
        <v>0.55902777777777779</v>
      </c>
      <c r="D869" s="17" t="s">
        <v>28</v>
      </c>
      <c r="E869" s="17" t="s">
        <v>427</v>
      </c>
      <c r="F869" s="17" t="s">
        <v>511</v>
      </c>
      <c r="G869" s="298"/>
      <c r="H869" s="10"/>
      <c r="I869" s="11"/>
      <c r="J869" s="11"/>
      <c r="K869" s="11"/>
      <c r="L869" s="11"/>
      <c r="M869" s="11"/>
      <c r="N869" s="11"/>
      <c r="O869" s="12"/>
      <c r="P869" s="11"/>
      <c r="Q869" s="13"/>
      <c r="R869" s="14"/>
    </row>
    <row r="870" spans="1:18" ht="15" customHeight="1">
      <c r="A870" s="15" t="s">
        <v>26</v>
      </c>
      <c r="B870" s="15" t="s">
        <v>822</v>
      </c>
      <c r="C870" s="16">
        <v>0.55902777777777779</v>
      </c>
      <c r="D870" s="15" t="s">
        <v>31</v>
      </c>
      <c r="E870" s="15" t="s">
        <v>115</v>
      </c>
      <c r="F870" s="15" t="s">
        <v>47</v>
      </c>
      <c r="G870" s="298"/>
      <c r="H870" s="10"/>
      <c r="I870" s="11"/>
      <c r="J870" s="11"/>
      <c r="K870" s="11"/>
      <c r="L870" s="11"/>
      <c r="M870" s="11"/>
      <c r="N870" s="11"/>
      <c r="O870" s="12"/>
      <c r="P870" s="11"/>
      <c r="Q870" s="13"/>
      <c r="R870" s="14"/>
    </row>
    <row r="871" spans="1:18" ht="15" customHeight="1">
      <c r="A871" s="15" t="s">
        <v>26</v>
      </c>
      <c r="B871" s="15" t="s">
        <v>822</v>
      </c>
      <c r="C871" s="16">
        <v>0.55902777777777779</v>
      </c>
      <c r="D871" s="15" t="s">
        <v>34</v>
      </c>
      <c r="E871" s="15" t="s">
        <v>115</v>
      </c>
      <c r="F871" s="15" t="s">
        <v>932</v>
      </c>
      <c r="G871" s="298"/>
      <c r="H871" s="10"/>
      <c r="I871" s="11"/>
      <c r="J871" s="11"/>
      <c r="K871" s="11"/>
      <c r="L871" s="11"/>
      <c r="M871" s="11"/>
      <c r="N871" s="11"/>
      <c r="O871" s="12"/>
      <c r="P871" s="11"/>
      <c r="Q871" s="13"/>
      <c r="R871" s="14"/>
    </row>
    <row r="872" spans="1:18" ht="15" customHeight="1">
      <c r="A872" s="17" t="s">
        <v>26</v>
      </c>
      <c r="B872" s="17" t="s">
        <v>823</v>
      </c>
      <c r="C872" s="18">
        <v>0.81944444444444453</v>
      </c>
      <c r="D872" s="17" t="s">
        <v>28</v>
      </c>
      <c r="E872" s="17" t="s">
        <v>37</v>
      </c>
      <c r="F872" s="17" t="s">
        <v>511</v>
      </c>
      <c r="G872" s="298"/>
      <c r="H872" s="10"/>
      <c r="I872" s="11"/>
      <c r="J872" s="11"/>
      <c r="K872" s="11"/>
      <c r="L872" s="11"/>
      <c r="M872" s="11"/>
      <c r="N872" s="11"/>
      <c r="O872" s="12"/>
      <c r="P872" s="11"/>
      <c r="Q872" s="13"/>
      <c r="R872" s="14"/>
    </row>
    <row r="873" spans="1:18" ht="15" customHeight="1">
      <c r="A873" s="15" t="s">
        <v>26</v>
      </c>
      <c r="B873" s="15" t="s">
        <v>823</v>
      </c>
      <c r="C873" s="16">
        <v>0.81944444444444453</v>
      </c>
      <c r="D873" s="15" t="s">
        <v>31</v>
      </c>
      <c r="E873" s="15" t="s">
        <v>32</v>
      </c>
      <c r="F873" s="15" t="s">
        <v>47</v>
      </c>
      <c r="G873" s="298"/>
      <c r="H873" s="10"/>
      <c r="I873" s="11"/>
      <c r="J873" s="11"/>
      <c r="K873" s="11"/>
      <c r="L873" s="11"/>
      <c r="M873" s="11"/>
      <c r="N873" s="11"/>
      <c r="O873" s="12"/>
      <c r="P873" s="11"/>
      <c r="Q873" s="13"/>
      <c r="R873" s="14"/>
    </row>
    <row r="874" spans="1:18" ht="15" customHeight="1">
      <c r="A874" s="15" t="s">
        <v>26</v>
      </c>
      <c r="B874" s="15" t="s">
        <v>823</v>
      </c>
      <c r="C874" s="16">
        <v>0.81944444444444453</v>
      </c>
      <c r="D874" s="15" t="s">
        <v>34</v>
      </c>
      <c r="E874" s="15" t="s">
        <v>32</v>
      </c>
      <c r="F874" s="15" t="s">
        <v>932</v>
      </c>
      <c r="G874" s="298"/>
      <c r="H874" s="10"/>
      <c r="I874" s="11"/>
      <c r="J874" s="11"/>
      <c r="K874" s="11"/>
      <c r="L874" s="11"/>
      <c r="M874" s="11"/>
      <c r="N874" s="11"/>
      <c r="O874" s="12"/>
      <c r="P874" s="11"/>
      <c r="Q874" s="13"/>
      <c r="R874" s="14"/>
    </row>
    <row r="875" spans="1:18" ht="15" customHeight="1">
      <c r="A875" s="17" t="s">
        <v>26</v>
      </c>
      <c r="B875" s="17" t="s">
        <v>824</v>
      </c>
      <c r="C875" s="18">
        <v>0.50694444444444442</v>
      </c>
      <c r="D875" s="17" t="s">
        <v>28</v>
      </c>
      <c r="E875" s="17" t="s">
        <v>427</v>
      </c>
      <c r="F875" s="17" t="s">
        <v>511</v>
      </c>
      <c r="G875" s="298"/>
      <c r="H875" s="10"/>
      <c r="I875" s="11"/>
      <c r="J875" s="11"/>
      <c r="K875" s="11"/>
      <c r="L875" s="11"/>
      <c r="M875" s="11"/>
      <c r="N875" s="11"/>
      <c r="O875" s="12"/>
      <c r="P875" s="11"/>
      <c r="Q875" s="13"/>
      <c r="R875" s="14"/>
    </row>
    <row r="876" spans="1:18" ht="15" customHeight="1">
      <c r="A876" s="15" t="s">
        <v>26</v>
      </c>
      <c r="B876" s="15" t="s">
        <v>824</v>
      </c>
      <c r="C876" s="16">
        <v>0.50694444444444442</v>
      </c>
      <c r="D876" s="15" t="s">
        <v>31</v>
      </c>
      <c r="E876" s="15" t="s">
        <v>115</v>
      </c>
      <c r="F876" s="15" t="s">
        <v>47</v>
      </c>
      <c r="G876" s="298"/>
      <c r="H876" s="10"/>
      <c r="I876" s="11"/>
      <c r="J876" s="11"/>
      <c r="K876" s="11"/>
      <c r="L876" s="11"/>
      <c r="M876" s="11"/>
      <c r="N876" s="11"/>
      <c r="O876" s="12"/>
      <c r="P876" s="11"/>
      <c r="Q876" s="13"/>
      <c r="R876" s="14"/>
    </row>
    <row r="877" spans="1:18" ht="15" customHeight="1">
      <c r="A877" s="15" t="s">
        <v>26</v>
      </c>
      <c r="B877" s="15" t="s">
        <v>824</v>
      </c>
      <c r="C877" s="16">
        <v>0.50694444444444442</v>
      </c>
      <c r="D877" s="15" t="s">
        <v>34</v>
      </c>
      <c r="E877" s="15" t="s">
        <v>115</v>
      </c>
      <c r="F877" s="15" t="s">
        <v>932</v>
      </c>
      <c r="G877" s="298"/>
      <c r="H877" s="10"/>
      <c r="I877" s="11"/>
      <c r="J877" s="11"/>
      <c r="K877" s="11"/>
      <c r="L877" s="11"/>
      <c r="M877" s="11"/>
      <c r="N877" s="11"/>
      <c r="O877" s="12"/>
      <c r="P877" s="11"/>
      <c r="Q877" s="13"/>
      <c r="R877" s="14"/>
    </row>
    <row r="878" spans="1:18" ht="15" customHeight="1">
      <c r="A878" s="17" t="s">
        <v>26</v>
      </c>
      <c r="B878" s="17" t="s">
        <v>825</v>
      </c>
      <c r="C878" s="18">
        <v>0.69791666666666663</v>
      </c>
      <c r="D878" s="17" t="s">
        <v>28</v>
      </c>
      <c r="E878" s="17" t="s">
        <v>90</v>
      </c>
      <c r="F878" s="17" t="s">
        <v>511</v>
      </c>
      <c r="G878" s="298"/>
      <c r="H878" s="10"/>
      <c r="I878" s="11"/>
      <c r="J878" s="11"/>
      <c r="K878" s="11"/>
      <c r="L878" s="11"/>
      <c r="M878" s="11"/>
      <c r="N878" s="11"/>
      <c r="O878" s="12"/>
      <c r="P878" s="11"/>
      <c r="Q878" s="13"/>
      <c r="R878" s="14"/>
    </row>
    <row r="879" spans="1:18" ht="15" customHeight="1">
      <c r="A879" s="15" t="s">
        <v>26</v>
      </c>
      <c r="B879" s="15" t="s">
        <v>825</v>
      </c>
      <c r="C879" s="16">
        <v>0.69791666666666663</v>
      </c>
      <c r="D879" s="15" t="s">
        <v>31</v>
      </c>
      <c r="E879" s="15" t="s">
        <v>82</v>
      </c>
      <c r="F879" s="15" t="s">
        <v>47</v>
      </c>
      <c r="G879" s="298"/>
      <c r="H879" s="10"/>
      <c r="I879" s="11"/>
      <c r="J879" s="11"/>
      <c r="K879" s="11"/>
      <c r="L879" s="11"/>
      <c r="M879" s="11"/>
      <c r="N879" s="11"/>
      <c r="O879" s="12"/>
      <c r="P879" s="11"/>
      <c r="Q879" s="13"/>
      <c r="R879" s="14"/>
    </row>
    <row r="880" spans="1:18" ht="15" customHeight="1">
      <c r="A880" s="15" t="s">
        <v>26</v>
      </c>
      <c r="B880" s="15" t="s">
        <v>825</v>
      </c>
      <c r="C880" s="16">
        <v>0.69791666666666663</v>
      </c>
      <c r="D880" s="15" t="s">
        <v>34</v>
      </c>
      <c r="E880" s="15" t="s">
        <v>82</v>
      </c>
      <c r="F880" s="15" t="s">
        <v>932</v>
      </c>
      <c r="G880" s="298"/>
      <c r="H880" s="10"/>
      <c r="I880" s="11"/>
      <c r="J880" s="11"/>
      <c r="K880" s="11"/>
      <c r="L880" s="11"/>
      <c r="M880" s="11"/>
      <c r="N880" s="11"/>
      <c r="O880" s="12"/>
      <c r="P880" s="11"/>
      <c r="Q880" s="13"/>
      <c r="R880" s="14"/>
    </row>
    <row r="881" spans="1:18" ht="15" customHeight="1">
      <c r="A881" s="19" t="s">
        <v>48</v>
      </c>
      <c r="B881" s="19" t="s">
        <v>833</v>
      </c>
      <c r="C881" s="20">
        <v>0.44444444444444442</v>
      </c>
      <c r="D881" s="19" t="s">
        <v>53</v>
      </c>
      <c r="E881" s="19" t="s">
        <v>51</v>
      </c>
      <c r="F881" s="19" t="s">
        <v>860</v>
      </c>
      <c r="G881" s="298"/>
      <c r="H881" s="10"/>
      <c r="I881" s="11"/>
      <c r="J881" s="11"/>
      <c r="K881" s="11"/>
      <c r="L881" s="11"/>
      <c r="M881" s="11"/>
      <c r="N881" s="11"/>
      <c r="O881" s="12"/>
      <c r="P881" s="11"/>
      <c r="Q881" s="13"/>
      <c r="R881" s="14"/>
    </row>
    <row r="882" spans="1:18" ht="15" customHeight="1">
      <c r="A882" s="17" t="s">
        <v>48</v>
      </c>
      <c r="B882" s="17" t="s">
        <v>828</v>
      </c>
      <c r="C882" s="18">
        <v>0.82986111111111116</v>
      </c>
      <c r="D882" s="17" t="s">
        <v>53</v>
      </c>
      <c r="E882" s="17" t="s">
        <v>57</v>
      </c>
      <c r="F882" s="17" t="s">
        <v>860</v>
      </c>
      <c r="G882" s="298"/>
      <c r="H882" s="10"/>
      <c r="I882" s="11"/>
      <c r="J882" s="11"/>
      <c r="K882" s="11"/>
      <c r="L882" s="11"/>
      <c r="M882" s="11"/>
      <c r="N882" s="11"/>
      <c r="O882" s="12"/>
      <c r="P882" s="11"/>
      <c r="Q882" s="13"/>
      <c r="R882" s="14"/>
    </row>
    <row r="883" spans="1:18" ht="15" customHeight="1">
      <c r="A883" s="17" t="s">
        <v>48</v>
      </c>
      <c r="B883" s="17" t="s">
        <v>831</v>
      </c>
      <c r="C883" s="18">
        <v>0.98263888888888884</v>
      </c>
      <c r="D883" s="17" t="s">
        <v>53</v>
      </c>
      <c r="E883" s="17" t="s">
        <v>57</v>
      </c>
      <c r="F883" s="17" t="s">
        <v>860</v>
      </c>
      <c r="G883" s="298"/>
      <c r="H883" s="10"/>
      <c r="I883" s="11"/>
      <c r="J883" s="11"/>
      <c r="K883" s="11"/>
      <c r="L883" s="11"/>
      <c r="M883" s="11"/>
      <c r="N883" s="11"/>
      <c r="O883" s="12"/>
      <c r="P883" s="11"/>
      <c r="Q883" s="13"/>
      <c r="R883" s="14"/>
    </row>
    <row r="884" spans="1:18" ht="15" customHeight="1">
      <c r="A884" s="17" t="s">
        <v>48</v>
      </c>
      <c r="B884" s="17" t="s">
        <v>832</v>
      </c>
      <c r="C884" s="18">
        <v>0.62847222222222221</v>
      </c>
      <c r="D884" s="17" t="s">
        <v>53</v>
      </c>
      <c r="E884" s="17" t="s">
        <v>57</v>
      </c>
      <c r="F884" s="17" t="s">
        <v>860</v>
      </c>
      <c r="G884" s="298"/>
      <c r="H884" s="10"/>
      <c r="I884" s="11"/>
      <c r="J884" s="11"/>
      <c r="K884" s="11"/>
      <c r="L884" s="11"/>
      <c r="M884" s="11"/>
      <c r="N884" s="11"/>
      <c r="O884" s="12"/>
      <c r="P884" s="11"/>
      <c r="Q884" s="13"/>
      <c r="R884" s="14"/>
    </row>
    <row r="885" spans="1:18" ht="15" customHeight="1">
      <c r="A885" s="17" t="s">
        <v>48</v>
      </c>
      <c r="B885" s="17" t="s">
        <v>835</v>
      </c>
      <c r="C885" s="18">
        <v>0.88888888888888884</v>
      </c>
      <c r="D885" s="17" t="s">
        <v>53</v>
      </c>
      <c r="E885" s="17" t="s">
        <v>37</v>
      </c>
      <c r="F885" s="17" t="s">
        <v>933</v>
      </c>
      <c r="G885" s="298"/>
      <c r="H885" s="10"/>
      <c r="I885" s="11"/>
      <c r="J885" s="11"/>
      <c r="K885" s="11"/>
      <c r="L885" s="11"/>
      <c r="M885" s="11"/>
      <c r="N885" s="11"/>
      <c r="O885" s="12"/>
      <c r="P885" s="11"/>
      <c r="Q885" s="13"/>
      <c r="R885" s="14"/>
    </row>
    <row r="886" spans="1:18" ht="15" customHeight="1">
      <c r="A886" s="17" t="s">
        <v>48</v>
      </c>
      <c r="B886" s="17" t="s">
        <v>838</v>
      </c>
      <c r="C886" s="18">
        <v>0.94444444444444453</v>
      </c>
      <c r="D886" s="17" t="s">
        <v>53</v>
      </c>
      <c r="E886" s="17" t="s">
        <v>37</v>
      </c>
      <c r="F886" s="17" t="s">
        <v>933</v>
      </c>
      <c r="G886" s="298"/>
      <c r="H886" s="10"/>
      <c r="I886" s="11"/>
      <c r="J886" s="11"/>
      <c r="K886" s="11"/>
      <c r="L886" s="11"/>
      <c r="M886" s="11"/>
      <c r="N886" s="11"/>
      <c r="O886" s="12"/>
      <c r="P886" s="11"/>
      <c r="Q886" s="13"/>
      <c r="R886" s="14"/>
    </row>
    <row r="887" spans="1:18" ht="15" customHeight="1" thickBot="1">
      <c r="A887" s="30" t="s">
        <v>48</v>
      </c>
      <c r="B887" s="30" t="s">
        <v>837</v>
      </c>
      <c r="C887" s="31">
        <v>0.62847222222222221</v>
      </c>
      <c r="D887" s="30" t="s">
        <v>53</v>
      </c>
      <c r="E887" s="30" t="s">
        <v>37</v>
      </c>
      <c r="F887" s="30" t="s">
        <v>861</v>
      </c>
      <c r="G887" s="299"/>
      <c r="H887" s="300"/>
      <c r="I887" s="140"/>
      <c r="J887" s="140"/>
      <c r="K887" s="140"/>
      <c r="L887" s="140"/>
      <c r="M887" s="140"/>
      <c r="N887" s="140"/>
      <c r="O887" s="141"/>
      <c r="P887" s="140"/>
      <c r="Q887" s="142"/>
      <c r="R887" s="301"/>
    </row>
    <row r="888" spans="1:18" ht="17.45" customHeight="1" thickBot="1">
      <c r="A888" s="283"/>
      <c r="B888" s="284"/>
      <c r="C888" s="284"/>
      <c r="D888" s="284"/>
      <c r="E888" s="284"/>
      <c r="F888" s="284"/>
      <c r="G888" s="284"/>
      <c r="H888" s="284"/>
      <c r="I888" s="284"/>
      <c r="J888" s="284"/>
      <c r="K888" s="284"/>
      <c r="L888" s="284"/>
      <c r="M888" s="284"/>
      <c r="N888" s="284"/>
      <c r="O888" s="284"/>
      <c r="P888" s="284"/>
      <c r="Q888" s="284"/>
      <c r="R888" s="285"/>
    </row>
    <row r="889" spans="1:18" ht="22.15" customHeight="1" thickTop="1" thickBot="1">
      <c r="A889" s="279" t="s">
        <v>6</v>
      </c>
      <c r="B889" s="295"/>
      <c r="C889" s="295"/>
      <c r="D889" s="295"/>
      <c r="E889" s="295"/>
      <c r="F889" s="296"/>
      <c r="G889" s="32">
        <v>46039</v>
      </c>
      <c r="H889" s="278" t="s">
        <v>7</v>
      </c>
      <c r="I889" s="295"/>
      <c r="J889" s="295"/>
      <c r="K889" s="295"/>
      <c r="L889" s="295"/>
      <c r="M889" s="295"/>
      <c r="N889" s="295"/>
      <c r="O889" s="295"/>
      <c r="P889" s="295"/>
      <c r="Q889" s="295"/>
      <c r="R889" s="296"/>
    </row>
    <row r="890" spans="1:18" ht="24" customHeight="1">
      <c r="A890" s="33" t="s">
        <v>8</v>
      </c>
      <c r="B890" s="33" t="s">
        <v>9</v>
      </c>
      <c r="C890" s="34" t="s">
        <v>10</v>
      </c>
      <c r="D890" s="33" t="s">
        <v>11</v>
      </c>
      <c r="E890" s="33" t="s">
        <v>12</v>
      </c>
      <c r="F890" s="35" t="s">
        <v>13</v>
      </c>
      <c r="G890" s="36" t="s">
        <v>14</v>
      </c>
      <c r="H890" s="33" t="s">
        <v>15</v>
      </c>
      <c r="I890" s="37" t="s">
        <v>16</v>
      </c>
      <c r="J890" s="38" t="s">
        <v>17</v>
      </c>
      <c r="K890" s="39" t="s">
        <v>18</v>
      </c>
      <c r="L890" s="38" t="s">
        <v>19</v>
      </c>
      <c r="M890" s="38" t="s">
        <v>20</v>
      </c>
      <c r="N890" s="38" t="s">
        <v>21</v>
      </c>
      <c r="O890" s="33" t="s">
        <v>22</v>
      </c>
      <c r="P890" s="34" t="s">
        <v>23</v>
      </c>
      <c r="Q890" s="38" t="s">
        <v>24</v>
      </c>
      <c r="R890" s="33" t="s">
        <v>25</v>
      </c>
    </row>
    <row r="891" spans="1:18" ht="15" customHeight="1">
      <c r="A891" s="8" t="s">
        <v>38</v>
      </c>
      <c r="B891" s="8" t="s">
        <v>809</v>
      </c>
      <c r="C891" s="9">
        <v>0.57638888888888895</v>
      </c>
      <c r="D891" s="8" t="s">
        <v>40</v>
      </c>
      <c r="E891" s="8" t="s">
        <v>482</v>
      </c>
      <c r="F891" s="8" t="s">
        <v>162</v>
      </c>
      <c r="G891" s="297"/>
      <c r="H891" s="10"/>
      <c r="I891" s="11"/>
      <c r="J891" s="11"/>
      <c r="K891" s="11"/>
      <c r="L891" s="11"/>
      <c r="M891" s="11"/>
      <c r="N891" s="11"/>
      <c r="O891" s="12"/>
      <c r="P891" s="11"/>
      <c r="Q891" s="13"/>
      <c r="R891" s="14"/>
    </row>
    <row r="892" spans="1:18" ht="15" customHeight="1">
      <c r="A892" s="15" t="s">
        <v>38</v>
      </c>
      <c r="B892" s="15" t="s">
        <v>809</v>
      </c>
      <c r="C892" s="16">
        <v>0.57638888888888895</v>
      </c>
      <c r="D892" s="15" t="s">
        <v>43</v>
      </c>
      <c r="E892" s="15" t="s">
        <v>483</v>
      </c>
      <c r="F892" s="15" t="s">
        <v>865</v>
      </c>
      <c r="G892" s="298"/>
      <c r="H892" s="10"/>
      <c r="I892" s="11"/>
      <c r="J892" s="11"/>
      <c r="K892" s="11"/>
      <c r="L892" s="11"/>
      <c r="M892" s="11"/>
      <c r="N892" s="11"/>
      <c r="O892" s="12"/>
      <c r="P892" s="11"/>
      <c r="Q892" s="13"/>
      <c r="R892" s="14"/>
    </row>
    <row r="893" spans="1:18" ht="15" customHeight="1">
      <c r="A893" s="15" t="s">
        <v>38</v>
      </c>
      <c r="B893" s="15" t="s">
        <v>809</v>
      </c>
      <c r="C893" s="16">
        <v>0.57638888888888895</v>
      </c>
      <c r="D893" s="15" t="s">
        <v>46</v>
      </c>
      <c r="E893" s="15" t="s">
        <v>483</v>
      </c>
      <c r="F893" s="15" t="s">
        <v>810</v>
      </c>
      <c r="G893" s="298"/>
      <c r="H893" s="10"/>
      <c r="I893" s="11"/>
      <c r="J893" s="11"/>
      <c r="K893" s="11"/>
      <c r="L893" s="11"/>
      <c r="M893" s="11"/>
      <c r="N893" s="11"/>
      <c r="O893" s="12"/>
      <c r="P893" s="11"/>
      <c r="Q893" s="13"/>
      <c r="R893" s="14"/>
    </row>
    <row r="894" spans="1:18" ht="15" customHeight="1">
      <c r="A894" s="17" t="s">
        <v>38</v>
      </c>
      <c r="B894" s="17" t="s">
        <v>811</v>
      </c>
      <c r="C894" s="18">
        <v>0.62847222222222221</v>
      </c>
      <c r="D894" s="17" t="s">
        <v>40</v>
      </c>
      <c r="E894" s="17" t="s">
        <v>890</v>
      </c>
      <c r="F894" s="17" t="s">
        <v>503</v>
      </c>
      <c r="G894" s="298"/>
      <c r="H894" s="10"/>
      <c r="I894" s="11"/>
      <c r="J894" s="11"/>
      <c r="K894" s="11"/>
      <c r="L894" s="11"/>
      <c r="M894" s="11"/>
      <c r="N894" s="11"/>
      <c r="O894" s="12"/>
      <c r="P894" s="11"/>
      <c r="Q894" s="13"/>
      <c r="R894" s="14"/>
    </row>
    <row r="895" spans="1:18" ht="15" customHeight="1">
      <c r="A895" s="15" t="s">
        <v>38</v>
      </c>
      <c r="B895" s="15" t="s">
        <v>811</v>
      </c>
      <c r="C895" s="16">
        <v>0.62847222222222221</v>
      </c>
      <c r="D895" s="15" t="s">
        <v>43</v>
      </c>
      <c r="E895" s="15" t="s">
        <v>148</v>
      </c>
      <c r="F895" s="15" t="s">
        <v>47</v>
      </c>
      <c r="G895" s="298"/>
      <c r="H895" s="10"/>
      <c r="I895" s="11"/>
      <c r="J895" s="11"/>
      <c r="K895" s="11"/>
      <c r="L895" s="11"/>
      <c r="M895" s="11"/>
      <c r="N895" s="11"/>
      <c r="O895" s="12"/>
      <c r="P895" s="11"/>
      <c r="Q895" s="13"/>
      <c r="R895" s="14"/>
    </row>
    <row r="896" spans="1:18" ht="15" customHeight="1">
      <c r="A896" s="15" t="s">
        <v>38</v>
      </c>
      <c r="B896" s="15" t="s">
        <v>811</v>
      </c>
      <c r="C896" s="16">
        <v>0.62847222222222221</v>
      </c>
      <c r="D896" s="15" t="s">
        <v>46</v>
      </c>
      <c r="E896" s="15" t="s">
        <v>148</v>
      </c>
      <c r="F896" s="15" t="s">
        <v>810</v>
      </c>
      <c r="G896" s="298"/>
      <c r="H896" s="10"/>
      <c r="I896" s="11"/>
      <c r="J896" s="11"/>
      <c r="K896" s="11"/>
      <c r="L896" s="11"/>
      <c r="M896" s="11"/>
      <c r="N896" s="11"/>
      <c r="O896" s="12"/>
      <c r="P896" s="11"/>
      <c r="Q896" s="13"/>
      <c r="R896" s="14"/>
    </row>
    <row r="897" spans="1:18" ht="15" customHeight="1">
      <c r="A897" s="17" t="s">
        <v>38</v>
      </c>
      <c r="B897" s="17" t="s">
        <v>812</v>
      </c>
      <c r="C897" s="18">
        <v>0.88888888888888884</v>
      </c>
      <c r="D897" s="17" t="s">
        <v>40</v>
      </c>
      <c r="E897" s="17" t="s">
        <v>194</v>
      </c>
      <c r="F897" s="17" t="s">
        <v>503</v>
      </c>
      <c r="G897" s="298"/>
      <c r="H897" s="10"/>
      <c r="I897" s="11"/>
      <c r="J897" s="11"/>
      <c r="K897" s="11"/>
      <c r="L897" s="11"/>
      <c r="M897" s="11"/>
      <c r="N897" s="11"/>
      <c r="O897" s="12"/>
      <c r="P897" s="11"/>
      <c r="Q897" s="13"/>
      <c r="R897" s="14"/>
    </row>
    <row r="898" spans="1:18" ht="15" customHeight="1">
      <c r="A898" s="15" t="s">
        <v>38</v>
      </c>
      <c r="B898" s="15" t="s">
        <v>812</v>
      </c>
      <c r="C898" s="16">
        <v>0.88888888888888884</v>
      </c>
      <c r="D898" s="15" t="s">
        <v>43</v>
      </c>
      <c r="E898" s="15" t="s">
        <v>195</v>
      </c>
      <c r="F898" s="15" t="s">
        <v>47</v>
      </c>
      <c r="G898" s="298"/>
      <c r="H898" s="10"/>
      <c r="I898" s="11"/>
      <c r="J898" s="11"/>
      <c r="K898" s="11"/>
      <c r="L898" s="11"/>
      <c r="M898" s="11"/>
      <c r="N898" s="11"/>
      <c r="O898" s="12"/>
      <c r="P898" s="11"/>
      <c r="Q898" s="13"/>
      <c r="R898" s="14"/>
    </row>
    <row r="899" spans="1:18" ht="15" customHeight="1">
      <c r="A899" s="15" t="s">
        <v>38</v>
      </c>
      <c r="B899" s="15" t="s">
        <v>812</v>
      </c>
      <c r="C899" s="16">
        <v>0.88888888888888884</v>
      </c>
      <c r="D899" s="15" t="s">
        <v>46</v>
      </c>
      <c r="E899" s="15" t="s">
        <v>195</v>
      </c>
      <c r="F899" s="15" t="s">
        <v>894</v>
      </c>
      <c r="G899" s="298"/>
      <c r="H899" s="10"/>
      <c r="I899" s="11"/>
      <c r="J899" s="11"/>
      <c r="K899" s="11"/>
      <c r="L899" s="11"/>
      <c r="M899" s="11"/>
      <c r="N899" s="11"/>
      <c r="O899" s="12"/>
      <c r="P899" s="11"/>
      <c r="Q899" s="13"/>
      <c r="R899" s="14"/>
    </row>
    <row r="900" spans="1:18" ht="15" customHeight="1">
      <c r="A900" s="17" t="s">
        <v>38</v>
      </c>
      <c r="B900" s="17" t="s">
        <v>813</v>
      </c>
      <c r="C900" s="18">
        <v>0.94444444444444453</v>
      </c>
      <c r="D900" s="17" t="s">
        <v>40</v>
      </c>
      <c r="E900" s="17" t="s">
        <v>934</v>
      </c>
      <c r="F900" s="17" t="s">
        <v>487</v>
      </c>
      <c r="G900" s="298"/>
      <c r="H900" s="10"/>
      <c r="I900" s="11"/>
      <c r="J900" s="11"/>
      <c r="K900" s="11"/>
      <c r="L900" s="11"/>
      <c r="M900" s="11"/>
      <c r="N900" s="11"/>
      <c r="O900" s="12"/>
      <c r="P900" s="11"/>
      <c r="Q900" s="13"/>
      <c r="R900" s="14"/>
    </row>
    <row r="901" spans="1:18" ht="15" customHeight="1">
      <c r="A901" s="15" t="s">
        <v>38</v>
      </c>
      <c r="B901" s="15" t="s">
        <v>813</v>
      </c>
      <c r="C901" s="16">
        <v>0.94444444444444453</v>
      </c>
      <c r="D901" s="15" t="s">
        <v>43</v>
      </c>
      <c r="E901" s="15" t="s">
        <v>935</v>
      </c>
      <c r="F901" s="15" t="s">
        <v>105</v>
      </c>
      <c r="G901" s="298"/>
      <c r="H901" s="10"/>
      <c r="I901" s="11"/>
      <c r="J901" s="11"/>
      <c r="K901" s="11"/>
      <c r="L901" s="11"/>
      <c r="M901" s="11"/>
      <c r="N901" s="11"/>
      <c r="O901" s="12"/>
      <c r="P901" s="11"/>
      <c r="Q901" s="13"/>
      <c r="R901" s="14"/>
    </row>
    <row r="902" spans="1:18" ht="15" customHeight="1">
      <c r="A902" s="15" t="s">
        <v>38</v>
      </c>
      <c r="B902" s="15" t="s">
        <v>813</v>
      </c>
      <c r="C902" s="16">
        <v>0.94444444444444453</v>
      </c>
      <c r="D902" s="15" t="s">
        <v>46</v>
      </c>
      <c r="E902" s="15" t="s">
        <v>935</v>
      </c>
      <c r="F902" s="15" t="s">
        <v>894</v>
      </c>
      <c r="G902" s="298"/>
      <c r="H902" s="10"/>
      <c r="I902" s="11"/>
      <c r="J902" s="11"/>
      <c r="K902" s="11"/>
      <c r="L902" s="11"/>
      <c r="M902" s="11"/>
      <c r="N902" s="11"/>
      <c r="O902" s="12"/>
      <c r="P902" s="11"/>
      <c r="Q902" s="13"/>
      <c r="R902" s="14"/>
    </row>
    <row r="903" spans="1:18" ht="15" customHeight="1">
      <c r="A903" s="19" t="s">
        <v>359</v>
      </c>
      <c r="B903" s="19" t="s">
        <v>814</v>
      </c>
      <c r="C903" s="20">
        <v>0.4375</v>
      </c>
      <c r="D903" s="19" t="s">
        <v>361</v>
      </c>
      <c r="E903" s="19" t="s">
        <v>80</v>
      </c>
      <c r="F903" s="19" t="s">
        <v>936</v>
      </c>
      <c r="G903" s="298"/>
      <c r="H903" s="10"/>
      <c r="I903" s="11"/>
      <c r="J903" s="11"/>
      <c r="K903" s="11"/>
      <c r="L903" s="11"/>
      <c r="M903" s="11"/>
      <c r="N903" s="11"/>
      <c r="O903" s="12"/>
      <c r="P903" s="11"/>
      <c r="Q903" s="13"/>
      <c r="R903" s="14"/>
    </row>
    <row r="904" spans="1:18" ht="15" customHeight="1">
      <c r="A904" s="15" t="s">
        <v>359</v>
      </c>
      <c r="B904" s="15" t="s">
        <v>814</v>
      </c>
      <c r="C904" s="16">
        <v>0.4375</v>
      </c>
      <c r="D904" s="15" t="s">
        <v>46</v>
      </c>
      <c r="E904" s="15" t="s">
        <v>82</v>
      </c>
      <c r="F904" s="15" t="s">
        <v>937</v>
      </c>
      <c r="G904" s="298"/>
      <c r="H904" s="10"/>
      <c r="I904" s="11"/>
      <c r="J904" s="11"/>
      <c r="K904" s="11"/>
      <c r="L904" s="11"/>
      <c r="M904" s="11"/>
      <c r="N904" s="11"/>
      <c r="O904" s="12"/>
      <c r="P904" s="11"/>
      <c r="Q904" s="13"/>
      <c r="R904" s="14"/>
    </row>
    <row r="905" spans="1:18" ht="15" customHeight="1">
      <c r="A905" s="87" t="s">
        <v>61</v>
      </c>
      <c r="B905" s="87" t="s">
        <v>816</v>
      </c>
      <c r="C905" s="88">
        <v>0.41319444444444442</v>
      </c>
      <c r="D905" s="87" t="s">
        <v>63</v>
      </c>
      <c r="E905" s="87" t="s">
        <v>51</v>
      </c>
      <c r="F905" s="87" t="s">
        <v>938</v>
      </c>
      <c r="G905" s="298"/>
      <c r="H905" s="89" t="s">
        <v>818</v>
      </c>
      <c r="I905" s="90">
        <v>0.11169999999999999</v>
      </c>
      <c r="J905" s="91">
        <v>20</v>
      </c>
      <c r="K905" s="92">
        <v>46344</v>
      </c>
      <c r="L905" s="91">
        <v>20</v>
      </c>
      <c r="M905" s="91">
        <v>0</v>
      </c>
      <c r="N905" s="91">
        <v>0</v>
      </c>
      <c r="O905" s="93" t="s">
        <v>939</v>
      </c>
      <c r="P905" s="94">
        <v>0.41319444444444442</v>
      </c>
      <c r="Q905" s="91">
        <v>179</v>
      </c>
      <c r="R905" s="95" t="s">
        <v>940</v>
      </c>
    </row>
    <row r="906" spans="1:18" ht="15" customHeight="1">
      <c r="A906" s="19" t="s">
        <v>68</v>
      </c>
      <c r="B906" s="19" t="s">
        <v>843</v>
      </c>
      <c r="C906" s="20">
        <v>0.35416666666666669</v>
      </c>
      <c r="D906" s="19" t="s">
        <v>70</v>
      </c>
      <c r="E906" s="19" t="s">
        <v>51</v>
      </c>
      <c r="F906" s="19" t="s">
        <v>858</v>
      </c>
      <c r="G906" s="298"/>
      <c r="H906" s="10"/>
      <c r="I906" s="11"/>
      <c r="J906" s="11"/>
      <c r="K906" s="11"/>
      <c r="L906" s="11"/>
      <c r="M906" s="11"/>
      <c r="N906" s="11"/>
      <c r="O906" s="12"/>
      <c r="P906" s="11"/>
      <c r="Q906" s="13"/>
      <c r="R906" s="14"/>
    </row>
    <row r="907" spans="1:18" ht="15" customHeight="1">
      <c r="A907" s="17" t="s">
        <v>68</v>
      </c>
      <c r="B907" s="17" t="s">
        <v>842</v>
      </c>
      <c r="C907" s="18">
        <v>0.98263888888888884</v>
      </c>
      <c r="D907" s="17" t="s">
        <v>70</v>
      </c>
      <c r="E907" s="17" t="s">
        <v>57</v>
      </c>
      <c r="F907" s="17" t="s">
        <v>867</v>
      </c>
      <c r="G907" s="298"/>
      <c r="H907" s="10"/>
      <c r="I907" s="11"/>
      <c r="J907" s="11"/>
      <c r="K907" s="11"/>
      <c r="L907" s="11"/>
      <c r="M907" s="11"/>
      <c r="N907" s="11"/>
      <c r="O907" s="12"/>
      <c r="P907" s="11"/>
      <c r="Q907" s="13"/>
      <c r="R907" s="14"/>
    </row>
    <row r="908" spans="1:18" ht="15" customHeight="1">
      <c r="A908" s="17" t="s">
        <v>68</v>
      </c>
      <c r="B908" s="17" t="s">
        <v>844</v>
      </c>
      <c r="C908" s="18">
        <v>0.72916666666666663</v>
      </c>
      <c r="D908" s="17" t="s">
        <v>70</v>
      </c>
      <c r="E908" s="17" t="s">
        <v>57</v>
      </c>
      <c r="F908" s="17" t="s">
        <v>868</v>
      </c>
      <c r="G908" s="298"/>
      <c r="H908" s="10"/>
      <c r="I908" s="11"/>
      <c r="J908" s="11"/>
      <c r="K908" s="11"/>
      <c r="L908" s="11"/>
      <c r="M908" s="11"/>
      <c r="N908" s="11"/>
      <c r="O908" s="12"/>
      <c r="P908" s="11"/>
      <c r="Q908" s="13"/>
      <c r="R908" s="14"/>
    </row>
    <row r="909" spans="1:18" ht="15" customHeight="1">
      <c r="A909" s="19" t="s">
        <v>26</v>
      </c>
      <c r="B909" s="19" t="s">
        <v>820</v>
      </c>
      <c r="C909" s="20">
        <v>0.4375</v>
      </c>
      <c r="D909" s="19" t="s">
        <v>28</v>
      </c>
      <c r="E909" s="19" t="s">
        <v>80</v>
      </c>
      <c r="F909" s="19" t="s">
        <v>511</v>
      </c>
      <c r="G909" s="298"/>
      <c r="H909" s="10"/>
      <c r="I909" s="11"/>
      <c r="J909" s="11"/>
      <c r="K909" s="11"/>
      <c r="L909" s="11"/>
      <c r="M909" s="11"/>
      <c r="N909" s="11"/>
      <c r="O909" s="12"/>
      <c r="P909" s="11"/>
      <c r="Q909" s="13"/>
      <c r="R909" s="14"/>
    </row>
    <row r="910" spans="1:18" ht="15" customHeight="1">
      <c r="A910" s="15" t="s">
        <v>26</v>
      </c>
      <c r="B910" s="15" t="s">
        <v>820</v>
      </c>
      <c r="C910" s="16">
        <v>0.4375</v>
      </c>
      <c r="D910" s="15" t="s">
        <v>31</v>
      </c>
      <c r="E910" s="15" t="s">
        <v>82</v>
      </c>
      <c r="F910" s="15" t="s">
        <v>47</v>
      </c>
      <c r="G910" s="298"/>
      <c r="H910" s="10"/>
      <c r="I910" s="11"/>
      <c r="J910" s="11"/>
      <c r="K910" s="11"/>
      <c r="L910" s="11"/>
      <c r="M910" s="11"/>
      <c r="N910" s="11"/>
      <c r="O910" s="12"/>
      <c r="P910" s="11"/>
      <c r="Q910" s="13"/>
      <c r="R910" s="14"/>
    </row>
    <row r="911" spans="1:18" ht="15" customHeight="1">
      <c r="A911" s="15" t="s">
        <v>26</v>
      </c>
      <c r="B911" s="15" t="s">
        <v>820</v>
      </c>
      <c r="C911" s="16">
        <v>0.4375</v>
      </c>
      <c r="D911" s="15" t="s">
        <v>34</v>
      </c>
      <c r="E911" s="15" t="s">
        <v>82</v>
      </c>
      <c r="F911" s="15" t="s">
        <v>932</v>
      </c>
      <c r="G911" s="298"/>
      <c r="H911" s="10"/>
      <c r="I911" s="11"/>
      <c r="J911" s="11"/>
      <c r="K911" s="11"/>
      <c r="L911" s="11"/>
      <c r="M911" s="11"/>
      <c r="N911" s="11"/>
      <c r="O911" s="12"/>
      <c r="P911" s="11"/>
      <c r="Q911" s="13"/>
      <c r="R911" s="14"/>
    </row>
    <row r="912" spans="1:18" ht="15" customHeight="1">
      <c r="A912" s="17" t="s">
        <v>26</v>
      </c>
      <c r="B912" s="17" t="s">
        <v>826</v>
      </c>
      <c r="C912" s="18">
        <v>0.95833333333333337</v>
      </c>
      <c r="D912" s="17" t="s">
        <v>28</v>
      </c>
      <c r="E912" s="17" t="s">
        <v>37</v>
      </c>
      <c r="F912" s="17" t="s">
        <v>511</v>
      </c>
      <c r="G912" s="298"/>
      <c r="H912" s="10"/>
      <c r="I912" s="11"/>
      <c r="J912" s="11"/>
      <c r="K912" s="11"/>
      <c r="L912" s="11"/>
      <c r="M912" s="11"/>
      <c r="N912" s="11"/>
      <c r="O912" s="12"/>
      <c r="P912" s="11"/>
      <c r="Q912" s="13"/>
      <c r="R912" s="14"/>
    </row>
    <row r="913" spans="1:18" ht="15" customHeight="1">
      <c r="A913" s="15" t="s">
        <v>26</v>
      </c>
      <c r="B913" s="15" t="s">
        <v>826</v>
      </c>
      <c r="C913" s="16">
        <v>0.95833333333333337</v>
      </c>
      <c r="D913" s="15" t="s">
        <v>31</v>
      </c>
      <c r="E913" s="15" t="s">
        <v>32</v>
      </c>
      <c r="F913" s="15" t="s">
        <v>47</v>
      </c>
      <c r="G913" s="298"/>
      <c r="H913" s="10"/>
      <c r="I913" s="11"/>
      <c r="J913" s="11"/>
      <c r="K913" s="11"/>
      <c r="L913" s="11"/>
      <c r="M913" s="11"/>
      <c r="N913" s="11"/>
      <c r="O913" s="12"/>
      <c r="P913" s="11"/>
      <c r="Q913" s="13"/>
      <c r="R913" s="14"/>
    </row>
    <row r="914" spans="1:18" ht="15" customHeight="1">
      <c r="A914" s="15" t="s">
        <v>26</v>
      </c>
      <c r="B914" s="15" t="s">
        <v>826</v>
      </c>
      <c r="C914" s="16">
        <v>0.95833333333333337</v>
      </c>
      <c r="D914" s="15" t="s">
        <v>34</v>
      </c>
      <c r="E914" s="15" t="s">
        <v>32</v>
      </c>
      <c r="F914" s="15" t="s">
        <v>932</v>
      </c>
      <c r="G914" s="298"/>
      <c r="H914" s="10"/>
      <c r="I914" s="11"/>
      <c r="J914" s="11"/>
      <c r="K914" s="11"/>
      <c r="L914" s="11"/>
      <c r="M914" s="11"/>
      <c r="N914" s="11"/>
      <c r="O914" s="12"/>
      <c r="P914" s="11"/>
      <c r="Q914" s="13"/>
      <c r="R914" s="14"/>
    </row>
    <row r="915" spans="1:18" ht="15" customHeight="1">
      <c r="A915" s="17" t="s">
        <v>26</v>
      </c>
      <c r="B915" s="17" t="s">
        <v>822</v>
      </c>
      <c r="C915" s="18">
        <v>0.55902777777777779</v>
      </c>
      <c r="D915" s="17" t="s">
        <v>28</v>
      </c>
      <c r="E915" s="17" t="s">
        <v>37</v>
      </c>
      <c r="F915" s="17" t="s">
        <v>511</v>
      </c>
      <c r="G915" s="298"/>
      <c r="H915" s="10"/>
      <c r="I915" s="11"/>
      <c r="J915" s="11"/>
      <c r="K915" s="11"/>
      <c r="L915" s="11"/>
      <c r="M915" s="11"/>
      <c r="N915" s="11"/>
      <c r="O915" s="12"/>
      <c r="P915" s="11"/>
      <c r="Q915" s="13"/>
      <c r="R915" s="14"/>
    </row>
    <row r="916" spans="1:18" ht="15" customHeight="1">
      <c r="A916" s="15" t="s">
        <v>26</v>
      </c>
      <c r="B916" s="15" t="s">
        <v>822</v>
      </c>
      <c r="C916" s="16">
        <v>0.55902777777777779</v>
      </c>
      <c r="D916" s="15" t="s">
        <v>31</v>
      </c>
      <c r="E916" s="15" t="s">
        <v>32</v>
      </c>
      <c r="F916" s="15" t="s">
        <v>47</v>
      </c>
      <c r="G916" s="298"/>
      <c r="H916" s="10"/>
      <c r="I916" s="11"/>
      <c r="J916" s="11"/>
      <c r="K916" s="11"/>
      <c r="L916" s="11"/>
      <c r="M916" s="11"/>
      <c r="N916" s="11"/>
      <c r="O916" s="12"/>
      <c r="P916" s="11"/>
      <c r="Q916" s="13"/>
      <c r="R916" s="14"/>
    </row>
    <row r="917" spans="1:18" ht="15" customHeight="1">
      <c r="A917" s="15" t="s">
        <v>26</v>
      </c>
      <c r="B917" s="15" t="s">
        <v>822</v>
      </c>
      <c r="C917" s="16">
        <v>0.55902777777777779</v>
      </c>
      <c r="D917" s="15" t="s">
        <v>34</v>
      </c>
      <c r="E917" s="15" t="s">
        <v>32</v>
      </c>
      <c r="F917" s="15" t="s">
        <v>932</v>
      </c>
      <c r="G917" s="298"/>
      <c r="H917" s="10"/>
      <c r="I917" s="11"/>
      <c r="J917" s="11"/>
      <c r="K917" s="11"/>
      <c r="L917" s="11"/>
      <c r="M917" s="11"/>
      <c r="N917" s="11"/>
      <c r="O917" s="12"/>
      <c r="P917" s="11"/>
      <c r="Q917" s="13"/>
      <c r="R917" s="14"/>
    </row>
    <row r="918" spans="1:18" ht="15" customHeight="1">
      <c r="A918" s="17" t="s">
        <v>26</v>
      </c>
      <c r="B918" s="17" t="s">
        <v>824</v>
      </c>
      <c r="C918" s="18">
        <v>0.50694444444444442</v>
      </c>
      <c r="D918" s="17" t="s">
        <v>28</v>
      </c>
      <c r="E918" s="17" t="s">
        <v>134</v>
      </c>
      <c r="F918" s="17" t="s">
        <v>511</v>
      </c>
      <c r="G918" s="298"/>
      <c r="H918" s="10"/>
      <c r="I918" s="11"/>
      <c r="J918" s="11"/>
      <c r="K918" s="11"/>
      <c r="L918" s="11"/>
      <c r="M918" s="11"/>
      <c r="N918" s="11"/>
      <c r="O918" s="12"/>
      <c r="P918" s="11"/>
      <c r="Q918" s="13"/>
      <c r="R918" s="14"/>
    </row>
    <row r="919" spans="1:18" ht="15" customHeight="1">
      <c r="A919" s="15" t="s">
        <v>26</v>
      </c>
      <c r="B919" s="15" t="s">
        <v>824</v>
      </c>
      <c r="C919" s="16">
        <v>0.50694444444444442</v>
      </c>
      <c r="D919" s="15" t="s">
        <v>31</v>
      </c>
      <c r="E919" s="15" t="s">
        <v>135</v>
      </c>
      <c r="F919" s="15" t="s">
        <v>47</v>
      </c>
      <c r="G919" s="298"/>
      <c r="H919" s="10"/>
      <c r="I919" s="11"/>
      <c r="J919" s="11"/>
      <c r="K919" s="11"/>
      <c r="L919" s="11"/>
      <c r="M919" s="11"/>
      <c r="N919" s="11"/>
      <c r="O919" s="12"/>
      <c r="P919" s="11"/>
      <c r="Q919" s="13"/>
      <c r="R919" s="14"/>
    </row>
    <row r="920" spans="1:18" ht="15" customHeight="1">
      <c r="A920" s="15" t="s">
        <v>26</v>
      </c>
      <c r="B920" s="15" t="s">
        <v>824</v>
      </c>
      <c r="C920" s="16">
        <v>0.50694444444444442</v>
      </c>
      <c r="D920" s="15" t="s">
        <v>34</v>
      </c>
      <c r="E920" s="15" t="s">
        <v>135</v>
      </c>
      <c r="F920" s="15" t="s">
        <v>932</v>
      </c>
      <c r="G920" s="298"/>
      <c r="H920" s="10"/>
      <c r="I920" s="11"/>
      <c r="J920" s="11"/>
      <c r="K920" s="11"/>
      <c r="L920" s="11"/>
      <c r="M920" s="11"/>
      <c r="N920" s="11"/>
      <c r="O920" s="12"/>
      <c r="P920" s="11"/>
      <c r="Q920" s="13"/>
      <c r="R920" s="14"/>
    </row>
    <row r="921" spans="1:18" ht="15" customHeight="1">
      <c r="A921" s="17" t="s">
        <v>26</v>
      </c>
      <c r="B921" s="17" t="s">
        <v>825</v>
      </c>
      <c r="C921" s="18">
        <v>0.69791666666666663</v>
      </c>
      <c r="D921" s="17" t="s">
        <v>28</v>
      </c>
      <c r="E921" s="17" t="s">
        <v>134</v>
      </c>
      <c r="F921" s="17" t="s">
        <v>511</v>
      </c>
      <c r="G921" s="298"/>
      <c r="H921" s="10"/>
      <c r="I921" s="11"/>
      <c r="J921" s="11"/>
      <c r="K921" s="11"/>
      <c r="L921" s="11"/>
      <c r="M921" s="11"/>
      <c r="N921" s="11"/>
      <c r="O921" s="12"/>
      <c r="P921" s="11"/>
      <c r="Q921" s="13"/>
      <c r="R921" s="14"/>
    </row>
    <row r="922" spans="1:18" ht="15" customHeight="1">
      <c r="A922" s="15" t="s">
        <v>26</v>
      </c>
      <c r="B922" s="15" t="s">
        <v>825</v>
      </c>
      <c r="C922" s="16">
        <v>0.69791666666666663</v>
      </c>
      <c r="D922" s="15" t="s">
        <v>31</v>
      </c>
      <c r="E922" s="15" t="s">
        <v>135</v>
      </c>
      <c r="F922" s="15" t="s">
        <v>47</v>
      </c>
      <c r="G922" s="298"/>
      <c r="H922" s="10"/>
      <c r="I922" s="11"/>
      <c r="J922" s="11"/>
      <c r="K922" s="11"/>
      <c r="L922" s="11"/>
      <c r="M922" s="11"/>
      <c r="N922" s="11"/>
      <c r="O922" s="12"/>
      <c r="P922" s="11"/>
      <c r="Q922" s="13"/>
      <c r="R922" s="14"/>
    </row>
    <row r="923" spans="1:18" ht="15" customHeight="1">
      <c r="A923" s="15" t="s">
        <v>26</v>
      </c>
      <c r="B923" s="15" t="s">
        <v>825</v>
      </c>
      <c r="C923" s="16">
        <v>0.69791666666666663</v>
      </c>
      <c r="D923" s="15" t="s">
        <v>34</v>
      </c>
      <c r="E923" s="15" t="s">
        <v>135</v>
      </c>
      <c r="F923" s="15" t="s">
        <v>932</v>
      </c>
      <c r="G923" s="298"/>
      <c r="H923" s="10"/>
      <c r="I923" s="11"/>
      <c r="J923" s="11"/>
      <c r="K923" s="11"/>
      <c r="L923" s="11"/>
      <c r="M923" s="11"/>
      <c r="N923" s="11"/>
      <c r="O923" s="12"/>
      <c r="P923" s="11"/>
      <c r="Q923" s="13"/>
      <c r="R923" s="14"/>
    </row>
    <row r="924" spans="1:18" ht="15" customHeight="1">
      <c r="A924" s="17" t="s">
        <v>26</v>
      </c>
      <c r="B924" s="17" t="s">
        <v>821</v>
      </c>
      <c r="C924" s="18">
        <v>0.63194444444444442</v>
      </c>
      <c r="D924" s="17" t="s">
        <v>28</v>
      </c>
      <c r="E924" s="17" t="s">
        <v>90</v>
      </c>
      <c r="F924" s="17" t="s">
        <v>119</v>
      </c>
      <c r="G924" s="298"/>
      <c r="H924" s="10"/>
      <c r="I924" s="11"/>
      <c r="J924" s="11"/>
      <c r="K924" s="11"/>
      <c r="L924" s="11"/>
      <c r="M924" s="11"/>
      <c r="N924" s="11"/>
      <c r="O924" s="12"/>
      <c r="P924" s="11"/>
      <c r="Q924" s="13"/>
      <c r="R924" s="14"/>
    </row>
    <row r="925" spans="1:18" ht="15" customHeight="1">
      <c r="A925" s="15" t="s">
        <v>26</v>
      </c>
      <c r="B925" s="15" t="s">
        <v>821</v>
      </c>
      <c r="C925" s="16">
        <v>0.63194444444444442</v>
      </c>
      <c r="D925" s="15" t="s">
        <v>31</v>
      </c>
      <c r="E925" s="15" t="s">
        <v>82</v>
      </c>
      <c r="F925" s="15" t="s">
        <v>941</v>
      </c>
      <c r="G925" s="298"/>
      <c r="H925" s="10"/>
      <c r="I925" s="11"/>
      <c r="J925" s="11"/>
      <c r="K925" s="11"/>
      <c r="L925" s="11"/>
      <c r="M925" s="11"/>
      <c r="N925" s="11"/>
      <c r="O925" s="12"/>
      <c r="P925" s="11"/>
      <c r="Q925" s="13"/>
      <c r="R925" s="14"/>
    </row>
    <row r="926" spans="1:18" ht="15" customHeight="1">
      <c r="A926" s="15" t="s">
        <v>26</v>
      </c>
      <c r="B926" s="15" t="s">
        <v>821</v>
      </c>
      <c r="C926" s="16">
        <v>0.63194444444444442</v>
      </c>
      <c r="D926" s="15" t="s">
        <v>34</v>
      </c>
      <c r="E926" s="15" t="s">
        <v>82</v>
      </c>
      <c r="F926" s="15" t="s">
        <v>171</v>
      </c>
      <c r="G926" s="298"/>
      <c r="H926" s="10"/>
      <c r="I926" s="11"/>
      <c r="J926" s="11"/>
      <c r="K926" s="11"/>
      <c r="L926" s="11"/>
      <c r="M926" s="11"/>
      <c r="N926" s="11"/>
      <c r="O926" s="12"/>
      <c r="P926" s="11"/>
      <c r="Q926" s="13"/>
      <c r="R926" s="14"/>
    </row>
    <row r="927" spans="1:18" ht="15" customHeight="1">
      <c r="A927" s="17" t="s">
        <v>26</v>
      </c>
      <c r="B927" s="17" t="s">
        <v>823</v>
      </c>
      <c r="C927" s="18">
        <v>0.81944444444444453</v>
      </c>
      <c r="D927" s="17" t="s">
        <v>28</v>
      </c>
      <c r="E927" s="17" t="s">
        <v>427</v>
      </c>
      <c r="F927" s="17" t="s">
        <v>119</v>
      </c>
      <c r="G927" s="298"/>
      <c r="H927" s="10"/>
      <c r="I927" s="11"/>
      <c r="J927" s="11"/>
      <c r="K927" s="11"/>
      <c r="L927" s="11"/>
      <c r="M927" s="11"/>
      <c r="N927" s="11"/>
      <c r="O927" s="12"/>
      <c r="P927" s="11"/>
      <c r="Q927" s="13"/>
      <c r="R927" s="14"/>
    </row>
    <row r="928" spans="1:18" ht="15" customHeight="1">
      <c r="A928" s="15" t="s">
        <v>26</v>
      </c>
      <c r="B928" s="15" t="s">
        <v>823</v>
      </c>
      <c r="C928" s="16">
        <v>0.81944444444444453</v>
      </c>
      <c r="D928" s="15" t="s">
        <v>31</v>
      </c>
      <c r="E928" s="15" t="s">
        <v>115</v>
      </c>
      <c r="F928" s="15" t="s">
        <v>941</v>
      </c>
      <c r="G928" s="298"/>
      <c r="H928" s="10"/>
      <c r="I928" s="11"/>
      <c r="J928" s="11"/>
      <c r="K928" s="11"/>
      <c r="L928" s="11"/>
      <c r="M928" s="11"/>
      <c r="N928" s="11"/>
      <c r="O928" s="12"/>
      <c r="P928" s="11"/>
      <c r="Q928" s="13"/>
      <c r="R928" s="14"/>
    </row>
    <row r="929" spans="1:18" ht="15" customHeight="1">
      <c r="A929" s="15" t="s">
        <v>26</v>
      </c>
      <c r="B929" s="15" t="s">
        <v>823</v>
      </c>
      <c r="C929" s="16">
        <v>0.81944444444444453</v>
      </c>
      <c r="D929" s="15" t="s">
        <v>34</v>
      </c>
      <c r="E929" s="15" t="s">
        <v>115</v>
      </c>
      <c r="F929" s="15" t="s">
        <v>171</v>
      </c>
      <c r="G929" s="298"/>
      <c r="H929" s="10"/>
      <c r="I929" s="11"/>
      <c r="J929" s="11"/>
      <c r="K929" s="11"/>
      <c r="L929" s="11"/>
      <c r="M929" s="11"/>
      <c r="N929" s="11"/>
      <c r="O929" s="12"/>
      <c r="P929" s="11"/>
      <c r="Q929" s="13"/>
      <c r="R929" s="14"/>
    </row>
    <row r="930" spans="1:18" ht="15" customHeight="1">
      <c r="A930" s="19" t="s">
        <v>402</v>
      </c>
      <c r="B930" s="19" t="s">
        <v>839</v>
      </c>
      <c r="C930" s="20">
        <v>0.1701388888888889</v>
      </c>
      <c r="D930" s="19" t="s">
        <v>63</v>
      </c>
      <c r="E930" s="19" t="s">
        <v>107</v>
      </c>
      <c r="F930" s="19" t="s">
        <v>523</v>
      </c>
      <c r="G930" s="298"/>
      <c r="H930" s="10"/>
      <c r="I930" s="11"/>
      <c r="J930" s="11"/>
      <c r="K930" s="11"/>
      <c r="L930" s="11"/>
      <c r="M930" s="11"/>
      <c r="N930" s="11"/>
      <c r="O930" s="12"/>
      <c r="P930" s="11"/>
      <c r="Q930" s="13"/>
      <c r="R930" s="14"/>
    </row>
    <row r="931" spans="1:18" ht="15" customHeight="1">
      <c r="A931" s="19" t="s">
        <v>48</v>
      </c>
      <c r="B931" s="19" t="s">
        <v>833</v>
      </c>
      <c r="C931" s="20">
        <v>0.44444444444444442</v>
      </c>
      <c r="D931" s="19" t="s">
        <v>53</v>
      </c>
      <c r="E931" s="19" t="s">
        <v>51</v>
      </c>
      <c r="F931" s="19" t="s">
        <v>860</v>
      </c>
      <c r="G931" s="298"/>
      <c r="H931" s="10"/>
      <c r="I931" s="11"/>
      <c r="J931" s="11"/>
      <c r="K931" s="11"/>
      <c r="L931" s="11"/>
      <c r="M931" s="11"/>
      <c r="N931" s="11"/>
      <c r="O931" s="12"/>
      <c r="P931" s="11"/>
      <c r="Q931" s="13"/>
      <c r="R931" s="14"/>
    </row>
    <row r="932" spans="1:18" ht="15" customHeight="1">
      <c r="A932" s="17" t="s">
        <v>48</v>
      </c>
      <c r="B932" s="17" t="s">
        <v>831</v>
      </c>
      <c r="C932" s="18">
        <v>0.98263888888888884</v>
      </c>
      <c r="D932" s="17" t="s">
        <v>53</v>
      </c>
      <c r="E932" s="17" t="s">
        <v>57</v>
      </c>
      <c r="F932" s="17" t="s">
        <v>860</v>
      </c>
      <c r="G932" s="298"/>
      <c r="H932" s="10"/>
      <c r="I932" s="11"/>
      <c r="J932" s="11"/>
      <c r="K932" s="11"/>
      <c r="L932" s="11"/>
      <c r="M932" s="11"/>
      <c r="N932" s="11"/>
      <c r="O932" s="12"/>
      <c r="P932" s="11"/>
      <c r="Q932" s="13"/>
      <c r="R932" s="14"/>
    </row>
    <row r="933" spans="1:18" ht="15" customHeight="1">
      <c r="A933" s="17" t="s">
        <v>48</v>
      </c>
      <c r="B933" s="17" t="s">
        <v>828</v>
      </c>
      <c r="C933" s="18">
        <v>0.82986111111111116</v>
      </c>
      <c r="D933" s="17" t="s">
        <v>53</v>
      </c>
      <c r="E933" s="17" t="s">
        <v>57</v>
      </c>
      <c r="F933" s="17" t="s">
        <v>869</v>
      </c>
      <c r="G933" s="298"/>
      <c r="H933" s="10"/>
      <c r="I933" s="11"/>
      <c r="J933" s="11"/>
      <c r="K933" s="11"/>
      <c r="L933" s="11"/>
      <c r="M933" s="11"/>
      <c r="N933" s="11"/>
      <c r="O933" s="12"/>
      <c r="P933" s="11"/>
      <c r="Q933" s="13"/>
      <c r="R933" s="14"/>
    </row>
    <row r="934" spans="1:18" ht="15" customHeight="1">
      <c r="A934" s="17" t="s">
        <v>48</v>
      </c>
      <c r="B934" s="17" t="s">
        <v>832</v>
      </c>
      <c r="C934" s="18">
        <v>0.62847222222222221</v>
      </c>
      <c r="D934" s="17" t="s">
        <v>53</v>
      </c>
      <c r="E934" s="17" t="s">
        <v>57</v>
      </c>
      <c r="F934" s="17" t="s">
        <v>869</v>
      </c>
      <c r="G934" s="298"/>
      <c r="H934" s="10"/>
      <c r="I934" s="11"/>
      <c r="J934" s="11"/>
      <c r="K934" s="11"/>
      <c r="L934" s="11"/>
      <c r="M934" s="11"/>
      <c r="N934" s="11"/>
      <c r="O934" s="12"/>
      <c r="P934" s="11"/>
      <c r="Q934" s="13"/>
      <c r="R934" s="14"/>
    </row>
    <row r="935" spans="1:18" ht="15" customHeight="1">
      <c r="A935" s="17" t="s">
        <v>48</v>
      </c>
      <c r="B935" s="17" t="s">
        <v>835</v>
      </c>
      <c r="C935" s="18">
        <v>0.88888888888888884</v>
      </c>
      <c r="D935" s="17" t="s">
        <v>53</v>
      </c>
      <c r="E935" s="17" t="s">
        <v>37</v>
      </c>
      <c r="F935" s="17" t="s">
        <v>871</v>
      </c>
      <c r="G935" s="298"/>
      <c r="H935" s="10"/>
      <c r="I935" s="11"/>
      <c r="J935" s="11"/>
      <c r="K935" s="11"/>
      <c r="L935" s="11"/>
      <c r="M935" s="11"/>
      <c r="N935" s="11"/>
      <c r="O935" s="12"/>
      <c r="P935" s="11"/>
      <c r="Q935" s="13"/>
      <c r="R935" s="14"/>
    </row>
    <row r="936" spans="1:18" ht="15" customHeight="1">
      <c r="A936" s="17" t="s">
        <v>48</v>
      </c>
      <c r="B936" s="17" t="s">
        <v>837</v>
      </c>
      <c r="C936" s="18">
        <v>0.62847222222222221</v>
      </c>
      <c r="D936" s="17" t="s">
        <v>53</v>
      </c>
      <c r="E936" s="17" t="s">
        <v>37</v>
      </c>
      <c r="F936" s="17" t="s">
        <v>871</v>
      </c>
      <c r="G936" s="298"/>
      <c r="H936" s="10"/>
      <c r="I936" s="11"/>
      <c r="J936" s="11"/>
      <c r="K936" s="11"/>
      <c r="L936" s="11"/>
      <c r="M936" s="11"/>
      <c r="N936" s="11"/>
      <c r="O936" s="12"/>
      <c r="P936" s="11"/>
      <c r="Q936" s="13"/>
      <c r="R936" s="14"/>
    </row>
    <row r="937" spans="1:18" ht="15" customHeight="1" thickBot="1">
      <c r="A937" s="30" t="s">
        <v>48</v>
      </c>
      <c r="B937" s="30" t="s">
        <v>838</v>
      </c>
      <c r="C937" s="31">
        <v>0.94444444444444453</v>
      </c>
      <c r="D937" s="30" t="s">
        <v>53</v>
      </c>
      <c r="E937" s="30" t="s">
        <v>37</v>
      </c>
      <c r="F937" s="30" t="s">
        <v>942</v>
      </c>
      <c r="G937" s="299"/>
      <c r="H937" s="300"/>
      <c r="I937" s="140"/>
      <c r="J937" s="140"/>
      <c r="K937" s="140"/>
      <c r="L937" s="140"/>
      <c r="M937" s="140"/>
      <c r="N937" s="140"/>
      <c r="O937" s="141"/>
      <c r="P937" s="140"/>
      <c r="Q937" s="142"/>
      <c r="R937" s="301"/>
    </row>
    <row r="938" spans="1:18" ht="17.45" customHeight="1" thickBot="1">
      <c r="A938" s="283"/>
      <c r="B938" s="284"/>
      <c r="C938" s="284"/>
      <c r="D938" s="284"/>
      <c r="E938" s="284"/>
      <c r="F938" s="284"/>
      <c r="G938" s="284"/>
      <c r="H938" s="284"/>
      <c r="I938" s="284"/>
      <c r="J938" s="284"/>
      <c r="K938" s="284"/>
      <c r="L938" s="284"/>
      <c r="M938" s="284"/>
      <c r="N938" s="284"/>
      <c r="O938" s="284"/>
      <c r="P938" s="284"/>
      <c r="Q938" s="284"/>
      <c r="R938" s="285"/>
    </row>
    <row r="939" spans="1:18" ht="22.15" customHeight="1" thickTop="1" thickBot="1">
      <c r="A939" s="279" t="s">
        <v>6</v>
      </c>
      <c r="B939" s="295"/>
      <c r="C939" s="295"/>
      <c r="D939" s="295"/>
      <c r="E939" s="295"/>
      <c r="F939" s="296"/>
      <c r="G939" s="32">
        <v>46040</v>
      </c>
      <c r="H939" s="278" t="s">
        <v>7</v>
      </c>
      <c r="I939" s="295"/>
      <c r="J939" s="295"/>
      <c r="K939" s="295"/>
      <c r="L939" s="295"/>
      <c r="M939" s="295"/>
      <c r="N939" s="295"/>
      <c r="O939" s="295"/>
      <c r="P939" s="295"/>
      <c r="Q939" s="295"/>
      <c r="R939" s="296"/>
    </row>
    <row r="940" spans="1:18" ht="24" customHeight="1">
      <c r="A940" s="33" t="s">
        <v>8</v>
      </c>
      <c r="B940" s="33" t="s">
        <v>9</v>
      </c>
      <c r="C940" s="34" t="s">
        <v>10</v>
      </c>
      <c r="D940" s="33" t="s">
        <v>11</v>
      </c>
      <c r="E940" s="33" t="s">
        <v>12</v>
      </c>
      <c r="F940" s="35" t="s">
        <v>13</v>
      </c>
      <c r="G940" s="36" t="s">
        <v>14</v>
      </c>
      <c r="H940" s="33" t="s">
        <v>15</v>
      </c>
      <c r="I940" s="37" t="s">
        <v>16</v>
      </c>
      <c r="J940" s="38" t="s">
        <v>17</v>
      </c>
      <c r="K940" s="39" t="s">
        <v>18</v>
      </c>
      <c r="L940" s="38" t="s">
        <v>19</v>
      </c>
      <c r="M940" s="38" t="s">
        <v>20</v>
      </c>
      <c r="N940" s="38" t="s">
        <v>21</v>
      </c>
      <c r="O940" s="33" t="s">
        <v>22</v>
      </c>
      <c r="P940" s="34" t="s">
        <v>23</v>
      </c>
      <c r="Q940" s="38" t="s">
        <v>24</v>
      </c>
      <c r="R940" s="33" t="s">
        <v>25</v>
      </c>
    </row>
    <row r="941" spans="1:18" ht="15" customHeight="1">
      <c r="A941" s="8" t="s">
        <v>38</v>
      </c>
      <c r="B941" s="8" t="s">
        <v>809</v>
      </c>
      <c r="C941" s="9">
        <v>0.57638888888888895</v>
      </c>
      <c r="D941" s="8" t="s">
        <v>40</v>
      </c>
      <c r="E941" s="8" t="s">
        <v>41</v>
      </c>
      <c r="F941" s="8" t="s">
        <v>42</v>
      </c>
      <c r="G941" s="302"/>
      <c r="H941" s="10"/>
      <c r="I941" s="11"/>
      <c r="J941" s="11"/>
      <c r="K941" s="11"/>
      <c r="L941" s="11"/>
      <c r="M941" s="11"/>
      <c r="N941" s="11"/>
      <c r="O941" s="12"/>
      <c r="P941" s="11"/>
      <c r="Q941" s="13"/>
      <c r="R941" s="14"/>
    </row>
    <row r="942" spans="1:18" ht="15" customHeight="1">
      <c r="A942" s="15" t="s">
        <v>38</v>
      </c>
      <c r="B942" s="15" t="s">
        <v>809</v>
      </c>
      <c r="C942" s="16">
        <v>0.57638888888888895</v>
      </c>
      <c r="D942" s="15" t="s">
        <v>43</v>
      </c>
      <c r="E942" s="15" t="s">
        <v>44</v>
      </c>
      <c r="F942" s="15" t="s">
        <v>45</v>
      </c>
      <c r="G942" s="298"/>
      <c r="H942" s="10"/>
      <c r="I942" s="11"/>
      <c r="J942" s="11"/>
      <c r="K942" s="11"/>
      <c r="L942" s="11"/>
      <c r="M942" s="11"/>
      <c r="N942" s="11"/>
      <c r="O942" s="12"/>
      <c r="P942" s="11"/>
      <c r="Q942" s="13"/>
      <c r="R942" s="14"/>
    </row>
    <row r="943" spans="1:18" ht="15" customHeight="1">
      <c r="A943" s="15" t="s">
        <v>38</v>
      </c>
      <c r="B943" s="15" t="s">
        <v>809</v>
      </c>
      <c r="C943" s="16">
        <v>0.57638888888888895</v>
      </c>
      <c r="D943" s="15" t="s">
        <v>46</v>
      </c>
      <c r="E943" s="15" t="s">
        <v>44</v>
      </c>
      <c r="F943" s="15" t="s">
        <v>810</v>
      </c>
      <c r="G943" s="298"/>
      <c r="H943" s="10"/>
      <c r="I943" s="11"/>
      <c r="J943" s="11"/>
      <c r="K943" s="11"/>
      <c r="L943" s="11"/>
      <c r="M943" s="11"/>
      <c r="N943" s="11"/>
      <c r="O943" s="12"/>
      <c r="P943" s="11"/>
      <c r="Q943" s="13"/>
      <c r="R943" s="14"/>
    </row>
    <row r="944" spans="1:18" ht="15" customHeight="1">
      <c r="A944" s="17" t="s">
        <v>38</v>
      </c>
      <c r="B944" s="17" t="s">
        <v>811</v>
      </c>
      <c r="C944" s="18">
        <v>0.62847222222222221</v>
      </c>
      <c r="D944" s="17" t="s">
        <v>40</v>
      </c>
      <c r="E944" s="17" t="s">
        <v>442</v>
      </c>
      <c r="F944" s="17" t="s">
        <v>149</v>
      </c>
      <c r="G944" s="298"/>
      <c r="H944" s="10"/>
      <c r="I944" s="11"/>
      <c r="J944" s="11"/>
      <c r="K944" s="11"/>
      <c r="L944" s="11"/>
      <c r="M944" s="11"/>
      <c r="N944" s="11"/>
      <c r="O944" s="12"/>
      <c r="P944" s="11"/>
      <c r="Q944" s="13"/>
      <c r="R944" s="14"/>
    </row>
    <row r="945" spans="1:18" ht="15" customHeight="1">
      <c r="A945" s="15" t="s">
        <v>38</v>
      </c>
      <c r="B945" s="15" t="s">
        <v>811</v>
      </c>
      <c r="C945" s="16">
        <v>0.62847222222222221</v>
      </c>
      <c r="D945" s="15" t="s">
        <v>43</v>
      </c>
      <c r="E945" s="15" t="s">
        <v>122</v>
      </c>
      <c r="F945" s="15" t="s">
        <v>35</v>
      </c>
      <c r="G945" s="298"/>
      <c r="H945" s="10"/>
      <c r="I945" s="11"/>
      <c r="J945" s="11"/>
      <c r="K945" s="11"/>
      <c r="L945" s="11"/>
      <c r="M945" s="11"/>
      <c r="N945" s="11"/>
      <c r="O945" s="12"/>
      <c r="P945" s="11"/>
      <c r="Q945" s="13"/>
      <c r="R945" s="14"/>
    </row>
    <row r="946" spans="1:18" ht="15" customHeight="1">
      <c r="A946" s="15" t="s">
        <v>38</v>
      </c>
      <c r="B946" s="15" t="s">
        <v>811</v>
      </c>
      <c r="C946" s="16">
        <v>0.62847222222222221</v>
      </c>
      <c r="D946" s="15" t="s">
        <v>46</v>
      </c>
      <c r="E946" s="15" t="s">
        <v>122</v>
      </c>
      <c r="F946" s="15" t="s">
        <v>810</v>
      </c>
      <c r="G946" s="298"/>
      <c r="H946" s="10"/>
      <c r="I946" s="11"/>
      <c r="J946" s="11"/>
      <c r="K946" s="11"/>
      <c r="L946" s="11"/>
      <c r="M946" s="11"/>
      <c r="N946" s="11"/>
      <c r="O946" s="12"/>
      <c r="P946" s="11"/>
      <c r="Q946" s="13"/>
      <c r="R946" s="14"/>
    </row>
    <row r="947" spans="1:18" ht="15" customHeight="1">
      <c r="A947" s="17" t="s">
        <v>38</v>
      </c>
      <c r="B947" s="17" t="s">
        <v>812</v>
      </c>
      <c r="C947" s="18">
        <v>0.88888888888888884</v>
      </c>
      <c r="D947" s="17" t="s">
        <v>40</v>
      </c>
      <c r="E947" s="17" t="s">
        <v>943</v>
      </c>
      <c r="F947" s="17" t="s">
        <v>83</v>
      </c>
      <c r="G947" s="298"/>
      <c r="H947" s="10"/>
      <c r="I947" s="11"/>
      <c r="J947" s="11"/>
      <c r="K947" s="11"/>
      <c r="L947" s="11"/>
      <c r="M947" s="11"/>
      <c r="N947" s="11"/>
      <c r="O947" s="12"/>
      <c r="P947" s="11"/>
      <c r="Q947" s="13"/>
      <c r="R947" s="14"/>
    </row>
    <row r="948" spans="1:18" ht="15" customHeight="1">
      <c r="A948" s="15" t="s">
        <v>38</v>
      </c>
      <c r="B948" s="15" t="s">
        <v>812</v>
      </c>
      <c r="C948" s="16">
        <v>0.88888888888888884</v>
      </c>
      <c r="D948" s="15" t="s">
        <v>43</v>
      </c>
      <c r="E948" s="15" t="s">
        <v>944</v>
      </c>
      <c r="F948" s="15" t="s">
        <v>162</v>
      </c>
      <c r="G948" s="298"/>
      <c r="H948" s="10"/>
      <c r="I948" s="11"/>
      <c r="J948" s="11"/>
      <c r="K948" s="11"/>
      <c r="L948" s="11"/>
      <c r="M948" s="11"/>
      <c r="N948" s="11"/>
      <c r="O948" s="12"/>
      <c r="P948" s="11"/>
      <c r="Q948" s="13"/>
      <c r="R948" s="14"/>
    </row>
    <row r="949" spans="1:18" ht="15" customHeight="1">
      <c r="A949" s="15" t="s">
        <v>38</v>
      </c>
      <c r="B949" s="15" t="s">
        <v>812</v>
      </c>
      <c r="C949" s="16">
        <v>0.88888888888888884</v>
      </c>
      <c r="D949" s="15" t="s">
        <v>46</v>
      </c>
      <c r="E949" s="15" t="s">
        <v>944</v>
      </c>
      <c r="F949" s="15" t="s">
        <v>810</v>
      </c>
      <c r="G949" s="298"/>
      <c r="H949" s="10"/>
      <c r="I949" s="11"/>
      <c r="J949" s="11"/>
      <c r="K949" s="11"/>
      <c r="L949" s="11"/>
      <c r="M949" s="11"/>
      <c r="N949" s="11"/>
      <c r="O949" s="12"/>
      <c r="P949" s="11"/>
      <c r="Q949" s="13"/>
      <c r="R949" s="14"/>
    </row>
    <row r="950" spans="1:18" ht="15" customHeight="1">
      <c r="A950" s="17" t="s">
        <v>38</v>
      </c>
      <c r="B950" s="17" t="s">
        <v>813</v>
      </c>
      <c r="C950" s="18">
        <v>0.94444444444444453</v>
      </c>
      <c r="D950" s="17" t="s">
        <v>40</v>
      </c>
      <c r="E950" s="17" t="s">
        <v>194</v>
      </c>
      <c r="F950" s="17" t="s">
        <v>33</v>
      </c>
      <c r="G950" s="298"/>
      <c r="H950" s="10"/>
      <c r="I950" s="11"/>
      <c r="J950" s="11"/>
      <c r="K950" s="11"/>
      <c r="L950" s="11"/>
      <c r="M950" s="11"/>
      <c r="N950" s="11"/>
      <c r="O950" s="12"/>
      <c r="P950" s="11"/>
      <c r="Q950" s="13"/>
      <c r="R950" s="14"/>
    </row>
    <row r="951" spans="1:18" ht="15" customHeight="1">
      <c r="A951" s="15" t="s">
        <v>38</v>
      </c>
      <c r="B951" s="15" t="s">
        <v>813</v>
      </c>
      <c r="C951" s="16">
        <v>0.94444444444444453</v>
      </c>
      <c r="D951" s="15" t="s">
        <v>43</v>
      </c>
      <c r="E951" s="15" t="s">
        <v>195</v>
      </c>
      <c r="F951" s="15" t="s">
        <v>926</v>
      </c>
      <c r="G951" s="298"/>
      <c r="H951" s="10"/>
      <c r="I951" s="11"/>
      <c r="J951" s="11"/>
      <c r="K951" s="11"/>
      <c r="L951" s="11"/>
      <c r="M951" s="11"/>
      <c r="N951" s="11"/>
      <c r="O951" s="12"/>
      <c r="P951" s="11"/>
      <c r="Q951" s="13"/>
      <c r="R951" s="14"/>
    </row>
    <row r="952" spans="1:18" ht="15" customHeight="1">
      <c r="A952" s="15" t="s">
        <v>38</v>
      </c>
      <c r="B952" s="15" t="s">
        <v>813</v>
      </c>
      <c r="C952" s="16">
        <v>0.94444444444444453</v>
      </c>
      <c r="D952" s="15" t="s">
        <v>46</v>
      </c>
      <c r="E952" s="15" t="s">
        <v>195</v>
      </c>
      <c r="F952" s="15" t="s">
        <v>810</v>
      </c>
      <c r="G952" s="298"/>
      <c r="H952" s="10"/>
      <c r="I952" s="11"/>
      <c r="J952" s="11"/>
      <c r="K952" s="11"/>
      <c r="L952" s="11"/>
      <c r="M952" s="11"/>
      <c r="N952" s="11"/>
      <c r="O952" s="12"/>
      <c r="P952" s="11"/>
      <c r="Q952" s="13"/>
      <c r="R952" s="14"/>
    </row>
    <row r="953" spans="1:18" ht="15" customHeight="1">
      <c r="A953" s="40" t="s">
        <v>61</v>
      </c>
      <c r="B953" s="40" t="s">
        <v>816</v>
      </c>
      <c r="C953" s="41">
        <v>0.42708333333333331</v>
      </c>
      <c r="D953" s="40" t="s">
        <v>63</v>
      </c>
      <c r="E953" s="40" t="s">
        <v>103</v>
      </c>
      <c r="F953" s="40" t="s">
        <v>121</v>
      </c>
      <c r="G953" s="298"/>
      <c r="H953" s="42" t="s">
        <v>818</v>
      </c>
      <c r="I953" s="43">
        <v>0.13969999999999999</v>
      </c>
      <c r="J953" s="44">
        <v>25</v>
      </c>
      <c r="K953" s="45">
        <v>46343</v>
      </c>
      <c r="L953" s="44">
        <v>25</v>
      </c>
      <c r="M953" s="44">
        <v>0</v>
      </c>
      <c r="N953" s="44">
        <v>0</v>
      </c>
      <c r="O953" s="46" t="s">
        <v>471</v>
      </c>
      <c r="P953" s="47">
        <v>0.42708333333333331</v>
      </c>
      <c r="Q953" s="44">
        <v>179</v>
      </c>
      <c r="R953" s="48" t="s">
        <v>945</v>
      </c>
    </row>
    <row r="954" spans="1:18" ht="15" customHeight="1">
      <c r="A954" s="19" t="s">
        <v>359</v>
      </c>
      <c r="B954" s="19" t="s">
        <v>814</v>
      </c>
      <c r="C954" s="20">
        <v>0.2951388888888889</v>
      </c>
      <c r="D954" s="19" t="s">
        <v>361</v>
      </c>
      <c r="E954" s="19" t="s">
        <v>80</v>
      </c>
      <c r="F954" s="19" t="s">
        <v>863</v>
      </c>
      <c r="G954" s="298"/>
      <c r="H954" s="10"/>
      <c r="I954" s="11"/>
      <c r="J954" s="11"/>
      <c r="K954" s="11"/>
      <c r="L954" s="11"/>
      <c r="M954" s="11"/>
      <c r="N954" s="11"/>
      <c r="O954" s="12"/>
      <c r="P954" s="11"/>
      <c r="Q954" s="13"/>
      <c r="R954" s="14"/>
    </row>
    <row r="955" spans="1:18" ht="15" customHeight="1">
      <c r="A955" s="15" t="s">
        <v>359</v>
      </c>
      <c r="B955" s="15" t="s">
        <v>814</v>
      </c>
      <c r="C955" s="16">
        <v>0.2951388888888889</v>
      </c>
      <c r="D955" s="15" t="s">
        <v>46</v>
      </c>
      <c r="E955" s="15" t="s">
        <v>82</v>
      </c>
      <c r="F955" s="15" t="s">
        <v>864</v>
      </c>
      <c r="G955" s="298"/>
      <c r="H955" s="10"/>
      <c r="I955" s="11"/>
      <c r="J955" s="11"/>
      <c r="K955" s="11"/>
      <c r="L955" s="11"/>
      <c r="M955" s="11"/>
      <c r="N955" s="11"/>
      <c r="O955" s="12"/>
      <c r="P955" s="11"/>
      <c r="Q955" s="13"/>
      <c r="R955" s="14"/>
    </row>
    <row r="956" spans="1:18" ht="15" customHeight="1">
      <c r="A956" s="19" t="s">
        <v>68</v>
      </c>
      <c r="B956" s="19" t="s">
        <v>842</v>
      </c>
      <c r="C956" s="20">
        <v>0.98263888888888884</v>
      </c>
      <c r="D956" s="19" t="s">
        <v>70</v>
      </c>
      <c r="E956" s="19" t="s">
        <v>51</v>
      </c>
      <c r="F956" s="19" t="s">
        <v>931</v>
      </c>
      <c r="G956" s="298"/>
      <c r="H956" s="10"/>
      <c r="I956" s="11"/>
      <c r="J956" s="11"/>
      <c r="K956" s="11"/>
      <c r="L956" s="11"/>
      <c r="M956" s="11"/>
      <c r="N956" s="11"/>
      <c r="O956" s="12"/>
      <c r="P956" s="11"/>
      <c r="Q956" s="13"/>
      <c r="R956" s="14"/>
    </row>
    <row r="957" spans="1:18" ht="15" customHeight="1">
      <c r="A957" s="17" t="s">
        <v>68</v>
      </c>
      <c r="B957" s="17" t="s">
        <v>843</v>
      </c>
      <c r="C957" s="18">
        <v>0.35416666666666669</v>
      </c>
      <c r="D957" s="17" t="s">
        <v>70</v>
      </c>
      <c r="E957" s="17" t="s">
        <v>57</v>
      </c>
      <c r="F957" s="17" t="s">
        <v>931</v>
      </c>
      <c r="G957" s="298"/>
      <c r="H957" s="10"/>
      <c r="I957" s="11"/>
      <c r="J957" s="11"/>
      <c r="K957" s="11"/>
      <c r="L957" s="11"/>
      <c r="M957" s="11"/>
      <c r="N957" s="11"/>
      <c r="O957" s="12"/>
      <c r="P957" s="11"/>
      <c r="Q957" s="13"/>
      <c r="R957" s="14"/>
    </row>
    <row r="958" spans="1:18" ht="15" customHeight="1">
      <c r="A958" s="17" t="s">
        <v>68</v>
      </c>
      <c r="B958" s="17" t="s">
        <v>844</v>
      </c>
      <c r="C958" s="18">
        <v>0.72916666666666663</v>
      </c>
      <c r="D958" s="17" t="s">
        <v>70</v>
      </c>
      <c r="E958" s="17" t="s">
        <v>57</v>
      </c>
      <c r="F958" s="17" t="s">
        <v>858</v>
      </c>
      <c r="G958" s="298"/>
      <c r="H958" s="10"/>
      <c r="I958" s="11"/>
      <c r="J958" s="11"/>
      <c r="K958" s="11"/>
      <c r="L958" s="11"/>
      <c r="M958" s="11"/>
      <c r="N958" s="11"/>
      <c r="O958" s="12"/>
      <c r="P958" s="11"/>
      <c r="Q958" s="13"/>
      <c r="R958" s="14"/>
    </row>
    <row r="959" spans="1:18" ht="15" customHeight="1">
      <c r="A959" s="19" t="s">
        <v>402</v>
      </c>
      <c r="B959" s="19" t="s">
        <v>839</v>
      </c>
      <c r="C959" s="20">
        <v>0.1736111111111111</v>
      </c>
      <c r="D959" s="19" t="s">
        <v>63</v>
      </c>
      <c r="E959" s="19" t="s">
        <v>156</v>
      </c>
      <c r="F959" s="19" t="s">
        <v>118</v>
      </c>
      <c r="G959" s="298"/>
      <c r="H959" s="10"/>
      <c r="I959" s="11"/>
      <c r="J959" s="11"/>
      <c r="K959" s="11"/>
      <c r="L959" s="11"/>
      <c r="M959" s="11"/>
      <c r="N959" s="11"/>
      <c r="O959" s="12"/>
      <c r="P959" s="11"/>
      <c r="Q959" s="13"/>
      <c r="R959" s="14"/>
    </row>
    <row r="960" spans="1:18" ht="15" customHeight="1">
      <c r="A960" s="19" t="s">
        <v>26</v>
      </c>
      <c r="B960" s="19" t="s">
        <v>820</v>
      </c>
      <c r="C960" s="20">
        <v>0.4375</v>
      </c>
      <c r="D960" s="19" t="s">
        <v>28</v>
      </c>
      <c r="E960" s="19" t="s">
        <v>80</v>
      </c>
      <c r="F960" s="19" t="s">
        <v>511</v>
      </c>
      <c r="G960" s="298"/>
      <c r="H960" s="10"/>
      <c r="I960" s="11"/>
      <c r="J960" s="11"/>
      <c r="K960" s="11"/>
      <c r="L960" s="11"/>
      <c r="M960" s="11"/>
      <c r="N960" s="11"/>
      <c r="O960" s="12"/>
      <c r="P960" s="11"/>
      <c r="Q960" s="13"/>
      <c r="R960" s="14"/>
    </row>
    <row r="961" spans="1:18" ht="15" customHeight="1">
      <c r="A961" s="15" t="s">
        <v>26</v>
      </c>
      <c r="B961" s="15" t="s">
        <v>820</v>
      </c>
      <c r="C961" s="16">
        <v>0.4375</v>
      </c>
      <c r="D961" s="15" t="s">
        <v>31</v>
      </c>
      <c r="E961" s="15" t="s">
        <v>82</v>
      </c>
      <c r="F961" s="15" t="s">
        <v>47</v>
      </c>
      <c r="G961" s="298"/>
      <c r="H961" s="10"/>
      <c r="I961" s="11"/>
      <c r="J961" s="11"/>
      <c r="K961" s="11"/>
      <c r="L961" s="11"/>
      <c r="M961" s="11"/>
      <c r="N961" s="11"/>
      <c r="O961" s="12"/>
      <c r="P961" s="11"/>
      <c r="Q961" s="13"/>
      <c r="R961" s="14"/>
    </row>
    <row r="962" spans="1:18" ht="15" customHeight="1">
      <c r="A962" s="15" t="s">
        <v>26</v>
      </c>
      <c r="B962" s="15" t="s">
        <v>820</v>
      </c>
      <c r="C962" s="16">
        <v>0.4375</v>
      </c>
      <c r="D962" s="15" t="s">
        <v>34</v>
      </c>
      <c r="E962" s="15" t="s">
        <v>82</v>
      </c>
      <c r="F962" s="15" t="s">
        <v>932</v>
      </c>
      <c r="G962" s="298"/>
      <c r="H962" s="10"/>
      <c r="I962" s="11"/>
      <c r="J962" s="11"/>
      <c r="K962" s="11"/>
      <c r="L962" s="11"/>
      <c r="M962" s="11"/>
      <c r="N962" s="11"/>
      <c r="O962" s="12"/>
      <c r="P962" s="11"/>
      <c r="Q962" s="13"/>
      <c r="R962" s="14"/>
    </row>
    <row r="963" spans="1:18" ht="15" customHeight="1">
      <c r="A963" s="17" t="s">
        <v>26</v>
      </c>
      <c r="B963" s="17" t="s">
        <v>826</v>
      </c>
      <c r="C963" s="18">
        <v>0.95833333333333337</v>
      </c>
      <c r="D963" s="17" t="s">
        <v>28</v>
      </c>
      <c r="E963" s="17" t="s">
        <v>90</v>
      </c>
      <c r="F963" s="17" t="s">
        <v>511</v>
      </c>
      <c r="G963" s="298"/>
      <c r="H963" s="10"/>
      <c r="I963" s="11"/>
      <c r="J963" s="11"/>
      <c r="K963" s="11"/>
      <c r="L963" s="11"/>
      <c r="M963" s="11"/>
      <c r="N963" s="11"/>
      <c r="O963" s="12"/>
      <c r="P963" s="11"/>
      <c r="Q963" s="13"/>
      <c r="R963" s="14"/>
    </row>
    <row r="964" spans="1:18" ht="15" customHeight="1">
      <c r="A964" s="15" t="s">
        <v>26</v>
      </c>
      <c r="B964" s="15" t="s">
        <v>826</v>
      </c>
      <c r="C964" s="16">
        <v>0.95833333333333337</v>
      </c>
      <c r="D964" s="15" t="s">
        <v>31</v>
      </c>
      <c r="E964" s="15" t="s">
        <v>82</v>
      </c>
      <c r="F964" s="15" t="s">
        <v>47</v>
      </c>
      <c r="G964" s="298"/>
      <c r="H964" s="10"/>
      <c r="I964" s="11"/>
      <c r="J964" s="11"/>
      <c r="K964" s="11"/>
      <c r="L964" s="11"/>
      <c r="M964" s="11"/>
      <c r="N964" s="11"/>
      <c r="O964" s="12"/>
      <c r="P964" s="11"/>
      <c r="Q964" s="13"/>
      <c r="R964" s="14"/>
    </row>
    <row r="965" spans="1:18" ht="15" customHeight="1">
      <c r="A965" s="15" t="s">
        <v>26</v>
      </c>
      <c r="B965" s="15" t="s">
        <v>826</v>
      </c>
      <c r="C965" s="16">
        <v>0.95833333333333337</v>
      </c>
      <c r="D965" s="15" t="s">
        <v>34</v>
      </c>
      <c r="E965" s="15" t="s">
        <v>82</v>
      </c>
      <c r="F965" s="15" t="s">
        <v>932</v>
      </c>
      <c r="G965" s="298"/>
      <c r="H965" s="10"/>
      <c r="I965" s="11"/>
      <c r="J965" s="11"/>
      <c r="K965" s="11"/>
      <c r="L965" s="11"/>
      <c r="M965" s="11"/>
      <c r="N965" s="11"/>
      <c r="O965" s="12"/>
      <c r="P965" s="11"/>
      <c r="Q965" s="13"/>
      <c r="R965" s="14"/>
    </row>
    <row r="966" spans="1:18" ht="15" customHeight="1">
      <c r="A966" s="17" t="s">
        <v>26</v>
      </c>
      <c r="B966" s="17" t="s">
        <v>821</v>
      </c>
      <c r="C966" s="18">
        <v>0.63194444444444442</v>
      </c>
      <c r="D966" s="17" t="s">
        <v>28</v>
      </c>
      <c r="E966" s="17" t="s">
        <v>435</v>
      </c>
      <c r="F966" s="17" t="s">
        <v>511</v>
      </c>
      <c r="G966" s="298"/>
      <c r="H966" s="10"/>
      <c r="I966" s="11"/>
      <c r="J966" s="11"/>
      <c r="K966" s="11"/>
      <c r="L966" s="11"/>
      <c r="M966" s="11"/>
      <c r="N966" s="11"/>
      <c r="O966" s="12"/>
      <c r="P966" s="11"/>
      <c r="Q966" s="13"/>
      <c r="R966" s="14"/>
    </row>
    <row r="967" spans="1:18" ht="15" customHeight="1">
      <c r="A967" s="15" t="s">
        <v>26</v>
      </c>
      <c r="B967" s="15" t="s">
        <v>821</v>
      </c>
      <c r="C967" s="16">
        <v>0.63194444444444442</v>
      </c>
      <c r="D967" s="15" t="s">
        <v>31</v>
      </c>
      <c r="E967" s="15" t="s">
        <v>108</v>
      </c>
      <c r="F967" s="15" t="s">
        <v>47</v>
      </c>
      <c r="G967" s="298"/>
      <c r="H967" s="10"/>
      <c r="I967" s="11"/>
      <c r="J967" s="11"/>
      <c r="K967" s="11"/>
      <c r="L967" s="11"/>
      <c r="M967" s="11"/>
      <c r="N967" s="11"/>
      <c r="O967" s="12"/>
      <c r="P967" s="11"/>
      <c r="Q967" s="13"/>
      <c r="R967" s="14"/>
    </row>
    <row r="968" spans="1:18" ht="15" customHeight="1">
      <c r="A968" s="15" t="s">
        <v>26</v>
      </c>
      <c r="B968" s="15" t="s">
        <v>821</v>
      </c>
      <c r="C968" s="16">
        <v>0.63194444444444442</v>
      </c>
      <c r="D968" s="15" t="s">
        <v>34</v>
      </c>
      <c r="E968" s="15" t="s">
        <v>108</v>
      </c>
      <c r="F968" s="15" t="s">
        <v>932</v>
      </c>
      <c r="G968" s="298"/>
      <c r="H968" s="10"/>
      <c r="I968" s="11"/>
      <c r="J968" s="11"/>
      <c r="K968" s="11"/>
      <c r="L968" s="11"/>
      <c r="M968" s="11"/>
      <c r="N968" s="11"/>
      <c r="O968" s="12"/>
      <c r="P968" s="11"/>
      <c r="Q968" s="13"/>
      <c r="R968" s="14"/>
    </row>
    <row r="969" spans="1:18" ht="15" customHeight="1">
      <c r="A969" s="17" t="s">
        <v>26</v>
      </c>
      <c r="B969" s="17" t="s">
        <v>822</v>
      </c>
      <c r="C969" s="18">
        <v>0.55902777777777779</v>
      </c>
      <c r="D969" s="17" t="s">
        <v>28</v>
      </c>
      <c r="E969" s="17" t="s">
        <v>90</v>
      </c>
      <c r="F969" s="17" t="s">
        <v>511</v>
      </c>
      <c r="G969" s="298"/>
      <c r="H969" s="10"/>
      <c r="I969" s="11"/>
      <c r="J969" s="11"/>
      <c r="K969" s="11"/>
      <c r="L969" s="11"/>
      <c r="M969" s="11"/>
      <c r="N969" s="11"/>
      <c r="O969" s="12"/>
      <c r="P969" s="11"/>
      <c r="Q969" s="13"/>
      <c r="R969" s="14"/>
    </row>
    <row r="970" spans="1:18" ht="15" customHeight="1">
      <c r="A970" s="15" t="s">
        <v>26</v>
      </c>
      <c r="B970" s="15" t="s">
        <v>822</v>
      </c>
      <c r="C970" s="16">
        <v>0.55902777777777779</v>
      </c>
      <c r="D970" s="15" t="s">
        <v>31</v>
      </c>
      <c r="E970" s="15" t="s">
        <v>82</v>
      </c>
      <c r="F970" s="15" t="s">
        <v>47</v>
      </c>
      <c r="G970" s="298"/>
      <c r="H970" s="10"/>
      <c r="I970" s="11"/>
      <c r="J970" s="11"/>
      <c r="K970" s="11"/>
      <c r="L970" s="11"/>
      <c r="M970" s="11"/>
      <c r="N970" s="11"/>
      <c r="O970" s="12"/>
      <c r="P970" s="11"/>
      <c r="Q970" s="13"/>
      <c r="R970" s="14"/>
    </row>
    <row r="971" spans="1:18" ht="15" customHeight="1">
      <c r="A971" s="15" t="s">
        <v>26</v>
      </c>
      <c r="B971" s="15" t="s">
        <v>822</v>
      </c>
      <c r="C971" s="16">
        <v>0.55902777777777779</v>
      </c>
      <c r="D971" s="15" t="s">
        <v>34</v>
      </c>
      <c r="E971" s="15" t="s">
        <v>82</v>
      </c>
      <c r="F971" s="15" t="s">
        <v>932</v>
      </c>
      <c r="G971" s="298"/>
      <c r="H971" s="10"/>
      <c r="I971" s="11"/>
      <c r="J971" s="11"/>
      <c r="K971" s="11"/>
      <c r="L971" s="11"/>
      <c r="M971" s="11"/>
      <c r="N971" s="11"/>
      <c r="O971" s="12"/>
      <c r="P971" s="11"/>
      <c r="Q971" s="13"/>
      <c r="R971" s="14"/>
    </row>
    <row r="972" spans="1:18" ht="15" customHeight="1">
      <c r="A972" s="17" t="s">
        <v>26</v>
      </c>
      <c r="B972" s="17" t="s">
        <v>823</v>
      </c>
      <c r="C972" s="18">
        <v>0.81944444444444453</v>
      </c>
      <c r="D972" s="17" t="s">
        <v>28</v>
      </c>
      <c r="E972" s="17" t="s">
        <v>90</v>
      </c>
      <c r="F972" s="17" t="s">
        <v>511</v>
      </c>
      <c r="G972" s="298"/>
      <c r="H972" s="10"/>
      <c r="I972" s="11"/>
      <c r="J972" s="11"/>
      <c r="K972" s="11"/>
      <c r="L972" s="11"/>
      <c r="M972" s="11"/>
      <c r="N972" s="11"/>
      <c r="O972" s="12"/>
      <c r="P972" s="11"/>
      <c r="Q972" s="13"/>
      <c r="R972" s="14"/>
    </row>
    <row r="973" spans="1:18" ht="15" customHeight="1">
      <c r="A973" s="15" t="s">
        <v>26</v>
      </c>
      <c r="B973" s="15" t="s">
        <v>823</v>
      </c>
      <c r="C973" s="16">
        <v>0.81944444444444453</v>
      </c>
      <c r="D973" s="15" t="s">
        <v>31</v>
      </c>
      <c r="E973" s="15" t="s">
        <v>82</v>
      </c>
      <c r="F973" s="15" t="s">
        <v>47</v>
      </c>
      <c r="G973" s="298"/>
      <c r="H973" s="10"/>
      <c r="I973" s="11"/>
      <c r="J973" s="11"/>
      <c r="K973" s="11"/>
      <c r="L973" s="11"/>
      <c r="M973" s="11"/>
      <c r="N973" s="11"/>
      <c r="O973" s="12"/>
      <c r="P973" s="11"/>
      <c r="Q973" s="13"/>
      <c r="R973" s="14"/>
    </row>
    <row r="974" spans="1:18" ht="15" customHeight="1">
      <c r="A974" s="15" t="s">
        <v>26</v>
      </c>
      <c r="B974" s="15" t="s">
        <v>823</v>
      </c>
      <c r="C974" s="16">
        <v>0.81944444444444453</v>
      </c>
      <c r="D974" s="15" t="s">
        <v>34</v>
      </c>
      <c r="E974" s="15" t="s">
        <v>82</v>
      </c>
      <c r="F974" s="15" t="s">
        <v>932</v>
      </c>
      <c r="G974" s="298"/>
      <c r="H974" s="10"/>
      <c r="I974" s="11"/>
      <c r="J974" s="11"/>
      <c r="K974" s="11"/>
      <c r="L974" s="11"/>
      <c r="M974" s="11"/>
      <c r="N974" s="11"/>
      <c r="O974" s="12"/>
      <c r="P974" s="11"/>
      <c r="Q974" s="13"/>
      <c r="R974" s="14"/>
    </row>
    <row r="975" spans="1:18" ht="15" customHeight="1">
      <c r="A975" s="17" t="s">
        <v>26</v>
      </c>
      <c r="B975" s="17" t="s">
        <v>824</v>
      </c>
      <c r="C975" s="18">
        <v>0.50694444444444442</v>
      </c>
      <c r="D975" s="17" t="s">
        <v>28</v>
      </c>
      <c r="E975" s="17" t="s">
        <v>90</v>
      </c>
      <c r="F975" s="17" t="s">
        <v>511</v>
      </c>
      <c r="G975" s="298"/>
      <c r="H975" s="10"/>
      <c r="I975" s="11"/>
      <c r="J975" s="11"/>
      <c r="K975" s="11"/>
      <c r="L975" s="11"/>
      <c r="M975" s="11"/>
      <c r="N975" s="11"/>
      <c r="O975" s="12"/>
      <c r="P975" s="11"/>
      <c r="Q975" s="13"/>
      <c r="R975" s="14"/>
    </row>
    <row r="976" spans="1:18" ht="15" customHeight="1">
      <c r="A976" s="15" t="s">
        <v>26</v>
      </c>
      <c r="B976" s="15" t="s">
        <v>824</v>
      </c>
      <c r="C976" s="16">
        <v>0.50694444444444442</v>
      </c>
      <c r="D976" s="15" t="s">
        <v>31</v>
      </c>
      <c r="E976" s="15" t="s">
        <v>82</v>
      </c>
      <c r="F976" s="15" t="s">
        <v>47</v>
      </c>
      <c r="G976" s="298"/>
      <c r="H976" s="10"/>
      <c r="I976" s="11"/>
      <c r="J976" s="11"/>
      <c r="K976" s="11"/>
      <c r="L976" s="11"/>
      <c r="M976" s="11"/>
      <c r="N976" s="11"/>
      <c r="O976" s="12"/>
      <c r="P976" s="11"/>
      <c r="Q976" s="13"/>
      <c r="R976" s="14"/>
    </row>
    <row r="977" spans="1:18" ht="15" customHeight="1">
      <c r="A977" s="15" t="s">
        <v>26</v>
      </c>
      <c r="B977" s="15" t="s">
        <v>824</v>
      </c>
      <c r="C977" s="16">
        <v>0.50694444444444442</v>
      </c>
      <c r="D977" s="15" t="s">
        <v>34</v>
      </c>
      <c r="E977" s="15" t="s">
        <v>82</v>
      </c>
      <c r="F977" s="15" t="s">
        <v>932</v>
      </c>
      <c r="G977" s="298"/>
      <c r="H977" s="10"/>
      <c r="I977" s="11"/>
      <c r="J977" s="11"/>
      <c r="K977" s="11"/>
      <c r="L977" s="11"/>
      <c r="M977" s="11"/>
      <c r="N977" s="11"/>
      <c r="O977" s="12"/>
      <c r="P977" s="11"/>
      <c r="Q977" s="13"/>
      <c r="R977" s="14"/>
    </row>
    <row r="978" spans="1:18" ht="15" customHeight="1">
      <c r="A978" s="17" t="s">
        <v>26</v>
      </c>
      <c r="B978" s="17" t="s">
        <v>825</v>
      </c>
      <c r="C978" s="18">
        <v>0.69791666666666663</v>
      </c>
      <c r="D978" s="17" t="s">
        <v>28</v>
      </c>
      <c r="E978" s="17" t="s">
        <v>90</v>
      </c>
      <c r="F978" s="17" t="s">
        <v>511</v>
      </c>
      <c r="G978" s="298"/>
      <c r="H978" s="10"/>
      <c r="I978" s="11"/>
      <c r="J978" s="11"/>
      <c r="K978" s="11"/>
      <c r="L978" s="11"/>
      <c r="M978" s="11"/>
      <c r="N978" s="11"/>
      <c r="O978" s="12"/>
      <c r="P978" s="11"/>
      <c r="Q978" s="13"/>
      <c r="R978" s="14"/>
    </row>
    <row r="979" spans="1:18" ht="15" customHeight="1">
      <c r="A979" s="15" t="s">
        <v>26</v>
      </c>
      <c r="B979" s="15" t="s">
        <v>825</v>
      </c>
      <c r="C979" s="16">
        <v>0.69791666666666663</v>
      </c>
      <c r="D979" s="15" t="s">
        <v>31</v>
      </c>
      <c r="E979" s="15" t="s">
        <v>82</v>
      </c>
      <c r="F979" s="15" t="s">
        <v>47</v>
      </c>
      <c r="G979" s="298"/>
      <c r="H979" s="10"/>
      <c r="I979" s="11"/>
      <c r="J979" s="11"/>
      <c r="K979" s="11"/>
      <c r="L979" s="11"/>
      <c r="M979" s="11"/>
      <c r="N979" s="11"/>
      <c r="O979" s="12"/>
      <c r="P979" s="11"/>
      <c r="Q979" s="13"/>
      <c r="R979" s="14"/>
    </row>
    <row r="980" spans="1:18" ht="15" customHeight="1">
      <c r="A980" s="15" t="s">
        <v>26</v>
      </c>
      <c r="B980" s="15" t="s">
        <v>825</v>
      </c>
      <c r="C980" s="16">
        <v>0.69791666666666663</v>
      </c>
      <c r="D980" s="15" t="s">
        <v>34</v>
      </c>
      <c r="E980" s="15" t="s">
        <v>82</v>
      </c>
      <c r="F980" s="15" t="s">
        <v>932</v>
      </c>
      <c r="G980" s="298"/>
      <c r="H980" s="10"/>
      <c r="I980" s="11"/>
      <c r="J980" s="11"/>
      <c r="K980" s="11"/>
      <c r="L980" s="11"/>
      <c r="M980" s="11"/>
      <c r="N980" s="11"/>
      <c r="O980" s="12"/>
      <c r="P980" s="11"/>
      <c r="Q980" s="13"/>
      <c r="R980" s="14"/>
    </row>
    <row r="981" spans="1:18" ht="15" customHeight="1">
      <c r="A981" s="19" t="s">
        <v>48</v>
      </c>
      <c r="B981" s="19" t="s">
        <v>837</v>
      </c>
      <c r="C981" s="20">
        <v>0.62847222222222221</v>
      </c>
      <c r="D981" s="19" t="s">
        <v>53</v>
      </c>
      <c r="E981" s="19" t="s">
        <v>29</v>
      </c>
      <c r="F981" s="19" t="s">
        <v>912</v>
      </c>
      <c r="G981" s="298"/>
      <c r="H981" s="10"/>
      <c r="I981" s="11"/>
      <c r="J981" s="11"/>
      <c r="K981" s="11"/>
      <c r="L981" s="11"/>
      <c r="M981" s="11"/>
      <c r="N981" s="11"/>
      <c r="O981" s="12"/>
      <c r="P981" s="11"/>
      <c r="Q981" s="13"/>
      <c r="R981" s="14"/>
    </row>
    <row r="982" spans="1:18" ht="15" customHeight="1">
      <c r="A982" s="17" t="s">
        <v>48</v>
      </c>
      <c r="B982" s="17" t="s">
        <v>835</v>
      </c>
      <c r="C982" s="18">
        <v>0.88888888888888884</v>
      </c>
      <c r="D982" s="17" t="s">
        <v>53</v>
      </c>
      <c r="E982" s="17" t="s">
        <v>37</v>
      </c>
      <c r="F982" s="17" t="s">
        <v>946</v>
      </c>
      <c r="G982" s="298"/>
      <c r="H982" s="10"/>
      <c r="I982" s="11"/>
      <c r="J982" s="11"/>
      <c r="K982" s="11"/>
      <c r="L982" s="11"/>
      <c r="M982" s="11"/>
      <c r="N982" s="11"/>
      <c r="O982" s="12"/>
      <c r="P982" s="11"/>
      <c r="Q982" s="13"/>
      <c r="R982" s="14"/>
    </row>
    <row r="983" spans="1:18" ht="15" customHeight="1">
      <c r="A983" s="17" t="s">
        <v>48</v>
      </c>
      <c r="B983" s="17" t="s">
        <v>833</v>
      </c>
      <c r="C983" s="18">
        <v>0.44444444444444442</v>
      </c>
      <c r="D983" s="17" t="s">
        <v>53</v>
      </c>
      <c r="E983" s="17" t="s">
        <v>57</v>
      </c>
      <c r="F983" s="17" t="s">
        <v>860</v>
      </c>
      <c r="G983" s="298"/>
      <c r="H983" s="10"/>
      <c r="I983" s="11"/>
      <c r="J983" s="11"/>
      <c r="K983" s="11"/>
      <c r="L983" s="11"/>
      <c r="M983" s="11"/>
      <c r="N983" s="11"/>
      <c r="O983" s="12"/>
      <c r="P983" s="11"/>
      <c r="Q983" s="13"/>
      <c r="R983" s="14"/>
    </row>
    <row r="984" spans="1:18" ht="15" customHeight="1">
      <c r="A984" s="17" t="s">
        <v>48</v>
      </c>
      <c r="B984" s="17" t="s">
        <v>828</v>
      </c>
      <c r="C984" s="18">
        <v>0.82986111111111116</v>
      </c>
      <c r="D984" s="17" t="s">
        <v>53</v>
      </c>
      <c r="E984" s="17" t="s">
        <v>57</v>
      </c>
      <c r="F984" s="17" t="s">
        <v>860</v>
      </c>
      <c r="G984" s="298"/>
      <c r="H984" s="10"/>
      <c r="I984" s="11"/>
      <c r="J984" s="11"/>
      <c r="K984" s="11"/>
      <c r="L984" s="11"/>
      <c r="M984" s="11"/>
      <c r="N984" s="11"/>
      <c r="O984" s="12"/>
      <c r="P984" s="11"/>
      <c r="Q984" s="13"/>
      <c r="R984" s="14"/>
    </row>
    <row r="985" spans="1:18" ht="15" customHeight="1">
      <c r="A985" s="17" t="s">
        <v>48</v>
      </c>
      <c r="B985" s="17" t="s">
        <v>831</v>
      </c>
      <c r="C985" s="18">
        <v>0.98263888888888884</v>
      </c>
      <c r="D985" s="17" t="s">
        <v>53</v>
      </c>
      <c r="E985" s="17" t="s">
        <v>57</v>
      </c>
      <c r="F985" s="17" t="s">
        <v>860</v>
      </c>
      <c r="G985" s="298"/>
      <c r="H985" s="10"/>
      <c r="I985" s="11"/>
      <c r="J985" s="11"/>
      <c r="K985" s="11"/>
      <c r="L985" s="11"/>
      <c r="M985" s="11"/>
      <c r="N985" s="11"/>
      <c r="O985" s="12"/>
      <c r="P985" s="11"/>
      <c r="Q985" s="13"/>
      <c r="R985" s="14"/>
    </row>
    <row r="986" spans="1:18" ht="15" customHeight="1">
      <c r="A986" s="17" t="s">
        <v>48</v>
      </c>
      <c r="B986" s="17" t="s">
        <v>875</v>
      </c>
      <c r="C986" s="18">
        <v>0.69791666666666663</v>
      </c>
      <c r="D986" s="17" t="s">
        <v>53</v>
      </c>
      <c r="E986" s="17" t="s">
        <v>57</v>
      </c>
      <c r="F986" s="17" t="s">
        <v>860</v>
      </c>
      <c r="G986" s="298"/>
      <c r="H986" s="10"/>
      <c r="I986" s="11"/>
      <c r="J986" s="11"/>
      <c r="K986" s="11"/>
      <c r="L986" s="11"/>
      <c r="M986" s="11"/>
      <c r="N986" s="11"/>
      <c r="O986" s="12"/>
      <c r="P986" s="11"/>
      <c r="Q986" s="13"/>
      <c r="R986" s="14"/>
    </row>
    <row r="987" spans="1:18" ht="15" customHeight="1">
      <c r="A987" s="17" t="s">
        <v>48</v>
      </c>
      <c r="B987" s="17" t="s">
        <v>832</v>
      </c>
      <c r="C987" s="18">
        <v>0.62847222222222221</v>
      </c>
      <c r="D987" s="17" t="s">
        <v>53</v>
      </c>
      <c r="E987" s="17" t="s">
        <v>57</v>
      </c>
      <c r="F987" s="17" t="s">
        <v>860</v>
      </c>
      <c r="G987" s="298"/>
      <c r="H987" s="10"/>
      <c r="I987" s="11"/>
      <c r="J987" s="11"/>
      <c r="K987" s="11"/>
      <c r="L987" s="11"/>
      <c r="M987" s="11"/>
      <c r="N987" s="11"/>
      <c r="O987" s="12"/>
      <c r="P987" s="11"/>
      <c r="Q987" s="13"/>
      <c r="R987" s="14"/>
    </row>
    <row r="988" spans="1:18" ht="15" customHeight="1" thickBot="1">
      <c r="A988" s="30" t="s">
        <v>48</v>
      </c>
      <c r="B988" s="30" t="s">
        <v>838</v>
      </c>
      <c r="C988" s="31">
        <v>0.94444444444444453</v>
      </c>
      <c r="D988" s="30" t="s">
        <v>53</v>
      </c>
      <c r="E988" s="30" t="s">
        <v>37</v>
      </c>
      <c r="F988" s="30" t="s">
        <v>933</v>
      </c>
      <c r="G988" s="299"/>
      <c r="H988" s="300"/>
      <c r="I988" s="140"/>
      <c r="J988" s="140"/>
      <c r="K988" s="140"/>
      <c r="L988" s="140"/>
      <c r="M988" s="140"/>
      <c r="N988" s="140"/>
      <c r="O988" s="141"/>
      <c r="P988" s="140"/>
      <c r="Q988" s="142"/>
      <c r="R988" s="301"/>
    </row>
    <row r="989" spans="1:18" ht="17.45" customHeight="1" thickBot="1">
      <c r="A989" s="283"/>
      <c r="B989" s="284"/>
      <c r="C989" s="284"/>
      <c r="D989" s="284"/>
      <c r="E989" s="284"/>
      <c r="F989" s="284"/>
      <c r="G989" s="284"/>
      <c r="H989" s="284"/>
      <c r="I989" s="284"/>
      <c r="J989" s="284"/>
      <c r="K989" s="284"/>
      <c r="L989" s="284"/>
      <c r="M989" s="284"/>
      <c r="N989" s="284"/>
      <c r="O989" s="284"/>
      <c r="P989" s="284"/>
      <c r="Q989" s="284"/>
      <c r="R989" s="285"/>
    </row>
    <row r="990" spans="1:18" ht="22.15" customHeight="1" thickTop="1" thickBot="1">
      <c r="A990" s="279" t="s">
        <v>6</v>
      </c>
      <c r="B990" s="295"/>
      <c r="C990" s="295"/>
      <c r="D990" s="295"/>
      <c r="E990" s="295"/>
      <c r="F990" s="296"/>
      <c r="G990" s="32">
        <v>46041</v>
      </c>
      <c r="H990" s="278" t="s">
        <v>7</v>
      </c>
      <c r="I990" s="295"/>
      <c r="J990" s="295"/>
      <c r="K990" s="295"/>
      <c r="L990" s="295"/>
      <c r="M990" s="295"/>
      <c r="N990" s="295"/>
      <c r="O990" s="295"/>
      <c r="P990" s="295"/>
      <c r="Q990" s="295"/>
      <c r="R990" s="296"/>
    </row>
    <row r="991" spans="1:18" ht="24" customHeight="1">
      <c r="A991" s="33" t="s">
        <v>8</v>
      </c>
      <c r="B991" s="33" t="s">
        <v>9</v>
      </c>
      <c r="C991" s="34" t="s">
        <v>10</v>
      </c>
      <c r="D991" s="33" t="s">
        <v>11</v>
      </c>
      <c r="E991" s="33" t="s">
        <v>12</v>
      </c>
      <c r="F991" s="35" t="s">
        <v>13</v>
      </c>
      <c r="G991" s="36" t="s">
        <v>14</v>
      </c>
      <c r="H991" s="33" t="s">
        <v>15</v>
      </c>
      <c r="I991" s="37" t="s">
        <v>16</v>
      </c>
      <c r="J991" s="38" t="s">
        <v>17</v>
      </c>
      <c r="K991" s="39" t="s">
        <v>18</v>
      </c>
      <c r="L991" s="38" t="s">
        <v>19</v>
      </c>
      <c r="M991" s="38" t="s">
        <v>20</v>
      </c>
      <c r="N991" s="38" t="s">
        <v>21</v>
      </c>
      <c r="O991" s="33" t="s">
        <v>22</v>
      </c>
      <c r="P991" s="34" t="s">
        <v>23</v>
      </c>
      <c r="Q991" s="38" t="s">
        <v>24</v>
      </c>
      <c r="R991" s="33" t="s">
        <v>25</v>
      </c>
    </row>
    <row r="992" spans="1:18" ht="15" customHeight="1">
      <c r="A992" s="8" t="s">
        <v>38</v>
      </c>
      <c r="B992" s="8" t="s">
        <v>809</v>
      </c>
      <c r="C992" s="9">
        <v>0.57638888888888895</v>
      </c>
      <c r="D992" s="8" t="s">
        <v>40</v>
      </c>
      <c r="E992" s="8" t="s">
        <v>151</v>
      </c>
      <c r="F992" s="8" t="s">
        <v>872</v>
      </c>
      <c r="G992" s="297"/>
      <c r="H992" s="10"/>
      <c r="I992" s="11"/>
      <c r="J992" s="11"/>
      <c r="K992" s="11"/>
      <c r="L992" s="11"/>
      <c r="M992" s="11"/>
      <c r="N992" s="11"/>
      <c r="O992" s="12"/>
      <c r="P992" s="11"/>
      <c r="Q992" s="13"/>
      <c r="R992" s="14"/>
    </row>
    <row r="993" spans="1:18" ht="15" customHeight="1">
      <c r="A993" s="15" t="s">
        <v>38</v>
      </c>
      <c r="B993" s="15" t="s">
        <v>809</v>
      </c>
      <c r="C993" s="16">
        <v>0.57638888888888895</v>
      </c>
      <c r="D993" s="15" t="s">
        <v>43</v>
      </c>
      <c r="E993" s="15" t="s">
        <v>152</v>
      </c>
      <c r="F993" s="15" t="s">
        <v>349</v>
      </c>
      <c r="G993" s="298"/>
      <c r="H993" s="10"/>
      <c r="I993" s="11"/>
      <c r="J993" s="11"/>
      <c r="K993" s="11"/>
      <c r="L993" s="11"/>
      <c r="M993" s="11"/>
      <c r="N993" s="11"/>
      <c r="O993" s="12"/>
      <c r="P993" s="11"/>
      <c r="Q993" s="13"/>
      <c r="R993" s="14"/>
    </row>
    <row r="994" spans="1:18" ht="15" customHeight="1">
      <c r="A994" s="15" t="s">
        <v>38</v>
      </c>
      <c r="B994" s="15" t="s">
        <v>809</v>
      </c>
      <c r="C994" s="16">
        <v>0.57638888888888895</v>
      </c>
      <c r="D994" s="15" t="s">
        <v>46</v>
      </c>
      <c r="E994" s="15" t="s">
        <v>152</v>
      </c>
      <c r="F994" s="15" t="s">
        <v>810</v>
      </c>
      <c r="G994" s="298"/>
      <c r="H994" s="10"/>
      <c r="I994" s="11"/>
      <c r="J994" s="11"/>
      <c r="K994" s="11"/>
      <c r="L994" s="11"/>
      <c r="M994" s="11"/>
      <c r="N994" s="11"/>
      <c r="O994" s="12"/>
      <c r="P994" s="11"/>
      <c r="Q994" s="13"/>
      <c r="R994" s="14"/>
    </row>
    <row r="995" spans="1:18" ht="15" customHeight="1">
      <c r="A995" s="17" t="s">
        <v>38</v>
      </c>
      <c r="B995" s="17" t="s">
        <v>811</v>
      </c>
      <c r="C995" s="18">
        <v>0.62847222222222221</v>
      </c>
      <c r="D995" s="17" t="s">
        <v>40</v>
      </c>
      <c r="E995" s="17" t="s">
        <v>125</v>
      </c>
      <c r="F995" s="17" t="s">
        <v>872</v>
      </c>
      <c r="G995" s="298"/>
      <c r="H995" s="10"/>
      <c r="I995" s="11"/>
      <c r="J995" s="11"/>
      <c r="K995" s="11"/>
      <c r="L995" s="11"/>
      <c r="M995" s="11"/>
      <c r="N995" s="11"/>
      <c r="O995" s="12"/>
      <c r="P995" s="11"/>
      <c r="Q995" s="13"/>
      <c r="R995" s="14"/>
    </row>
    <row r="996" spans="1:18" ht="15" customHeight="1">
      <c r="A996" s="15" t="s">
        <v>38</v>
      </c>
      <c r="B996" s="15" t="s">
        <v>811</v>
      </c>
      <c r="C996" s="16">
        <v>0.62847222222222221</v>
      </c>
      <c r="D996" s="15" t="s">
        <v>43</v>
      </c>
      <c r="E996" s="15" t="s">
        <v>44</v>
      </c>
      <c r="F996" s="15" t="s">
        <v>349</v>
      </c>
      <c r="G996" s="298"/>
      <c r="H996" s="10"/>
      <c r="I996" s="11"/>
      <c r="J996" s="11"/>
      <c r="K996" s="11"/>
      <c r="L996" s="11"/>
      <c r="M996" s="11"/>
      <c r="N996" s="11"/>
      <c r="O996" s="12"/>
      <c r="P996" s="11"/>
      <c r="Q996" s="13"/>
      <c r="R996" s="14"/>
    </row>
    <row r="997" spans="1:18" ht="15" customHeight="1">
      <c r="A997" s="15" t="s">
        <v>38</v>
      </c>
      <c r="B997" s="15" t="s">
        <v>811</v>
      </c>
      <c r="C997" s="16">
        <v>0.62847222222222221</v>
      </c>
      <c r="D997" s="15" t="s">
        <v>46</v>
      </c>
      <c r="E997" s="15" t="s">
        <v>44</v>
      </c>
      <c r="F997" s="15" t="s">
        <v>810</v>
      </c>
      <c r="G997" s="298"/>
      <c r="H997" s="10"/>
      <c r="I997" s="11"/>
      <c r="J997" s="11"/>
      <c r="K997" s="11"/>
      <c r="L997" s="11"/>
      <c r="M997" s="11"/>
      <c r="N997" s="11"/>
      <c r="O997" s="12"/>
      <c r="P997" s="11"/>
      <c r="Q997" s="13"/>
      <c r="R997" s="14"/>
    </row>
    <row r="998" spans="1:18" ht="15" customHeight="1">
      <c r="A998" s="17" t="s">
        <v>38</v>
      </c>
      <c r="B998" s="17" t="s">
        <v>812</v>
      </c>
      <c r="C998" s="18">
        <v>0.88888888888888884</v>
      </c>
      <c r="D998" s="17" t="s">
        <v>40</v>
      </c>
      <c r="E998" s="17" t="s">
        <v>134</v>
      </c>
      <c r="F998" s="17" t="s">
        <v>872</v>
      </c>
      <c r="G998" s="298"/>
      <c r="H998" s="10"/>
      <c r="I998" s="11"/>
      <c r="J998" s="11"/>
      <c r="K998" s="11"/>
      <c r="L998" s="11"/>
      <c r="M998" s="11"/>
      <c r="N998" s="11"/>
      <c r="O998" s="12"/>
      <c r="P998" s="11"/>
      <c r="Q998" s="13"/>
      <c r="R998" s="14"/>
    </row>
    <row r="999" spans="1:18" ht="15" customHeight="1">
      <c r="A999" s="15" t="s">
        <v>38</v>
      </c>
      <c r="B999" s="15" t="s">
        <v>812</v>
      </c>
      <c r="C999" s="16">
        <v>0.88888888888888884</v>
      </c>
      <c r="D999" s="15" t="s">
        <v>43</v>
      </c>
      <c r="E999" s="15" t="s">
        <v>135</v>
      </c>
      <c r="F999" s="15" t="s">
        <v>349</v>
      </c>
      <c r="G999" s="298"/>
      <c r="H999" s="10"/>
      <c r="I999" s="11"/>
      <c r="J999" s="11"/>
      <c r="K999" s="11"/>
      <c r="L999" s="11"/>
      <c r="M999" s="11"/>
      <c r="N999" s="11"/>
      <c r="O999" s="12"/>
      <c r="P999" s="11"/>
      <c r="Q999" s="13"/>
      <c r="R999" s="14"/>
    </row>
    <row r="1000" spans="1:18" ht="15" customHeight="1">
      <c r="A1000" s="15" t="s">
        <v>38</v>
      </c>
      <c r="B1000" s="15" t="s">
        <v>812</v>
      </c>
      <c r="C1000" s="16">
        <v>0.88888888888888884</v>
      </c>
      <c r="D1000" s="15" t="s">
        <v>46</v>
      </c>
      <c r="E1000" s="15" t="s">
        <v>135</v>
      </c>
      <c r="F1000" s="15" t="s">
        <v>810</v>
      </c>
      <c r="G1000" s="298"/>
      <c r="H1000" s="10"/>
      <c r="I1000" s="11"/>
      <c r="J1000" s="11"/>
      <c r="K1000" s="11"/>
      <c r="L1000" s="11"/>
      <c r="M1000" s="11"/>
      <c r="N1000" s="11"/>
      <c r="O1000" s="12"/>
      <c r="P1000" s="11"/>
      <c r="Q1000" s="13"/>
      <c r="R1000" s="14"/>
    </row>
    <row r="1001" spans="1:18" ht="15" customHeight="1">
      <c r="A1001" s="17" t="s">
        <v>38</v>
      </c>
      <c r="B1001" s="17" t="s">
        <v>813</v>
      </c>
      <c r="C1001" s="18">
        <v>0.94444444444444453</v>
      </c>
      <c r="D1001" s="17" t="s">
        <v>40</v>
      </c>
      <c r="E1001" s="17" t="s">
        <v>458</v>
      </c>
      <c r="F1001" s="17" t="s">
        <v>872</v>
      </c>
      <c r="G1001" s="298"/>
      <c r="H1001" s="10"/>
      <c r="I1001" s="11"/>
      <c r="J1001" s="11"/>
      <c r="K1001" s="11"/>
      <c r="L1001" s="11"/>
      <c r="M1001" s="11"/>
      <c r="N1001" s="11"/>
      <c r="O1001" s="12"/>
      <c r="P1001" s="11"/>
      <c r="Q1001" s="13"/>
      <c r="R1001" s="14"/>
    </row>
    <row r="1002" spans="1:18" ht="15" customHeight="1">
      <c r="A1002" s="15" t="s">
        <v>38</v>
      </c>
      <c r="B1002" s="15" t="s">
        <v>813</v>
      </c>
      <c r="C1002" s="16">
        <v>0.94444444444444453</v>
      </c>
      <c r="D1002" s="15" t="s">
        <v>43</v>
      </c>
      <c r="E1002" s="15" t="s">
        <v>155</v>
      </c>
      <c r="F1002" s="15" t="s">
        <v>349</v>
      </c>
      <c r="G1002" s="298"/>
      <c r="H1002" s="10"/>
      <c r="I1002" s="11"/>
      <c r="J1002" s="11"/>
      <c r="K1002" s="11"/>
      <c r="L1002" s="11"/>
      <c r="M1002" s="11"/>
      <c r="N1002" s="11"/>
      <c r="O1002" s="12"/>
      <c r="P1002" s="11"/>
      <c r="Q1002" s="13"/>
      <c r="R1002" s="14"/>
    </row>
    <row r="1003" spans="1:18" ht="15" customHeight="1">
      <c r="A1003" s="15" t="s">
        <v>38</v>
      </c>
      <c r="B1003" s="15" t="s">
        <v>813</v>
      </c>
      <c r="C1003" s="16">
        <v>0.94444444444444453</v>
      </c>
      <c r="D1003" s="15" t="s">
        <v>46</v>
      </c>
      <c r="E1003" s="15" t="s">
        <v>155</v>
      </c>
      <c r="F1003" s="15" t="s">
        <v>810</v>
      </c>
      <c r="G1003" s="298"/>
      <c r="H1003" s="10"/>
      <c r="I1003" s="11"/>
      <c r="J1003" s="11"/>
      <c r="K1003" s="11"/>
      <c r="L1003" s="11"/>
      <c r="M1003" s="11"/>
      <c r="N1003" s="11"/>
      <c r="O1003" s="12"/>
      <c r="P1003" s="11"/>
      <c r="Q1003" s="13"/>
      <c r="R1003" s="14"/>
    </row>
    <row r="1004" spans="1:18" ht="15" customHeight="1">
      <c r="A1004" s="19" t="s">
        <v>68</v>
      </c>
      <c r="B1004" s="19" t="s">
        <v>842</v>
      </c>
      <c r="C1004" s="20">
        <v>0.98263888888888884</v>
      </c>
      <c r="D1004" s="19" t="s">
        <v>643</v>
      </c>
      <c r="E1004" s="19" t="s">
        <v>100</v>
      </c>
      <c r="F1004" s="19" t="s">
        <v>891</v>
      </c>
      <c r="G1004" s="298"/>
      <c r="H1004" s="10"/>
      <c r="I1004" s="11"/>
      <c r="J1004" s="11"/>
      <c r="K1004" s="11"/>
      <c r="L1004" s="11"/>
      <c r="M1004" s="11"/>
      <c r="N1004" s="11"/>
      <c r="O1004" s="12"/>
      <c r="P1004" s="11"/>
      <c r="Q1004" s="13"/>
      <c r="R1004" s="14"/>
    </row>
    <row r="1005" spans="1:18" ht="15" customHeight="1">
      <c r="A1005" s="17" t="s">
        <v>68</v>
      </c>
      <c r="B1005" s="17" t="s">
        <v>844</v>
      </c>
      <c r="C1005" s="18">
        <v>0.72916666666666663</v>
      </c>
      <c r="D1005" s="17" t="s">
        <v>643</v>
      </c>
      <c r="E1005" s="17" t="s">
        <v>57</v>
      </c>
      <c r="F1005" s="17" t="s">
        <v>888</v>
      </c>
      <c r="G1005" s="298"/>
      <c r="H1005" s="10"/>
      <c r="I1005" s="11"/>
      <c r="J1005" s="11"/>
      <c r="K1005" s="11"/>
      <c r="L1005" s="11"/>
      <c r="M1005" s="11"/>
      <c r="N1005" s="11"/>
      <c r="O1005" s="12"/>
      <c r="P1005" s="11"/>
      <c r="Q1005" s="13"/>
      <c r="R1005" s="14"/>
    </row>
    <row r="1006" spans="1:18" ht="15" customHeight="1">
      <c r="A1006" s="17" t="s">
        <v>68</v>
      </c>
      <c r="B1006" s="17" t="s">
        <v>843</v>
      </c>
      <c r="C1006" s="18">
        <v>0.35416666666666669</v>
      </c>
      <c r="D1006" s="17" t="s">
        <v>70</v>
      </c>
      <c r="E1006" s="17" t="s">
        <v>57</v>
      </c>
      <c r="F1006" s="17" t="s">
        <v>404</v>
      </c>
      <c r="G1006" s="298"/>
      <c r="H1006" s="10"/>
      <c r="I1006" s="11"/>
      <c r="J1006" s="11"/>
      <c r="K1006" s="11"/>
      <c r="L1006" s="11"/>
      <c r="M1006" s="11"/>
      <c r="N1006" s="11"/>
      <c r="O1006" s="12"/>
      <c r="P1006" s="11"/>
      <c r="Q1006" s="13"/>
      <c r="R1006" s="14"/>
    </row>
    <row r="1007" spans="1:18" ht="15" customHeight="1">
      <c r="A1007" s="19" t="s">
        <v>26</v>
      </c>
      <c r="B1007" s="19" t="s">
        <v>820</v>
      </c>
      <c r="C1007" s="20">
        <v>0.4375</v>
      </c>
      <c r="D1007" s="19" t="s">
        <v>28</v>
      </c>
      <c r="E1007" s="19" t="s">
        <v>80</v>
      </c>
      <c r="F1007" s="19" t="s">
        <v>81</v>
      </c>
      <c r="G1007" s="298"/>
      <c r="H1007" s="10"/>
      <c r="I1007" s="11"/>
      <c r="J1007" s="11"/>
      <c r="K1007" s="11"/>
      <c r="L1007" s="11"/>
      <c r="M1007" s="11"/>
      <c r="N1007" s="11"/>
      <c r="O1007" s="12"/>
      <c r="P1007" s="11"/>
      <c r="Q1007" s="13"/>
      <c r="R1007" s="14"/>
    </row>
    <row r="1008" spans="1:18" ht="15" customHeight="1">
      <c r="A1008" s="15" t="s">
        <v>26</v>
      </c>
      <c r="B1008" s="15" t="s">
        <v>820</v>
      </c>
      <c r="C1008" s="16">
        <v>0.4375</v>
      </c>
      <c r="D1008" s="15" t="s">
        <v>31</v>
      </c>
      <c r="E1008" s="15" t="s">
        <v>82</v>
      </c>
      <c r="F1008" s="15" t="s">
        <v>83</v>
      </c>
      <c r="G1008" s="298"/>
      <c r="H1008" s="10"/>
      <c r="I1008" s="11"/>
      <c r="J1008" s="11"/>
      <c r="K1008" s="11"/>
      <c r="L1008" s="11"/>
      <c r="M1008" s="11"/>
      <c r="N1008" s="11"/>
      <c r="O1008" s="12"/>
      <c r="P1008" s="11"/>
      <c r="Q1008" s="13"/>
      <c r="R1008" s="14"/>
    </row>
    <row r="1009" spans="1:18" ht="15" customHeight="1">
      <c r="A1009" s="15" t="s">
        <v>26</v>
      </c>
      <c r="B1009" s="15" t="s">
        <v>820</v>
      </c>
      <c r="C1009" s="16">
        <v>0.4375</v>
      </c>
      <c r="D1009" s="15" t="s">
        <v>34</v>
      </c>
      <c r="E1009" s="15" t="s">
        <v>82</v>
      </c>
      <c r="F1009" s="15" t="s">
        <v>45</v>
      </c>
      <c r="G1009" s="298"/>
      <c r="H1009" s="10"/>
      <c r="I1009" s="11"/>
      <c r="J1009" s="11"/>
      <c r="K1009" s="11"/>
      <c r="L1009" s="11"/>
      <c r="M1009" s="11"/>
      <c r="N1009" s="11"/>
      <c r="O1009" s="12"/>
      <c r="P1009" s="11"/>
      <c r="Q1009" s="13"/>
      <c r="R1009" s="14"/>
    </row>
    <row r="1010" spans="1:18" ht="15" customHeight="1">
      <c r="A1010" s="17" t="s">
        <v>26</v>
      </c>
      <c r="B1010" s="17" t="s">
        <v>826</v>
      </c>
      <c r="C1010" s="18">
        <v>0.95833333333333337</v>
      </c>
      <c r="D1010" s="17" t="s">
        <v>28</v>
      </c>
      <c r="E1010" s="17" t="s">
        <v>90</v>
      </c>
      <c r="F1010" s="17" t="s">
        <v>81</v>
      </c>
      <c r="G1010" s="298"/>
      <c r="H1010" s="10"/>
      <c r="I1010" s="11"/>
      <c r="J1010" s="11"/>
      <c r="K1010" s="11"/>
      <c r="L1010" s="11"/>
      <c r="M1010" s="11"/>
      <c r="N1010" s="11"/>
      <c r="O1010" s="12"/>
      <c r="P1010" s="11"/>
      <c r="Q1010" s="13"/>
      <c r="R1010" s="14"/>
    </row>
    <row r="1011" spans="1:18" ht="15" customHeight="1">
      <c r="A1011" s="15" t="s">
        <v>26</v>
      </c>
      <c r="B1011" s="15" t="s">
        <v>826</v>
      </c>
      <c r="C1011" s="16">
        <v>0.95833333333333337</v>
      </c>
      <c r="D1011" s="15" t="s">
        <v>31</v>
      </c>
      <c r="E1011" s="15" t="s">
        <v>82</v>
      </c>
      <c r="F1011" s="15" t="s">
        <v>83</v>
      </c>
      <c r="G1011" s="298"/>
      <c r="H1011" s="10"/>
      <c r="I1011" s="11"/>
      <c r="J1011" s="11"/>
      <c r="K1011" s="11"/>
      <c r="L1011" s="11"/>
      <c r="M1011" s="11"/>
      <c r="N1011" s="11"/>
      <c r="O1011" s="12"/>
      <c r="P1011" s="11"/>
      <c r="Q1011" s="13"/>
      <c r="R1011" s="14"/>
    </row>
    <row r="1012" spans="1:18" ht="15" customHeight="1">
      <c r="A1012" s="15" t="s">
        <v>26</v>
      </c>
      <c r="B1012" s="15" t="s">
        <v>826</v>
      </c>
      <c r="C1012" s="16">
        <v>0.95833333333333337</v>
      </c>
      <c r="D1012" s="15" t="s">
        <v>34</v>
      </c>
      <c r="E1012" s="15" t="s">
        <v>82</v>
      </c>
      <c r="F1012" s="15" t="s">
        <v>45</v>
      </c>
      <c r="G1012" s="298"/>
      <c r="H1012" s="10"/>
      <c r="I1012" s="11"/>
      <c r="J1012" s="11"/>
      <c r="K1012" s="11"/>
      <c r="L1012" s="11"/>
      <c r="M1012" s="11"/>
      <c r="N1012" s="11"/>
      <c r="O1012" s="12"/>
      <c r="P1012" s="11"/>
      <c r="Q1012" s="13"/>
      <c r="R1012" s="14"/>
    </row>
    <row r="1013" spans="1:18" ht="15" customHeight="1">
      <c r="A1013" s="17" t="s">
        <v>26</v>
      </c>
      <c r="B1013" s="17" t="s">
        <v>821</v>
      </c>
      <c r="C1013" s="18">
        <v>0.63194444444444442</v>
      </c>
      <c r="D1013" s="17" t="s">
        <v>28</v>
      </c>
      <c r="E1013" s="17" t="s">
        <v>90</v>
      </c>
      <c r="F1013" s="17" t="s">
        <v>81</v>
      </c>
      <c r="G1013" s="298"/>
      <c r="H1013" s="10"/>
      <c r="I1013" s="11"/>
      <c r="J1013" s="11"/>
      <c r="K1013" s="11"/>
      <c r="L1013" s="11"/>
      <c r="M1013" s="11"/>
      <c r="N1013" s="11"/>
      <c r="O1013" s="12"/>
      <c r="P1013" s="11"/>
      <c r="Q1013" s="13"/>
      <c r="R1013" s="14"/>
    </row>
    <row r="1014" spans="1:18" ht="15" customHeight="1">
      <c r="A1014" s="15" t="s">
        <v>26</v>
      </c>
      <c r="B1014" s="15" t="s">
        <v>821</v>
      </c>
      <c r="C1014" s="16">
        <v>0.63194444444444442</v>
      </c>
      <c r="D1014" s="15" t="s">
        <v>31</v>
      </c>
      <c r="E1014" s="15" t="s">
        <v>82</v>
      </c>
      <c r="F1014" s="15" t="s">
        <v>83</v>
      </c>
      <c r="G1014" s="298"/>
      <c r="H1014" s="10"/>
      <c r="I1014" s="11"/>
      <c r="J1014" s="11"/>
      <c r="K1014" s="11"/>
      <c r="L1014" s="11"/>
      <c r="M1014" s="11"/>
      <c r="N1014" s="11"/>
      <c r="O1014" s="12"/>
      <c r="P1014" s="11"/>
      <c r="Q1014" s="13"/>
      <c r="R1014" s="14"/>
    </row>
    <row r="1015" spans="1:18" ht="15" customHeight="1">
      <c r="A1015" s="15" t="s">
        <v>26</v>
      </c>
      <c r="B1015" s="15" t="s">
        <v>821</v>
      </c>
      <c r="C1015" s="16">
        <v>0.63194444444444442</v>
      </c>
      <c r="D1015" s="15" t="s">
        <v>34</v>
      </c>
      <c r="E1015" s="15" t="s">
        <v>82</v>
      </c>
      <c r="F1015" s="15" t="s">
        <v>45</v>
      </c>
      <c r="G1015" s="298"/>
      <c r="H1015" s="10"/>
      <c r="I1015" s="11"/>
      <c r="J1015" s="11"/>
      <c r="K1015" s="11"/>
      <c r="L1015" s="11"/>
      <c r="M1015" s="11"/>
      <c r="N1015" s="11"/>
      <c r="O1015" s="12"/>
      <c r="P1015" s="11"/>
      <c r="Q1015" s="13"/>
      <c r="R1015" s="14"/>
    </row>
    <row r="1016" spans="1:18" ht="15" customHeight="1">
      <c r="A1016" s="17" t="s">
        <v>26</v>
      </c>
      <c r="B1016" s="17" t="s">
        <v>822</v>
      </c>
      <c r="C1016" s="18">
        <v>0.55902777777777779</v>
      </c>
      <c r="D1016" s="17" t="s">
        <v>28</v>
      </c>
      <c r="E1016" s="17" t="s">
        <v>90</v>
      </c>
      <c r="F1016" s="17" t="s">
        <v>81</v>
      </c>
      <c r="G1016" s="298"/>
      <c r="H1016" s="10"/>
      <c r="I1016" s="11"/>
      <c r="J1016" s="11"/>
      <c r="K1016" s="11"/>
      <c r="L1016" s="11"/>
      <c r="M1016" s="11"/>
      <c r="N1016" s="11"/>
      <c r="O1016" s="12"/>
      <c r="P1016" s="11"/>
      <c r="Q1016" s="13"/>
      <c r="R1016" s="14"/>
    </row>
    <row r="1017" spans="1:18" ht="15" customHeight="1">
      <c r="A1017" s="15" t="s">
        <v>26</v>
      </c>
      <c r="B1017" s="15" t="s">
        <v>822</v>
      </c>
      <c r="C1017" s="16">
        <v>0.55902777777777779</v>
      </c>
      <c r="D1017" s="15" t="s">
        <v>31</v>
      </c>
      <c r="E1017" s="15" t="s">
        <v>82</v>
      </c>
      <c r="F1017" s="15" t="s">
        <v>83</v>
      </c>
      <c r="G1017" s="298"/>
      <c r="H1017" s="10"/>
      <c r="I1017" s="11"/>
      <c r="J1017" s="11"/>
      <c r="K1017" s="11"/>
      <c r="L1017" s="11"/>
      <c r="M1017" s="11"/>
      <c r="N1017" s="11"/>
      <c r="O1017" s="12"/>
      <c r="P1017" s="11"/>
      <c r="Q1017" s="13"/>
      <c r="R1017" s="14"/>
    </row>
    <row r="1018" spans="1:18" ht="15" customHeight="1">
      <c r="A1018" s="15" t="s">
        <v>26</v>
      </c>
      <c r="B1018" s="15" t="s">
        <v>822</v>
      </c>
      <c r="C1018" s="16">
        <v>0.55902777777777779</v>
      </c>
      <c r="D1018" s="15" t="s">
        <v>34</v>
      </c>
      <c r="E1018" s="15" t="s">
        <v>82</v>
      </c>
      <c r="F1018" s="15" t="s">
        <v>45</v>
      </c>
      <c r="G1018" s="298"/>
      <c r="H1018" s="10"/>
      <c r="I1018" s="11"/>
      <c r="J1018" s="11"/>
      <c r="K1018" s="11"/>
      <c r="L1018" s="11"/>
      <c r="M1018" s="11"/>
      <c r="N1018" s="11"/>
      <c r="O1018" s="12"/>
      <c r="P1018" s="11"/>
      <c r="Q1018" s="13"/>
      <c r="R1018" s="14"/>
    </row>
    <row r="1019" spans="1:18" ht="15" customHeight="1">
      <c r="A1019" s="17" t="s">
        <v>26</v>
      </c>
      <c r="B1019" s="17" t="s">
        <v>823</v>
      </c>
      <c r="C1019" s="18">
        <v>0.81944444444444453</v>
      </c>
      <c r="D1019" s="17" t="s">
        <v>28</v>
      </c>
      <c r="E1019" s="17" t="s">
        <v>90</v>
      </c>
      <c r="F1019" s="17" t="s">
        <v>81</v>
      </c>
      <c r="G1019" s="298"/>
      <c r="H1019" s="10"/>
      <c r="I1019" s="11"/>
      <c r="J1019" s="11"/>
      <c r="K1019" s="11"/>
      <c r="L1019" s="11"/>
      <c r="M1019" s="11"/>
      <c r="N1019" s="11"/>
      <c r="O1019" s="12"/>
      <c r="P1019" s="11"/>
      <c r="Q1019" s="13"/>
      <c r="R1019" s="14"/>
    </row>
    <row r="1020" spans="1:18" ht="15" customHeight="1">
      <c r="A1020" s="15" t="s">
        <v>26</v>
      </c>
      <c r="B1020" s="15" t="s">
        <v>823</v>
      </c>
      <c r="C1020" s="16">
        <v>0.81944444444444453</v>
      </c>
      <c r="D1020" s="15" t="s">
        <v>31</v>
      </c>
      <c r="E1020" s="15" t="s">
        <v>82</v>
      </c>
      <c r="F1020" s="15" t="s">
        <v>83</v>
      </c>
      <c r="G1020" s="298"/>
      <c r="H1020" s="10"/>
      <c r="I1020" s="11"/>
      <c r="J1020" s="11"/>
      <c r="K1020" s="11"/>
      <c r="L1020" s="11"/>
      <c r="M1020" s="11"/>
      <c r="N1020" s="11"/>
      <c r="O1020" s="12"/>
      <c r="P1020" s="11"/>
      <c r="Q1020" s="13"/>
      <c r="R1020" s="14"/>
    </row>
    <row r="1021" spans="1:18" ht="15" customHeight="1">
      <c r="A1021" s="15" t="s">
        <v>26</v>
      </c>
      <c r="B1021" s="15" t="s">
        <v>823</v>
      </c>
      <c r="C1021" s="16">
        <v>0.81944444444444453</v>
      </c>
      <c r="D1021" s="15" t="s">
        <v>34</v>
      </c>
      <c r="E1021" s="15" t="s">
        <v>82</v>
      </c>
      <c r="F1021" s="15" t="s">
        <v>45</v>
      </c>
      <c r="G1021" s="298"/>
      <c r="H1021" s="10"/>
      <c r="I1021" s="11"/>
      <c r="J1021" s="11"/>
      <c r="K1021" s="11"/>
      <c r="L1021" s="11"/>
      <c r="M1021" s="11"/>
      <c r="N1021" s="11"/>
      <c r="O1021" s="12"/>
      <c r="P1021" s="11"/>
      <c r="Q1021" s="13"/>
      <c r="R1021" s="14"/>
    </row>
    <row r="1022" spans="1:18" ht="15" customHeight="1">
      <c r="A1022" s="17" t="s">
        <v>26</v>
      </c>
      <c r="B1022" s="17" t="s">
        <v>824</v>
      </c>
      <c r="C1022" s="18">
        <v>0.50694444444444442</v>
      </c>
      <c r="D1022" s="17" t="s">
        <v>28</v>
      </c>
      <c r="E1022" s="17" t="s">
        <v>90</v>
      </c>
      <c r="F1022" s="17" t="s">
        <v>81</v>
      </c>
      <c r="G1022" s="298"/>
      <c r="H1022" s="10"/>
      <c r="I1022" s="11"/>
      <c r="J1022" s="11"/>
      <c r="K1022" s="11"/>
      <c r="L1022" s="11"/>
      <c r="M1022" s="11"/>
      <c r="N1022" s="11"/>
      <c r="O1022" s="12"/>
      <c r="P1022" s="11"/>
      <c r="Q1022" s="13"/>
      <c r="R1022" s="14"/>
    </row>
    <row r="1023" spans="1:18" ht="15" customHeight="1">
      <c r="A1023" s="15" t="s">
        <v>26</v>
      </c>
      <c r="B1023" s="15" t="s">
        <v>824</v>
      </c>
      <c r="C1023" s="16">
        <v>0.50694444444444442</v>
      </c>
      <c r="D1023" s="15" t="s">
        <v>31</v>
      </c>
      <c r="E1023" s="15" t="s">
        <v>82</v>
      </c>
      <c r="F1023" s="15" t="s">
        <v>83</v>
      </c>
      <c r="G1023" s="298"/>
      <c r="H1023" s="10"/>
      <c r="I1023" s="11"/>
      <c r="J1023" s="11"/>
      <c r="K1023" s="11"/>
      <c r="L1023" s="11"/>
      <c r="M1023" s="11"/>
      <c r="N1023" s="11"/>
      <c r="O1023" s="12"/>
      <c r="P1023" s="11"/>
      <c r="Q1023" s="13"/>
      <c r="R1023" s="14"/>
    </row>
    <row r="1024" spans="1:18" ht="15" customHeight="1">
      <c r="A1024" s="15" t="s">
        <v>26</v>
      </c>
      <c r="B1024" s="15" t="s">
        <v>824</v>
      </c>
      <c r="C1024" s="16">
        <v>0.50694444444444442</v>
      </c>
      <c r="D1024" s="15" t="s">
        <v>34</v>
      </c>
      <c r="E1024" s="15" t="s">
        <v>82</v>
      </c>
      <c r="F1024" s="15" t="s">
        <v>45</v>
      </c>
      <c r="G1024" s="298"/>
      <c r="H1024" s="10"/>
      <c r="I1024" s="11"/>
      <c r="J1024" s="11"/>
      <c r="K1024" s="11"/>
      <c r="L1024" s="11"/>
      <c r="M1024" s="11"/>
      <c r="N1024" s="11"/>
      <c r="O1024" s="12"/>
      <c r="P1024" s="11"/>
      <c r="Q1024" s="13"/>
      <c r="R1024" s="14"/>
    </row>
    <row r="1025" spans="1:18" ht="15" customHeight="1">
      <c r="A1025" s="17" t="s">
        <v>26</v>
      </c>
      <c r="B1025" s="17" t="s">
        <v>825</v>
      </c>
      <c r="C1025" s="18">
        <v>0.69791666666666663</v>
      </c>
      <c r="D1025" s="17" t="s">
        <v>28</v>
      </c>
      <c r="E1025" s="17" t="s">
        <v>90</v>
      </c>
      <c r="F1025" s="17" t="s">
        <v>827</v>
      </c>
      <c r="G1025" s="298"/>
      <c r="H1025" s="10"/>
      <c r="I1025" s="11"/>
      <c r="J1025" s="11"/>
      <c r="K1025" s="11"/>
      <c r="L1025" s="11"/>
      <c r="M1025" s="11"/>
      <c r="N1025" s="11"/>
      <c r="O1025" s="12"/>
      <c r="P1025" s="11"/>
      <c r="Q1025" s="13"/>
      <c r="R1025" s="14"/>
    </row>
    <row r="1026" spans="1:18" ht="15" customHeight="1">
      <c r="A1026" s="15" t="s">
        <v>26</v>
      </c>
      <c r="B1026" s="15" t="s">
        <v>825</v>
      </c>
      <c r="C1026" s="16">
        <v>0.69791666666666663</v>
      </c>
      <c r="D1026" s="15" t="s">
        <v>31</v>
      </c>
      <c r="E1026" s="15" t="s">
        <v>82</v>
      </c>
      <c r="F1026" s="15" t="s">
        <v>161</v>
      </c>
      <c r="G1026" s="298"/>
      <c r="H1026" s="10"/>
      <c r="I1026" s="11"/>
      <c r="J1026" s="11"/>
      <c r="K1026" s="11"/>
      <c r="L1026" s="11"/>
      <c r="M1026" s="11"/>
      <c r="N1026" s="11"/>
      <c r="O1026" s="12"/>
      <c r="P1026" s="11"/>
      <c r="Q1026" s="13"/>
      <c r="R1026" s="14"/>
    </row>
    <row r="1027" spans="1:18" ht="15" customHeight="1">
      <c r="A1027" s="15" t="s">
        <v>26</v>
      </c>
      <c r="B1027" s="15" t="s">
        <v>825</v>
      </c>
      <c r="C1027" s="16">
        <v>0.69791666666666663</v>
      </c>
      <c r="D1027" s="15" t="s">
        <v>34</v>
      </c>
      <c r="E1027" s="15" t="s">
        <v>82</v>
      </c>
      <c r="F1027" s="15" t="s">
        <v>123</v>
      </c>
      <c r="G1027" s="298"/>
      <c r="H1027" s="10"/>
      <c r="I1027" s="11"/>
      <c r="J1027" s="11"/>
      <c r="K1027" s="11"/>
      <c r="L1027" s="11"/>
      <c r="M1027" s="11"/>
      <c r="N1027" s="11"/>
      <c r="O1027" s="12"/>
      <c r="P1027" s="11"/>
      <c r="Q1027" s="13"/>
      <c r="R1027" s="14"/>
    </row>
    <row r="1028" spans="1:18" ht="15" customHeight="1">
      <c r="A1028" s="19" t="s">
        <v>48</v>
      </c>
      <c r="B1028" s="19" t="s">
        <v>884</v>
      </c>
      <c r="C1028" s="20">
        <v>0.20833333333333329</v>
      </c>
      <c r="D1028" s="19" t="s">
        <v>50</v>
      </c>
      <c r="E1028" s="19" t="s">
        <v>51</v>
      </c>
      <c r="F1028" s="19" t="s">
        <v>873</v>
      </c>
      <c r="G1028" s="298"/>
      <c r="H1028" s="10"/>
      <c r="I1028" s="11"/>
      <c r="J1028" s="11"/>
      <c r="K1028" s="11"/>
      <c r="L1028" s="11"/>
      <c r="M1028" s="11"/>
      <c r="N1028" s="11"/>
      <c r="O1028" s="12"/>
      <c r="P1028" s="11"/>
      <c r="Q1028" s="13"/>
      <c r="R1028" s="14"/>
    </row>
    <row r="1029" spans="1:18" ht="15" customHeight="1">
      <c r="A1029" s="15" t="s">
        <v>48</v>
      </c>
      <c r="B1029" s="15" t="s">
        <v>884</v>
      </c>
      <c r="C1029" s="16">
        <v>0.20833333333333329</v>
      </c>
      <c r="D1029" s="15" t="s">
        <v>53</v>
      </c>
      <c r="E1029" s="15" t="s">
        <v>54</v>
      </c>
      <c r="F1029" s="15" t="s">
        <v>874</v>
      </c>
      <c r="G1029" s="298"/>
      <c r="H1029" s="10"/>
      <c r="I1029" s="11"/>
      <c r="J1029" s="11"/>
      <c r="K1029" s="11"/>
      <c r="L1029" s="11"/>
      <c r="M1029" s="11"/>
      <c r="N1029" s="11"/>
      <c r="O1029" s="12"/>
      <c r="P1029" s="11"/>
      <c r="Q1029" s="13"/>
      <c r="R1029" s="14"/>
    </row>
    <row r="1030" spans="1:18" ht="15" customHeight="1">
      <c r="A1030" s="17" t="s">
        <v>48</v>
      </c>
      <c r="B1030" s="17" t="s">
        <v>831</v>
      </c>
      <c r="C1030" s="18">
        <v>0.98263888888888884</v>
      </c>
      <c r="D1030" s="17" t="s">
        <v>50</v>
      </c>
      <c r="E1030" s="17" t="s">
        <v>57</v>
      </c>
      <c r="F1030" s="17" t="s">
        <v>873</v>
      </c>
      <c r="G1030" s="298"/>
      <c r="H1030" s="10"/>
      <c r="I1030" s="11"/>
      <c r="J1030" s="11"/>
      <c r="K1030" s="11"/>
      <c r="L1030" s="11"/>
      <c r="M1030" s="11"/>
      <c r="N1030" s="11"/>
      <c r="O1030" s="12"/>
      <c r="P1030" s="11"/>
      <c r="Q1030" s="13"/>
      <c r="R1030" s="14"/>
    </row>
    <row r="1031" spans="1:18" ht="15" customHeight="1">
      <c r="A1031" s="15" t="s">
        <v>48</v>
      </c>
      <c r="B1031" s="15" t="s">
        <v>831</v>
      </c>
      <c r="C1031" s="16">
        <v>0.98263888888888884</v>
      </c>
      <c r="D1031" s="15" t="s">
        <v>53</v>
      </c>
      <c r="E1031" s="15" t="s">
        <v>54</v>
      </c>
      <c r="F1031" s="15" t="s">
        <v>874</v>
      </c>
      <c r="G1031" s="298"/>
      <c r="H1031" s="10"/>
      <c r="I1031" s="11"/>
      <c r="J1031" s="11"/>
      <c r="K1031" s="11"/>
      <c r="L1031" s="11"/>
      <c r="M1031" s="11"/>
      <c r="N1031" s="11"/>
      <c r="O1031" s="12"/>
      <c r="P1031" s="11"/>
      <c r="Q1031" s="13"/>
      <c r="R1031" s="14"/>
    </row>
    <row r="1032" spans="1:18" ht="15" customHeight="1">
      <c r="A1032" s="17" t="s">
        <v>48</v>
      </c>
      <c r="B1032" s="17" t="s">
        <v>833</v>
      </c>
      <c r="C1032" s="18">
        <v>0.44444444444444442</v>
      </c>
      <c r="D1032" s="17" t="s">
        <v>50</v>
      </c>
      <c r="E1032" s="17" t="s">
        <v>57</v>
      </c>
      <c r="F1032" s="17" t="s">
        <v>829</v>
      </c>
      <c r="G1032" s="298"/>
      <c r="H1032" s="10"/>
      <c r="I1032" s="11"/>
      <c r="J1032" s="11"/>
      <c r="K1032" s="11"/>
      <c r="L1032" s="11"/>
      <c r="M1032" s="11"/>
      <c r="N1032" s="11"/>
      <c r="O1032" s="12"/>
      <c r="P1032" s="11"/>
      <c r="Q1032" s="13"/>
      <c r="R1032" s="14"/>
    </row>
    <row r="1033" spans="1:18" ht="15" customHeight="1">
      <c r="A1033" s="15" t="s">
        <v>48</v>
      </c>
      <c r="B1033" s="15" t="s">
        <v>833</v>
      </c>
      <c r="C1033" s="16">
        <v>0.44444444444444442</v>
      </c>
      <c r="D1033" s="15" t="s">
        <v>53</v>
      </c>
      <c r="E1033" s="15" t="s">
        <v>54</v>
      </c>
      <c r="F1033" s="15" t="s">
        <v>830</v>
      </c>
      <c r="G1033" s="298"/>
      <c r="H1033" s="10"/>
      <c r="I1033" s="11"/>
      <c r="J1033" s="11"/>
      <c r="K1033" s="11"/>
      <c r="L1033" s="11"/>
      <c r="M1033" s="11"/>
      <c r="N1033" s="11"/>
      <c r="O1033" s="12"/>
      <c r="P1033" s="11"/>
      <c r="Q1033" s="13"/>
      <c r="R1033" s="14"/>
    </row>
    <row r="1034" spans="1:18" ht="15" customHeight="1">
      <c r="A1034" s="17" t="s">
        <v>48</v>
      </c>
      <c r="B1034" s="17" t="s">
        <v>828</v>
      </c>
      <c r="C1034" s="18">
        <v>0.82986111111111116</v>
      </c>
      <c r="D1034" s="17" t="s">
        <v>50</v>
      </c>
      <c r="E1034" s="17" t="s">
        <v>57</v>
      </c>
      <c r="F1034" s="17" t="s">
        <v>829</v>
      </c>
      <c r="G1034" s="298"/>
      <c r="H1034" s="10"/>
      <c r="I1034" s="11"/>
      <c r="J1034" s="11"/>
      <c r="K1034" s="11"/>
      <c r="L1034" s="11"/>
      <c r="M1034" s="11"/>
      <c r="N1034" s="11"/>
      <c r="O1034" s="12"/>
      <c r="P1034" s="11"/>
      <c r="Q1034" s="13"/>
      <c r="R1034" s="14"/>
    </row>
    <row r="1035" spans="1:18" ht="15" customHeight="1">
      <c r="A1035" s="15" t="s">
        <v>48</v>
      </c>
      <c r="B1035" s="15" t="s">
        <v>828</v>
      </c>
      <c r="C1035" s="16">
        <v>0.82986111111111116</v>
      </c>
      <c r="D1035" s="15" t="s">
        <v>53</v>
      </c>
      <c r="E1035" s="15" t="s">
        <v>54</v>
      </c>
      <c r="F1035" s="15" t="s">
        <v>830</v>
      </c>
      <c r="G1035" s="298"/>
      <c r="H1035" s="10"/>
      <c r="I1035" s="11"/>
      <c r="J1035" s="11"/>
      <c r="K1035" s="11"/>
      <c r="L1035" s="11"/>
      <c r="M1035" s="11"/>
      <c r="N1035" s="11"/>
      <c r="O1035" s="12"/>
      <c r="P1035" s="11"/>
      <c r="Q1035" s="13"/>
      <c r="R1035" s="14"/>
    </row>
    <row r="1036" spans="1:18" ht="15" customHeight="1">
      <c r="A1036" s="17" t="s">
        <v>48</v>
      </c>
      <c r="B1036" s="17" t="s">
        <v>832</v>
      </c>
      <c r="C1036" s="18">
        <v>0.62847222222222221</v>
      </c>
      <c r="D1036" s="17" t="s">
        <v>50</v>
      </c>
      <c r="E1036" s="17" t="s">
        <v>57</v>
      </c>
      <c r="F1036" s="17" t="s">
        <v>829</v>
      </c>
      <c r="G1036" s="298"/>
      <c r="H1036" s="10"/>
      <c r="I1036" s="11"/>
      <c r="J1036" s="11"/>
      <c r="K1036" s="11"/>
      <c r="L1036" s="11"/>
      <c r="M1036" s="11"/>
      <c r="N1036" s="11"/>
      <c r="O1036" s="12"/>
      <c r="P1036" s="11"/>
      <c r="Q1036" s="13"/>
      <c r="R1036" s="14"/>
    </row>
    <row r="1037" spans="1:18" ht="15" customHeight="1">
      <c r="A1037" s="15" t="s">
        <v>48</v>
      </c>
      <c r="B1037" s="15" t="s">
        <v>832</v>
      </c>
      <c r="C1037" s="16">
        <v>0.62847222222222221</v>
      </c>
      <c r="D1037" s="15" t="s">
        <v>53</v>
      </c>
      <c r="E1037" s="15" t="s">
        <v>54</v>
      </c>
      <c r="F1037" s="15" t="s">
        <v>830</v>
      </c>
      <c r="G1037" s="298"/>
      <c r="H1037" s="10"/>
      <c r="I1037" s="11"/>
      <c r="J1037" s="11"/>
      <c r="K1037" s="11"/>
      <c r="L1037" s="11"/>
      <c r="M1037" s="11"/>
      <c r="N1037" s="11"/>
      <c r="O1037" s="12"/>
      <c r="P1037" s="11"/>
      <c r="Q1037" s="13"/>
      <c r="R1037" s="14"/>
    </row>
    <row r="1038" spans="1:18" ht="15" customHeight="1">
      <c r="A1038" s="17" t="s">
        <v>48</v>
      </c>
      <c r="B1038" s="17" t="s">
        <v>835</v>
      </c>
      <c r="C1038" s="18">
        <v>0.88888888888888884</v>
      </c>
      <c r="D1038" s="17" t="s">
        <v>53</v>
      </c>
      <c r="E1038" s="17" t="s">
        <v>37</v>
      </c>
      <c r="F1038" s="17" t="s">
        <v>836</v>
      </c>
      <c r="G1038" s="298"/>
      <c r="H1038" s="10"/>
      <c r="I1038" s="11"/>
      <c r="J1038" s="11"/>
      <c r="K1038" s="11"/>
      <c r="L1038" s="11"/>
      <c r="M1038" s="11"/>
      <c r="N1038" s="11"/>
      <c r="O1038" s="12"/>
      <c r="P1038" s="11"/>
      <c r="Q1038" s="13"/>
      <c r="R1038" s="14"/>
    </row>
    <row r="1039" spans="1:18" ht="15" customHeight="1">
      <c r="A1039" s="17" t="s">
        <v>48</v>
      </c>
      <c r="B1039" s="17" t="s">
        <v>837</v>
      </c>
      <c r="C1039" s="18">
        <v>0.62847222222222221</v>
      </c>
      <c r="D1039" s="17" t="s">
        <v>53</v>
      </c>
      <c r="E1039" s="17" t="s">
        <v>37</v>
      </c>
      <c r="F1039" s="17" t="s">
        <v>836</v>
      </c>
      <c r="G1039" s="298"/>
      <c r="H1039" s="10"/>
      <c r="I1039" s="11"/>
      <c r="J1039" s="11"/>
      <c r="K1039" s="11"/>
      <c r="L1039" s="11"/>
      <c r="M1039" s="11"/>
      <c r="N1039" s="11"/>
      <c r="O1039" s="12"/>
      <c r="P1039" s="11"/>
      <c r="Q1039" s="13"/>
      <c r="R1039" s="14"/>
    </row>
    <row r="1040" spans="1:18" ht="15" customHeight="1">
      <c r="A1040" s="17" t="s">
        <v>48</v>
      </c>
      <c r="B1040" s="17" t="s">
        <v>838</v>
      </c>
      <c r="C1040" s="18">
        <v>0.94444444444444453</v>
      </c>
      <c r="D1040" s="17" t="s">
        <v>53</v>
      </c>
      <c r="E1040" s="17" t="s">
        <v>37</v>
      </c>
      <c r="F1040" s="17" t="s">
        <v>836</v>
      </c>
      <c r="G1040" s="298"/>
      <c r="H1040" s="10"/>
      <c r="I1040" s="11"/>
      <c r="J1040" s="11"/>
      <c r="K1040" s="11"/>
      <c r="L1040" s="11"/>
      <c r="M1040" s="11"/>
      <c r="N1040" s="11"/>
      <c r="O1040" s="12"/>
      <c r="P1040" s="11"/>
      <c r="Q1040" s="13"/>
      <c r="R1040" s="14"/>
    </row>
    <row r="1041" spans="1:18" ht="15" customHeight="1">
      <c r="A1041" s="87" t="s">
        <v>61</v>
      </c>
      <c r="B1041" s="87" t="s">
        <v>852</v>
      </c>
      <c r="C1041" s="88">
        <v>0.72569444444444453</v>
      </c>
      <c r="D1041" s="87" t="s">
        <v>63</v>
      </c>
      <c r="E1041" s="87" t="s">
        <v>51</v>
      </c>
      <c r="F1041" s="87" t="s">
        <v>853</v>
      </c>
      <c r="G1041" s="298"/>
      <c r="H1041" s="89" t="s">
        <v>854</v>
      </c>
      <c r="I1041" s="90">
        <v>7.2599999999999998E-2</v>
      </c>
      <c r="J1041" s="91">
        <v>13</v>
      </c>
      <c r="K1041" s="92">
        <v>46344</v>
      </c>
      <c r="L1041" s="91">
        <v>13</v>
      </c>
      <c r="M1041" s="91">
        <v>0</v>
      </c>
      <c r="N1041" s="91">
        <v>0</v>
      </c>
      <c r="O1041" s="93" t="s">
        <v>549</v>
      </c>
      <c r="P1041" s="94">
        <v>0.72569444444444453</v>
      </c>
      <c r="Q1041" s="91">
        <v>179</v>
      </c>
      <c r="R1041" s="95" t="s">
        <v>947</v>
      </c>
    </row>
    <row r="1042" spans="1:18" ht="15" customHeight="1">
      <c r="A1042" s="19" t="s">
        <v>359</v>
      </c>
      <c r="B1042" s="19" t="s">
        <v>814</v>
      </c>
      <c r="C1042" s="20">
        <v>0.3298611111111111</v>
      </c>
      <c r="D1042" s="19" t="s">
        <v>361</v>
      </c>
      <c r="E1042" s="19" t="s">
        <v>80</v>
      </c>
      <c r="F1042" s="19" t="s">
        <v>919</v>
      </c>
      <c r="G1042" s="298"/>
      <c r="H1042" s="10"/>
      <c r="I1042" s="11"/>
      <c r="J1042" s="11"/>
      <c r="K1042" s="11"/>
      <c r="L1042" s="11"/>
      <c r="M1042" s="11"/>
      <c r="N1042" s="11"/>
      <c r="O1042" s="12"/>
      <c r="P1042" s="11"/>
      <c r="Q1042" s="13"/>
      <c r="R1042" s="14"/>
    </row>
    <row r="1043" spans="1:18" ht="15" customHeight="1">
      <c r="A1043" s="15" t="s">
        <v>359</v>
      </c>
      <c r="B1043" s="15" t="s">
        <v>814</v>
      </c>
      <c r="C1043" s="16">
        <v>0.3298611111111111</v>
      </c>
      <c r="D1043" s="15" t="s">
        <v>46</v>
      </c>
      <c r="E1043" s="15" t="s">
        <v>82</v>
      </c>
      <c r="F1043" s="15" t="s">
        <v>607</v>
      </c>
      <c r="G1043" s="298"/>
      <c r="H1043" s="10"/>
      <c r="I1043" s="11"/>
      <c r="J1043" s="11"/>
      <c r="K1043" s="11"/>
      <c r="L1043" s="11"/>
      <c r="M1043" s="11"/>
      <c r="N1043" s="11"/>
      <c r="O1043" s="12"/>
      <c r="P1043" s="11"/>
      <c r="Q1043" s="13"/>
      <c r="R1043" s="14"/>
    </row>
    <row r="1044" spans="1:18" ht="15" customHeight="1">
      <c r="A1044" s="19" t="s">
        <v>402</v>
      </c>
      <c r="B1044" s="19" t="s">
        <v>841</v>
      </c>
      <c r="C1044" s="20">
        <v>0.55208333333333337</v>
      </c>
      <c r="D1044" s="19" t="s">
        <v>63</v>
      </c>
      <c r="E1044" s="19" t="s">
        <v>177</v>
      </c>
      <c r="F1044" s="19" t="s">
        <v>881</v>
      </c>
      <c r="G1044" s="298"/>
      <c r="H1044" s="10"/>
      <c r="I1044" s="11"/>
      <c r="J1044" s="11"/>
      <c r="K1044" s="11"/>
      <c r="L1044" s="11"/>
      <c r="M1044" s="11"/>
      <c r="N1044" s="11"/>
      <c r="O1044" s="12"/>
      <c r="P1044" s="11"/>
      <c r="Q1044" s="13"/>
      <c r="R1044" s="14"/>
    </row>
    <row r="1045" spans="1:18" ht="15" customHeight="1" thickBot="1">
      <c r="A1045" s="30" t="s">
        <v>402</v>
      </c>
      <c r="B1045" s="30" t="s">
        <v>839</v>
      </c>
      <c r="C1045" s="31">
        <v>0.1701388888888889</v>
      </c>
      <c r="D1045" s="30" t="s">
        <v>63</v>
      </c>
      <c r="E1045" s="30" t="s">
        <v>98</v>
      </c>
      <c r="F1045" s="30" t="s">
        <v>948</v>
      </c>
      <c r="G1045" s="299"/>
      <c r="H1045" s="300"/>
      <c r="I1045" s="140"/>
      <c r="J1045" s="140"/>
      <c r="K1045" s="140"/>
      <c r="L1045" s="140"/>
      <c r="M1045" s="140"/>
      <c r="N1045" s="140"/>
      <c r="O1045" s="141"/>
      <c r="P1045" s="140"/>
      <c r="Q1045" s="142"/>
      <c r="R1045" s="301"/>
    </row>
    <row r="1046" spans="1:18" ht="17.45" customHeight="1" thickBot="1">
      <c r="A1046" s="283"/>
      <c r="B1046" s="284"/>
      <c r="C1046" s="284"/>
      <c r="D1046" s="284"/>
      <c r="E1046" s="284"/>
      <c r="F1046" s="284"/>
      <c r="G1046" s="284"/>
      <c r="H1046" s="284"/>
      <c r="I1046" s="284"/>
      <c r="J1046" s="284"/>
      <c r="K1046" s="284"/>
      <c r="L1046" s="284"/>
      <c r="M1046" s="284"/>
      <c r="N1046" s="284"/>
      <c r="O1046" s="284"/>
      <c r="P1046" s="284"/>
      <c r="Q1046" s="284"/>
      <c r="R1046" s="285"/>
    </row>
    <row r="1047" spans="1:18" ht="22.15" customHeight="1" thickTop="1" thickBot="1">
      <c r="A1047" s="279" t="s">
        <v>6</v>
      </c>
      <c r="B1047" s="295"/>
      <c r="C1047" s="295"/>
      <c r="D1047" s="295"/>
      <c r="E1047" s="295"/>
      <c r="F1047" s="296"/>
      <c r="G1047" s="32">
        <v>46042</v>
      </c>
      <c r="H1047" s="278" t="s">
        <v>7</v>
      </c>
      <c r="I1047" s="295"/>
      <c r="J1047" s="295"/>
      <c r="K1047" s="295"/>
      <c r="L1047" s="295"/>
      <c r="M1047" s="295"/>
      <c r="N1047" s="295"/>
      <c r="O1047" s="295"/>
      <c r="P1047" s="295"/>
      <c r="Q1047" s="295"/>
      <c r="R1047" s="296"/>
    </row>
    <row r="1048" spans="1:18" ht="24" customHeight="1">
      <c r="A1048" s="33" t="s">
        <v>8</v>
      </c>
      <c r="B1048" s="33" t="s">
        <v>9</v>
      </c>
      <c r="C1048" s="34" t="s">
        <v>10</v>
      </c>
      <c r="D1048" s="33" t="s">
        <v>11</v>
      </c>
      <c r="E1048" s="33" t="s">
        <v>12</v>
      </c>
      <c r="F1048" s="35" t="s">
        <v>13</v>
      </c>
      <c r="G1048" s="36" t="s">
        <v>14</v>
      </c>
      <c r="H1048" s="33" t="s">
        <v>15</v>
      </c>
      <c r="I1048" s="37" t="s">
        <v>16</v>
      </c>
      <c r="J1048" s="38" t="s">
        <v>17</v>
      </c>
      <c r="K1048" s="39" t="s">
        <v>18</v>
      </c>
      <c r="L1048" s="38" t="s">
        <v>19</v>
      </c>
      <c r="M1048" s="38" t="s">
        <v>20</v>
      </c>
      <c r="N1048" s="38" t="s">
        <v>21</v>
      </c>
      <c r="O1048" s="33" t="s">
        <v>22</v>
      </c>
      <c r="P1048" s="34" t="s">
        <v>23</v>
      </c>
      <c r="Q1048" s="38" t="s">
        <v>24</v>
      </c>
      <c r="R1048" s="33" t="s">
        <v>25</v>
      </c>
    </row>
    <row r="1049" spans="1:18" ht="15" customHeight="1">
      <c r="A1049" s="8" t="s">
        <v>38</v>
      </c>
      <c r="B1049" s="8" t="s">
        <v>809</v>
      </c>
      <c r="C1049" s="9">
        <v>0.57638888888888895</v>
      </c>
      <c r="D1049" s="8" t="s">
        <v>40</v>
      </c>
      <c r="E1049" s="8" t="s">
        <v>181</v>
      </c>
      <c r="F1049" s="8" t="s">
        <v>475</v>
      </c>
      <c r="G1049" s="297"/>
      <c r="H1049" s="10"/>
      <c r="I1049" s="11"/>
      <c r="J1049" s="11"/>
      <c r="K1049" s="11"/>
      <c r="L1049" s="11"/>
      <c r="M1049" s="11"/>
      <c r="N1049" s="11"/>
      <c r="O1049" s="12"/>
      <c r="P1049" s="11"/>
      <c r="Q1049" s="13"/>
      <c r="R1049" s="14"/>
    </row>
    <row r="1050" spans="1:18" ht="15" customHeight="1">
      <c r="A1050" s="15" t="s">
        <v>38</v>
      </c>
      <c r="B1050" s="15" t="s">
        <v>809</v>
      </c>
      <c r="C1050" s="16">
        <v>0.57638888888888895</v>
      </c>
      <c r="D1050" s="15" t="s">
        <v>43</v>
      </c>
      <c r="E1050" s="15" t="s">
        <v>182</v>
      </c>
      <c r="F1050" s="15" t="s">
        <v>121</v>
      </c>
      <c r="G1050" s="298"/>
      <c r="H1050" s="10"/>
      <c r="I1050" s="11"/>
      <c r="J1050" s="11"/>
      <c r="K1050" s="11"/>
      <c r="L1050" s="11"/>
      <c r="M1050" s="11"/>
      <c r="N1050" s="11"/>
      <c r="O1050" s="12"/>
      <c r="P1050" s="11"/>
      <c r="Q1050" s="13"/>
      <c r="R1050" s="14"/>
    </row>
    <row r="1051" spans="1:18" ht="15" customHeight="1">
      <c r="A1051" s="15" t="s">
        <v>38</v>
      </c>
      <c r="B1051" s="15" t="s">
        <v>809</v>
      </c>
      <c r="C1051" s="16">
        <v>0.57638888888888895</v>
      </c>
      <c r="D1051" s="15" t="s">
        <v>46</v>
      </c>
      <c r="E1051" s="15" t="s">
        <v>182</v>
      </c>
      <c r="F1051" s="15" t="s">
        <v>810</v>
      </c>
      <c r="G1051" s="298"/>
      <c r="H1051" s="10"/>
      <c r="I1051" s="11"/>
      <c r="J1051" s="11"/>
      <c r="K1051" s="11"/>
      <c r="L1051" s="11"/>
      <c r="M1051" s="11"/>
      <c r="N1051" s="11"/>
      <c r="O1051" s="12"/>
      <c r="P1051" s="11"/>
      <c r="Q1051" s="13"/>
      <c r="R1051" s="14"/>
    </row>
    <row r="1052" spans="1:18" ht="15" customHeight="1">
      <c r="A1052" s="17" t="s">
        <v>38</v>
      </c>
      <c r="B1052" s="17" t="s">
        <v>811</v>
      </c>
      <c r="C1052" s="18">
        <v>0.62847222222222221</v>
      </c>
      <c r="D1052" s="17" t="s">
        <v>40</v>
      </c>
      <c r="E1052" s="17" t="s">
        <v>442</v>
      </c>
      <c r="F1052" s="17" t="s">
        <v>475</v>
      </c>
      <c r="G1052" s="298"/>
      <c r="H1052" s="10"/>
      <c r="I1052" s="11"/>
      <c r="J1052" s="11"/>
      <c r="K1052" s="11"/>
      <c r="L1052" s="11"/>
      <c r="M1052" s="11"/>
      <c r="N1052" s="11"/>
      <c r="O1052" s="12"/>
      <c r="P1052" s="11"/>
      <c r="Q1052" s="13"/>
      <c r="R1052" s="14"/>
    </row>
    <row r="1053" spans="1:18" ht="15" customHeight="1">
      <c r="A1053" s="15" t="s">
        <v>38</v>
      </c>
      <c r="B1053" s="15" t="s">
        <v>811</v>
      </c>
      <c r="C1053" s="16">
        <v>0.62847222222222221</v>
      </c>
      <c r="D1053" s="15" t="s">
        <v>43</v>
      </c>
      <c r="E1053" s="15" t="s">
        <v>122</v>
      </c>
      <c r="F1053" s="15" t="s">
        <v>121</v>
      </c>
      <c r="G1053" s="298"/>
      <c r="H1053" s="10"/>
      <c r="I1053" s="11"/>
      <c r="J1053" s="11"/>
      <c r="K1053" s="11"/>
      <c r="L1053" s="11"/>
      <c r="M1053" s="11"/>
      <c r="N1053" s="11"/>
      <c r="O1053" s="12"/>
      <c r="P1053" s="11"/>
      <c r="Q1053" s="13"/>
      <c r="R1053" s="14"/>
    </row>
    <row r="1054" spans="1:18" ht="15" customHeight="1">
      <c r="A1054" s="15" t="s">
        <v>38</v>
      </c>
      <c r="B1054" s="15" t="s">
        <v>811</v>
      </c>
      <c r="C1054" s="16">
        <v>0.62847222222222221</v>
      </c>
      <c r="D1054" s="15" t="s">
        <v>46</v>
      </c>
      <c r="E1054" s="15" t="s">
        <v>122</v>
      </c>
      <c r="F1054" s="15" t="s">
        <v>810</v>
      </c>
      <c r="G1054" s="298"/>
      <c r="H1054" s="10"/>
      <c r="I1054" s="11"/>
      <c r="J1054" s="11"/>
      <c r="K1054" s="11"/>
      <c r="L1054" s="11"/>
      <c r="M1054" s="11"/>
      <c r="N1054" s="11"/>
      <c r="O1054" s="12"/>
      <c r="P1054" s="11"/>
      <c r="Q1054" s="13"/>
      <c r="R1054" s="14"/>
    </row>
    <row r="1055" spans="1:18" ht="15" customHeight="1">
      <c r="A1055" s="17" t="s">
        <v>38</v>
      </c>
      <c r="B1055" s="17" t="s">
        <v>812</v>
      </c>
      <c r="C1055" s="18">
        <v>0.88888888888888884</v>
      </c>
      <c r="D1055" s="17" t="s">
        <v>40</v>
      </c>
      <c r="E1055" s="17" t="s">
        <v>125</v>
      </c>
      <c r="F1055" s="17" t="s">
        <v>872</v>
      </c>
      <c r="G1055" s="298"/>
      <c r="H1055" s="10"/>
      <c r="I1055" s="11"/>
      <c r="J1055" s="11"/>
      <c r="K1055" s="11"/>
      <c r="L1055" s="11"/>
      <c r="M1055" s="11"/>
      <c r="N1055" s="11"/>
      <c r="O1055" s="12"/>
      <c r="P1055" s="11"/>
      <c r="Q1055" s="13"/>
      <c r="R1055" s="14"/>
    </row>
    <row r="1056" spans="1:18" ht="15" customHeight="1">
      <c r="A1056" s="15" t="s">
        <v>38</v>
      </c>
      <c r="B1056" s="15" t="s">
        <v>812</v>
      </c>
      <c r="C1056" s="16">
        <v>0.88888888888888884</v>
      </c>
      <c r="D1056" s="15" t="s">
        <v>43</v>
      </c>
      <c r="E1056" s="15" t="s">
        <v>44</v>
      </c>
      <c r="F1056" s="15" t="s">
        <v>349</v>
      </c>
      <c r="G1056" s="298"/>
      <c r="H1056" s="10"/>
      <c r="I1056" s="11"/>
      <c r="J1056" s="11"/>
      <c r="K1056" s="11"/>
      <c r="L1056" s="11"/>
      <c r="M1056" s="11"/>
      <c r="N1056" s="11"/>
      <c r="O1056" s="12"/>
      <c r="P1056" s="11"/>
      <c r="Q1056" s="13"/>
      <c r="R1056" s="14"/>
    </row>
    <row r="1057" spans="1:18" ht="15" customHeight="1">
      <c r="A1057" s="15" t="s">
        <v>38</v>
      </c>
      <c r="B1057" s="15" t="s">
        <v>812</v>
      </c>
      <c r="C1057" s="16">
        <v>0.88888888888888884</v>
      </c>
      <c r="D1057" s="15" t="s">
        <v>46</v>
      </c>
      <c r="E1057" s="15" t="s">
        <v>44</v>
      </c>
      <c r="F1057" s="15" t="s">
        <v>810</v>
      </c>
      <c r="G1057" s="298"/>
      <c r="H1057" s="10"/>
      <c r="I1057" s="11"/>
      <c r="J1057" s="11"/>
      <c r="K1057" s="11"/>
      <c r="L1057" s="11"/>
      <c r="M1057" s="11"/>
      <c r="N1057" s="11"/>
      <c r="O1057" s="12"/>
      <c r="P1057" s="11"/>
      <c r="Q1057" s="13"/>
      <c r="R1057" s="14"/>
    </row>
    <row r="1058" spans="1:18" ht="15" customHeight="1">
      <c r="A1058" s="17" t="s">
        <v>38</v>
      </c>
      <c r="B1058" s="17" t="s">
        <v>813</v>
      </c>
      <c r="C1058" s="18">
        <v>0.94444444444444453</v>
      </c>
      <c r="D1058" s="17" t="s">
        <v>40</v>
      </c>
      <c r="E1058" s="17" t="s">
        <v>442</v>
      </c>
      <c r="F1058" s="17" t="s">
        <v>872</v>
      </c>
      <c r="G1058" s="298"/>
      <c r="H1058" s="10"/>
      <c r="I1058" s="11"/>
      <c r="J1058" s="11"/>
      <c r="K1058" s="11"/>
      <c r="L1058" s="11"/>
      <c r="M1058" s="11"/>
      <c r="N1058" s="11"/>
      <c r="O1058" s="12"/>
      <c r="P1058" s="11"/>
      <c r="Q1058" s="13"/>
      <c r="R1058" s="14"/>
    </row>
    <row r="1059" spans="1:18" ht="15" customHeight="1">
      <c r="A1059" s="15" t="s">
        <v>38</v>
      </c>
      <c r="B1059" s="15" t="s">
        <v>813</v>
      </c>
      <c r="C1059" s="16">
        <v>0.94444444444444453</v>
      </c>
      <c r="D1059" s="15" t="s">
        <v>43</v>
      </c>
      <c r="E1059" s="15" t="s">
        <v>122</v>
      </c>
      <c r="F1059" s="15" t="s">
        <v>349</v>
      </c>
      <c r="G1059" s="298"/>
      <c r="H1059" s="10"/>
      <c r="I1059" s="11"/>
      <c r="J1059" s="11"/>
      <c r="K1059" s="11"/>
      <c r="L1059" s="11"/>
      <c r="M1059" s="11"/>
      <c r="N1059" s="11"/>
      <c r="O1059" s="12"/>
      <c r="P1059" s="11"/>
      <c r="Q1059" s="13"/>
      <c r="R1059" s="14"/>
    </row>
    <row r="1060" spans="1:18" ht="15" customHeight="1">
      <c r="A1060" s="15" t="s">
        <v>38</v>
      </c>
      <c r="B1060" s="15" t="s">
        <v>813</v>
      </c>
      <c r="C1060" s="16">
        <v>0.94444444444444453</v>
      </c>
      <c r="D1060" s="15" t="s">
        <v>46</v>
      </c>
      <c r="E1060" s="15" t="s">
        <v>122</v>
      </c>
      <c r="F1060" s="15" t="s">
        <v>810</v>
      </c>
      <c r="G1060" s="298"/>
      <c r="H1060" s="10"/>
      <c r="I1060" s="11"/>
      <c r="J1060" s="11"/>
      <c r="K1060" s="11"/>
      <c r="L1060" s="11"/>
      <c r="M1060" s="11"/>
      <c r="N1060" s="11"/>
      <c r="O1060" s="12"/>
      <c r="P1060" s="11"/>
      <c r="Q1060" s="13"/>
      <c r="R1060" s="14"/>
    </row>
    <row r="1061" spans="1:18" ht="15" customHeight="1">
      <c r="A1061" s="19" t="s">
        <v>68</v>
      </c>
      <c r="B1061" s="19" t="s">
        <v>842</v>
      </c>
      <c r="C1061" s="20">
        <v>0.98263888888888884</v>
      </c>
      <c r="D1061" s="19" t="s">
        <v>643</v>
      </c>
      <c r="E1061" s="19" t="s">
        <v>177</v>
      </c>
      <c r="F1061" s="19" t="s">
        <v>891</v>
      </c>
      <c r="G1061" s="298"/>
      <c r="H1061" s="10"/>
      <c r="I1061" s="11"/>
      <c r="J1061" s="11"/>
      <c r="K1061" s="11"/>
      <c r="L1061" s="11"/>
      <c r="M1061" s="11"/>
      <c r="N1061" s="11"/>
      <c r="O1061" s="12"/>
      <c r="P1061" s="11"/>
      <c r="Q1061" s="13"/>
      <c r="R1061" s="14"/>
    </row>
    <row r="1062" spans="1:18" ht="15" customHeight="1">
      <c r="A1062" s="17" t="s">
        <v>68</v>
      </c>
      <c r="B1062" s="17" t="s">
        <v>843</v>
      </c>
      <c r="C1062" s="18">
        <v>0.35416666666666669</v>
      </c>
      <c r="D1062" s="17" t="s">
        <v>70</v>
      </c>
      <c r="E1062" s="17" t="s">
        <v>57</v>
      </c>
      <c r="F1062" s="17" t="s">
        <v>404</v>
      </c>
      <c r="G1062" s="298"/>
      <c r="H1062" s="10"/>
      <c r="I1062" s="11"/>
      <c r="J1062" s="11"/>
      <c r="K1062" s="11"/>
      <c r="L1062" s="11"/>
      <c r="M1062" s="11"/>
      <c r="N1062" s="11"/>
      <c r="O1062" s="12"/>
      <c r="P1062" s="11"/>
      <c r="Q1062" s="13"/>
      <c r="R1062" s="14"/>
    </row>
    <row r="1063" spans="1:18" ht="15" customHeight="1">
      <c r="A1063" s="17" t="s">
        <v>68</v>
      </c>
      <c r="B1063" s="17" t="s">
        <v>844</v>
      </c>
      <c r="C1063" s="18">
        <v>0.72916666666666663</v>
      </c>
      <c r="D1063" s="17" t="s">
        <v>70</v>
      </c>
      <c r="E1063" s="17" t="s">
        <v>37</v>
      </c>
      <c r="F1063" s="17" t="s">
        <v>892</v>
      </c>
      <c r="G1063" s="298"/>
      <c r="H1063" s="10"/>
      <c r="I1063" s="11"/>
      <c r="J1063" s="11"/>
      <c r="K1063" s="11"/>
      <c r="L1063" s="11"/>
      <c r="M1063" s="11"/>
      <c r="N1063" s="11"/>
      <c r="O1063" s="12"/>
      <c r="P1063" s="11"/>
      <c r="Q1063" s="13"/>
      <c r="R1063" s="14"/>
    </row>
    <row r="1064" spans="1:18" ht="15" customHeight="1">
      <c r="A1064" s="19" t="s">
        <v>26</v>
      </c>
      <c r="B1064" s="19" t="s">
        <v>820</v>
      </c>
      <c r="C1064" s="20">
        <v>0.4375</v>
      </c>
      <c r="D1064" s="19" t="s">
        <v>28</v>
      </c>
      <c r="E1064" s="19" t="s">
        <v>80</v>
      </c>
      <c r="F1064" s="19" t="s">
        <v>81</v>
      </c>
      <c r="G1064" s="298"/>
      <c r="H1064" s="10"/>
      <c r="I1064" s="11"/>
      <c r="J1064" s="11"/>
      <c r="K1064" s="11"/>
      <c r="L1064" s="11"/>
      <c r="M1064" s="11"/>
      <c r="N1064" s="11"/>
      <c r="O1064" s="12"/>
      <c r="P1064" s="11"/>
      <c r="Q1064" s="13"/>
      <c r="R1064" s="14"/>
    </row>
    <row r="1065" spans="1:18" ht="15" customHeight="1">
      <c r="A1065" s="15" t="s">
        <v>26</v>
      </c>
      <c r="B1065" s="15" t="s">
        <v>820</v>
      </c>
      <c r="C1065" s="16">
        <v>0.4375</v>
      </c>
      <c r="D1065" s="15" t="s">
        <v>31</v>
      </c>
      <c r="E1065" s="15" t="s">
        <v>82</v>
      </c>
      <c r="F1065" s="15" t="s">
        <v>83</v>
      </c>
      <c r="G1065" s="298"/>
      <c r="H1065" s="10"/>
      <c r="I1065" s="11"/>
      <c r="J1065" s="11"/>
      <c r="K1065" s="11"/>
      <c r="L1065" s="11"/>
      <c r="M1065" s="11"/>
      <c r="N1065" s="11"/>
      <c r="O1065" s="12"/>
      <c r="P1065" s="11"/>
      <c r="Q1065" s="13"/>
      <c r="R1065" s="14"/>
    </row>
    <row r="1066" spans="1:18" ht="15" customHeight="1">
      <c r="A1066" s="15" t="s">
        <v>26</v>
      </c>
      <c r="B1066" s="15" t="s">
        <v>820</v>
      </c>
      <c r="C1066" s="16">
        <v>0.4375</v>
      </c>
      <c r="D1066" s="15" t="s">
        <v>34</v>
      </c>
      <c r="E1066" s="15" t="s">
        <v>82</v>
      </c>
      <c r="F1066" s="15" t="s">
        <v>45</v>
      </c>
      <c r="G1066" s="298"/>
      <c r="H1066" s="10"/>
      <c r="I1066" s="11"/>
      <c r="J1066" s="11"/>
      <c r="K1066" s="11"/>
      <c r="L1066" s="11"/>
      <c r="M1066" s="11"/>
      <c r="N1066" s="11"/>
      <c r="O1066" s="12"/>
      <c r="P1066" s="11"/>
      <c r="Q1066" s="13"/>
      <c r="R1066" s="14"/>
    </row>
    <row r="1067" spans="1:18" ht="15" customHeight="1">
      <c r="A1067" s="17" t="s">
        <v>26</v>
      </c>
      <c r="B1067" s="17" t="s">
        <v>826</v>
      </c>
      <c r="C1067" s="18">
        <v>0.95833333333333337</v>
      </c>
      <c r="D1067" s="17" t="s">
        <v>28</v>
      </c>
      <c r="E1067" s="17" t="s">
        <v>90</v>
      </c>
      <c r="F1067" s="17" t="s">
        <v>81</v>
      </c>
      <c r="G1067" s="298"/>
      <c r="H1067" s="10"/>
      <c r="I1067" s="11"/>
      <c r="J1067" s="11"/>
      <c r="K1067" s="11"/>
      <c r="L1067" s="11"/>
      <c r="M1067" s="11"/>
      <c r="N1067" s="11"/>
      <c r="O1067" s="12"/>
      <c r="P1067" s="11"/>
      <c r="Q1067" s="13"/>
      <c r="R1067" s="14"/>
    </row>
    <row r="1068" spans="1:18" ht="15" customHeight="1">
      <c r="A1068" s="15" t="s">
        <v>26</v>
      </c>
      <c r="B1068" s="15" t="s">
        <v>826</v>
      </c>
      <c r="C1068" s="16">
        <v>0.95833333333333337</v>
      </c>
      <c r="D1068" s="15" t="s">
        <v>31</v>
      </c>
      <c r="E1068" s="15" t="s">
        <v>82</v>
      </c>
      <c r="F1068" s="15" t="s">
        <v>83</v>
      </c>
      <c r="G1068" s="298"/>
      <c r="H1068" s="10"/>
      <c r="I1068" s="11"/>
      <c r="J1068" s="11"/>
      <c r="K1068" s="11"/>
      <c r="L1068" s="11"/>
      <c r="M1068" s="11"/>
      <c r="N1068" s="11"/>
      <c r="O1068" s="12"/>
      <c r="P1068" s="11"/>
      <c r="Q1068" s="13"/>
      <c r="R1068" s="14"/>
    </row>
    <row r="1069" spans="1:18" ht="15" customHeight="1">
      <c r="A1069" s="15" t="s">
        <v>26</v>
      </c>
      <c r="B1069" s="15" t="s">
        <v>826</v>
      </c>
      <c r="C1069" s="16">
        <v>0.95833333333333337</v>
      </c>
      <c r="D1069" s="15" t="s">
        <v>34</v>
      </c>
      <c r="E1069" s="15" t="s">
        <v>82</v>
      </c>
      <c r="F1069" s="15" t="s">
        <v>45</v>
      </c>
      <c r="G1069" s="298"/>
      <c r="H1069" s="10"/>
      <c r="I1069" s="11"/>
      <c r="J1069" s="11"/>
      <c r="K1069" s="11"/>
      <c r="L1069" s="11"/>
      <c r="M1069" s="11"/>
      <c r="N1069" s="11"/>
      <c r="O1069" s="12"/>
      <c r="P1069" s="11"/>
      <c r="Q1069" s="13"/>
      <c r="R1069" s="14"/>
    </row>
    <row r="1070" spans="1:18" ht="15" customHeight="1">
      <c r="A1070" s="17" t="s">
        <v>26</v>
      </c>
      <c r="B1070" s="17" t="s">
        <v>821</v>
      </c>
      <c r="C1070" s="18">
        <v>0.63194444444444442</v>
      </c>
      <c r="D1070" s="17" t="s">
        <v>28</v>
      </c>
      <c r="E1070" s="17" t="s">
        <v>90</v>
      </c>
      <c r="F1070" s="17" t="s">
        <v>81</v>
      </c>
      <c r="G1070" s="298"/>
      <c r="H1070" s="10"/>
      <c r="I1070" s="11"/>
      <c r="J1070" s="11"/>
      <c r="K1070" s="11"/>
      <c r="L1070" s="11"/>
      <c r="M1070" s="11"/>
      <c r="N1070" s="11"/>
      <c r="O1070" s="12"/>
      <c r="P1070" s="11"/>
      <c r="Q1070" s="13"/>
      <c r="R1070" s="14"/>
    </row>
    <row r="1071" spans="1:18" ht="15" customHeight="1">
      <c r="A1071" s="15" t="s">
        <v>26</v>
      </c>
      <c r="B1071" s="15" t="s">
        <v>821</v>
      </c>
      <c r="C1071" s="16">
        <v>0.63194444444444442</v>
      </c>
      <c r="D1071" s="15" t="s">
        <v>31</v>
      </c>
      <c r="E1071" s="15" t="s">
        <v>82</v>
      </c>
      <c r="F1071" s="15" t="s">
        <v>83</v>
      </c>
      <c r="G1071" s="298"/>
      <c r="H1071" s="10"/>
      <c r="I1071" s="11"/>
      <c r="J1071" s="11"/>
      <c r="K1071" s="11"/>
      <c r="L1071" s="11"/>
      <c r="M1071" s="11"/>
      <c r="N1071" s="11"/>
      <c r="O1071" s="12"/>
      <c r="P1071" s="11"/>
      <c r="Q1071" s="13"/>
      <c r="R1071" s="14"/>
    </row>
    <row r="1072" spans="1:18" ht="15" customHeight="1">
      <c r="A1072" s="15" t="s">
        <v>26</v>
      </c>
      <c r="B1072" s="15" t="s">
        <v>821</v>
      </c>
      <c r="C1072" s="16">
        <v>0.63194444444444442</v>
      </c>
      <c r="D1072" s="15" t="s">
        <v>34</v>
      </c>
      <c r="E1072" s="15" t="s">
        <v>82</v>
      </c>
      <c r="F1072" s="15" t="s">
        <v>45</v>
      </c>
      <c r="G1072" s="298"/>
      <c r="H1072" s="10"/>
      <c r="I1072" s="11"/>
      <c r="J1072" s="11"/>
      <c r="K1072" s="11"/>
      <c r="L1072" s="11"/>
      <c r="M1072" s="11"/>
      <c r="N1072" s="11"/>
      <c r="O1072" s="12"/>
      <c r="P1072" s="11"/>
      <c r="Q1072" s="13"/>
      <c r="R1072" s="14"/>
    </row>
    <row r="1073" spans="1:18" ht="15" customHeight="1">
      <c r="A1073" s="17" t="s">
        <v>26</v>
      </c>
      <c r="B1073" s="17" t="s">
        <v>822</v>
      </c>
      <c r="C1073" s="18">
        <v>0.55902777777777779</v>
      </c>
      <c r="D1073" s="17" t="s">
        <v>28</v>
      </c>
      <c r="E1073" s="17" t="s">
        <v>90</v>
      </c>
      <c r="F1073" s="17" t="s">
        <v>81</v>
      </c>
      <c r="G1073" s="298"/>
      <c r="H1073" s="10"/>
      <c r="I1073" s="11"/>
      <c r="J1073" s="11"/>
      <c r="K1073" s="11"/>
      <c r="L1073" s="11"/>
      <c r="M1073" s="11"/>
      <c r="N1073" s="11"/>
      <c r="O1073" s="12"/>
      <c r="P1073" s="11"/>
      <c r="Q1073" s="13"/>
      <c r="R1073" s="14"/>
    </row>
    <row r="1074" spans="1:18" ht="15" customHeight="1">
      <c r="A1074" s="15" t="s">
        <v>26</v>
      </c>
      <c r="B1074" s="15" t="s">
        <v>822</v>
      </c>
      <c r="C1074" s="16">
        <v>0.55902777777777779</v>
      </c>
      <c r="D1074" s="15" t="s">
        <v>31</v>
      </c>
      <c r="E1074" s="15" t="s">
        <v>82</v>
      </c>
      <c r="F1074" s="15" t="s">
        <v>83</v>
      </c>
      <c r="G1074" s="298"/>
      <c r="H1074" s="10"/>
      <c r="I1074" s="11"/>
      <c r="J1074" s="11"/>
      <c r="K1074" s="11"/>
      <c r="L1074" s="11"/>
      <c r="M1074" s="11"/>
      <c r="N1074" s="11"/>
      <c r="O1074" s="12"/>
      <c r="P1074" s="11"/>
      <c r="Q1074" s="13"/>
      <c r="R1074" s="14"/>
    </row>
    <row r="1075" spans="1:18" ht="15" customHeight="1">
      <c r="A1075" s="15" t="s">
        <v>26</v>
      </c>
      <c r="B1075" s="15" t="s">
        <v>822</v>
      </c>
      <c r="C1075" s="16">
        <v>0.55902777777777779</v>
      </c>
      <c r="D1075" s="15" t="s">
        <v>34</v>
      </c>
      <c r="E1075" s="15" t="s">
        <v>82</v>
      </c>
      <c r="F1075" s="15" t="s">
        <v>45</v>
      </c>
      <c r="G1075" s="298"/>
      <c r="H1075" s="10"/>
      <c r="I1075" s="11"/>
      <c r="J1075" s="11"/>
      <c r="K1075" s="11"/>
      <c r="L1075" s="11"/>
      <c r="M1075" s="11"/>
      <c r="N1075" s="11"/>
      <c r="O1075" s="12"/>
      <c r="P1075" s="11"/>
      <c r="Q1075" s="13"/>
      <c r="R1075" s="14"/>
    </row>
    <row r="1076" spans="1:18" ht="15" customHeight="1">
      <c r="A1076" s="17" t="s">
        <v>26</v>
      </c>
      <c r="B1076" s="17" t="s">
        <v>824</v>
      </c>
      <c r="C1076" s="18">
        <v>0.50694444444444442</v>
      </c>
      <c r="D1076" s="17" t="s">
        <v>28</v>
      </c>
      <c r="E1076" s="17" t="s">
        <v>90</v>
      </c>
      <c r="F1076" s="17" t="s">
        <v>81</v>
      </c>
      <c r="G1076" s="298"/>
      <c r="H1076" s="10"/>
      <c r="I1076" s="11"/>
      <c r="J1076" s="11"/>
      <c r="K1076" s="11"/>
      <c r="L1076" s="11"/>
      <c r="M1076" s="11"/>
      <c r="N1076" s="11"/>
      <c r="O1076" s="12"/>
      <c r="P1076" s="11"/>
      <c r="Q1076" s="13"/>
      <c r="R1076" s="14"/>
    </row>
    <row r="1077" spans="1:18" ht="15" customHeight="1">
      <c r="A1077" s="15" t="s">
        <v>26</v>
      </c>
      <c r="B1077" s="15" t="s">
        <v>824</v>
      </c>
      <c r="C1077" s="16">
        <v>0.50694444444444442</v>
      </c>
      <c r="D1077" s="15" t="s">
        <v>31</v>
      </c>
      <c r="E1077" s="15" t="s">
        <v>82</v>
      </c>
      <c r="F1077" s="15" t="s">
        <v>83</v>
      </c>
      <c r="G1077" s="298"/>
      <c r="H1077" s="10"/>
      <c r="I1077" s="11"/>
      <c r="J1077" s="11"/>
      <c r="K1077" s="11"/>
      <c r="L1077" s="11"/>
      <c r="M1077" s="11"/>
      <c r="N1077" s="11"/>
      <c r="O1077" s="12"/>
      <c r="P1077" s="11"/>
      <c r="Q1077" s="13"/>
      <c r="R1077" s="14"/>
    </row>
    <row r="1078" spans="1:18" ht="15" customHeight="1">
      <c r="A1078" s="15" t="s">
        <v>26</v>
      </c>
      <c r="B1078" s="15" t="s">
        <v>824</v>
      </c>
      <c r="C1078" s="16">
        <v>0.50694444444444442</v>
      </c>
      <c r="D1078" s="15" t="s">
        <v>34</v>
      </c>
      <c r="E1078" s="15" t="s">
        <v>82</v>
      </c>
      <c r="F1078" s="15" t="s">
        <v>45</v>
      </c>
      <c r="G1078" s="298"/>
      <c r="H1078" s="10"/>
      <c r="I1078" s="11"/>
      <c r="J1078" s="11"/>
      <c r="K1078" s="11"/>
      <c r="L1078" s="11"/>
      <c r="M1078" s="11"/>
      <c r="N1078" s="11"/>
      <c r="O1078" s="12"/>
      <c r="P1078" s="11"/>
      <c r="Q1078" s="13"/>
      <c r="R1078" s="14"/>
    </row>
    <row r="1079" spans="1:18" ht="15" customHeight="1">
      <c r="A1079" s="17" t="s">
        <v>26</v>
      </c>
      <c r="B1079" s="17" t="s">
        <v>825</v>
      </c>
      <c r="C1079" s="18">
        <v>0.69791666666666663</v>
      </c>
      <c r="D1079" s="17" t="s">
        <v>28</v>
      </c>
      <c r="E1079" s="17" t="s">
        <v>90</v>
      </c>
      <c r="F1079" s="17" t="s">
        <v>81</v>
      </c>
      <c r="G1079" s="298"/>
      <c r="H1079" s="10"/>
      <c r="I1079" s="11"/>
      <c r="J1079" s="11"/>
      <c r="K1079" s="11"/>
      <c r="L1079" s="11"/>
      <c r="M1079" s="11"/>
      <c r="N1079" s="11"/>
      <c r="O1079" s="12"/>
      <c r="P1079" s="11"/>
      <c r="Q1079" s="13"/>
      <c r="R1079" s="14"/>
    </row>
    <row r="1080" spans="1:18" ht="15" customHeight="1">
      <c r="A1080" s="15" t="s">
        <v>26</v>
      </c>
      <c r="B1080" s="15" t="s">
        <v>825</v>
      </c>
      <c r="C1080" s="16">
        <v>0.69791666666666663</v>
      </c>
      <c r="D1080" s="15" t="s">
        <v>31</v>
      </c>
      <c r="E1080" s="15" t="s">
        <v>82</v>
      </c>
      <c r="F1080" s="15" t="s">
        <v>83</v>
      </c>
      <c r="G1080" s="298"/>
      <c r="H1080" s="10"/>
      <c r="I1080" s="11"/>
      <c r="J1080" s="11"/>
      <c r="K1080" s="11"/>
      <c r="L1080" s="11"/>
      <c r="M1080" s="11"/>
      <c r="N1080" s="11"/>
      <c r="O1080" s="12"/>
      <c r="P1080" s="11"/>
      <c r="Q1080" s="13"/>
      <c r="R1080" s="14"/>
    </row>
    <row r="1081" spans="1:18" ht="15" customHeight="1">
      <c r="A1081" s="15" t="s">
        <v>26</v>
      </c>
      <c r="B1081" s="15" t="s">
        <v>825</v>
      </c>
      <c r="C1081" s="16">
        <v>0.69791666666666663</v>
      </c>
      <c r="D1081" s="15" t="s">
        <v>34</v>
      </c>
      <c r="E1081" s="15" t="s">
        <v>82</v>
      </c>
      <c r="F1081" s="15" t="s">
        <v>45</v>
      </c>
      <c r="G1081" s="298"/>
      <c r="H1081" s="10"/>
      <c r="I1081" s="11"/>
      <c r="J1081" s="11"/>
      <c r="K1081" s="11"/>
      <c r="L1081" s="11"/>
      <c r="M1081" s="11"/>
      <c r="N1081" s="11"/>
      <c r="O1081" s="12"/>
      <c r="P1081" s="11"/>
      <c r="Q1081" s="13"/>
      <c r="R1081" s="14"/>
    </row>
    <row r="1082" spans="1:18" ht="15" customHeight="1">
      <c r="A1082" s="17" t="s">
        <v>26</v>
      </c>
      <c r="B1082" s="17" t="s">
        <v>823</v>
      </c>
      <c r="C1082" s="18">
        <v>0.81944444444444453</v>
      </c>
      <c r="D1082" s="17" t="s">
        <v>28</v>
      </c>
      <c r="E1082" s="17" t="s">
        <v>90</v>
      </c>
      <c r="F1082" s="17" t="s">
        <v>827</v>
      </c>
      <c r="G1082" s="298"/>
      <c r="H1082" s="10"/>
      <c r="I1082" s="11"/>
      <c r="J1082" s="11"/>
      <c r="K1082" s="11"/>
      <c r="L1082" s="11"/>
      <c r="M1082" s="11"/>
      <c r="N1082" s="11"/>
      <c r="O1082" s="12"/>
      <c r="P1082" s="11"/>
      <c r="Q1082" s="13"/>
      <c r="R1082" s="14"/>
    </row>
    <row r="1083" spans="1:18" ht="15" customHeight="1">
      <c r="A1083" s="15" t="s">
        <v>26</v>
      </c>
      <c r="B1083" s="15" t="s">
        <v>823</v>
      </c>
      <c r="C1083" s="16">
        <v>0.81944444444444453</v>
      </c>
      <c r="D1083" s="15" t="s">
        <v>31</v>
      </c>
      <c r="E1083" s="15" t="s">
        <v>82</v>
      </c>
      <c r="F1083" s="15" t="s">
        <v>161</v>
      </c>
      <c r="G1083" s="298"/>
      <c r="H1083" s="10"/>
      <c r="I1083" s="11"/>
      <c r="J1083" s="11"/>
      <c r="K1083" s="11"/>
      <c r="L1083" s="11"/>
      <c r="M1083" s="11"/>
      <c r="N1083" s="11"/>
      <c r="O1083" s="12"/>
      <c r="P1083" s="11"/>
      <c r="Q1083" s="13"/>
      <c r="R1083" s="14"/>
    </row>
    <row r="1084" spans="1:18" ht="15" customHeight="1">
      <c r="A1084" s="15" t="s">
        <v>26</v>
      </c>
      <c r="B1084" s="15" t="s">
        <v>823</v>
      </c>
      <c r="C1084" s="16">
        <v>0.81944444444444453</v>
      </c>
      <c r="D1084" s="15" t="s">
        <v>34</v>
      </c>
      <c r="E1084" s="15" t="s">
        <v>82</v>
      </c>
      <c r="F1084" s="15" t="s">
        <v>123</v>
      </c>
      <c r="G1084" s="298"/>
      <c r="H1084" s="10"/>
      <c r="I1084" s="11"/>
      <c r="J1084" s="11"/>
      <c r="K1084" s="11"/>
      <c r="L1084" s="11"/>
      <c r="M1084" s="11"/>
      <c r="N1084" s="11"/>
      <c r="O1084" s="12"/>
      <c r="P1084" s="11"/>
      <c r="Q1084" s="13"/>
      <c r="R1084" s="14"/>
    </row>
    <row r="1085" spans="1:18" ht="15" customHeight="1">
      <c r="A1085" s="19" t="s">
        <v>48</v>
      </c>
      <c r="B1085" s="19" t="s">
        <v>833</v>
      </c>
      <c r="C1085" s="20">
        <v>0.44444444444444442</v>
      </c>
      <c r="D1085" s="19" t="s">
        <v>50</v>
      </c>
      <c r="E1085" s="19" t="s">
        <v>51</v>
      </c>
      <c r="F1085" s="19" t="s">
        <v>873</v>
      </c>
      <c r="G1085" s="298"/>
      <c r="H1085" s="10"/>
      <c r="I1085" s="11"/>
      <c r="J1085" s="11"/>
      <c r="K1085" s="11"/>
      <c r="L1085" s="11"/>
      <c r="M1085" s="11"/>
      <c r="N1085" s="11"/>
      <c r="O1085" s="12"/>
      <c r="P1085" s="11"/>
      <c r="Q1085" s="13"/>
      <c r="R1085" s="14"/>
    </row>
    <row r="1086" spans="1:18" ht="15" customHeight="1">
      <c r="A1086" s="15" t="s">
        <v>48</v>
      </c>
      <c r="B1086" s="15" t="s">
        <v>833</v>
      </c>
      <c r="C1086" s="16">
        <v>0.44444444444444442</v>
      </c>
      <c r="D1086" s="15" t="s">
        <v>53</v>
      </c>
      <c r="E1086" s="15" t="s">
        <v>54</v>
      </c>
      <c r="F1086" s="15" t="s">
        <v>874</v>
      </c>
      <c r="G1086" s="298"/>
      <c r="H1086" s="10"/>
      <c r="I1086" s="11"/>
      <c r="J1086" s="11"/>
      <c r="K1086" s="11"/>
      <c r="L1086" s="11"/>
      <c r="M1086" s="11"/>
      <c r="N1086" s="11"/>
      <c r="O1086" s="12"/>
      <c r="P1086" s="11"/>
      <c r="Q1086" s="13"/>
      <c r="R1086" s="14"/>
    </row>
    <row r="1087" spans="1:18" ht="15" customHeight="1">
      <c r="A1087" s="17" t="s">
        <v>48</v>
      </c>
      <c r="B1087" s="17" t="s">
        <v>828</v>
      </c>
      <c r="C1087" s="18">
        <v>0.82986111111111116</v>
      </c>
      <c r="D1087" s="17" t="s">
        <v>50</v>
      </c>
      <c r="E1087" s="17" t="s">
        <v>57</v>
      </c>
      <c r="F1087" s="17" t="s">
        <v>873</v>
      </c>
      <c r="G1087" s="298"/>
      <c r="H1087" s="10"/>
      <c r="I1087" s="11"/>
      <c r="J1087" s="11"/>
      <c r="K1087" s="11"/>
      <c r="L1087" s="11"/>
      <c r="M1087" s="11"/>
      <c r="N1087" s="11"/>
      <c r="O1087" s="12"/>
      <c r="P1087" s="11"/>
      <c r="Q1087" s="13"/>
      <c r="R1087" s="14"/>
    </row>
    <row r="1088" spans="1:18" ht="15" customHeight="1">
      <c r="A1088" s="15" t="s">
        <v>48</v>
      </c>
      <c r="B1088" s="15" t="s">
        <v>828</v>
      </c>
      <c r="C1088" s="16">
        <v>0.82986111111111116</v>
      </c>
      <c r="D1088" s="15" t="s">
        <v>53</v>
      </c>
      <c r="E1088" s="15" t="s">
        <v>54</v>
      </c>
      <c r="F1088" s="15" t="s">
        <v>874</v>
      </c>
      <c r="G1088" s="298"/>
      <c r="H1088" s="10"/>
      <c r="I1088" s="11"/>
      <c r="J1088" s="11"/>
      <c r="K1088" s="11"/>
      <c r="L1088" s="11"/>
      <c r="M1088" s="11"/>
      <c r="N1088" s="11"/>
      <c r="O1088" s="12"/>
      <c r="P1088" s="11"/>
      <c r="Q1088" s="13"/>
      <c r="R1088" s="14"/>
    </row>
    <row r="1089" spans="1:18" ht="15" customHeight="1">
      <c r="A1089" s="17" t="s">
        <v>48</v>
      </c>
      <c r="B1089" s="17" t="s">
        <v>831</v>
      </c>
      <c r="C1089" s="18">
        <v>0.98263888888888884</v>
      </c>
      <c r="D1089" s="17" t="s">
        <v>50</v>
      </c>
      <c r="E1089" s="17" t="s">
        <v>57</v>
      </c>
      <c r="F1089" s="17" t="s">
        <v>873</v>
      </c>
      <c r="G1089" s="298"/>
      <c r="H1089" s="10"/>
      <c r="I1089" s="11"/>
      <c r="J1089" s="11"/>
      <c r="K1089" s="11"/>
      <c r="L1089" s="11"/>
      <c r="M1089" s="11"/>
      <c r="N1089" s="11"/>
      <c r="O1089" s="12"/>
      <c r="P1089" s="11"/>
      <c r="Q1089" s="13"/>
      <c r="R1089" s="14"/>
    </row>
    <row r="1090" spans="1:18" ht="15" customHeight="1">
      <c r="A1090" s="15" t="s">
        <v>48</v>
      </c>
      <c r="B1090" s="15" t="s">
        <v>831</v>
      </c>
      <c r="C1090" s="16">
        <v>0.98263888888888884</v>
      </c>
      <c r="D1090" s="15" t="s">
        <v>53</v>
      </c>
      <c r="E1090" s="15" t="s">
        <v>54</v>
      </c>
      <c r="F1090" s="15" t="s">
        <v>874</v>
      </c>
      <c r="G1090" s="298"/>
      <c r="H1090" s="10"/>
      <c r="I1090" s="11"/>
      <c r="J1090" s="11"/>
      <c r="K1090" s="11"/>
      <c r="L1090" s="11"/>
      <c r="M1090" s="11"/>
      <c r="N1090" s="11"/>
      <c r="O1090" s="12"/>
      <c r="P1090" s="11"/>
      <c r="Q1090" s="13"/>
      <c r="R1090" s="14"/>
    </row>
    <row r="1091" spans="1:18" ht="15" customHeight="1">
      <c r="A1091" s="17" t="s">
        <v>48</v>
      </c>
      <c r="B1091" s="17" t="s">
        <v>875</v>
      </c>
      <c r="C1091" s="18">
        <v>0.69791666666666663</v>
      </c>
      <c r="D1091" s="17" t="s">
        <v>50</v>
      </c>
      <c r="E1091" s="17" t="s">
        <v>57</v>
      </c>
      <c r="F1091" s="17" t="s">
        <v>873</v>
      </c>
      <c r="G1091" s="298"/>
      <c r="H1091" s="10"/>
      <c r="I1091" s="11"/>
      <c r="J1091" s="11"/>
      <c r="K1091" s="11"/>
      <c r="L1091" s="11"/>
      <c r="M1091" s="11"/>
      <c r="N1091" s="11"/>
      <c r="O1091" s="12"/>
      <c r="P1091" s="11"/>
      <c r="Q1091" s="13"/>
      <c r="R1091" s="14"/>
    </row>
    <row r="1092" spans="1:18" ht="15" customHeight="1">
      <c r="A1092" s="15" t="s">
        <v>48</v>
      </c>
      <c r="B1092" s="15" t="s">
        <v>875</v>
      </c>
      <c r="C1092" s="16">
        <v>0.69791666666666663</v>
      </c>
      <c r="D1092" s="15" t="s">
        <v>53</v>
      </c>
      <c r="E1092" s="15" t="s">
        <v>54</v>
      </c>
      <c r="F1092" s="15" t="s">
        <v>874</v>
      </c>
      <c r="G1092" s="298"/>
      <c r="H1092" s="10"/>
      <c r="I1092" s="11"/>
      <c r="J1092" s="11"/>
      <c r="K1092" s="11"/>
      <c r="L1092" s="11"/>
      <c r="M1092" s="11"/>
      <c r="N1092" s="11"/>
      <c r="O1092" s="12"/>
      <c r="P1092" s="11"/>
      <c r="Q1092" s="13"/>
      <c r="R1092" s="14"/>
    </row>
    <row r="1093" spans="1:18" ht="15" customHeight="1">
      <c r="A1093" s="17" t="s">
        <v>48</v>
      </c>
      <c r="B1093" s="17" t="s">
        <v>832</v>
      </c>
      <c r="C1093" s="18">
        <v>0.62847222222222221</v>
      </c>
      <c r="D1093" s="17" t="s">
        <v>50</v>
      </c>
      <c r="E1093" s="17" t="s">
        <v>427</v>
      </c>
      <c r="F1093" s="17" t="s">
        <v>873</v>
      </c>
      <c r="G1093" s="298"/>
      <c r="H1093" s="10"/>
      <c r="I1093" s="11"/>
      <c r="J1093" s="11"/>
      <c r="K1093" s="11"/>
      <c r="L1093" s="11"/>
      <c r="M1093" s="11"/>
      <c r="N1093" s="11"/>
      <c r="O1093" s="12"/>
      <c r="P1093" s="11"/>
      <c r="Q1093" s="13"/>
      <c r="R1093" s="14"/>
    </row>
    <row r="1094" spans="1:18" ht="15" customHeight="1">
      <c r="A1094" s="15" t="s">
        <v>48</v>
      </c>
      <c r="B1094" s="15" t="s">
        <v>832</v>
      </c>
      <c r="C1094" s="16">
        <v>0.62847222222222221</v>
      </c>
      <c r="D1094" s="15" t="s">
        <v>53</v>
      </c>
      <c r="E1094" s="15" t="s">
        <v>115</v>
      </c>
      <c r="F1094" s="15" t="s">
        <v>874</v>
      </c>
      <c r="G1094" s="298"/>
      <c r="H1094" s="10"/>
      <c r="I1094" s="11"/>
      <c r="J1094" s="11"/>
      <c r="K1094" s="11"/>
      <c r="L1094" s="11"/>
      <c r="M1094" s="11"/>
      <c r="N1094" s="11"/>
      <c r="O1094" s="12"/>
      <c r="P1094" s="11"/>
      <c r="Q1094" s="13"/>
      <c r="R1094" s="14"/>
    </row>
    <row r="1095" spans="1:18" ht="15" customHeight="1">
      <c r="A1095" s="17" t="s">
        <v>48</v>
      </c>
      <c r="B1095" s="17" t="s">
        <v>835</v>
      </c>
      <c r="C1095" s="18">
        <v>0.88888888888888884</v>
      </c>
      <c r="D1095" s="17" t="s">
        <v>53</v>
      </c>
      <c r="E1095" s="17" t="s">
        <v>37</v>
      </c>
      <c r="F1095" s="17" t="s">
        <v>836</v>
      </c>
      <c r="G1095" s="298"/>
      <c r="H1095" s="10"/>
      <c r="I1095" s="11"/>
      <c r="J1095" s="11"/>
      <c r="K1095" s="11"/>
      <c r="L1095" s="11"/>
      <c r="M1095" s="11"/>
      <c r="N1095" s="11"/>
      <c r="O1095" s="12"/>
      <c r="P1095" s="11"/>
      <c r="Q1095" s="13"/>
      <c r="R1095" s="14"/>
    </row>
    <row r="1096" spans="1:18" ht="15" customHeight="1">
      <c r="A1096" s="17" t="s">
        <v>48</v>
      </c>
      <c r="B1096" s="17" t="s">
        <v>837</v>
      </c>
      <c r="C1096" s="18">
        <v>0.62847222222222221</v>
      </c>
      <c r="D1096" s="17" t="s">
        <v>53</v>
      </c>
      <c r="E1096" s="17" t="s">
        <v>37</v>
      </c>
      <c r="F1096" s="17" t="s">
        <v>836</v>
      </c>
      <c r="G1096" s="298"/>
      <c r="H1096" s="10"/>
      <c r="I1096" s="11"/>
      <c r="J1096" s="11"/>
      <c r="K1096" s="11"/>
      <c r="L1096" s="11"/>
      <c r="M1096" s="11"/>
      <c r="N1096" s="11"/>
      <c r="O1096" s="12"/>
      <c r="P1096" s="11"/>
      <c r="Q1096" s="13"/>
      <c r="R1096" s="14"/>
    </row>
    <row r="1097" spans="1:18" ht="15" customHeight="1">
      <c r="A1097" s="17" t="s">
        <v>48</v>
      </c>
      <c r="B1097" s="17" t="s">
        <v>838</v>
      </c>
      <c r="C1097" s="18">
        <v>0.94444444444444453</v>
      </c>
      <c r="D1097" s="17" t="s">
        <v>53</v>
      </c>
      <c r="E1097" s="17" t="s">
        <v>37</v>
      </c>
      <c r="F1097" s="17" t="s">
        <v>836</v>
      </c>
      <c r="G1097" s="298"/>
      <c r="H1097" s="10"/>
      <c r="I1097" s="11"/>
      <c r="J1097" s="11"/>
      <c r="K1097" s="11"/>
      <c r="L1097" s="11"/>
      <c r="M1097" s="11"/>
      <c r="N1097" s="11"/>
      <c r="O1097" s="12"/>
      <c r="P1097" s="11"/>
      <c r="Q1097" s="13"/>
      <c r="R1097" s="14"/>
    </row>
    <row r="1098" spans="1:18" ht="15" customHeight="1">
      <c r="A1098" s="98" t="s">
        <v>61</v>
      </c>
      <c r="B1098" s="98" t="s">
        <v>852</v>
      </c>
      <c r="C1098" s="99">
        <v>0.71527777777777779</v>
      </c>
      <c r="D1098" s="98" t="s">
        <v>63</v>
      </c>
      <c r="E1098" s="98" t="s">
        <v>51</v>
      </c>
      <c r="F1098" s="98" t="s">
        <v>849</v>
      </c>
      <c r="G1098" s="298"/>
      <c r="H1098" s="100" t="s">
        <v>854</v>
      </c>
      <c r="I1098" s="101">
        <v>3.3500000000000002E-2</v>
      </c>
      <c r="J1098" s="102">
        <v>6</v>
      </c>
      <c r="K1098" s="103">
        <v>46345</v>
      </c>
      <c r="L1098" s="102">
        <v>6</v>
      </c>
      <c r="M1098" s="102">
        <v>0</v>
      </c>
      <c r="N1098" s="102">
        <v>0</v>
      </c>
      <c r="O1098" s="104" t="s">
        <v>877</v>
      </c>
      <c r="P1098" s="105">
        <v>0.71527777777777779</v>
      </c>
      <c r="Q1098" s="102">
        <v>179</v>
      </c>
      <c r="R1098" s="106" t="s">
        <v>905</v>
      </c>
    </row>
    <row r="1099" spans="1:18" ht="15" customHeight="1">
      <c r="A1099" s="19" t="s">
        <v>359</v>
      </c>
      <c r="B1099" s="19" t="s">
        <v>814</v>
      </c>
      <c r="C1099" s="20">
        <v>0.4375</v>
      </c>
      <c r="D1099" s="19" t="s">
        <v>361</v>
      </c>
      <c r="E1099" s="19" t="s">
        <v>80</v>
      </c>
      <c r="F1099" s="19" t="s">
        <v>949</v>
      </c>
      <c r="G1099" s="298"/>
      <c r="H1099" s="10"/>
      <c r="I1099" s="11"/>
      <c r="J1099" s="11"/>
      <c r="K1099" s="11"/>
      <c r="L1099" s="11"/>
      <c r="M1099" s="11"/>
      <c r="N1099" s="11"/>
      <c r="O1099" s="12"/>
      <c r="P1099" s="11"/>
      <c r="Q1099" s="13"/>
      <c r="R1099" s="14"/>
    </row>
    <row r="1100" spans="1:18" ht="15" customHeight="1">
      <c r="A1100" s="15" t="s">
        <v>359</v>
      </c>
      <c r="B1100" s="15" t="s">
        <v>814</v>
      </c>
      <c r="C1100" s="16">
        <v>0.4375</v>
      </c>
      <c r="D1100" s="15" t="s">
        <v>46</v>
      </c>
      <c r="E1100" s="15" t="s">
        <v>82</v>
      </c>
      <c r="F1100" s="15" t="s">
        <v>950</v>
      </c>
      <c r="G1100" s="298"/>
      <c r="H1100" s="10"/>
      <c r="I1100" s="11"/>
      <c r="J1100" s="11"/>
      <c r="K1100" s="11"/>
      <c r="L1100" s="11"/>
      <c r="M1100" s="11"/>
      <c r="N1100" s="11"/>
      <c r="O1100" s="12"/>
      <c r="P1100" s="11"/>
      <c r="Q1100" s="13"/>
      <c r="R1100" s="14"/>
    </row>
    <row r="1101" spans="1:18" ht="15" customHeight="1">
      <c r="A1101" s="17" t="s">
        <v>359</v>
      </c>
      <c r="B1101" s="17" t="s">
        <v>887</v>
      </c>
      <c r="C1101" s="18">
        <v>5.2083333333333343E-2</v>
      </c>
      <c r="D1101" s="17" t="s">
        <v>361</v>
      </c>
      <c r="E1101" s="17" t="s">
        <v>90</v>
      </c>
      <c r="F1101" s="17" t="s">
        <v>949</v>
      </c>
      <c r="G1101" s="298"/>
      <c r="H1101" s="10"/>
      <c r="I1101" s="11"/>
      <c r="J1101" s="11"/>
      <c r="K1101" s="11"/>
      <c r="L1101" s="11"/>
      <c r="M1101" s="11"/>
      <c r="N1101" s="11"/>
      <c r="O1101" s="12"/>
      <c r="P1101" s="11"/>
      <c r="Q1101" s="13"/>
      <c r="R1101" s="14"/>
    </row>
    <row r="1102" spans="1:18" ht="15" customHeight="1">
      <c r="A1102" s="15" t="s">
        <v>359</v>
      </c>
      <c r="B1102" s="15" t="s">
        <v>887</v>
      </c>
      <c r="C1102" s="16">
        <v>5.2083333333333343E-2</v>
      </c>
      <c r="D1102" s="15" t="s">
        <v>46</v>
      </c>
      <c r="E1102" s="15" t="s">
        <v>82</v>
      </c>
      <c r="F1102" s="15" t="s">
        <v>950</v>
      </c>
      <c r="G1102" s="298"/>
      <c r="H1102" s="10"/>
      <c r="I1102" s="11"/>
      <c r="J1102" s="11"/>
      <c r="K1102" s="11"/>
      <c r="L1102" s="11"/>
      <c r="M1102" s="11"/>
      <c r="N1102" s="11"/>
      <c r="O1102" s="12"/>
      <c r="P1102" s="11"/>
      <c r="Q1102" s="13"/>
      <c r="R1102" s="14"/>
    </row>
    <row r="1103" spans="1:18" ht="15" customHeight="1" thickBot="1">
      <c r="A1103" s="96" t="s">
        <v>402</v>
      </c>
      <c r="B1103" s="96" t="s">
        <v>839</v>
      </c>
      <c r="C1103" s="97">
        <v>0.1701388888888889</v>
      </c>
      <c r="D1103" s="96" t="s">
        <v>63</v>
      </c>
      <c r="E1103" s="96" t="s">
        <v>107</v>
      </c>
      <c r="F1103" s="96" t="s">
        <v>881</v>
      </c>
      <c r="G1103" s="299"/>
      <c r="H1103" s="300"/>
      <c r="I1103" s="140"/>
      <c r="J1103" s="140"/>
      <c r="K1103" s="140"/>
      <c r="L1103" s="140"/>
      <c r="M1103" s="140"/>
      <c r="N1103" s="140"/>
      <c r="O1103" s="141"/>
      <c r="P1103" s="140"/>
      <c r="Q1103" s="142"/>
      <c r="R1103" s="301"/>
    </row>
    <row r="1104" spans="1:18" ht="17.45" customHeight="1" thickBot="1">
      <c r="A1104" s="283"/>
      <c r="B1104" s="284"/>
      <c r="C1104" s="284"/>
      <c r="D1104" s="284"/>
      <c r="E1104" s="284"/>
      <c r="F1104" s="284"/>
      <c r="G1104" s="284"/>
      <c r="H1104" s="284"/>
      <c r="I1104" s="284"/>
      <c r="J1104" s="284"/>
      <c r="K1104" s="284"/>
      <c r="L1104" s="284"/>
      <c r="M1104" s="284"/>
      <c r="N1104" s="284"/>
      <c r="O1104" s="284"/>
      <c r="P1104" s="284"/>
      <c r="Q1104" s="284"/>
      <c r="R1104" s="285"/>
    </row>
    <row r="1105" spans="1:18" ht="22.15" customHeight="1" thickTop="1" thickBot="1">
      <c r="A1105" s="279" t="s">
        <v>6</v>
      </c>
      <c r="B1105" s="295"/>
      <c r="C1105" s="295"/>
      <c r="D1105" s="295"/>
      <c r="E1105" s="295"/>
      <c r="F1105" s="296"/>
      <c r="G1105" s="32">
        <v>46043</v>
      </c>
      <c r="H1105" s="278" t="s">
        <v>7</v>
      </c>
      <c r="I1105" s="295"/>
      <c r="J1105" s="295"/>
      <c r="K1105" s="295"/>
      <c r="L1105" s="295"/>
      <c r="M1105" s="295"/>
      <c r="N1105" s="295"/>
      <c r="O1105" s="295"/>
      <c r="P1105" s="295"/>
      <c r="Q1105" s="295"/>
      <c r="R1105" s="296"/>
    </row>
    <row r="1106" spans="1:18" ht="24" customHeight="1">
      <c r="A1106" s="33" t="s">
        <v>8</v>
      </c>
      <c r="B1106" s="33" t="s">
        <v>9</v>
      </c>
      <c r="C1106" s="34" t="s">
        <v>10</v>
      </c>
      <c r="D1106" s="33" t="s">
        <v>11</v>
      </c>
      <c r="E1106" s="33" t="s">
        <v>12</v>
      </c>
      <c r="F1106" s="35" t="s">
        <v>13</v>
      </c>
      <c r="G1106" s="36" t="s">
        <v>14</v>
      </c>
      <c r="H1106" s="33" t="s">
        <v>15</v>
      </c>
      <c r="I1106" s="37" t="s">
        <v>16</v>
      </c>
      <c r="J1106" s="38" t="s">
        <v>17</v>
      </c>
      <c r="K1106" s="39" t="s">
        <v>18</v>
      </c>
      <c r="L1106" s="38" t="s">
        <v>19</v>
      </c>
      <c r="M1106" s="38" t="s">
        <v>20</v>
      </c>
      <c r="N1106" s="38" t="s">
        <v>21</v>
      </c>
      <c r="O1106" s="33" t="s">
        <v>22</v>
      </c>
      <c r="P1106" s="34" t="s">
        <v>23</v>
      </c>
      <c r="Q1106" s="38" t="s">
        <v>24</v>
      </c>
      <c r="R1106" s="33" t="s">
        <v>25</v>
      </c>
    </row>
    <row r="1107" spans="1:18" ht="15" customHeight="1">
      <c r="A1107" s="8" t="s">
        <v>38</v>
      </c>
      <c r="B1107" s="8" t="s">
        <v>809</v>
      </c>
      <c r="C1107" s="9">
        <v>0.57638888888888895</v>
      </c>
      <c r="D1107" s="8" t="s">
        <v>40</v>
      </c>
      <c r="E1107" s="8" t="s">
        <v>154</v>
      </c>
      <c r="F1107" s="8" t="s">
        <v>475</v>
      </c>
      <c r="G1107" s="297"/>
      <c r="H1107" s="10"/>
      <c r="I1107" s="11"/>
      <c r="J1107" s="11"/>
      <c r="K1107" s="11"/>
      <c r="L1107" s="11"/>
      <c r="M1107" s="11"/>
      <c r="N1107" s="11"/>
      <c r="O1107" s="12"/>
      <c r="P1107" s="11"/>
      <c r="Q1107" s="13"/>
      <c r="R1107" s="14"/>
    </row>
    <row r="1108" spans="1:18" ht="15" customHeight="1">
      <c r="A1108" s="15" t="s">
        <v>38</v>
      </c>
      <c r="B1108" s="15" t="s">
        <v>809</v>
      </c>
      <c r="C1108" s="16">
        <v>0.57638888888888895</v>
      </c>
      <c r="D1108" s="15" t="s">
        <v>43</v>
      </c>
      <c r="E1108" s="15" t="s">
        <v>155</v>
      </c>
      <c r="F1108" s="15" t="s">
        <v>121</v>
      </c>
      <c r="G1108" s="298"/>
      <c r="H1108" s="10"/>
      <c r="I1108" s="11"/>
      <c r="J1108" s="11"/>
      <c r="K1108" s="11"/>
      <c r="L1108" s="11"/>
      <c r="M1108" s="11"/>
      <c r="N1108" s="11"/>
      <c r="O1108" s="12"/>
      <c r="P1108" s="11"/>
      <c r="Q1108" s="13"/>
      <c r="R1108" s="14"/>
    </row>
    <row r="1109" spans="1:18" ht="15" customHeight="1">
      <c r="A1109" s="15" t="s">
        <v>38</v>
      </c>
      <c r="B1109" s="15" t="s">
        <v>809</v>
      </c>
      <c r="C1109" s="16">
        <v>0.57638888888888895</v>
      </c>
      <c r="D1109" s="15" t="s">
        <v>46</v>
      </c>
      <c r="E1109" s="15" t="s">
        <v>155</v>
      </c>
      <c r="F1109" s="15" t="s">
        <v>810</v>
      </c>
      <c r="G1109" s="298"/>
      <c r="H1109" s="10"/>
      <c r="I1109" s="11"/>
      <c r="J1109" s="11"/>
      <c r="K1109" s="11"/>
      <c r="L1109" s="11"/>
      <c r="M1109" s="11"/>
      <c r="N1109" s="11"/>
      <c r="O1109" s="12"/>
      <c r="P1109" s="11"/>
      <c r="Q1109" s="13"/>
      <c r="R1109" s="14"/>
    </row>
    <row r="1110" spans="1:18" ht="15" customHeight="1">
      <c r="A1110" s="17" t="s">
        <v>38</v>
      </c>
      <c r="B1110" s="17" t="s">
        <v>811</v>
      </c>
      <c r="C1110" s="18">
        <v>0.62847222222222221</v>
      </c>
      <c r="D1110" s="17" t="s">
        <v>40</v>
      </c>
      <c r="E1110" s="17" t="s">
        <v>194</v>
      </c>
      <c r="F1110" s="17" t="s">
        <v>475</v>
      </c>
      <c r="G1110" s="298"/>
      <c r="H1110" s="10"/>
      <c r="I1110" s="11"/>
      <c r="J1110" s="11"/>
      <c r="K1110" s="11"/>
      <c r="L1110" s="11"/>
      <c r="M1110" s="11"/>
      <c r="N1110" s="11"/>
      <c r="O1110" s="12"/>
      <c r="P1110" s="11"/>
      <c r="Q1110" s="13"/>
      <c r="R1110" s="14"/>
    </row>
    <row r="1111" spans="1:18" ht="15" customHeight="1">
      <c r="A1111" s="15" t="s">
        <v>38</v>
      </c>
      <c r="B1111" s="15" t="s">
        <v>811</v>
      </c>
      <c r="C1111" s="16">
        <v>0.62847222222222221</v>
      </c>
      <c r="D1111" s="15" t="s">
        <v>43</v>
      </c>
      <c r="E1111" s="15" t="s">
        <v>195</v>
      </c>
      <c r="F1111" s="15" t="s">
        <v>121</v>
      </c>
      <c r="G1111" s="298"/>
      <c r="H1111" s="10"/>
      <c r="I1111" s="11"/>
      <c r="J1111" s="11"/>
      <c r="K1111" s="11"/>
      <c r="L1111" s="11"/>
      <c r="M1111" s="11"/>
      <c r="N1111" s="11"/>
      <c r="O1111" s="12"/>
      <c r="P1111" s="11"/>
      <c r="Q1111" s="13"/>
      <c r="R1111" s="14"/>
    </row>
    <row r="1112" spans="1:18" ht="15" customHeight="1">
      <c r="A1112" s="15" t="s">
        <v>38</v>
      </c>
      <c r="B1112" s="15" t="s">
        <v>811</v>
      </c>
      <c r="C1112" s="16">
        <v>0.62847222222222221</v>
      </c>
      <c r="D1112" s="15" t="s">
        <v>46</v>
      </c>
      <c r="E1112" s="15" t="s">
        <v>195</v>
      </c>
      <c r="F1112" s="15" t="s">
        <v>810</v>
      </c>
      <c r="G1112" s="298"/>
      <c r="H1112" s="10"/>
      <c r="I1112" s="11"/>
      <c r="J1112" s="11"/>
      <c r="K1112" s="11"/>
      <c r="L1112" s="11"/>
      <c r="M1112" s="11"/>
      <c r="N1112" s="11"/>
      <c r="O1112" s="12"/>
      <c r="P1112" s="11"/>
      <c r="Q1112" s="13"/>
      <c r="R1112" s="14"/>
    </row>
    <row r="1113" spans="1:18" ht="15" customHeight="1">
      <c r="A1113" s="17" t="s">
        <v>38</v>
      </c>
      <c r="B1113" s="17" t="s">
        <v>812</v>
      </c>
      <c r="C1113" s="18">
        <v>0.88888888888888884</v>
      </c>
      <c r="D1113" s="17" t="s">
        <v>40</v>
      </c>
      <c r="E1113" s="17" t="s">
        <v>442</v>
      </c>
      <c r="F1113" s="17" t="s">
        <v>872</v>
      </c>
      <c r="G1113" s="298"/>
      <c r="H1113" s="10"/>
      <c r="I1113" s="11"/>
      <c r="J1113" s="11"/>
      <c r="K1113" s="11"/>
      <c r="L1113" s="11"/>
      <c r="M1113" s="11"/>
      <c r="N1113" s="11"/>
      <c r="O1113" s="12"/>
      <c r="P1113" s="11"/>
      <c r="Q1113" s="13"/>
      <c r="R1113" s="14"/>
    </row>
    <row r="1114" spans="1:18" ht="15" customHeight="1">
      <c r="A1114" s="15" t="s">
        <v>38</v>
      </c>
      <c r="B1114" s="15" t="s">
        <v>812</v>
      </c>
      <c r="C1114" s="16">
        <v>0.88888888888888884</v>
      </c>
      <c r="D1114" s="15" t="s">
        <v>43</v>
      </c>
      <c r="E1114" s="15" t="s">
        <v>122</v>
      </c>
      <c r="F1114" s="15" t="s">
        <v>349</v>
      </c>
      <c r="G1114" s="298"/>
      <c r="H1114" s="10"/>
      <c r="I1114" s="11"/>
      <c r="J1114" s="11"/>
      <c r="K1114" s="11"/>
      <c r="L1114" s="11"/>
      <c r="M1114" s="11"/>
      <c r="N1114" s="11"/>
      <c r="O1114" s="12"/>
      <c r="P1114" s="11"/>
      <c r="Q1114" s="13"/>
      <c r="R1114" s="14"/>
    </row>
    <row r="1115" spans="1:18" ht="15" customHeight="1">
      <c r="A1115" s="15" t="s">
        <v>38</v>
      </c>
      <c r="B1115" s="15" t="s">
        <v>812</v>
      </c>
      <c r="C1115" s="16">
        <v>0.88888888888888884</v>
      </c>
      <c r="D1115" s="15" t="s">
        <v>46</v>
      </c>
      <c r="E1115" s="15" t="s">
        <v>122</v>
      </c>
      <c r="F1115" s="15" t="s">
        <v>810</v>
      </c>
      <c r="G1115" s="298"/>
      <c r="H1115" s="10"/>
      <c r="I1115" s="11"/>
      <c r="J1115" s="11"/>
      <c r="K1115" s="11"/>
      <c r="L1115" s="11"/>
      <c r="M1115" s="11"/>
      <c r="N1115" s="11"/>
      <c r="O1115" s="12"/>
      <c r="P1115" s="11"/>
      <c r="Q1115" s="13"/>
      <c r="R1115" s="14"/>
    </row>
    <row r="1116" spans="1:18" ht="15" customHeight="1">
      <c r="A1116" s="17" t="s">
        <v>38</v>
      </c>
      <c r="B1116" s="17" t="s">
        <v>813</v>
      </c>
      <c r="C1116" s="18">
        <v>0.94444444444444453</v>
      </c>
      <c r="D1116" s="17" t="s">
        <v>40</v>
      </c>
      <c r="E1116" s="17" t="s">
        <v>125</v>
      </c>
      <c r="F1116" s="17" t="s">
        <v>872</v>
      </c>
      <c r="G1116" s="298"/>
      <c r="H1116" s="10"/>
      <c r="I1116" s="11"/>
      <c r="J1116" s="11"/>
      <c r="K1116" s="11"/>
      <c r="L1116" s="11"/>
      <c r="M1116" s="11"/>
      <c r="N1116" s="11"/>
      <c r="O1116" s="12"/>
      <c r="P1116" s="11"/>
      <c r="Q1116" s="13"/>
      <c r="R1116" s="14"/>
    </row>
    <row r="1117" spans="1:18" ht="15" customHeight="1">
      <c r="A1117" s="15" t="s">
        <v>38</v>
      </c>
      <c r="B1117" s="15" t="s">
        <v>813</v>
      </c>
      <c r="C1117" s="16">
        <v>0.94444444444444453</v>
      </c>
      <c r="D1117" s="15" t="s">
        <v>43</v>
      </c>
      <c r="E1117" s="15" t="s">
        <v>44</v>
      </c>
      <c r="F1117" s="15" t="s">
        <v>349</v>
      </c>
      <c r="G1117" s="298"/>
      <c r="H1117" s="10"/>
      <c r="I1117" s="11"/>
      <c r="J1117" s="11"/>
      <c r="K1117" s="11"/>
      <c r="L1117" s="11"/>
      <c r="M1117" s="11"/>
      <c r="N1117" s="11"/>
      <c r="O1117" s="12"/>
      <c r="P1117" s="11"/>
      <c r="Q1117" s="13"/>
      <c r="R1117" s="14"/>
    </row>
    <row r="1118" spans="1:18" ht="15" customHeight="1">
      <c r="A1118" s="15" t="s">
        <v>38</v>
      </c>
      <c r="B1118" s="15" t="s">
        <v>813</v>
      </c>
      <c r="C1118" s="16">
        <v>0.94444444444444453</v>
      </c>
      <c r="D1118" s="15" t="s">
        <v>46</v>
      </c>
      <c r="E1118" s="15" t="s">
        <v>44</v>
      </c>
      <c r="F1118" s="15" t="s">
        <v>810</v>
      </c>
      <c r="G1118" s="298"/>
      <c r="H1118" s="10"/>
      <c r="I1118" s="11"/>
      <c r="J1118" s="11"/>
      <c r="K1118" s="11"/>
      <c r="L1118" s="11"/>
      <c r="M1118" s="11"/>
      <c r="N1118" s="11"/>
      <c r="O1118" s="12"/>
      <c r="P1118" s="11"/>
      <c r="Q1118" s="13"/>
      <c r="R1118" s="14"/>
    </row>
    <row r="1119" spans="1:18" ht="15" customHeight="1">
      <c r="A1119" s="19" t="s">
        <v>68</v>
      </c>
      <c r="B1119" s="19" t="s">
        <v>842</v>
      </c>
      <c r="C1119" s="20">
        <v>0.98263888888888884</v>
      </c>
      <c r="D1119" s="19" t="s">
        <v>643</v>
      </c>
      <c r="E1119" s="19" t="s">
        <v>51</v>
      </c>
      <c r="F1119" s="19" t="s">
        <v>891</v>
      </c>
      <c r="G1119" s="298"/>
      <c r="H1119" s="10"/>
      <c r="I1119" s="11"/>
      <c r="J1119" s="11"/>
      <c r="K1119" s="11"/>
      <c r="L1119" s="11"/>
      <c r="M1119" s="11"/>
      <c r="N1119" s="11"/>
      <c r="O1119" s="12"/>
      <c r="P1119" s="11"/>
      <c r="Q1119" s="13"/>
      <c r="R1119" s="14"/>
    </row>
    <row r="1120" spans="1:18" ht="15" customHeight="1">
      <c r="A1120" s="17" t="s">
        <v>68</v>
      </c>
      <c r="B1120" s="17" t="s">
        <v>843</v>
      </c>
      <c r="C1120" s="18">
        <v>0.35416666666666669</v>
      </c>
      <c r="D1120" s="17" t="s">
        <v>643</v>
      </c>
      <c r="E1120" s="17" t="s">
        <v>57</v>
      </c>
      <c r="F1120" s="17" t="s">
        <v>891</v>
      </c>
      <c r="G1120" s="298"/>
      <c r="H1120" s="10"/>
      <c r="I1120" s="11"/>
      <c r="J1120" s="11"/>
      <c r="K1120" s="11"/>
      <c r="L1120" s="11"/>
      <c r="M1120" s="11"/>
      <c r="N1120" s="11"/>
      <c r="O1120" s="12"/>
      <c r="P1120" s="11"/>
      <c r="Q1120" s="13"/>
      <c r="R1120" s="14"/>
    </row>
    <row r="1121" spans="1:18" ht="15" customHeight="1">
      <c r="A1121" s="17" t="s">
        <v>68</v>
      </c>
      <c r="B1121" s="17" t="s">
        <v>844</v>
      </c>
      <c r="C1121" s="18">
        <v>0.72916666666666663</v>
      </c>
      <c r="D1121" s="17" t="s">
        <v>70</v>
      </c>
      <c r="E1121" s="17" t="s">
        <v>57</v>
      </c>
      <c r="F1121" s="17" t="s">
        <v>892</v>
      </c>
      <c r="G1121" s="298"/>
      <c r="H1121" s="10"/>
      <c r="I1121" s="11"/>
      <c r="J1121" s="11"/>
      <c r="K1121" s="11"/>
      <c r="L1121" s="11"/>
      <c r="M1121" s="11"/>
      <c r="N1121" s="11"/>
      <c r="O1121" s="12"/>
      <c r="P1121" s="11"/>
      <c r="Q1121" s="13"/>
      <c r="R1121" s="14"/>
    </row>
    <row r="1122" spans="1:18" ht="15" customHeight="1">
      <c r="A1122" s="19" t="s">
        <v>26</v>
      </c>
      <c r="B1122" s="19" t="s">
        <v>820</v>
      </c>
      <c r="C1122" s="20">
        <v>0.4375</v>
      </c>
      <c r="D1122" s="19" t="s">
        <v>28</v>
      </c>
      <c r="E1122" s="19" t="s">
        <v>80</v>
      </c>
      <c r="F1122" s="19" t="s">
        <v>81</v>
      </c>
      <c r="G1122" s="298"/>
      <c r="H1122" s="10"/>
      <c r="I1122" s="11"/>
      <c r="J1122" s="11"/>
      <c r="K1122" s="11"/>
      <c r="L1122" s="11"/>
      <c r="M1122" s="11"/>
      <c r="N1122" s="11"/>
      <c r="O1122" s="12"/>
      <c r="P1122" s="11"/>
      <c r="Q1122" s="13"/>
      <c r="R1122" s="14"/>
    </row>
    <row r="1123" spans="1:18" ht="15" customHeight="1">
      <c r="A1123" s="15" t="s">
        <v>26</v>
      </c>
      <c r="B1123" s="15" t="s">
        <v>820</v>
      </c>
      <c r="C1123" s="16">
        <v>0.4375</v>
      </c>
      <c r="D1123" s="15" t="s">
        <v>31</v>
      </c>
      <c r="E1123" s="15" t="s">
        <v>82</v>
      </c>
      <c r="F1123" s="15" t="s">
        <v>83</v>
      </c>
      <c r="G1123" s="298"/>
      <c r="H1123" s="10"/>
      <c r="I1123" s="11"/>
      <c r="J1123" s="11"/>
      <c r="K1123" s="11"/>
      <c r="L1123" s="11"/>
      <c r="M1123" s="11"/>
      <c r="N1123" s="11"/>
      <c r="O1123" s="12"/>
      <c r="P1123" s="11"/>
      <c r="Q1123" s="13"/>
      <c r="R1123" s="14"/>
    </row>
    <row r="1124" spans="1:18" ht="15" customHeight="1">
      <c r="A1124" s="15" t="s">
        <v>26</v>
      </c>
      <c r="B1124" s="15" t="s">
        <v>820</v>
      </c>
      <c r="C1124" s="16">
        <v>0.4375</v>
      </c>
      <c r="D1124" s="15" t="s">
        <v>34</v>
      </c>
      <c r="E1124" s="15" t="s">
        <v>82</v>
      </c>
      <c r="F1124" s="15" t="s">
        <v>45</v>
      </c>
      <c r="G1124" s="298"/>
      <c r="H1124" s="10"/>
      <c r="I1124" s="11"/>
      <c r="J1124" s="11"/>
      <c r="K1124" s="11"/>
      <c r="L1124" s="11"/>
      <c r="M1124" s="11"/>
      <c r="N1124" s="11"/>
      <c r="O1124" s="12"/>
      <c r="P1124" s="11"/>
      <c r="Q1124" s="13"/>
      <c r="R1124" s="14"/>
    </row>
    <row r="1125" spans="1:18" ht="15" customHeight="1">
      <c r="A1125" s="17" t="s">
        <v>26</v>
      </c>
      <c r="B1125" s="17" t="s">
        <v>826</v>
      </c>
      <c r="C1125" s="18">
        <v>0.95833333333333337</v>
      </c>
      <c r="D1125" s="17" t="s">
        <v>28</v>
      </c>
      <c r="E1125" s="17" t="s">
        <v>90</v>
      </c>
      <c r="F1125" s="17" t="s">
        <v>81</v>
      </c>
      <c r="G1125" s="298"/>
      <c r="H1125" s="10"/>
      <c r="I1125" s="11"/>
      <c r="J1125" s="11"/>
      <c r="K1125" s="11"/>
      <c r="L1125" s="11"/>
      <c r="M1125" s="11"/>
      <c r="N1125" s="11"/>
      <c r="O1125" s="12"/>
      <c r="P1125" s="11"/>
      <c r="Q1125" s="13"/>
      <c r="R1125" s="14"/>
    </row>
    <row r="1126" spans="1:18" ht="15" customHeight="1">
      <c r="A1126" s="15" t="s">
        <v>26</v>
      </c>
      <c r="B1126" s="15" t="s">
        <v>826</v>
      </c>
      <c r="C1126" s="16">
        <v>0.95833333333333337</v>
      </c>
      <c r="D1126" s="15" t="s">
        <v>31</v>
      </c>
      <c r="E1126" s="15" t="s">
        <v>82</v>
      </c>
      <c r="F1126" s="15" t="s">
        <v>83</v>
      </c>
      <c r="G1126" s="298"/>
      <c r="H1126" s="10"/>
      <c r="I1126" s="11"/>
      <c r="J1126" s="11"/>
      <c r="K1126" s="11"/>
      <c r="L1126" s="11"/>
      <c r="M1126" s="11"/>
      <c r="N1126" s="11"/>
      <c r="O1126" s="12"/>
      <c r="P1126" s="11"/>
      <c r="Q1126" s="13"/>
      <c r="R1126" s="14"/>
    </row>
    <row r="1127" spans="1:18" ht="15" customHeight="1">
      <c r="A1127" s="15" t="s">
        <v>26</v>
      </c>
      <c r="B1127" s="15" t="s">
        <v>826</v>
      </c>
      <c r="C1127" s="16">
        <v>0.95833333333333337</v>
      </c>
      <c r="D1127" s="15" t="s">
        <v>34</v>
      </c>
      <c r="E1127" s="15" t="s">
        <v>82</v>
      </c>
      <c r="F1127" s="15" t="s">
        <v>45</v>
      </c>
      <c r="G1127" s="298"/>
      <c r="H1127" s="10"/>
      <c r="I1127" s="11"/>
      <c r="J1127" s="11"/>
      <c r="K1127" s="11"/>
      <c r="L1127" s="11"/>
      <c r="M1127" s="11"/>
      <c r="N1127" s="11"/>
      <c r="O1127" s="12"/>
      <c r="P1127" s="11"/>
      <c r="Q1127" s="13"/>
      <c r="R1127" s="14"/>
    </row>
    <row r="1128" spans="1:18" ht="15" customHeight="1">
      <c r="A1128" s="17" t="s">
        <v>26</v>
      </c>
      <c r="B1128" s="17" t="s">
        <v>821</v>
      </c>
      <c r="C1128" s="18">
        <v>0.63194444444444442</v>
      </c>
      <c r="D1128" s="17" t="s">
        <v>28</v>
      </c>
      <c r="E1128" s="17" t="s">
        <v>90</v>
      </c>
      <c r="F1128" s="17" t="s">
        <v>81</v>
      </c>
      <c r="G1128" s="298"/>
      <c r="H1128" s="10"/>
      <c r="I1128" s="11"/>
      <c r="J1128" s="11"/>
      <c r="K1128" s="11"/>
      <c r="L1128" s="11"/>
      <c r="M1128" s="11"/>
      <c r="N1128" s="11"/>
      <c r="O1128" s="12"/>
      <c r="P1128" s="11"/>
      <c r="Q1128" s="13"/>
      <c r="R1128" s="14"/>
    </row>
    <row r="1129" spans="1:18" ht="15" customHeight="1">
      <c r="A1129" s="15" t="s">
        <v>26</v>
      </c>
      <c r="B1129" s="15" t="s">
        <v>821</v>
      </c>
      <c r="C1129" s="16">
        <v>0.63194444444444442</v>
      </c>
      <c r="D1129" s="15" t="s">
        <v>31</v>
      </c>
      <c r="E1129" s="15" t="s">
        <v>82</v>
      </c>
      <c r="F1129" s="15" t="s">
        <v>83</v>
      </c>
      <c r="G1129" s="298"/>
      <c r="H1129" s="10"/>
      <c r="I1129" s="11"/>
      <c r="J1129" s="11"/>
      <c r="K1129" s="11"/>
      <c r="L1129" s="11"/>
      <c r="M1129" s="11"/>
      <c r="N1129" s="11"/>
      <c r="O1129" s="12"/>
      <c r="P1129" s="11"/>
      <c r="Q1129" s="13"/>
      <c r="R1129" s="14"/>
    </row>
    <row r="1130" spans="1:18" ht="15" customHeight="1">
      <c r="A1130" s="15" t="s">
        <v>26</v>
      </c>
      <c r="B1130" s="15" t="s">
        <v>821</v>
      </c>
      <c r="C1130" s="16">
        <v>0.63194444444444442</v>
      </c>
      <c r="D1130" s="15" t="s">
        <v>34</v>
      </c>
      <c r="E1130" s="15" t="s">
        <v>82</v>
      </c>
      <c r="F1130" s="15" t="s">
        <v>45</v>
      </c>
      <c r="G1130" s="298"/>
      <c r="H1130" s="10"/>
      <c r="I1130" s="11"/>
      <c r="J1130" s="11"/>
      <c r="K1130" s="11"/>
      <c r="L1130" s="11"/>
      <c r="M1130" s="11"/>
      <c r="N1130" s="11"/>
      <c r="O1130" s="12"/>
      <c r="P1130" s="11"/>
      <c r="Q1130" s="13"/>
      <c r="R1130" s="14"/>
    </row>
    <row r="1131" spans="1:18" ht="15" customHeight="1">
      <c r="A1131" s="17" t="s">
        <v>26</v>
      </c>
      <c r="B1131" s="17" t="s">
        <v>822</v>
      </c>
      <c r="C1131" s="18">
        <v>0.55902777777777779</v>
      </c>
      <c r="D1131" s="17" t="s">
        <v>28</v>
      </c>
      <c r="E1131" s="17" t="s">
        <v>90</v>
      </c>
      <c r="F1131" s="17" t="s">
        <v>81</v>
      </c>
      <c r="G1131" s="298"/>
      <c r="H1131" s="10"/>
      <c r="I1131" s="11"/>
      <c r="J1131" s="11"/>
      <c r="K1131" s="11"/>
      <c r="L1131" s="11"/>
      <c r="M1131" s="11"/>
      <c r="N1131" s="11"/>
      <c r="O1131" s="12"/>
      <c r="P1131" s="11"/>
      <c r="Q1131" s="13"/>
      <c r="R1131" s="14"/>
    </row>
    <row r="1132" spans="1:18" ht="15" customHeight="1">
      <c r="A1132" s="15" t="s">
        <v>26</v>
      </c>
      <c r="B1132" s="15" t="s">
        <v>822</v>
      </c>
      <c r="C1132" s="16">
        <v>0.55902777777777779</v>
      </c>
      <c r="D1132" s="15" t="s">
        <v>31</v>
      </c>
      <c r="E1132" s="15" t="s">
        <v>82</v>
      </c>
      <c r="F1132" s="15" t="s">
        <v>83</v>
      </c>
      <c r="G1132" s="298"/>
      <c r="H1132" s="10"/>
      <c r="I1132" s="11"/>
      <c r="J1132" s="11"/>
      <c r="K1132" s="11"/>
      <c r="L1132" s="11"/>
      <c r="M1132" s="11"/>
      <c r="N1132" s="11"/>
      <c r="O1132" s="12"/>
      <c r="P1132" s="11"/>
      <c r="Q1132" s="13"/>
      <c r="R1132" s="14"/>
    </row>
    <row r="1133" spans="1:18" ht="15" customHeight="1">
      <c r="A1133" s="15" t="s">
        <v>26</v>
      </c>
      <c r="B1133" s="15" t="s">
        <v>822</v>
      </c>
      <c r="C1133" s="16">
        <v>0.55902777777777779</v>
      </c>
      <c r="D1133" s="15" t="s">
        <v>34</v>
      </c>
      <c r="E1133" s="15" t="s">
        <v>82</v>
      </c>
      <c r="F1133" s="15" t="s">
        <v>45</v>
      </c>
      <c r="G1133" s="298"/>
      <c r="H1133" s="10"/>
      <c r="I1133" s="11"/>
      <c r="J1133" s="11"/>
      <c r="K1133" s="11"/>
      <c r="L1133" s="11"/>
      <c r="M1133" s="11"/>
      <c r="N1133" s="11"/>
      <c r="O1133" s="12"/>
      <c r="P1133" s="11"/>
      <c r="Q1133" s="13"/>
      <c r="R1133" s="14"/>
    </row>
    <row r="1134" spans="1:18" ht="15" customHeight="1">
      <c r="A1134" s="17" t="s">
        <v>26</v>
      </c>
      <c r="B1134" s="17" t="s">
        <v>823</v>
      </c>
      <c r="C1134" s="18">
        <v>0.81944444444444453</v>
      </c>
      <c r="D1134" s="17" t="s">
        <v>28</v>
      </c>
      <c r="E1134" s="17" t="s">
        <v>90</v>
      </c>
      <c r="F1134" s="17" t="s">
        <v>81</v>
      </c>
      <c r="G1134" s="298"/>
      <c r="H1134" s="10"/>
      <c r="I1134" s="11"/>
      <c r="J1134" s="11"/>
      <c r="K1134" s="11"/>
      <c r="L1134" s="11"/>
      <c r="M1134" s="11"/>
      <c r="N1134" s="11"/>
      <c r="O1134" s="12"/>
      <c r="P1134" s="11"/>
      <c r="Q1134" s="13"/>
      <c r="R1134" s="14"/>
    </row>
    <row r="1135" spans="1:18" ht="15" customHeight="1">
      <c r="A1135" s="15" t="s">
        <v>26</v>
      </c>
      <c r="B1135" s="15" t="s">
        <v>823</v>
      </c>
      <c r="C1135" s="16">
        <v>0.81944444444444453</v>
      </c>
      <c r="D1135" s="15" t="s">
        <v>31</v>
      </c>
      <c r="E1135" s="15" t="s">
        <v>82</v>
      </c>
      <c r="F1135" s="15" t="s">
        <v>83</v>
      </c>
      <c r="G1135" s="298"/>
      <c r="H1135" s="10"/>
      <c r="I1135" s="11"/>
      <c r="J1135" s="11"/>
      <c r="K1135" s="11"/>
      <c r="L1135" s="11"/>
      <c r="M1135" s="11"/>
      <c r="N1135" s="11"/>
      <c r="O1135" s="12"/>
      <c r="P1135" s="11"/>
      <c r="Q1135" s="13"/>
      <c r="R1135" s="14"/>
    </row>
    <row r="1136" spans="1:18" ht="15" customHeight="1">
      <c r="A1136" s="15" t="s">
        <v>26</v>
      </c>
      <c r="B1136" s="15" t="s">
        <v>823</v>
      </c>
      <c r="C1136" s="16">
        <v>0.81944444444444453</v>
      </c>
      <c r="D1136" s="15" t="s">
        <v>34</v>
      </c>
      <c r="E1136" s="15" t="s">
        <v>82</v>
      </c>
      <c r="F1136" s="15" t="s">
        <v>45</v>
      </c>
      <c r="G1136" s="298"/>
      <c r="H1136" s="10"/>
      <c r="I1136" s="11"/>
      <c r="J1136" s="11"/>
      <c r="K1136" s="11"/>
      <c r="L1136" s="11"/>
      <c r="M1136" s="11"/>
      <c r="N1136" s="11"/>
      <c r="O1136" s="12"/>
      <c r="P1136" s="11"/>
      <c r="Q1136" s="13"/>
      <c r="R1136" s="14"/>
    </row>
    <row r="1137" spans="1:18" ht="15" customHeight="1">
      <c r="A1137" s="17" t="s">
        <v>26</v>
      </c>
      <c r="B1137" s="17" t="s">
        <v>824</v>
      </c>
      <c r="C1137" s="18">
        <v>0.50694444444444442</v>
      </c>
      <c r="D1137" s="17" t="s">
        <v>28</v>
      </c>
      <c r="E1137" s="17" t="s">
        <v>90</v>
      </c>
      <c r="F1137" s="17" t="s">
        <v>81</v>
      </c>
      <c r="G1137" s="298"/>
      <c r="H1137" s="10"/>
      <c r="I1137" s="11"/>
      <c r="J1137" s="11"/>
      <c r="K1137" s="11"/>
      <c r="L1137" s="11"/>
      <c r="M1137" s="11"/>
      <c r="N1137" s="11"/>
      <c r="O1137" s="12"/>
      <c r="P1137" s="11"/>
      <c r="Q1137" s="13"/>
      <c r="R1137" s="14"/>
    </row>
    <row r="1138" spans="1:18" ht="15" customHeight="1">
      <c r="A1138" s="15" t="s">
        <v>26</v>
      </c>
      <c r="B1138" s="15" t="s">
        <v>824</v>
      </c>
      <c r="C1138" s="16">
        <v>0.50694444444444442</v>
      </c>
      <c r="D1138" s="15" t="s">
        <v>31</v>
      </c>
      <c r="E1138" s="15" t="s">
        <v>82</v>
      </c>
      <c r="F1138" s="15" t="s">
        <v>83</v>
      </c>
      <c r="G1138" s="298"/>
      <c r="H1138" s="10"/>
      <c r="I1138" s="11"/>
      <c r="J1138" s="11"/>
      <c r="K1138" s="11"/>
      <c r="L1138" s="11"/>
      <c r="M1138" s="11"/>
      <c r="N1138" s="11"/>
      <c r="O1138" s="12"/>
      <c r="P1138" s="11"/>
      <c r="Q1138" s="13"/>
      <c r="R1138" s="14"/>
    </row>
    <row r="1139" spans="1:18" ht="15" customHeight="1">
      <c r="A1139" s="15" t="s">
        <v>26</v>
      </c>
      <c r="B1139" s="15" t="s">
        <v>824</v>
      </c>
      <c r="C1139" s="16">
        <v>0.50694444444444442</v>
      </c>
      <c r="D1139" s="15" t="s">
        <v>34</v>
      </c>
      <c r="E1139" s="15" t="s">
        <v>82</v>
      </c>
      <c r="F1139" s="15" t="s">
        <v>45</v>
      </c>
      <c r="G1139" s="298"/>
      <c r="H1139" s="10"/>
      <c r="I1139" s="11"/>
      <c r="J1139" s="11"/>
      <c r="K1139" s="11"/>
      <c r="L1139" s="11"/>
      <c r="M1139" s="11"/>
      <c r="N1139" s="11"/>
      <c r="O1139" s="12"/>
      <c r="P1139" s="11"/>
      <c r="Q1139" s="13"/>
      <c r="R1139" s="14"/>
    </row>
    <row r="1140" spans="1:18" ht="15" customHeight="1">
      <c r="A1140" s="17" t="s">
        <v>26</v>
      </c>
      <c r="B1140" s="17" t="s">
        <v>825</v>
      </c>
      <c r="C1140" s="18">
        <v>0.69791666666666663</v>
      </c>
      <c r="D1140" s="17" t="s">
        <v>28</v>
      </c>
      <c r="E1140" s="17" t="s">
        <v>90</v>
      </c>
      <c r="F1140" s="17" t="s">
        <v>81</v>
      </c>
      <c r="G1140" s="298"/>
      <c r="H1140" s="10"/>
      <c r="I1140" s="11"/>
      <c r="J1140" s="11"/>
      <c r="K1140" s="11"/>
      <c r="L1140" s="11"/>
      <c r="M1140" s="11"/>
      <c r="N1140" s="11"/>
      <c r="O1140" s="12"/>
      <c r="P1140" s="11"/>
      <c r="Q1140" s="13"/>
      <c r="R1140" s="14"/>
    </row>
    <row r="1141" spans="1:18" ht="15" customHeight="1">
      <c r="A1141" s="15" t="s">
        <v>26</v>
      </c>
      <c r="B1141" s="15" t="s">
        <v>825</v>
      </c>
      <c r="C1141" s="16">
        <v>0.69791666666666663</v>
      </c>
      <c r="D1141" s="15" t="s">
        <v>31</v>
      </c>
      <c r="E1141" s="15" t="s">
        <v>82</v>
      </c>
      <c r="F1141" s="15" t="s">
        <v>83</v>
      </c>
      <c r="G1141" s="298"/>
      <c r="H1141" s="10"/>
      <c r="I1141" s="11"/>
      <c r="J1141" s="11"/>
      <c r="K1141" s="11"/>
      <c r="L1141" s="11"/>
      <c r="M1141" s="11"/>
      <c r="N1141" s="11"/>
      <c r="O1141" s="12"/>
      <c r="P1141" s="11"/>
      <c r="Q1141" s="13"/>
      <c r="R1141" s="14"/>
    </row>
    <row r="1142" spans="1:18" ht="15" customHeight="1">
      <c r="A1142" s="15" t="s">
        <v>26</v>
      </c>
      <c r="B1142" s="15" t="s">
        <v>825</v>
      </c>
      <c r="C1142" s="16">
        <v>0.69791666666666663</v>
      </c>
      <c r="D1142" s="15" t="s">
        <v>34</v>
      </c>
      <c r="E1142" s="15" t="s">
        <v>82</v>
      </c>
      <c r="F1142" s="15" t="s">
        <v>45</v>
      </c>
      <c r="G1142" s="298"/>
      <c r="H1142" s="10"/>
      <c r="I1142" s="11"/>
      <c r="J1142" s="11"/>
      <c r="K1142" s="11"/>
      <c r="L1142" s="11"/>
      <c r="M1142" s="11"/>
      <c r="N1142" s="11"/>
      <c r="O1142" s="12"/>
      <c r="P1142" s="11"/>
      <c r="Q1142" s="13"/>
      <c r="R1142" s="14"/>
    </row>
    <row r="1143" spans="1:18" ht="15" customHeight="1">
      <c r="A1143" s="19" t="s">
        <v>48</v>
      </c>
      <c r="B1143" s="19" t="s">
        <v>833</v>
      </c>
      <c r="C1143" s="20">
        <v>0.44444444444444442</v>
      </c>
      <c r="D1143" s="19" t="s">
        <v>50</v>
      </c>
      <c r="E1143" s="19" t="s">
        <v>51</v>
      </c>
      <c r="F1143" s="19" t="s">
        <v>873</v>
      </c>
      <c r="G1143" s="298"/>
      <c r="H1143" s="10"/>
      <c r="I1143" s="11"/>
      <c r="J1143" s="11"/>
      <c r="K1143" s="11"/>
      <c r="L1143" s="11"/>
      <c r="M1143" s="11"/>
      <c r="N1143" s="11"/>
      <c r="O1143" s="12"/>
      <c r="P1143" s="11"/>
      <c r="Q1143" s="13"/>
      <c r="R1143" s="14"/>
    </row>
    <row r="1144" spans="1:18" ht="15" customHeight="1">
      <c r="A1144" s="15" t="s">
        <v>48</v>
      </c>
      <c r="B1144" s="15" t="s">
        <v>833</v>
      </c>
      <c r="C1144" s="16">
        <v>0.44444444444444442</v>
      </c>
      <c r="D1144" s="15" t="s">
        <v>53</v>
      </c>
      <c r="E1144" s="15" t="s">
        <v>54</v>
      </c>
      <c r="F1144" s="15" t="s">
        <v>874</v>
      </c>
      <c r="G1144" s="298"/>
      <c r="H1144" s="10"/>
      <c r="I1144" s="11"/>
      <c r="J1144" s="11"/>
      <c r="K1144" s="11"/>
      <c r="L1144" s="11"/>
      <c r="M1144" s="11"/>
      <c r="N1144" s="11"/>
      <c r="O1144" s="12"/>
      <c r="P1144" s="11"/>
      <c r="Q1144" s="13"/>
      <c r="R1144" s="14"/>
    </row>
    <row r="1145" spans="1:18" ht="15" customHeight="1">
      <c r="A1145" s="17" t="s">
        <v>48</v>
      </c>
      <c r="B1145" s="17" t="s">
        <v>828</v>
      </c>
      <c r="C1145" s="18">
        <v>0.82986111111111116</v>
      </c>
      <c r="D1145" s="17" t="s">
        <v>50</v>
      </c>
      <c r="E1145" s="17" t="s">
        <v>57</v>
      </c>
      <c r="F1145" s="17" t="s">
        <v>873</v>
      </c>
      <c r="G1145" s="298"/>
      <c r="H1145" s="10"/>
      <c r="I1145" s="11"/>
      <c r="J1145" s="11"/>
      <c r="K1145" s="11"/>
      <c r="L1145" s="11"/>
      <c r="M1145" s="11"/>
      <c r="N1145" s="11"/>
      <c r="O1145" s="12"/>
      <c r="P1145" s="11"/>
      <c r="Q1145" s="13"/>
      <c r="R1145" s="14"/>
    </row>
    <row r="1146" spans="1:18" ht="15" customHeight="1">
      <c r="A1146" s="15" t="s">
        <v>48</v>
      </c>
      <c r="B1146" s="15" t="s">
        <v>828</v>
      </c>
      <c r="C1146" s="16">
        <v>0.82986111111111116</v>
      </c>
      <c r="D1146" s="15" t="s">
        <v>53</v>
      </c>
      <c r="E1146" s="15" t="s">
        <v>54</v>
      </c>
      <c r="F1146" s="15" t="s">
        <v>874</v>
      </c>
      <c r="G1146" s="298"/>
      <c r="H1146" s="10"/>
      <c r="I1146" s="11"/>
      <c r="J1146" s="11"/>
      <c r="K1146" s="11"/>
      <c r="L1146" s="11"/>
      <c r="M1146" s="11"/>
      <c r="N1146" s="11"/>
      <c r="O1146" s="12"/>
      <c r="P1146" s="11"/>
      <c r="Q1146" s="13"/>
      <c r="R1146" s="14"/>
    </row>
    <row r="1147" spans="1:18" ht="15" customHeight="1">
      <c r="A1147" s="17" t="s">
        <v>48</v>
      </c>
      <c r="B1147" s="17" t="s">
        <v>831</v>
      </c>
      <c r="C1147" s="18">
        <v>0.98263888888888884</v>
      </c>
      <c r="D1147" s="17" t="s">
        <v>50</v>
      </c>
      <c r="E1147" s="17" t="s">
        <v>57</v>
      </c>
      <c r="F1147" s="17" t="s">
        <v>873</v>
      </c>
      <c r="G1147" s="298"/>
      <c r="H1147" s="10"/>
      <c r="I1147" s="11"/>
      <c r="J1147" s="11"/>
      <c r="K1147" s="11"/>
      <c r="L1147" s="11"/>
      <c r="M1147" s="11"/>
      <c r="N1147" s="11"/>
      <c r="O1147" s="12"/>
      <c r="P1147" s="11"/>
      <c r="Q1147" s="13"/>
      <c r="R1147" s="14"/>
    </row>
    <row r="1148" spans="1:18" ht="15" customHeight="1">
      <c r="A1148" s="15" t="s">
        <v>48</v>
      </c>
      <c r="B1148" s="15" t="s">
        <v>831</v>
      </c>
      <c r="C1148" s="16">
        <v>0.98263888888888884</v>
      </c>
      <c r="D1148" s="15" t="s">
        <v>53</v>
      </c>
      <c r="E1148" s="15" t="s">
        <v>54</v>
      </c>
      <c r="F1148" s="15" t="s">
        <v>874</v>
      </c>
      <c r="G1148" s="298"/>
      <c r="H1148" s="10"/>
      <c r="I1148" s="11"/>
      <c r="J1148" s="11"/>
      <c r="K1148" s="11"/>
      <c r="L1148" s="11"/>
      <c r="M1148" s="11"/>
      <c r="N1148" s="11"/>
      <c r="O1148" s="12"/>
      <c r="P1148" s="11"/>
      <c r="Q1148" s="13"/>
      <c r="R1148" s="14"/>
    </row>
    <row r="1149" spans="1:18" ht="15" customHeight="1">
      <c r="A1149" s="17" t="s">
        <v>48</v>
      </c>
      <c r="B1149" s="17" t="s">
        <v>832</v>
      </c>
      <c r="C1149" s="18">
        <v>0.62847222222222221</v>
      </c>
      <c r="D1149" s="17" t="s">
        <v>50</v>
      </c>
      <c r="E1149" s="17" t="s">
        <v>91</v>
      </c>
      <c r="F1149" s="17" t="s">
        <v>873</v>
      </c>
      <c r="G1149" s="298"/>
      <c r="H1149" s="10"/>
      <c r="I1149" s="11"/>
      <c r="J1149" s="11"/>
      <c r="K1149" s="11"/>
      <c r="L1149" s="11"/>
      <c r="M1149" s="11"/>
      <c r="N1149" s="11"/>
      <c r="O1149" s="12"/>
      <c r="P1149" s="11"/>
      <c r="Q1149" s="13"/>
      <c r="R1149" s="14"/>
    </row>
    <row r="1150" spans="1:18" ht="15" customHeight="1">
      <c r="A1150" s="15" t="s">
        <v>48</v>
      </c>
      <c r="B1150" s="15" t="s">
        <v>832</v>
      </c>
      <c r="C1150" s="16">
        <v>0.62847222222222221</v>
      </c>
      <c r="D1150" s="15" t="s">
        <v>53</v>
      </c>
      <c r="E1150" s="15" t="s">
        <v>92</v>
      </c>
      <c r="F1150" s="15" t="s">
        <v>874</v>
      </c>
      <c r="G1150" s="298"/>
      <c r="H1150" s="10"/>
      <c r="I1150" s="11"/>
      <c r="J1150" s="11"/>
      <c r="K1150" s="11"/>
      <c r="L1150" s="11"/>
      <c r="M1150" s="11"/>
      <c r="N1150" s="11"/>
      <c r="O1150" s="12"/>
      <c r="P1150" s="11"/>
      <c r="Q1150" s="13"/>
      <c r="R1150" s="14"/>
    </row>
    <row r="1151" spans="1:18" ht="15" customHeight="1">
      <c r="A1151" s="17" t="s">
        <v>48</v>
      </c>
      <c r="B1151" s="17" t="s">
        <v>835</v>
      </c>
      <c r="C1151" s="18">
        <v>0.88888888888888884</v>
      </c>
      <c r="D1151" s="17" t="s">
        <v>53</v>
      </c>
      <c r="E1151" s="17" t="s">
        <v>37</v>
      </c>
      <c r="F1151" s="17" t="s">
        <v>836</v>
      </c>
      <c r="G1151" s="298"/>
      <c r="H1151" s="10"/>
      <c r="I1151" s="11"/>
      <c r="J1151" s="11"/>
      <c r="K1151" s="11"/>
      <c r="L1151" s="11"/>
      <c r="M1151" s="11"/>
      <c r="N1151" s="11"/>
      <c r="O1151" s="12"/>
      <c r="P1151" s="11"/>
      <c r="Q1151" s="13"/>
      <c r="R1151" s="14"/>
    </row>
    <row r="1152" spans="1:18" ht="15" customHeight="1">
      <c r="A1152" s="17" t="s">
        <v>48</v>
      </c>
      <c r="B1152" s="17" t="s">
        <v>837</v>
      </c>
      <c r="C1152" s="18">
        <v>0.62847222222222221</v>
      </c>
      <c r="D1152" s="17" t="s">
        <v>53</v>
      </c>
      <c r="E1152" s="17" t="s">
        <v>37</v>
      </c>
      <c r="F1152" s="17" t="s">
        <v>836</v>
      </c>
      <c r="G1152" s="298"/>
      <c r="H1152" s="10"/>
      <c r="I1152" s="11"/>
      <c r="J1152" s="11"/>
      <c r="K1152" s="11"/>
      <c r="L1152" s="11"/>
      <c r="M1152" s="11"/>
      <c r="N1152" s="11"/>
      <c r="O1152" s="12"/>
      <c r="P1152" s="11"/>
      <c r="Q1152" s="13"/>
      <c r="R1152" s="14"/>
    </row>
    <row r="1153" spans="1:18" ht="15" customHeight="1">
      <c r="A1153" s="17" t="s">
        <v>48</v>
      </c>
      <c r="B1153" s="17" t="s">
        <v>838</v>
      </c>
      <c r="C1153" s="18">
        <v>0.94444444444444453</v>
      </c>
      <c r="D1153" s="17" t="s">
        <v>53</v>
      </c>
      <c r="E1153" s="17" t="s">
        <v>37</v>
      </c>
      <c r="F1153" s="17" t="s">
        <v>836</v>
      </c>
      <c r="G1153" s="298"/>
      <c r="H1153" s="10"/>
      <c r="I1153" s="11"/>
      <c r="J1153" s="11"/>
      <c r="K1153" s="11"/>
      <c r="L1153" s="11"/>
      <c r="M1153" s="11"/>
      <c r="N1153" s="11"/>
      <c r="O1153" s="12"/>
      <c r="P1153" s="11"/>
      <c r="Q1153" s="13"/>
      <c r="R1153" s="14"/>
    </row>
    <row r="1154" spans="1:18" ht="15" customHeight="1">
      <c r="A1154" s="40" t="s">
        <v>61</v>
      </c>
      <c r="B1154" s="40" t="s">
        <v>816</v>
      </c>
      <c r="C1154" s="41">
        <v>0.41319444444444442</v>
      </c>
      <c r="D1154" s="40" t="s">
        <v>63</v>
      </c>
      <c r="E1154" s="40" t="s">
        <v>51</v>
      </c>
      <c r="F1154" s="40" t="s">
        <v>849</v>
      </c>
      <c r="G1154" s="298"/>
      <c r="H1154" s="42" t="s">
        <v>818</v>
      </c>
      <c r="I1154" s="43">
        <v>2.23E-2</v>
      </c>
      <c r="J1154" s="44">
        <v>4</v>
      </c>
      <c r="K1154" s="45">
        <v>46338</v>
      </c>
      <c r="L1154" s="44">
        <v>4</v>
      </c>
      <c r="M1154" s="44">
        <v>0</v>
      </c>
      <c r="N1154" s="44">
        <v>0</v>
      </c>
      <c r="O1154" s="46" t="s">
        <v>877</v>
      </c>
      <c r="P1154" s="47">
        <v>0.41319444444444442</v>
      </c>
      <c r="Q1154" s="44">
        <v>179</v>
      </c>
      <c r="R1154" s="48" t="s">
        <v>951</v>
      </c>
    </row>
    <row r="1155" spans="1:18" ht="15" customHeight="1">
      <c r="A1155" s="162" t="s">
        <v>61</v>
      </c>
      <c r="B1155" s="162" t="s">
        <v>852</v>
      </c>
      <c r="C1155" s="163">
        <v>0.72569444444444453</v>
      </c>
      <c r="D1155" s="162" t="s">
        <v>63</v>
      </c>
      <c r="E1155" s="162" t="s">
        <v>435</v>
      </c>
      <c r="F1155" s="162" t="s">
        <v>849</v>
      </c>
      <c r="G1155" s="298"/>
      <c r="H1155" s="60" t="s">
        <v>854</v>
      </c>
      <c r="I1155" s="61">
        <v>0</v>
      </c>
      <c r="J1155" s="62">
        <v>0</v>
      </c>
      <c r="K1155" s="63" t="s">
        <v>66</v>
      </c>
      <c r="L1155" s="62">
        <v>0</v>
      </c>
      <c r="M1155" s="62">
        <v>0</v>
      </c>
      <c r="N1155" s="62">
        <v>0</v>
      </c>
      <c r="O1155" s="64" t="s">
        <v>918</v>
      </c>
      <c r="P1155" s="65">
        <v>0.72569444444444453</v>
      </c>
      <c r="Q1155" s="62">
        <v>179</v>
      </c>
      <c r="R1155" s="66" t="s">
        <v>66</v>
      </c>
    </row>
    <row r="1156" spans="1:18" ht="15" customHeight="1">
      <c r="A1156" s="19" t="s">
        <v>359</v>
      </c>
      <c r="B1156" s="19" t="s">
        <v>887</v>
      </c>
      <c r="C1156" s="20">
        <v>5.2083333333333343E-2</v>
      </c>
      <c r="D1156" s="19" t="s">
        <v>361</v>
      </c>
      <c r="E1156" s="19" t="s">
        <v>80</v>
      </c>
      <c r="F1156" s="19" t="s">
        <v>949</v>
      </c>
      <c r="G1156" s="298"/>
      <c r="H1156" s="10"/>
      <c r="I1156" s="11"/>
      <c r="J1156" s="11"/>
      <c r="K1156" s="11"/>
      <c r="L1156" s="11"/>
      <c r="M1156" s="11"/>
      <c r="N1156" s="11"/>
      <c r="O1156" s="12"/>
      <c r="P1156" s="11"/>
      <c r="Q1156" s="13"/>
      <c r="R1156" s="14"/>
    </row>
    <row r="1157" spans="1:18" ht="15" customHeight="1">
      <c r="A1157" s="15" t="s">
        <v>359</v>
      </c>
      <c r="B1157" s="15" t="s">
        <v>887</v>
      </c>
      <c r="C1157" s="16">
        <v>5.2083333333333343E-2</v>
      </c>
      <c r="D1157" s="15" t="s">
        <v>46</v>
      </c>
      <c r="E1157" s="15" t="s">
        <v>82</v>
      </c>
      <c r="F1157" s="15" t="s">
        <v>950</v>
      </c>
      <c r="G1157" s="298"/>
      <c r="H1157" s="10"/>
      <c r="I1157" s="11"/>
      <c r="J1157" s="11"/>
      <c r="K1157" s="11"/>
      <c r="L1157" s="11"/>
      <c r="M1157" s="11"/>
      <c r="N1157" s="11"/>
      <c r="O1157" s="12"/>
      <c r="P1157" s="11"/>
      <c r="Q1157" s="13"/>
      <c r="R1157" s="14"/>
    </row>
    <row r="1158" spans="1:18" ht="15" customHeight="1">
      <c r="A1158" s="19" t="s">
        <v>402</v>
      </c>
      <c r="B1158" s="19" t="s">
        <v>839</v>
      </c>
      <c r="C1158" s="20">
        <v>0.2013888888888889</v>
      </c>
      <c r="D1158" s="19" t="s">
        <v>63</v>
      </c>
      <c r="E1158" s="19" t="s">
        <v>107</v>
      </c>
      <c r="F1158" s="19" t="s">
        <v>881</v>
      </c>
      <c r="G1158" s="298"/>
      <c r="H1158" s="10"/>
      <c r="I1158" s="11"/>
      <c r="J1158" s="11"/>
      <c r="K1158" s="11"/>
      <c r="L1158" s="11"/>
      <c r="M1158" s="11"/>
      <c r="N1158" s="11"/>
      <c r="O1158" s="12"/>
      <c r="P1158" s="11"/>
      <c r="Q1158" s="13"/>
      <c r="R1158" s="14"/>
    </row>
    <row r="1159" spans="1:18" ht="15" customHeight="1" thickBot="1">
      <c r="A1159" s="30" t="s">
        <v>402</v>
      </c>
      <c r="B1159" s="30" t="s">
        <v>841</v>
      </c>
      <c r="C1159" s="31">
        <v>0.61458333333333337</v>
      </c>
      <c r="D1159" s="30" t="s">
        <v>63</v>
      </c>
      <c r="E1159" s="30" t="s">
        <v>435</v>
      </c>
      <c r="F1159" s="30" t="s">
        <v>881</v>
      </c>
      <c r="G1159" s="299"/>
      <c r="H1159" s="300"/>
      <c r="I1159" s="140"/>
      <c r="J1159" s="140"/>
      <c r="K1159" s="140"/>
      <c r="L1159" s="140"/>
      <c r="M1159" s="140"/>
      <c r="N1159" s="140"/>
      <c r="O1159" s="141"/>
      <c r="P1159" s="140"/>
      <c r="Q1159" s="142"/>
      <c r="R1159" s="301"/>
    </row>
    <row r="1160" spans="1:18" ht="17.45" customHeight="1" thickBot="1">
      <c r="A1160" s="283"/>
      <c r="B1160" s="284"/>
      <c r="C1160" s="284"/>
      <c r="D1160" s="284"/>
      <c r="E1160" s="284"/>
      <c r="F1160" s="284"/>
      <c r="G1160" s="284"/>
      <c r="H1160" s="284"/>
      <c r="I1160" s="284"/>
      <c r="J1160" s="284"/>
      <c r="K1160" s="284"/>
      <c r="L1160" s="284"/>
      <c r="M1160" s="284"/>
      <c r="N1160" s="284"/>
      <c r="O1160" s="284"/>
      <c r="P1160" s="284"/>
      <c r="Q1160" s="284"/>
      <c r="R1160" s="285"/>
    </row>
    <row r="1161" spans="1:18" ht="22.15" customHeight="1" thickTop="1" thickBot="1">
      <c r="A1161" s="279" t="s">
        <v>6</v>
      </c>
      <c r="B1161" s="295"/>
      <c r="C1161" s="295"/>
      <c r="D1161" s="295"/>
      <c r="E1161" s="295"/>
      <c r="F1161" s="296"/>
      <c r="G1161" s="32">
        <v>46044</v>
      </c>
      <c r="H1161" s="278" t="s">
        <v>7</v>
      </c>
      <c r="I1161" s="295"/>
      <c r="J1161" s="295"/>
      <c r="K1161" s="295"/>
      <c r="L1161" s="295"/>
      <c r="M1161" s="295"/>
      <c r="N1161" s="295"/>
      <c r="O1161" s="295"/>
      <c r="P1161" s="295"/>
      <c r="Q1161" s="295"/>
      <c r="R1161" s="296"/>
    </row>
    <row r="1162" spans="1:18" ht="24" customHeight="1">
      <c r="A1162" s="33" t="s">
        <v>8</v>
      </c>
      <c r="B1162" s="33" t="s">
        <v>9</v>
      </c>
      <c r="C1162" s="34" t="s">
        <v>10</v>
      </c>
      <c r="D1162" s="33" t="s">
        <v>11</v>
      </c>
      <c r="E1162" s="33" t="s">
        <v>12</v>
      </c>
      <c r="F1162" s="35" t="s">
        <v>13</v>
      </c>
      <c r="G1162" s="36" t="s">
        <v>14</v>
      </c>
      <c r="H1162" s="33" t="s">
        <v>15</v>
      </c>
      <c r="I1162" s="37" t="s">
        <v>16</v>
      </c>
      <c r="J1162" s="38" t="s">
        <v>17</v>
      </c>
      <c r="K1162" s="39" t="s">
        <v>18</v>
      </c>
      <c r="L1162" s="38" t="s">
        <v>19</v>
      </c>
      <c r="M1162" s="38" t="s">
        <v>20</v>
      </c>
      <c r="N1162" s="38" t="s">
        <v>21</v>
      </c>
      <c r="O1162" s="33" t="s">
        <v>22</v>
      </c>
      <c r="P1162" s="34" t="s">
        <v>23</v>
      </c>
      <c r="Q1162" s="38" t="s">
        <v>24</v>
      </c>
      <c r="R1162" s="33" t="s">
        <v>25</v>
      </c>
    </row>
    <row r="1163" spans="1:18" ht="15" customHeight="1">
      <c r="A1163" s="8" t="s">
        <v>38</v>
      </c>
      <c r="B1163" s="8" t="s">
        <v>809</v>
      </c>
      <c r="C1163" s="9">
        <v>0.57638888888888895</v>
      </c>
      <c r="D1163" s="8" t="s">
        <v>40</v>
      </c>
      <c r="E1163" s="8" t="s">
        <v>156</v>
      </c>
      <c r="F1163" s="8" t="s">
        <v>475</v>
      </c>
      <c r="G1163" s="302"/>
      <c r="H1163" s="10"/>
      <c r="I1163" s="11"/>
      <c r="J1163" s="11"/>
      <c r="K1163" s="11"/>
      <c r="L1163" s="11"/>
      <c r="M1163" s="11"/>
      <c r="N1163" s="11"/>
      <c r="O1163" s="12"/>
      <c r="P1163" s="11"/>
      <c r="Q1163" s="13"/>
      <c r="R1163" s="14"/>
    </row>
    <row r="1164" spans="1:18" ht="15" customHeight="1">
      <c r="A1164" s="15" t="s">
        <v>38</v>
      </c>
      <c r="B1164" s="15" t="s">
        <v>809</v>
      </c>
      <c r="C1164" s="16">
        <v>0.57638888888888895</v>
      </c>
      <c r="D1164" s="15" t="s">
        <v>43</v>
      </c>
      <c r="E1164" s="15" t="s">
        <v>135</v>
      </c>
      <c r="F1164" s="15" t="s">
        <v>121</v>
      </c>
      <c r="G1164" s="298"/>
      <c r="H1164" s="10"/>
      <c r="I1164" s="11"/>
      <c r="J1164" s="11"/>
      <c r="K1164" s="11"/>
      <c r="L1164" s="11"/>
      <c r="M1164" s="11"/>
      <c r="N1164" s="11"/>
      <c r="O1164" s="12"/>
      <c r="P1164" s="11"/>
      <c r="Q1164" s="13"/>
      <c r="R1164" s="14"/>
    </row>
    <row r="1165" spans="1:18" ht="15" customHeight="1">
      <c r="A1165" s="15" t="s">
        <v>38</v>
      </c>
      <c r="B1165" s="15" t="s">
        <v>809</v>
      </c>
      <c r="C1165" s="16">
        <v>0.57638888888888895</v>
      </c>
      <c r="D1165" s="15" t="s">
        <v>46</v>
      </c>
      <c r="E1165" s="15" t="s">
        <v>135</v>
      </c>
      <c r="F1165" s="15" t="s">
        <v>810</v>
      </c>
      <c r="G1165" s="298"/>
      <c r="H1165" s="10"/>
      <c r="I1165" s="11"/>
      <c r="J1165" s="11"/>
      <c r="K1165" s="11"/>
      <c r="L1165" s="11"/>
      <c r="M1165" s="11"/>
      <c r="N1165" s="11"/>
      <c r="O1165" s="12"/>
      <c r="P1165" s="11"/>
      <c r="Q1165" s="13"/>
      <c r="R1165" s="14"/>
    </row>
    <row r="1166" spans="1:18" ht="15" customHeight="1">
      <c r="A1166" s="17" t="s">
        <v>38</v>
      </c>
      <c r="B1166" s="17" t="s">
        <v>811</v>
      </c>
      <c r="C1166" s="18">
        <v>0.62847222222222221</v>
      </c>
      <c r="D1166" s="17" t="s">
        <v>40</v>
      </c>
      <c r="E1166" s="17" t="s">
        <v>90</v>
      </c>
      <c r="F1166" s="17" t="s">
        <v>475</v>
      </c>
      <c r="G1166" s="298"/>
      <c r="H1166" s="10"/>
      <c r="I1166" s="11"/>
      <c r="J1166" s="11"/>
      <c r="K1166" s="11"/>
      <c r="L1166" s="11"/>
      <c r="M1166" s="11"/>
      <c r="N1166" s="11"/>
      <c r="O1166" s="12"/>
      <c r="P1166" s="11"/>
      <c r="Q1166" s="13"/>
      <c r="R1166" s="14"/>
    </row>
    <row r="1167" spans="1:18" ht="15" customHeight="1">
      <c r="A1167" s="15" t="s">
        <v>38</v>
      </c>
      <c r="B1167" s="15" t="s">
        <v>811</v>
      </c>
      <c r="C1167" s="16">
        <v>0.62847222222222221</v>
      </c>
      <c r="D1167" s="15" t="s">
        <v>43</v>
      </c>
      <c r="E1167" s="15" t="s">
        <v>82</v>
      </c>
      <c r="F1167" s="15" t="s">
        <v>121</v>
      </c>
      <c r="G1167" s="298"/>
      <c r="H1167" s="10"/>
      <c r="I1167" s="11"/>
      <c r="J1167" s="11"/>
      <c r="K1167" s="11"/>
      <c r="L1167" s="11"/>
      <c r="M1167" s="11"/>
      <c r="N1167" s="11"/>
      <c r="O1167" s="12"/>
      <c r="P1167" s="11"/>
      <c r="Q1167" s="13"/>
      <c r="R1167" s="14"/>
    </row>
    <row r="1168" spans="1:18" ht="15" customHeight="1">
      <c r="A1168" s="15" t="s">
        <v>38</v>
      </c>
      <c r="B1168" s="15" t="s">
        <v>811</v>
      </c>
      <c r="C1168" s="16">
        <v>0.62847222222222221</v>
      </c>
      <c r="D1168" s="15" t="s">
        <v>46</v>
      </c>
      <c r="E1168" s="15" t="s">
        <v>82</v>
      </c>
      <c r="F1168" s="15" t="s">
        <v>810</v>
      </c>
      <c r="G1168" s="298"/>
      <c r="H1168" s="10"/>
      <c r="I1168" s="11"/>
      <c r="J1168" s="11"/>
      <c r="K1168" s="11"/>
      <c r="L1168" s="11"/>
      <c r="M1168" s="11"/>
      <c r="N1168" s="11"/>
      <c r="O1168" s="12"/>
      <c r="P1168" s="11"/>
      <c r="Q1168" s="13"/>
      <c r="R1168" s="14"/>
    </row>
    <row r="1169" spans="1:18" ht="15" customHeight="1">
      <c r="A1169" s="17" t="s">
        <v>38</v>
      </c>
      <c r="B1169" s="17" t="s">
        <v>812</v>
      </c>
      <c r="C1169" s="18">
        <v>0.88888888888888884</v>
      </c>
      <c r="D1169" s="17" t="s">
        <v>40</v>
      </c>
      <c r="E1169" s="17" t="s">
        <v>952</v>
      </c>
      <c r="F1169" s="17" t="s">
        <v>83</v>
      </c>
      <c r="G1169" s="298"/>
      <c r="H1169" s="10"/>
      <c r="I1169" s="11"/>
      <c r="J1169" s="11"/>
      <c r="K1169" s="11"/>
      <c r="L1169" s="11"/>
      <c r="M1169" s="11"/>
      <c r="N1169" s="11"/>
      <c r="O1169" s="12"/>
      <c r="P1169" s="11"/>
      <c r="Q1169" s="13"/>
      <c r="R1169" s="14"/>
    </row>
    <row r="1170" spans="1:18" ht="15" customHeight="1">
      <c r="A1170" s="15" t="s">
        <v>38</v>
      </c>
      <c r="B1170" s="15" t="s">
        <v>812</v>
      </c>
      <c r="C1170" s="16">
        <v>0.88888888888888884</v>
      </c>
      <c r="D1170" s="15" t="s">
        <v>43</v>
      </c>
      <c r="E1170" s="15" t="s">
        <v>953</v>
      </c>
      <c r="F1170" s="15" t="s">
        <v>162</v>
      </c>
      <c r="G1170" s="298"/>
      <c r="H1170" s="10"/>
      <c r="I1170" s="11"/>
      <c r="J1170" s="11"/>
      <c r="K1170" s="11"/>
      <c r="L1170" s="11"/>
      <c r="M1170" s="11"/>
      <c r="N1170" s="11"/>
      <c r="O1170" s="12"/>
      <c r="P1170" s="11"/>
      <c r="Q1170" s="13"/>
      <c r="R1170" s="14"/>
    </row>
    <row r="1171" spans="1:18" ht="15" customHeight="1">
      <c r="A1171" s="15" t="s">
        <v>38</v>
      </c>
      <c r="B1171" s="15" t="s">
        <v>812</v>
      </c>
      <c r="C1171" s="16">
        <v>0.88888888888888884</v>
      </c>
      <c r="D1171" s="15" t="s">
        <v>46</v>
      </c>
      <c r="E1171" s="15" t="s">
        <v>953</v>
      </c>
      <c r="F1171" s="15" t="s">
        <v>810</v>
      </c>
      <c r="G1171" s="298"/>
      <c r="H1171" s="10"/>
      <c r="I1171" s="11"/>
      <c r="J1171" s="11"/>
      <c r="K1171" s="11"/>
      <c r="L1171" s="11"/>
      <c r="M1171" s="11"/>
      <c r="N1171" s="11"/>
      <c r="O1171" s="12"/>
      <c r="P1171" s="11"/>
      <c r="Q1171" s="13"/>
      <c r="R1171" s="14"/>
    </row>
    <row r="1172" spans="1:18" ht="15" customHeight="1">
      <c r="A1172" s="17" t="s">
        <v>38</v>
      </c>
      <c r="B1172" s="17" t="s">
        <v>813</v>
      </c>
      <c r="C1172" s="18">
        <v>0.94444444444444453</v>
      </c>
      <c r="D1172" s="17" t="s">
        <v>40</v>
      </c>
      <c r="E1172" s="17" t="s">
        <v>442</v>
      </c>
      <c r="F1172" s="17" t="s">
        <v>33</v>
      </c>
      <c r="G1172" s="298"/>
      <c r="H1172" s="10"/>
      <c r="I1172" s="11"/>
      <c r="J1172" s="11"/>
      <c r="K1172" s="11"/>
      <c r="L1172" s="11"/>
      <c r="M1172" s="11"/>
      <c r="N1172" s="11"/>
      <c r="O1172" s="12"/>
      <c r="P1172" s="11"/>
      <c r="Q1172" s="13"/>
      <c r="R1172" s="14"/>
    </row>
    <row r="1173" spans="1:18" ht="15" customHeight="1">
      <c r="A1173" s="15" t="s">
        <v>38</v>
      </c>
      <c r="B1173" s="15" t="s">
        <v>813</v>
      </c>
      <c r="C1173" s="16">
        <v>0.94444444444444453</v>
      </c>
      <c r="D1173" s="15" t="s">
        <v>43</v>
      </c>
      <c r="E1173" s="15" t="s">
        <v>122</v>
      </c>
      <c r="F1173" s="15" t="s">
        <v>926</v>
      </c>
      <c r="G1173" s="298"/>
      <c r="H1173" s="10"/>
      <c r="I1173" s="11"/>
      <c r="J1173" s="11"/>
      <c r="K1173" s="11"/>
      <c r="L1173" s="11"/>
      <c r="M1173" s="11"/>
      <c r="N1173" s="11"/>
      <c r="O1173" s="12"/>
      <c r="P1173" s="11"/>
      <c r="Q1173" s="13"/>
      <c r="R1173" s="14"/>
    </row>
    <row r="1174" spans="1:18" ht="15" customHeight="1">
      <c r="A1174" s="15" t="s">
        <v>38</v>
      </c>
      <c r="B1174" s="15" t="s">
        <v>813</v>
      </c>
      <c r="C1174" s="16">
        <v>0.94444444444444453</v>
      </c>
      <c r="D1174" s="15" t="s">
        <v>46</v>
      </c>
      <c r="E1174" s="15" t="s">
        <v>122</v>
      </c>
      <c r="F1174" s="15" t="s">
        <v>810</v>
      </c>
      <c r="G1174" s="298"/>
      <c r="H1174" s="10"/>
      <c r="I1174" s="11"/>
      <c r="J1174" s="11"/>
      <c r="K1174" s="11"/>
      <c r="L1174" s="11"/>
      <c r="M1174" s="11"/>
      <c r="N1174" s="11"/>
      <c r="O1174" s="12"/>
      <c r="P1174" s="11"/>
      <c r="Q1174" s="13"/>
      <c r="R1174" s="14"/>
    </row>
    <row r="1175" spans="1:18" ht="15" customHeight="1">
      <c r="A1175" s="19" t="s">
        <v>26</v>
      </c>
      <c r="B1175" s="19" t="s">
        <v>820</v>
      </c>
      <c r="C1175" s="20">
        <v>0.4375</v>
      </c>
      <c r="D1175" s="19" t="s">
        <v>28</v>
      </c>
      <c r="E1175" s="19" t="s">
        <v>80</v>
      </c>
      <c r="F1175" s="19" t="s">
        <v>81</v>
      </c>
      <c r="G1175" s="298"/>
      <c r="H1175" s="10"/>
      <c r="I1175" s="11"/>
      <c r="J1175" s="11"/>
      <c r="K1175" s="11"/>
      <c r="L1175" s="11"/>
      <c r="M1175" s="11"/>
      <c r="N1175" s="11"/>
      <c r="O1175" s="12"/>
      <c r="P1175" s="11"/>
      <c r="Q1175" s="13"/>
      <c r="R1175" s="14"/>
    </row>
    <row r="1176" spans="1:18" ht="15" customHeight="1">
      <c r="A1176" s="15" t="s">
        <v>26</v>
      </c>
      <c r="B1176" s="15" t="s">
        <v>820</v>
      </c>
      <c r="C1176" s="16">
        <v>0.4375</v>
      </c>
      <c r="D1176" s="15" t="s">
        <v>31</v>
      </c>
      <c r="E1176" s="15" t="s">
        <v>82</v>
      </c>
      <c r="F1176" s="15" t="s">
        <v>83</v>
      </c>
      <c r="G1176" s="298"/>
      <c r="H1176" s="10"/>
      <c r="I1176" s="11"/>
      <c r="J1176" s="11"/>
      <c r="K1176" s="11"/>
      <c r="L1176" s="11"/>
      <c r="M1176" s="11"/>
      <c r="N1176" s="11"/>
      <c r="O1176" s="12"/>
      <c r="P1176" s="11"/>
      <c r="Q1176" s="13"/>
      <c r="R1176" s="14"/>
    </row>
    <row r="1177" spans="1:18" ht="15" customHeight="1">
      <c r="A1177" s="15" t="s">
        <v>26</v>
      </c>
      <c r="B1177" s="15" t="s">
        <v>820</v>
      </c>
      <c r="C1177" s="16">
        <v>0.4375</v>
      </c>
      <c r="D1177" s="15" t="s">
        <v>34</v>
      </c>
      <c r="E1177" s="15" t="s">
        <v>82</v>
      </c>
      <c r="F1177" s="15" t="s">
        <v>45</v>
      </c>
      <c r="G1177" s="298"/>
      <c r="H1177" s="10"/>
      <c r="I1177" s="11"/>
      <c r="J1177" s="11"/>
      <c r="K1177" s="11"/>
      <c r="L1177" s="11"/>
      <c r="M1177" s="11"/>
      <c r="N1177" s="11"/>
      <c r="O1177" s="12"/>
      <c r="P1177" s="11"/>
      <c r="Q1177" s="13"/>
      <c r="R1177" s="14"/>
    </row>
    <row r="1178" spans="1:18" ht="15" customHeight="1">
      <c r="A1178" s="17" t="s">
        <v>26</v>
      </c>
      <c r="B1178" s="17" t="s">
        <v>821</v>
      </c>
      <c r="C1178" s="18">
        <v>0.63194444444444442</v>
      </c>
      <c r="D1178" s="17" t="s">
        <v>28</v>
      </c>
      <c r="E1178" s="17" t="s">
        <v>90</v>
      </c>
      <c r="F1178" s="17" t="s">
        <v>81</v>
      </c>
      <c r="G1178" s="298"/>
      <c r="H1178" s="10"/>
      <c r="I1178" s="11"/>
      <c r="J1178" s="11"/>
      <c r="K1178" s="11"/>
      <c r="L1178" s="11"/>
      <c r="M1178" s="11"/>
      <c r="N1178" s="11"/>
      <c r="O1178" s="12"/>
      <c r="P1178" s="11"/>
      <c r="Q1178" s="13"/>
      <c r="R1178" s="14"/>
    </row>
    <row r="1179" spans="1:18" ht="15" customHeight="1">
      <c r="A1179" s="15" t="s">
        <v>26</v>
      </c>
      <c r="B1179" s="15" t="s">
        <v>821</v>
      </c>
      <c r="C1179" s="16">
        <v>0.63194444444444442</v>
      </c>
      <c r="D1179" s="15" t="s">
        <v>31</v>
      </c>
      <c r="E1179" s="15" t="s">
        <v>82</v>
      </c>
      <c r="F1179" s="15" t="s">
        <v>83</v>
      </c>
      <c r="G1179" s="298"/>
      <c r="H1179" s="10"/>
      <c r="I1179" s="11"/>
      <c r="J1179" s="11"/>
      <c r="K1179" s="11"/>
      <c r="L1179" s="11"/>
      <c r="M1179" s="11"/>
      <c r="N1179" s="11"/>
      <c r="O1179" s="12"/>
      <c r="P1179" s="11"/>
      <c r="Q1179" s="13"/>
      <c r="R1179" s="14"/>
    </row>
    <row r="1180" spans="1:18" ht="15" customHeight="1">
      <c r="A1180" s="15" t="s">
        <v>26</v>
      </c>
      <c r="B1180" s="15" t="s">
        <v>821</v>
      </c>
      <c r="C1180" s="16">
        <v>0.63194444444444442</v>
      </c>
      <c r="D1180" s="15" t="s">
        <v>34</v>
      </c>
      <c r="E1180" s="15" t="s">
        <v>82</v>
      </c>
      <c r="F1180" s="15" t="s">
        <v>45</v>
      </c>
      <c r="G1180" s="298"/>
      <c r="H1180" s="10"/>
      <c r="I1180" s="11"/>
      <c r="J1180" s="11"/>
      <c r="K1180" s="11"/>
      <c r="L1180" s="11"/>
      <c r="M1180" s="11"/>
      <c r="N1180" s="11"/>
      <c r="O1180" s="12"/>
      <c r="P1180" s="11"/>
      <c r="Q1180" s="13"/>
      <c r="R1180" s="14"/>
    </row>
    <row r="1181" spans="1:18" ht="15" customHeight="1">
      <c r="A1181" s="17" t="s">
        <v>26</v>
      </c>
      <c r="B1181" s="17" t="s">
        <v>822</v>
      </c>
      <c r="C1181" s="18">
        <v>0.55902777777777779</v>
      </c>
      <c r="D1181" s="17" t="s">
        <v>28</v>
      </c>
      <c r="E1181" s="17" t="s">
        <v>427</v>
      </c>
      <c r="F1181" s="17" t="s">
        <v>81</v>
      </c>
      <c r="G1181" s="298"/>
      <c r="H1181" s="10"/>
      <c r="I1181" s="11"/>
      <c r="J1181" s="11"/>
      <c r="K1181" s="11"/>
      <c r="L1181" s="11"/>
      <c r="M1181" s="11"/>
      <c r="N1181" s="11"/>
      <c r="O1181" s="12"/>
      <c r="P1181" s="11"/>
      <c r="Q1181" s="13"/>
      <c r="R1181" s="14"/>
    </row>
    <row r="1182" spans="1:18" ht="15" customHeight="1">
      <c r="A1182" s="15" t="s">
        <v>26</v>
      </c>
      <c r="B1182" s="15" t="s">
        <v>822</v>
      </c>
      <c r="C1182" s="16">
        <v>0.55902777777777779</v>
      </c>
      <c r="D1182" s="15" t="s">
        <v>31</v>
      </c>
      <c r="E1182" s="15" t="s">
        <v>115</v>
      </c>
      <c r="F1182" s="15" t="s">
        <v>83</v>
      </c>
      <c r="G1182" s="298"/>
      <c r="H1182" s="10"/>
      <c r="I1182" s="11"/>
      <c r="J1182" s="11"/>
      <c r="K1182" s="11"/>
      <c r="L1182" s="11"/>
      <c r="M1182" s="11"/>
      <c r="N1182" s="11"/>
      <c r="O1182" s="12"/>
      <c r="P1182" s="11"/>
      <c r="Q1182" s="13"/>
      <c r="R1182" s="14"/>
    </row>
    <row r="1183" spans="1:18" ht="15" customHeight="1">
      <c r="A1183" s="15" t="s">
        <v>26</v>
      </c>
      <c r="B1183" s="15" t="s">
        <v>822</v>
      </c>
      <c r="C1183" s="16">
        <v>0.55902777777777779</v>
      </c>
      <c r="D1183" s="15" t="s">
        <v>34</v>
      </c>
      <c r="E1183" s="15" t="s">
        <v>115</v>
      </c>
      <c r="F1183" s="15" t="s">
        <v>45</v>
      </c>
      <c r="G1183" s="298"/>
      <c r="H1183" s="10"/>
      <c r="I1183" s="11"/>
      <c r="J1183" s="11"/>
      <c r="K1183" s="11"/>
      <c r="L1183" s="11"/>
      <c r="M1183" s="11"/>
      <c r="N1183" s="11"/>
      <c r="O1183" s="12"/>
      <c r="P1183" s="11"/>
      <c r="Q1183" s="13"/>
      <c r="R1183" s="14"/>
    </row>
    <row r="1184" spans="1:18" ht="15" customHeight="1">
      <c r="A1184" s="17" t="s">
        <v>26</v>
      </c>
      <c r="B1184" s="17" t="s">
        <v>824</v>
      </c>
      <c r="C1184" s="18">
        <v>0.50694444444444442</v>
      </c>
      <c r="D1184" s="17" t="s">
        <v>28</v>
      </c>
      <c r="E1184" s="17" t="s">
        <v>90</v>
      </c>
      <c r="F1184" s="17" t="s">
        <v>81</v>
      </c>
      <c r="G1184" s="298"/>
      <c r="H1184" s="10"/>
      <c r="I1184" s="11"/>
      <c r="J1184" s="11"/>
      <c r="K1184" s="11"/>
      <c r="L1184" s="11"/>
      <c r="M1184" s="11"/>
      <c r="N1184" s="11"/>
      <c r="O1184" s="12"/>
      <c r="P1184" s="11"/>
      <c r="Q1184" s="13"/>
      <c r="R1184" s="14"/>
    </row>
    <row r="1185" spans="1:18" ht="15" customHeight="1">
      <c r="A1185" s="15" t="s">
        <v>26</v>
      </c>
      <c r="B1185" s="15" t="s">
        <v>824</v>
      </c>
      <c r="C1185" s="16">
        <v>0.50694444444444442</v>
      </c>
      <c r="D1185" s="15" t="s">
        <v>31</v>
      </c>
      <c r="E1185" s="15" t="s">
        <v>82</v>
      </c>
      <c r="F1185" s="15" t="s">
        <v>83</v>
      </c>
      <c r="G1185" s="298"/>
      <c r="H1185" s="10"/>
      <c r="I1185" s="11"/>
      <c r="J1185" s="11"/>
      <c r="K1185" s="11"/>
      <c r="L1185" s="11"/>
      <c r="M1185" s="11"/>
      <c r="N1185" s="11"/>
      <c r="O1185" s="12"/>
      <c r="P1185" s="11"/>
      <c r="Q1185" s="13"/>
      <c r="R1185" s="14"/>
    </row>
    <row r="1186" spans="1:18" ht="15" customHeight="1">
      <c r="A1186" s="15" t="s">
        <v>26</v>
      </c>
      <c r="B1186" s="15" t="s">
        <v>824</v>
      </c>
      <c r="C1186" s="16">
        <v>0.50694444444444442</v>
      </c>
      <c r="D1186" s="15" t="s">
        <v>34</v>
      </c>
      <c r="E1186" s="15" t="s">
        <v>82</v>
      </c>
      <c r="F1186" s="15" t="s">
        <v>45</v>
      </c>
      <c r="G1186" s="298"/>
      <c r="H1186" s="10"/>
      <c r="I1186" s="11"/>
      <c r="J1186" s="11"/>
      <c r="K1186" s="11"/>
      <c r="L1186" s="11"/>
      <c r="M1186" s="11"/>
      <c r="N1186" s="11"/>
      <c r="O1186" s="12"/>
      <c r="P1186" s="11"/>
      <c r="Q1186" s="13"/>
      <c r="R1186" s="14"/>
    </row>
    <row r="1187" spans="1:18" ht="15" customHeight="1">
      <c r="A1187" s="17" t="s">
        <v>26</v>
      </c>
      <c r="B1187" s="17" t="s">
        <v>825</v>
      </c>
      <c r="C1187" s="18">
        <v>0.69791666666666663</v>
      </c>
      <c r="D1187" s="17" t="s">
        <v>28</v>
      </c>
      <c r="E1187" s="17" t="s">
        <v>90</v>
      </c>
      <c r="F1187" s="17" t="s">
        <v>81</v>
      </c>
      <c r="G1187" s="298"/>
      <c r="H1187" s="10"/>
      <c r="I1187" s="11"/>
      <c r="J1187" s="11"/>
      <c r="K1187" s="11"/>
      <c r="L1187" s="11"/>
      <c r="M1187" s="11"/>
      <c r="N1187" s="11"/>
      <c r="O1187" s="12"/>
      <c r="P1187" s="11"/>
      <c r="Q1187" s="13"/>
      <c r="R1187" s="14"/>
    </row>
    <row r="1188" spans="1:18" ht="15" customHeight="1">
      <c r="A1188" s="15" t="s">
        <v>26</v>
      </c>
      <c r="B1188" s="15" t="s">
        <v>825</v>
      </c>
      <c r="C1188" s="16">
        <v>0.69791666666666663</v>
      </c>
      <c r="D1188" s="15" t="s">
        <v>31</v>
      </c>
      <c r="E1188" s="15" t="s">
        <v>82</v>
      </c>
      <c r="F1188" s="15" t="s">
        <v>83</v>
      </c>
      <c r="G1188" s="298"/>
      <c r="H1188" s="10"/>
      <c r="I1188" s="11"/>
      <c r="J1188" s="11"/>
      <c r="K1188" s="11"/>
      <c r="L1188" s="11"/>
      <c r="M1188" s="11"/>
      <c r="N1188" s="11"/>
      <c r="O1188" s="12"/>
      <c r="P1188" s="11"/>
      <c r="Q1188" s="13"/>
      <c r="R1188" s="14"/>
    </row>
    <row r="1189" spans="1:18" ht="15" customHeight="1">
      <c r="A1189" s="15" t="s">
        <v>26</v>
      </c>
      <c r="B1189" s="15" t="s">
        <v>825</v>
      </c>
      <c r="C1189" s="16">
        <v>0.69791666666666663</v>
      </c>
      <c r="D1189" s="15" t="s">
        <v>34</v>
      </c>
      <c r="E1189" s="15" t="s">
        <v>82</v>
      </c>
      <c r="F1189" s="15" t="s">
        <v>45</v>
      </c>
      <c r="G1189" s="298"/>
      <c r="H1189" s="10"/>
      <c r="I1189" s="11"/>
      <c r="J1189" s="11"/>
      <c r="K1189" s="11"/>
      <c r="L1189" s="11"/>
      <c r="M1189" s="11"/>
      <c r="N1189" s="11"/>
      <c r="O1189" s="12"/>
      <c r="P1189" s="11"/>
      <c r="Q1189" s="13"/>
      <c r="R1189" s="14"/>
    </row>
    <row r="1190" spans="1:18" ht="15" customHeight="1">
      <c r="A1190" s="17" t="s">
        <v>26</v>
      </c>
      <c r="B1190" s="17" t="s">
        <v>826</v>
      </c>
      <c r="C1190" s="18">
        <v>0.95833333333333337</v>
      </c>
      <c r="D1190" s="17" t="s">
        <v>28</v>
      </c>
      <c r="E1190" s="17" t="s">
        <v>90</v>
      </c>
      <c r="F1190" s="17" t="s">
        <v>827</v>
      </c>
      <c r="G1190" s="298"/>
      <c r="H1190" s="10"/>
      <c r="I1190" s="11"/>
      <c r="J1190" s="11"/>
      <c r="K1190" s="11"/>
      <c r="L1190" s="11"/>
      <c r="M1190" s="11"/>
      <c r="N1190" s="11"/>
      <c r="O1190" s="12"/>
      <c r="P1190" s="11"/>
      <c r="Q1190" s="13"/>
      <c r="R1190" s="14"/>
    </row>
    <row r="1191" spans="1:18" ht="15" customHeight="1">
      <c r="A1191" s="15" t="s">
        <v>26</v>
      </c>
      <c r="B1191" s="15" t="s">
        <v>826</v>
      </c>
      <c r="C1191" s="16">
        <v>0.95833333333333337</v>
      </c>
      <c r="D1191" s="15" t="s">
        <v>31</v>
      </c>
      <c r="E1191" s="15" t="s">
        <v>82</v>
      </c>
      <c r="F1191" s="15" t="s">
        <v>161</v>
      </c>
      <c r="G1191" s="298"/>
      <c r="H1191" s="10"/>
      <c r="I1191" s="11"/>
      <c r="J1191" s="11"/>
      <c r="K1191" s="11"/>
      <c r="L1191" s="11"/>
      <c r="M1191" s="11"/>
      <c r="N1191" s="11"/>
      <c r="O1191" s="12"/>
      <c r="P1191" s="11"/>
      <c r="Q1191" s="13"/>
      <c r="R1191" s="14"/>
    </row>
    <row r="1192" spans="1:18" ht="15" customHeight="1">
      <c r="A1192" s="15" t="s">
        <v>26</v>
      </c>
      <c r="B1192" s="15" t="s">
        <v>826</v>
      </c>
      <c r="C1192" s="16">
        <v>0.95833333333333337</v>
      </c>
      <c r="D1192" s="15" t="s">
        <v>34</v>
      </c>
      <c r="E1192" s="15" t="s">
        <v>82</v>
      </c>
      <c r="F1192" s="15" t="s">
        <v>123</v>
      </c>
      <c r="G1192" s="298"/>
      <c r="H1192" s="10"/>
      <c r="I1192" s="11"/>
      <c r="J1192" s="11"/>
      <c r="K1192" s="11"/>
      <c r="L1192" s="11"/>
      <c r="M1192" s="11"/>
      <c r="N1192" s="11"/>
      <c r="O1192" s="12"/>
      <c r="P1192" s="11"/>
      <c r="Q1192" s="13"/>
      <c r="R1192" s="14"/>
    </row>
    <row r="1193" spans="1:18" ht="15" customHeight="1">
      <c r="A1193" s="17" t="s">
        <v>26</v>
      </c>
      <c r="B1193" s="17" t="s">
        <v>823</v>
      </c>
      <c r="C1193" s="18">
        <v>0.81944444444444453</v>
      </c>
      <c r="D1193" s="17" t="s">
        <v>28</v>
      </c>
      <c r="E1193" s="17" t="s">
        <v>90</v>
      </c>
      <c r="F1193" s="17" t="s">
        <v>827</v>
      </c>
      <c r="G1193" s="298"/>
      <c r="H1193" s="10"/>
      <c r="I1193" s="11"/>
      <c r="J1193" s="11"/>
      <c r="K1193" s="11"/>
      <c r="L1193" s="11"/>
      <c r="M1193" s="11"/>
      <c r="N1193" s="11"/>
      <c r="O1193" s="12"/>
      <c r="P1193" s="11"/>
      <c r="Q1193" s="13"/>
      <c r="R1193" s="14"/>
    </row>
    <row r="1194" spans="1:18" ht="15" customHeight="1">
      <c r="A1194" s="15" t="s">
        <v>26</v>
      </c>
      <c r="B1194" s="15" t="s">
        <v>823</v>
      </c>
      <c r="C1194" s="16">
        <v>0.81944444444444453</v>
      </c>
      <c r="D1194" s="15" t="s">
        <v>31</v>
      </c>
      <c r="E1194" s="15" t="s">
        <v>82</v>
      </c>
      <c r="F1194" s="15" t="s">
        <v>161</v>
      </c>
      <c r="G1194" s="298"/>
      <c r="H1194" s="10"/>
      <c r="I1194" s="11"/>
      <c r="J1194" s="11"/>
      <c r="K1194" s="11"/>
      <c r="L1194" s="11"/>
      <c r="M1194" s="11"/>
      <c r="N1194" s="11"/>
      <c r="O1194" s="12"/>
      <c r="P1194" s="11"/>
      <c r="Q1194" s="13"/>
      <c r="R1194" s="14"/>
    </row>
    <row r="1195" spans="1:18" ht="15" customHeight="1">
      <c r="A1195" s="15" t="s">
        <v>26</v>
      </c>
      <c r="B1195" s="15" t="s">
        <v>823</v>
      </c>
      <c r="C1195" s="16">
        <v>0.81944444444444453</v>
      </c>
      <c r="D1195" s="15" t="s">
        <v>34</v>
      </c>
      <c r="E1195" s="15" t="s">
        <v>82</v>
      </c>
      <c r="F1195" s="15" t="s">
        <v>123</v>
      </c>
      <c r="G1195" s="298"/>
      <c r="H1195" s="10"/>
      <c r="I1195" s="11"/>
      <c r="J1195" s="11"/>
      <c r="K1195" s="11"/>
      <c r="L1195" s="11"/>
      <c r="M1195" s="11"/>
      <c r="N1195" s="11"/>
      <c r="O1195" s="12"/>
      <c r="P1195" s="11"/>
      <c r="Q1195" s="13"/>
      <c r="R1195" s="14"/>
    </row>
    <row r="1196" spans="1:18" ht="15" customHeight="1">
      <c r="A1196" s="19" t="s">
        <v>359</v>
      </c>
      <c r="B1196" s="19" t="s">
        <v>814</v>
      </c>
      <c r="C1196" s="20">
        <v>0.4375</v>
      </c>
      <c r="D1196" s="19" t="s">
        <v>361</v>
      </c>
      <c r="E1196" s="19" t="s">
        <v>80</v>
      </c>
      <c r="F1196" s="19" t="s">
        <v>949</v>
      </c>
      <c r="G1196" s="298"/>
      <c r="H1196" s="10"/>
      <c r="I1196" s="11"/>
      <c r="J1196" s="11"/>
      <c r="K1196" s="11"/>
      <c r="L1196" s="11"/>
      <c r="M1196" s="11"/>
      <c r="N1196" s="11"/>
      <c r="O1196" s="12"/>
      <c r="P1196" s="11"/>
      <c r="Q1196" s="13"/>
      <c r="R1196" s="14"/>
    </row>
    <row r="1197" spans="1:18" ht="15" customHeight="1">
      <c r="A1197" s="15" t="s">
        <v>359</v>
      </c>
      <c r="B1197" s="15" t="s">
        <v>814</v>
      </c>
      <c r="C1197" s="16">
        <v>0.4375</v>
      </c>
      <c r="D1197" s="15" t="s">
        <v>46</v>
      </c>
      <c r="E1197" s="15" t="s">
        <v>82</v>
      </c>
      <c r="F1197" s="15" t="s">
        <v>950</v>
      </c>
      <c r="G1197" s="298"/>
      <c r="H1197" s="10"/>
      <c r="I1197" s="11"/>
      <c r="J1197" s="11"/>
      <c r="K1197" s="11"/>
      <c r="L1197" s="11"/>
      <c r="M1197" s="11"/>
      <c r="N1197" s="11"/>
      <c r="O1197" s="12"/>
      <c r="P1197" s="11"/>
      <c r="Q1197" s="13"/>
      <c r="R1197" s="14"/>
    </row>
    <row r="1198" spans="1:18" ht="15" customHeight="1">
      <c r="A1198" s="21" t="s">
        <v>61</v>
      </c>
      <c r="B1198" s="21" t="s">
        <v>816</v>
      </c>
      <c r="C1198" s="22">
        <v>0.41319444444444442</v>
      </c>
      <c r="D1198" s="21" t="s">
        <v>63</v>
      </c>
      <c r="E1198" s="21" t="s">
        <v>51</v>
      </c>
      <c r="F1198" s="21" t="s">
        <v>33</v>
      </c>
      <c r="G1198" s="298"/>
      <c r="H1198" s="23" t="s">
        <v>818</v>
      </c>
      <c r="I1198" s="24">
        <v>0</v>
      </c>
      <c r="J1198" s="25">
        <v>0</v>
      </c>
      <c r="K1198" s="26" t="s">
        <v>66</v>
      </c>
      <c r="L1198" s="25">
        <v>0</v>
      </c>
      <c r="M1198" s="25">
        <v>0</v>
      </c>
      <c r="N1198" s="25">
        <v>0</v>
      </c>
      <c r="O1198" s="27" t="s">
        <v>514</v>
      </c>
      <c r="P1198" s="28">
        <v>0.41319444444444442</v>
      </c>
      <c r="Q1198" s="25">
        <v>179</v>
      </c>
      <c r="R1198" s="29" t="s">
        <v>66</v>
      </c>
    </row>
    <row r="1199" spans="1:18" ht="15" customHeight="1">
      <c r="A1199" s="19" t="s">
        <v>68</v>
      </c>
      <c r="B1199" s="19" t="s">
        <v>843</v>
      </c>
      <c r="C1199" s="20">
        <v>0.35416666666666669</v>
      </c>
      <c r="D1199" s="19" t="s">
        <v>70</v>
      </c>
      <c r="E1199" s="19" t="s">
        <v>51</v>
      </c>
      <c r="F1199" s="19" t="s">
        <v>404</v>
      </c>
      <c r="G1199" s="298"/>
      <c r="H1199" s="10"/>
      <c r="I1199" s="11"/>
      <c r="J1199" s="11"/>
      <c r="K1199" s="11"/>
      <c r="L1199" s="11"/>
      <c r="M1199" s="11"/>
      <c r="N1199" s="11"/>
      <c r="O1199" s="12"/>
      <c r="P1199" s="11"/>
      <c r="Q1199" s="13"/>
      <c r="R1199" s="14"/>
    </row>
    <row r="1200" spans="1:18" ht="15" customHeight="1">
      <c r="A1200" s="17" t="s">
        <v>68</v>
      </c>
      <c r="B1200" s="17" t="s">
        <v>844</v>
      </c>
      <c r="C1200" s="18">
        <v>0.72916666666666663</v>
      </c>
      <c r="D1200" s="17" t="s">
        <v>70</v>
      </c>
      <c r="E1200" s="17" t="s">
        <v>91</v>
      </c>
      <c r="F1200" s="17" t="s">
        <v>892</v>
      </c>
      <c r="G1200" s="298"/>
      <c r="H1200" s="10"/>
      <c r="I1200" s="11"/>
      <c r="J1200" s="11"/>
      <c r="K1200" s="11"/>
      <c r="L1200" s="11"/>
      <c r="M1200" s="11"/>
      <c r="N1200" s="11"/>
      <c r="O1200" s="12"/>
      <c r="P1200" s="11"/>
      <c r="Q1200" s="13"/>
      <c r="R1200" s="14"/>
    </row>
    <row r="1201" spans="1:18" ht="15" customHeight="1">
      <c r="A1201" s="17" t="s">
        <v>68</v>
      </c>
      <c r="B1201" s="17" t="s">
        <v>842</v>
      </c>
      <c r="C1201" s="18">
        <v>0.98263888888888884</v>
      </c>
      <c r="D1201" s="17" t="s">
        <v>70</v>
      </c>
      <c r="E1201" s="17" t="s">
        <v>57</v>
      </c>
      <c r="F1201" s="17" t="s">
        <v>45</v>
      </c>
      <c r="G1201" s="298"/>
      <c r="H1201" s="10"/>
      <c r="I1201" s="11"/>
      <c r="J1201" s="11"/>
      <c r="K1201" s="11"/>
      <c r="L1201" s="11"/>
      <c r="M1201" s="11"/>
      <c r="N1201" s="11"/>
      <c r="O1201" s="12"/>
      <c r="P1201" s="11"/>
      <c r="Q1201" s="13"/>
      <c r="R1201" s="14"/>
    </row>
    <row r="1202" spans="1:18" ht="15" customHeight="1">
      <c r="A1202" s="19" t="s">
        <v>402</v>
      </c>
      <c r="B1202" s="19" t="s">
        <v>839</v>
      </c>
      <c r="C1202" s="20">
        <v>0.1701388888888889</v>
      </c>
      <c r="D1202" s="19" t="s">
        <v>63</v>
      </c>
      <c r="E1202" s="19" t="s">
        <v>103</v>
      </c>
      <c r="F1202" s="19" t="s">
        <v>881</v>
      </c>
      <c r="G1202" s="298"/>
      <c r="H1202" s="10"/>
      <c r="I1202" s="11"/>
      <c r="J1202" s="11"/>
      <c r="K1202" s="11"/>
      <c r="L1202" s="11"/>
      <c r="M1202" s="11"/>
      <c r="N1202" s="11"/>
      <c r="O1202" s="12"/>
      <c r="P1202" s="11"/>
      <c r="Q1202" s="13"/>
      <c r="R1202" s="14"/>
    </row>
    <row r="1203" spans="1:18" ht="15" customHeight="1">
      <c r="A1203" s="17" t="s">
        <v>402</v>
      </c>
      <c r="B1203" s="17" t="s">
        <v>841</v>
      </c>
      <c r="C1203" s="18">
        <v>0.61458333333333337</v>
      </c>
      <c r="D1203" s="17" t="s">
        <v>63</v>
      </c>
      <c r="E1203" s="17" t="s">
        <v>372</v>
      </c>
      <c r="F1203" s="17" t="s">
        <v>881</v>
      </c>
      <c r="G1203" s="298"/>
      <c r="H1203" s="10"/>
      <c r="I1203" s="11"/>
      <c r="J1203" s="11"/>
      <c r="K1203" s="11"/>
      <c r="L1203" s="11"/>
      <c r="M1203" s="11"/>
      <c r="N1203" s="11"/>
      <c r="O1203" s="12"/>
      <c r="P1203" s="11"/>
      <c r="Q1203" s="13"/>
      <c r="R1203" s="14"/>
    </row>
    <row r="1204" spans="1:18" ht="15" customHeight="1">
      <c r="A1204" s="19" t="s">
        <v>48</v>
      </c>
      <c r="B1204" s="19" t="s">
        <v>837</v>
      </c>
      <c r="C1204" s="20">
        <v>0.62847222222222221</v>
      </c>
      <c r="D1204" s="19" t="s">
        <v>53</v>
      </c>
      <c r="E1204" s="19" t="s">
        <v>29</v>
      </c>
      <c r="F1204" s="19" t="s">
        <v>836</v>
      </c>
      <c r="G1204" s="298"/>
      <c r="H1204" s="10"/>
      <c r="I1204" s="11"/>
      <c r="J1204" s="11"/>
      <c r="K1204" s="11"/>
      <c r="L1204" s="11"/>
      <c r="M1204" s="11"/>
      <c r="N1204" s="11"/>
      <c r="O1204" s="12"/>
      <c r="P1204" s="11"/>
      <c r="Q1204" s="13"/>
      <c r="R1204" s="14"/>
    </row>
    <row r="1205" spans="1:18" ht="15" customHeight="1">
      <c r="A1205" s="17" t="s">
        <v>48</v>
      </c>
      <c r="B1205" s="17" t="s">
        <v>835</v>
      </c>
      <c r="C1205" s="18">
        <v>0.88888888888888884</v>
      </c>
      <c r="D1205" s="17" t="s">
        <v>53</v>
      </c>
      <c r="E1205" s="17" t="s">
        <v>37</v>
      </c>
      <c r="F1205" s="17" t="s">
        <v>946</v>
      </c>
      <c r="G1205" s="298"/>
      <c r="H1205" s="10"/>
      <c r="I1205" s="11"/>
      <c r="J1205" s="11"/>
      <c r="K1205" s="11"/>
      <c r="L1205" s="11"/>
      <c r="M1205" s="11"/>
      <c r="N1205" s="11"/>
      <c r="O1205" s="12"/>
      <c r="P1205" s="11"/>
      <c r="Q1205" s="13"/>
      <c r="R1205" s="14"/>
    </row>
    <row r="1206" spans="1:18" ht="15" customHeight="1">
      <c r="A1206" s="17" t="s">
        <v>48</v>
      </c>
      <c r="B1206" s="17" t="s">
        <v>838</v>
      </c>
      <c r="C1206" s="18">
        <v>0.94444444444444453</v>
      </c>
      <c r="D1206" s="17" t="s">
        <v>53</v>
      </c>
      <c r="E1206" s="17" t="s">
        <v>37</v>
      </c>
      <c r="F1206" s="17" t="s">
        <v>933</v>
      </c>
      <c r="G1206" s="298"/>
      <c r="H1206" s="10"/>
      <c r="I1206" s="11"/>
      <c r="J1206" s="11"/>
      <c r="K1206" s="11"/>
      <c r="L1206" s="11"/>
      <c r="M1206" s="11"/>
      <c r="N1206" s="11"/>
      <c r="O1206" s="12"/>
      <c r="P1206" s="11"/>
      <c r="Q1206" s="13"/>
      <c r="R1206" s="14"/>
    </row>
    <row r="1207" spans="1:18" ht="15" customHeight="1">
      <c r="A1207" s="17" t="s">
        <v>48</v>
      </c>
      <c r="B1207" s="17" t="s">
        <v>833</v>
      </c>
      <c r="C1207" s="18">
        <v>0.44444444444444442</v>
      </c>
      <c r="D1207" s="17" t="s">
        <v>53</v>
      </c>
      <c r="E1207" s="17" t="s">
        <v>57</v>
      </c>
      <c r="F1207" s="17" t="s">
        <v>870</v>
      </c>
      <c r="G1207" s="298"/>
      <c r="H1207" s="10"/>
      <c r="I1207" s="11"/>
      <c r="J1207" s="11"/>
      <c r="K1207" s="11"/>
      <c r="L1207" s="11"/>
      <c r="M1207" s="11"/>
      <c r="N1207" s="11"/>
      <c r="O1207" s="12"/>
      <c r="P1207" s="11"/>
      <c r="Q1207" s="13"/>
      <c r="R1207" s="14"/>
    </row>
    <row r="1208" spans="1:18" ht="15" customHeight="1">
      <c r="A1208" s="17" t="s">
        <v>48</v>
      </c>
      <c r="B1208" s="17" t="s">
        <v>828</v>
      </c>
      <c r="C1208" s="18">
        <v>0.82986111111111116</v>
      </c>
      <c r="D1208" s="17" t="s">
        <v>53</v>
      </c>
      <c r="E1208" s="17" t="s">
        <v>57</v>
      </c>
      <c r="F1208" s="17" t="s">
        <v>870</v>
      </c>
      <c r="G1208" s="298"/>
      <c r="H1208" s="10"/>
      <c r="I1208" s="11"/>
      <c r="J1208" s="11"/>
      <c r="K1208" s="11"/>
      <c r="L1208" s="11"/>
      <c r="M1208" s="11"/>
      <c r="N1208" s="11"/>
      <c r="O1208" s="12"/>
      <c r="P1208" s="11"/>
      <c r="Q1208" s="13"/>
      <c r="R1208" s="14"/>
    </row>
    <row r="1209" spans="1:18" ht="15" customHeight="1">
      <c r="A1209" s="17" t="s">
        <v>48</v>
      </c>
      <c r="B1209" s="17" t="s">
        <v>831</v>
      </c>
      <c r="C1209" s="18">
        <v>0.98263888888888884</v>
      </c>
      <c r="D1209" s="17" t="s">
        <v>53</v>
      </c>
      <c r="E1209" s="17" t="s">
        <v>57</v>
      </c>
      <c r="F1209" s="17" t="s">
        <v>870</v>
      </c>
      <c r="G1209" s="298"/>
      <c r="H1209" s="10"/>
      <c r="I1209" s="11"/>
      <c r="J1209" s="11"/>
      <c r="K1209" s="11"/>
      <c r="L1209" s="11"/>
      <c r="M1209" s="11"/>
      <c r="N1209" s="11"/>
      <c r="O1209" s="12"/>
      <c r="P1209" s="11"/>
      <c r="Q1209" s="13"/>
      <c r="R1209" s="14"/>
    </row>
    <row r="1210" spans="1:18" ht="15" customHeight="1" thickBot="1">
      <c r="A1210" s="30" t="s">
        <v>48</v>
      </c>
      <c r="B1210" s="30" t="s">
        <v>832</v>
      </c>
      <c r="C1210" s="31">
        <v>0.62847222222222221</v>
      </c>
      <c r="D1210" s="30" t="s">
        <v>53</v>
      </c>
      <c r="E1210" s="30" t="s">
        <v>57</v>
      </c>
      <c r="F1210" s="30" t="s">
        <v>870</v>
      </c>
      <c r="G1210" s="299"/>
      <c r="H1210" s="300"/>
      <c r="I1210" s="140"/>
      <c r="J1210" s="140"/>
      <c r="K1210" s="140"/>
      <c r="L1210" s="140"/>
      <c r="M1210" s="140"/>
      <c r="N1210" s="140"/>
      <c r="O1210" s="141"/>
      <c r="P1210" s="140"/>
      <c r="Q1210" s="142"/>
      <c r="R1210" s="301"/>
    </row>
    <row r="1211" spans="1:18" ht="17.45" customHeight="1" thickBot="1">
      <c r="A1211" s="283"/>
      <c r="B1211" s="284"/>
      <c r="C1211" s="284"/>
      <c r="D1211" s="284"/>
      <c r="E1211" s="284"/>
      <c r="F1211" s="284"/>
      <c r="G1211" s="284"/>
      <c r="H1211" s="284"/>
      <c r="I1211" s="284"/>
      <c r="J1211" s="284"/>
      <c r="K1211" s="284"/>
      <c r="L1211" s="284"/>
      <c r="M1211" s="284"/>
      <c r="N1211" s="284"/>
      <c r="O1211" s="284"/>
      <c r="P1211" s="284"/>
      <c r="Q1211" s="284"/>
      <c r="R1211" s="285"/>
    </row>
    <row r="1212" spans="1:18" ht="22.15" customHeight="1" thickTop="1" thickBot="1">
      <c r="A1212" s="279" t="s">
        <v>6</v>
      </c>
      <c r="B1212" s="295"/>
      <c r="C1212" s="295"/>
      <c r="D1212" s="295"/>
      <c r="E1212" s="295"/>
      <c r="F1212" s="296"/>
      <c r="G1212" s="32">
        <v>46045</v>
      </c>
      <c r="H1212" s="278" t="s">
        <v>7</v>
      </c>
      <c r="I1212" s="295"/>
      <c r="J1212" s="295"/>
      <c r="K1212" s="295"/>
      <c r="L1212" s="295"/>
      <c r="M1212" s="295"/>
      <c r="N1212" s="295"/>
      <c r="O1212" s="295"/>
      <c r="P1212" s="295"/>
      <c r="Q1212" s="295"/>
      <c r="R1212" s="296"/>
    </row>
    <row r="1213" spans="1:18" ht="24" customHeight="1">
      <c r="A1213" s="33" t="s">
        <v>8</v>
      </c>
      <c r="B1213" s="33" t="s">
        <v>9</v>
      </c>
      <c r="C1213" s="34" t="s">
        <v>10</v>
      </c>
      <c r="D1213" s="33" t="s">
        <v>11</v>
      </c>
      <c r="E1213" s="33" t="s">
        <v>12</v>
      </c>
      <c r="F1213" s="35" t="s">
        <v>13</v>
      </c>
      <c r="G1213" s="36" t="s">
        <v>14</v>
      </c>
      <c r="H1213" s="33" t="s">
        <v>15</v>
      </c>
      <c r="I1213" s="37" t="s">
        <v>16</v>
      </c>
      <c r="J1213" s="38" t="s">
        <v>17</v>
      </c>
      <c r="K1213" s="39" t="s">
        <v>18</v>
      </c>
      <c r="L1213" s="38" t="s">
        <v>19</v>
      </c>
      <c r="M1213" s="38" t="s">
        <v>20</v>
      </c>
      <c r="N1213" s="38" t="s">
        <v>21</v>
      </c>
      <c r="O1213" s="33" t="s">
        <v>22</v>
      </c>
      <c r="P1213" s="34" t="s">
        <v>23</v>
      </c>
      <c r="Q1213" s="38" t="s">
        <v>24</v>
      </c>
      <c r="R1213" s="33" t="s">
        <v>25</v>
      </c>
    </row>
    <row r="1214" spans="1:18" ht="15" customHeight="1">
      <c r="A1214" s="8" t="s">
        <v>26</v>
      </c>
      <c r="B1214" s="8" t="s">
        <v>821</v>
      </c>
      <c r="C1214" s="9">
        <v>0.63194444444444442</v>
      </c>
      <c r="D1214" s="8" t="s">
        <v>28</v>
      </c>
      <c r="E1214" s="8" t="s">
        <v>107</v>
      </c>
      <c r="F1214" s="8" t="s">
        <v>81</v>
      </c>
      <c r="G1214" s="297"/>
      <c r="H1214" s="10"/>
      <c r="I1214" s="11"/>
      <c r="J1214" s="11"/>
      <c r="K1214" s="11"/>
      <c r="L1214" s="11"/>
      <c r="M1214" s="11"/>
      <c r="N1214" s="11"/>
      <c r="O1214" s="12"/>
      <c r="P1214" s="11"/>
      <c r="Q1214" s="13"/>
      <c r="R1214" s="14"/>
    </row>
    <row r="1215" spans="1:18" ht="15" customHeight="1">
      <c r="A1215" s="15" t="s">
        <v>26</v>
      </c>
      <c r="B1215" s="15" t="s">
        <v>821</v>
      </c>
      <c r="C1215" s="16">
        <v>0.63194444444444442</v>
      </c>
      <c r="D1215" s="15" t="s">
        <v>31</v>
      </c>
      <c r="E1215" s="15" t="s">
        <v>108</v>
      </c>
      <c r="F1215" s="15" t="s">
        <v>83</v>
      </c>
      <c r="G1215" s="298"/>
      <c r="H1215" s="10"/>
      <c r="I1215" s="11"/>
      <c r="J1215" s="11"/>
      <c r="K1215" s="11"/>
      <c r="L1215" s="11"/>
      <c r="M1215" s="11"/>
      <c r="N1215" s="11"/>
      <c r="O1215" s="12"/>
      <c r="P1215" s="11"/>
      <c r="Q1215" s="13"/>
      <c r="R1215" s="14"/>
    </row>
    <row r="1216" spans="1:18" ht="15" customHeight="1">
      <c r="A1216" s="15" t="s">
        <v>26</v>
      </c>
      <c r="B1216" s="15" t="s">
        <v>821</v>
      </c>
      <c r="C1216" s="16">
        <v>0.63194444444444442</v>
      </c>
      <c r="D1216" s="15" t="s">
        <v>34</v>
      </c>
      <c r="E1216" s="15" t="s">
        <v>108</v>
      </c>
      <c r="F1216" s="15" t="s">
        <v>45</v>
      </c>
      <c r="G1216" s="298"/>
      <c r="H1216" s="10"/>
      <c r="I1216" s="11"/>
      <c r="J1216" s="11"/>
      <c r="K1216" s="11"/>
      <c r="L1216" s="11"/>
      <c r="M1216" s="11"/>
      <c r="N1216" s="11"/>
      <c r="O1216" s="12"/>
      <c r="P1216" s="11"/>
      <c r="Q1216" s="13"/>
      <c r="R1216" s="14"/>
    </row>
    <row r="1217" spans="1:18" ht="15" customHeight="1">
      <c r="A1217" s="17" t="s">
        <v>26</v>
      </c>
      <c r="B1217" s="17" t="s">
        <v>822</v>
      </c>
      <c r="C1217" s="18">
        <v>0.55902777777777779</v>
      </c>
      <c r="D1217" s="17" t="s">
        <v>28</v>
      </c>
      <c r="E1217" s="17" t="s">
        <v>435</v>
      </c>
      <c r="F1217" s="17" t="s">
        <v>81</v>
      </c>
      <c r="G1217" s="298"/>
      <c r="H1217" s="10"/>
      <c r="I1217" s="11"/>
      <c r="J1217" s="11"/>
      <c r="K1217" s="11"/>
      <c r="L1217" s="11"/>
      <c r="M1217" s="11"/>
      <c r="N1217" s="11"/>
      <c r="O1217" s="12"/>
      <c r="P1217" s="11"/>
      <c r="Q1217" s="13"/>
      <c r="R1217" s="14"/>
    </row>
    <row r="1218" spans="1:18" ht="15" customHeight="1">
      <c r="A1218" s="15" t="s">
        <v>26</v>
      </c>
      <c r="B1218" s="15" t="s">
        <v>822</v>
      </c>
      <c r="C1218" s="16">
        <v>0.55902777777777779</v>
      </c>
      <c r="D1218" s="15" t="s">
        <v>31</v>
      </c>
      <c r="E1218" s="15" t="s">
        <v>108</v>
      </c>
      <c r="F1218" s="15" t="s">
        <v>83</v>
      </c>
      <c r="G1218" s="298"/>
      <c r="H1218" s="10"/>
      <c r="I1218" s="11"/>
      <c r="J1218" s="11"/>
      <c r="K1218" s="11"/>
      <c r="L1218" s="11"/>
      <c r="M1218" s="11"/>
      <c r="N1218" s="11"/>
      <c r="O1218" s="12"/>
      <c r="P1218" s="11"/>
      <c r="Q1218" s="13"/>
      <c r="R1218" s="14"/>
    </row>
    <row r="1219" spans="1:18" ht="15" customHeight="1">
      <c r="A1219" s="15" t="s">
        <v>26</v>
      </c>
      <c r="B1219" s="15" t="s">
        <v>822</v>
      </c>
      <c r="C1219" s="16">
        <v>0.55902777777777779</v>
      </c>
      <c r="D1219" s="15" t="s">
        <v>34</v>
      </c>
      <c r="E1219" s="15" t="s">
        <v>108</v>
      </c>
      <c r="F1219" s="15" t="s">
        <v>45</v>
      </c>
      <c r="G1219" s="298"/>
      <c r="H1219" s="10"/>
      <c r="I1219" s="11"/>
      <c r="J1219" s="11"/>
      <c r="K1219" s="11"/>
      <c r="L1219" s="11"/>
      <c r="M1219" s="11"/>
      <c r="N1219" s="11"/>
      <c r="O1219" s="12"/>
      <c r="P1219" s="11"/>
      <c r="Q1219" s="13"/>
      <c r="R1219" s="14"/>
    </row>
    <row r="1220" spans="1:18" ht="15" customHeight="1">
      <c r="A1220" s="17" t="s">
        <v>26</v>
      </c>
      <c r="B1220" s="17" t="s">
        <v>824</v>
      </c>
      <c r="C1220" s="18">
        <v>0.50694444444444442</v>
      </c>
      <c r="D1220" s="17" t="s">
        <v>28</v>
      </c>
      <c r="E1220" s="17" t="s">
        <v>427</v>
      </c>
      <c r="F1220" s="17" t="s">
        <v>81</v>
      </c>
      <c r="G1220" s="298"/>
      <c r="H1220" s="10"/>
      <c r="I1220" s="11"/>
      <c r="J1220" s="11"/>
      <c r="K1220" s="11"/>
      <c r="L1220" s="11"/>
      <c r="M1220" s="11"/>
      <c r="N1220" s="11"/>
      <c r="O1220" s="12"/>
      <c r="P1220" s="11"/>
      <c r="Q1220" s="13"/>
      <c r="R1220" s="14"/>
    </row>
    <row r="1221" spans="1:18" ht="15" customHeight="1">
      <c r="A1221" s="15" t="s">
        <v>26</v>
      </c>
      <c r="B1221" s="15" t="s">
        <v>824</v>
      </c>
      <c r="C1221" s="16">
        <v>0.50694444444444442</v>
      </c>
      <c r="D1221" s="15" t="s">
        <v>31</v>
      </c>
      <c r="E1221" s="15" t="s">
        <v>115</v>
      </c>
      <c r="F1221" s="15" t="s">
        <v>83</v>
      </c>
      <c r="G1221" s="298"/>
      <c r="H1221" s="10"/>
      <c r="I1221" s="11"/>
      <c r="J1221" s="11"/>
      <c r="K1221" s="11"/>
      <c r="L1221" s="11"/>
      <c r="M1221" s="11"/>
      <c r="N1221" s="11"/>
      <c r="O1221" s="12"/>
      <c r="P1221" s="11"/>
      <c r="Q1221" s="13"/>
      <c r="R1221" s="14"/>
    </row>
    <row r="1222" spans="1:18" ht="15" customHeight="1">
      <c r="A1222" s="15" t="s">
        <v>26</v>
      </c>
      <c r="B1222" s="15" t="s">
        <v>824</v>
      </c>
      <c r="C1222" s="16">
        <v>0.50694444444444442</v>
      </c>
      <c r="D1222" s="15" t="s">
        <v>34</v>
      </c>
      <c r="E1222" s="15" t="s">
        <v>115</v>
      </c>
      <c r="F1222" s="15" t="s">
        <v>45</v>
      </c>
      <c r="G1222" s="298"/>
      <c r="H1222" s="10"/>
      <c r="I1222" s="11"/>
      <c r="J1222" s="11"/>
      <c r="K1222" s="11"/>
      <c r="L1222" s="11"/>
      <c r="M1222" s="11"/>
      <c r="N1222" s="11"/>
      <c r="O1222" s="12"/>
      <c r="P1222" s="11"/>
      <c r="Q1222" s="13"/>
      <c r="R1222" s="14"/>
    </row>
    <row r="1223" spans="1:18" ht="15" customHeight="1">
      <c r="A1223" s="17" t="s">
        <v>26</v>
      </c>
      <c r="B1223" s="17" t="s">
        <v>825</v>
      </c>
      <c r="C1223" s="18">
        <v>0.69791666666666663</v>
      </c>
      <c r="D1223" s="17" t="s">
        <v>28</v>
      </c>
      <c r="E1223" s="17" t="s">
        <v>435</v>
      </c>
      <c r="F1223" s="17" t="s">
        <v>81</v>
      </c>
      <c r="G1223" s="298"/>
      <c r="H1223" s="10"/>
      <c r="I1223" s="11"/>
      <c r="J1223" s="11"/>
      <c r="K1223" s="11"/>
      <c r="L1223" s="11"/>
      <c r="M1223" s="11"/>
      <c r="N1223" s="11"/>
      <c r="O1223" s="12"/>
      <c r="P1223" s="11"/>
      <c r="Q1223" s="13"/>
      <c r="R1223" s="14"/>
    </row>
    <row r="1224" spans="1:18" ht="15" customHeight="1">
      <c r="A1224" s="15" t="s">
        <v>26</v>
      </c>
      <c r="B1224" s="15" t="s">
        <v>825</v>
      </c>
      <c r="C1224" s="16">
        <v>0.69791666666666663</v>
      </c>
      <c r="D1224" s="15" t="s">
        <v>31</v>
      </c>
      <c r="E1224" s="15" t="s">
        <v>108</v>
      </c>
      <c r="F1224" s="15" t="s">
        <v>83</v>
      </c>
      <c r="G1224" s="298"/>
      <c r="H1224" s="10"/>
      <c r="I1224" s="11"/>
      <c r="J1224" s="11"/>
      <c r="K1224" s="11"/>
      <c r="L1224" s="11"/>
      <c r="M1224" s="11"/>
      <c r="N1224" s="11"/>
      <c r="O1224" s="12"/>
      <c r="P1224" s="11"/>
      <c r="Q1224" s="13"/>
      <c r="R1224" s="14"/>
    </row>
    <row r="1225" spans="1:18" ht="15" customHeight="1">
      <c r="A1225" s="15" t="s">
        <v>26</v>
      </c>
      <c r="B1225" s="15" t="s">
        <v>825</v>
      </c>
      <c r="C1225" s="16">
        <v>0.69791666666666663</v>
      </c>
      <c r="D1225" s="15" t="s">
        <v>34</v>
      </c>
      <c r="E1225" s="15" t="s">
        <v>108</v>
      </c>
      <c r="F1225" s="15" t="s">
        <v>45</v>
      </c>
      <c r="G1225" s="298"/>
      <c r="H1225" s="10"/>
      <c r="I1225" s="11"/>
      <c r="J1225" s="11"/>
      <c r="K1225" s="11"/>
      <c r="L1225" s="11"/>
      <c r="M1225" s="11"/>
      <c r="N1225" s="11"/>
      <c r="O1225" s="12"/>
      <c r="P1225" s="11"/>
      <c r="Q1225" s="13"/>
      <c r="R1225" s="14"/>
    </row>
    <row r="1226" spans="1:18" ht="15" customHeight="1">
      <c r="A1226" s="17" t="s">
        <v>26</v>
      </c>
      <c r="B1226" s="17" t="s">
        <v>820</v>
      </c>
      <c r="C1226" s="18">
        <v>0.4375</v>
      </c>
      <c r="D1226" s="17" t="s">
        <v>28</v>
      </c>
      <c r="E1226" s="17" t="s">
        <v>90</v>
      </c>
      <c r="F1226" s="17" t="s">
        <v>827</v>
      </c>
      <c r="G1226" s="298"/>
      <c r="H1226" s="10"/>
      <c r="I1226" s="11"/>
      <c r="J1226" s="11"/>
      <c r="K1226" s="11"/>
      <c r="L1226" s="11"/>
      <c r="M1226" s="11"/>
      <c r="N1226" s="11"/>
      <c r="O1226" s="12"/>
      <c r="P1226" s="11"/>
      <c r="Q1226" s="13"/>
      <c r="R1226" s="14"/>
    </row>
    <row r="1227" spans="1:18" ht="15" customHeight="1">
      <c r="A1227" s="15" t="s">
        <v>26</v>
      </c>
      <c r="B1227" s="15" t="s">
        <v>820</v>
      </c>
      <c r="C1227" s="16">
        <v>0.4375</v>
      </c>
      <c r="D1227" s="15" t="s">
        <v>31</v>
      </c>
      <c r="E1227" s="15" t="s">
        <v>82</v>
      </c>
      <c r="F1227" s="15" t="s">
        <v>161</v>
      </c>
      <c r="G1227" s="298"/>
      <c r="H1227" s="10"/>
      <c r="I1227" s="11"/>
      <c r="J1227" s="11"/>
      <c r="K1227" s="11"/>
      <c r="L1227" s="11"/>
      <c r="M1227" s="11"/>
      <c r="N1227" s="11"/>
      <c r="O1227" s="12"/>
      <c r="P1227" s="11"/>
      <c r="Q1227" s="13"/>
      <c r="R1227" s="14"/>
    </row>
    <row r="1228" spans="1:18" ht="15" customHeight="1">
      <c r="A1228" s="15" t="s">
        <v>26</v>
      </c>
      <c r="B1228" s="15" t="s">
        <v>820</v>
      </c>
      <c r="C1228" s="16">
        <v>0.4375</v>
      </c>
      <c r="D1228" s="15" t="s">
        <v>34</v>
      </c>
      <c r="E1228" s="15" t="s">
        <v>82</v>
      </c>
      <c r="F1228" s="15" t="s">
        <v>123</v>
      </c>
      <c r="G1228" s="298"/>
      <c r="H1228" s="10"/>
      <c r="I1228" s="11"/>
      <c r="J1228" s="11"/>
      <c r="K1228" s="11"/>
      <c r="L1228" s="11"/>
      <c r="M1228" s="11"/>
      <c r="N1228" s="11"/>
      <c r="O1228" s="12"/>
      <c r="P1228" s="11"/>
      <c r="Q1228" s="13"/>
      <c r="R1228" s="14"/>
    </row>
    <row r="1229" spans="1:18" ht="15" customHeight="1">
      <c r="A1229" s="17" t="s">
        <v>26</v>
      </c>
      <c r="B1229" s="17" t="s">
        <v>826</v>
      </c>
      <c r="C1229" s="18">
        <v>0.95833333333333337</v>
      </c>
      <c r="D1229" s="17" t="s">
        <v>28</v>
      </c>
      <c r="E1229" s="17" t="s">
        <v>90</v>
      </c>
      <c r="F1229" s="17" t="s">
        <v>827</v>
      </c>
      <c r="G1229" s="298"/>
      <c r="H1229" s="10"/>
      <c r="I1229" s="11"/>
      <c r="J1229" s="11"/>
      <c r="K1229" s="11"/>
      <c r="L1229" s="11"/>
      <c r="M1229" s="11"/>
      <c r="N1229" s="11"/>
      <c r="O1229" s="12"/>
      <c r="P1229" s="11"/>
      <c r="Q1229" s="13"/>
      <c r="R1229" s="14"/>
    </row>
    <row r="1230" spans="1:18" ht="15" customHeight="1">
      <c r="A1230" s="15" t="s">
        <v>26</v>
      </c>
      <c r="B1230" s="15" t="s">
        <v>826</v>
      </c>
      <c r="C1230" s="16">
        <v>0.95833333333333337</v>
      </c>
      <c r="D1230" s="15" t="s">
        <v>31</v>
      </c>
      <c r="E1230" s="15" t="s">
        <v>82</v>
      </c>
      <c r="F1230" s="15" t="s">
        <v>161</v>
      </c>
      <c r="G1230" s="298"/>
      <c r="H1230" s="10"/>
      <c r="I1230" s="11"/>
      <c r="J1230" s="11"/>
      <c r="K1230" s="11"/>
      <c r="L1230" s="11"/>
      <c r="M1230" s="11"/>
      <c r="N1230" s="11"/>
      <c r="O1230" s="12"/>
      <c r="P1230" s="11"/>
      <c r="Q1230" s="13"/>
      <c r="R1230" s="14"/>
    </row>
    <row r="1231" spans="1:18" ht="15" customHeight="1">
      <c r="A1231" s="15" t="s">
        <v>26</v>
      </c>
      <c r="B1231" s="15" t="s">
        <v>826</v>
      </c>
      <c r="C1231" s="16">
        <v>0.95833333333333337</v>
      </c>
      <c r="D1231" s="15" t="s">
        <v>34</v>
      </c>
      <c r="E1231" s="15" t="s">
        <v>82</v>
      </c>
      <c r="F1231" s="15" t="s">
        <v>123</v>
      </c>
      <c r="G1231" s="298"/>
      <c r="H1231" s="10"/>
      <c r="I1231" s="11"/>
      <c r="J1231" s="11"/>
      <c r="K1231" s="11"/>
      <c r="L1231" s="11"/>
      <c r="M1231" s="11"/>
      <c r="N1231" s="11"/>
      <c r="O1231" s="12"/>
      <c r="P1231" s="11"/>
      <c r="Q1231" s="13"/>
      <c r="R1231" s="14"/>
    </row>
    <row r="1232" spans="1:18" ht="15" customHeight="1">
      <c r="A1232" s="17" t="s">
        <v>26</v>
      </c>
      <c r="B1232" s="17" t="s">
        <v>823</v>
      </c>
      <c r="C1232" s="18">
        <v>0.81944444444444453</v>
      </c>
      <c r="D1232" s="17" t="s">
        <v>28</v>
      </c>
      <c r="E1232" s="17" t="s">
        <v>90</v>
      </c>
      <c r="F1232" s="17" t="s">
        <v>827</v>
      </c>
      <c r="G1232" s="298"/>
      <c r="H1232" s="10"/>
      <c r="I1232" s="11"/>
      <c r="J1232" s="11"/>
      <c r="K1232" s="11"/>
      <c r="L1232" s="11"/>
      <c r="M1232" s="11"/>
      <c r="N1232" s="11"/>
      <c r="O1232" s="12"/>
      <c r="P1232" s="11"/>
      <c r="Q1232" s="13"/>
      <c r="R1232" s="14"/>
    </row>
    <row r="1233" spans="1:18" ht="15" customHeight="1">
      <c r="A1233" s="15" t="s">
        <v>26</v>
      </c>
      <c r="B1233" s="15" t="s">
        <v>823</v>
      </c>
      <c r="C1233" s="16">
        <v>0.81944444444444453</v>
      </c>
      <c r="D1233" s="15" t="s">
        <v>31</v>
      </c>
      <c r="E1233" s="15" t="s">
        <v>82</v>
      </c>
      <c r="F1233" s="15" t="s">
        <v>161</v>
      </c>
      <c r="G1233" s="298"/>
      <c r="H1233" s="10"/>
      <c r="I1233" s="11"/>
      <c r="J1233" s="11"/>
      <c r="K1233" s="11"/>
      <c r="L1233" s="11"/>
      <c r="M1233" s="11"/>
      <c r="N1233" s="11"/>
      <c r="O1233" s="12"/>
      <c r="P1233" s="11"/>
      <c r="Q1233" s="13"/>
      <c r="R1233" s="14"/>
    </row>
    <row r="1234" spans="1:18" ht="15" customHeight="1">
      <c r="A1234" s="15" t="s">
        <v>26</v>
      </c>
      <c r="B1234" s="15" t="s">
        <v>823</v>
      </c>
      <c r="C1234" s="16">
        <v>0.81944444444444453</v>
      </c>
      <c r="D1234" s="15" t="s">
        <v>34</v>
      </c>
      <c r="E1234" s="15" t="s">
        <v>82</v>
      </c>
      <c r="F1234" s="15" t="s">
        <v>123</v>
      </c>
      <c r="G1234" s="298"/>
      <c r="H1234" s="10"/>
      <c r="I1234" s="11"/>
      <c r="J1234" s="11"/>
      <c r="K1234" s="11"/>
      <c r="L1234" s="11"/>
      <c r="M1234" s="11"/>
      <c r="N1234" s="11"/>
      <c r="O1234" s="12"/>
      <c r="P1234" s="11"/>
      <c r="Q1234" s="13"/>
      <c r="R1234" s="14"/>
    </row>
    <row r="1235" spans="1:18" ht="15" customHeight="1">
      <c r="A1235" s="19" t="s">
        <v>38</v>
      </c>
      <c r="B1235" s="19" t="s">
        <v>811</v>
      </c>
      <c r="C1235" s="20">
        <v>0.62847222222222221</v>
      </c>
      <c r="D1235" s="19" t="s">
        <v>40</v>
      </c>
      <c r="E1235" s="19" t="s">
        <v>103</v>
      </c>
      <c r="F1235" s="19" t="s">
        <v>848</v>
      </c>
      <c r="G1235" s="298"/>
      <c r="H1235" s="10"/>
      <c r="I1235" s="11"/>
      <c r="J1235" s="11"/>
      <c r="K1235" s="11"/>
      <c r="L1235" s="11"/>
      <c r="M1235" s="11"/>
      <c r="N1235" s="11"/>
      <c r="O1235" s="12"/>
      <c r="P1235" s="11"/>
      <c r="Q1235" s="13"/>
      <c r="R1235" s="14"/>
    </row>
    <row r="1236" spans="1:18" ht="15" customHeight="1">
      <c r="A1236" s="15" t="s">
        <v>38</v>
      </c>
      <c r="B1236" s="15" t="s">
        <v>811</v>
      </c>
      <c r="C1236" s="16">
        <v>0.62847222222222221</v>
      </c>
      <c r="D1236" s="15" t="s">
        <v>43</v>
      </c>
      <c r="E1236" s="15" t="s">
        <v>99</v>
      </c>
      <c r="F1236" s="15" t="s">
        <v>426</v>
      </c>
      <c r="G1236" s="298"/>
      <c r="H1236" s="10"/>
      <c r="I1236" s="11"/>
      <c r="J1236" s="11"/>
      <c r="K1236" s="11"/>
      <c r="L1236" s="11"/>
      <c r="M1236" s="11"/>
      <c r="N1236" s="11"/>
      <c r="O1236" s="12"/>
      <c r="P1236" s="11"/>
      <c r="Q1236" s="13"/>
      <c r="R1236" s="14"/>
    </row>
    <row r="1237" spans="1:18" ht="15" customHeight="1">
      <c r="A1237" s="15" t="s">
        <v>38</v>
      </c>
      <c r="B1237" s="15" t="s">
        <v>811</v>
      </c>
      <c r="C1237" s="16">
        <v>0.62847222222222221</v>
      </c>
      <c r="D1237" s="15" t="s">
        <v>46</v>
      </c>
      <c r="E1237" s="15" t="s">
        <v>99</v>
      </c>
      <c r="F1237" s="15" t="s">
        <v>810</v>
      </c>
      <c r="G1237" s="298"/>
      <c r="H1237" s="10"/>
      <c r="I1237" s="11"/>
      <c r="J1237" s="11"/>
      <c r="K1237" s="11"/>
      <c r="L1237" s="11"/>
      <c r="M1237" s="11"/>
      <c r="N1237" s="11"/>
      <c r="O1237" s="12"/>
      <c r="P1237" s="11"/>
      <c r="Q1237" s="13"/>
      <c r="R1237" s="14"/>
    </row>
    <row r="1238" spans="1:18" ht="15" customHeight="1">
      <c r="A1238" s="17" t="s">
        <v>38</v>
      </c>
      <c r="B1238" s="17" t="s">
        <v>809</v>
      </c>
      <c r="C1238" s="18">
        <v>0.57638888888888895</v>
      </c>
      <c r="D1238" s="17" t="s">
        <v>40</v>
      </c>
      <c r="E1238" s="17" t="s">
        <v>421</v>
      </c>
      <c r="F1238" s="17" t="s">
        <v>42</v>
      </c>
      <c r="G1238" s="298"/>
      <c r="H1238" s="10"/>
      <c r="I1238" s="11"/>
      <c r="J1238" s="11"/>
      <c r="K1238" s="11"/>
      <c r="L1238" s="11"/>
      <c r="M1238" s="11"/>
      <c r="N1238" s="11"/>
      <c r="O1238" s="12"/>
      <c r="P1238" s="11"/>
      <c r="Q1238" s="13"/>
      <c r="R1238" s="14"/>
    </row>
    <row r="1239" spans="1:18" ht="15" customHeight="1">
      <c r="A1239" s="15" t="s">
        <v>38</v>
      </c>
      <c r="B1239" s="15" t="s">
        <v>809</v>
      </c>
      <c r="C1239" s="16">
        <v>0.57638888888888895</v>
      </c>
      <c r="D1239" s="15" t="s">
        <v>43</v>
      </c>
      <c r="E1239" s="15" t="s">
        <v>193</v>
      </c>
      <c r="F1239" s="15" t="s">
        <v>45</v>
      </c>
      <c r="G1239" s="298"/>
      <c r="H1239" s="10"/>
      <c r="I1239" s="11"/>
      <c r="J1239" s="11"/>
      <c r="K1239" s="11"/>
      <c r="L1239" s="11"/>
      <c r="M1239" s="11"/>
      <c r="N1239" s="11"/>
      <c r="O1239" s="12"/>
      <c r="P1239" s="11"/>
      <c r="Q1239" s="13"/>
      <c r="R1239" s="14"/>
    </row>
    <row r="1240" spans="1:18" ht="15" customHeight="1">
      <c r="A1240" s="15" t="s">
        <v>38</v>
      </c>
      <c r="B1240" s="15" t="s">
        <v>809</v>
      </c>
      <c r="C1240" s="16">
        <v>0.57638888888888895</v>
      </c>
      <c r="D1240" s="15" t="s">
        <v>46</v>
      </c>
      <c r="E1240" s="15" t="s">
        <v>193</v>
      </c>
      <c r="F1240" s="15" t="s">
        <v>810</v>
      </c>
      <c r="G1240" s="298"/>
      <c r="H1240" s="10"/>
      <c r="I1240" s="11"/>
      <c r="J1240" s="11"/>
      <c r="K1240" s="11"/>
      <c r="L1240" s="11"/>
      <c r="M1240" s="11"/>
      <c r="N1240" s="11"/>
      <c r="O1240" s="12"/>
      <c r="P1240" s="11"/>
      <c r="Q1240" s="13"/>
      <c r="R1240" s="14"/>
    </row>
    <row r="1241" spans="1:18" ht="15" customHeight="1">
      <c r="A1241" s="17" t="s">
        <v>38</v>
      </c>
      <c r="B1241" s="17" t="s">
        <v>812</v>
      </c>
      <c r="C1241" s="18">
        <v>0.88888888888888884</v>
      </c>
      <c r="D1241" s="17" t="s">
        <v>40</v>
      </c>
      <c r="E1241" s="17" t="s">
        <v>421</v>
      </c>
      <c r="F1241" s="17" t="s">
        <v>83</v>
      </c>
      <c r="G1241" s="298"/>
      <c r="H1241" s="10"/>
      <c r="I1241" s="11"/>
      <c r="J1241" s="11"/>
      <c r="K1241" s="11"/>
      <c r="L1241" s="11"/>
      <c r="M1241" s="11"/>
      <c r="N1241" s="11"/>
      <c r="O1241" s="12"/>
      <c r="P1241" s="11"/>
      <c r="Q1241" s="13"/>
      <c r="R1241" s="14"/>
    </row>
    <row r="1242" spans="1:18" ht="15" customHeight="1">
      <c r="A1242" s="15" t="s">
        <v>38</v>
      </c>
      <c r="B1242" s="15" t="s">
        <v>812</v>
      </c>
      <c r="C1242" s="16">
        <v>0.88888888888888884</v>
      </c>
      <c r="D1242" s="15" t="s">
        <v>43</v>
      </c>
      <c r="E1242" s="15" t="s">
        <v>193</v>
      </c>
      <c r="F1242" s="15" t="s">
        <v>162</v>
      </c>
      <c r="G1242" s="298"/>
      <c r="H1242" s="10"/>
      <c r="I1242" s="11"/>
      <c r="J1242" s="11"/>
      <c r="K1242" s="11"/>
      <c r="L1242" s="11"/>
      <c r="M1242" s="11"/>
      <c r="N1242" s="11"/>
      <c r="O1242" s="12"/>
      <c r="P1242" s="11"/>
      <c r="Q1242" s="13"/>
      <c r="R1242" s="14"/>
    </row>
    <row r="1243" spans="1:18" ht="15" customHeight="1">
      <c r="A1243" s="15" t="s">
        <v>38</v>
      </c>
      <c r="B1243" s="15" t="s">
        <v>812</v>
      </c>
      <c r="C1243" s="16">
        <v>0.88888888888888884</v>
      </c>
      <c r="D1243" s="15" t="s">
        <v>46</v>
      </c>
      <c r="E1243" s="15" t="s">
        <v>193</v>
      </c>
      <c r="F1243" s="15" t="s">
        <v>810</v>
      </c>
      <c r="G1243" s="298"/>
      <c r="H1243" s="10"/>
      <c r="I1243" s="11"/>
      <c r="J1243" s="11"/>
      <c r="K1243" s="11"/>
      <c r="L1243" s="11"/>
      <c r="M1243" s="11"/>
      <c r="N1243" s="11"/>
      <c r="O1243" s="12"/>
      <c r="P1243" s="11"/>
      <c r="Q1243" s="13"/>
      <c r="R1243" s="14"/>
    </row>
    <row r="1244" spans="1:18" ht="15" customHeight="1">
      <c r="A1244" s="17" t="s">
        <v>38</v>
      </c>
      <c r="B1244" s="17" t="s">
        <v>813</v>
      </c>
      <c r="C1244" s="18">
        <v>0.94444444444444453</v>
      </c>
      <c r="D1244" s="17" t="s">
        <v>40</v>
      </c>
      <c r="E1244" s="17" t="s">
        <v>954</v>
      </c>
      <c r="F1244" s="17" t="s">
        <v>33</v>
      </c>
      <c r="G1244" s="298"/>
      <c r="H1244" s="10"/>
      <c r="I1244" s="11"/>
      <c r="J1244" s="11"/>
      <c r="K1244" s="11"/>
      <c r="L1244" s="11"/>
      <c r="M1244" s="11"/>
      <c r="N1244" s="11"/>
      <c r="O1244" s="12"/>
      <c r="P1244" s="11"/>
      <c r="Q1244" s="13"/>
      <c r="R1244" s="14"/>
    </row>
    <row r="1245" spans="1:18" ht="15" customHeight="1">
      <c r="A1245" s="15" t="s">
        <v>38</v>
      </c>
      <c r="B1245" s="15" t="s">
        <v>813</v>
      </c>
      <c r="C1245" s="16">
        <v>0.94444444444444453</v>
      </c>
      <c r="D1245" s="15" t="s">
        <v>43</v>
      </c>
      <c r="E1245" s="15" t="s">
        <v>955</v>
      </c>
      <c r="F1245" s="15" t="s">
        <v>926</v>
      </c>
      <c r="G1245" s="298"/>
      <c r="H1245" s="10"/>
      <c r="I1245" s="11"/>
      <c r="J1245" s="11"/>
      <c r="K1245" s="11"/>
      <c r="L1245" s="11"/>
      <c r="M1245" s="11"/>
      <c r="N1245" s="11"/>
      <c r="O1245" s="12"/>
      <c r="P1245" s="11"/>
      <c r="Q1245" s="13"/>
      <c r="R1245" s="14"/>
    </row>
    <row r="1246" spans="1:18" ht="15" customHeight="1">
      <c r="A1246" s="15" t="s">
        <v>38</v>
      </c>
      <c r="B1246" s="15" t="s">
        <v>813</v>
      </c>
      <c r="C1246" s="16">
        <v>0.94444444444444453</v>
      </c>
      <c r="D1246" s="15" t="s">
        <v>46</v>
      </c>
      <c r="E1246" s="15" t="s">
        <v>955</v>
      </c>
      <c r="F1246" s="15" t="s">
        <v>810</v>
      </c>
      <c r="G1246" s="298"/>
      <c r="H1246" s="10"/>
      <c r="I1246" s="11"/>
      <c r="J1246" s="11"/>
      <c r="K1246" s="11"/>
      <c r="L1246" s="11"/>
      <c r="M1246" s="11"/>
      <c r="N1246" s="11"/>
      <c r="O1246" s="12"/>
      <c r="P1246" s="11"/>
      <c r="Q1246" s="13"/>
      <c r="R1246" s="14"/>
    </row>
    <row r="1247" spans="1:18" ht="15" customHeight="1">
      <c r="A1247" s="19" t="s">
        <v>359</v>
      </c>
      <c r="B1247" s="19" t="s">
        <v>814</v>
      </c>
      <c r="C1247" s="20">
        <v>0.1875</v>
      </c>
      <c r="D1247" s="19" t="s">
        <v>361</v>
      </c>
      <c r="E1247" s="19" t="s">
        <v>80</v>
      </c>
      <c r="F1247" s="19" t="s">
        <v>879</v>
      </c>
      <c r="G1247" s="298"/>
      <c r="H1247" s="10"/>
      <c r="I1247" s="11"/>
      <c r="J1247" s="11"/>
      <c r="K1247" s="11"/>
      <c r="L1247" s="11"/>
      <c r="M1247" s="11"/>
      <c r="N1247" s="11"/>
      <c r="O1247" s="12"/>
      <c r="P1247" s="11"/>
      <c r="Q1247" s="13"/>
      <c r="R1247" s="14"/>
    </row>
    <row r="1248" spans="1:18" ht="15" customHeight="1">
      <c r="A1248" s="15" t="s">
        <v>359</v>
      </c>
      <c r="B1248" s="15" t="s">
        <v>814</v>
      </c>
      <c r="C1248" s="16">
        <v>0.1875</v>
      </c>
      <c r="D1248" s="15" t="s">
        <v>46</v>
      </c>
      <c r="E1248" s="15" t="s">
        <v>82</v>
      </c>
      <c r="F1248" s="15" t="s">
        <v>880</v>
      </c>
      <c r="G1248" s="298"/>
      <c r="H1248" s="10"/>
      <c r="I1248" s="11"/>
      <c r="J1248" s="11"/>
      <c r="K1248" s="11"/>
      <c r="L1248" s="11"/>
      <c r="M1248" s="11"/>
      <c r="N1248" s="11"/>
      <c r="O1248" s="12"/>
      <c r="P1248" s="11"/>
      <c r="Q1248" s="13"/>
      <c r="R1248" s="14"/>
    </row>
    <row r="1249" spans="1:18" ht="15" customHeight="1">
      <c r="A1249" s="87" t="s">
        <v>61</v>
      </c>
      <c r="B1249" s="87" t="s">
        <v>816</v>
      </c>
      <c r="C1249" s="88">
        <v>0.40625</v>
      </c>
      <c r="D1249" s="87" t="s">
        <v>63</v>
      </c>
      <c r="E1249" s="87" t="s">
        <v>103</v>
      </c>
      <c r="F1249" s="87" t="s">
        <v>33</v>
      </c>
      <c r="G1249" s="298"/>
      <c r="H1249" s="89" t="s">
        <v>818</v>
      </c>
      <c r="I1249" s="90">
        <v>0</v>
      </c>
      <c r="J1249" s="91">
        <v>0</v>
      </c>
      <c r="K1249" s="92" t="s">
        <v>66</v>
      </c>
      <c r="L1249" s="91">
        <v>0</v>
      </c>
      <c r="M1249" s="91">
        <v>0</v>
      </c>
      <c r="N1249" s="91">
        <v>0</v>
      </c>
      <c r="O1249" s="93" t="s">
        <v>956</v>
      </c>
      <c r="P1249" s="94">
        <v>0.40625</v>
      </c>
      <c r="Q1249" s="91">
        <v>179</v>
      </c>
      <c r="R1249" s="95" t="s">
        <v>66</v>
      </c>
    </row>
    <row r="1250" spans="1:18" ht="15" customHeight="1">
      <c r="A1250" s="162" t="s">
        <v>61</v>
      </c>
      <c r="B1250" s="162" t="s">
        <v>852</v>
      </c>
      <c r="C1250" s="163">
        <v>0.72569444444444453</v>
      </c>
      <c r="D1250" s="162" t="s">
        <v>63</v>
      </c>
      <c r="E1250" s="162" t="s">
        <v>37</v>
      </c>
      <c r="F1250" s="162" t="s">
        <v>33</v>
      </c>
      <c r="G1250" s="298"/>
      <c r="H1250" s="60" t="s">
        <v>854</v>
      </c>
      <c r="I1250" s="61">
        <v>5.5999999999999999E-3</v>
      </c>
      <c r="J1250" s="62">
        <v>1</v>
      </c>
      <c r="K1250" s="63">
        <v>46288</v>
      </c>
      <c r="L1250" s="62">
        <v>1</v>
      </c>
      <c r="M1250" s="62">
        <v>0</v>
      </c>
      <c r="N1250" s="62">
        <v>0</v>
      </c>
      <c r="O1250" s="64" t="s">
        <v>587</v>
      </c>
      <c r="P1250" s="65">
        <v>0.72569444444444453</v>
      </c>
      <c r="Q1250" s="62">
        <v>179</v>
      </c>
      <c r="R1250" s="66" t="s">
        <v>686</v>
      </c>
    </row>
    <row r="1251" spans="1:18" ht="15" customHeight="1">
      <c r="A1251" s="19" t="s">
        <v>68</v>
      </c>
      <c r="B1251" s="19" t="s">
        <v>842</v>
      </c>
      <c r="C1251" s="20">
        <v>0.98263888888888884</v>
      </c>
      <c r="D1251" s="19" t="s">
        <v>70</v>
      </c>
      <c r="E1251" s="19" t="s">
        <v>51</v>
      </c>
      <c r="F1251" s="19" t="s">
        <v>45</v>
      </c>
      <c r="G1251" s="298"/>
      <c r="H1251" s="10"/>
      <c r="I1251" s="11"/>
      <c r="J1251" s="11"/>
      <c r="K1251" s="11"/>
      <c r="L1251" s="11"/>
      <c r="M1251" s="11"/>
      <c r="N1251" s="11"/>
      <c r="O1251" s="12"/>
      <c r="P1251" s="11"/>
      <c r="Q1251" s="13"/>
      <c r="R1251" s="14"/>
    </row>
    <row r="1252" spans="1:18" ht="15" customHeight="1">
      <c r="A1252" s="17" t="s">
        <v>68</v>
      </c>
      <c r="B1252" s="17" t="s">
        <v>843</v>
      </c>
      <c r="C1252" s="18">
        <v>0.35416666666666669</v>
      </c>
      <c r="D1252" s="17" t="s">
        <v>70</v>
      </c>
      <c r="E1252" s="17" t="s">
        <v>57</v>
      </c>
      <c r="F1252" s="17" t="s">
        <v>45</v>
      </c>
      <c r="G1252" s="298"/>
      <c r="H1252" s="10"/>
      <c r="I1252" s="11"/>
      <c r="J1252" s="11"/>
      <c r="K1252" s="11"/>
      <c r="L1252" s="11"/>
      <c r="M1252" s="11"/>
      <c r="N1252" s="11"/>
      <c r="O1252" s="12"/>
      <c r="P1252" s="11"/>
      <c r="Q1252" s="13"/>
      <c r="R1252" s="14"/>
    </row>
    <row r="1253" spans="1:18" ht="15" customHeight="1">
      <c r="A1253" s="17" t="s">
        <v>68</v>
      </c>
      <c r="B1253" s="17" t="s">
        <v>844</v>
      </c>
      <c r="C1253" s="18">
        <v>0.72916666666666663</v>
      </c>
      <c r="D1253" s="17" t="s">
        <v>70</v>
      </c>
      <c r="E1253" s="17" t="s">
        <v>57</v>
      </c>
      <c r="F1253" s="17" t="s">
        <v>162</v>
      </c>
      <c r="G1253" s="298"/>
      <c r="H1253" s="10"/>
      <c r="I1253" s="11"/>
      <c r="J1253" s="11"/>
      <c r="K1253" s="11"/>
      <c r="L1253" s="11"/>
      <c r="M1253" s="11"/>
      <c r="N1253" s="11"/>
      <c r="O1253" s="12"/>
      <c r="P1253" s="11"/>
      <c r="Q1253" s="13"/>
      <c r="R1253" s="14"/>
    </row>
    <row r="1254" spans="1:18" ht="15" customHeight="1">
      <c r="A1254" s="19" t="s">
        <v>402</v>
      </c>
      <c r="B1254" s="19" t="s">
        <v>839</v>
      </c>
      <c r="C1254" s="20">
        <v>0.21180555555555561</v>
      </c>
      <c r="D1254" s="19" t="s">
        <v>63</v>
      </c>
      <c r="E1254" s="19" t="s">
        <v>107</v>
      </c>
      <c r="F1254" s="19" t="s">
        <v>881</v>
      </c>
      <c r="G1254" s="298"/>
      <c r="H1254" s="10"/>
      <c r="I1254" s="11"/>
      <c r="J1254" s="11"/>
      <c r="K1254" s="11"/>
      <c r="L1254" s="11"/>
      <c r="M1254" s="11"/>
      <c r="N1254" s="11"/>
      <c r="O1254" s="12"/>
      <c r="P1254" s="11"/>
      <c r="Q1254" s="13"/>
      <c r="R1254" s="14"/>
    </row>
    <row r="1255" spans="1:18" ht="15" customHeight="1">
      <c r="A1255" s="19" t="s">
        <v>48</v>
      </c>
      <c r="B1255" s="19" t="s">
        <v>837</v>
      </c>
      <c r="C1255" s="20">
        <v>0.62847222222222221</v>
      </c>
      <c r="D1255" s="19" t="s">
        <v>53</v>
      </c>
      <c r="E1255" s="19" t="s">
        <v>29</v>
      </c>
      <c r="F1255" s="19" t="s">
        <v>859</v>
      </c>
      <c r="G1255" s="298"/>
      <c r="H1255" s="10"/>
      <c r="I1255" s="11"/>
      <c r="J1255" s="11"/>
      <c r="K1255" s="11"/>
      <c r="L1255" s="11"/>
      <c r="M1255" s="11"/>
      <c r="N1255" s="11"/>
      <c r="O1255" s="12"/>
      <c r="P1255" s="11"/>
      <c r="Q1255" s="13"/>
      <c r="R1255" s="14"/>
    </row>
    <row r="1256" spans="1:18" ht="15" customHeight="1">
      <c r="A1256" s="17" t="s">
        <v>48</v>
      </c>
      <c r="B1256" s="17" t="s">
        <v>835</v>
      </c>
      <c r="C1256" s="18">
        <v>0.88888888888888884</v>
      </c>
      <c r="D1256" s="17" t="s">
        <v>53</v>
      </c>
      <c r="E1256" s="17" t="s">
        <v>37</v>
      </c>
      <c r="F1256" s="17" t="s">
        <v>946</v>
      </c>
      <c r="G1256" s="298"/>
      <c r="H1256" s="10"/>
      <c r="I1256" s="11"/>
      <c r="J1256" s="11"/>
      <c r="K1256" s="11"/>
      <c r="L1256" s="11"/>
      <c r="M1256" s="11"/>
      <c r="N1256" s="11"/>
      <c r="O1256" s="12"/>
      <c r="P1256" s="11"/>
      <c r="Q1256" s="13"/>
      <c r="R1256" s="14"/>
    </row>
    <row r="1257" spans="1:18" ht="15" customHeight="1">
      <c r="A1257" s="17" t="s">
        <v>48</v>
      </c>
      <c r="B1257" s="17" t="s">
        <v>838</v>
      </c>
      <c r="C1257" s="18">
        <v>0.94444444444444453</v>
      </c>
      <c r="D1257" s="17" t="s">
        <v>53</v>
      </c>
      <c r="E1257" s="17" t="s">
        <v>37</v>
      </c>
      <c r="F1257" s="17" t="s">
        <v>933</v>
      </c>
      <c r="G1257" s="298"/>
      <c r="H1257" s="10"/>
      <c r="I1257" s="11"/>
      <c r="J1257" s="11"/>
      <c r="K1257" s="11"/>
      <c r="L1257" s="11"/>
      <c r="M1257" s="11"/>
      <c r="N1257" s="11"/>
      <c r="O1257" s="12"/>
      <c r="P1257" s="11"/>
      <c r="Q1257" s="13"/>
      <c r="R1257" s="14"/>
    </row>
    <row r="1258" spans="1:18" ht="15" customHeight="1">
      <c r="A1258" s="17" t="s">
        <v>48</v>
      </c>
      <c r="B1258" s="17" t="s">
        <v>833</v>
      </c>
      <c r="C1258" s="18">
        <v>0.44444444444444442</v>
      </c>
      <c r="D1258" s="17" t="s">
        <v>53</v>
      </c>
      <c r="E1258" s="17" t="s">
        <v>57</v>
      </c>
      <c r="F1258" s="17" t="s">
        <v>870</v>
      </c>
      <c r="G1258" s="298"/>
      <c r="H1258" s="10"/>
      <c r="I1258" s="11"/>
      <c r="J1258" s="11"/>
      <c r="K1258" s="11"/>
      <c r="L1258" s="11"/>
      <c r="M1258" s="11"/>
      <c r="N1258" s="11"/>
      <c r="O1258" s="12"/>
      <c r="P1258" s="11"/>
      <c r="Q1258" s="13"/>
      <c r="R1258" s="14"/>
    </row>
    <row r="1259" spans="1:18" ht="15" customHeight="1">
      <c r="A1259" s="17" t="s">
        <v>48</v>
      </c>
      <c r="B1259" s="17" t="s">
        <v>828</v>
      </c>
      <c r="C1259" s="18">
        <v>0.82986111111111116</v>
      </c>
      <c r="D1259" s="17" t="s">
        <v>53</v>
      </c>
      <c r="E1259" s="17" t="s">
        <v>57</v>
      </c>
      <c r="F1259" s="17" t="s">
        <v>870</v>
      </c>
      <c r="G1259" s="298"/>
      <c r="H1259" s="10"/>
      <c r="I1259" s="11"/>
      <c r="J1259" s="11"/>
      <c r="K1259" s="11"/>
      <c r="L1259" s="11"/>
      <c r="M1259" s="11"/>
      <c r="N1259" s="11"/>
      <c r="O1259" s="12"/>
      <c r="P1259" s="11"/>
      <c r="Q1259" s="13"/>
      <c r="R1259" s="14"/>
    </row>
    <row r="1260" spans="1:18" ht="15" customHeight="1">
      <c r="A1260" s="17" t="s">
        <v>48</v>
      </c>
      <c r="B1260" s="17" t="s">
        <v>831</v>
      </c>
      <c r="C1260" s="18">
        <v>0.98263888888888884</v>
      </c>
      <c r="D1260" s="17" t="s">
        <v>53</v>
      </c>
      <c r="E1260" s="17" t="s">
        <v>57</v>
      </c>
      <c r="F1260" s="17" t="s">
        <v>870</v>
      </c>
      <c r="G1260" s="298"/>
      <c r="H1260" s="10"/>
      <c r="I1260" s="11"/>
      <c r="J1260" s="11"/>
      <c r="K1260" s="11"/>
      <c r="L1260" s="11"/>
      <c r="M1260" s="11"/>
      <c r="N1260" s="11"/>
      <c r="O1260" s="12"/>
      <c r="P1260" s="11"/>
      <c r="Q1260" s="13"/>
      <c r="R1260" s="14"/>
    </row>
    <row r="1261" spans="1:18" ht="15" customHeight="1" thickBot="1">
      <c r="A1261" s="30" t="s">
        <v>48</v>
      </c>
      <c r="B1261" s="30" t="s">
        <v>832</v>
      </c>
      <c r="C1261" s="31">
        <v>0.62847222222222221</v>
      </c>
      <c r="D1261" s="30" t="s">
        <v>53</v>
      </c>
      <c r="E1261" s="30" t="s">
        <v>57</v>
      </c>
      <c r="F1261" s="30" t="s">
        <v>870</v>
      </c>
      <c r="G1261" s="299"/>
      <c r="H1261" s="300"/>
      <c r="I1261" s="140"/>
      <c r="J1261" s="140"/>
      <c r="K1261" s="140"/>
      <c r="L1261" s="140"/>
      <c r="M1261" s="140"/>
      <c r="N1261" s="140"/>
      <c r="O1261" s="141"/>
      <c r="P1261" s="140"/>
      <c r="Q1261" s="142"/>
      <c r="R1261" s="301"/>
    </row>
    <row r="1262" spans="1:18" ht="17.45" customHeight="1" thickBot="1">
      <c r="A1262" s="283"/>
      <c r="B1262" s="284"/>
      <c r="C1262" s="284"/>
      <c r="D1262" s="284"/>
      <c r="E1262" s="284"/>
      <c r="F1262" s="284"/>
      <c r="G1262" s="284"/>
      <c r="H1262" s="284"/>
      <c r="I1262" s="284"/>
      <c r="J1262" s="284"/>
      <c r="K1262" s="284"/>
      <c r="L1262" s="284"/>
      <c r="M1262" s="284"/>
      <c r="N1262" s="284"/>
      <c r="O1262" s="284"/>
      <c r="P1262" s="284"/>
      <c r="Q1262" s="284"/>
      <c r="R1262" s="285"/>
    </row>
    <row r="1263" spans="1:18" ht="22.15" customHeight="1" thickTop="1" thickBot="1">
      <c r="A1263" s="279" t="s">
        <v>6</v>
      </c>
      <c r="B1263" s="295"/>
      <c r="C1263" s="295"/>
      <c r="D1263" s="295"/>
      <c r="E1263" s="295"/>
      <c r="F1263" s="296"/>
      <c r="G1263" s="32">
        <v>46046</v>
      </c>
      <c r="H1263" s="278" t="s">
        <v>7</v>
      </c>
      <c r="I1263" s="295"/>
      <c r="J1263" s="295"/>
      <c r="K1263" s="295"/>
      <c r="L1263" s="295"/>
      <c r="M1263" s="295"/>
      <c r="N1263" s="295"/>
      <c r="O1263" s="295"/>
      <c r="P1263" s="295"/>
      <c r="Q1263" s="295"/>
      <c r="R1263" s="296"/>
    </row>
    <row r="1264" spans="1:18" ht="24" customHeight="1">
      <c r="A1264" s="33" t="s">
        <v>8</v>
      </c>
      <c r="B1264" s="33" t="s">
        <v>9</v>
      </c>
      <c r="C1264" s="34" t="s">
        <v>10</v>
      </c>
      <c r="D1264" s="33" t="s">
        <v>11</v>
      </c>
      <c r="E1264" s="33" t="s">
        <v>12</v>
      </c>
      <c r="F1264" s="35" t="s">
        <v>13</v>
      </c>
      <c r="G1264" s="36" t="s">
        <v>14</v>
      </c>
      <c r="H1264" s="33" t="s">
        <v>15</v>
      </c>
      <c r="I1264" s="37" t="s">
        <v>16</v>
      </c>
      <c r="J1264" s="38" t="s">
        <v>17</v>
      </c>
      <c r="K1264" s="39" t="s">
        <v>18</v>
      </c>
      <c r="L1264" s="38" t="s">
        <v>19</v>
      </c>
      <c r="M1264" s="38" t="s">
        <v>20</v>
      </c>
      <c r="N1264" s="38" t="s">
        <v>21</v>
      </c>
      <c r="O1264" s="33" t="s">
        <v>22</v>
      </c>
      <c r="P1264" s="34" t="s">
        <v>23</v>
      </c>
      <c r="Q1264" s="38" t="s">
        <v>24</v>
      </c>
      <c r="R1264" s="33" t="s">
        <v>25</v>
      </c>
    </row>
    <row r="1265" spans="1:18" ht="15" customHeight="1">
      <c r="A1265" s="8" t="s">
        <v>26</v>
      </c>
      <c r="B1265" s="8" t="s">
        <v>820</v>
      </c>
      <c r="C1265" s="9">
        <v>0.4375</v>
      </c>
      <c r="D1265" s="8" t="s">
        <v>28</v>
      </c>
      <c r="E1265" s="8" t="s">
        <v>80</v>
      </c>
      <c r="F1265" s="8" t="s">
        <v>81</v>
      </c>
      <c r="G1265" s="297"/>
      <c r="H1265" s="10"/>
      <c r="I1265" s="11"/>
      <c r="J1265" s="11"/>
      <c r="K1265" s="11"/>
      <c r="L1265" s="11"/>
      <c r="M1265" s="11"/>
      <c r="N1265" s="11"/>
      <c r="O1265" s="12"/>
      <c r="P1265" s="11"/>
      <c r="Q1265" s="13"/>
      <c r="R1265" s="14"/>
    </row>
    <row r="1266" spans="1:18" ht="15" customHeight="1">
      <c r="A1266" s="15" t="s">
        <v>26</v>
      </c>
      <c r="B1266" s="15" t="s">
        <v>820</v>
      </c>
      <c r="C1266" s="16">
        <v>0.4375</v>
      </c>
      <c r="D1266" s="15" t="s">
        <v>31</v>
      </c>
      <c r="E1266" s="15" t="s">
        <v>82</v>
      </c>
      <c r="F1266" s="15" t="s">
        <v>83</v>
      </c>
      <c r="G1266" s="298"/>
      <c r="H1266" s="10"/>
      <c r="I1266" s="11"/>
      <c r="J1266" s="11"/>
      <c r="K1266" s="11"/>
      <c r="L1266" s="11"/>
      <c r="M1266" s="11"/>
      <c r="N1266" s="11"/>
      <c r="O1266" s="12"/>
      <c r="P1266" s="11"/>
      <c r="Q1266" s="13"/>
      <c r="R1266" s="14"/>
    </row>
    <row r="1267" spans="1:18" ht="15" customHeight="1">
      <c r="A1267" s="15" t="s">
        <v>26</v>
      </c>
      <c r="B1267" s="15" t="s">
        <v>820</v>
      </c>
      <c r="C1267" s="16">
        <v>0.4375</v>
      </c>
      <c r="D1267" s="15" t="s">
        <v>34</v>
      </c>
      <c r="E1267" s="15" t="s">
        <v>82</v>
      </c>
      <c r="F1267" s="15" t="s">
        <v>45</v>
      </c>
      <c r="G1267" s="298"/>
      <c r="H1267" s="10"/>
      <c r="I1267" s="11"/>
      <c r="J1267" s="11"/>
      <c r="K1267" s="11"/>
      <c r="L1267" s="11"/>
      <c r="M1267" s="11"/>
      <c r="N1267" s="11"/>
      <c r="O1267" s="12"/>
      <c r="P1267" s="11"/>
      <c r="Q1267" s="13"/>
      <c r="R1267" s="14"/>
    </row>
    <row r="1268" spans="1:18" ht="15" customHeight="1">
      <c r="A1268" s="17" t="s">
        <v>26</v>
      </c>
      <c r="B1268" s="17" t="s">
        <v>821</v>
      </c>
      <c r="C1268" s="18">
        <v>0.63194444444444442</v>
      </c>
      <c r="D1268" s="17" t="s">
        <v>28</v>
      </c>
      <c r="E1268" s="17" t="s">
        <v>90</v>
      </c>
      <c r="F1268" s="17" t="s">
        <v>81</v>
      </c>
      <c r="G1268" s="298"/>
      <c r="H1268" s="10"/>
      <c r="I1268" s="11"/>
      <c r="J1268" s="11"/>
      <c r="K1268" s="11"/>
      <c r="L1268" s="11"/>
      <c r="M1268" s="11"/>
      <c r="N1268" s="11"/>
      <c r="O1268" s="12"/>
      <c r="P1268" s="11"/>
      <c r="Q1268" s="13"/>
      <c r="R1268" s="14"/>
    </row>
    <row r="1269" spans="1:18" ht="15" customHeight="1">
      <c r="A1269" s="15" t="s">
        <v>26</v>
      </c>
      <c r="B1269" s="15" t="s">
        <v>821</v>
      </c>
      <c r="C1269" s="16">
        <v>0.63194444444444442</v>
      </c>
      <c r="D1269" s="15" t="s">
        <v>31</v>
      </c>
      <c r="E1269" s="15" t="s">
        <v>82</v>
      </c>
      <c r="F1269" s="15" t="s">
        <v>83</v>
      </c>
      <c r="G1269" s="298"/>
      <c r="H1269" s="10"/>
      <c r="I1269" s="11"/>
      <c r="J1269" s="11"/>
      <c r="K1269" s="11"/>
      <c r="L1269" s="11"/>
      <c r="M1269" s="11"/>
      <c r="N1269" s="11"/>
      <c r="O1269" s="12"/>
      <c r="P1269" s="11"/>
      <c r="Q1269" s="13"/>
      <c r="R1269" s="14"/>
    </row>
    <row r="1270" spans="1:18" ht="15" customHeight="1">
      <c r="A1270" s="15" t="s">
        <v>26</v>
      </c>
      <c r="B1270" s="15" t="s">
        <v>821</v>
      </c>
      <c r="C1270" s="16">
        <v>0.63194444444444442</v>
      </c>
      <c r="D1270" s="15" t="s">
        <v>34</v>
      </c>
      <c r="E1270" s="15" t="s">
        <v>82</v>
      </c>
      <c r="F1270" s="15" t="s">
        <v>45</v>
      </c>
      <c r="G1270" s="298"/>
      <c r="H1270" s="10"/>
      <c r="I1270" s="11"/>
      <c r="J1270" s="11"/>
      <c r="K1270" s="11"/>
      <c r="L1270" s="11"/>
      <c r="M1270" s="11"/>
      <c r="N1270" s="11"/>
      <c r="O1270" s="12"/>
      <c r="P1270" s="11"/>
      <c r="Q1270" s="13"/>
      <c r="R1270" s="14"/>
    </row>
    <row r="1271" spans="1:18" ht="15" customHeight="1">
      <c r="A1271" s="17" t="s">
        <v>26</v>
      </c>
      <c r="B1271" s="17" t="s">
        <v>824</v>
      </c>
      <c r="C1271" s="18">
        <v>0.50694444444444442</v>
      </c>
      <c r="D1271" s="17" t="s">
        <v>28</v>
      </c>
      <c r="E1271" s="17" t="s">
        <v>90</v>
      </c>
      <c r="F1271" s="17" t="s">
        <v>81</v>
      </c>
      <c r="G1271" s="298"/>
      <c r="H1271" s="10"/>
      <c r="I1271" s="11"/>
      <c r="J1271" s="11"/>
      <c r="K1271" s="11"/>
      <c r="L1271" s="11"/>
      <c r="M1271" s="11"/>
      <c r="N1271" s="11"/>
      <c r="O1271" s="12"/>
      <c r="P1271" s="11"/>
      <c r="Q1271" s="13"/>
      <c r="R1271" s="14"/>
    </row>
    <row r="1272" spans="1:18" ht="15" customHeight="1">
      <c r="A1272" s="15" t="s">
        <v>26</v>
      </c>
      <c r="B1272" s="15" t="s">
        <v>824</v>
      </c>
      <c r="C1272" s="16">
        <v>0.50694444444444442</v>
      </c>
      <c r="D1272" s="15" t="s">
        <v>31</v>
      </c>
      <c r="E1272" s="15" t="s">
        <v>82</v>
      </c>
      <c r="F1272" s="15" t="s">
        <v>83</v>
      </c>
      <c r="G1272" s="298"/>
      <c r="H1272" s="10"/>
      <c r="I1272" s="11"/>
      <c r="J1272" s="11"/>
      <c r="K1272" s="11"/>
      <c r="L1272" s="11"/>
      <c r="M1272" s="11"/>
      <c r="N1272" s="11"/>
      <c r="O1272" s="12"/>
      <c r="P1272" s="11"/>
      <c r="Q1272" s="13"/>
      <c r="R1272" s="14"/>
    </row>
    <row r="1273" spans="1:18" ht="15" customHeight="1">
      <c r="A1273" s="15" t="s">
        <v>26</v>
      </c>
      <c r="B1273" s="15" t="s">
        <v>824</v>
      </c>
      <c r="C1273" s="16">
        <v>0.50694444444444442</v>
      </c>
      <c r="D1273" s="15" t="s">
        <v>34</v>
      </c>
      <c r="E1273" s="15" t="s">
        <v>82</v>
      </c>
      <c r="F1273" s="15" t="s">
        <v>45</v>
      </c>
      <c r="G1273" s="298"/>
      <c r="H1273" s="10"/>
      <c r="I1273" s="11"/>
      <c r="J1273" s="11"/>
      <c r="K1273" s="11"/>
      <c r="L1273" s="11"/>
      <c r="M1273" s="11"/>
      <c r="N1273" s="11"/>
      <c r="O1273" s="12"/>
      <c r="P1273" s="11"/>
      <c r="Q1273" s="13"/>
      <c r="R1273" s="14"/>
    </row>
    <row r="1274" spans="1:18" ht="15" customHeight="1">
      <c r="A1274" s="17" t="s">
        <v>26</v>
      </c>
      <c r="B1274" s="17" t="s">
        <v>825</v>
      </c>
      <c r="C1274" s="18">
        <v>0.69791666666666663</v>
      </c>
      <c r="D1274" s="17" t="s">
        <v>28</v>
      </c>
      <c r="E1274" s="17" t="s">
        <v>427</v>
      </c>
      <c r="F1274" s="17" t="s">
        <v>81</v>
      </c>
      <c r="G1274" s="298"/>
      <c r="H1274" s="10"/>
      <c r="I1274" s="11"/>
      <c r="J1274" s="11"/>
      <c r="K1274" s="11"/>
      <c r="L1274" s="11"/>
      <c r="M1274" s="11"/>
      <c r="N1274" s="11"/>
      <c r="O1274" s="12"/>
      <c r="P1274" s="11"/>
      <c r="Q1274" s="13"/>
      <c r="R1274" s="14"/>
    </row>
    <row r="1275" spans="1:18" ht="15" customHeight="1">
      <c r="A1275" s="15" t="s">
        <v>26</v>
      </c>
      <c r="B1275" s="15" t="s">
        <v>825</v>
      </c>
      <c r="C1275" s="16">
        <v>0.69791666666666663</v>
      </c>
      <c r="D1275" s="15" t="s">
        <v>31</v>
      </c>
      <c r="E1275" s="15" t="s">
        <v>115</v>
      </c>
      <c r="F1275" s="15" t="s">
        <v>83</v>
      </c>
      <c r="G1275" s="298"/>
      <c r="H1275" s="10"/>
      <c r="I1275" s="11"/>
      <c r="J1275" s="11"/>
      <c r="K1275" s="11"/>
      <c r="L1275" s="11"/>
      <c r="M1275" s="11"/>
      <c r="N1275" s="11"/>
      <c r="O1275" s="12"/>
      <c r="P1275" s="11"/>
      <c r="Q1275" s="13"/>
      <c r="R1275" s="14"/>
    </row>
    <row r="1276" spans="1:18" ht="15" customHeight="1">
      <c r="A1276" s="15" t="s">
        <v>26</v>
      </c>
      <c r="B1276" s="15" t="s">
        <v>825</v>
      </c>
      <c r="C1276" s="16">
        <v>0.69791666666666663</v>
      </c>
      <c r="D1276" s="15" t="s">
        <v>34</v>
      </c>
      <c r="E1276" s="15" t="s">
        <v>115</v>
      </c>
      <c r="F1276" s="15" t="s">
        <v>45</v>
      </c>
      <c r="G1276" s="298"/>
      <c r="H1276" s="10"/>
      <c r="I1276" s="11"/>
      <c r="J1276" s="11"/>
      <c r="K1276" s="11"/>
      <c r="L1276" s="11"/>
      <c r="M1276" s="11"/>
      <c r="N1276" s="11"/>
      <c r="O1276" s="12"/>
      <c r="P1276" s="11"/>
      <c r="Q1276" s="13"/>
      <c r="R1276" s="14"/>
    </row>
    <row r="1277" spans="1:18" ht="15" customHeight="1">
      <c r="A1277" s="17" t="s">
        <v>26</v>
      </c>
      <c r="B1277" s="17" t="s">
        <v>826</v>
      </c>
      <c r="C1277" s="18">
        <v>0.95833333333333337</v>
      </c>
      <c r="D1277" s="17" t="s">
        <v>28</v>
      </c>
      <c r="E1277" s="17" t="s">
        <v>90</v>
      </c>
      <c r="F1277" s="17" t="s">
        <v>827</v>
      </c>
      <c r="G1277" s="298"/>
      <c r="H1277" s="10"/>
      <c r="I1277" s="11"/>
      <c r="J1277" s="11"/>
      <c r="K1277" s="11"/>
      <c r="L1277" s="11"/>
      <c r="M1277" s="11"/>
      <c r="N1277" s="11"/>
      <c r="O1277" s="12"/>
      <c r="P1277" s="11"/>
      <c r="Q1277" s="13"/>
      <c r="R1277" s="14"/>
    </row>
    <row r="1278" spans="1:18" ht="15" customHeight="1">
      <c r="A1278" s="15" t="s">
        <v>26</v>
      </c>
      <c r="B1278" s="15" t="s">
        <v>826</v>
      </c>
      <c r="C1278" s="16">
        <v>0.95833333333333337</v>
      </c>
      <c r="D1278" s="15" t="s">
        <v>31</v>
      </c>
      <c r="E1278" s="15" t="s">
        <v>82</v>
      </c>
      <c r="F1278" s="15" t="s">
        <v>161</v>
      </c>
      <c r="G1278" s="298"/>
      <c r="H1278" s="10"/>
      <c r="I1278" s="11"/>
      <c r="J1278" s="11"/>
      <c r="K1278" s="11"/>
      <c r="L1278" s="11"/>
      <c r="M1278" s="11"/>
      <c r="N1278" s="11"/>
      <c r="O1278" s="12"/>
      <c r="P1278" s="11"/>
      <c r="Q1278" s="13"/>
      <c r="R1278" s="14"/>
    </row>
    <row r="1279" spans="1:18" ht="15" customHeight="1">
      <c r="A1279" s="15" t="s">
        <v>26</v>
      </c>
      <c r="B1279" s="15" t="s">
        <v>826</v>
      </c>
      <c r="C1279" s="16">
        <v>0.95833333333333337</v>
      </c>
      <c r="D1279" s="15" t="s">
        <v>34</v>
      </c>
      <c r="E1279" s="15" t="s">
        <v>82</v>
      </c>
      <c r="F1279" s="15" t="s">
        <v>123</v>
      </c>
      <c r="G1279" s="298"/>
      <c r="H1279" s="10"/>
      <c r="I1279" s="11"/>
      <c r="J1279" s="11"/>
      <c r="K1279" s="11"/>
      <c r="L1279" s="11"/>
      <c r="M1279" s="11"/>
      <c r="N1279" s="11"/>
      <c r="O1279" s="12"/>
      <c r="P1279" s="11"/>
      <c r="Q1279" s="13"/>
      <c r="R1279" s="14"/>
    </row>
    <row r="1280" spans="1:18" ht="15" customHeight="1">
      <c r="A1280" s="17" t="s">
        <v>26</v>
      </c>
      <c r="B1280" s="17" t="s">
        <v>822</v>
      </c>
      <c r="C1280" s="18">
        <v>0.55902777777777779</v>
      </c>
      <c r="D1280" s="17" t="s">
        <v>28</v>
      </c>
      <c r="E1280" s="17" t="s">
        <v>90</v>
      </c>
      <c r="F1280" s="17" t="s">
        <v>827</v>
      </c>
      <c r="G1280" s="298"/>
      <c r="H1280" s="10"/>
      <c r="I1280" s="11"/>
      <c r="J1280" s="11"/>
      <c r="K1280" s="11"/>
      <c r="L1280" s="11"/>
      <c r="M1280" s="11"/>
      <c r="N1280" s="11"/>
      <c r="O1280" s="12"/>
      <c r="P1280" s="11"/>
      <c r="Q1280" s="13"/>
      <c r="R1280" s="14"/>
    </row>
    <row r="1281" spans="1:18" ht="15" customHeight="1">
      <c r="A1281" s="15" t="s">
        <v>26</v>
      </c>
      <c r="B1281" s="15" t="s">
        <v>822</v>
      </c>
      <c r="C1281" s="16">
        <v>0.55902777777777779</v>
      </c>
      <c r="D1281" s="15" t="s">
        <v>31</v>
      </c>
      <c r="E1281" s="15" t="s">
        <v>82</v>
      </c>
      <c r="F1281" s="15" t="s">
        <v>161</v>
      </c>
      <c r="G1281" s="298"/>
      <c r="H1281" s="10"/>
      <c r="I1281" s="11"/>
      <c r="J1281" s="11"/>
      <c r="K1281" s="11"/>
      <c r="L1281" s="11"/>
      <c r="M1281" s="11"/>
      <c r="N1281" s="11"/>
      <c r="O1281" s="12"/>
      <c r="P1281" s="11"/>
      <c r="Q1281" s="13"/>
      <c r="R1281" s="14"/>
    </row>
    <row r="1282" spans="1:18" ht="15" customHeight="1">
      <c r="A1282" s="15" t="s">
        <v>26</v>
      </c>
      <c r="B1282" s="15" t="s">
        <v>822</v>
      </c>
      <c r="C1282" s="16">
        <v>0.55902777777777779</v>
      </c>
      <c r="D1282" s="15" t="s">
        <v>34</v>
      </c>
      <c r="E1282" s="15" t="s">
        <v>82</v>
      </c>
      <c r="F1282" s="15" t="s">
        <v>123</v>
      </c>
      <c r="G1282" s="298"/>
      <c r="H1282" s="10"/>
      <c r="I1282" s="11"/>
      <c r="J1282" s="11"/>
      <c r="K1282" s="11"/>
      <c r="L1282" s="11"/>
      <c r="M1282" s="11"/>
      <c r="N1282" s="11"/>
      <c r="O1282" s="12"/>
      <c r="P1282" s="11"/>
      <c r="Q1282" s="13"/>
      <c r="R1282" s="14"/>
    </row>
    <row r="1283" spans="1:18" ht="15" customHeight="1">
      <c r="A1283" s="17" t="s">
        <v>26</v>
      </c>
      <c r="B1283" s="17" t="s">
        <v>823</v>
      </c>
      <c r="C1283" s="18">
        <v>0.81944444444444453</v>
      </c>
      <c r="D1283" s="17" t="s">
        <v>28</v>
      </c>
      <c r="E1283" s="17" t="s">
        <v>90</v>
      </c>
      <c r="F1283" s="17" t="s">
        <v>827</v>
      </c>
      <c r="G1283" s="298"/>
      <c r="H1283" s="10"/>
      <c r="I1283" s="11"/>
      <c r="J1283" s="11"/>
      <c r="K1283" s="11"/>
      <c r="L1283" s="11"/>
      <c r="M1283" s="11"/>
      <c r="N1283" s="11"/>
      <c r="O1283" s="12"/>
      <c r="P1283" s="11"/>
      <c r="Q1283" s="13"/>
      <c r="R1283" s="14"/>
    </row>
    <row r="1284" spans="1:18" ht="15" customHeight="1">
      <c r="A1284" s="15" t="s">
        <v>26</v>
      </c>
      <c r="B1284" s="15" t="s">
        <v>823</v>
      </c>
      <c r="C1284" s="16">
        <v>0.81944444444444453</v>
      </c>
      <c r="D1284" s="15" t="s">
        <v>31</v>
      </c>
      <c r="E1284" s="15" t="s">
        <v>82</v>
      </c>
      <c r="F1284" s="15" t="s">
        <v>161</v>
      </c>
      <c r="G1284" s="298"/>
      <c r="H1284" s="10"/>
      <c r="I1284" s="11"/>
      <c r="J1284" s="11"/>
      <c r="K1284" s="11"/>
      <c r="L1284" s="11"/>
      <c r="M1284" s="11"/>
      <c r="N1284" s="11"/>
      <c r="O1284" s="12"/>
      <c r="P1284" s="11"/>
      <c r="Q1284" s="13"/>
      <c r="R1284" s="14"/>
    </row>
    <row r="1285" spans="1:18" ht="15" customHeight="1">
      <c r="A1285" s="15" t="s">
        <v>26</v>
      </c>
      <c r="B1285" s="15" t="s">
        <v>823</v>
      </c>
      <c r="C1285" s="16">
        <v>0.81944444444444453</v>
      </c>
      <c r="D1285" s="15" t="s">
        <v>34</v>
      </c>
      <c r="E1285" s="15" t="s">
        <v>82</v>
      </c>
      <c r="F1285" s="15" t="s">
        <v>123</v>
      </c>
      <c r="G1285" s="298"/>
      <c r="H1285" s="10"/>
      <c r="I1285" s="11"/>
      <c r="J1285" s="11"/>
      <c r="K1285" s="11"/>
      <c r="L1285" s="11"/>
      <c r="M1285" s="11"/>
      <c r="N1285" s="11"/>
      <c r="O1285" s="12"/>
      <c r="P1285" s="11"/>
      <c r="Q1285" s="13"/>
      <c r="R1285" s="14"/>
    </row>
    <row r="1286" spans="1:18" ht="15" customHeight="1">
      <c r="A1286" s="19" t="s">
        <v>359</v>
      </c>
      <c r="B1286" s="19" t="s">
        <v>814</v>
      </c>
      <c r="C1286" s="20">
        <v>0.4375</v>
      </c>
      <c r="D1286" s="19" t="s">
        <v>361</v>
      </c>
      <c r="E1286" s="19" t="s">
        <v>80</v>
      </c>
      <c r="F1286" s="19" t="s">
        <v>879</v>
      </c>
      <c r="G1286" s="298"/>
      <c r="H1286" s="10"/>
      <c r="I1286" s="11"/>
      <c r="J1286" s="11"/>
      <c r="K1286" s="11"/>
      <c r="L1286" s="11"/>
      <c r="M1286" s="11"/>
      <c r="N1286" s="11"/>
      <c r="O1286" s="12"/>
      <c r="P1286" s="11"/>
      <c r="Q1286" s="13"/>
      <c r="R1286" s="14"/>
    </row>
    <row r="1287" spans="1:18" ht="15" customHeight="1">
      <c r="A1287" s="15" t="s">
        <v>359</v>
      </c>
      <c r="B1287" s="15" t="s">
        <v>814</v>
      </c>
      <c r="C1287" s="16">
        <v>0.4375</v>
      </c>
      <c r="D1287" s="15" t="s">
        <v>46</v>
      </c>
      <c r="E1287" s="15" t="s">
        <v>82</v>
      </c>
      <c r="F1287" s="15" t="s">
        <v>880</v>
      </c>
      <c r="G1287" s="298"/>
      <c r="H1287" s="10"/>
      <c r="I1287" s="11"/>
      <c r="J1287" s="11"/>
      <c r="K1287" s="11"/>
      <c r="L1287" s="11"/>
      <c r="M1287" s="11"/>
      <c r="N1287" s="11"/>
      <c r="O1287" s="12"/>
      <c r="P1287" s="11"/>
      <c r="Q1287" s="13"/>
      <c r="R1287" s="14"/>
    </row>
    <row r="1288" spans="1:18" ht="15" customHeight="1">
      <c r="A1288" s="19" t="s">
        <v>38</v>
      </c>
      <c r="B1288" s="19" t="s">
        <v>809</v>
      </c>
      <c r="C1288" s="20">
        <v>0.57638888888888895</v>
      </c>
      <c r="D1288" s="19" t="s">
        <v>40</v>
      </c>
      <c r="E1288" s="19" t="s">
        <v>168</v>
      </c>
      <c r="F1288" s="19" t="s">
        <v>42</v>
      </c>
      <c r="G1288" s="298"/>
      <c r="H1288" s="10"/>
      <c r="I1288" s="11"/>
      <c r="J1288" s="11"/>
      <c r="K1288" s="11"/>
      <c r="L1288" s="11"/>
      <c r="M1288" s="11"/>
      <c r="N1288" s="11"/>
      <c r="O1288" s="12"/>
      <c r="P1288" s="11"/>
      <c r="Q1288" s="13"/>
      <c r="R1288" s="14"/>
    </row>
    <row r="1289" spans="1:18" ht="15" customHeight="1">
      <c r="A1289" s="15" t="s">
        <v>38</v>
      </c>
      <c r="B1289" s="15" t="s">
        <v>809</v>
      </c>
      <c r="C1289" s="16">
        <v>0.57638888888888895</v>
      </c>
      <c r="D1289" s="15" t="s">
        <v>43</v>
      </c>
      <c r="E1289" s="15" t="s">
        <v>114</v>
      </c>
      <c r="F1289" s="15" t="s">
        <v>45</v>
      </c>
      <c r="G1289" s="298"/>
      <c r="H1289" s="10"/>
      <c r="I1289" s="11"/>
      <c r="J1289" s="11"/>
      <c r="K1289" s="11"/>
      <c r="L1289" s="11"/>
      <c r="M1289" s="11"/>
      <c r="N1289" s="11"/>
      <c r="O1289" s="12"/>
      <c r="P1289" s="11"/>
      <c r="Q1289" s="13"/>
      <c r="R1289" s="14"/>
    </row>
    <row r="1290" spans="1:18" ht="15" customHeight="1">
      <c r="A1290" s="15" t="s">
        <v>38</v>
      </c>
      <c r="B1290" s="15" t="s">
        <v>809</v>
      </c>
      <c r="C1290" s="16">
        <v>0.57638888888888895</v>
      </c>
      <c r="D1290" s="15" t="s">
        <v>46</v>
      </c>
      <c r="E1290" s="15" t="s">
        <v>114</v>
      </c>
      <c r="F1290" s="15" t="s">
        <v>810</v>
      </c>
      <c r="G1290" s="298"/>
      <c r="H1290" s="10"/>
      <c r="I1290" s="11"/>
      <c r="J1290" s="11"/>
      <c r="K1290" s="11"/>
      <c r="L1290" s="11"/>
      <c r="M1290" s="11"/>
      <c r="N1290" s="11"/>
      <c r="O1290" s="12"/>
      <c r="P1290" s="11"/>
      <c r="Q1290" s="13"/>
      <c r="R1290" s="14"/>
    </row>
    <row r="1291" spans="1:18" ht="15" customHeight="1">
      <c r="A1291" s="17" t="s">
        <v>38</v>
      </c>
      <c r="B1291" s="17" t="s">
        <v>811</v>
      </c>
      <c r="C1291" s="18">
        <v>0.62847222222222221</v>
      </c>
      <c r="D1291" s="17" t="s">
        <v>40</v>
      </c>
      <c r="E1291" s="17" t="s">
        <v>421</v>
      </c>
      <c r="F1291" s="17" t="s">
        <v>42</v>
      </c>
      <c r="G1291" s="298"/>
      <c r="H1291" s="10"/>
      <c r="I1291" s="11"/>
      <c r="J1291" s="11"/>
      <c r="K1291" s="11"/>
      <c r="L1291" s="11"/>
      <c r="M1291" s="11"/>
      <c r="N1291" s="11"/>
      <c r="O1291" s="12"/>
      <c r="P1291" s="11"/>
      <c r="Q1291" s="13"/>
      <c r="R1291" s="14"/>
    </row>
    <row r="1292" spans="1:18" ht="15" customHeight="1">
      <c r="A1292" s="15" t="s">
        <v>38</v>
      </c>
      <c r="B1292" s="15" t="s">
        <v>811</v>
      </c>
      <c r="C1292" s="16">
        <v>0.62847222222222221</v>
      </c>
      <c r="D1292" s="15" t="s">
        <v>43</v>
      </c>
      <c r="E1292" s="15" t="s">
        <v>193</v>
      </c>
      <c r="F1292" s="15" t="s">
        <v>45</v>
      </c>
      <c r="G1292" s="298"/>
      <c r="H1292" s="10"/>
      <c r="I1292" s="11"/>
      <c r="J1292" s="11"/>
      <c r="K1292" s="11"/>
      <c r="L1292" s="11"/>
      <c r="M1292" s="11"/>
      <c r="N1292" s="11"/>
      <c r="O1292" s="12"/>
      <c r="P1292" s="11"/>
      <c r="Q1292" s="13"/>
      <c r="R1292" s="14"/>
    </row>
    <row r="1293" spans="1:18" ht="15" customHeight="1">
      <c r="A1293" s="15" t="s">
        <v>38</v>
      </c>
      <c r="B1293" s="15" t="s">
        <v>811</v>
      </c>
      <c r="C1293" s="16">
        <v>0.62847222222222221</v>
      </c>
      <c r="D1293" s="15" t="s">
        <v>46</v>
      </c>
      <c r="E1293" s="15" t="s">
        <v>193</v>
      </c>
      <c r="F1293" s="15" t="s">
        <v>810</v>
      </c>
      <c r="G1293" s="298"/>
      <c r="H1293" s="10"/>
      <c r="I1293" s="11"/>
      <c r="J1293" s="11"/>
      <c r="K1293" s="11"/>
      <c r="L1293" s="11"/>
      <c r="M1293" s="11"/>
      <c r="N1293" s="11"/>
      <c r="O1293" s="12"/>
      <c r="P1293" s="11"/>
      <c r="Q1293" s="13"/>
      <c r="R1293" s="14"/>
    </row>
    <row r="1294" spans="1:18" ht="15" customHeight="1">
      <c r="A1294" s="17" t="s">
        <v>38</v>
      </c>
      <c r="B1294" s="17" t="s">
        <v>812</v>
      </c>
      <c r="C1294" s="18">
        <v>0.88888888888888884</v>
      </c>
      <c r="D1294" s="17" t="s">
        <v>40</v>
      </c>
      <c r="E1294" s="17" t="s">
        <v>957</v>
      </c>
      <c r="F1294" s="17" t="s">
        <v>83</v>
      </c>
      <c r="G1294" s="298"/>
      <c r="H1294" s="10"/>
      <c r="I1294" s="11"/>
      <c r="J1294" s="11"/>
      <c r="K1294" s="11"/>
      <c r="L1294" s="11"/>
      <c r="M1294" s="11"/>
      <c r="N1294" s="11"/>
      <c r="O1294" s="12"/>
      <c r="P1294" s="11"/>
      <c r="Q1294" s="13"/>
      <c r="R1294" s="14"/>
    </row>
    <row r="1295" spans="1:18" ht="15" customHeight="1">
      <c r="A1295" s="15" t="s">
        <v>38</v>
      </c>
      <c r="B1295" s="15" t="s">
        <v>812</v>
      </c>
      <c r="C1295" s="16">
        <v>0.88888888888888884</v>
      </c>
      <c r="D1295" s="15" t="s">
        <v>43</v>
      </c>
      <c r="E1295" s="15" t="s">
        <v>958</v>
      </c>
      <c r="F1295" s="15" t="s">
        <v>162</v>
      </c>
      <c r="G1295" s="298"/>
      <c r="H1295" s="10"/>
      <c r="I1295" s="11"/>
      <c r="J1295" s="11"/>
      <c r="K1295" s="11"/>
      <c r="L1295" s="11"/>
      <c r="M1295" s="11"/>
      <c r="N1295" s="11"/>
      <c r="O1295" s="12"/>
      <c r="P1295" s="11"/>
      <c r="Q1295" s="13"/>
      <c r="R1295" s="14"/>
    </row>
    <row r="1296" spans="1:18" ht="15" customHeight="1">
      <c r="A1296" s="15" t="s">
        <v>38</v>
      </c>
      <c r="B1296" s="15" t="s">
        <v>812</v>
      </c>
      <c r="C1296" s="16">
        <v>0.88888888888888884</v>
      </c>
      <c r="D1296" s="15" t="s">
        <v>46</v>
      </c>
      <c r="E1296" s="15" t="s">
        <v>958</v>
      </c>
      <c r="F1296" s="15" t="s">
        <v>810</v>
      </c>
      <c r="G1296" s="298"/>
      <c r="H1296" s="10"/>
      <c r="I1296" s="11"/>
      <c r="J1296" s="11"/>
      <c r="K1296" s="11"/>
      <c r="L1296" s="11"/>
      <c r="M1296" s="11"/>
      <c r="N1296" s="11"/>
      <c r="O1296" s="12"/>
      <c r="P1296" s="11"/>
      <c r="Q1296" s="13"/>
      <c r="R1296" s="14"/>
    </row>
    <row r="1297" spans="1:18" ht="15" customHeight="1">
      <c r="A1297" s="17" t="s">
        <v>38</v>
      </c>
      <c r="B1297" s="17" t="s">
        <v>813</v>
      </c>
      <c r="C1297" s="18">
        <v>0.94444444444444453</v>
      </c>
      <c r="D1297" s="17" t="s">
        <v>40</v>
      </c>
      <c r="E1297" s="17" t="s">
        <v>959</v>
      </c>
      <c r="F1297" s="17" t="s">
        <v>83</v>
      </c>
      <c r="G1297" s="298"/>
      <c r="H1297" s="10"/>
      <c r="I1297" s="11"/>
      <c r="J1297" s="11"/>
      <c r="K1297" s="11"/>
      <c r="L1297" s="11"/>
      <c r="M1297" s="11"/>
      <c r="N1297" s="11"/>
      <c r="O1297" s="12"/>
      <c r="P1297" s="11"/>
      <c r="Q1297" s="13"/>
      <c r="R1297" s="14"/>
    </row>
    <row r="1298" spans="1:18" ht="15" customHeight="1">
      <c r="A1298" s="15" t="s">
        <v>38</v>
      </c>
      <c r="B1298" s="15" t="s">
        <v>813</v>
      </c>
      <c r="C1298" s="16">
        <v>0.94444444444444453</v>
      </c>
      <c r="D1298" s="15" t="s">
        <v>43</v>
      </c>
      <c r="E1298" s="15" t="s">
        <v>960</v>
      </c>
      <c r="F1298" s="15" t="s">
        <v>162</v>
      </c>
      <c r="G1298" s="298"/>
      <c r="H1298" s="10"/>
      <c r="I1298" s="11"/>
      <c r="J1298" s="11"/>
      <c r="K1298" s="11"/>
      <c r="L1298" s="11"/>
      <c r="M1298" s="11"/>
      <c r="N1298" s="11"/>
      <c r="O1298" s="12"/>
      <c r="P1298" s="11"/>
      <c r="Q1298" s="13"/>
      <c r="R1298" s="14"/>
    </row>
    <row r="1299" spans="1:18" ht="15" customHeight="1">
      <c r="A1299" s="15" t="s">
        <v>38</v>
      </c>
      <c r="B1299" s="15" t="s">
        <v>813</v>
      </c>
      <c r="C1299" s="16">
        <v>0.94444444444444453</v>
      </c>
      <c r="D1299" s="15" t="s">
        <v>46</v>
      </c>
      <c r="E1299" s="15" t="s">
        <v>960</v>
      </c>
      <c r="F1299" s="15" t="s">
        <v>810</v>
      </c>
      <c r="G1299" s="298"/>
      <c r="H1299" s="10"/>
      <c r="I1299" s="11"/>
      <c r="J1299" s="11"/>
      <c r="K1299" s="11"/>
      <c r="L1299" s="11"/>
      <c r="M1299" s="11"/>
      <c r="N1299" s="11"/>
      <c r="O1299" s="12"/>
      <c r="P1299" s="11"/>
      <c r="Q1299" s="13"/>
      <c r="R1299" s="14"/>
    </row>
    <row r="1300" spans="1:18" ht="15" customHeight="1">
      <c r="A1300" s="21" t="s">
        <v>61</v>
      </c>
      <c r="B1300" s="21" t="s">
        <v>816</v>
      </c>
      <c r="C1300" s="22">
        <v>0.41319444444444442</v>
      </c>
      <c r="D1300" s="21" t="s">
        <v>63</v>
      </c>
      <c r="E1300" s="21" t="s">
        <v>100</v>
      </c>
      <c r="F1300" s="21" t="s">
        <v>961</v>
      </c>
      <c r="G1300" s="298"/>
      <c r="H1300" s="23" t="s">
        <v>818</v>
      </c>
      <c r="I1300" s="24">
        <v>3.3500000000000002E-2</v>
      </c>
      <c r="J1300" s="25">
        <v>6</v>
      </c>
      <c r="K1300" s="26">
        <v>46339</v>
      </c>
      <c r="L1300" s="25">
        <v>6</v>
      </c>
      <c r="M1300" s="25">
        <v>0</v>
      </c>
      <c r="N1300" s="25">
        <v>0</v>
      </c>
      <c r="O1300" s="27" t="s">
        <v>317</v>
      </c>
      <c r="P1300" s="28">
        <v>0.41319444444444442</v>
      </c>
      <c r="Q1300" s="25">
        <v>179</v>
      </c>
      <c r="R1300" s="29" t="s">
        <v>962</v>
      </c>
    </row>
    <row r="1301" spans="1:18" ht="15" customHeight="1">
      <c r="A1301" s="19" t="s">
        <v>68</v>
      </c>
      <c r="B1301" s="19" t="s">
        <v>842</v>
      </c>
      <c r="C1301" s="20">
        <v>0.98263888888888884</v>
      </c>
      <c r="D1301" s="19" t="s">
        <v>70</v>
      </c>
      <c r="E1301" s="19" t="s">
        <v>51</v>
      </c>
      <c r="F1301" s="19" t="s">
        <v>45</v>
      </c>
      <c r="G1301" s="298"/>
      <c r="H1301" s="10"/>
      <c r="I1301" s="11"/>
      <c r="J1301" s="11"/>
      <c r="K1301" s="11"/>
      <c r="L1301" s="11"/>
      <c r="M1301" s="11"/>
      <c r="N1301" s="11"/>
      <c r="O1301" s="12"/>
      <c r="P1301" s="11"/>
      <c r="Q1301" s="13"/>
      <c r="R1301" s="14"/>
    </row>
    <row r="1302" spans="1:18" ht="15" customHeight="1">
      <c r="A1302" s="17" t="s">
        <v>68</v>
      </c>
      <c r="B1302" s="17" t="s">
        <v>844</v>
      </c>
      <c r="C1302" s="18">
        <v>0.72916666666666663</v>
      </c>
      <c r="D1302" s="17" t="s">
        <v>70</v>
      </c>
      <c r="E1302" s="17" t="s">
        <v>91</v>
      </c>
      <c r="F1302" s="17" t="s">
        <v>845</v>
      </c>
      <c r="G1302" s="298"/>
      <c r="H1302" s="10"/>
      <c r="I1302" s="11"/>
      <c r="J1302" s="11"/>
      <c r="K1302" s="11"/>
      <c r="L1302" s="11"/>
      <c r="M1302" s="11"/>
      <c r="N1302" s="11"/>
      <c r="O1302" s="12"/>
      <c r="P1302" s="11"/>
      <c r="Q1302" s="13"/>
      <c r="R1302" s="14"/>
    </row>
    <row r="1303" spans="1:18" ht="15" customHeight="1">
      <c r="A1303" s="17" t="s">
        <v>68</v>
      </c>
      <c r="B1303" s="17" t="s">
        <v>843</v>
      </c>
      <c r="C1303" s="18">
        <v>0.35416666666666669</v>
      </c>
      <c r="D1303" s="17" t="s">
        <v>70</v>
      </c>
      <c r="E1303" s="17" t="s">
        <v>57</v>
      </c>
      <c r="F1303" s="17" t="s">
        <v>845</v>
      </c>
      <c r="G1303" s="298"/>
      <c r="H1303" s="10"/>
      <c r="I1303" s="11"/>
      <c r="J1303" s="11"/>
      <c r="K1303" s="11"/>
      <c r="L1303" s="11"/>
      <c r="M1303" s="11"/>
      <c r="N1303" s="11"/>
      <c r="O1303" s="12"/>
      <c r="P1303" s="11"/>
      <c r="Q1303" s="13"/>
      <c r="R1303" s="14"/>
    </row>
    <row r="1304" spans="1:18" ht="15" customHeight="1">
      <c r="A1304" s="19" t="s">
        <v>402</v>
      </c>
      <c r="B1304" s="19" t="s">
        <v>839</v>
      </c>
      <c r="C1304" s="20">
        <v>0.1701388888888889</v>
      </c>
      <c r="D1304" s="19" t="s">
        <v>63</v>
      </c>
      <c r="E1304" s="19" t="s">
        <v>143</v>
      </c>
      <c r="F1304" s="19" t="s">
        <v>881</v>
      </c>
      <c r="G1304" s="298"/>
      <c r="H1304" s="10"/>
      <c r="I1304" s="11"/>
      <c r="J1304" s="11"/>
      <c r="K1304" s="11"/>
      <c r="L1304" s="11"/>
      <c r="M1304" s="11"/>
      <c r="N1304" s="11"/>
      <c r="O1304" s="12"/>
      <c r="P1304" s="11"/>
      <c r="Q1304" s="13"/>
      <c r="R1304" s="14"/>
    </row>
    <row r="1305" spans="1:18" ht="15" customHeight="1">
      <c r="A1305" s="19" t="s">
        <v>48</v>
      </c>
      <c r="B1305" s="19" t="s">
        <v>837</v>
      </c>
      <c r="C1305" s="20">
        <v>0.62847222222222221</v>
      </c>
      <c r="D1305" s="19" t="s">
        <v>53</v>
      </c>
      <c r="E1305" s="19" t="s">
        <v>29</v>
      </c>
      <c r="F1305" s="19" t="s">
        <v>859</v>
      </c>
      <c r="G1305" s="298"/>
      <c r="H1305" s="10"/>
      <c r="I1305" s="11"/>
      <c r="J1305" s="11"/>
      <c r="K1305" s="11"/>
      <c r="L1305" s="11"/>
      <c r="M1305" s="11"/>
      <c r="N1305" s="11"/>
      <c r="O1305" s="12"/>
      <c r="P1305" s="11"/>
      <c r="Q1305" s="13"/>
      <c r="R1305" s="14"/>
    </row>
    <row r="1306" spans="1:18" ht="15" customHeight="1">
      <c r="A1306" s="17" t="s">
        <v>48</v>
      </c>
      <c r="B1306" s="17" t="s">
        <v>835</v>
      </c>
      <c r="C1306" s="18">
        <v>0.88888888888888884</v>
      </c>
      <c r="D1306" s="17" t="s">
        <v>53</v>
      </c>
      <c r="E1306" s="17" t="s">
        <v>37</v>
      </c>
      <c r="F1306" s="17" t="s">
        <v>946</v>
      </c>
      <c r="G1306" s="298"/>
      <c r="H1306" s="10"/>
      <c r="I1306" s="11"/>
      <c r="J1306" s="11"/>
      <c r="K1306" s="11"/>
      <c r="L1306" s="11"/>
      <c r="M1306" s="11"/>
      <c r="N1306" s="11"/>
      <c r="O1306" s="12"/>
      <c r="P1306" s="11"/>
      <c r="Q1306" s="13"/>
      <c r="R1306" s="14"/>
    </row>
    <row r="1307" spans="1:18" ht="15" customHeight="1">
      <c r="A1307" s="17" t="s">
        <v>48</v>
      </c>
      <c r="B1307" s="17" t="s">
        <v>838</v>
      </c>
      <c r="C1307" s="18">
        <v>0.94444444444444453</v>
      </c>
      <c r="D1307" s="17" t="s">
        <v>53</v>
      </c>
      <c r="E1307" s="17" t="s">
        <v>37</v>
      </c>
      <c r="F1307" s="17" t="s">
        <v>946</v>
      </c>
      <c r="G1307" s="298"/>
      <c r="H1307" s="10"/>
      <c r="I1307" s="11"/>
      <c r="J1307" s="11"/>
      <c r="K1307" s="11"/>
      <c r="L1307" s="11"/>
      <c r="M1307" s="11"/>
      <c r="N1307" s="11"/>
      <c r="O1307" s="12"/>
      <c r="P1307" s="11"/>
      <c r="Q1307" s="13"/>
      <c r="R1307" s="14"/>
    </row>
    <row r="1308" spans="1:18" ht="15" customHeight="1">
      <c r="A1308" s="17" t="s">
        <v>48</v>
      </c>
      <c r="B1308" s="17" t="s">
        <v>833</v>
      </c>
      <c r="C1308" s="18">
        <v>0.44444444444444442</v>
      </c>
      <c r="D1308" s="17" t="s">
        <v>53</v>
      </c>
      <c r="E1308" s="17" t="s">
        <v>57</v>
      </c>
      <c r="F1308" s="17" t="s">
        <v>870</v>
      </c>
      <c r="G1308" s="298"/>
      <c r="H1308" s="10"/>
      <c r="I1308" s="11"/>
      <c r="J1308" s="11"/>
      <c r="K1308" s="11"/>
      <c r="L1308" s="11"/>
      <c r="M1308" s="11"/>
      <c r="N1308" s="11"/>
      <c r="O1308" s="12"/>
      <c r="P1308" s="11"/>
      <c r="Q1308" s="13"/>
      <c r="R1308" s="14"/>
    </row>
    <row r="1309" spans="1:18" ht="15" customHeight="1">
      <c r="A1309" s="17" t="s">
        <v>48</v>
      </c>
      <c r="B1309" s="17" t="s">
        <v>831</v>
      </c>
      <c r="C1309" s="18">
        <v>0.98263888888888884</v>
      </c>
      <c r="D1309" s="17" t="s">
        <v>53</v>
      </c>
      <c r="E1309" s="17" t="s">
        <v>57</v>
      </c>
      <c r="F1309" s="17" t="s">
        <v>870</v>
      </c>
      <c r="G1309" s="298"/>
      <c r="H1309" s="10"/>
      <c r="I1309" s="11"/>
      <c r="J1309" s="11"/>
      <c r="K1309" s="11"/>
      <c r="L1309" s="11"/>
      <c r="M1309" s="11"/>
      <c r="N1309" s="11"/>
      <c r="O1309" s="12"/>
      <c r="P1309" s="11"/>
      <c r="Q1309" s="13"/>
      <c r="R1309" s="14"/>
    </row>
    <row r="1310" spans="1:18" ht="15" customHeight="1">
      <c r="A1310" s="17" t="s">
        <v>48</v>
      </c>
      <c r="B1310" s="17" t="s">
        <v>828</v>
      </c>
      <c r="C1310" s="18">
        <v>0.82986111111111116</v>
      </c>
      <c r="D1310" s="17" t="s">
        <v>53</v>
      </c>
      <c r="E1310" s="17" t="s">
        <v>57</v>
      </c>
      <c r="F1310" s="17" t="s">
        <v>963</v>
      </c>
      <c r="G1310" s="298"/>
      <c r="H1310" s="10"/>
      <c r="I1310" s="11"/>
      <c r="J1310" s="11"/>
      <c r="K1310" s="11"/>
      <c r="L1310" s="11"/>
      <c r="M1310" s="11"/>
      <c r="N1310" s="11"/>
      <c r="O1310" s="12"/>
      <c r="P1310" s="11"/>
      <c r="Q1310" s="13"/>
      <c r="R1310" s="14"/>
    </row>
    <row r="1311" spans="1:18" ht="15" customHeight="1" thickBot="1">
      <c r="A1311" s="30" t="s">
        <v>48</v>
      </c>
      <c r="B1311" s="30" t="s">
        <v>832</v>
      </c>
      <c r="C1311" s="31">
        <v>0.62847222222222221</v>
      </c>
      <c r="D1311" s="30" t="s">
        <v>53</v>
      </c>
      <c r="E1311" s="30" t="s">
        <v>57</v>
      </c>
      <c r="F1311" s="30" t="s">
        <v>963</v>
      </c>
      <c r="G1311" s="299"/>
      <c r="H1311" s="300"/>
      <c r="I1311" s="140"/>
      <c r="J1311" s="140"/>
      <c r="K1311" s="140"/>
      <c r="L1311" s="140"/>
      <c r="M1311" s="140"/>
      <c r="N1311" s="140"/>
      <c r="O1311" s="141"/>
      <c r="P1311" s="140"/>
      <c r="Q1311" s="142"/>
      <c r="R1311" s="301"/>
    </row>
    <row r="1312" spans="1:18" ht="17.45" customHeight="1" thickBot="1">
      <c r="A1312" s="283"/>
      <c r="B1312" s="284"/>
      <c r="C1312" s="284"/>
      <c r="D1312" s="284"/>
      <c r="E1312" s="284"/>
      <c r="F1312" s="284"/>
      <c r="G1312" s="284"/>
      <c r="H1312" s="284"/>
      <c r="I1312" s="284"/>
      <c r="J1312" s="284"/>
      <c r="K1312" s="284"/>
      <c r="L1312" s="284"/>
      <c r="M1312" s="284"/>
      <c r="N1312" s="284"/>
      <c r="O1312" s="284"/>
      <c r="P1312" s="284"/>
      <c r="Q1312" s="284"/>
      <c r="R1312" s="285"/>
    </row>
    <row r="1313" spans="1:18" ht="22.15" customHeight="1" thickTop="1" thickBot="1">
      <c r="A1313" s="279" t="s">
        <v>6</v>
      </c>
      <c r="B1313" s="295"/>
      <c r="C1313" s="295"/>
      <c r="D1313" s="295"/>
      <c r="E1313" s="295"/>
      <c r="F1313" s="296"/>
      <c r="G1313" s="32">
        <v>46047</v>
      </c>
      <c r="H1313" s="278" t="s">
        <v>7</v>
      </c>
      <c r="I1313" s="295"/>
      <c r="J1313" s="295"/>
      <c r="K1313" s="295"/>
      <c r="L1313" s="295"/>
      <c r="M1313" s="295"/>
      <c r="N1313" s="295"/>
      <c r="O1313" s="295"/>
      <c r="P1313" s="295"/>
      <c r="Q1313" s="295"/>
      <c r="R1313" s="296"/>
    </row>
    <row r="1314" spans="1:18" ht="24" customHeight="1">
      <c r="A1314" s="33" t="s">
        <v>8</v>
      </c>
      <c r="B1314" s="33" t="s">
        <v>9</v>
      </c>
      <c r="C1314" s="34" t="s">
        <v>10</v>
      </c>
      <c r="D1314" s="33" t="s">
        <v>11</v>
      </c>
      <c r="E1314" s="33" t="s">
        <v>12</v>
      </c>
      <c r="F1314" s="35" t="s">
        <v>13</v>
      </c>
      <c r="G1314" s="36" t="s">
        <v>14</v>
      </c>
      <c r="H1314" s="33" t="s">
        <v>15</v>
      </c>
      <c r="I1314" s="37" t="s">
        <v>16</v>
      </c>
      <c r="J1314" s="38" t="s">
        <v>17</v>
      </c>
      <c r="K1314" s="39" t="s">
        <v>18</v>
      </c>
      <c r="L1314" s="38" t="s">
        <v>19</v>
      </c>
      <c r="M1314" s="38" t="s">
        <v>20</v>
      </c>
      <c r="N1314" s="38" t="s">
        <v>21</v>
      </c>
      <c r="O1314" s="33" t="s">
        <v>22</v>
      </c>
      <c r="P1314" s="34" t="s">
        <v>23</v>
      </c>
      <c r="Q1314" s="38" t="s">
        <v>24</v>
      </c>
      <c r="R1314" s="33" t="s">
        <v>25</v>
      </c>
    </row>
    <row r="1315" spans="1:18" ht="15" customHeight="1">
      <c r="A1315" s="8" t="s">
        <v>38</v>
      </c>
      <c r="B1315" s="8" t="s">
        <v>809</v>
      </c>
      <c r="C1315" s="9">
        <v>0.57638888888888895</v>
      </c>
      <c r="D1315" s="8" t="s">
        <v>40</v>
      </c>
      <c r="E1315" s="8" t="s">
        <v>192</v>
      </c>
      <c r="F1315" s="8" t="s">
        <v>872</v>
      </c>
      <c r="G1315" s="297"/>
      <c r="H1315" s="10"/>
      <c r="I1315" s="11"/>
      <c r="J1315" s="11"/>
      <c r="K1315" s="11"/>
      <c r="L1315" s="11"/>
      <c r="M1315" s="11"/>
      <c r="N1315" s="11"/>
      <c r="O1315" s="12"/>
      <c r="P1315" s="11"/>
      <c r="Q1315" s="13"/>
      <c r="R1315" s="14"/>
    </row>
    <row r="1316" spans="1:18" ht="15" customHeight="1">
      <c r="A1316" s="15" t="s">
        <v>38</v>
      </c>
      <c r="B1316" s="15" t="s">
        <v>809</v>
      </c>
      <c r="C1316" s="16">
        <v>0.57638888888888895</v>
      </c>
      <c r="D1316" s="15" t="s">
        <v>43</v>
      </c>
      <c r="E1316" s="15" t="s">
        <v>193</v>
      </c>
      <c r="F1316" s="15" t="s">
        <v>349</v>
      </c>
      <c r="G1316" s="298"/>
      <c r="H1316" s="10"/>
      <c r="I1316" s="11"/>
      <c r="J1316" s="11"/>
      <c r="K1316" s="11"/>
      <c r="L1316" s="11"/>
      <c r="M1316" s="11"/>
      <c r="N1316" s="11"/>
      <c r="O1316" s="12"/>
      <c r="P1316" s="11"/>
      <c r="Q1316" s="13"/>
      <c r="R1316" s="14"/>
    </row>
    <row r="1317" spans="1:18" ht="15" customHeight="1">
      <c r="A1317" s="15" t="s">
        <v>38</v>
      </c>
      <c r="B1317" s="15" t="s">
        <v>809</v>
      </c>
      <c r="C1317" s="16">
        <v>0.57638888888888895</v>
      </c>
      <c r="D1317" s="15" t="s">
        <v>46</v>
      </c>
      <c r="E1317" s="15" t="s">
        <v>193</v>
      </c>
      <c r="F1317" s="15" t="s">
        <v>810</v>
      </c>
      <c r="G1317" s="298"/>
      <c r="H1317" s="10"/>
      <c r="I1317" s="11"/>
      <c r="J1317" s="11"/>
      <c r="K1317" s="11"/>
      <c r="L1317" s="11"/>
      <c r="M1317" s="11"/>
      <c r="N1317" s="11"/>
      <c r="O1317" s="12"/>
      <c r="P1317" s="11"/>
      <c r="Q1317" s="13"/>
      <c r="R1317" s="14"/>
    </row>
    <row r="1318" spans="1:18" ht="15" customHeight="1">
      <c r="A1318" s="17" t="s">
        <v>38</v>
      </c>
      <c r="B1318" s="17" t="s">
        <v>811</v>
      </c>
      <c r="C1318" s="18">
        <v>0.62847222222222221</v>
      </c>
      <c r="D1318" s="17" t="s">
        <v>40</v>
      </c>
      <c r="E1318" s="17" t="s">
        <v>458</v>
      </c>
      <c r="F1318" s="17" t="s">
        <v>872</v>
      </c>
      <c r="G1318" s="298"/>
      <c r="H1318" s="10"/>
      <c r="I1318" s="11"/>
      <c r="J1318" s="11"/>
      <c r="K1318" s="11"/>
      <c r="L1318" s="11"/>
      <c r="M1318" s="11"/>
      <c r="N1318" s="11"/>
      <c r="O1318" s="12"/>
      <c r="P1318" s="11"/>
      <c r="Q1318" s="13"/>
      <c r="R1318" s="14"/>
    </row>
    <row r="1319" spans="1:18" ht="15" customHeight="1">
      <c r="A1319" s="15" t="s">
        <v>38</v>
      </c>
      <c r="B1319" s="15" t="s">
        <v>811</v>
      </c>
      <c r="C1319" s="16">
        <v>0.62847222222222221</v>
      </c>
      <c r="D1319" s="15" t="s">
        <v>43</v>
      </c>
      <c r="E1319" s="15" t="s">
        <v>155</v>
      </c>
      <c r="F1319" s="15" t="s">
        <v>349</v>
      </c>
      <c r="G1319" s="298"/>
      <c r="H1319" s="10"/>
      <c r="I1319" s="11"/>
      <c r="J1319" s="11"/>
      <c r="K1319" s="11"/>
      <c r="L1319" s="11"/>
      <c r="M1319" s="11"/>
      <c r="N1319" s="11"/>
      <c r="O1319" s="12"/>
      <c r="P1319" s="11"/>
      <c r="Q1319" s="13"/>
      <c r="R1319" s="14"/>
    </row>
    <row r="1320" spans="1:18" ht="15" customHeight="1">
      <c r="A1320" s="15" t="s">
        <v>38</v>
      </c>
      <c r="B1320" s="15" t="s">
        <v>811</v>
      </c>
      <c r="C1320" s="16">
        <v>0.62847222222222221</v>
      </c>
      <c r="D1320" s="15" t="s">
        <v>46</v>
      </c>
      <c r="E1320" s="15" t="s">
        <v>155</v>
      </c>
      <c r="F1320" s="15" t="s">
        <v>810</v>
      </c>
      <c r="G1320" s="298"/>
      <c r="H1320" s="10"/>
      <c r="I1320" s="11"/>
      <c r="J1320" s="11"/>
      <c r="K1320" s="11"/>
      <c r="L1320" s="11"/>
      <c r="M1320" s="11"/>
      <c r="N1320" s="11"/>
      <c r="O1320" s="12"/>
      <c r="P1320" s="11"/>
      <c r="Q1320" s="13"/>
      <c r="R1320" s="14"/>
    </row>
    <row r="1321" spans="1:18" ht="15" customHeight="1">
      <c r="A1321" s="17" t="s">
        <v>38</v>
      </c>
      <c r="B1321" s="17" t="s">
        <v>812</v>
      </c>
      <c r="C1321" s="18">
        <v>0.88888888888888884</v>
      </c>
      <c r="D1321" s="17" t="s">
        <v>40</v>
      </c>
      <c r="E1321" s="17" t="s">
        <v>964</v>
      </c>
      <c r="F1321" s="17" t="s">
        <v>83</v>
      </c>
      <c r="G1321" s="298"/>
      <c r="H1321" s="10"/>
      <c r="I1321" s="11"/>
      <c r="J1321" s="11"/>
      <c r="K1321" s="11"/>
      <c r="L1321" s="11"/>
      <c r="M1321" s="11"/>
      <c r="N1321" s="11"/>
      <c r="O1321" s="12"/>
      <c r="P1321" s="11"/>
      <c r="Q1321" s="13"/>
      <c r="R1321" s="14"/>
    </row>
    <row r="1322" spans="1:18" ht="15" customHeight="1">
      <c r="A1322" s="15" t="s">
        <v>38</v>
      </c>
      <c r="B1322" s="15" t="s">
        <v>812</v>
      </c>
      <c r="C1322" s="16">
        <v>0.88888888888888884</v>
      </c>
      <c r="D1322" s="15" t="s">
        <v>43</v>
      </c>
      <c r="E1322" s="15" t="s">
        <v>965</v>
      </c>
      <c r="F1322" s="15" t="s">
        <v>162</v>
      </c>
      <c r="G1322" s="298"/>
      <c r="H1322" s="10"/>
      <c r="I1322" s="11"/>
      <c r="J1322" s="11"/>
      <c r="K1322" s="11"/>
      <c r="L1322" s="11"/>
      <c r="M1322" s="11"/>
      <c r="N1322" s="11"/>
      <c r="O1322" s="12"/>
      <c r="P1322" s="11"/>
      <c r="Q1322" s="13"/>
      <c r="R1322" s="14"/>
    </row>
    <row r="1323" spans="1:18" ht="15" customHeight="1">
      <c r="A1323" s="15" t="s">
        <v>38</v>
      </c>
      <c r="B1323" s="15" t="s">
        <v>812</v>
      </c>
      <c r="C1323" s="16">
        <v>0.88888888888888884</v>
      </c>
      <c r="D1323" s="15" t="s">
        <v>46</v>
      </c>
      <c r="E1323" s="15" t="s">
        <v>965</v>
      </c>
      <c r="F1323" s="15" t="s">
        <v>810</v>
      </c>
      <c r="G1323" s="298"/>
      <c r="H1323" s="10"/>
      <c r="I1323" s="11"/>
      <c r="J1323" s="11"/>
      <c r="K1323" s="11"/>
      <c r="L1323" s="11"/>
      <c r="M1323" s="11"/>
      <c r="N1323" s="11"/>
      <c r="O1323" s="12"/>
      <c r="P1323" s="11"/>
      <c r="Q1323" s="13"/>
      <c r="R1323" s="14"/>
    </row>
    <row r="1324" spans="1:18" ht="15" customHeight="1">
      <c r="A1324" s="17" t="s">
        <v>38</v>
      </c>
      <c r="B1324" s="17" t="s">
        <v>813</v>
      </c>
      <c r="C1324" s="18">
        <v>0.94444444444444453</v>
      </c>
      <c r="D1324" s="17" t="s">
        <v>40</v>
      </c>
      <c r="E1324" s="17" t="s">
        <v>964</v>
      </c>
      <c r="F1324" s="17" t="s">
        <v>83</v>
      </c>
      <c r="G1324" s="298"/>
      <c r="H1324" s="10"/>
      <c r="I1324" s="11"/>
      <c r="J1324" s="11"/>
      <c r="K1324" s="11"/>
      <c r="L1324" s="11"/>
      <c r="M1324" s="11"/>
      <c r="N1324" s="11"/>
      <c r="O1324" s="12"/>
      <c r="P1324" s="11"/>
      <c r="Q1324" s="13"/>
      <c r="R1324" s="14"/>
    </row>
    <row r="1325" spans="1:18" ht="15" customHeight="1">
      <c r="A1325" s="15" t="s">
        <v>38</v>
      </c>
      <c r="B1325" s="15" t="s">
        <v>813</v>
      </c>
      <c r="C1325" s="16">
        <v>0.94444444444444453</v>
      </c>
      <c r="D1325" s="15" t="s">
        <v>43</v>
      </c>
      <c r="E1325" s="15" t="s">
        <v>965</v>
      </c>
      <c r="F1325" s="15" t="s">
        <v>162</v>
      </c>
      <c r="G1325" s="298"/>
      <c r="H1325" s="10"/>
      <c r="I1325" s="11"/>
      <c r="J1325" s="11"/>
      <c r="K1325" s="11"/>
      <c r="L1325" s="11"/>
      <c r="M1325" s="11"/>
      <c r="N1325" s="11"/>
      <c r="O1325" s="12"/>
      <c r="P1325" s="11"/>
      <c r="Q1325" s="13"/>
      <c r="R1325" s="14"/>
    </row>
    <row r="1326" spans="1:18" ht="15" customHeight="1">
      <c r="A1326" s="15" t="s">
        <v>38</v>
      </c>
      <c r="B1326" s="15" t="s">
        <v>813</v>
      </c>
      <c r="C1326" s="16">
        <v>0.94444444444444453</v>
      </c>
      <c r="D1326" s="15" t="s">
        <v>46</v>
      </c>
      <c r="E1326" s="15" t="s">
        <v>965</v>
      </c>
      <c r="F1326" s="15" t="s">
        <v>810</v>
      </c>
      <c r="G1326" s="298"/>
      <c r="H1326" s="10"/>
      <c r="I1326" s="11"/>
      <c r="J1326" s="11"/>
      <c r="K1326" s="11"/>
      <c r="L1326" s="11"/>
      <c r="M1326" s="11"/>
      <c r="N1326" s="11"/>
      <c r="O1326" s="12"/>
      <c r="P1326" s="11"/>
      <c r="Q1326" s="13"/>
      <c r="R1326" s="14"/>
    </row>
    <row r="1327" spans="1:18" ht="15" customHeight="1">
      <c r="A1327" s="19" t="s">
        <v>26</v>
      </c>
      <c r="B1327" s="19" t="s">
        <v>820</v>
      </c>
      <c r="C1327" s="20">
        <v>0.4375</v>
      </c>
      <c r="D1327" s="19" t="s">
        <v>28</v>
      </c>
      <c r="E1327" s="19" t="s">
        <v>80</v>
      </c>
      <c r="F1327" s="19" t="s">
        <v>81</v>
      </c>
      <c r="G1327" s="298"/>
      <c r="H1327" s="10"/>
      <c r="I1327" s="11"/>
      <c r="J1327" s="11"/>
      <c r="K1327" s="11"/>
      <c r="L1327" s="11"/>
      <c r="M1327" s="11"/>
      <c r="N1327" s="11"/>
      <c r="O1327" s="12"/>
      <c r="P1327" s="11"/>
      <c r="Q1327" s="13"/>
      <c r="R1327" s="14"/>
    </row>
    <row r="1328" spans="1:18" ht="15" customHeight="1">
      <c r="A1328" s="15" t="s">
        <v>26</v>
      </c>
      <c r="B1328" s="15" t="s">
        <v>820</v>
      </c>
      <c r="C1328" s="16">
        <v>0.4375</v>
      </c>
      <c r="D1328" s="15" t="s">
        <v>31</v>
      </c>
      <c r="E1328" s="15" t="s">
        <v>82</v>
      </c>
      <c r="F1328" s="15" t="s">
        <v>83</v>
      </c>
      <c r="G1328" s="298"/>
      <c r="H1328" s="10"/>
      <c r="I1328" s="11"/>
      <c r="J1328" s="11"/>
      <c r="K1328" s="11"/>
      <c r="L1328" s="11"/>
      <c r="M1328" s="11"/>
      <c r="N1328" s="11"/>
      <c r="O1328" s="12"/>
      <c r="P1328" s="11"/>
      <c r="Q1328" s="13"/>
      <c r="R1328" s="14"/>
    </row>
    <row r="1329" spans="1:18" ht="15" customHeight="1">
      <c r="A1329" s="15" t="s">
        <v>26</v>
      </c>
      <c r="B1329" s="15" t="s">
        <v>820</v>
      </c>
      <c r="C1329" s="16">
        <v>0.4375</v>
      </c>
      <c r="D1329" s="15" t="s">
        <v>34</v>
      </c>
      <c r="E1329" s="15" t="s">
        <v>82</v>
      </c>
      <c r="F1329" s="15" t="s">
        <v>45</v>
      </c>
      <c r="G1329" s="298"/>
      <c r="H1329" s="10"/>
      <c r="I1329" s="11"/>
      <c r="J1329" s="11"/>
      <c r="K1329" s="11"/>
      <c r="L1329" s="11"/>
      <c r="M1329" s="11"/>
      <c r="N1329" s="11"/>
      <c r="O1329" s="12"/>
      <c r="P1329" s="11"/>
      <c r="Q1329" s="13"/>
      <c r="R1329" s="14"/>
    </row>
    <row r="1330" spans="1:18" ht="15" customHeight="1">
      <c r="A1330" s="17" t="s">
        <v>26</v>
      </c>
      <c r="B1330" s="17" t="s">
        <v>821</v>
      </c>
      <c r="C1330" s="18">
        <v>0.63194444444444442</v>
      </c>
      <c r="D1330" s="17" t="s">
        <v>28</v>
      </c>
      <c r="E1330" s="17" t="s">
        <v>90</v>
      </c>
      <c r="F1330" s="17" t="s">
        <v>81</v>
      </c>
      <c r="G1330" s="298"/>
      <c r="H1330" s="10"/>
      <c r="I1330" s="11"/>
      <c r="J1330" s="11"/>
      <c r="K1330" s="11"/>
      <c r="L1330" s="11"/>
      <c r="M1330" s="11"/>
      <c r="N1330" s="11"/>
      <c r="O1330" s="12"/>
      <c r="P1330" s="11"/>
      <c r="Q1330" s="13"/>
      <c r="R1330" s="14"/>
    </row>
    <row r="1331" spans="1:18" ht="15" customHeight="1">
      <c r="A1331" s="15" t="s">
        <v>26</v>
      </c>
      <c r="B1331" s="15" t="s">
        <v>821</v>
      </c>
      <c r="C1331" s="16">
        <v>0.63194444444444442</v>
      </c>
      <c r="D1331" s="15" t="s">
        <v>31</v>
      </c>
      <c r="E1331" s="15" t="s">
        <v>82</v>
      </c>
      <c r="F1331" s="15" t="s">
        <v>83</v>
      </c>
      <c r="G1331" s="298"/>
      <c r="H1331" s="10"/>
      <c r="I1331" s="11"/>
      <c r="J1331" s="11"/>
      <c r="K1331" s="11"/>
      <c r="L1331" s="11"/>
      <c r="M1331" s="11"/>
      <c r="N1331" s="11"/>
      <c r="O1331" s="12"/>
      <c r="P1331" s="11"/>
      <c r="Q1331" s="13"/>
      <c r="R1331" s="14"/>
    </row>
    <row r="1332" spans="1:18" ht="15" customHeight="1">
      <c r="A1332" s="15" t="s">
        <v>26</v>
      </c>
      <c r="B1332" s="15" t="s">
        <v>821</v>
      </c>
      <c r="C1332" s="16">
        <v>0.63194444444444442</v>
      </c>
      <c r="D1332" s="15" t="s">
        <v>34</v>
      </c>
      <c r="E1332" s="15" t="s">
        <v>82</v>
      </c>
      <c r="F1332" s="15" t="s">
        <v>45</v>
      </c>
      <c r="G1332" s="298"/>
      <c r="H1332" s="10"/>
      <c r="I1332" s="11"/>
      <c r="J1332" s="11"/>
      <c r="K1332" s="11"/>
      <c r="L1332" s="11"/>
      <c r="M1332" s="11"/>
      <c r="N1332" s="11"/>
      <c r="O1332" s="12"/>
      <c r="P1332" s="11"/>
      <c r="Q1332" s="13"/>
      <c r="R1332" s="14"/>
    </row>
    <row r="1333" spans="1:18" ht="15" customHeight="1">
      <c r="A1333" s="17" t="s">
        <v>26</v>
      </c>
      <c r="B1333" s="17" t="s">
        <v>822</v>
      </c>
      <c r="C1333" s="18">
        <v>0.55902777777777779</v>
      </c>
      <c r="D1333" s="17" t="s">
        <v>28</v>
      </c>
      <c r="E1333" s="17" t="s">
        <v>90</v>
      </c>
      <c r="F1333" s="17" t="s">
        <v>81</v>
      </c>
      <c r="G1333" s="298"/>
      <c r="H1333" s="10"/>
      <c r="I1333" s="11"/>
      <c r="J1333" s="11"/>
      <c r="K1333" s="11"/>
      <c r="L1333" s="11"/>
      <c r="M1333" s="11"/>
      <c r="N1333" s="11"/>
      <c r="O1333" s="12"/>
      <c r="P1333" s="11"/>
      <c r="Q1333" s="13"/>
      <c r="R1333" s="14"/>
    </row>
    <row r="1334" spans="1:18" ht="15" customHeight="1">
      <c r="A1334" s="15" t="s">
        <v>26</v>
      </c>
      <c r="B1334" s="15" t="s">
        <v>822</v>
      </c>
      <c r="C1334" s="16">
        <v>0.55902777777777779</v>
      </c>
      <c r="D1334" s="15" t="s">
        <v>31</v>
      </c>
      <c r="E1334" s="15" t="s">
        <v>82</v>
      </c>
      <c r="F1334" s="15" t="s">
        <v>83</v>
      </c>
      <c r="G1334" s="298"/>
      <c r="H1334" s="10"/>
      <c r="I1334" s="11"/>
      <c r="J1334" s="11"/>
      <c r="K1334" s="11"/>
      <c r="L1334" s="11"/>
      <c r="M1334" s="11"/>
      <c r="N1334" s="11"/>
      <c r="O1334" s="12"/>
      <c r="P1334" s="11"/>
      <c r="Q1334" s="13"/>
      <c r="R1334" s="14"/>
    </row>
    <row r="1335" spans="1:18" ht="15" customHeight="1">
      <c r="A1335" s="15" t="s">
        <v>26</v>
      </c>
      <c r="B1335" s="15" t="s">
        <v>822</v>
      </c>
      <c r="C1335" s="16">
        <v>0.55902777777777779</v>
      </c>
      <c r="D1335" s="15" t="s">
        <v>34</v>
      </c>
      <c r="E1335" s="15" t="s">
        <v>82</v>
      </c>
      <c r="F1335" s="15" t="s">
        <v>45</v>
      </c>
      <c r="G1335" s="298"/>
      <c r="H1335" s="10"/>
      <c r="I1335" s="11"/>
      <c r="J1335" s="11"/>
      <c r="K1335" s="11"/>
      <c r="L1335" s="11"/>
      <c r="M1335" s="11"/>
      <c r="N1335" s="11"/>
      <c r="O1335" s="12"/>
      <c r="P1335" s="11"/>
      <c r="Q1335" s="13"/>
      <c r="R1335" s="14"/>
    </row>
    <row r="1336" spans="1:18" ht="15" customHeight="1">
      <c r="A1336" s="17" t="s">
        <v>26</v>
      </c>
      <c r="B1336" s="17" t="s">
        <v>824</v>
      </c>
      <c r="C1336" s="18">
        <v>0.50694444444444442</v>
      </c>
      <c r="D1336" s="17" t="s">
        <v>28</v>
      </c>
      <c r="E1336" s="17" t="s">
        <v>90</v>
      </c>
      <c r="F1336" s="17" t="s">
        <v>81</v>
      </c>
      <c r="G1336" s="298"/>
      <c r="H1336" s="10"/>
      <c r="I1336" s="11"/>
      <c r="J1336" s="11"/>
      <c r="K1336" s="11"/>
      <c r="L1336" s="11"/>
      <c r="M1336" s="11"/>
      <c r="N1336" s="11"/>
      <c r="O1336" s="12"/>
      <c r="P1336" s="11"/>
      <c r="Q1336" s="13"/>
      <c r="R1336" s="14"/>
    </row>
    <row r="1337" spans="1:18" ht="15" customHeight="1">
      <c r="A1337" s="15" t="s">
        <v>26</v>
      </c>
      <c r="B1337" s="15" t="s">
        <v>824</v>
      </c>
      <c r="C1337" s="16">
        <v>0.50694444444444442</v>
      </c>
      <c r="D1337" s="15" t="s">
        <v>31</v>
      </c>
      <c r="E1337" s="15" t="s">
        <v>82</v>
      </c>
      <c r="F1337" s="15" t="s">
        <v>83</v>
      </c>
      <c r="G1337" s="298"/>
      <c r="H1337" s="10"/>
      <c r="I1337" s="11"/>
      <c r="J1337" s="11"/>
      <c r="K1337" s="11"/>
      <c r="L1337" s="11"/>
      <c r="M1337" s="11"/>
      <c r="N1337" s="11"/>
      <c r="O1337" s="12"/>
      <c r="P1337" s="11"/>
      <c r="Q1337" s="13"/>
      <c r="R1337" s="14"/>
    </row>
    <row r="1338" spans="1:18" ht="15" customHeight="1">
      <c r="A1338" s="15" t="s">
        <v>26</v>
      </c>
      <c r="B1338" s="15" t="s">
        <v>824</v>
      </c>
      <c r="C1338" s="16">
        <v>0.50694444444444442</v>
      </c>
      <c r="D1338" s="15" t="s">
        <v>34</v>
      </c>
      <c r="E1338" s="15" t="s">
        <v>82</v>
      </c>
      <c r="F1338" s="15" t="s">
        <v>45</v>
      </c>
      <c r="G1338" s="298"/>
      <c r="H1338" s="10"/>
      <c r="I1338" s="11"/>
      <c r="J1338" s="11"/>
      <c r="K1338" s="11"/>
      <c r="L1338" s="11"/>
      <c r="M1338" s="11"/>
      <c r="N1338" s="11"/>
      <c r="O1338" s="12"/>
      <c r="P1338" s="11"/>
      <c r="Q1338" s="13"/>
      <c r="R1338" s="14"/>
    </row>
    <row r="1339" spans="1:18" ht="15" customHeight="1">
      <c r="A1339" s="17" t="s">
        <v>26</v>
      </c>
      <c r="B1339" s="17" t="s">
        <v>825</v>
      </c>
      <c r="C1339" s="18">
        <v>0.69791666666666663</v>
      </c>
      <c r="D1339" s="17" t="s">
        <v>28</v>
      </c>
      <c r="E1339" s="17" t="s">
        <v>90</v>
      </c>
      <c r="F1339" s="17" t="s">
        <v>81</v>
      </c>
      <c r="G1339" s="298"/>
      <c r="H1339" s="10"/>
      <c r="I1339" s="11"/>
      <c r="J1339" s="11"/>
      <c r="K1339" s="11"/>
      <c r="L1339" s="11"/>
      <c r="M1339" s="11"/>
      <c r="N1339" s="11"/>
      <c r="O1339" s="12"/>
      <c r="P1339" s="11"/>
      <c r="Q1339" s="13"/>
      <c r="R1339" s="14"/>
    </row>
    <row r="1340" spans="1:18" ht="15" customHeight="1">
      <c r="A1340" s="15" t="s">
        <v>26</v>
      </c>
      <c r="B1340" s="15" t="s">
        <v>825</v>
      </c>
      <c r="C1340" s="16">
        <v>0.69791666666666663</v>
      </c>
      <c r="D1340" s="15" t="s">
        <v>31</v>
      </c>
      <c r="E1340" s="15" t="s">
        <v>82</v>
      </c>
      <c r="F1340" s="15" t="s">
        <v>83</v>
      </c>
      <c r="G1340" s="298"/>
      <c r="H1340" s="10"/>
      <c r="I1340" s="11"/>
      <c r="J1340" s="11"/>
      <c r="K1340" s="11"/>
      <c r="L1340" s="11"/>
      <c r="M1340" s="11"/>
      <c r="N1340" s="11"/>
      <c r="O1340" s="12"/>
      <c r="P1340" s="11"/>
      <c r="Q1340" s="13"/>
      <c r="R1340" s="14"/>
    </row>
    <row r="1341" spans="1:18" ht="15" customHeight="1">
      <c r="A1341" s="15" t="s">
        <v>26</v>
      </c>
      <c r="B1341" s="15" t="s">
        <v>825</v>
      </c>
      <c r="C1341" s="16">
        <v>0.69791666666666663</v>
      </c>
      <c r="D1341" s="15" t="s">
        <v>34</v>
      </c>
      <c r="E1341" s="15" t="s">
        <v>82</v>
      </c>
      <c r="F1341" s="15" t="s">
        <v>45</v>
      </c>
      <c r="G1341" s="298"/>
      <c r="H1341" s="10"/>
      <c r="I1341" s="11"/>
      <c r="J1341" s="11"/>
      <c r="K1341" s="11"/>
      <c r="L1341" s="11"/>
      <c r="M1341" s="11"/>
      <c r="N1341" s="11"/>
      <c r="O1341" s="12"/>
      <c r="P1341" s="11"/>
      <c r="Q1341" s="13"/>
      <c r="R1341" s="14"/>
    </row>
    <row r="1342" spans="1:18" ht="15" customHeight="1">
      <c r="A1342" s="17" t="s">
        <v>26</v>
      </c>
      <c r="B1342" s="17" t="s">
        <v>826</v>
      </c>
      <c r="C1342" s="18">
        <v>0.95833333333333337</v>
      </c>
      <c r="D1342" s="17" t="s">
        <v>28</v>
      </c>
      <c r="E1342" s="17" t="s">
        <v>90</v>
      </c>
      <c r="F1342" s="17" t="s">
        <v>827</v>
      </c>
      <c r="G1342" s="298"/>
      <c r="H1342" s="10"/>
      <c r="I1342" s="11"/>
      <c r="J1342" s="11"/>
      <c r="K1342" s="11"/>
      <c r="L1342" s="11"/>
      <c r="M1342" s="11"/>
      <c r="N1342" s="11"/>
      <c r="O1342" s="12"/>
      <c r="P1342" s="11"/>
      <c r="Q1342" s="13"/>
      <c r="R1342" s="14"/>
    </row>
    <row r="1343" spans="1:18" ht="15" customHeight="1">
      <c r="A1343" s="15" t="s">
        <v>26</v>
      </c>
      <c r="B1343" s="15" t="s">
        <v>826</v>
      </c>
      <c r="C1343" s="16">
        <v>0.95833333333333337</v>
      </c>
      <c r="D1343" s="15" t="s">
        <v>31</v>
      </c>
      <c r="E1343" s="15" t="s">
        <v>82</v>
      </c>
      <c r="F1343" s="15" t="s">
        <v>161</v>
      </c>
      <c r="G1343" s="298"/>
      <c r="H1343" s="10"/>
      <c r="I1343" s="11"/>
      <c r="J1343" s="11"/>
      <c r="K1343" s="11"/>
      <c r="L1343" s="11"/>
      <c r="M1343" s="11"/>
      <c r="N1343" s="11"/>
      <c r="O1343" s="12"/>
      <c r="P1343" s="11"/>
      <c r="Q1343" s="13"/>
      <c r="R1343" s="14"/>
    </row>
    <row r="1344" spans="1:18" ht="15" customHeight="1">
      <c r="A1344" s="15" t="s">
        <v>26</v>
      </c>
      <c r="B1344" s="15" t="s">
        <v>826</v>
      </c>
      <c r="C1344" s="16">
        <v>0.95833333333333337</v>
      </c>
      <c r="D1344" s="15" t="s">
        <v>34</v>
      </c>
      <c r="E1344" s="15" t="s">
        <v>82</v>
      </c>
      <c r="F1344" s="15" t="s">
        <v>123</v>
      </c>
      <c r="G1344" s="298"/>
      <c r="H1344" s="10"/>
      <c r="I1344" s="11"/>
      <c r="J1344" s="11"/>
      <c r="K1344" s="11"/>
      <c r="L1344" s="11"/>
      <c r="M1344" s="11"/>
      <c r="N1344" s="11"/>
      <c r="O1344" s="12"/>
      <c r="P1344" s="11"/>
      <c r="Q1344" s="13"/>
      <c r="R1344" s="14"/>
    </row>
    <row r="1345" spans="1:18" ht="15" customHeight="1">
      <c r="A1345" s="17" t="s">
        <v>26</v>
      </c>
      <c r="B1345" s="17" t="s">
        <v>823</v>
      </c>
      <c r="C1345" s="18">
        <v>0.81944444444444453</v>
      </c>
      <c r="D1345" s="17" t="s">
        <v>28</v>
      </c>
      <c r="E1345" s="17" t="s">
        <v>90</v>
      </c>
      <c r="F1345" s="17" t="s">
        <v>827</v>
      </c>
      <c r="G1345" s="298"/>
      <c r="H1345" s="10"/>
      <c r="I1345" s="11"/>
      <c r="J1345" s="11"/>
      <c r="K1345" s="11"/>
      <c r="L1345" s="11"/>
      <c r="M1345" s="11"/>
      <c r="N1345" s="11"/>
      <c r="O1345" s="12"/>
      <c r="P1345" s="11"/>
      <c r="Q1345" s="13"/>
      <c r="R1345" s="14"/>
    </row>
    <row r="1346" spans="1:18" ht="15" customHeight="1">
      <c r="A1346" s="15" t="s">
        <v>26</v>
      </c>
      <c r="B1346" s="15" t="s">
        <v>823</v>
      </c>
      <c r="C1346" s="16">
        <v>0.81944444444444453</v>
      </c>
      <c r="D1346" s="15" t="s">
        <v>31</v>
      </c>
      <c r="E1346" s="15" t="s">
        <v>82</v>
      </c>
      <c r="F1346" s="15" t="s">
        <v>161</v>
      </c>
      <c r="G1346" s="298"/>
      <c r="H1346" s="10"/>
      <c r="I1346" s="11"/>
      <c r="J1346" s="11"/>
      <c r="K1346" s="11"/>
      <c r="L1346" s="11"/>
      <c r="M1346" s="11"/>
      <c r="N1346" s="11"/>
      <c r="O1346" s="12"/>
      <c r="P1346" s="11"/>
      <c r="Q1346" s="13"/>
      <c r="R1346" s="14"/>
    </row>
    <row r="1347" spans="1:18" ht="15" customHeight="1">
      <c r="A1347" s="15" t="s">
        <v>26</v>
      </c>
      <c r="B1347" s="15" t="s">
        <v>823</v>
      </c>
      <c r="C1347" s="16">
        <v>0.81944444444444453</v>
      </c>
      <c r="D1347" s="15" t="s">
        <v>34</v>
      </c>
      <c r="E1347" s="15" t="s">
        <v>82</v>
      </c>
      <c r="F1347" s="15" t="s">
        <v>123</v>
      </c>
      <c r="G1347" s="298"/>
      <c r="H1347" s="10"/>
      <c r="I1347" s="11"/>
      <c r="J1347" s="11"/>
      <c r="K1347" s="11"/>
      <c r="L1347" s="11"/>
      <c r="M1347" s="11"/>
      <c r="N1347" s="11"/>
      <c r="O1347" s="12"/>
      <c r="P1347" s="11"/>
      <c r="Q1347" s="13"/>
      <c r="R1347" s="14"/>
    </row>
    <row r="1348" spans="1:18" ht="15" customHeight="1">
      <c r="A1348" s="19" t="s">
        <v>359</v>
      </c>
      <c r="B1348" s="19" t="s">
        <v>814</v>
      </c>
      <c r="C1348" s="20">
        <v>0.2951388888888889</v>
      </c>
      <c r="D1348" s="19" t="s">
        <v>361</v>
      </c>
      <c r="E1348" s="19" t="s">
        <v>80</v>
      </c>
      <c r="F1348" s="19" t="s">
        <v>879</v>
      </c>
      <c r="G1348" s="298"/>
      <c r="H1348" s="10"/>
      <c r="I1348" s="11"/>
      <c r="J1348" s="11"/>
      <c r="K1348" s="11"/>
      <c r="L1348" s="11"/>
      <c r="M1348" s="11"/>
      <c r="N1348" s="11"/>
      <c r="O1348" s="12"/>
      <c r="P1348" s="11"/>
      <c r="Q1348" s="13"/>
      <c r="R1348" s="14"/>
    </row>
    <row r="1349" spans="1:18" ht="15" customHeight="1">
      <c r="A1349" s="15" t="s">
        <v>359</v>
      </c>
      <c r="B1349" s="15" t="s">
        <v>814</v>
      </c>
      <c r="C1349" s="16">
        <v>0.2951388888888889</v>
      </c>
      <c r="D1349" s="15" t="s">
        <v>46</v>
      </c>
      <c r="E1349" s="15" t="s">
        <v>82</v>
      </c>
      <c r="F1349" s="15" t="s">
        <v>880</v>
      </c>
      <c r="G1349" s="298"/>
      <c r="H1349" s="10"/>
      <c r="I1349" s="11"/>
      <c r="J1349" s="11"/>
      <c r="K1349" s="11"/>
      <c r="L1349" s="11"/>
      <c r="M1349" s="11"/>
      <c r="N1349" s="11"/>
      <c r="O1349" s="12"/>
      <c r="P1349" s="11"/>
      <c r="Q1349" s="13"/>
      <c r="R1349" s="14"/>
    </row>
    <row r="1350" spans="1:18" ht="15" customHeight="1">
      <c r="A1350" s="67" t="s">
        <v>61</v>
      </c>
      <c r="B1350" s="67" t="s">
        <v>816</v>
      </c>
      <c r="C1350" s="68">
        <v>0.42708333333333331</v>
      </c>
      <c r="D1350" s="67" t="s">
        <v>63</v>
      </c>
      <c r="E1350" s="67" t="s">
        <v>51</v>
      </c>
      <c r="F1350" s="67" t="s">
        <v>33</v>
      </c>
      <c r="G1350" s="298"/>
      <c r="H1350" s="69" t="s">
        <v>818</v>
      </c>
      <c r="I1350" s="70">
        <v>1.6799999999999999E-2</v>
      </c>
      <c r="J1350" s="71">
        <v>3</v>
      </c>
      <c r="K1350" s="72">
        <v>46309</v>
      </c>
      <c r="L1350" s="71">
        <v>3</v>
      </c>
      <c r="M1350" s="71">
        <v>0</v>
      </c>
      <c r="N1350" s="71">
        <v>0</v>
      </c>
      <c r="O1350" s="73" t="s">
        <v>514</v>
      </c>
      <c r="P1350" s="74">
        <v>0.42708333333333331</v>
      </c>
      <c r="Q1350" s="71">
        <v>179</v>
      </c>
      <c r="R1350" s="75" t="s">
        <v>966</v>
      </c>
    </row>
    <row r="1351" spans="1:18" ht="15" customHeight="1">
      <c r="A1351" s="19" t="s">
        <v>68</v>
      </c>
      <c r="B1351" s="19" t="s">
        <v>842</v>
      </c>
      <c r="C1351" s="20">
        <v>0.98263888888888884</v>
      </c>
      <c r="D1351" s="19" t="s">
        <v>70</v>
      </c>
      <c r="E1351" s="19" t="s">
        <v>51</v>
      </c>
      <c r="F1351" s="19" t="s">
        <v>404</v>
      </c>
      <c r="G1351" s="298"/>
      <c r="H1351" s="10"/>
      <c r="I1351" s="11"/>
      <c r="J1351" s="11"/>
      <c r="K1351" s="11"/>
      <c r="L1351" s="11"/>
      <c r="M1351" s="11"/>
      <c r="N1351" s="11"/>
      <c r="O1351" s="12"/>
      <c r="P1351" s="11"/>
      <c r="Q1351" s="13"/>
      <c r="R1351" s="14"/>
    </row>
    <row r="1352" spans="1:18" ht="15" customHeight="1">
      <c r="A1352" s="17" t="s">
        <v>68</v>
      </c>
      <c r="B1352" s="17" t="s">
        <v>843</v>
      </c>
      <c r="C1352" s="18">
        <v>0.35416666666666669</v>
      </c>
      <c r="D1352" s="17" t="s">
        <v>70</v>
      </c>
      <c r="E1352" s="17" t="s">
        <v>427</v>
      </c>
      <c r="F1352" s="17" t="s">
        <v>404</v>
      </c>
      <c r="G1352" s="298"/>
      <c r="H1352" s="10"/>
      <c r="I1352" s="11"/>
      <c r="J1352" s="11"/>
      <c r="K1352" s="11"/>
      <c r="L1352" s="11"/>
      <c r="M1352" s="11"/>
      <c r="N1352" s="11"/>
      <c r="O1352" s="12"/>
      <c r="P1352" s="11"/>
      <c r="Q1352" s="13"/>
      <c r="R1352" s="14"/>
    </row>
    <row r="1353" spans="1:18" ht="15" customHeight="1">
      <c r="A1353" s="17" t="s">
        <v>68</v>
      </c>
      <c r="B1353" s="17" t="s">
        <v>844</v>
      </c>
      <c r="C1353" s="18">
        <v>0.72916666666666663</v>
      </c>
      <c r="D1353" s="17" t="s">
        <v>70</v>
      </c>
      <c r="E1353" s="17" t="s">
        <v>57</v>
      </c>
      <c r="F1353" s="17" t="s">
        <v>892</v>
      </c>
      <c r="G1353" s="298"/>
      <c r="H1353" s="10"/>
      <c r="I1353" s="11"/>
      <c r="J1353" s="11"/>
      <c r="K1353" s="11"/>
      <c r="L1353" s="11"/>
      <c r="M1353" s="11"/>
      <c r="N1353" s="11"/>
      <c r="O1353" s="12"/>
      <c r="P1353" s="11"/>
      <c r="Q1353" s="13"/>
      <c r="R1353" s="14"/>
    </row>
    <row r="1354" spans="1:18" ht="15" customHeight="1">
      <c r="A1354" s="19" t="s">
        <v>402</v>
      </c>
      <c r="B1354" s="19" t="s">
        <v>839</v>
      </c>
      <c r="C1354" s="20">
        <v>0.1736111111111111</v>
      </c>
      <c r="D1354" s="19" t="s">
        <v>63</v>
      </c>
      <c r="E1354" s="19" t="s">
        <v>156</v>
      </c>
      <c r="F1354" s="19" t="s">
        <v>881</v>
      </c>
      <c r="G1354" s="298"/>
      <c r="H1354" s="10"/>
      <c r="I1354" s="11"/>
      <c r="J1354" s="11"/>
      <c r="K1354" s="11"/>
      <c r="L1354" s="11"/>
      <c r="M1354" s="11"/>
      <c r="N1354" s="11"/>
      <c r="O1354" s="12"/>
      <c r="P1354" s="11"/>
      <c r="Q1354" s="13"/>
      <c r="R1354" s="14"/>
    </row>
    <row r="1355" spans="1:18" ht="15" customHeight="1">
      <c r="A1355" s="19" t="s">
        <v>48</v>
      </c>
      <c r="B1355" s="19" t="s">
        <v>837</v>
      </c>
      <c r="C1355" s="20">
        <v>0.62847222222222221</v>
      </c>
      <c r="D1355" s="19" t="s">
        <v>53</v>
      </c>
      <c r="E1355" s="19" t="s">
        <v>29</v>
      </c>
      <c r="F1355" s="19" t="s">
        <v>836</v>
      </c>
      <c r="G1355" s="298"/>
      <c r="H1355" s="10"/>
      <c r="I1355" s="11"/>
      <c r="J1355" s="11"/>
      <c r="K1355" s="11"/>
      <c r="L1355" s="11"/>
      <c r="M1355" s="11"/>
      <c r="N1355" s="11"/>
      <c r="O1355" s="12"/>
      <c r="P1355" s="11"/>
      <c r="Q1355" s="13"/>
      <c r="R1355" s="14"/>
    </row>
    <row r="1356" spans="1:18" ht="15" customHeight="1">
      <c r="A1356" s="17" t="s">
        <v>48</v>
      </c>
      <c r="B1356" s="17" t="s">
        <v>835</v>
      </c>
      <c r="C1356" s="18">
        <v>0.88888888888888884</v>
      </c>
      <c r="D1356" s="17" t="s">
        <v>53</v>
      </c>
      <c r="E1356" s="17" t="s">
        <v>37</v>
      </c>
      <c r="F1356" s="17" t="s">
        <v>946</v>
      </c>
      <c r="G1356" s="298"/>
      <c r="H1356" s="10"/>
      <c r="I1356" s="11"/>
      <c r="J1356" s="11"/>
      <c r="K1356" s="11"/>
      <c r="L1356" s="11"/>
      <c r="M1356" s="11"/>
      <c r="N1356" s="11"/>
      <c r="O1356" s="12"/>
      <c r="P1356" s="11"/>
      <c r="Q1356" s="13"/>
      <c r="R1356" s="14"/>
    </row>
    <row r="1357" spans="1:18" ht="15" customHeight="1">
      <c r="A1357" s="17" t="s">
        <v>48</v>
      </c>
      <c r="B1357" s="17" t="s">
        <v>838</v>
      </c>
      <c r="C1357" s="18">
        <v>0.94444444444444453</v>
      </c>
      <c r="D1357" s="17" t="s">
        <v>53</v>
      </c>
      <c r="E1357" s="17" t="s">
        <v>37</v>
      </c>
      <c r="F1357" s="17" t="s">
        <v>946</v>
      </c>
      <c r="G1357" s="298"/>
      <c r="H1357" s="10"/>
      <c r="I1357" s="11"/>
      <c r="J1357" s="11"/>
      <c r="K1357" s="11"/>
      <c r="L1357" s="11"/>
      <c r="M1357" s="11"/>
      <c r="N1357" s="11"/>
      <c r="O1357" s="12"/>
      <c r="P1357" s="11"/>
      <c r="Q1357" s="13"/>
      <c r="R1357" s="14"/>
    </row>
    <row r="1358" spans="1:18" ht="15" customHeight="1">
      <c r="A1358" s="17" t="s">
        <v>48</v>
      </c>
      <c r="B1358" s="17" t="s">
        <v>833</v>
      </c>
      <c r="C1358" s="18">
        <v>0.44444444444444442</v>
      </c>
      <c r="D1358" s="17" t="s">
        <v>53</v>
      </c>
      <c r="E1358" s="17" t="s">
        <v>57</v>
      </c>
      <c r="F1358" s="17" t="s">
        <v>870</v>
      </c>
      <c r="G1358" s="298"/>
      <c r="H1358" s="10"/>
      <c r="I1358" s="11"/>
      <c r="J1358" s="11"/>
      <c r="K1358" s="11"/>
      <c r="L1358" s="11"/>
      <c r="M1358" s="11"/>
      <c r="N1358" s="11"/>
      <c r="O1358" s="12"/>
      <c r="P1358" s="11"/>
      <c r="Q1358" s="13"/>
      <c r="R1358" s="14"/>
    </row>
    <row r="1359" spans="1:18" ht="15" customHeight="1">
      <c r="A1359" s="17" t="s">
        <v>48</v>
      </c>
      <c r="B1359" s="17" t="s">
        <v>828</v>
      </c>
      <c r="C1359" s="18">
        <v>0.82986111111111116</v>
      </c>
      <c r="D1359" s="17" t="s">
        <v>53</v>
      </c>
      <c r="E1359" s="17" t="s">
        <v>57</v>
      </c>
      <c r="F1359" s="17" t="s">
        <v>870</v>
      </c>
      <c r="G1359" s="298"/>
      <c r="H1359" s="10"/>
      <c r="I1359" s="11"/>
      <c r="J1359" s="11"/>
      <c r="K1359" s="11"/>
      <c r="L1359" s="11"/>
      <c r="M1359" s="11"/>
      <c r="N1359" s="11"/>
      <c r="O1359" s="12"/>
      <c r="P1359" s="11"/>
      <c r="Q1359" s="13"/>
      <c r="R1359" s="14"/>
    </row>
    <row r="1360" spans="1:18" ht="15" customHeight="1">
      <c r="A1360" s="17" t="s">
        <v>48</v>
      </c>
      <c r="B1360" s="17" t="s">
        <v>831</v>
      </c>
      <c r="C1360" s="18">
        <v>0.98263888888888884</v>
      </c>
      <c r="D1360" s="17" t="s">
        <v>53</v>
      </c>
      <c r="E1360" s="17" t="s">
        <v>57</v>
      </c>
      <c r="F1360" s="17" t="s">
        <v>870</v>
      </c>
      <c r="G1360" s="298"/>
      <c r="H1360" s="10"/>
      <c r="I1360" s="11"/>
      <c r="J1360" s="11"/>
      <c r="K1360" s="11"/>
      <c r="L1360" s="11"/>
      <c r="M1360" s="11"/>
      <c r="N1360" s="11"/>
      <c r="O1360" s="12"/>
      <c r="P1360" s="11"/>
      <c r="Q1360" s="13"/>
      <c r="R1360" s="14"/>
    </row>
    <row r="1361" spans="1:18" ht="15" customHeight="1">
      <c r="A1361" s="17" t="s">
        <v>48</v>
      </c>
      <c r="B1361" s="17" t="s">
        <v>875</v>
      </c>
      <c r="C1361" s="18">
        <v>0.69791666666666663</v>
      </c>
      <c r="D1361" s="17" t="s">
        <v>53</v>
      </c>
      <c r="E1361" s="17" t="s">
        <v>57</v>
      </c>
      <c r="F1361" s="17" t="s">
        <v>870</v>
      </c>
      <c r="G1361" s="298"/>
      <c r="H1361" s="10"/>
      <c r="I1361" s="11"/>
      <c r="J1361" s="11"/>
      <c r="K1361" s="11"/>
      <c r="L1361" s="11"/>
      <c r="M1361" s="11"/>
      <c r="N1361" s="11"/>
      <c r="O1361" s="12"/>
      <c r="P1361" s="11"/>
      <c r="Q1361" s="13"/>
      <c r="R1361" s="14"/>
    </row>
    <row r="1362" spans="1:18" ht="15" customHeight="1" thickBot="1">
      <c r="A1362" s="30" t="s">
        <v>48</v>
      </c>
      <c r="B1362" s="30" t="s">
        <v>832</v>
      </c>
      <c r="C1362" s="31">
        <v>0.62847222222222221</v>
      </c>
      <c r="D1362" s="30" t="s">
        <v>53</v>
      </c>
      <c r="E1362" s="30" t="s">
        <v>57</v>
      </c>
      <c r="F1362" s="30" t="s">
        <v>870</v>
      </c>
      <c r="G1362" s="299"/>
      <c r="H1362" s="300"/>
      <c r="I1362" s="140"/>
      <c r="J1362" s="140"/>
      <c r="K1362" s="140"/>
      <c r="L1362" s="140"/>
      <c r="M1362" s="140"/>
      <c r="N1362" s="140"/>
      <c r="O1362" s="141"/>
      <c r="P1362" s="140"/>
      <c r="Q1362" s="142"/>
      <c r="R1362" s="301"/>
    </row>
    <row r="1363" spans="1:18" ht="17.45" customHeight="1" thickBot="1">
      <c r="A1363" s="283"/>
      <c r="B1363" s="284"/>
      <c r="C1363" s="284"/>
      <c r="D1363" s="284"/>
      <c r="E1363" s="284"/>
      <c r="F1363" s="284"/>
      <c r="G1363" s="284"/>
      <c r="H1363" s="284"/>
      <c r="I1363" s="284"/>
      <c r="J1363" s="284"/>
      <c r="K1363" s="284"/>
      <c r="L1363" s="284"/>
      <c r="M1363" s="284"/>
      <c r="N1363" s="284"/>
      <c r="O1363" s="284"/>
      <c r="P1363" s="284"/>
      <c r="Q1363" s="284"/>
      <c r="R1363" s="285"/>
    </row>
    <row r="1364" spans="1:18" ht="22.15" customHeight="1" thickTop="1" thickBot="1">
      <c r="A1364" s="279" t="s">
        <v>6</v>
      </c>
      <c r="B1364" s="295"/>
      <c r="C1364" s="295"/>
      <c r="D1364" s="295"/>
      <c r="E1364" s="295"/>
      <c r="F1364" s="296"/>
      <c r="G1364" s="32">
        <v>46048</v>
      </c>
      <c r="H1364" s="278" t="s">
        <v>7</v>
      </c>
      <c r="I1364" s="295"/>
      <c r="J1364" s="295"/>
      <c r="K1364" s="295"/>
      <c r="L1364" s="295"/>
      <c r="M1364" s="295"/>
      <c r="N1364" s="295"/>
      <c r="O1364" s="295"/>
      <c r="P1364" s="295"/>
      <c r="Q1364" s="295"/>
      <c r="R1364" s="296"/>
    </row>
    <row r="1365" spans="1:18" ht="24" customHeight="1">
      <c r="A1365" s="33" t="s">
        <v>8</v>
      </c>
      <c r="B1365" s="33" t="s">
        <v>9</v>
      </c>
      <c r="C1365" s="34" t="s">
        <v>10</v>
      </c>
      <c r="D1365" s="33" t="s">
        <v>11</v>
      </c>
      <c r="E1365" s="33" t="s">
        <v>12</v>
      </c>
      <c r="F1365" s="35" t="s">
        <v>13</v>
      </c>
      <c r="G1365" s="36" t="s">
        <v>14</v>
      </c>
      <c r="H1365" s="33" t="s">
        <v>15</v>
      </c>
      <c r="I1365" s="37" t="s">
        <v>16</v>
      </c>
      <c r="J1365" s="38" t="s">
        <v>17</v>
      </c>
      <c r="K1365" s="39" t="s">
        <v>18</v>
      </c>
      <c r="L1365" s="38" t="s">
        <v>19</v>
      </c>
      <c r="M1365" s="38" t="s">
        <v>20</v>
      </c>
      <c r="N1365" s="38" t="s">
        <v>21</v>
      </c>
      <c r="O1365" s="33" t="s">
        <v>22</v>
      </c>
      <c r="P1365" s="34" t="s">
        <v>23</v>
      </c>
      <c r="Q1365" s="38" t="s">
        <v>24</v>
      </c>
      <c r="R1365" s="33" t="s">
        <v>25</v>
      </c>
    </row>
    <row r="1366" spans="1:18" ht="15" customHeight="1">
      <c r="A1366" s="8" t="s">
        <v>38</v>
      </c>
      <c r="B1366" s="8" t="s">
        <v>809</v>
      </c>
      <c r="C1366" s="9">
        <v>0.57638888888888895</v>
      </c>
      <c r="D1366" s="8" t="s">
        <v>40</v>
      </c>
      <c r="E1366" s="8" t="s">
        <v>151</v>
      </c>
      <c r="F1366" s="8" t="s">
        <v>475</v>
      </c>
      <c r="G1366" s="302"/>
      <c r="H1366" s="10"/>
      <c r="I1366" s="11"/>
      <c r="J1366" s="11"/>
      <c r="K1366" s="11"/>
      <c r="L1366" s="11"/>
      <c r="M1366" s="11"/>
      <c r="N1366" s="11"/>
      <c r="O1366" s="12"/>
      <c r="P1366" s="11"/>
      <c r="Q1366" s="13"/>
      <c r="R1366" s="14"/>
    </row>
    <row r="1367" spans="1:18" ht="15" customHeight="1">
      <c r="A1367" s="15" t="s">
        <v>38</v>
      </c>
      <c r="B1367" s="15" t="s">
        <v>809</v>
      </c>
      <c r="C1367" s="16">
        <v>0.57638888888888895</v>
      </c>
      <c r="D1367" s="15" t="s">
        <v>43</v>
      </c>
      <c r="E1367" s="15" t="s">
        <v>152</v>
      </c>
      <c r="F1367" s="15" t="s">
        <v>121</v>
      </c>
      <c r="G1367" s="298"/>
      <c r="H1367" s="10"/>
      <c r="I1367" s="11"/>
      <c r="J1367" s="11"/>
      <c r="K1367" s="11"/>
      <c r="L1367" s="11"/>
      <c r="M1367" s="11"/>
      <c r="N1367" s="11"/>
      <c r="O1367" s="12"/>
      <c r="P1367" s="11"/>
      <c r="Q1367" s="13"/>
      <c r="R1367" s="14"/>
    </row>
    <row r="1368" spans="1:18" ht="15" customHeight="1">
      <c r="A1368" s="15" t="s">
        <v>38</v>
      </c>
      <c r="B1368" s="15" t="s">
        <v>809</v>
      </c>
      <c r="C1368" s="16">
        <v>0.57638888888888895</v>
      </c>
      <c r="D1368" s="15" t="s">
        <v>46</v>
      </c>
      <c r="E1368" s="15" t="s">
        <v>152</v>
      </c>
      <c r="F1368" s="15" t="s">
        <v>810</v>
      </c>
      <c r="G1368" s="298"/>
      <c r="H1368" s="10"/>
      <c r="I1368" s="11"/>
      <c r="J1368" s="11"/>
      <c r="K1368" s="11"/>
      <c r="L1368" s="11"/>
      <c r="M1368" s="11"/>
      <c r="N1368" s="11"/>
      <c r="O1368" s="12"/>
      <c r="P1368" s="11"/>
      <c r="Q1368" s="13"/>
      <c r="R1368" s="14"/>
    </row>
    <row r="1369" spans="1:18" ht="15" customHeight="1">
      <c r="A1369" s="17" t="s">
        <v>38</v>
      </c>
      <c r="B1369" s="17" t="s">
        <v>811</v>
      </c>
      <c r="C1369" s="18">
        <v>0.62847222222222221</v>
      </c>
      <c r="D1369" s="17" t="s">
        <v>40</v>
      </c>
      <c r="E1369" s="17" t="s">
        <v>125</v>
      </c>
      <c r="F1369" s="17" t="s">
        <v>475</v>
      </c>
      <c r="G1369" s="298"/>
      <c r="H1369" s="10"/>
      <c r="I1369" s="11"/>
      <c r="J1369" s="11"/>
      <c r="K1369" s="11"/>
      <c r="L1369" s="11"/>
      <c r="M1369" s="11"/>
      <c r="N1369" s="11"/>
      <c r="O1369" s="12"/>
      <c r="P1369" s="11"/>
      <c r="Q1369" s="13"/>
      <c r="R1369" s="14"/>
    </row>
    <row r="1370" spans="1:18" ht="15" customHeight="1">
      <c r="A1370" s="15" t="s">
        <v>38</v>
      </c>
      <c r="B1370" s="15" t="s">
        <v>811</v>
      </c>
      <c r="C1370" s="16">
        <v>0.62847222222222221</v>
      </c>
      <c r="D1370" s="15" t="s">
        <v>43</v>
      </c>
      <c r="E1370" s="15" t="s">
        <v>44</v>
      </c>
      <c r="F1370" s="15" t="s">
        <v>121</v>
      </c>
      <c r="G1370" s="298"/>
      <c r="H1370" s="10"/>
      <c r="I1370" s="11"/>
      <c r="J1370" s="11"/>
      <c r="K1370" s="11"/>
      <c r="L1370" s="11"/>
      <c r="M1370" s="11"/>
      <c r="N1370" s="11"/>
      <c r="O1370" s="12"/>
      <c r="P1370" s="11"/>
      <c r="Q1370" s="13"/>
      <c r="R1370" s="14"/>
    </row>
    <row r="1371" spans="1:18" ht="15" customHeight="1">
      <c r="A1371" s="15" t="s">
        <v>38</v>
      </c>
      <c r="B1371" s="15" t="s">
        <v>811</v>
      </c>
      <c r="C1371" s="16">
        <v>0.62847222222222221</v>
      </c>
      <c r="D1371" s="15" t="s">
        <v>46</v>
      </c>
      <c r="E1371" s="15" t="s">
        <v>44</v>
      </c>
      <c r="F1371" s="15" t="s">
        <v>810</v>
      </c>
      <c r="G1371" s="298"/>
      <c r="H1371" s="10"/>
      <c r="I1371" s="11"/>
      <c r="J1371" s="11"/>
      <c r="K1371" s="11"/>
      <c r="L1371" s="11"/>
      <c r="M1371" s="11"/>
      <c r="N1371" s="11"/>
      <c r="O1371" s="12"/>
      <c r="P1371" s="11"/>
      <c r="Q1371" s="13"/>
      <c r="R1371" s="14"/>
    </row>
    <row r="1372" spans="1:18" ht="15" customHeight="1">
      <c r="A1372" s="17" t="s">
        <v>38</v>
      </c>
      <c r="B1372" s="17" t="s">
        <v>812</v>
      </c>
      <c r="C1372" s="18">
        <v>0.88888888888888884</v>
      </c>
      <c r="D1372" s="17" t="s">
        <v>40</v>
      </c>
      <c r="E1372" s="17" t="s">
        <v>125</v>
      </c>
      <c r="F1372" s="17" t="s">
        <v>872</v>
      </c>
      <c r="G1372" s="298"/>
      <c r="H1372" s="10"/>
      <c r="I1372" s="11"/>
      <c r="J1372" s="11"/>
      <c r="K1372" s="11"/>
      <c r="L1372" s="11"/>
      <c r="M1372" s="11"/>
      <c r="N1372" s="11"/>
      <c r="O1372" s="12"/>
      <c r="P1372" s="11"/>
      <c r="Q1372" s="13"/>
      <c r="R1372" s="14"/>
    </row>
    <row r="1373" spans="1:18" ht="15" customHeight="1">
      <c r="A1373" s="15" t="s">
        <v>38</v>
      </c>
      <c r="B1373" s="15" t="s">
        <v>812</v>
      </c>
      <c r="C1373" s="16">
        <v>0.88888888888888884</v>
      </c>
      <c r="D1373" s="15" t="s">
        <v>43</v>
      </c>
      <c r="E1373" s="15" t="s">
        <v>44</v>
      </c>
      <c r="F1373" s="15" t="s">
        <v>349</v>
      </c>
      <c r="G1373" s="298"/>
      <c r="H1373" s="10"/>
      <c r="I1373" s="11"/>
      <c r="J1373" s="11"/>
      <c r="K1373" s="11"/>
      <c r="L1373" s="11"/>
      <c r="M1373" s="11"/>
      <c r="N1373" s="11"/>
      <c r="O1373" s="12"/>
      <c r="P1373" s="11"/>
      <c r="Q1373" s="13"/>
      <c r="R1373" s="14"/>
    </row>
    <row r="1374" spans="1:18" ht="15" customHeight="1">
      <c r="A1374" s="15" t="s">
        <v>38</v>
      </c>
      <c r="B1374" s="15" t="s">
        <v>812</v>
      </c>
      <c r="C1374" s="16">
        <v>0.88888888888888884</v>
      </c>
      <c r="D1374" s="15" t="s">
        <v>46</v>
      </c>
      <c r="E1374" s="15" t="s">
        <v>44</v>
      </c>
      <c r="F1374" s="15" t="s">
        <v>810</v>
      </c>
      <c r="G1374" s="298"/>
      <c r="H1374" s="10"/>
      <c r="I1374" s="11"/>
      <c r="J1374" s="11"/>
      <c r="K1374" s="11"/>
      <c r="L1374" s="11"/>
      <c r="M1374" s="11"/>
      <c r="N1374" s="11"/>
      <c r="O1374" s="12"/>
      <c r="P1374" s="11"/>
      <c r="Q1374" s="13"/>
      <c r="R1374" s="14"/>
    </row>
    <row r="1375" spans="1:18" ht="15" customHeight="1">
      <c r="A1375" s="17" t="s">
        <v>38</v>
      </c>
      <c r="B1375" s="17" t="s">
        <v>813</v>
      </c>
      <c r="C1375" s="18">
        <v>0.94444444444444453</v>
      </c>
      <c r="D1375" s="17" t="s">
        <v>40</v>
      </c>
      <c r="E1375" s="17" t="s">
        <v>125</v>
      </c>
      <c r="F1375" s="17" t="s">
        <v>872</v>
      </c>
      <c r="G1375" s="298"/>
      <c r="H1375" s="10"/>
      <c r="I1375" s="11"/>
      <c r="J1375" s="11"/>
      <c r="K1375" s="11"/>
      <c r="L1375" s="11"/>
      <c r="M1375" s="11"/>
      <c r="N1375" s="11"/>
      <c r="O1375" s="12"/>
      <c r="P1375" s="11"/>
      <c r="Q1375" s="13"/>
      <c r="R1375" s="14"/>
    </row>
    <row r="1376" spans="1:18" ht="15" customHeight="1">
      <c r="A1376" s="15" t="s">
        <v>38</v>
      </c>
      <c r="B1376" s="15" t="s">
        <v>813</v>
      </c>
      <c r="C1376" s="16">
        <v>0.94444444444444453</v>
      </c>
      <c r="D1376" s="15" t="s">
        <v>43</v>
      </c>
      <c r="E1376" s="15" t="s">
        <v>44</v>
      </c>
      <c r="F1376" s="15" t="s">
        <v>349</v>
      </c>
      <c r="G1376" s="298"/>
      <c r="H1376" s="10"/>
      <c r="I1376" s="11"/>
      <c r="J1376" s="11"/>
      <c r="K1376" s="11"/>
      <c r="L1376" s="11"/>
      <c r="M1376" s="11"/>
      <c r="N1376" s="11"/>
      <c r="O1376" s="12"/>
      <c r="P1376" s="11"/>
      <c r="Q1376" s="13"/>
      <c r="R1376" s="14"/>
    </row>
    <row r="1377" spans="1:18" ht="15" customHeight="1">
      <c r="A1377" s="15" t="s">
        <v>38</v>
      </c>
      <c r="B1377" s="15" t="s">
        <v>813</v>
      </c>
      <c r="C1377" s="16">
        <v>0.94444444444444453</v>
      </c>
      <c r="D1377" s="15" t="s">
        <v>46</v>
      </c>
      <c r="E1377" s="15" t="s">
        <v>44</v>
      </c>
      <c r="F1377" s="15" t="s">
        <v>810</v>
      </c>
      <c r="G1377" s="298"/>
      <c r="H1377" s="10"/>
      <c r="I1377" s="11"/>
      <c r="J1377" s="11"/>
      <c r="K1377" s="11"/>
      <c r="L1377" s="11"/>
      <c r="M1377" s="11"/>
      <c r="N1377" s="11"/>
      <c r="O1377" s="12"/>
      <c r="P1377" s="11"/>
      <c r="Q1377" s="13"/>
      <c r="R1377" s="14"/>
    </row>
    <row r="1378" spans="1:18" ht="15" customHeight="1">
      <c r="A1378" s="19" t="s">
        <v>68</v>
      </c>
      <c r="B1378" s="19" t="s">
        <v>844</v>
      </c>
      <c r="C1378" s="20">
        <v>0.72916666666666663</v>
      </c>
      <c r="D1378" s="19" t="s">
        <v>643</v>
      </c>
      <c r="E1378" s="19" t="s">
        <v>156</v>
      </c>
      <c r="F1378" s="19" t="s">
        <v>888</v>
      </c>
      <c r="G1378" s="298"/>
      <c r="H1378" s="10"/>
      <c r="I1378" s="11"/>
      <c r="J1378" s="11"/>
      <c r="K1378" s="11"/>
      <c r="L1378" s="11"/>
      <c r="M1378" s="11"/>
      <c r="N1378" s="11"/>
      <c r="O1378" s="12"/>
      <c r="P1378" s="11"/>
      <c r="Q1378" s="13"/>
      <c r="R1378" s="14"/>
    </row>
    <row r="1379" spans="1:18" ht="15" customHeight="1">
      <c r="A1379" s="17" t="s">
        <v>68</v>
      </c>
      <c r="B1379" s="17" t="s">
        <v>842</v>
      </c>
      <c r="C1379" s="18">
        <v>0.98263888888888884</v>
      </c>
      <c r="D1379" s="17" t="s">
        <v>70</v>
      </c>
      <c r="E1379" s="17" t="s">
        <v>57</v>
      </c>
      <c r="F1379" s="17" t="s">
        <v>404</v>
      </c>
      <c r="G1379" s="298"/>
      <c r="H1379" s="10"/>
      <c r="I1379" s="11"/>
      <c r="J1379" s="11"/>
      <c r="K1379" s="11"/>
      <c r="L1379" s="11"/>
      <c r="M1379" s="11"/>
      <c r="N1379" s="11"/>
      <c r="O1379" s="12"/>
      <c r="P1379" s="11"/>
      <c r="Q1379" s="13"/>
      <c r="R1379" s="14"/>
    </row>
    <row r="1380" spans="1:18" ht="15" customHeight="1">
      <c r="A1380" s="17" t="s">
        <v>68</v>
      </c>
      <c r="B1380" s="17" t="s">
        <v>843</v>
      </c>
      <c r="C1380" s="18">
        <v>0.35416666666666669</v>
      </c>
      <c r="D1380" s="17" t="s">
        <v>70</v>
      </c>
      <c r="E1380" s="17" t="s">
        <v>57</v>
      </c>
      <c r="F1380" s="17" t="s">
        <v>404</v>
      </c>
      <c r="G1380" s="298"/>
      <c r="H1380" s="10"/>
      <c r="I1380" s="11"/>
      <c r="J1380" s="11"/>
      <c r="K1380" s="11"/>
      <c r="L1380" s="11"/>
      <c r="M1380" s="11"/>
      <c r="N1380" s="11"/>
      <c r="O1380" s="12"/>
      <c r="P1380" s="11"/>
      <c r="Q1380" s="13"/>
      <c r="R1380" s="14"/>
    </row>
    <row r="1381" spans="1:18" ht="15" customHeight="1">
      <c r="A1381" s="19" t="s">
        <v>26</v>
      </c>
      <c r="B1381" s="19" t="s">
        <v>820</v>
      </c>
      <c r="C1381" s="20">
        <v>0.4375</v>
      </c>
      <c r="D1381" s="19" t="s">
        <v>28</v>
      </c>
      <c r="E1381" s="19" t="s">
        <v>80</v>
      </c>
      <c r="F1381" s="19" t="s">
        <v>81</v>
      </c>
      <c r="G1381" s="298"/>
      <c r="H1381" s="10"/>
      <c r="I1381" s="11"/>
      <c r="J1381" s="11"/>
      <c r="K1381" s="11"/>
      <c r="L1381" s="11"/>
      <c r="M1381" s="11"/>
      <c r="N1381" s="11"/>
      <c r="O1381" s="12"/>
      <c r="P1381" s="11"/>
      <c r="Q1381" s="13"/>
      <c r="R1381" s="14"/>
    </row>
    <row r="1382" spans="1:18" ht="15" customHeight="1">
      <c r="A1382" s="15" t="s">
        <v>26</v>
      </c>
      <c r="B1382" s="15" t="s">
        <v>820</v>
      </c>
      <c r="C1382" s="16">
        <v>0.4375</v>
      </c>
      <c r="D1382" s="15" t="s">
        <v>31</v>
      </c>
      <c r="E1382" s="15" t="s">
        <v>82</v>
      </c>
      <c r="F1382" s="15" t="s">
        <v>83</v>
      </c>
      <c r="G1382" s="298"/>
      <c r="H1382" s="10"/>
      <c r="I1382" s="11"/>
      <c r="J1382" s="11"/>
      <c r="K1382" s="11"/>
      <c r="L1382" s="11"/>
      <c r="M1382" s="11"/>
      <c r="N1382" s="11"/>
      <c r="O1382" s="12"/>
      <c r="P1382" s="11"/>
      <c r="Q1382" s="13"/>
      <c r="R1382" s="14"/>
    </row>
    <row r="1383" spans="1:18" ht="15" customHeight="1">
      <c r="A1383" s="15" t="s">
        <v>26</v>
      </c>
      <c r="B1383" s="15" t="s">
        <v>820</v>
      </c>
      <c r="C1383" s="16">
        <v>0.4375</v>
      </c>
      <c r="D1383" s="15" t="s">
        <v>34</v>
      </c>
      <c r="E1383" s="15" t="s">
        <v>82</v>
      </c>
      <c r="F1383" s="15" t="s">
        <v>45</v>
      </c>
      <c r="G1383" s="298"/>
      <c r="H1383" s="10"/>
      <c r="I1383" s="11"/>
      <c r="J1383" s="11"/>
      <c r="K1383" s="11"/>
      <c r="L1383" s="11"/>
      <c r="M1383" s="11"/>
      <c r="N1383" s="11"/>
      <c r="O1383" s="12"/>
      <c r="P1383" s="11"/>
      <c r="Q1383" s="13"/>
      <c r="R1383" s="14"/>
    </row>
    <row r="1384" spans="1:18" ht="15" customHeight="1">
      <c r="A1384" s="17" t="s">
        <v>26</v>
      </c>
      <c r="B1384" s="17" t="s">
        <v>826</v>
      </c>
      <c r="C1384" s="18">
        <v>0.95833333333333337</v>
      </c>
      <c r="D1384" s="17" t="s">
        <v>28</v>
      </c>
      <c r="E1384" s="17" t="s">
        <v>90</v>
      </c>
      <c r="F1384" s="17" t="s">
        <v>81</v>
      </c>
      <c r="G1384" s="298"/>
      <c r="H1384" s="10"/>
      <c r="I1384" s="11"/>
      <c r="J1384" s="11"/>
      <c r="K1384" s="11"/>
      <c r="L1384" s="11"/>
      <c r="M1384" s="11"/>
      <c r="N1384" s="11"/>
      <c r="O1384" s="12"/>
      <c r="P1384" s="11"/>
      <c r="Q1384" s="13"/>
      <c r="R1384" s="14"/>
    </row>
    <row r="1385" spans="1:18" ht="15" customHeight="1">
      <c r="A1385" s="15" t="s">
        <v>26</v>
      </c>
      <c r="B1385" s="15" t="s">
        <v>826</v>
      </c>
      <c r="C1385" s="16">
        <v>0.95833333333333337</v>
      </c>
      <c r="D1385" s="15" t="s">
        <v>31</v>
      </c>
      <c r="E1385" s="15" t="s">
        <v>82</v>
      </c>
      <c r="F1385" s="15" t="s">
        <v>83</v>
      </c>
      <c r="G1385" s="298"/>
      <c r="H1385" s="10"/>
      <c r="I1385" s="11"/>
      <c r="J1385" s="11"/>
      <c r="K1385" s="11"/>
      <c r="L1385" s="11"/>
      <c r="M1385" s="11"/>
      <c r="N1385" s="11"/>
      <c r="O1385" s="12"/>
      <c r="P1385" s="11"/>
      <c r="Q1385" s="13"/>
      <c r="R1385" s="14"/>
    </row>
    <row r="1386" spans="1:18" ht="15" customHeight="1">
      <c r="A1386" s="15" t="s">
        <v>26</v>
      </c>
      <c r="B1386" s="15" t="s">
        <v>826</v>
      </c>
      <c r="C1386" s="16">
        <v>0.95833333333333337</v>
      </c>
      <c r="D1386" s="15" t="s">
        <v>34</v>
      </c>
      <c r="E1386" s="15" t="s">
        <v>82</v>
      </c>
      <c r="F1386" s="15" t="s">
        <v>45</v>
      </c>
      <c r="G1386" s="298"/>
      <c r="H1386" s="10"/>
      <c r="I1386" s="11"/>
      <c r="J1386" s="11"/>
      <c r="K1386" s="11"/>
      <c r="L1386" s="11"/>
      <c r="M1386" s="11"/>
      <c r="N1386" s="11"/>
      <c r="O1386" s="12"/>
      <c r="P1386" s="11"/>
      <c r="Q1386" s="13"/>
      <c r="R1386" s="14"/>
    </row>
    <row r="1387" spans="1:18" ht="15" customHeight="1">
      <c r="A1387" s="17" t="s">
        <v>26</v>
      </c>
      <c r="B1387" s="17" t="s">
        <v>821</v>
      </c>
      <c r="C1387" s="18">
        <v>0.63194444444444442</v>
      </c>
      <c r="D1387" s="17" t="s">
        <v>28</v>
      </c>
      <c r="E1387" s="17" t="s">
        <v>90</v>
      </c>
      <c r="F1387" s="17" t="s">
        <v>81</v>
      </c>
      <c r="G1387" s="298"/>
      <c r="H1387" s="10"/>
      <c r="I1387" s="11"/>
      <c r="J1387" s="11"/>
      <c r="K1387" s="11"/>
      <c r="L1387" s="11"/>
      <c r="M1387" s="11"/>
      <c r="N1387" s="11"/>
      <c r="O1387" s="12"/>
      <c r="P1387" s="11"/>
      <c r="Q1387" s="13"/>
      <c r="R1387" s="14"/>
    </row>
    <row r="1388" spans="1:18" ht="15" customHeight="1">
      <c r="A1388" s="15" t="s">
        <v>26</v>
      </c>
      <c r="B1388" s="15" t="s">
        <v>821</v>
      </c>
      <c r="C1388" s="16">
        <v>0.63194444444444442</v>
      </c>
      <c r="D1388" s="15" t="s">
        <v>31</v>
      </c>
      <c r="E1388" s="15" t="s">
        <v>82</v>
      </c>
      <c r="F1388" s="15" t="s">
        <v>83</v>
      </c>
      <c r="G1388" s="298"/>
      <c r="H1388" s="10"/>
      <c r="I1388" s="11"/>
      <c r="J1388" s="11"/>
      <c r="K1388" s="11"/>
      <c r="L1388" s="11"/>
      <c r="M1388" s="11"/>
      <c r="N1388" s="11"/>
      <c r="O1388" s="12"/>
      <c r="P1388" s="11"/>
      <c r="Q1388" s="13"/>
      <c r="R1388" s="14"/>
    </row>
    <row r="1389" spans="1:18" ht="15" customHeight="1">
      <c r="A1389" s="15" t="s">
        <v>26</v>
      </c>
      <c r="B1389" s="15" t="s">
        <v>821</v>
      </c>
      <c r="C1389" s="16">
        <v>0.63194444444444442</v>
      </c>
      <c r="D1389" s="15" t="s">
        <v>34</v>
      </c>
      <c r="E1389" s="15" t="s">
        <v>82</v>
      </c>
      <c r="F1389" s="15" t="s">
        <v>45</v>
      </c>
      <c r="G1389" s="298"/>
      <c r="H1389" s="10"/>
      <c r="I1389" s="11"/>
      <c r="J1389" s="11"/>
      <c r="K1389" s="11"/>
      <c r="L1389" s="11"/>
      <c r="M1389" s="11"/>
      <c r="N1389" s="11"/>
      <c r="O1389" s="12"/>
      <c r="P1389" s="11"/>
      <c r="Q1389" s="13"/>
      <c r="R1389" s="14"/>
    </row>
    <row r="1390" spans="1:18" ht="15" customHeight="1">
      <c r="A1390" s="17" t="s">
        <v>26</v>
      </c>
      <c r="B1390" s="17" t="s">
        <v>822</v>
      </c>
      <c r="C1390" s="18">
        <v>0.55902777777777779</v>
      </c>
      <c r="D1390" s="17" t="s">
        <v>28</v>
      </c>
      <c r="E1390" s="17" t="s">
        <v>90</v>
      </c>
      <c r="F1390" s="17" t="s">
        <v>81</v>
      </c>
      <c r="G1390" s="298"/>
      <c r="H1390" s="10"/>
      <c r="I1390" s="11"/>
      <c r="J1390" s="11"/>
      <c r="K1390" s="11"/>
      <c r="L1390" s="11"/>
      <c r="M1390" s="11"/>
      <c r="N1390" s="11"/>
      <c r="O1390" s="12"/>
      <c r="P1390" s="11"/>
      <c r="Q1390" s="13"/>
      <c r="R1390" s="14"/>
    </row>
    <row r="1391" spans="1:18" ht="15" customHeight="1">
      <c r="A1391" s="15" t="s">
        <v>26</v>
      </c>
      <c r="B1391" s="15" t="s">
        <v>822</v>
      </c>
      <c r="C1391" s="16">
        <v>0.55902777777777779</v>
      </c>
      <c r="D1391" s="15" t="s">
        <v>31</v>
      </c>
      <c r="E1391" s="15" t="s">
        <v>82</v>
      </c>
      <c r="F1391" s="15" t="s">
        <v>83</v>
      </c>
      <c r="G1391" s="298"/>
      <c r="H1391" s="10"/>
      <c r="I1391" s="11"/>
      <c r="J1391" s="11"/>
      <c r="K1391" s="11"/>
      <c r="L1391" s="11"/>
      <c r="M1391" s="11"/>
      <c r="N1391" s="11"/>
      <c r="O1391" s="12"/>
      <c r="P1391" s="11"/>
      <c r="Q1391" s="13"/>
      <c r="R1391" s="14"/>
    </row>
    <row r="1392" spans="1:18" ht="15" customHeight="1">
      <c r="A1392" s="15" t="s">
        <v>26</v>
      </c>
      <c r="B1392" s="15" t="s">
        <v>822</v>
      </c>
      <c r="C1392" s="16">
        <v>0.55902777777777779</v>
      </c>
      <c r="D1392" s="15" t="s">
        <v>34</v>
      </c>
      <c r="E1392" s="15" t="s">
        <v>82</v>
      </c>
      <c r="F1392" s="15" t="s">
        <v>45</v>
      </c>
      <c r="G1392" s="298"/>
      <c r="H1392" s="10"/>
      <c r="I1392" s="11"/>
      <c r="J1392" s="11"/>
      <c r="K1392" s="11"/>
      <c r="L1392" s="11"/>
      <c r="M1392" s="11"/>
      <c r="N1392" s="11"/>
      <c r="O1392" s="12"/>
      <c r="P1392" s="11"/>
      <c r="Q1392" s="13"/>
      <c r="R1392" s="14"/>
    </row>
    <row r="1393" spans="1:18" ht="15" customHeight="1">
      <c r="A1393" s="17" t="s">
        <v>26</v>
      </c>
      <c r="B1393" s="17" t="s">
        <v>823</v>
      </c>
      <c r="C1393" s="18">
        <v>0.81944444444444453</v>
      </c>
      <c r="D1393" s="17" t="s">
        <v>28</v>
      </c>
      <c r="E1393" s="17" t="s">
        <v>90</v>
      </c>
      <c r="F1393" s="17" t="s">
        <v>81</v>
      </c>
      <c r="G1393" s="298"/>
      <c r="H1393" s="10"/>
      <c r="I1393" s="11"/>
      <c r="J1393" s="11"/>
      <c r="K1393" s="11"/>
      <c r="L1393" s="11"/>
      <c r="M1393" s="11"/>
      <c r="N1393" s="11"/>
      <c r="O1393" s="12"/>
      <c r="P1393" s="11"/>
      <c r="Q1393" s="13"/>
      <c r="R1393" s="14"/>
    </row>
    <row r="1394" spans="1:18" ht="15" customHeight="1">
      <c r="A1394" s="15" t="s">
        <v>26</v>
      </c>
      <c r="B1394" s="15" t="s">
        <v>823</v>
      </c>
      <c r="C1394" s="16">
        <v>0.81944444444444453</v>
      </c>
      <c r="D1394" s="15" t="s">
        <v>31</v>
      </c>
      <c r="E1394" s="15" t="s">
        <v>82</v>
      </c>
      <c r="F1394" s="15" t="s">
        <v>83</v>
      </c>
      <c r="G1394" s="298"/>
      <c r="H1394" s="10"/>
      <c r="I1394" s="11"/>
      <c r="J1394" s="11"/>
      <c r="K1394" s="11"/>
      <c r="L1394" s="11"/>
      <c r="M1394" s="11"/>
      <c r="N1394" s="11"/>
      <c r="O1394" s="12"/>
      <c r="P1394" s="11"/>
      <c r="Q1394" s="13"/>
      <c r="R1394" s="14"/>
    </row>
    <row r="1395" spans="1:18" ht="15" customHeight="1">
      <c r="A1395" s="15" t="s">
        <v>26</v>
      </c>
      <c r="B1395" s="15" t="s">
        <v>823</v>
      </c>
      <c r="C1395" s="16">
        <v>0.81944444444444453</v>
      </c>
      <c r="D1395" s="15" t="s">
        <v>34</v>
      </c>
      <c r="E1395" s="15" t="s">
        <v>82</v>
      </c>
      <c r="F1395" s="15" t="s">
        <v>45</v>
      </c>
      <c r="G1395" s="298"/>
      <c r="H1395" s="10"/>
      <c r="I1395" s="11"/>
      <c r="J1395" s="11"/>
      <c r="K1395" s="11"/>
      <c r="L1395" s="11"/>
      <c r="M1395" s="11"/>
      <c r="N1395" s="11"/>
      <c r="O1395" s="12"/>
      <c r="P1395" s="11"/>
      <c r="Q1395" s="13"/>
      <c r="R1395" s="14"/>
    </row>
    <row r="1396" spans="1:18" ht="15" customHeight="1">
      <c r="A1396" s="17" t="s">
        <v>26</v>
      </c>
      <c r="B1396" s="17" t="s">
        <v>825</v>
      </c>
      <c r="C1396" s="18">
        <v>0.69791666666666663</v>
      </c>
      <c r="D1396" s="17" t="s">
        <v>28</v>
      </c>
      <c r="E1396" s="17" t="s">
        <v>90</v>
      </c>
      <c r="F1396" s="17" t="s">
        <v>81</v>
      </c>
      <c r="G1396" s="298"/>
      <c r="H1396" s="10"/>
      <c r="I1396" s="11"/>
      <c r="J1396" s="11"/>
      <c r="K1396" s="11"/>
      <c r="L1396" s="11"/>
      <c r="M1396" s="11"/>
      <c r="N1396" s="11"/>
      <c r="O1396" s="12"/>
      <c r="P1396" s="11"/>
      <c r="Q1396" s="13"/>
      <c r="R1396" s="14"/>
    </row>
    <row r="1397" spans="1:18" ht="15" customHeight="1">
      <c r="A1397" s="15" t="s">
        <v>26</v>
      </c>
      <c r="B1397" s="15" t="s">
        <v>825</v>
      </c>
      <c r="C1397" s="16">
        <v>0.69791666666666663</v>
      </c>
      <c r="D1397" s="15" t="s">
        <v>31</v>
      </c>
      <c r="E1397" s="15" t="s">
        <v>82</v>
      </c>
      <c r="F1397" s="15" t="s">
        <v>83</v>
      </c>
      <c r="G1397" s="298"/>
      <c r="H1397" s="10"/>
      <c r="I1397" s="11"/>
      <c r="J1397" s="11"/>
      <c r="K1397" s="11"/>
      <c r="L1397" s="11"/>
      <c r="M1397" s="11"/>
      <c r="N1397" s="11"/>
      <c r="O1397" s="12"/>
      <c r="P1397" s="11"/>
      <c r="Q1397" s="13"/>
      <c r="R1397" s="14"/>
    </row>
    <row r="1398" spans="1:18" ht="15" customHeight="1">
      <c r="A1398" s="15" t="s">
        <v>26</v>
      </c>
      <c r="B1398" s="15" t="s">
        <v>825</v>
      </c>
      <c r="C1398" s="16">
        <v>0.69791666666666663</v>
      </c>
      <c r="D1398" s="15" t="s">
        <v>34</v>
      </c>
      <c r="E1398" s="15" t="s">
        <v>82</v>
      </c>
      <c r="F1398" s="15" t="s">
        <v>45</v>
      </c>
      <c r="G1398" s="298"/>
      <c r="H1398" s="10"/>
      <c r="I1398" s="11"/>
      <c r="J1398" s="11"/>
      <c r="K1398" s="11"/>
      <c r="L1398" s="11"/>
      <c r="M1398" s="11"/>
      <c r="N1398" s="11"/>
      <c r="O1398" s="12"/>
      <c r="P1398" s="11"/>
      <c r="Q1398" s="13"/>
      <c r="R1398" s="14"/>
    </row>
    <row r="1399" spans="1:18" ht="15" customHeight="1">
      <c r="A1399" s="17" t="s">
        <v>26</v>
      </c>
      <c r="B1399" s="17" t="s">
        <v>824</v>
      </c>
      <c r="C1399" s="18">
        <v>0.50694444444444442</v>
      </c>
      <c r="D1399" s="17" t="s">
        <v>28</v>
      </c>
      <c r="E1399" s="17" t="s">
        <v>90</v>
      </c>
      <c r="F1399" s="17" t="s">
        <v>827</v>
      </c>
      <c r="G1399" s="298"/>
      <c r="H1399" s="10"/>
      <c r="I1399" s="11"/>
      <c r="J1399" s="11"/>
      <c r="K1399" s="11"/>
      <c r="L1399" s="11"/>
      <c r="M1399" s="11"/>
      <c r="N1399" s="11"/>
      <c r="O1399" s="12"/>
      <c r="P1399" s="11"/>
      <c r="Q1399" s="13"/>
      <c r="R1399" s="14"/>
    </row>
    <row r="1400" spans="1:18" ht="15" customHeight="1">
      <c r="A1400" s="15" t="s">
        <v>26</v>
      </c>
      <c r="B1400" s="15" t="s">
        <v>824</v>
      </c>
      <c r="C1400" s="16">
        <v>0.50694444444444442</v>
      </c>
      <c r="D1400" s="15" t="s">
        <v>31</v>
      </c>
      <c r="E1400" s="15" t="s">
        <v>82</v>
      </c>
      <c r="F1400" s="15" t="s">
        <v>161</v>
      </c>
      <c r="G1400" s="298"/>
      <c r="H1400" s="10"/>
      <c r="I1400" s="11"/>
      <c r="J1400" s="11"/>
      <c r="K1400" s="11"/>
      <c r="L1400" s="11"/>
      <c r="M1400" s="11"/>
      <c r="N1400" s="11"/>
      <c r="O1400" s="12"/>
      <c r="P1400" s="11"/>
      <c r="Q1400" s="13"/>
      <c r="R1400" s="14"/>
    </row>
    <row r="1401" spans="1:18" ht="15" customHeight="1">
      <c r="A1401" s="15" t="s">
        <v>26</v>
      </c>
      <c r="B1401" s="15" t="s">
        <v>824</v>
      </c>
      <c r="C1401" s="16">
        <v>0.50694444444444442</v>
      </c>
      <c r="D1401" s="15" t="s">
        <v>34</v>
      </c>
      <c r="E1401" s="15" t="s">
        <v>82</v>
      </c>
      <c r="F1401" s="15" t="s">
        <v>123</v>
      </c>
      <c r="G1401" s="298"/>
      <c r="H1401" s="10"/>
      <c r="I1401" s="11"/>
      <c r="J1401" s="11"/>
      <c r="K1401" s="11"/>
      <c r="L1401" s="11"/>
      <c r="M1401" s="11"/>
      <c r="N1401" s="11"/>
      <c r="O1401" s="12"/>
      <c r="P1401" s="11"/>
      <c r="Q1401" s="13"/>
      <c r="R1401" s="14"/>
    </row>
    <row r="1402" spans="1:18" ht="15" customHeight="1">
      <c r="A1402" s="21" t="s">
        <v>61</v>
      </c>
      <c r="B1402" s="21" t="s">
        <v>852</v>
      </c>
      <c r="C1402" s="22">
        <v>0.72569444444444453</v>
      </c>
      <c r="D1402" s="21" t="s">
        <v>63</v>
      </c>
      <c r="E1402" s="21" t="s">
        <v>126</v>
      </c>
      <c r="F1402" s="21" t="s">
        <v>849</v>
      </c>
      <c r="G1402" s="298"/>
      <c r="H1402" s="23" t="s">
        <v>854</v>
      </c>
      <c r="I1402" s="24">
        <v>2.23E-2</v>
      </c>
      <c r="J1402" s="25">
        <v>4</v>
      </c>
      <c r="K1402" s="26">
        <v>46342</v>
      </c>
      <c r="L1402" s="25">
        <v>4</v>
      </c>
      <c r="M1402" s="25">
        <v>0</v>
      </c>
      <c r="N1402" s="25">
        <v>0</v>
      </c>
      <c r="O1402" s="27" t="s">
        <v>967</v>
      </c>
      <c r="P1402" s="28">
        <v>0.72569444444444453</v>
      </c>
      <c r="Q1402" s="25">
        <v>179</v>
      </c>
      <c r="R1402" s="29" t="s">
        <v>951</v>
      </c>
    </row>
    <row r="1403" spans="1:18" ht="15" customHeight="1">
      <c r="A1403" s="19" t="s">
        <v>359</v>
      </c>
      <c r="B1403" s="19" t="s">
        <v>814</v>
      </c>
      <c r="C1403" s="20">
        <v>0.3298611111111111</v>
      </c>
      <c r="D1403" s="19" t="s">
        <v>361</v>
      </c>
      <c r="E1403" s="19" t="s">
        <v>80</v>
      </c>
      <c r="F1403" s="19" t="s">
        <v>949</v>
      </c>
      <c r="G1403" s="298"/>
      <c r="H1403" s="10"/>
      <c r="I1403" s="11"/>
      <c r="J1403" s="11"/>
      <c r="K1403" s="11"/>
      <c r="L1403" s="11"/>
      <c r="M1403" s="11"/>
      <c r="N1403" s="11"/>
      <c r="O1403" s="12"/>
      <c r="P1403" s="11"/>
      <c r="Q1403" s="13"/>
      <c r="R1403" s="14"/>
    </row>
    <row r="1404" spans="1:18" ht="15" customHeight="1">
      <c r="A1404" s="15" t="s">
        <v>359</v>
      </c>
      <c r="B1404" s="15" t="s">
        <v>814</v>
      </c>
      <c r="C1404" s="16">
        <v>0.3298611111111111</v>
      </c>
      <c r="D1404" s="15" t="s">
        <v>46</v>
      </c>
      <c r="E1404" s="15" t="s">
        <v>82</v>
      </c>
      <c r="F1404" s="15" t="s">
        <v>950</v>
      </c>
      <c r="G1404" s="298"/>
      <c r="H1404" s="10"/>
      <c r="I1404" s="11"/>
      <c r="J1404" s="11"/>
      <c r="K1404" s="11"/>
      <c r="L1404" s="11"/>
      <c r="M1404" s="11"/>
      <c r="N1404" s="11"/>
      <c r="O1404" s="12"/>
      <c r="P1404" s="11"/>
      <c r="Q1404" s="13"/>
      <c r="R1404" s="14"/>
    </row>
    <row r="1405" spans="1:18" ht="15" customHeight="1">
      <c r="A1405" s="19" t="s">
        <v>402</v>
      </c>
      <c r="B1405" s="19" t="s">
        <v>839</v>
      </c>
      <c r="C1405" s="20">
        <v>0.1701388888888889</v>
      </c>
      <c r="D1405" s="19" t="s">
        <v>63</v>
      </c>
      <c r="E1405" s="19" t="s">
        <v>107</v>
      </c>
      <c r="F1405" s="19" t="s">
        <v>881</v>
      </c>
      <c r="G1405" s="298"/>
      <c r="H1405" s="10"/>
      <c r="I1405" s="11"/>
      <c r="J1405" s="11"/>
      <c r="K1405" s="11"/>
      <c r="L1405" s="11"/>
      <c r="M1405" s="11"/>
      <c r="N1405" s="11"/>
      <c r="O1405" s="12"/>
      <c r="P1405" s="11"/>
      <c r="Q1405" s="13"/>
      <c r="R1405" s="14"/>
    </row>
    <row r="1406" spans="1:18" ht="15" customHeight="1">
      <c r="A1406" s="17" t="s">
        <v>402</v>
      </c>
      <c r="B1406" s="17" t="s">
        <v>841</v>
      </c>
      <c r="C1406" s="18">
        <v>0.55208333333333337</v>
      </c>
      <c r="D1406" s="17" t="s">
        <v>63</v>
      </c>
      <c r="E1406" s="17" t="s">
        <v>91</v>
      </c>
      <c r="F1406" s="17" t="s">
        <v>881</v>
      </c>
      <c r="G1406" s="298"/>
      <c r="H1406" s="10"/>
      <c r="I1406" s="11"/>
      <c r="J1406" s="11"/>
      <c r="K1406" s="11"/>
      <c r="L1406" s="11"/>
      <c r="M1406" s="11"/>
      <c r="N1406" s="11"/>
      <c r="O1406" s="12"/>
      <c r="P1406" s="11"/>
      <c r="Q1406" s="13"/>
      <c r="R1406" s="14"/>
    </row>
    <row r="1407" spans="1:18" ht="15" customHeight="1">
      <c r="A1407" s="19" t="s">
        <v>48</v>
      </c>
      <c r="B1407" s="19" t="s">
        <v>835</v>
      </c>
      <c r="C1407" s="20">
        <v>0.88888888888888884</v>
      </c>
      <c r="D1407" s="19" t="s">
        <v>53</v>
      </c>
      <c r="E1407" s="19" t="s">
        <v>29</v>
      </c>
      <c r="F1407" s="19" t="s">
        <v>836</v>
      </c>
      <c r="G1407" s="298"/>
      <c r="H1407" s="10"/>
      <c r="I1407" s="11"/>
      <c r="J1407" s="11"/>
      <c r="K1407" s="11"/>
      <c r="L1407" s="11"/>
      <c r="M1407" s="11"/>
      <c r="N1407" s="11"/>
      <c r="O1407" s="12"/>
      <c r="P1407" s="11"/>
      <c r="Q1407" s="13"/>
      <c r="R1407" s="14"/>
    </row>
    <row r="1408" spans="1:18" ht="15" customHeight="1">
      <c r="A1408" s="17" t="s">
        <v>48</v>
      </c>
      <c r="B1408" s="17" t="s">
        <v>837</v>
      </c>
      <c r="C1408" s="18">
        <v>0.62847222222222221</v>
      </c>
      <c r="D1408" s="17" t="s">
        <v>53</v>
      </c>
      <c r="E1408" s="17" t="s">
        <v>37</v>
      </c>
      <c r="F1408" s="17" t="s">
        <v>836</v>
      </c>
      <c r="G1408" s="298"/>
      <c r="H1408" s="10"/>
      <c r="I1408" s="11"/>
      <c r="J1408" s="11"/>
      <c r="K1408" s="11"/>
      <c r="L1408" s="11"/>
      <c r="M1408" s="11"/>
      <c r="N1408" s="11"/>
      <c r="O1408" s="12"/>
      <c r="P1408" s="11"/>
      <c r="Q1408" s="13"/>
      <c r="R1408" s="14"/>
    </row>
    <row r="1409" spans="1:18" ht="15" customHeight="1">
      <c r="A1409" s="17" t="s">
        <v>48</v>
      </c>
      <c r="B1409" s="17" t="s">
        <v>838</v>
      </c>
      <c r="C1409" s="18">
        <v>0.94444444444444453</v>
      </c>
      <c r="D1409" s="17" t="s">
        <v>53</v>
      </c>
      <c r="E1409" s="17" t="s">
        <v>37</v>
      </c>
      <c r="F1409" s="17" t="s">
        <v>836</v>
      </c>
      <c r="G1409" s="298"/>
      <c r="H1409" s="10"/>
      <c r="I1409" s="11"/>
      <c r="J1409" s="11"/>
      <c r="K1409" s="11"/>
      <c r="L1409" s="11"/>
      <c r="M1409" s="11"/>
      <c r="N1409" s="11"/>
      <c r="O1409" s="12"/>
      <c r="P1409" s="11"/>
      <c r="Q1409" s="13"/>
      <c r="R1409" s="14"/>
    </row>
    <row r="1410" spans="1:18" ht="15" customHeight="1">
      <c r="A1410" s="17" t="s">
        <v>48</v>
      </c>
      <c r="B1410" s="17" t="s">
        <v>833</v>
      </c>
      <c r="C1410" s="18">
        <v>0.44444444444444442</v>
      </c>
      <c r="D1410" s="17" t="s">
        <v>53</v>
      </c>
      <c r="E1410" s="17" t="s">
        <v>57</v>
      </c>
      <c r="F1410" s="17" t="s">
        <v>870</v>
      </c>
      <c r="G1410" s="298"/>
      <c r="H1410" s="10"/>
      <c r="I1410" s="11"/>
      <c r="J1410" s="11"/>
      <c r="K1410" s="11"/>
      <c r="L1410" s="11"/>
      <c r="M1410" s="11"/>
      <c r="N1410" s="11"/>
      <c r="O1410" s="12"/>
      <c r="P1410" s="11"/>
      <c r="Q1410" s="13"/>
      <c r="R1410" s="14"/>
    </row>
    <row r="1411" spans="1:18" ht="15" customHeight="1">
      <c r="A1411" s="17" t="s">
        <v>48</v>
      </c>
      <c r="B1411" s="17" t="s">
        <v>828</v>
      </c>
      <c r="C1411" s="18">
        <v>0.82986111111111116</v>
      </c>
      <c r="D1411" s="17" t="s">
        <v>53</v>
      </c>
      <c r="E1411" s="17" t="s">
        <v>57</v>
      </c>
      <c r="F1411" s="17" t="s">
        <v>870</v>
      </c>
      <c r="G1411" s="298"/>
      <c r="H1411" s="10"/>
      <c r="I1411" s="11"/>
      <c r="J1411" s="11"/>
      <c r="K1411" s="11"/>
      <c r="L1411" s="11"/>
      <c r="M1411" s="11"/>
      <c r="N1411" s="11"/>
      <c r="O1411" s="12"/>
      <c r="P1411" s="11"/>
      <c r="Q1411" s="13"/>
      <c r="R1411" s="14"/>
    </row>
    <row r="1412" spans="1:18" ht="15" customHeight="1">
      <c r="A1412" s="17" t="s">
        <v>48</v>
      </c>
      <c r="B1412" s="17" t="s">
        <v>884</v>
      </c>
      <c r="C1412" s="18">
        <v>0.20833333333333329</v>
      </c>
      <c r="D1412" s="17" t="s">
        <v>53</v>
      </c>
      <c r="E1412" s="17" t="s">
        <v>57</v>
      </c>
      <c r="F1412" s="17" t="s">
        <v>870</v>
      </c>
      <c r="G1412" s="298"/>
      <c r="H1412" s="10"/>
      <c r="I1412" s="11"/>
      <c r="J1412" s="11"/>
      <c r="K1412" s="11"/>
      <c r="L1412" s="11"/>
      <c r="M1412" s="11"/>
      <c r="N1412" s="11"/>
      <c r="O1412" s="12"/>
      <c r="P1412" s="11"/>
      <c r="Q1412" s="13"/>
      <c r="R1412" s="14"/>
    </row>
    <row r="1413" spans="1:18" ht="15" customHeight="1">
      <c r="A1413" s="17" t="s">
        <v>48</v>
      </c>
      <c r="B1413" s="17" t="s">
        <v>831</v>
      </c>
      <c r="C1413" s="18">
        <v>0.98263888888888884</v>
      </c>
      <c r="D1413" s="17" t="s">
        <v>53</v>
      </c>
      <c r="E1413" s="17" t="s">
        <v>57</v>
      </c>
      <c r="F1413" s="17" t="s">
        <v>870</v>
      </c>
      <c r="G1413" s="298"/>
      <c r="H1413" s="10"/>
      <c r="I1413" s="11"/>
      <c r="J1413" s="11"/>
      <c r="K1413" s="11"/>
      <c r="L1413" s="11"/>
      <c r="M1413" s="11"/>
      <c r="N1413" s="11"/>
      <c r="O1413" s="12"/>
      <c r="P1413" s="11"/>
      <c r="Q1413" s="13"/>
      <c r="R1413" s="14"/>
    </row>
    <row r="1414" spans="1:18" ht="15" customHeight="1" thickBot="1">
      <c r="A1414" s="30" t="s">
        <v>48</v>
      </c>
      <c r="B1414" s="30" t="s">
        <v>832</v>
      </c>
      <c r="C1414" s="31">
        <v>0.62847222222222221</v>
      </c>
      <c r="D1414" s="30" t="s">
        <v>53</v>
      </c>
      <c r="E1414" s="30" t="s">
        <v>57</v>
      </c>
      <c r="F1414" s="30" t="s">
        <v>870</v>
      </c>
      <c r="G1414" s="299"/>
      <c r="H1414" s="300"/>
      <c r="I1414" s="140"/>
      <c r="J1414" s="140"/>
      <c r="K1414" s="140"/>
      <c r="L1414" s="140"/>
      <c r="M1414" s="140"/>
      <c r="N1414" s="140"/>
      <c r="O1414" s="141"/>
      <c r="P1414" s="140"/>
      <c r="Q1414" s="142"/>
      <c r="R1414" s="301"/>
    </row>
    <row r="1415" spans="1:18" ht="17.45" customHeight="1" thickBot="1">
      <c r="A1415" s="283"/>
      <c r="B1415" s="284"/>
      <c r="C1415" s="284"/>
      <c r="D1415" s="284"/>
      <c r="E1415" s="284"/>
      <c r="F1415" s="284"/>
      <c r="G1415" s="284"/>
      <c r="H1415" s="284"/>
      <c r="I1415" s="284"/>
      <c r="J1415" s="284"/>
      <c r="K1415" s="284"/>
      <c r="L1415" s="284"/>
      <c r="M1415" s="284"/>
      <c r="N1415" s="284"/>
      <c r="O1415" s="284"/>
      <c r="P1415" s="284"/>
      <c r="Q1415" s="284"/>
      <c r="R1415" s="285"/>
    </row>
    <row r="1416" spans="1:18" ht="22.15" customHeight="1" thickTop="1" thickBot="1">
      <c r="A1416" s="279" t="s">
        <v>6</v>
      </c>
      <c r="B1416" s="295"/>
      <c r="C1416" s="295"/>
      <c r="D1416" s="295"/>
      <c r="E1416" s="295"/>
      <c r="F1416" s="296"/>
      <c r="G1416" s="32">
        <v>46049</v>
      </c>
      <c r="H1416" s="278" t="s">
        <v>7</v>
      </c>
      <c r="I1416" s="295"/>
      <c r="J1416" s="295"/>
      <c r="K1416" s="295"/>
      <c r="L1416" s="295"/>
      <c r="M1416" s="295"/>
      <c r="N1416" s="295"/>
      <c r="O1416" s="295"/>
      <c r="P1416" s="295"/>
      <c r="Q1416" s="295"/>
      <c r="R1416" s="296"/>
    </row>
    <row r="1417" spans="1:18" ht="24" customHeight="1">
      <c r="A1417" s="33" t="s">
        <v>8</v>
      </c>
      <c r="B1417" s="33" t="s">
        <v>9</v>
      </c>
      <c r="C1417" s="34" t="s">
        <v>10</v>
      </c>
      <c r="D1417" s="33" t="s">
        <v>11</v>
      </c>
      <c r="E1417" s="33" t="s">
        <v>12</v>
      </c>
      <c r="F1417" s="35" t="s">
        <v>13</v>
      </c>
      <c r="G1417" s="36" t="s">
        <v>14</v>
      </c>
      <c r="H1417" s="33" t="s">
        <v>15</v>
      </c>
      <c r="I1417" s="37" t="s">
        <v>16</v>
      </c>
      <c r="J1417" s="38" t="s">
        <v>17</v>
      </c>
      <c r="K1417" s="39" t="s">
        <v>18</v>
      </c>
      <c r="L1417" s="38" t="s">
        <v>19</v>
      </c>
      <c r="M1417" s="38" t="s">
        <v>20</v>
      </c>
      <c r="N1417" s="38" t="s">
        <v>21</v>
      </c>
      <c r="O1417" s="33" t="s">
        <v>22</v>
      </c>
      <c r="P1417" s="34" t="s">
        <v>23</v>
      </c>
      <c r="Q1417" s="38" t="s">
        <v>24</v>
      </c>
      <c r="R1417" s="33" t="s">
        <v>25</v>
      </c>
    </row>
    <row r="1418" spans="1:18" ht="15" customHeight="1">
      <c r="A1418" s="8" t="s">
        <v>38</v>
      </c>
      <c r="B1418" s="8" t="s">
        <v>809</v>
      </c>
      <c r="C1418" s="9">
        <v>0.57638888888888895</v>
      </c>
      <c r="D1418" s="8" t="s">
        <v>40</v>
      </c>
      <c r="E1418" s="8" t="s">
        <v>168</v>
      </c>
      <c r="F1418" s="8" t="s">
        <v>475</v>
      </c>
      <c r="G1418" s="297"/>
      <c r="H1418" s="10"/>
      <c r="I1418" s="11"/>
      <c r="J1418" s="11"/>
      <c r="K1418" s="11"/>
      <c r="L1418" s="11"/>
      <c r="M1418" s="11"/>
      <c r="N1418" s="11"/>
      <c r="O1418" s="12"/>
      <c r="P1418" s="11"/>
      <c r="Q1418" s="13"/>
      <c r="R1418" s="14"/>
    </row>
    <row r="1419" spans="1:18" ht="15" customHeight="1">
      <c r="A1419" s="15" t="s">
        <v>38</v>
      </c>
      <c r="B1419" s="15" t="s">
        <v>809</v>
      </c>
      <c r="C1419" s="16">
        <v>0.57638888888888895</v>
      </c>
      <c r="D1419" s="15" t="s">
        <v>43</v>
      </c>
      <c r="E1419" s="15" t="s">
        <v>114</v>
      </c>
      <c r="F1419" s="15" t="s">
        <v>121</v>
      </c>
      <c r="G1419" s="298"/>
      <c r="H1419" s="10"/>
      <c r="I1419" s="11"/>
      <c r="J1419" s="11"/>
      <c r="K1419" s="11"/>
      <c r="L1419" s="11"/>
      <c r="M1419" s="11"/>
      <c r="N1419" s="11"/>
      <c r="O1419" s="12"/>
      <c r="P1419" s="11"/>
      <c r="Q1419" s="13"/>
      <c r="R1419" s="14"/>
    </row>
    <row r="1420" spans="1:18" ht="15" customHeight="1">
      <c r="A1420" s="15" t="s">
        <v>38</v>
      </c>
      <c r="B1420" s="15" t="s">
        <v>809</v>
      </c>
      <c r="C1420" s="16">
        <v>0.57638888888888895</v>
      </c>
      <c r="D1420" s="15" t="s">
        <v>46</v>
      </c>
      <c r="E1420" s="15" t="s">
        <v>114</v>
      </c>
      <c r="F1420" s="15" t="s">
        <v>810</v>
      </c>
      <c r="G1420" s="298"/>
      <c r="H1420" s="10"/>
      <c r="I1420" s="11"/>
      <c r="J1420" s="11"/>
      <c r="K1420" s="11"/>
      <c r="L1420" s="11"/>
      <c r="M1420" s="11"/>
      <c r="N1420" s="11"/>
      <c r="O1420" s="12"/>
      <c r="P1420" s="11"/>
      <c r="Q1420" s="13"/>
      <c r="R1420" s="14"/>
    </row>
    <row r="1421" spans="1:18" ht="15" customHeight="1">
      <c r="A1421" s="17" t="s">
        <v>38</v>
      </c>
      <c r="B1421" s="17" t="s">
        <v>811</v>
      </c>
      <c r="C1421" s="18">
        <v>0.62847222222222221</v>
      </c>
      <c r="D1421" s="17" t="s">
        <v>40</v>
      </c>
      <c r="E1421" s="17" t="s">
        <v>170</v>
      </c>
      <c r="F1421" s="17" t="s">
        <v>475</v>
      </c>
      <c r="G1421" s="298"/>
      <c r="H1421" s="10"/>
      <c r="I1421" s="11"/>
      <c r="J1421" s="11"/>
      <c r="K1421" s="11"/>
      <c r="L1421" s="11"/>
      <c r="M1421" s="11"/>
      <c r="N1421" s="11"/>
      <c r="O1421" s="12"/>
      <c r="P1421" s="11"/>
      <c r="Q1421" s="13"/>
      <c r="R1421" s="14"/>
    </row>
    <row r="1422" spans="1:18" ht="15" customHeight="1">
      <c r="A1422" s="15" t="s">
        <v>38</v>
      </c>
      <c r="B1422" s="15" t="s">
        <v>811</v>
      </c>
      <c r="C1422" s="16">
        <v>0.62847222222222221</v>
      </c>
      <c r="D1422" s="15" t="s">
        <v>43</v>
      </c>
      <c r="E1422" s="15" t="s">
        <v>152</v>
      </c>
      <c r="F1422" s="15" t="s">
        <v>121</v>
      </c>
      <c r="G1422" s="298"/>
      <c r="H1422" s="10"/>
      <c r="I1422" s="11"/>
      <c r="J1422" s="11"/>
      <c r="K1422" s="11"/>
      <c r="L1422" s="11"/>
      <c r="M1422" s="11"/>
      <c r="N1422" s="11"/>
      <c r="O1422" s="12"/>
      <c r="P1422" s="11"/>
      <c r="Q1422" s="13"/>
      <c r="R1422" s="14"/>
    </row>
    <row r="1423" spans="1:18" ht="15" customHeight="1">
      <c r="A1423" s="15" t="s">
        <v>38</v>
      </c>
      <c r="B1423" s="15" t="s">
        <v>811</v>
      </c>
      <c r="C1423" s="16">
        <v>0.62847222222222221</v>
      </c>
      <c r="D1423" s="15" t="s">
        <v>46</v>
      </c>
      <c r="E1423" s="15" t="s">
        <v>152</v>
      </c>
      <c r="F1423" s="15" t="s">
        <v>810</v>
      </c>
      <c r="G1423" s="298"/>
      <c r="H1423" s="10"/>
      <c r="I1423" s="11"/>
      <c r="J1423" s="11"/>
      <c r="K1423" s="11"/>
      <c r="L1423" s="11"/>
      <c r="M1423" s="11"/>
      <c r="N1423" s="11"/>
      <c r="O1423" s="12"/>
      <c r="P1423" s="11"/>
      <c r="Q1423" s="13"/>
      <c r="R1423" s="14"/>
    </row>
    <row r="1424" spans="1:18" ht="15" customHeight="1">
      <c r="A1424" s="17" t="s">
        <v>38</v>
      </c>
      <c r="B1424" s="17" t="s">
        <v>812</v>
      </c>
      <c r="C1424" s="18">
        <v>0.88888888888888884</v>
      </c>
      <c r="D1424" s="17" t="s">
        <v>40</v>
      </c>
      <c r="E1424" s="17" t="s">
        <v>125</v>
      </c>
      <c r="F1424" s="17" t="s">
        <v>872</v>
      </c>
      <c r="G1424" s="298"/>
      <c r="H1424" s="10"/>
      <c r="I1424" s="11"/>
      <c r="J1424" s="11"/>
      <c r="K1424" s="11"/>
      <c r="L1424" s="11"/>
      <c r="M1424" s="11"/>
      <c r="N1424" s="11"/>
      <c r="O1424" s="12"/>
      <c r="P1424" s="11"/>
      <c r="Q1424" s="13"/>
      <c r="R1424" s="14"/>
    </row>
    <row r="1425" spans="1:18" ht="15" customHeight="1">
      <c r="A1425" s="15" t="s">
        <v>38</v>
      </c>
      <c r="B1425" s="15" t="s">
        <v>812</v>
      </c>
      <c r="C1425" s="16">
        <v>0.88888888888888884</v>
      </c>
      <c r="D1425" s="15" t="s">
        <v>43</v>
      </c>
      <c r="E1425" s="15" t="s">
        <v>44</v>
      </c>
      <c r="F1425" s="15" t="s">
        <v>349</v>
      </c>
      <c r="G1425" s="298"/>
      <c r="H1425" s="10"/>
      <c r="I1425" s="11"/>
      <c r="J1425" s="11"/>
      <c r="K1425" s="11"/>
      <c r="L1425" s="11"/>
      <c r="M1425" s="11"/>
      <c r="N1425" s="11"/>
      <c r="O1425" s="12"/>
      <c r="P1425" s="11"/>
      <c r="Q1425" s="13"/>
      <c r="R1425" s="14"/>
    </row>
    <row r="1426" spans="1:18" ht="15" customHeight="1">
      <c r="A1426" s="15" t="s">
        <v>38</v>
      </c>
      <c r="B1426" s="15" t="s">
        <v>812</v>
      </c>
      <c r="C1426" s="16">
        <v>0.88888888888888884</v>
      </c>
      <c r="D1426" s="15" t="s">
        <v>46</v>
      </c>
      <c r="E1426" s="15" t="s">
        <v>44</v>
      </c>
      <c r="F1426" s="15" t="s">
        <v>810</v>
      </c>
      <c r="G1426" s="298"/>
      <c r="H1426" s="10"/>
      <c r="I1426" s="11"/>
      <c r="J1426" s="11"/>
      <c r="K1426" s="11"/>
      <c r="L1426" s="11"/>
      <c r="M1426" s="11"/>
      <c r="N1426" s="11"/>
      <c r="O1426" s="12"/>
      <c r="P1426" s="11"/>
      <c r="Q1426" s="13"/>
      <c r="R1426" s="14"/>
    </row>
    <row r="1427" spans="1:18" ht="15" customHeight="1">
      <c r="A1427" s="17" t="s">
        <v>38</v>
      </c>
      <c r="B1427" s="17" t="s">
        <v>813</v>
      </c>
      <c r="C1427" s="18">
        <v>0.94444444444444453</v>
      </c>
      <c r="D1427" s="17" t="s">
        <v>40</v>
      </c>
      <c r="E1427" s="17" t="s">
        <v>125</v>
      </c>
      <c r="F1427" s="17" t="s">
        <v>872</v>
      </c>
      <c r="G1427" s="298"/>
      <c r="H1427" s="10"/>
      <c r="I1427" s="11"/>
      <c r="J1427" s="11"/>
      <c r="K1427" s="11"/>
      <c r="L1427" s="11"/>
      <c r="M1427" s="11"/>
      <c r="N1427" s="11"/>
      <c r="O1427" s="12"/>
      <c r="P1427" s="11"/>
      <c r="Q1427" s="13"/>
      <c r="R1427" s="14"/>
    </row>
    <row r="1428" spans="1:18" ht="15" customHeight="1">
      <c r="A1428" s="15" t="s">
        <v>38</v>
      </c>
      <c r="B1428" s="15" t="s">
        <v>813</v>
      </c>
      <c r="C1428" s="16">
        <v>0.94444444444444453</v>
      </c>
      <c r="D1428" s="15" t="s">
        <v>43</v>
      </c>
      <c r="E1428" s="15" t="s">
        <v>44</v>
      </c>
      <c r="F1428" s="15" t="s">
        <v>349</v>
      </c>
      <c r="G1428" s="298"/>
      <c r="H1428" s="10"/>
      <c r="I1428" s="11"/>
      <c r="J1428" s="11"/>
      <c r="K1428" s="11"/>
      <c r="L1428" s="11"/>
      <c r="M1428" s="11"/>
      <c r="N1428" s="11"/>
      <c r="O1428" s="12"/>
      <c r="P1428" s="11"/>
      <c r="Q1428" s="13"/>
      <c r="R1428" s="14"/>
    </row>
    <row r="1429" spans="1:18" ht="15" customHeight="1">
      <c r="A1429" s="15" t="s">
        <v>38</v>
      </c>
      <c r="B1429" s="15" t="s">
        <v>813</v>
      </c>
      <c r="C1429" s="16">
        <v>0.94444444444444453</v>
      </c>
      <c r="D1429" s="15" t="s">
        <v>46</v>
      </c>
      <c r="E1429" s="15" t="s">
        <v>44</v>
      </c>
      <c r="F1429" s="15" t="s">
        <v>810</v>
      </c>
      <c r="G1429" s="298"/>
      <c r="H1429" s="10"/>
      <c r="I1429" s="11"/>
      <c r="J1429" s="11"/>
      <c r="K1429" s="11"/>
      <c r="L1429" s="11"/>
      <c r="M1429" s="11"/>
      <c r="N1429" s="11"/>
      <c r="O1429" s="12"/>
      <c r="P1429" s="11"/>
      <c r="Q1429" s="13"/>
      <c r="R1429" s="14"/>
    </row>
    <row r="1430" spans="1:18" ht="15" customHeight="1">
      <c r="A1430" s="19" t="s">
        <v>68</v>
      </c>
      <c r="B1430" s="19" t="s">
        <v>842</v>
      </c>
      <c r="C1430" s="20">
        <v>0.98263888888888884</v>
      </c>
      <c r="D1430" s="19" t="s">
        <v>643</v>
      </c>
      <c r="E1430" s="19" t="s">
        <v>29</v>
      </c>
      <c r="F1430" s="19" t="s">
        <v>891</v>
      </c>
      <c r="G1430" s="298"/>
      <c r="H1430" s="10"/>
      <c r="I1430" s="11"/>
      <c r="J1430" s="11"/>
      <c r="K1430" s="11"/>
      <c r="L1430" s="11"/>
      <c r="M1430" s="11"/>
      <c r="N1430" s="11"/>
      <c r="O1430" s="12"/>
      <c r="P1430" s="11"/>
      <c r="Q1430" s="13"/>
      <c r="R1430" s="14"/>
    </row>
    <row r="1431" spans="1:18" ht="15" customHeight="1">
      <c r="A1431" s="17" t="s">
        <v>68</v>
      </c>
      <c r="B1431" s="17" t="s">
        <v>843</v>
      </c>
      <c r="C1431" s="18">
        <v>0.35416666666666669</v>
      </c>
      <c r="D1431" s="17" t="s">
        <v>70</v>
      </c>
      <c r="E1431" s="17" t="s">
        <v>57</v>
      </c>
      <c r="F1431" s="17" t="s">
        <v>404</v>
      </c>
      <c r="G1431" s="298"/>
      <c r="H1431" s="10"/>
      <c r="I1431" s="11"/>
      <c r="J1431" s="11"/>
      <c r="K1431" s="11"/>
      <c r="L1431" s="11"/>
      <c r="M1431" s="11"/>
      <c r="N1431" s="11"/>
      <c r="O1431" s="12"/>
      <c r="P1431" s="11"/>
      <c r="Q1431" s="13"/>
      <c r="R1431" s="14"/>
    </row>
    <row r="1432" spans="1:18" ht="15" customHeight="1">
      <c r="A1432" s="17" t="s">
        <v>68</v>
      </c>
      <c r="B1432" s="17" t="s">
        <v>844</v>
      </c>
      <c r="C1432" s="18">
        <v>0.72916666666666663</v>
      </c>
      <c r="D1432" s="17" t="s">
        <v>70</v>
      </c>
      <c r="E1432" s="17" t="s">
        <v>57</v>
      </c>
      <c r="F1432" s="17" t="s">
        <v>892</v>
      </c>
      <c r="G1432" s="298"/>
      <c r="H1432" s="10"/>
      <c r="I1432" s="11"/>
      <c r="J1432" s="11"/>
      <c r="K1432" s="11"/>
      <c r="L1432" s="11"/>
      <c r="M1432" s="11"/>
      <c r="N1432" s="11"/>
      <c r="O1432" s="12"/>
      <c r="P1432" s="11"/>
      <c r="Q1432" s="13"/>
      <c r="R1432" s="14"/>
    </row>
    <row r="1433" spans="1:18" ht="15" customHeight="1">
      <c r="A1433" s="19" t="s">
        <v>26</v>
      </c>
      <c r="B1433" s="19" t="s">
        <v>820</v>
      </c>
      <c r="C1433" s="20">
        <v>0.4375</v>
      </c>
      <c r="D1433" s="19" t="s">
        <v>28</v>
      </c>
      <c r="E1433" s="19" t="s">
        <v>80</v>
      </c>
      <c r="F1433" s="19" t="s">
        <v>81</v>
      </c>
      <c r="G1433" s="298"/>
      <c r="H1433" s="10"/>
      <c r="I1433" s="11"/>
      <c r="J1433" s="11"/>
      <c r="K1433" s="11"/>
      <c r="L1433" s="11"/>
      <c r="M1433" s="11"/>
      <c r="N1433" s="11"/>
      <c r="O1433" s="12"/>
      <c r="P1433" s="11"/>
      <c r="Q1433" s="13"/>
      <c r="R1433" s="14"/>
    </row>
    <row r="1434" spans="1:18" ht="15" customHeight="1">
      <c r="A1434" s="15" t="s">
        <v>26</v>
      </c>
      <c r="B1434" s="15" t="s">
        <v>820</v>
      </c>
      <c r="C1434" s="16">
        <v>0.4375</v>
      </c>
      <c r="D1434" s="15" t="s">
        <v>31</v>
      </c>
      <c r="E1434" s="15" t="s">
        <v>82</v>
      </c>
      <c r="F1434" s="15" t="s">
        <v>83</v>
      </c>
      <c r="G1434" s="298"/>
      <c r="H1434" s="10"/>
      <c r="I1434" s="11"/>
      <c r="J1434" s="11"/>
      <c r="K1434" s="11"/>
      <c r="L1434" s="11"/>
      <c r="M1434" s="11"/>
      <c r="N1434" s="11"/>
      <c r="O1434" s="12"/>
      <c r="P1434" s="11"/>
      <c r="Q1434" s="13"/>
      <c r="R1434" s="14"/>
    </row>
    <row r="1435" spans="1:18" ht="15" customHeight="1">
      <c r="A1435" s="15" t="s">
        <v>26</v>
      </c>
      <c r="B1435" s="15" t="s">
        <v>820</v>
      </c>
      <c r="C1435" s="16">
        <v>0.4375</v>
      </c>
      <c r="D1435" s="15" t="s">
        <v>34</v>
      </c>
      <c r="E1435" s="15" t="s">
        <v>82</v>
      </c>
      <c r="F1435" s="15" t="s">
        <v>45</v>
      </c>
      <c r="G1435" s="298"/>
      <c r="H1435" s="10"/>
      <c r="I1435" s="11"/>
      <c r="J1435" s="11"/>
      <c r="K1435" s="11"/>
      <c r="L1435" s="11"/>
      <c r="M1435" s="11"/>
      <c r="N1435" s="11"/>
      <c r="O1435" s="12"/>
      <c r="P1435" s="11"/>
      <c r="Q1435" s="13"/>
      <c r="R1435" s="14"/>
    </row>
    <row r="1436" spans="1:18" ht="15" customHeight="1">
      <c r="A1436" s="17" t="s">
        <v>26</v>
      </c>
      <c r="B1436" s="17" t="s">
        <v>826</v>
      </c>
      <c r="C1436" s="18">
        <v>0.95833333333333337</v>
      </c>
      <c r="D1436" s="17" t="s">
        <v>28</v>
      </c>
      <c r="E1436" s="17" t="s">
        <v>90</v>
      </c>
      <c r="F1436" s="17" t="s">
        <v>81</v>
      </c>
      <c r="G1436" s="298"/>
      <c r="H1436" s="10"/>
      <c r="I1436" s="11"/>
      <c r="J1436" s="11"/>
      <c r="K1436" s="11"/>
      <c r="L1436" s="11"/>
      <c r="M1436" s="11"/>
      <c r="N1436" s="11"/>
      <c r="O1436" s="12"/>
      <c r="P1436" s="11"/>
      <c r="Q1436" s="13"/>
      <c r="R1436" s="14"/>
    </row>
    <row r="1437" spans="1:18" ht="15" customHeight="1">
      <c r="A1437" s="15" t="s">
        <v>26</v>
      </c>
      <c r="B1437" s="15" t="s">
        <v>826</v>
      </c>
      <c r="C1437" s="16">
        <v>0.95833333333333337</v>
      </c>
      <c r="D1437" s="15" t="s">
        <v>31</v>
      </c>
      <c r="E1437" s="15" t="s">
        <v>82</v>
      </c>
      <c r="F1437" s="15" t="s">
        <v>83</v>
      </c>
      <c r="G1437" s="298"/>
      <c r="H1437" s="10"/>
      <c r="I1437" s="11"/>
      <c r="J1437" s="11"/>
      <c r="K1437" s="11"/>
      <c r="L1437" s="11"/>
      <c r="M1437" s="11"/>
      <c r="N1437" s="11"/>
      <c r="O1437" s="12"/>
      <c r="P1437" s="11"/>
      <c r="Q1437" s="13"/>
      <c r="R1437" s="14"/>
    </row>
    <row r="1438" spans="1:18" ht="15" customHeight="1">
      <c r="A1438" s="15" t="s">
        <v>26</v>
      </c>
      <c r="B1438" s="15" t="s">
        <v>826</v>
      </c>
      <c r="C1438" s="16">
        <v>0.95833333333333337</v>
      </c>
      <c r="D1438" s="15" t="s">
        <v>34</v>
      </c>
      <c r="E1438" s="15" t="s">
        <v>82</v>
      </c>
      <c r="F1438" s="15" t="s">
        <v>45</v>
      </c>
      <c r="G1438" s="298"/>
      <c r="H1438" s="10"/>
      <c r="I1438" s="11"/>
      <c r="J1438" s="11"/>
      <c r="K1438" s="11"/>
      <c r="L1438" s="11"/>
      <c r="M1438" s="11"/>
      <c r="N1438" s="11"/>
      <c r="O1438" s="12"/>
      <c r="P1438" s="11"/>
      <c r="Q1438" s="13"/>
      <c r="R1438" s="14"/>
    </row>
    <row r="1439" spans="1:18" ht="15" customHeight="1">
      <c r="A1439" s="17" t="s">
        <v>26</v>
      </c>
      <c r="B1439" s="17" t="s">
        <v>821</v>
      </c>
      <c r="C1439" s="18">
        <v>0.63194444444444442</v>
      </c>
      <c r="D1439" s="17" t="s">
        <v>28</v>
      </c>
      <c r="E1439" s="17" t="s">
        <v>90</v>
      </c>
      <c r="F1439" s="17" t="s">
        <v>81</v>
      </c>
      <c r="G1439" s="298"/>
      <c r="H1439" s="10"/>
      <c r="I1439" s="11"/>
      <c r="J1439" s="11"/>
      <c r="K1439" s="11"/>
      <c r="L1439" s="11"/>
      <c r="M1439" s="11"/>
      <c r="N1439" s="11"/>
      <c r="O1439" s="12"/>
      <c r="P1439" s="11"/>
      <c r="Q1439" s="13"/>
      <c r="R1439" s="14"/>
    </row>
    <row r="1440" spans="1:18" ht="15" customHeight="1">
      <c r="A1440" s="15" t="s">
        <v>26</v>
      </c>
      <c r="B1440" s="15" t="s">
        <v>821</v>
      </c>
      <c r="C1440" s="16">
        <v>0.63194444444444442</v>
      </c>
      <c r="D1440" s="15" t="s">
        <v>31</v>
      </c>
      <c r="E1440" s="15" t="s">
        <v>82</v>
      </c>
      <c r="F1440" s="15" t="s">
        <v>83</v>
      </c>
      <c r="G1440" s="298"/>
      <c r="H1440" s="10"/>
      <c r="I1440" s="11"/>
      <c r="J1440" s="11"/>
      <c r="K1440" s="11"/>
      <c r="L1440" s="11"/>
      <c r="M1440" s="11"/>
      <c r="N1440" s="11"/>
      <c r="O1440" s="12"/>
      <c r="P1440" s="11"/>
      <c r="Q1440" s="13"/>
      <c r="R1440" s="14"/>
    </row>
    <row r="1441" spans="1:18" ht="15" customHeight="1">
      <c r="A1441" s="15" t="s">
        <v>26</v>
      </c>
      <c r="B1441" s="15" t="s">
        <v>821</v>
      </c>
      <c r="C1441" s="16">
        <v>0.63194444444444442</v>
      </c>
      <c r="D1441" s="15" t="s">
        <v>34</v>
      </c>
      <c r="E1441" s="15" t="s">
        <v>82</v>
      </c>
      <c r="F1441" s="15" t="s">
        <v>45</v>
      </c>
      <c r="G1441" s="298"/>
      <c r="H1441" s="10"/>
      <c r="I1441" s="11"/>
      <c r="J1441" s="11"/>
      <c r="K1441" s="11"/>
      <c r="L1441" s="11"/>
      <c r="M1441" s="11"/>
      <c r="N1441" s="11"/>
      <c r="O1441" s="12"/>
      <c r="P1441" s="11"/>
      <c r="Q1441" s="13"/>
      <c r="R1441" s="14"/>
    </row>
    <row r="1442" spans="1:18" ht="15" customHeight="1">
      <c r="A1442" s="17" t="s">
        <v>26</v>
      </c>
      <c r="B1442" s="17" t="s">
        <v>822</v>
      </c>
      <c r="C1442" s="18">
        <v>0.55902777777777779</v>
      </c>
      <c r="D1442" s="17" t="s">
        <v>28</v>
      </c>
      <c r="E1442" s="17" t="s">
        <v>90</v>
      </c>
      <c r="F1442" s="17" t="s">
        <v>81</v>
      </c>
      <c r="G1442" s="298"/>
      <c r="H1442" s="10"/>
      <c r="I1442" s="11"/>
      <c r="J1442" s="11"/>
      <c r="K1442" s="11"/>
      <c r="L1442" s="11"/>
      <c r="M1442" s="11"/>
      <c r="N1442" s="11"/>
      <c r="O1442" s="12"/>
      <c r="P1442" s="11"/>
      <c r="Q1442" s="13"/>
      <c r="R1442" s="14"/>
    </row>
    <row r="1443" spans="1:18" ht="15" customHeight="1">
      <c r="A1443" s="15" t="s">
        <v>26</v>
      </c>
      <c r="B1443" s="15" t="s">
        <v>822</v>
      </c>
      <c r="C1443" s="16">
        <v>0.55902777777777779</v>
      </c>
      <c r="D1443" s="15" t="s">
        <v>31</v>
      </c>
      <c r="E1443" s="15" t="s">
        <v>82</v>
      </c>
      <c r="F1443" s="15" t="s">
        <v>83</v>
      </c>
      <c r="G1443" s="298"/>
      <c r="H1443" s="10"/>
      <c r="I1443" s="11"/>
      <c r="J1443" s="11"/>
      <c r="K1443" s="11"/>
      <c r="L1443" s="11"/>
      <c r="M1443" s="11"/>
      <c r="N1443" s="11"/>
      <c r="O1443" s="12"/>
      <c r="P1443" s="11"/>
      <c r="Q1443" s="13"/>
      <c r="R1443" s="14"/>
    </row>
    <row r="1444" spans="1:18" ht="15" customHeight="1">
      <c r="A1444" s="15" t="s">
        <v>26</v>
      </c>
      <c r="B1444" s="15" t="s">
        <v>822</v>
      </c>
      <c r="C1444" s="16">
        <v>0.55902777777777779</v>
      </c>
      <c r="D1444" s="15" t="s">
        <v>34</v>
      </c>
      <c r="E1444" s="15" t="s">
        <v>82</v>
      </c>
      <c r="F1444" s="15" t="s">
        <v>45</v>
      </c>
      <c r="G1444" s="298"/>
      <c r="H1444" s="10"/>
      <c r="I1444" s="11"/>
      <c r="J1444" s="11"/>
      <c r="K1444" s="11"/>
      <c r="L1444" s="11"/>
      <c r="M1444" s="11"/>
      <c r="N1444" s="11"/>
      <c r="O1444" s="12"/>
      <c r="P1444" s="11"/>
      <c r="Q1444" s="13"/>
      <c r="R1444" s="14"/>
    </row>
    <row r="1445" spans="1:18" ht="15" customHeight="1">
      <c r="A1445" s="17" t="s">
        <v>26</v>
      </c>
      <c r="B1445" s="17" t="s">
        <v>823</v>
      </c>
      <c r="C1445" s="18">
        <v>0.81944444444444453</v>
      </c>
      <c r="D1445" s="17" t="s">
        <v>28</v>
      </c>
      <c r="E1445" s="17" t="s">
        <v>90</v>
      </c>
      <c r="F1445" s="17" t="s">
        <v>81</v>
      </c>
      <c r="G1445" s="298"/>
      <c r="H1445" s="10"/>
      <c r="I1445" s="11"/>
      <c r="J1445" s="11"/>
      <c r="K1445" s="11"/>
      <c r="L1445" s="11"/>
      <c r="M1445" s="11"/>
      <c r="N1445" s="11"/>
      <c r="O1445" s="12"/>
      <c r="P1445" s="11"/>
      <c r="Q1445" s="13"/>
      <c r="R1445" s="14"/>
    </row>
    <row r="1446" spans="1:18" ht="15" customHeight="1">
      <c r="A1446" s="15" t="s">
        <v>26</v>
      </c>
      <c r="B1446" s="15" t="s">
        <v>823</v>
      </c>
      <c r="C1446" s="16">
        <v>0.81944444444444453</v>
      </c>
      <c r="D1446" s="15" t="s">
        <v>31</v>
      </c>
      <c r="E1446" s="15" t="s">
        <v>82</v>
      </c>
      <c r="F1446" s="15" t="s">
        <v>83</v>
      </c>
      <c r="G1446" s="298"/>
      <c r="H1446" s="10"/>
      <c r="I1446" s="11"/>
      <c r="J1446" s="11"/>
      <c r="K1446" s="11"/>
      <c r="L1446" s="11"/>
      <c r="M1446" s="11"/>
      <c r="N1446" s="11"/>
      <c r="O1446" s="12"/>
      <c r="P1446" s="11"/>
      <c r="Q1446" s="13"/>
      <c r="R1446" s="14"/>
    </row>
    <row r="1447" spans="1:18" ht="15" customHeight="1">
      <c r="A1447" s="15" t="s">
        <v>26</v>
      </c>
      <c r="B1447" s="15" t="s">
        <v>823</v>
      </c>
      <c r="C1447" s="16">
        <v>0.81944444444444453</v>
      </c>
      <c r="D1447" s="15" t="s">
        <v>34</v>
      </c>
      <c r="E1447" s="15" t="s">
        <v>82</v>
      </c>
      <c r="F1447" s="15" t="s">
        <v>45</v>
      </c>
      <c r="G1447" s="298"/>
      <c r="H1447" s="10"/>
      <c r="I1447" s="11"/>
      <c r="J1447" s="11"/>
      <c r="K1447" s="11"/>
      <c r="L1447" s="11"/>
      <c r="M1447" s="11"/>
      <c r="N1447" s="11"/>
      <c r="O1447" s="12"/>
      <c r="P1447" s="11"/>
      <c r="Q1447" s="13"/>
      <c r="R1447" s="14"/>
    </row>
    <row r="1448" spans="1:18" ht="15" customHeight="1">
      <c r="A1448" s="17" t="s">
        <v>26</v>
      </c>
      <c r="B1448" s="17" t="s">
        <v>824</v>
      </c>
      <c r="C1448" s="18">
        <v>0.50694444444444442</v>
      </c>
      <c r="D1448" s="17" t="s">
        <v>28</v>
      </c>
      <c r="E1448" s="17" t="s">
        <v>90</v>
      </c>
      <c r="F1448" s="17" t="s">
        <v>81</v>
      </c>
      <c r="G1448" s="298"/>
      <c r="H1448" s="10"/>
      <c r="I1448" s="11"/>
      <c r="J1448" s="11"/>
      <c r="K1448" s="11"/>
      <c r="L1448" s="11"/>
      <c r="M1448" s="11"/>
      <c r="N1448" s="11"/>
      <c r="O1448" s="12"/>
      <c r="P1448" s="11"/>
      <c r="Q1448" s="13"/>
      <c r="R1448" s="14"/>
    </row>
    <row r="1449" spans="1:18" ht="15" customHeight="1">
      <c r="A1449" s="15" t="s">
        <v>26</v>
      </c>
      <c r="B1449" s="15" t="s">
        <v>824</v>
      </c>
      <c r="C1449" s="16">
        <v>0.50694444444444442</v>
      </c>
      <c r="D1449" s="15" t="s">
        <v>31</v>
      </c>
      <c r="E1449" s="15" t="s">
        <v>82</v>
      </c>
      <c r="F1449" s="15" t="s">
        <v>83</v>
      </c>
      <c r="G1449" s="298"/>
      <c r="H1449" s="10"/>
      <c r="I1449" s="11"/>
      <c r="J1449" s="11"/>
      <c r="K1449" s="11"/>
      <c r="L1449" s="11"/>
      <c r="M1449" s="11"/>
      <c r="N1449" s="11"/>
      <c r="O1449" s="12"/>
      <c r="P1449" s="11"/>
      <c r="Q1449" s="13"/>
      <c r="R1449" s="14"/>
    </row>
    <row r="1450" spans="1:18" ht="15" customHeight="1">
      <c r="A1450" s="15" t="s">
        <v>26</v>
      </c>
      <c r="B1450" s="15" t="s">
        <v>824</v>
      </c>
      <c r="C1450" s="16">
        <v>0.50694444444444442</v>
      </c>
      <c r="D1450" s="15" t="s">
        <v>34</v>
      </c>
      <c r="E1450" s="15" t="s">
        <v>82</v>
      </c>
      <c r="F1450" s="15" t="s">
        <v>45</v>
      </c>
      <c r="G1450" s="298"/>
      <c r="H1450" s="10"/>
      <c r="I1450" s="11"/>
      <c r="J1450" s="11"/>
      <c r="K1450" s="11"/>
      <c r="L1450" s="11"/>
      <c r="M1450" s="11"/>
      <c r="N1450" s="11"/>
      <c r="O1450" s="12"/>
      <c r="P1450" s="11"/>
      <c r="Q1450" s="13"/>
      <c r="R1450" s="14"/>
    </row>
    <row r="1451" spans="1:18" ht="15" customHeight="1">
      <c r="A1451" s="17" t="s">
        <v>26</v>
      </c>
      <c r="B1451" s="17" t="s">
        <v>825</v>
      </c>
      <c r="C1451" s="18">
        <v>0.69791666666666663</v>
      </c>
      <c r="D1451" s="17" t="s">
        <v>28</v>
      </c>
      <c r="E1451" s="17" t="s">
        <v>90</v>
      </c>
      <c r="F1451" s="17" t="s">
        <v>81</v>
      </c>
      <c r="G1451" s="298"/>
      <c r="H1451" s="10"/>
      <c r="I1451" s="11"/>
      <c r="J1451" s="11"/>
      <c r="K1451" s="11"/>
      <c r="L1451" s="11"/>
      <c r="M1451" s="11"/>
      <c r="N1451" s="11"/>
      <c r="O1451" s="12"/>
      <c r="P1451" s="11"/>
      <c r="Q1451" s="13"/>
      <c r="R1451" s="14"/>
    </row>
    <row r="1452" spans="1:18" ht="15" customHeight="1">
      <c r="A1452" s="15" t="s">
        <v>26</v>
      </c>
      <c r="B1452" s="15" t="s">
        <v>825</v>
      </c>
      <c r="C1452" s="16">
        <v>0.69791666666666663</v>
      </c>
      <c r="D1452" s="15" t="s">
        <v>31</v>
      </c>
      <c r="E1452" s="15" t="s">
        <v>82</v>
      </c>
      <c r="F1452" s="15" t="s">
        <v>83</v>
      </c>
      <c r="G1452" s="298"/>
      <c r="H1452" s="10"/>
      <c r="I1452" s="11"/>
      <c r="J1452" s="11"/>
      <c r="K1452" s="11"/>
      <c r="L1452" s="11"/>
      <c r="M1452" s="11"/>
      <c r="N1452" s="11"/>
      <c r="O1452" s="12"/>
      <c r="P1452" s="11"/>
      <c r="Q1452" s="13"/>
      <c r="R1452" s="14"/>
    </row>
    <row r="1453" spans="1:18" ht="15" customHeight="1">
      <c r="A1453" s="15" t="s">
        <v>26</v>
      </c>
      <c r="B1453" s="15" t="s">
        <v>825</v>
      </c>
      <c r="C1453" s="16">
        <v>0.69791666666666663</v>
      </c>
      <c r="D1453" s="15" t="s">
        <v>34</v>
      </c>
      <c r="E1453" s="15" t="s">
        <v>82</v>
      </c>
      <c r="F1453" s="15" t="s">
        <v>45</v>
      </c>
      <c r="G1453" s="298"/>
      <c r="H1453" s="10"/>
      <c r="I1453" s="11"/>
      <c r="J1453" s="11"/>
      <c r="K1453" s="11"/>
      <c r="L1453" s="11"/>
      <c r="M1453" s="11"/>
      <c r="N1453" s="11"/>
      <c r="O1453" s="12"/>
      <c r="P1453" s="11"/>
      <c r="Q1453" s="13"/>
      <c r="R1453" s="14"/>
    </row>
    <row r="1454" spans="1:18" ht="15" customHeight="1">
      <c r="A1454" s="98" t="s">
        <v>61</v>
      </c>
      <c r="B1454" s="98" t="s">
        <v>852</v>
      </c>
      <c r="C1454" s="99">
        <v>0.71527777777777779</v>
      </c>
      <c r="D1454" s="98" t="s">
        <v>63</v>
      </c>
      <c r="E1454" s="98" t="s">
        <v>103</v>
      </c>
      <c r="F1454" s="98" t="s">
        <v>849</v>
      </c>
      <c r="G1454" s="298"/>
      <c r="H1454" s="100" t="s">
        <v>854</v>
      </c>
      <c r="I1454" s="101">
        <v>1.12E-2</v>
      </c>
      <c r="J1454" s="102">
        <v>2</v>
      </c>
      <c r="K1454" s="103">
        <v>46330</v>
      </c>
      <c r="L1454" s="102">
        <v>2</v>
      </c>
      <c r="M1454" s="102">
        <v>0</v>
      </c>
      <c r="N1454" s="102">
        <v>0</v>
      </c>
      <c r="O1454" s="104" t="s">
        <v>968</v>
      </c>
      <c r="P1454" s="105">
        <v>0.71527777777777779</v>
      </c>
      <c r="Q1454" s="102">
        <v>179</v>
      </c>
      <c r="R1454" s="106" t="s">
        <v>969</v>
      </c>
    </row>
    <row r="1455" spans="1:18" ht="15" customHeight="1">
      <c r="A1455" s="19" t="s">
        <v>359</v>
      </c>
      <c r="B1455" s="19" t="s">
        <v>814</v>
      </c>
      <c r="C1455" s="20">
        <v>0.4375</v>
      </c>
      <c r="D1455" s="19" t="s">
        <v>361</v>
      </c>
      <c r="E1455" s="19" t="s">
        <v>80</v>
      </c>
      <c r="F1455" s="19" t="s">
        <v>949</v>
      </c>
      <c r="G1455" s="298"/>
      <c r="H1455" s="10"/>
      <c r="I1455" s="11"/>
      <c r="J1455" s="11"/>
      <c r="K1455" s="11"/>
      <c r="L1455" s="11"/>
      <c r="M1455" s="11"/>
      <c r="N1455" s="11"/>
      <c r="O1455" s="12"/>
      <c r="P1455" s="11"/>
      <c r="Q1455" s="13"/>
      <c r="R1455" s="14"/>
    </row>
    <row r="1456" spans="1:18" ht="15" customHeight="1">
      <c r="A1456" s="15" t="s">
        <v>359</v>
      </c>
      <c r="B1456" s="15" t="s">
        <v>814</v>
      </c>
      <c r="C1456" s="16">
        <v>0.4375</v>
      </c>
      <c r="D1456" s="15" t="s">
        <v>46</v>
      </c>
      <c r="E1456" s="15" t="s">
        <v>82</v>
      </c>
      <c r="F1456" s="15" t="s">
        <v>950</v>
      </c>
      <c r="G1456" s="298"/>
      <c r="H1456" s="10"/>
      <c r="I1456" s="11"/>
      <c r="J1456" s="11"/>
      <c r="K1456" s="11"/>
      <c r="L1456" s="11"/>
      <c r="M1456" s="11"/>
      <c r="N1456" s="11"/>
      <c r="O1456" s="12"/>
      <c r="P1456" s="11"/>
      <c r="Q1456" s="13"/>
      <c r="R1456" s="14"/>
    </row>
    <row r="1457" spans="1:18" ht="15" customHeight="1">
      <c r="A1457" s="17" t="s">
        <v>359</v>
      </c>
      <c r="B1457" s="17" t="s">
        <v>887</v>
      </c>
      <c r="C1457" s="18">
        <v>5.2083333333333343E-2</v>
      </c>
      <c r="D1457" s="17" t="s">
        <v>361</v>
      </c>
      <c r="E1457" s="17" t="s">
        <v>90</v>
      </c>
      <c r="F1457" s="17" t="s">
        <v>949</v>
      </c>
      <c r="G1457" s="298"/>
      <c r="H1457" s="10"/>
      <c r="I1457" s="11"/>
      <c r="J1457" s="11"/>
      <c r="K1457" s="11"/>
      <c r="L1457" s="11"/>
      <c r="M1457" s="11"/>
      <c r="N1457" s="11"/>
      <c r="O1457" s="12"/>
      <c r="P1457" s="11"/>
      <c r="Q1457" s="13"/>
      <c r="R1457" s="14"/>
    </row>
    <row r="1458" spans="1:18" ht="15" customHeight="1">
      <c r="A1458" s="15" t="s">
        <v>359</v>
      </c>
      <c r="B1458" s="15" t="s">
        <v>887</v>
      </c>
      <c r="C1458" s="16">
        <v>5.2083333333333343E-2</v>
      </c>
      <c r="D1458" s="15" t="s">
        <v>46</v>
      </c>
      <c r="E1458" s="15" t="s">
        <v>82</v>
      </c>
      <c r="F1458" s="15" t="s">
        <v>950</v>
      </c>
      <c r="G1458" s="298"/>
      <c r="H1458" s="10"/>
      <c r="I1458" s="11"/>
      <c r="J1458" s="11"/>
      <c r="K1458" s="11"/>
      <c r="L1458" s="11"/>
      <c r="M1458" s="11"/>
      <c r="N1458" s="11"/>
      <c r="O1458" s="12"/>
      <c r="P1458" s="11"/>
      <c r="Q1458" s="13"/>
      <c r="R1458" s="14"/>
    </row>
    <row r="1459" spans="1:18" ht="15" customHeight="1">
      <c r="A1459" s="19" t="s">
        <v>402</v>
      </c>
      <c r="B1459" s="19" t="s">
        <v>839</v>
      </c>
      <c r="C1459" s="20">
        <v>0.1701388888888889</v>
      </c>
      <c r="D1459" s="19" t="s">
        <v>63</v>
      </c>
      <c r="E1459" s="19" t="s">
        <v>107</v>
      </c>
      <c r="F1459" s="19" t="s">
        <v>881</v>
      </c>
      <c r="G1459" s="298"/>
      <c r="H1459" s="10"/>
      <c r="I1459" s="11"/>
      <c r="J1459" s="11"/>
      <c r="K1459" s="11"/>
      <c r="L1459" s="11"/>
      <c r="M1459" s="11"/>
      <c r="N1459" s="11"/>
      <c r="O1459" s="12"/>
      <c r="P1459" s="11"/>
      <c r="Q1459" s="13"/>
      <c r="R1459" s="14"/>
    </row>
    <row r="1460" spans="1:18" ht="15" customHeight="1">
      <c r="A1460" s="19" t="s">
        <v>48</v>
      </c>
      <c r="B1460" s="19" t="s">
        <v>835</v>
      </c>
      <c r="C1460" s="20">
        <v>0.88888888888888884</v>
      </c>
      <c r="D1460" s="19" t="s">
        <v>53</v>
      </c>
      <c r="E1460" s="19" t="s">
        <v>29</v>
      </c>
      <c r="F1460" s="19" t="s">
        <v>836</v>
      </c>
      <c r="G1460" s="298"/>
      <c r="H1460" s="10"/>
      <c r="I1460" s="11"/>
      <c r="J1460" s="11"/>
      <c r="K1460" s="11"/>
      <c r="L1460" s="11"/>
      <c r="M1460" s="11"/>
      <c r="N1460" s="11"/>
      <c r="O1460" s="12"/>
      <c r="P1460" s="11"/>
      <c r="Q1460" s="13"/>
      <c r="R1460" s="14"/>
    </row>
    <row r="1461" spans="1:18" ht="15" customHeight="1">
      <c r="A1461" s="17" t="s">
        <v>48</v>
      </c>
      <c r="B1461" s="17" t="s">
        <v>837</v>
      </c>
      <c r="C1461" s="18">
        <v>0.62847222222222221</v>
      </c>
      <c r="D1461" s="17" t="s">
        <v>53</v>
      </c>
      <c r="E1461" s="17" t="s">
        <v>37</v>
      </c>
      <c r="F1461" s="17" t="s">
        <v>836</v>
      </c>
      <c r="G1461" s="298"/>
      <c r="H1461" s="10"/>
      <c r="I1461" s="11"/>
      <c r="J1461" s="11"/>
      <c r="K1461" s="11"/>
      <c r="L1461" s="11"/>
      <c r="M1461" s="11"/>
      <c r="N1461" s="11"/>
      <c r="O1461" s="12"/>
      <c r="P1461" s="11"/>
      <c r="Q1461" s="13"/>
      <c r="R1461" s="14"/>
    </row>
    <row r="1462" spans="1:18" ht="15" customHeight="1">
      <c r="A1462" s="17" t="s">
        <v>48</v>
      </c>
      <c r="B1462" s="17" t="s">
        <v>838</v>
      </c>
      <c r="C1462" s="18">
        <v>0.94444444444444453</v>
      </c>
      <c r="D1462" s="17" t="s">
        <v>53</v>
      </c>
      <c r="E1462" s="17" t="s">
        <v>37</v>
      </c>
      <c r="F1462" s="17" t="s">
        <v>836</v>
      </c>
      <c r="G1462" s="298"/>
      <c r="H1462" s="10"/>
      <c r="I1462" s="11"/>
      <c r="J1462" s="11"/>
      <c r="K1462" s="11"/>
      <c r="L1462" s="11"/>
      <c r="M1462" s="11"/>
      <c r="N1462" s="11"/>
      <c r="O1462" s="12"/>
      <c r="P1462" s="11"/>
      <c r="Q1462" s="13"/>
      <c r="R1462" s="14"/>
    </row>
    <row r="1463" spans="1:18" ht="15" customHeight="1">
      <c r="A1463" s="17" t="s">
        <v>48</v>
      </c>
      <c r="B1463" s="17" t="s">
        <v>833</v>
      </c>
      <c r="C1463" s="18">
        <v>0.44444444444444442</v>
      </c>
      <c r="D1463" s="17" t="s">
        <v>53</v>
      </c>
      <c r="E1463" s="17" t="s">
        <v>57</v>
      </c>
      <c r="F1463" s="17" t="s">
        <v>870</v>
      </c>
      <c r="G1463" s="298"/>
      <c r="H1463" s="10"/>
      <c r="I1463" s="11"/>
      <c r="J1463" s="11"/>
      <c r="K1463" s="11"/>
      <c r="L1463" s="11"/>
      <c r="M1463" s="11"/>
      <c r="N1463" s="11"/>
      <c r="O1463" s="12"/>
      <c r="P1463" s="11"/>
      <c r="Q1463" s="13"/>
      <c r="R1463" s="14"/>
    </row>
    <row r="1464" spans="1:18" ht="15" customHeight="1">
      <c r="A1464" s="17" t="s">
        <v>48</v>
      </c>
      <c r="B1464" s="17" t="s">
        <v>828</v>
      </c>
      <c r="C1464" s="18">
        <v>0.82986111111111116</v>
      </c>
      <c r="D1464" s="17" t="s">
        <v>53</v>
      </c>
      <c r="E1464" s="17" t="s">
        <v>57</v>
      </c>
      <c r="F1464" s="17" t="s">
        <v>870</v>
      </c>
      <c r="G1464" s="298"/>
      <c r="H1464" s="10"/>
      <c r="I1464" s="11"/>
      <c r="J1464" s="11"/>
      <c r="K1464" s="11"/>
      <c r="L1464" s="11"/>
      <c r="M1464" s="11"/>
      <c r="N1464" s="11"/>
      <c r="O1464" s="12"/>
      <c r="P1464" s="11"/>
      <c r="Q1464" s="13"/>
      <c r="R1464" s="14"/>
    </row>
    <row r="1465" spans="1:18" ht="15" customHeight="1">
      <c r="A1465" s="17" t="s">
        <v>48</v>
      </c>
      <c r="B1465" s="17" t="s">
        <v>831</v>
      </c>
      <c r="C1465" s="18">
        <v>0.98263888888888884</v>
      </c>
      <c r="D1465" s="17" t="s">
        <v>53</v>
      </c>
      <c r="E1465" s="17" t="s">
        <v>57</v>
      </c>
      <c r="F1465" s="17" t="s">
        <v>870</v>
      </c>
      <c r="G1465" s="298"/>
      <c r="H1465" s="10"/>
      <c r="I1465" s="11"/>
      <c r="J1465" s="11"/>
      <c r="K1465" s="11"/>
      <c r="L1465" s="11"/>
      <c r="M1465" s="11"/>
      <c r="N1465" s="11"/>
      <c r="O1465" s="12"/>
      <c r="P1465" s="11"/>
      <c r="Q1465" s="13"/>
      <c r="R1465" s="14"/>
    </row>
    <row r="1466" spans="1:18" ht="15" customHeight="1">
      <c r="A1466" s="17" t="s">
        <v>48</v>
      </c>
      <c r="B1466" s="17" t="s">
        <v>875</v>
      </c>
      <c r="C1466" s="18">
        <v>0.69791666666666663</v>
      </c>
      <c r="D1466" s="17" t="s">
        <v>53</v>
      </c>
      <c r="E1466" s="17" t="s">
        <v>57</v>
      </c>
      <c r="F1466" s="17" t="s">
        <v>870</v>
      </c>
      <c r="G1466" s="298"/>
      <c r="H1466" s="10"/>
      <c r="I1466" s="11"/>
      <c r="J1466" s="11"/>
      <c r="K1466" s="11"/>
      <c r="L1466" s="11"/>
      <c r="M1466" s="11"/>
      <c r="N1466" s="11"/>
      <c r="O1466" s="12"/>
      <c r="P1466" s="11"/>
      <c r="Q1466" s="13"/>
      <c r="R1466" s="14"/>
    </row>
    <row r="1467" spans="1:18" ht="15" customHeight="1" thickBot="1">
      <c r="A1467" s="30" t="s">
        <v>48</v>
      </c>
      <c r="B1467" s="30" t="s">
        <v>832</v>
      </c>
      <c r="C1467" s="31">
        <v>0.62847222222222221</v>
      </c>
      <c r="D1467" s="30" t="s">
        <v>53</v>
      </c>
      <c r="E1467" s="30" t="s">
        <v>57</v>
      </c>
      <c r="F1467" s="30" t="s">
        <v>870</v>
      </c>
      <c r="G1467" s="299"/>
      <c r="H1467" s="300"/>
      <c r="I1467" s="140"/>
      <c r="J1467" s="140"/>
      <c r="K1467" s="140"/>
      <c r="L1467" s="140"/>
      <c r="M1467" s="140"/>
      <c r="N1467" s="140"/>
      <c r="O1467" s="141"/>
      <c r="P1467" s="140"/>
      <c r="Q1467" s="142"/>
      <c r="R1467" s="301"/>
    </row>
    <row r="1468" spans="1:18" ht="17.45" customHeight="1" thickBot="1">
      <c r="A1468" s="283"/>
      <c r="B1468" s="284"/>
      <c r="C1468" s="284"/>
      <c r="D1468" s="284"/>
      <c r="E1468" s="284"/>
      <c r="F1468" s="284"/>
      <c r="G1468" s="284"/>
      <c r="H1468" s="284"/>
      <c r="I1468" s="284"/>
      <c r="J1468" s="284"/>
      <c r="K1468" s="284"/>
      <c r="L1468" s="284"/>
      <c r="M1468" s="284"/>
      <c r="N1468" s="284"/>
      <c r="O1468" s="284"/>
      <c r="P1468" s="284"/>
      <c r="Q1468" s="284"/>
      <c r="R1468" s="285"/>
    </row>
    <row r="1469" spans="1:18" ht="22.15" customHeight="1" thickTop="1" thickBot="1">
      <c r="A1469" s="279" t="s">
        <v>6</v>
      </c>
      <c r="B1469" s="295"/>
      <c r="C1469" s="295"/>
      <c r="D1469" s="295"/>
      <c r="E1469" s="295"/>
      <c r="F1469" s="296"/>
      <c r="G1469" s="32">
        <v>46050</v>
      </c>
      <c r="H1469" s="278" t="s">
        <v>7</v>
      </c>
      <c r="I1469" s="295"/>
      <c r="J1469" s="295"/>
      <c r="K1469" s="295"/>
      <c r="L1469" s="295"/>
      <c r="M1469" s="295"/>
      <c r="N1469" s="295"/>
      <c r="O1469" s="295"/>
      <c r="P1469" s="295"/>
      <c r="Q1469" s="295"/>
      <c r="R1469" s="296"/>
    </row>
    <row r="1470" spans="1:18" ht="24" customHeight="1">
      <c r="A1470" s="33" t="s">
        <v>8</v>
      </c>
      <c r="B1470" s="33" t="s">
        <v>9</v>
      </c>
      <c r="C1470" s="34" t="s">
        <v>10</v>
      </c>
      <c r="D1470" s="33" t="s">
        <v>11</v>
      </c>
      <c r="E1470" s="33" t="s">
        <v>12</v>
      </c>
      <c r="F1470" s="35" t="s">
        <v>13</v>
      </c>
      <c r="G1470" s="36" t="s">
        <v>14</v>
      </c>
      <c r="H1470" s="33" t="s">
        <v>15</v>
      </c>
      <c r="I1470" s="37" t="s">
        <v>16</v>
      </c>
      <c r="J1470" s="38" t="s">
        <v>17</v>
      </c>
      <c r="K1470" s="39" t="s">
        <v>18</v>
      </c>
      <c r="L1470" s="38" t="s">
        <v>19</v>
      </c>
      <c r="M1470" s="38" t="s">
        <v>20</v>
      </c>
      <c r="N1470" s="38" t="s">
        <v>21</v>
      </c>
      <c r="O1470" s="33" t="s">
        <v>22</v>
      </c>
      <c r="P1470" s="34" t="s">
        <v>23</v>
      </c>
      <c r="Q1470" s="38" t="s">
        <v>24</v>
      </c>
      <c r="R1470" s="33" t="s">
        <v>25</v>
      </c>
    </row>
    <row r="1471" spans="1:18" ht="15" customHeight="1">
      <c r="A1471" s="8" t="s">
        <v>38</v>
      </c>
      <c r="B1471" s="8" t="s">
        <v>809</v>
      </c>
      <c r="C1471" s="9">
        <v>0.57638888888888895</v>
      </c>
      <c r="D1471" s="8" t="s">
        <v>40</v>
      </c>
      <c r="E1471" s="8" t="s">
        <v>168</v>
      </c>
      <c r="F1471" s="8" t="s">
        <v>475</v>
      </c>
      <c r="G1471" s="302"/>
      <c r="H1471" s="10"/>
      <c r="I1471" s="11"/>
      <c r="J1471" s="11"/>
      <c r="K1471" s="11"/>
      <c r="L1471" s="11"/>
      <c r="M1471" s="11"/>
      <c r="N1471" s="11"/>
      <c r="O1471" s="12"/>
      <c r="P1471" s="11"/>
      <c r="Q1471" s="13"/>
      <c r="R1471" s="14"/>
    </row>
    <row r="1472" spans="1:18" ht="15" customHeight="1">
      <c r="A1472" s="15" t="s">
        <v>38</v>
      </c>
      <c r="B1472" s="15" t="s">
        <v>809</v>
      </c>
      <c r="C1472" s="16">
        <v>0.57638888888888895</v>
      </c>
      <c r="D1472" s="15" t="s">
        <v>43</v>
      </c>
      <c r="E1472" s="15" t="s">
        <v>114</v>
      </c>
      <c r="F1472" s="15" t="s">
        <v>121</v>
      </c>
      <c r="G1472" s="298"/>
      <c r="H1472" s="10"/>
      <c r="I1472" s="11"/>
      <c r="J1472" s="11"/>
      <c r="K1472" s="11"/>
      <c r="L1472" s="11"/>
      <c r="M1472" s="11"/>
      <c r="N1472" s="11"/>
      <c r="O1472" s="12"/>
      <c r="P1472" s="11"/>
      <c r="Q1472" s="13"/>
      <c r="R1472" s="14"/>
    </row>
    <row r="1473" spans="1:18" ht="15" customHeight="1">
      <c r="A1473" s="15" t="s">
        <v>38</v>
      </c>
      <c r="B1473" s="15" t="s">
        <v>809</v>
      </c>
      <c r="C1473" s="16">
        <v>0.57638888888888895</v>
      </c>
      <c r="D1473" s="15" t="s">
        <v>46</v>
      </c>
      <c r="E1473" s="15" t="s">
        <v>114</v>
      </c>
      <c r="F1473" s="15" t="s">
        <v>810</v>
      </c>
      <c r="G1473" s="298"/>
      <c r="H1473" s="10"/>
      <c r="I1473" s="11"/>
      <c r="J1473" s="11"/>
      <c r="K1473" s="11"/>
      <c r="L1473" s="11"/>
      <c r="M1473" s="11"/>
      <c r="N1473" s="11"/>
      <c r="O1473" s="12"/>
      <c r="P1473" s="11"/>
      <c r="Q1473" s="13"/>
      <c r="R1473" s="14"/>
    </row>
    <row r="1474" spans="1:18" ht="15" customHeight="1">
      <c r="A1474" s="17" t="s">
        <v>38</v>
      </c>
      <c r="B1474" s="17" t="s">
        <v>811</v>
      </c>
      <c r="C1474" s="18">
        <v>0.62847222222222221</v>
      </c>
      <c r="D1474" s="17" t="s">
        <v>40</v>
      </c>
      <c r="E1474" s="17" t="s">
        <v>442</v>
      </c>
      <c r="F1474" s="17" t="s">
        <v>475</v>
      </c>
      <c r="G1474" s="298"/>
      <c r="H1474" s="10"/>
      <c r="I1474" s="11"/>
      <c r="J1474" s="11"/>
      <c r="K1474" s="11"/>
      <c r="L1474" s="11"/>
      <c r="M1474" s="11"/>
      <c r="N1474" s="11"/>
      <c r="O1474" s="12"/>
      <c r="P1474" s="11"/>
      <c r="Q1474" s="13"/>
      <c r="R1474" s="14"/>
    </row>
    <row r="1475" spans="1:18" ht="15" customHeight="1">
      <c r="A1475" s="15" t="s">
        <v>38</v>
      </c>
      <c r="B1475" s="15" t="s">
        <v>811</v>
      </c>
      <c r="C1475" s="16">
        <v>0.62847222222222221</v>
      </c>
      <c r="D1475" s="15" t="s">
        <v>43</v>
      </c>
      <c r="E1475" s="15" t="s">
        <v>122</v>
      </c>
      <c r="F1475" s="15" t="s">
        <v>121</v>
      </c>
      <c r="G1475" s="298"/>
      <c r="H1475" s="10"/>
      <c r="I1475" s="11"/>
      <c r="J1475" s="11"/>
      <c r="K1475" s="11"/>
      <c r="L1475" s="11"/>
      <c r="M1475" s="11"/>
      <c r="N1475" s="11"/>
      <c r="O1475" s="12"/>
      <c r="P1475" s="11"/>
      <c r="Q1475" s="13"/>
      <c r="R1475" s="14"/>
    </row>
    <row r="1476" spans="1:18" ht="15" customHeight="1">
      <c r="A1476" s="15" t="s">
        <v>38</v>
      </c>
      <c r="B1476" s="15" t="s">
        <v>811</v>
      </c>
      <c r="C1476" s="16">
        <v>0.62847222222222221</v>
      </c>
      <c r="D1476" s="15" t="s">
        <v>46</v>
      </c>
      <c r="E1476" s="15" t="s">
        <v>122</v>
      </c>
      <c r="F1476" s="15" t="s">
        <v>810</v>
      </c>
      <c r="G1476" s="298"/>
      <c r="H1476" s="10"/>
      <c r="I1476" s="11"/>
      <c r="J1476" s="11"/>
      <c r="K1476" s="11"/>
      <c r="L1476" s="11"/>
      <c r="M1476" s="11"/>
      <c r="N1476" s="11"/>
      <c r="O1476" s="12"/>
      <c r="P1476" s="11"/>
      <c r="Q1476" s="13"/>
      <c r="R1476" s="14"/>
    </row>
    <row r="1477" spans="1:18" ht="15" customHeight="1">
      <c r="A1477" s="17" t="s">
        <v>38</v>
      </c>
      <c r="B1477" s="17" t="s">
        <v>812</v>
      </c>
      <c r="C1477" s="18">
        <v>0.88888888888888884</v>
      </c>
      <c r="D1477" s="17" t="s">
        <v>40</v>
      </c>
      <c r="E1477" s="17" t="s">
        <v>125</v>
      </c>
      <c r="F1477" s="17" t="s">
        <v>872</v>
      </c>
      <c r="G1477" s="298"/>
      <c r="H1477" s="10"/>
      <c r="I1477" s="11"/>
      <c r="J1477" s="11"/>
      <c r="K1477" s="11"/>
      <c r="L1477" s="11"/>
      <c r="M1477" s="11"/>
      <c r="N1477" s="11"/>
      <c r="O1477" s="12"/>
      <c r="P1477" s="11"/>
      <c r="Q1477" s="13"/>
      <c r="R1477" s="14"/>
    </row>
    <row r="1478" spans="1:18" ht="15" customHeight="1">
      <c r="A1478" s="15" t="s">
        <v>38</v>
      </c>
      <c r="B1478" s="15" t="s">
        <v>812</v>
      </c>
      <c r="C1478" s="16">
        <v>0.88888888888888884</v>
      </c>
      <c r="D1478" s="15" t="s">
        <v>43</v>
      </c>
      <c r="E1478" s="15" t="s">
        <v>44</v>
      </c>
      <c r="F1478" s="15" t="s">
        <v>349</v>
      </c>
      <c r="G1478" s="298"/>
      <c r="H1478" s="10"/>
      <c r="I1478" s="11"/>
      <c r="J1478" s="11"/>
      <c r="K1478" s="11"/>
      <c r="L1478" s="11"/>
      <c r="M1478" s="11"/>
      <c r="N1478" s="11"/>
      <c r="O1478" s="12"/>
      <c r="P1478" s="11"/>
      <c r="Q1478" s="13"/>
      <c r="R1478" s="14"/>
    </row>
    <row r="1479" spans="1:18" ht="15" customHeight="1">
      <c r="A1479" s="15" t="s">
        <v>38</v>
      </c>
      <c r="B1479" s="15" t="s">
        <v>812</v>
      </c>
      <c r="C1479" s="16">
        <v>0.88888888888888884</v>
      </c>
      <c r="D1479" s="15" t="s">
        <v>46</v>
      </c>
      <c r="E1479" s="15" t="s">
        <v>44</v>
      </c>
      <c r="F1479" s="15" t="s">
        <v>810</v>
      </c>
      <c r="G1479" s="298"/>
      <c r="H1479" s="10"/>
      <c r="I1479" s="11"/>
      <c r="J1479" s="11"/>
      <c r="K1479" s="11"/>
      <c r="L1479" s="11"/>
      <c r="M1479" s="11"/>
      <c r="N1479" s="11"/>
      <c r="O1479" s="12"/>
      <c r="P1479" s="11"/>
      <c r="Q1479" s="13"/>
      <c r="R1479" s="14"/>
    </row>
    <row r="1480" spans="1:18" ht="15" customHeight="1">
      <c r="A1480" s="17" t="s">
        <v>38</v>
      </c>
      <c r="B1480" s="17" t="s">
        <v>813</v>
      </c>
      <c r="C1480" s="18">
        <v>0.94444444444444453</v>
      </c>
      <c r="D1480" s="17" t="s">
        <v>40</v>
      </c>
      <c r="E1480" s="17" t="s">
        <v>125</v>
      </c>
      <c r="F1480" s="17" t="s">
        <v>872</v>
      </c>
      <c r="G1480" s="298"/>
      <c r="H1480" s="10"/>
      <c r="I1480" s="11"/>
      <c r="J1480" s="11"/>
      <c r="K1480" s="11"/>
      <c r="L1480" s="11"/>
      <c r="M1480" s="11"/>
      <c r="N1480" s="11"/>
      <c r="O1480" s="12"/>
      <c r="P1480" s="11"/>
      <c r="Q1480" s="13"/>
      <c r="R1480" s="14"/>
    </row>
    <row r="1481" spans="1:18" ht="15" customHeight="1">
      <c r="A1481" s="15" t="s">
        <v>38</v>
      </c>
      <c r="B1481" s="15" t="s">
        <v>813</v>
      </c>
      <c r="C1481" s="16">
        <v>0.94444444444444453</v>
      </c>
      <c r="D1481" s="15" t="s">
        <v>43</v>
      </c>
      <c r="E1481" s="15" t="s">
        <v>44</v>
      </c>
      <c r="F1481" s="15" t="s">
        <v>349</v>
      </c>
      <c r="G1481" s="298"/>
      <c r="H1481" s="10"/>
      <c r="I1481" s="11"/>
      <c r="J1481" s="11"/>
      <c r="K1481" s="11"/>
      <c r="L1481" s="11"/>
      <c r="M1481" s="11"/>
      <c r="N1481" s="11"/>
      <c r="O1481" s="12"/>
      <c r="P1481" s="11"/>
      <c r="Q1481" s="13"/>
      <c r="R1481" s="14"/>
    </row>
    <row r="1482" spans="1:18" ht="15" customHeight="1">
      <c r="A1482" s="15" t="s">
        <v>38</v>
      </c>
      <c r="B1482" s="15" t="s">
        <v>813</v>
      </c>
      <c r="C1482" s="16">
        <v>0.94444444444444453</v>
      </c>
      <c r="D1482" s="15" t="s">
        <v>46</v>
      </c>
      <c r="E1482" s="15" t="s">
        <v>44</v>
      </c>
      <c r="F1482" s="15" t="s">
        <v>810</v>
      </c>
      <c r="G1482" s="298"/>
      <c r="H1482" s="10"/>
      <c r="I1482" s="11"/>
      <c r="J1482" s="11"/>
      <c r="K1482" s="11"/>
      <c r="L1482" s="11"/>
      <c r="M1482" s="11"/>
      <c r="N1482" s="11"/>
      <c r="O1482" s="12"/>
      <c r="P1482" s="11"/>
      <c r="Q1482" s="13"/>
      <c r="R1482" s="14"/>
    </row>
    <row r="1483" spans="1:18" ht="15" customHeight="1">
      <c r="A1483" s="19" t="s">
        <v>68</v>
      </c>
      <c r="B1483" s="19" t="s">
        <v>842</v>
      </c>
      <c r="C1483" s="20">
        <v>0.98263888888888884</v>
      </c>
      <c r="D1483" s="19" t="s">
        <v>643</v>
      </c>
      <c r="E1483" s="19" t="s">
        <v>107</v>
      </c>
      <c r="F1483" s="19" t="s">
        <v>891</v>
      </c>
      <c r="G1483" s="298"/>
      <c r="H1483" s="10"/>
      <c r="I1483" s="11"/>
      <c r="J1483" s="11"/>
      <c r="K1483" s="11"/>
      <c r="L1483" s="11"/>
      <c r="M1483" s="11"/>
      <c r="N1483" s="11"/>
      <c r="O1483" s="12"/>
      <c r="P1483" s="11"/>
      <c r="Q1483" s="13"/>
      <c r="R1483" s="14"/>
    </row>
    <row r="1484" spans="1:18" ht="15" customHeight="1">
      <c r="A1484" s="17" t="s">
        <v>68</v>
      </c>
      <c r="B1484" s="17" t="s">
        <v>843</v>
      </c>
      <c r="C1484" s="18">
        <v>0.35416666666666669</v>
      </c>
      <c r="D1484" s="17" t="s">
        <v>643</v>
      </c>
      <c r="E1484" s="17" t="s">
        <v>57</v>
      </c>
      <c r="F1484" s="17" t="s">
        <v>891</v>
      </c>
      <c r="G1484" s="298"/>
      <c r="H1484" s="10"/>
      <c r="I1484" s="11"/>
      <c r="J1484" s="11"/>
      <c r="K1484" s="11"/>
      <c r="L1484" s="11"/>
      <c r="M1484" s="11"/>
      <c r="N1484" s="11"/>
      <c r="O1484" s="12"/>
      <c r="P1484" s="11"/>
      <c r="Q1484" s="13"/>
      <c r="R1484" s="14"/>
    </row>
    <row r="1485" spans="1:18" ht="15" customHeight="1">
      <c r="A1485" s="17" t="s">
        <v>68</v>
      </c>
      <c r="B1485" s="17" t="s">
        <v>844</v>
      </c>
      <c r="C1485" s="18">
        <v>0.72916666666666663</v>
      </c>
      <c r="D1485" s="17" t="s">
        <v>643</v>
      </c>
      <c r="E1485" s="17" t="s">
        <v>427</v>
      </c>
      <c r="F1485" s="17" t="s">
        <v>888</v>
      </c>
      <c r="G1485" s="298"/>
      <c r="H1485" s="10"/>
      <c r="I1485" s="11"/>
      <c r="J1485" s="11"/>
      <c r="K1485" s="11"/>
      <c r="L1485" s="11"/>
      <c r="M1485" s="11"/>
      <c r="N1485" s="11"/>
      <c r="O1485" s="12"/>
      <c r="P1485" s="11"/>
      <c r="Q1485" s="13"/>
      <c r="R1485" s="14"/>
    </row>
    <row r="1486" spans="1:18" ht="15" customHeight="1">
      <c r="A1486" s="19" t="s">
        <v>26</v>
      </c>
      <c r="B1486" s="19" t="s">
        <v>820</v>
      </c>
      <c r="C1486" s="20">
        <v>0.4375</v>
      </c>
      <c r="D1486" s="19" t="s">
        <v>28</v>
      </c>
      <c r="E1486" s="19" t="s">
        <v>80</v>
      </c>
      <c r="F1486" s="19" t="s">
        <v>81</v>
      </c>
      <c r="G1486" s="298"/>
      <c r="H1486" s="10"/>
      <c r="I1486" s="11"/>
      <c r="J1486" s="11"/>
      <c r="K1486" s="11"/>
      <c r="L1486" s="11"/>
      <c r="M1486" s="11"/>
      <c r="N1486" s="11"/>
      <c r="O1486" s="12"/>
      <c r="P1486" s="11"/>
      <c r="Q1486" s="13"/>
      <c r="R1486" s="14"/>
    </row>
    <row r="1487" spans="1:18" ht="15" customHeight="1">
      <c r="A1487" s="15" t="s">
        <v>26</v>
      </c>
      <c r="B1487" s="15" t="s">
        <v>820</v>
      </c>
      <c r="C1487" s="16">
        <v>0.4375</v>
      </c>
      <c r="D1487" s="15" t="s">
        <v>31</v>
      </c>
      <c r="E1487" s="15" t="s">
        <v>82</v>
      </c>
      <c r="F1487" s="15" t="s">
        <v>83</v>
      </c>
      <c r="G1487" s="298"/>
      <c r="H1487" s="10"/>
      <c r="I1487" s="11"/>
      <c r="J1487" s="11"/>
      <c r="K1487" s="11"/>
      <c r="L1487" s="11"/>
      <c r="M1487" s="11"/>
      <c r="N1487" s="11"/>
      <c r="O1487" s="12"/>
      <c r="P1487" s="11"/>
      <c r="Q1487" s="13"/>
      <c r="R1487" s="14"/>
    </row>
    <row r="1488" spans="1:18" ht="15" customHeight="1">
      <c r="A1488" s="15" t="s">
        <v>26</v>
      </c>
      <c r="B1488" s="15" t="s">
        <v>820</v>
      </c>
      <c r="C1488" s="16">
        <v>0.4375</v>
      </c>
      <c r="D1488" s="15" t="s">
        <v>34</v>
      </c>
      <c r="E1488" s="15" t="s">
        <v>82</v>
      </c>
      <c r="F1488" s="15" t="s">
        <v>45</v>
      </c>
      <c r="G1488" s="298"/>
      <c r="H1488" s="10"/>
      <c r="I1488" s="11"/>
      <c r="J1488" s="11"/>
      <c r="K1488" s="11"/>
      <c r="L1488" s="11"/>
      <c r="M1488" s="11"/>
      <c r="N1488" s="11"/>
      <c r="O1488" s="12"/>
      <c r="P1488" s="11"/>
      <c r="Q1488" s="13"/>
      <c r="R1488" s="14"/>
    </row>
    <row r="1489" spans="1:18" ht="15" customHeight="1">
      <c r="A1489" s="17" t="s">
        <v>26</v>
      </c>
      <c r="B1489" s="17" t="s">
        <v>826</v>
      </c>
      <c r="C1489" s="18">
        <v>0.95833333333333337</v>
      </c>
      <c r="D1489" s="17" t="s">
        <v>28</v>
      </c>
      <c r="E1489" s="17" t="s">
        <v>90</v>
      </c>
      <c r="F1489" s="17" t="s">
        <v>81</v>
      </c>
      <c r="G1489" s="298"/>
      <c r="H1489" s="10"/>
      <c r="I1489" s="11"/>
      <c r="J1489" s="11"/>
      <c r="K1489" s="11"/>
      <c r="L1489" s="11"/>
      <c r="M1489" s="11"/>
      <c r="N1489" s="11"/>
      <c r="O1489" s="12"/>
      <c r="P1489" s="11"/>
      <c r="Q1489" s="13"/>
      <c r="R1489" s="14"/>
    </row>
    <row r="1490" spans="1:18" ht="15" customHeight="1">
      <c r="A1490" s="15" t="s">
        <v>26</v>
      </c>
      <c r="B1490" s="15" t="s">
        <v>826</v>
      </c>
      <c r="C1490" s="16">
        <v>0.95833333333333337</v>
      </c>
      <c r="D1490" s="15" t="s">
        <v>31</v>
      </c>
      <c r="E1490" s="15" t="s">
        <v>82</v>
      </c>
      <c r="F1490" s="15" t="s">
        <v>83</v>
      </c>
      <c r="G1490" s="298"/>
      <c r="H1490" s="10"/>
      <c r="I1490" s="11"/>
      <c r="J1490" s="11"/>
      <c r="K1490" s="11"/>
      <c r="L1490" s="11"/>
      <c r="M1490" s="11"/>
      <c r="N1490" s="11"/>
      <c r="O1490" s="12"/>
      <c r="P1490" s="11"/>
      <c r="Q1490" s="13"/>
      <c r="R1490" s="14"/>
    </row>
    <row r="1491" spans="1:18" ht="15" customHeight="1">
      <c r="A1491" s="15" t="s">
        <v>26</v>
      </c>
      <c r="B1491" s="15" t="s">
        <v>826</v>
      </c>
      <c r="C1491" s="16">
        <v>0.95833333333333337</v>
      </c>
      <c r="D1491" s="15" t="s">
        <v>34</v>
      </c>
      <c r="E1491" s="15" t="s">
        <v>82</v>
      </c>
      <c r="F1491" s="15" t="s">
        <v>45</v>
      </c>
      <c r="G1491" s="298"/>
      <c r="H1491" s="10"/>
      <c r="I1491" s="11"/>
      <c r="J1491" s="11"/>
      <c r="K1491" s="11"/>
      <c r="L1491" s="11"/>
      <c r="M1491" s="11"/>
      <c r="N1491" s="11"/>
      <c r="O1491" s="12"/>
      <c r="P1491" s="11"/>
      <c r="Q1491" s="13"/>
      <c r="R1491" s="14"/>
    </row>
    <row r="1492" spans="1:18" ht="15" customHeight="1">
      <c r="A1492" s="17" t="s">
        <v>26</v>
      </c>
      <c r="B1492" s="17" t="s">
        <v>821</v>
      </c>
      <c r="C1492" s="18">
        <v>0.63194444444444442</v>
      </c>
      <c r="D1492" s="17" t="s">
        <v>28</v>
      </c>
      <c r="E1492" s="17" t="s">
        <v>90</v>
      </c>
      <c r="F1492" s="17" t="s">
        <v>81</v>
      </c>
      <c r="G1492" s="298"/>
      <c r="H1492" s="10"/>
      <c r="I1492" s="11"/>
      <c r="J1492" s="11"/>
      <c r="K1492" s="11"/>
      <c r="L1492" s="11"/>
      <c r="M1492" s="11"/>
      <c r="N1492" s="11"/>
      <c r="O1492" s="12"/>
      <c r="P1492" s="11"/>
      <c r="Q1492" s="13"/>
      <c r="R1492" s="14"/>
    </row>
    <row r="1493" spans="1:18" ht="15" customHeight="1">
      <c r="A1493" s="15" t="s">
        <v>26</v>
      </c>
      <c r="B1493" s="15" t="s">
        <v>821</v>
      </c>
      <c r="C1493" s="16">
        <v>0.63194444444444442</v>
      </c>
      <c r="D1493" s="15" t="s">
        <v>31</v>
      </c>
      <c r="E1493" s="15" t="s">
        <v>82</v>
      </c>
      <c r="F1493" s="15" t="s">
        <v>83</v>
      </c>
      <c r="G1493" s="298"/>
      <c r="H1493" s="10"/>
      <c r="I1493" s="11"/>
      <c r="J1493" s="11"/>
      <c r="K1493" s="11"/>
      <c r="L1493" s="11"/>
      <c r="M1493" s="11"/>
      <c r="N1493" s="11"/>
      <c r="O1493" s="12"/>
      <c r="P1493" s="11"/>
      <c r="Q1493" s="13"/>
      <c r="R1493" s="14"/>
    </row>
    <row r="1494" spans="1:18" ht="15" customHeight="1">
      <c r="A1494" s="15" t="s">
        <v>26</v>
      </c>
      <c r="B1494" s="15" t="s">
        <v>821</v>
      </c>
      <c r="C1494" s="16">
        <v>0.63194444444444442</v>
      </c>
      <c r="D1494" s="15" t="s">
        <v>34</v>
      </c>
      <c r="E1494" s="15" t="s">
        <v>82</v>
      </c>
      <c r="F1494" s="15" t="s">
        <v>45</v>
      </c>
      <c r="G1494" s="298"/>
      <c r="H1494" s="10"/>
      <c r="I1494" s="11"/>
      <c r="J1494" s="11"/>
      <c r="K1494" s="11"/>
      <c r="L1494" s="11"/>
      <c r="M1494" s="11"/>
      <c r="N1494" s="11"/>
      <c r="O1494" s="12"/>
      <c r="P1494" s="11"/>
      <c r="Q1494" s="13"/>
      <c r="R1494" s="14"/>
    </row>
    <row r="1495" spans="1:18" ht="15" customHeight="1">
      <c r="A1495" s="17" t="s">
        <v>26</v>
      </c>
      <c r="B1495" s="17" t="s">
        <v>822</v>
      </c>
      <c r="C1495" s="18">
        <v>0.55902777777777779</v>
      </c>
      <c r="D1495" s="17" t="s">
        <v>28</v>
      </c>
      <c r="E1495" s="17" t="s">
        <v>90</v>
      </c>
      <c r="F1495" s="17" t="s">
        <v>81</v>
      </c>
      <c r="G1495" s="298"/>
      <c r="H1495" s="10"/>
      <c r="I1495" s="11"/>
      <c r="J1495" s="11"/>
      <c r="K1495" s="11"/>
      <c r="L1495" s="11"/>
      <c r="M1495" s="11"/>
      <c r="N1495" s="11"/>
      <c r="O1495" s="12"/>
      <c r="P1495" s="11"/>
      <c r="Q1495" s="13"/>
      <c r="R1495" s="14"/>
    </row>
    <row r="1496" spans="1:18" ht="15" customHeight="1">
      <c r="A1496" s="15" t="s">
        <v>26</v>
      </c>
      <c r="B1496" s="15" t="s">
        <v>822</v>
      </c>
      <c r="C1496" s="16">
        <v>0.55902777777777779</v>
      </c>
      <c r="D1496" s="15" t="s">
        <v>31</v>
      </c>
      <c r="E1496" s="15" t="s">
        <v>82</v>
      </c>
      <c r="F1496" s="15" t="s">
        <v>83</v>
      </c>
      <c r="G1496" s="298"/>
      <c r="H1496" s="10"/>
      <c r="I1496" s="11"/>
      <c r="J1496" s="11"/>
      <c r="K1496" s="11"/>
      <c r="L1496" s="11"/>
      <c r="M1496" s="11"/>
      <c r="N1496" s="11"/>
      <c r="O1496" s="12"/>
      <c r="P1496" s="11"/>
      <c r="Q1496" s="13"/>
      <c r="R1496" s="14"/>
    </row>
    <row r="1497" spans="1:18" ht="15" customHeight="1">
      <c r="A1497" s="15" t="s">
        <v>26</v>
      </c>
      <c r="B1497" s="15" t="s">
        <v>822</v>
      </c>
      <c r="C1497" s="16">
        <v>0.55902777777777779</v>
      </c>
      <c r="D1497" s="15" t="s">
        <v>34</v>
      </c>
      <c r="E1497" s="15" t="s">
        <v>82</v>
      </c>
      <c r="F1497" s="15" t="s">
        <v>45</v>
      </c>
      <c r="G1497" s="298"/>
      <c r="H1497" s="10"/>
      <c r="I1497" s="11"/>
      <c r="J1497" s="11"/>
      <c r="K1497" s="11"/>
      <c r="L1497" s="11"/>
      <c r="M1497" s="11"/>
      <c r="N1497" s="11"/>
      <c r="O1497" s="12"/>
      <c r="P1497" s="11"/>
      <c r="Q1497" s="13"/>
      <c r="R1497" s="14"/>
    </row>
    <row r="1498" spans="1:18" ht="15" customHeight="1">
      <c r="A1498" s="17" t="s">
        <v>26</v>
      </c>
      <c r="B1498" s="17" t="s">
        <v>823</v>
      </c>
      <c r="C1498" s="18">
        <v>0.81944444444444453</v>
      </c>
      <c r="D1498" s="17" t="s">
        <v>28</v>
      </c>
      <c r="E1498" s="17" t="s">
        <v>90</v>
      </c>
      <c r="F1498" s="17" t="s">
        <v>81</v>
      </c>
      <c r="G1498" s="298"/>
      <c r="H1498" s="10"/>
      <c r="I1498" s="11"/>
      <c r="J1498" s="11"/>
      <c r="K1498" s="11"/>
      <c r="L1498" s="11"/>
      <c r="M1498" s="11"/>
      <c r="N1498" s="11"/>
      <c r="O1498" s="12"/>
      <c r="P1498" s="11"/>
      <c r="Q1498" s="13"/>
      <c r="R1498" s="14"/>
    </row>
    <row r="1499" spans="1:18" ht="15" customHeight="1">
      <c r="A1499" s="15" t="s">
        <v>26</v>
      </c>
      <c r="B1499" s="15" t="s">
        <v>823</v>
      </c>
      <c r="C1499" s="16">
        <v>0.81944444444444453</v>
      </c>
      <c r="D1499" s="15" t="s">
        <v>31</v>
      </c>
      <c r="E1499" s="15" t="s">
        <v>82</v>
      </c>
      <c r="F1499" s="15" t="s">
        <v>83</v>
      </c>
      <c r="G1499" s="298"/>
      <c r="H1499" s="10"/>
      <c r="I1499" s="11"/>
      <c r="J1499" s="11"/>
      <c r="K1499" s="11"/>
      <c r="L1499" s="11"/>
      <c r="M1499" s="11"/>
      <c r="N1499" s="11"/>
      <c r="O1499" s="12"/>
      <c r="P1499" s="11"/>
      <c r="Q1499" s="13"/>
      <c r="R1499" s="14"/>
    </row>
    <row r="1500" spans="1:18" ht="15" customHeight="1">
      <c r="A1500" s="15" t="s">
        <v>26</v>
      </c>
      <c r="B1500" s="15" t="s">
        <v>823</v>
      </c>
      <c r="C1500" s="16">
        <v>0.81944444444444453</v>
      </c>
      <c r="D1500" s="15" t="s">
        <v>34</v>
      </c>
      <c r="E1500" s="15" t="s">
        <v>82</v>
      </c>
      <c r="F1500" s="15" t="s">
        <v>45</v>
      </c>
      <c r="G1500" s="298"/>
      <c r="H1500" s="10"/>
      <c r="I1500" s="11"/>
      <c r="J1500" s="11"/>
      <c r="K1500" s="11"/>
      <c r="L1500" s="11"/>
      <c r="M1500" s="11"/>
      <c r="N1500" s="11"/>
      <c r="O1500" s="12"/>
      <c r="P1500" s="11"/>
      <c r="Q1500" s="13"/>
      <c r="R1500" s="14"/>
    </row>
    <row r="1501" spans="1:18" ht="15" customHeight="1">
      <c r="A1501" s="17" t="s">
        <v>26</v>
      </c>
      <c r="B1501" s="17" t="s">
        <v>824</v>
      </c>
      <c r="C1501" s="18">
        <v>0.50694444444444442</v>
      </c>
      <c r="D1501" s="17" t="s">
        <v>28</v>
      </c>
      <c r="E1501" s="17" t="s">
        <v>90</v>
      </c>
      <c r="F1501" s="17" t="s">
        <v>81</v>
      </c>
      <c r="G1501" s="298"/>
      <c r="H1501" s="10"/>
      <c r="I1501" s="11"/>
      <c r="J1501" s="11"/>
      <c r="K1501" s="11"/>
      <c r="L1501" s="11"/>
      <c r="M1501" s="11"/>
      <c r="N1501" s="11"/>
      <c r="O1501" s="12"/>
      <c r="P1501" s="11"/>
      <c r="Q1501" s="13"/>
      <c r="R1501" s="14"/>
    </row>
    <row r="1502" spans="1:18" ht="15" customHeight="1">
      <c r="A1502" s="15" t="s">
        <v>26</v>
      </c>
      <c r="B1502" s="15" t="s">
        <v>824</v>
      </c>
      <c r="C1502" s="16">
        <v>0.50694444444444442</v>
      </c>
      <c r="D1502" s="15" t="s">
        <v>31</v>
      </c>
      <c r="E1502" s="15" t="s">
        <v>82</v>
      </c>
      <c r="F1502" s="15" t="s">
        <v>83</v>
      </c>
      <c r="G1502" s="298"/>
      <c r="H1502" s="10"/>
      <c r="I1502" s="11"/>
      <c r="J1502" s="11"/>
      <c r="K1502" s="11"/>
      <c r="L1502" s="11"/>
      <c r="M1502" s="11"/>
      <c r="N1502" s="11"/>
      <c r="O1502" s="12"/>
      <c r="P1502" s="11"/>
      <c r="Q1502" s="13"/>
      <c r="R1502" s="14"/>
    </row>
    <row r="1503" spans="1:18" ht="15" customHeight="1">
      <c r="A1503" s="15" t="s">
        <v>26</v>
      </c>
      <c r="B1503" s="15" t="s">
        <v>824</v>
      </c>
      <c r="C1503" s="16">
        <v>0.50694444444444442</v>
      </c>
      <c r="D1503" s="15" t="s">
        <v>34</v>
      </c>
      <c r="E1503" s="15" t="s">
        <v>82</v>
      </c>
      <c r="F1503" s="15" t="s">
        <v>45</v>
      </c>
      <c r="G1503" s="298"/>
      <c r="H1503" s="10"/>
      <c r="I1503" s="11"/>
      <c r="J1503" s="11"/>
      <c r="K1503" s="11"/>
      <c r="L1503" s="11"/>
      <c r="M1503" s="11"/>
      <c r="N1503" s="11"/>
      <c r="O1503" s="12"/>
      <c r="P1503" s="11"/>
      <c r="Q1503" s="13"/>
      <c r="R1503" s="14"/>
    </row>
    <row r="1504" spans="1:18" ht="15" customHeight="1">
      <c r="A1504" s="17" t="s">
        <v>26</v>
      </c>
      <c r="B1504" s="17" t="s">
        <v>825</v>
      </c>
      <c r="C1504" s="18">
        <v>0.69791666666666663</v>
      </c>
      <c r="D1504" s="17" t="s">
        <v>28</v>
      </c>
      <c r="E1504" s="17" t="s">
        <v>90</v>
      </c>
      <c r="F1504" s="17" t="s">
        <v>81</v>
      </c>
      <c r="G1504" s="298"/>
      <c r="H1504" s="10"/>
      <c r="I1504" s="11"/>
      <c r="J1504" s="11"/>
      <c r="K1504" s="11"/>
      <c r="L1504" s="11"/>
      <c r="M1504" s="11"/>
      <c r="N1504" s="11"/>
      <c r="O1504" s="12"/>
      <c r="P1504" s="11"/>
      <c r="Q1504" s="13"/>
      <c r="R1504" s="14"/>
    </row>
    <row r="1505" spans="1:18" ht="15" customHeight="1">
      <c r="A1505" s="15" t="s">
        <v>26</v>
      </c>
      <c r="B1505" s="15" t="s">
        <v>825</v>
      </c>
      <c r="C1505" s="16">
        <v>0.69791666666666663</v>
      </c>
      <c r="D1505" s="15" t="s">
        <v>31</v>
      </c>
      <c r="E1505" s="15" t="s">
        <v>82</v>
      </c>
      <c r="F1505" s="15" t="s">
        <v>83</v>
      </c>
      <c r="G1505" s="298"/>
      <c r="H1505" s="10"/>
      <c r="I1505" s="11"/>
      <c r="J1505" s="11"/>
      <c r="K1505" s="11"/>
      <c r="L1505" s="11"/>
      <c r="M1505" s="11"/>
      <c r="N1505" s="11"/>
      <c r="O1505" s="12"/>
      <c r="P1505" s="11"/>
      <c r="Q1505" s="13"/>
      <c r="R1505" s="14"/>
    </row>
    <row r="1506" spans="1:18" ht="15" customHeight="1">
      <c r="A1506" s="15" t="s">
        <v>26</v>
      </c>
      <c r="B1506" s="15" t="s">
        <v>825</v>
      </c>
      <c r="C1506" s="16">
        <v>0.69791666666666663</v>
      </c>
      <c r="D1506" s="15" t="s">
        <v>34</v>
      </c>
      <c r="E1506" s="15" t="s">
        <v>82</v>
      </c>
      <c r="F1506" s="15" t="s">
        <v>45</v>
      </c>
      <c r="G1506" s="298"/>
      <c r="H1506" s="10"/>
      <c r="I1506" s="11"/>
      <c r="J1506" s="11"/>
      <c r="K1506" s="11"/>
      <c r="L1506" s="11"/>
      <c r="M1506" s="11"/>
      <c r="N1506" s="11"/>
      <c r="O1506" s="12"/>
      <c r="P1506" s="11"/>
      <c r="Q1506" s="13"/>
      <c r="R1506" s="14"/>
    </row>
    <row r="1507" spans="1:18" ht="15" customHeight="1">
      <c r="A1507" s="78" t="s">
        <v>61</v>
      </c>
      <c r="B1507" s="78" t="s">
        <v>816</v>
      </c>
      <c r="C1507" s="79">
        <v>0.41319444444444442</v>
      </c>
      <c r="D1507" s="78" t="s">
        <v>63</v>
      </c>
      <c r="E1507" s="78" t="s">
        <v>177</v>
      </c>
      <c r="F1507" s="78" t="s">
        <v>849</v>
      </c>
      <c r="G1507" s="298"/>
      <c r="H1507" s="80" t="s">
        <v>818</v>
      </c>
      <c r="I1507" s="81">
        <v>5.5999999999999999E-3</v>
      </c>
      <c r="J1507" s="82">
        <v>1</v>
      </c>
      <c r="K1507" s="83">
        <v>46342</v>
      </c>
      <c r="L1507" s="82">
        <v>1</v>
      </c>
      <c r="M1507" s="82">
        <v>0</v>
      </c>
      <c r="N1507" s="82">
        <v>0</v>
      </c>
      <c r="O1507" s="84" t="s">
        <v>905</v>
      </c>
      <c r="P1507" s="85">
        <v>0.41319444444444442</v>
      </c>
      <c r="Q1507" s="82">
        <v>179</v>
      </c>
      <c r="R1507" s="86" t="s">
        <v>570</v>
      </c>
    </row>
    <row r="1508" spans="1:18" ht="15" customHeight="1">
      <c r="A1508" s="156" t="s">
        <v>61</v>
      </c>
      <c r="B1508" s="156" t="s">
        <v>852</v>
      </c>
      <c r="C1508" s="157">
        <v>0.72569444444444453</v>
      </c>
      <c r="D1508" s="156" t="s">
        <v>63</v>
      </c>
      <c r="E1508" s="156" t="s">
        <v>57</v>
      </c>
      <c r="F1508" s="156" t="s">
        <v>853</v>
      </c>
      <c r="G1508" s="298"/>
      <c r="H1508" s="42" t="s">
        <v>854</v>
      </c>
      <c r="I1508" s="43">
        <v>6.1499999999999999E-2</v>
      </c>
      <c r="J1508" s="44">
        <v>11</v>
      </c>
      <c r="K1508" s="45">
        <v>46343</v>
      </c>
      <c r="L1508" s="44">
        <v>11</v>
      </c>
      <c r="M1508" s="44">
        <v>0</v>
      </c>
      <c r="N1508" s="44">
        <v>0</v>
      </c>
      <c r="O1508" s="46" t="s">
        <v>549</v>
      </c>
      <c r="P1508" s="47">
        <v>0.72569444444444453</v>
      </c>
      <c r="Q1508" s="44">
        <v>179</v>
      </c>
      <c r="R1508" s="48" t="s">
        <v>970</v>
      </c>
    </row>
    <row r="1509" spans="1:18" ht="15" customHeight="1">
      <c r="A1509" s="19" t="s">
        <v>359</v>
      </c>
      <c r="B1509" s="19" t="s">
        <v>887</v>
      </c>
      <c r="C1509" s="20">
        <v>5.2083333333333343E-2</v>
      </c>
      <c r="D1509" s="19" t="s">
        <v>361</v>
      </c>
      <c r="E1509" s="19" t="s">
        <v>80</v>
      </c>
      <c r="F1509" s="19" t="s">
        <v>949</v>
      </c>
      <c r="G1509" s="298"/>
      <c r="H1509" s="10"/>
      <c r="I1509" s="11"/>
      <c r="J1509" s="11"/>
      <c r="K1509" s="11"/>
      <c r="L1509" s="11"/>
      <c r="M1509" s="11"/>
      <c r="N1509" s="11"/>
      <c r="O1509" s="12"/>
      <c r="P1509" s="11"/>
      <c r="Q1509" s="13"/>
      <c r="R1509" s="14"/>
    </row>
    <row r="1510" spans="1:18" ht="15" customHeight="1">
      <c r="A1510" s="15" t="s">
        <v>359</v>
      </c>
      <c r="B1510" s="15" t="s">
        <v>887</v>
      </c>
      <c r="C1510" s="16">
        <v>5.2083333333333343E-2</v>
      </c>
      <c r="D1510" s="15" t="s">
        <v>46</v>
      </c>
      <c r="E1510" s="15" t="s">
        <v>82</v>
      </c>
      <c r="F1510" s="15" t="s">
        <v>950</v>
      </c>
      <c r="G1510" s="298"/>
      <c r="H1510" s="10"/>
      <c r="I1510" s="11"/>
      <c r="J1510" s="11"/>
      <c r="K1510" s="11"/>
      <c r="L1510" s="11"/>
      <c r="M1510" s="11"/>
      <c r="N1510" s="11"/>
      <c r="O1510" s="12"/>
      <c r="P1510" s="11"/>
      <c r="Q1510" s="13"/>
      <c r="R1510" s="14"/>
    </row>
    <row r="1511" spans="1:18" ht="15" customHeight="1">
      <c r="A1511" s="19" t="s">
        <v>402</v>
      </c>
      <c r="B1511" s="19" t="s">
        <v>839</v>
      </c>
      <c r="C1511" s="20">
        <v>0.2013888888888889</v>
      </c>
      <c r="D1511" s="19" t="s">
        <v>63</v>
      </c>
      <c r="E1511" s="19" t="s">
        <v>177</v>
      </c>
      <c r="F1511" s="19" t="s">
        <v>881</v>
      </c>
      <c r="G1511" s="298"/>
      <c r="H1511" s="10"/>
      <c r="I1511" s="11"/>
      <c r="J1511" s="11"/>
      <c r="K1511" s="11"/>
      <c r="L1511" s="11"/>
      <c r="M1511" s="11"/>
      <c r="N1511" s="11"/>
      <c r="O1511" s="12"/>
      <c r="P1511" s="11"/>
      <c r="Q1511" s="13"/>
      <c r="R1511" s="14"/>
    </row>
    <row r="1512" spans="1:18" ht="15" customHeight="1">
      <c r="A1512" s="17" t="s">
        <v>402</v>
      </c>
      <c r="B1512" s="17" t="s">
        <v>841</v>
      </c>
      <c r="C1512" s="18">
        <v>0.61458333333333337</v>
      </c>
      <c r="D1512" s="17" t="s">
        <v>63</v>
      </c>
      <c r="E1512" s="17" t="s">
        <v>435</v>
      </c>
      <c r="F1512" s="17" t="s">
        <v>881</v>
      </c>
      <c r="G1512" s="298"/>
      <c r="H1512" s="10"/>
      <c r="I1512" s="11"/>
      <c r="J1512" s="11"/>
      <c r="K1512" s="11"/>
      <c r="L1512" s="11"/>
      <c r="M1512" s="11"/>
      <c r="N1512" s="11"/>
      <c r="O1512" s="12"/>
      <c r="P1512" s="11"/>
      <c r="Q1512" s="13"/>
      <c r="R1512" s="14"/>
    </row>
    <row r="1513" spans="1:18" ht="15" customHeight="1">
      <c r="A1513" s="19" t="s">
        <v>48</v>
      </c>
      <c r="B1513" s="19" t="s">
        <v>835</v>
      </c>
      <c r="C1513" s="20">
        <v>0.88888888888888884</v>
      </c>
      <c r="D1513" s="19" t="s">
        <v>53</v>
      </c>
      <c r="E1513" s="19" t="s">
        <v>29</v>
      </c>
      <c r="F1513" s="19" t="s">
        <v>836</v>
      </c>
      <c r="G1513" s="298"/>
      <c r="H1513" s="10"/>
      <c r="I1513" s="11"/>
      <c r="J1513" s="11"/>
      <c r="K1513" s="11"/>
      <c r="L1513" s="11"/>
      <c r="M1513" s="11"/>
      <c r="N1513" s="11"/>
      <c r="O1513" s="12"/>
      <c r="P1513" s="11"/>
      <c r="Q1513" s="13"/>
      <c r="R1513" s="14"/>
    </row>
    <row r="1514" spans="1:18" ht="15" customHeight="1">
      <c r="A1514" s="17" t="s">
        <v>48</v>
      </c>
      <c r="B1514" s="17" t="s">
        <v>837</v>
      </c>
      <c r="C1514" s="18">
        <v>0.62847222222222221</v>
      </c>
      <c r="D1514" s="17" t="s">
        <v>53</v>
      </c>
      <c r="E1514" s="17" t="s">
        <v>37</v>
      </c>
      <c r="F1514" s="17" t="s">
        <v>836</v>
      </c>
      <c r="G1514" s="298"/>
      <c r="H1514" s="10"/>
      <c r="I1514" s="11"/>
      <c r="J1514" s="11"/>
      <c r="K1514" s="11"/>
      <c r="L1514" s="11"/>
      <c r="M1514" s="11"/>
      <c r="N1514" s="11"/>
      <c r="O1514" s="12"/>
      <c r="P1514" s="11"/>
      <c r="Q1514" s="13"/>
      <c r="R1514" s="14"/>
    </row>
    <row r="1515" spans="1:18" ht="15" customHeight="1">
      <c r="A1515" s="17" t="s">
        <v>48</v>
      </c>
      <c r="B1515" s="17" t="s">
        <v>838</v>
      </c>
      <c r="C1515" s="18">
        <v>0.94444444444444453</v>
      </c>
      <c r="D1515" s="17" t="s">
        <v>53</v>
      </c>
      <c r="E1515" s="17" t="s">
        <v>37</v>
      </c>
      <c r="F1515" s="17" t="s">
        <v>836</v>
      </c>
      <c r="G1515" s="298"/>
      <c r="H1515" s="10"/>
      <c r="I1515" s="11"/>
      <c r="J1515" s="11"/>
      <c r="K1515" s="11"/>
      <c r="L1515" s="11"/>
      <c r="M1515" s="11"/>
      <c r="N1515" s="11"/>
      <c r="O1515" s="12"/>
      <c r="P1515" s="11"/>
      <c r="Q1515" s="13"/>
      <c r="R1515" s="14"/>
    </row>
    <row r="1516" spans="1:18" ht="15" customHeight="1">
      <c r="A1516" s="17" t="s">
        <v>48</v>
      </c>
      <c r="B1516" s="17" t="s">
        <v>833</v>
      </c>
      <c r="C1516" s="18">
        <v>0.44444444444444442</v>
      </c>
      <c r="D1516" s="17" t="s">
        <v>53</v>
      </c>
      <c r="E1516" s="17" t="s">
        <v>57</v>
      </c>
      <c r="F1516" s="17" t="s">
        <v>870</v>
      </c>
      <c r="G1516" s="298"/>
      <c r="H1516" s="10"/>
      <c r="I1516" s="11"/>
      <c r="J1516" s="11"/>
      <c r="K1516" s="11"/>
      <c r="L1516" s="11"/>
      <c r="M1516" s="11"/>
      <c r="N1516" s="11"/>
      <c r="O1516" s="12"/>
      <c r="P1516" s="11"/>
      <c r="Q1516" s="13"/>
      <c r="R1516" s="14"/>
    </row>
    <row r="1517" spans="1:18" ht="15" customHeight="1">
      <c r="A1517" s="17" t="s">
        <v>48</v>
      </c>
      <c r="B1517" s="17" t="s">
        <v>828</v>
      </c>
      <c r="C1517" s="18">
        <v>0.82986111111111116</v>
      </c>
      <c r="D1517" s="17" t="s">
        <v>53</v>
      </c>
      <c r="E1517" s="17" t="s">
        <v>57</v>
      </c>
      <c r="F1517" s="17" t="s">
        <v>870</v>
      </c>
      <c r="G1517" s="298"/>
      <c r="H1517" s="10"/>
      <c r="I1517" s="11"/>
      <c r="J1517" s="11"/>
      <c r="K1517" s="11"/>
      <c r="L1517" s="11"/>
      <c r="M1517" s="11"/>
      <c r="N1517" s="11"/>
      <c r="O1517" s="12"/>
      <c r="P1517" s="11"/>
      <c r="Q1517" s="13"/>
      <c r="R1517" s="14"/>
    </row>
    <row r="1518" spans="1:18" ht="15" customHeight="1">
      <c r="A1518" s="17" t="s">
        <v>48</v>
      </c>
      <c r="B1518" s="17" t="s">
        <v>831</v>
      </c>
      <c r="C1518" s="18">
        <v>0.98263888888888884</v>
      </c>
      <c r="D1518" s="17" t="s">
        <v>53</v>
      </c>
      <c r="E1518" s="17" t="s">
        <v>57</v>
      </c>
      <c r="F1518" s="17" t="s">
        <v>870</v>
      </c>
      <c r="G1518" s="298"/>
      <c r="H1518" s="10"/>
      <c r="I1518" s="11"/>
      <c r="J1518" s="11"/>
      <c r="K1518" s="11"/>
      <c r="L1518" s="11"/>
      <c r="M1518" s="11"/>
      <c r="N1518" s="11"/>
      <c r="O1518" s="12"/>
      <c r="P1518" s="11"/>
      <c r="Q1518" s="13"/>
      <c r="R1518" s="14"/>
    </row>
    <row r="1519" spans="1:18" ht="15" customHeight="1" thickBot="1">
      <c r="A1519" s="30" t="s">
        <v>48</v>
      </c>
      <c r="B1519" s="30" t="s">
        <v>832</v>
      </c>
      <c r="C1519" s="31">
        <v>0.62847222222222221</v>
      </c>
      <c r="D1519" s="30" t="s">
        <v>53</v>
      </c>
      <c r="E1519" s="30" t="s">
        <v>57</v>
      </c>
      <c r="F1519" s="30" t="s">
        <v>870</v>
      </c>
      <c r="G1519" s="299"/>
      <c r="H1519" s="300"/>
      <c r="I1519" s="140"/>
      <c r="J1519" s="140"/>
      <c r="K1519" s="140"/>
      <c r="L1519" s="140"/>
      <c r="M1519" s="140"/>
      <c r="N1519" s="140"/>
      <c r="O1519" s="141"/>
      <c r="P1519" s="140"/>
      <c r="Q1519" s="142"/>
      <c r="R1519" s="301"/>
    </row>
    <row r="1520" spans="1:18" ht="17.45" customHeight="1" thickBot="1">
      <c r="A1520" s="283"/>
      <c r="B1520" s="284"/>
      <c r="C1520" s="284"/>
      <c r="D1520" s="284"/>
      <c r="E1520" s="284"/>
      <c r="F1520" s="284"/>
      <c r="G1520" s="284"/>
      <c r="H1520" s="284"/>
      <c r="I1520" s="284"/>
      <c r="J1520" s="284"/>
      <c r="K1520" s="284"/>
      <c r="L1520" s="284"/>
      <c r="M1520" s="284"/>
      <c r="N1520" s="284"/>
      <c r="O1520" s="284"/>
      <c r="P1520" s="284"/>
      <c r="Q1520" s="284"/>
      <c r="R1520" s="285"/>
    </row>
    <row r="1521" spans="1:18" ht="22.15" customHeight="1" thickTop="1" thickBot="1">
      <c r="A1521" s="279" t="s">
        <v>6</v>
      </c>
      <c r="B1521" s="295"/>
      <c r="C1521" s="295"/>
      <c r="D1521" s="295"/>
      <c r="E1521" s="295"/>
      <c r="F1521" s="296"/>
      <c r="G1521" s="32">
        <v>46051</v>
      </c>
      <c r="H1521" s="278" t="s">
        <v>7</v>
      </c>
      <c r="I1521" s="295"/>
      <c r="J1521" s="295"/>
      <c r="K1521" s="295"/>
      <c r="L1521" s="295"/>
      <c r="M1521" s="295"/>
      <c r="N1521" s="295"/>
      <c r="O1521" s="295"/>
      <c r="P1521" s="295"/>
      <c r="Q1521" s="295"/>
      <c r="R1521" s="296"/>
    </row>
    <row r="1522" spans="1:18" ht="24" customHeight="1">
      <c r="A1522" s="33" t="s">
        <v>8</v>
      </c>
      <c r="B1522" s="33" t="s">
        <v>9</v>
      </c>
      <c r="C1522" s="34" t="s">
        <v>10</v>
      </c>
      <c r="D1522" s="33" t="s">
        <v>11</v>
      </c>
      <c r="E1522" s="33" t="s">
        <v>12</v>
      </c>
      <c r="F1522" s="35" t="s">
        <v>13</v>
      </c>
      <c r="G1522" s="36" t="s">
        <v>14</v>
      </c>
      <c r="H1522" s="33" t="s">
        <v>15</v>
      </c>
      <c r="I1522" s="37" t="s">
        <v>16</v>
      </c>
      <c r="J1522" s="38" t="s">
        <v>17</v>
      </c>
      <c r="K1522" s="39" t="s">
        <v>18</v>
      </c>
      <c r="L1522" s="38" t="s">
        <v>19</v>
      </c>
      <c r="M1522" s="38" t="s">
        <v>20</v>
      </c>
      <c r="N1522" s="38" t="s">
        <v>21</v>
      </c>
      <c r="O1522" s="33" t="s">
        <v>22</v>
      </c>
      <c r="P1522" s="34" t="s">
        <v>23</v>
      </c>
      <c r="Q1522" s="38" t="s">
        <v>24</v>
      </c>
      <c r="R1522" s="33" t="s">
        <v>25</v>
      </c>
    </row>
    <row r="1523" spans="1:18" ht="15" customHeight="1">
      <c r="A1523" s="8" t="s">
        <v>38</v>
      </c>
      <c r="B1523" s="8" t="s">
        <v>809</v>
      </c>
      <c r="C1523" s="9">
        <v>0.57638888888888895</v>
      </c>
      <c r="D1523" s="8" t="s">
        <v>40</v>
      </c>
      <c r="E1523" s="8" t="s">
        <v>41</v>
      </c>
      <c r="F1523" s="8" t="s">
        <v>475</v>
      </c>
      <c r="G1523" s="297"/>
      <c r="H1523" s="10"/>
      <c r="I1523" s="11"/>
      <c r="J1523" s="11"/>
      <c r="K1523" s="11"/>
      <c r="L1523" s="11"/>
      <c r="M1523" s="11"/>
      <c r="N1523" s="11"/>
      <c r="O1523" s="12"/>
      <c r="P1523" s="11"/>
      <c r="Q1523" s="13"/>
      <c r="R1523" s="14"/>
    </row>
    <row r="1524" spans="1:18" ht="15" customHeight="1">
      <c r="A1524" s="15" t="s">
        <v>38</v>
      </c>
      <c r="B1524" s="15" t="s">
        <v>809</v>
      </c>
      <c r="C1524" s="16">
        <v>0.57638888888888895</v>
      </c>
      <c r="D1524" s="15" t="s">
        <v>43</v>
      </c>
      <c r="E1524" s="15" t="s">
        <v>44</v>
      </c>
      <c r="F1524" s="15" t="s">
        <v>121</v>
      </c>
      <c r="G1524" s="298"/>
      <c r="H1524" s="10"/>
      <c r="I1524" s="11"/>
      <c r="J1524" s="11"/>
      <c r="K1524" s="11"/>
      <c r="L1524" s="11"/>
      <c r="M1524" s="11"/>
      <c r="N1524" s="11"/>
      <c r="O1524" s="12"/>
      <c r="P1524" s="11"/>
      <c r="Q1524" s="13"/>
      <c r="R1524" s="14"/>
    </row>
    <row r="1525" spans="1:18" ht="15" customHeight="1">
      <c r="A1525" s="15" t="s">
        <v>38</v>
      </c>
      <c r="B1525" s="15" t="s">
        <v>809</v>
      </c>
      <c r="C1525" s="16">
        <v>0.57638888888888895</v>
      </c>
      <c r="D1525" s="15" t="s">
        <v>46</v>
      </c>
      <c r="E1525" s="15" t="s">
        <v>44</v>
      </c>
      <c r="F1525" s="15" t="s">
        <v>810</v>
      </c>
      <c r="G1525" s="298"/>
      <c r="H1525" s="10"/>
      <c r="I1525" s="11"/>
      <c r="J1525" s="11"/>
      <c r="K1525" s="11"/>
      <c r="L1525" s="11"/>
      <c r="M1525" s="11"/>
      <c r="N1525" s="11"/>
      <c r="O1525" s="12"/>
      <c r="P1525" s="11"/>
      <c r="Q1525" s="13"/>
      <c r="R1525" s="14"/>
    </row>
    <row r="1526" spans="1:18" ht="15" customHeight="1">
      <c r="A1526" s="17" t="s">
        <v>38</v>
      </c>
      <c r="B1526" s="17" t="s">
        <v>811</v>
      </c>
      <c r="C1526" s="18">
        <v>0.62847222222222221</v>
      </c>
      <c r="D1526" s="17" t="s">
        <v>40</v>
      </c>
      <c r="E1526" s="17" t="s">
        <v>194</v>
      </c>
      <c r="F1526" s="17" t="s">
        <v>475</v>
      </c>
      <c r="G1526" s="298"/>
      <c r="H1526" s="10"/>
      <c r="I1526" s="11"/>
      <c r="J1526" s="11"/>
      <c r="K1526" s="11"/>
      <c r="L1526" s="11"/>
      <c r="M1526" s="11"/>
      <c r="N1526" s="11"/>
      <c r="O1526" s="12"/>
      <c r="P1526" s="11"/>
      <c r="Q1526" s="13"/>
      <c r="R1526" s="14"/>
    </row>
    <row r="1527" spans="1:18" ht="15" customHeight="1">
      <c r="A1527" s="15" t="s">
        <v>38</v>
      </c>
      <c r="B1527" s="15" t="s">
        <v>811</v>
      </c>
      <c r="C1527" s="16">
        <v>0.62847222222222221</v>
      </c>
      <c r="D1527" s="15" t="s">
        <v>43</v>
      </c>
      <c r="E1527" s="15" t="s">
        <v>195</v>
      </c>
      <c r="F1527" s="15" t="s">
        <v>121</v>
      </c>
      <c r="G1527" s="298"/>
      <c r="H1527" s="10"/>
      <c r="I1527" s="11"/>
      <c r="J1527" s="11"/>
      <c r="K1527" s="11"/>
      <c r="L1527" s="11"/>
      <c r="M1527" s="11"/>
      <c r="N1527" s="11"/>
      <c r="O1527" s="12"/>
      <c r="P1527" s="11"/>
      <c r="Q1527" s="13"/>
      <c r="R1527" s="14"/>
    </row>
    <row r="1528" spans="1:18" ht="15" customHeight="1">
      <c r="A1528" s="15" t="s">
        <v>38</v>
      </c>
      <c r="B1528" s="15" t="s">
        <v>811</v>
      </c>
      <c r="C1528" s="16">
        <v>0.62847222222222221</v>
      </c>
      <c r="D1528" s="15" t="s">
        <v>46</v>
      </c>
      <c r="E1528" s="15" t="s">
        <v>195</v>
      </c>
      <c r="F1528" s="15" t="s">
        <v>810</v>
      </c>
      <c r="G1528" s="298"/>
      <c r="H1528" s="10"/>
      <c r="I1528" s="11"/>
      <c r="J1528" s="11"/>
      <c r="K1528" s="11"/>
      <c r="L1528" s="11"/>
      <c r="M1528" s="11"/>
      <c r="N1528" s="11"/>
      <c r="O1528" s="12"/>
      <c r="P1528" s="11"/>
      <c r="Q1528" s="13"/>
      <c r="R1528" s="14"/>
    </row>
    <row r="1529" spans="1:18" ht="15" customHeight="1">
      <c r="A1529" s="17" t="s">
        <v>38</v>
      </c>
      <c r="B1529" s="17" t="s">
        <v>812</v>
      </c>
      <c r="C1529" s="18">
        <v>0.88888888888888884</v>
      </c>
      <c r="D1529" s="17" t="s">
        <v>40</v>
      </c>
      <c r="E1529" s="17" t="s">
        <v>959</v>
      </c>
      <c r="F1529" s="17" t="s">
        <v>83</v>
      </c>
      <c r="G1529" s="298"/>
      <c r="H1529" s="10"/>
      <c r="I1529" s="11"/>
      <c r="J1529" s="11"/>
      <c r="K1529" s="11"/>
      <c r="L1529" s="11"/>
      <c r="M1529" s="11"/>
      <c r="N1529" s="11"/>
      <c r="O1529" s="12"/>
      <c r="P1529" s="11"/>
      <c r="Q1529" s="13"/>
      <c r="R1529" s="14"/>
    </row>
    <row r="1530" spans="1:18" ht="15" customHeight="1">
      <c r="A1530" s="15" t="s">
        <v>38</v>
      </c>
      <c r="B1530" s="15" t="s">
        <v>812</v>
      </c>
      <c r="C1530" s="16">
        <v>0.88888888888888884</v>
      </c>
      <c r="D1530" s="15" t="s">
        <v>43</v>
      </c>
      <c r="E1530" s="15" t="s">
        <v>960</v>
      </c>
      <c r="F1530" s="15" t="s">
        <v>162</v>
      </c>
      <c r="G1530" s="298"/>
      <c r="H1530" s="10"/>
      <c r="I1530" s="11"/>
      <c r="J1530" s="11"/>
      <c r="K1530" s="11"/>
      <c r="L1530" s="11"/>
      <c r="M1530" s="11"/>
      <c r="N1530" s="11"/>
      <c r="O1530" s="12"/>
      <c r="P1530" s="11"/>
      <c r="Q1530" s="13"/>
      <c r="R1530" s="14"/>
    </row>
    <row r="1531" spans="1:18" ht="15" customHeight="1">
      <c r="A1531" s="15" t="s">
        <v>38</v>
      </c>
      <c r="B1531" s="15" t="s">
        <v>812</v>
      </c>
      <c r="C1531" s="16">
        <v>0.88888888888888884</v>
      </c>
      <c r="D1531" s="15" t="s">
        <v>46</v>
      </c>
      <c r="E1531" s="15" t="s">
        <v>960</v>
      </c>
      <c r="F1531" s="15" t="s">
        <v>810</v>
      </c>
      <c r="G1531" s="298"/>
      <c r="H1531" s="10"/>
      <c r="I1531" s="11"/>
      <c r="J1531" s="11"/>
      <c r="K1531" s="11"/>
      <c r="L1531" s="11"/>
      <c r="M1531" s="11"/>
      <c r="N1531" s="11"/>
      <c r="O1531" s="12"/>
      <c r="P1531" s="11"/>
      <c r="Q1531" s="13"/>
      <c r="R1531" s="14"/>
    </row>
    <row r="1532" spans="1:18" ht="15" customHeight="1">
      <c r="A1532" s="17" t="s">
        <v>38</v>
      </c>
      <c r="B1532" s="17" t="s">
        <v>813</v>
      </c>
      <c r="C1532" s="18">
        <v>0.94444444444444453</v>
      </c>
      <c r="D1532" s="17" t="s">
        <v>40</v>
      </c>
      <c r="E1532" s="17" t="s">
        <v>964</v>
      </c>
      <c r="F1532" s="17" t="s">
        <v>83</v>
      </c>
      <c r="G1532" s="298"/>
      <c r="H1532" s="10"/>
      <c r="I1532" s="11"/>
      <c r="J1532" s="11"/>
      <c r="K1532" s="11"/>
      <c r="L1532" s="11"/>
      <c r="M1532" s="11"/>
      <c r="N1532" s="11"/>
      <c r="O1532" s="12"/>
      <c r="P1532" s="11"/>
      <c r="Q1532" s="13"/>
      <c r="R1532" s="14"/>
    </row>
    <row r="1533" spans="1:18" ht="15" customHeight="1">
      <c r="A1533" s="15" t="s">
        <v>38</v>
      </c>
      <c r="B1533" s="15" t="s">
        <v>813</v>
      </c>
      <c r="C1533" s="16">
        <v>0.94444444444444453</v>
      </c>
      <c r="D1533" s="15" t="s">
        <v>43</v>
      </c>
      <c r="E1533" s="15" t="s">
        <v>965</v>
      </c>
      <c r="F1533" s="15" t="s">
        <v>162</v>
      </c>
      <c r="G1533" s="298"/>
      <c r="H1533" s="10"/>
      <c r="I1533" s="11"/>
      <c r="J1533" s="11"/>
      <c r="K1533" s="11"/>
      <c r="L1533" s="11"/>
      <c r="M1533" s="11"/>
      <c r="N1533" s="11"/>
      <c r="O1533" s="12"/>
      <c r="P1533" s="11"/>
      <c r="Q1533" s="13"/>
      <c r="R1533" s="14"/>
    </row>
    <row r="1534" spans="1:18" ht="15" customHeight="1">
      <c r="A1534" s="15" t="s">
        <v>38</v>
      </c>
      <c r="B1534" s="15" t="s">
        <v>813</v>
      </c>
      <c r="C1534" s="16">
        <v>0.94444444444444453</v>
      </c>
      <c r="D1534" s="15" t="s">
        <v>46</v>
      </c>
      <c r="E1534" s="15" t="s">
        <v>965</v>
      </c>
      <c r="F1534" s="15" t="s">
        <v>810</v>
      </c>
      <c r="G1534" s="298"/>
      <c r="H1534" s="10"/>
      <c r="I1534" s="11"/>
      <c r="J1534" s="11"/>
      <c r="K1534" s="11"/>
      <c r="L1534" s="11"/>
      <c r="M1534" s="11"/>
      <c r="N1534" s="11"/>
      <c r="O1534" s="12"/>
      <c r="P1534" s="11"/>
      <c r="Q1534" s="13"/>
      <c r="R1534" s="14"/>
    </row>
    <row r="1535" spans="1:18" ht="15" customHeight="1">
      <c r="A1535" s="19" t="s">
        <v>68</v>
      </c>
      <c r="B1535" s="19" t="s">
        <v>842</v>
      </c>
      <c r="C1535" s="20">
        <v>0.98263888888888884</v>
      </c>
      <c r="D1535" s="19" t="s">
        <v>643</v>
      </c>
      <c r="E1535" s="19" t="s">
        <v>107</v>
      </c>
      <c r="F1535" s="19" t="s">
        <v>891</v>
      </c>
      <c r="G1535" s="298"/>
      <c r="H1535" s="10"/>
      <c r="I1535" s="11"/>
      <c r="J1535" s="11"/>
      <c r="K1535" s="11"/>
      <c r="L1535" s="11"/>
      <c r="M1535" s="11"/>
      <c r="N1535" s="11"/>
      <c r="O1535" s="12"/>
      <c r="P1535" s="11"/>
      <c r="Q1535" s="13"/>
      <c r="R1535" s="14"/>
    </row>
    <row r="1536" spans="1:18" ht="15" customHeight="1">
      <c r="A1536" s="17" t="s">
        <v>68</v>
      </c>
      <c r="B1536" s="17" t="s">
        <v>843</v>
      </c>
      <c r="C1536" s="18">
        <v>0.35416666666666669</v>
      </c>
      <c r="D1536" s="17" t="s">
        <v>70</v>
      </c>
      <c r="E1536" s="17" t="s">
        <v>57</v>
      </c>
      <c r="F1536" s="17" t="s">
        <v>404</v>
      </c>
      <c r="G1536" s="298"/>
      <c r="H1536" s="10"/>
      <c r="I1536" s="11"/>
      <c r="J1536" s="11"/>
      <c r="K1536" s="11"/>
      <c r="L1536" s="11"/>
      <c r="M1536" s="11"/>
      <c r="N1536" s="11"/>
      <c r="O1536" s="12"/>
      <c r="P1536" s="11"/>
      <c r="Q1536" s="13"/>
      <c r="R1536" s="14"/>
    </row>
    <row r="1537" spans="1:18" ht="15" customHeight="1">
      <c r="A1537" s="17" t="s">
        <v>68</v>
      </c>
      <c r="B1537" s="17" t="s">
        <v>844</v>
      </c>
      <c r="C1537" s="18">
        <v>0.72916666666666663</v>
      </c>
      <c r="D1537" s="17" t="s">
        <v>70</v>
      </c>
      <c r="E1537" s="17" t="s">
        <v>57</v>
      </c>
      <c r="F1537" s="17" t="s">
        <v>845</v>
      </c>
      <c r="G1537" s="298"/>
      <c r="H1537" s="10"/>
      <c r="I1537" s="11"/>
      <c r="J1537" s="11"/>
      <c r="K1537" s="11"/>
      <c r="L1537" s="11"/>
      <c r="M1537" s="11"/>
      <c r="N1537" s="11"/>
      <c r="O1537" s="12"/>
      <c r="P1537" s="11"/>
      <c r="Q1537" s="13"/>
      <c r="R1537" s="14"/>
    </row>
    <row r="1538" spans="1:18" ht="15" customHeight="1">
      <c r="A1538" s="19" t="s">
        <v>26</v>
      </c>
      <c r="B1538" s="19" t="s">
        <v>820</v>
      </c>
      <c r="C1538" s="20">
        <v>0.4375</v>
      </c>
      <c r="D1538" s="19" t="s">
        <v>28</v>
      </c>
      <c r="E1538" s="19" t="s">
        <v>80</v>
      </c>
      <c r="F1538" s="19" t="s">
        <v>81</v>
      </c>
      <c r="G1538" s="298"/>
      <c r="H1538" s="10"/>
      <c r="I1538" s="11"/>
      <c r="J1538" s="11"/>
      <c r="K1538" s="11"/>
      <c r="L1538" s="11"/>
      <c r="M1538" s="11"/>
      <c r="N1538" s="11"/>
      <c r="O1538" s="12"/>
      <c r="P1538" s="11"/>
      <c r="Q1538" s="13"/>
      <c r="R1538" s="14"/>
    </row>
    <row r="1539" spans="1:18" ht="15" customHeight="1">
      <c r="A1539" s="15" t="s">
        <v>26</v>
      </c>
      <c r="B1539" s="15" t="s">
        <v>820</v>
      </c>
      <c r="C1539" s="16">
        <v>0.4375</v>
      </c>
      <c r="D1539" s="15" t="s">
        <v>31</v>
      </c>
      <c r="E1539" s="15" t="s">
        <v>82</v>
      </c>
      <c r="F1539" s="15" t="s">
        <v>83</v>
      </c>
      <c r="G1539" s="298"/>
      <c r="H1539" s="10"/>
      <c r="I1539" s="11"/>
      <c r="J1539" s="11"/>
      <c r="K1539" s="11"/>
      <c r="L1539" s="11"/>
      <c r="M1539" s="11"/>
      <c r="N1539" s="11"/>
      <c r="O1539" s="12"/>
      <c r="P1539" s="11"/>
      <c r="Q1539" s="13"/>
      <c r="R1539" s="14"/>
    </row>
    <row r="1540" spans="1:18" ht="15" customHeight="1">
      <c r="A1540" s="15" t="s">
        <v>26</v>
      </c>
      <c r="B1540" s="15" t="s">
        <v>820</v>
      </c>
      <c r="C1540" s="16">
        <v>0.4375</v>
      </c>
      <c r="D1540" s="15" t="s">
        <v>34</v>
      </c>
      <c r="E1540" s="15" t="s">
        <v>82</v>
      </c>
      <c r="F1540" s="15" t="s">
        <v>45</v>
      </c>
      <c r="G1540" s="298"/>
      <c r="H1540" s="10"/>
      <c r="I1540" s="11"/>
      <c r="J1540" s="11"/>
      <c r="K1540" s="11"/>
      <c r="L1540" s="11"/>
      <c r="M1540" s="11"/>
      <c r="N1540" s="11"/>
      <c r="O1540" s="12"/>
      <c r="P1540" s="11"/>
      <c r="Q1540" s="13"/>
      <c r="R1540" s="14"/>
    </row>
    <row r="1541" spans="1:18" ht="15" customHeight="1">
      <c r="A1541" s="17" t="s">
        <v>26</v>
      </c>
      <c r="B1541" s="17" t="s">
        <v>821</v>
      </c>
      <c r="C1541" s="18">
        <v>0.63194444444444442</v>
      </c>
      <c r="D1541" s="17" t="s">
        <v>28</v>
      </c>
      <c r="E1541" s="17" t="s">
        <v>90</v>
      </c>
      <c r="F1541" s="17" t="s">
        <v>81</v>
      </c>
      <c r="G1541" s="298"/>
      <c r="H1541" s="10"/>
      <c r="I1541" s="11"/>
      <c r="J1541" s="11"/>
      <c r="K1541" s="11"/>
      <c r="L1541" s="11"/>
      <c r="M1541" s="11"/>
      <c r="N1541" s="11"/>
      <c r="O1541" s="12"/>
      <c r="P1541" s="11"/>
      <c r="Q1541" s="13"/>
      <c r="R1541" s="14"/>
    </row>
    <row r="1542" spans="1:18" ht="15" customHeight="1">
      <c r="A1542" s="15" t="s">
        <v>26</v>
      </c>
      <c r="B1542" s="15" t="s">
        <v>821</v>
      </c>
      <c r="C1542" s="16">
        <v>0.63194444444444442</v>
      </c>
      <c r="D1542" s="15" t="s">
        <v>31</v>
      </c>
      <c r="E1542" s="15" t="s">
        <v>82</v>
      </c>
      <c r="F1542" s="15" t="s">
        <v>83</v>
      </c>
      <c r="G1542" s="298"/>
      <c r="H1542" s="10"/>
      <c r="I1542" s="11"/>
      <c r="J1542" s="11"/>
      <c r="K1542" s="11"/>
      <c r="L1542" s="11"/>
      <c r="M1542" s="11"/>
      <c r="N1542" s="11"/>
      <c r="O1542" s="12"/>
      <c r="P1542" s="11"/>
      <c r="Q1542" s="13"/>
      <c r="R1542" s="14"/>
    </row>
    <row r="1543" spans="1:18" ht="15" customHeight="1">
      <c r="A1543" s="15" t="s">
        <v>26</v>
      </c>
      <c r="B1543" s="15" t="s">
        <v>821</v>
      </c>
      <c r="C1543" s="16">
        <v>0.63194444444444442</v>
      </c>
      <c r="D1543" s="15" t="s">
        <v>34</v>
      </c>
      <c r="E1543" s="15" t="s">
        <v>82</v>
      </c>
      <c r="F1543" s="15" t="s">
        <v>45</v>
      </c>
      <c r="G1543" s="298"/>
      <c r="H1543" s="10"/>
      <c r="I1543" s="11"/>
      <c r="J1543" s="11"/>
      <c r="K1543" s="11"/>
      <c r="L1543" s="11"/>
      <c r="M1543" s="11"/>
      <c r="N1543" s="11"/>
      <c r="O1543" s="12"/>
      <c r="P1543" s="11"/>
      <c r="Q1543" s="13"/>
      <c r="R1543" s="14"/>
    </row>
    <row r="1544" spans="1:18" ht="15" customHeight="1">
      <c r="A1544" s="17" t="s">
        <v>26</v>
      </c>
      <c r="B1544" s="17" t="s">
        <v>822</v>
      </c>
      <c r="C1544" s="18">
        <v>0.55902777777777779</v>
      </c>
      <c r="D1544" s="17" t="s">
        <v>28</v>
      </c>
      <c r="E1544" s="17" t="s">
        <v>427</v>
      </c>
      <c r="F1544" s="17" t="s">
        <v>81</v>
      </c>
      <c r="G1544" s="298"/>
      <c r="H1544" s="10"/>
      <c r="I1544" s="11"/>
      <c r="J1544" s="11"/>
      <c r="K1544" s="11"/>
      <c r="L1544" s="11"/>
      <c r="M1544" s="11"/>
      <c r="N1544" s="11"/>
      <c r="O1544" s="12"/>
      <c r="P1544" s="11"/>
      <c r="Q1544" s="13"/>
      <c r="R1544" s="14"/>
    </row>
    <row r="1545" spans="1:18" ht="15" customHeight="1">
      <c r="A1545" s="15" t="s">
        <v>26</v>
      </c>
      <c r="B1545" s="15" t="s">
        <v>822</v>
      </c>
      <c r="C1545" s="16">
        <v>0.55902777777777779</v>
      </c>
      <c r="D1545" s="15" t="s">
        <v>31</v>
      </c>
      <c r="E1545" s="15" t="s">
        <v>115</v>
      </c>
      <c r="F1545" s="15" t="s">
        <v>83</v>
      </c>
      <c r="G1545" s="298"/>
      <c r="H1545" s="10"/>
      <c r="I1545" s="11"/>
      <c r="J1545" s="11"/>
      <c r="K1545" s="11"/>
      <c r="L1545" s="11"/>
      <c r="M1545" s="11"/>
      <c r="N1545" s="11"/>
      <c r="O1545" s="12"/>
      <c r="P1545" s="11"/>
      <c r="Q1545" s="13"/>
      <c r="R1545" s="14"/>
    </row>
    <row r="1546" spans="1:18" ht="15" customHeight="1">
      <c r="A1546" s="15" t="s">
        <v>26</v>
      </c>
      <c r="B1546" s="15" t="s">
        <v>822</v>
      </c>
      <c r="C1546" s="16">
        <v>0.55902777777777779</v>
      </c>
      <c r="D1546" s="15" t="s">
        <v>34</v>
      </c>
      <c r="E1546" s="15" t="s">
        <v>115</v>
      </c>
      <c r="F1546" s="15" t="s">
        <v>45</v>
      </c>
      <c r="G1546" s="298"/>
      <c r="H1546" s="10"/>
      <c r="I1546" s="11"/>
      <c r="J1546" s="11"/>
      <c r="K1546" s="11"/>
      <c r="L1546" s="11"/>
      <c r="M1546" s="11"/>
      <c r="N1546" s="11"/>
      <c r="O1546" s="12"/>
      <c r="P1546" s="11"/>
      <c r="Q1546" s="13"/>
      <c r="R1546" s="14"/>
    </row>
    <row r="1547" spans="1:18" ht="15" customHeight="1">
      <c r="A1547" s="17" t="s">
        <v>26</v>
      </c>
      <c r="B1547" s="17" t="s">
        <v>824</v>
      </c>
      <c r="C1547" s="18">
        <v>0.50694444444444442</v>
      </c>
      <c r="D1547" s="17" t="s">
        <v>28</v>
      </c>
      <c r="E1547" s="17" t="s">
        <v>90</v>
      </c>
      <c r="F1547" s="17" t="s">
        <v>81</v>
      </c>
      <c r="G1547" s="298"/>
      <c r="H1547" s="10"/>
      <c r="I1547" s="11"/>
      <c r="J1547" s="11"/>
      <c r="K1547" s="11"/>
      <c r="L1547" s="11"/>
      <c r="M1547" s="11"/>
      <c r="N1547" s="11"/>
      <c r="O1547" s="12"/>
      <c r="P1547" s="11"/>
      <c r="Q1547" s="13"/>
      <c r="R1547" s="14"/>
    </row>
    <row r="1548" spans="1:18" ht="15" customHeight="1">
      <c r="A1548" s="15" t="s">
        <v>26</v>
      </c>
      <c r="B1548" s="15" t="s">
        <v>824</v>
      </c>
      <c r="C1548" s="16">
        <v>0.50694444444444442</v>
      </c>
      <c r="D1548" s="15" t="s">
        <v>31</v>
      </c>
      <c r="E1548" s="15" t="s">
        <v>82</v>
      </c>
      <c r="F1548" s="15" t="s">
        <v>83</v>
      </c>
      <c r="G1548" s="298"/>
      <c r="H1548" s="10"/>
      <c r="I1548" s="11"/>
      <c r="J1548" s="11"/>
      <c r="K1548" s="11"/>
      <c r="L1548" s="11"/>
      <c r="M1548" s="11"/>
      <c r="N1548" s="11"/>
      <c r="O1548" s="12"/>
      <c r="P1548" s="11"/>
      <c r="Q1548" s="13"/>
      <c r="R1548" s="14"/>
    </row>
    <row r="1549" spans="1:18" ht="15" customHeight="1">
      <c r="A1549" s="15" t="s">
        <v>26</v>
      </c>
      <c r="B1549" s="15" t="s">
        <v>824</v>
      </c>
      <c r="C1549" s="16">
        <v>0.50694444444444442</v>
      </c>
      <c r="D1549" s="15" t="s">
        <v>34</v>
      </c>
      <c r="E1549" s="15" t="s">
        <v>82</v>
      </c>
      <c r="F1549" s="15" t="s">
        <v>45</v>
      </c>
      <c r="G1549" s="298"/>
      <c r="H1549" s="10"/>
      <c r="I1549" s="11"/>
      <c r="J1549" s="11"/>
      <c r="K1549" s="11"/>
      <c r="L1549" s="11"/>
      <c r="M1549" s="11"/>
      <c r="N1549" s="11"/>
      <c r="O1549" s="12"/>
      <c r="P1549" s="11"/>
      <c r="Q1549" s="13"/>
      <c r="R1549" s="14"/>
    </row>
    <row r="1550" spans="1:18" ht="15" customHeight="1">
      <c r="A1550" s="17" t="s">
        <v>26</v>
      </c>
      <c r="B1550" s="17" t="s">
        <v>825</v>
      </c>
      <c r="C1550" s="18">
        <v>0.69791666666666663</v>
      </c>
      <c r="D1550" s="17" t="s">
        <v>28</v>
      </c>
      <c r="E1550" s="17" t="s">
        <v>90</v>
      </c>
      <c r="F1550" s="17" t="s">
        <v>81</v>
      </c>
      <c r="G1550" s="298"/>
      <c r="H1550" s="10"/>
      <c r="I1550" s="11"/>
      <c r="J1550" s="11"/>
      <c r="K1550" s="11"/>
      <c r="L1550" s="11"/>
      <c r="M1550" s="11"/>
      <c r="N1550" s="11"/>
      <c r="O1550" s="12"/>
      <c r="P1550" s="11"/>
      <c r="Q1550" s="13"/>
      <c r="R1550" s="14"/>
    </row>
    <row r="1551" spans="1:18" ht="15" customHeight="1">
      <c r="A1551" s="15" t="s">
        <v>26</v>
      </c>
      <c r="B1551" s="15" t="s">
        <v>825</v>
      </c>
      <c r="C1551" s="16">
        <v>0.69791666666666663</v>
      </c>
      <c r="D1551" s="15" t="s">
        <v>31</v>
      </c>
      <c r="E1551" s="15" t="s">
        <v>82</v>
      </c>
      <c r="F1551" s="15" t="s">
        <v>83</v>
      </c>
      <c r="G1551" s="298"/>
      <c r="H1551" s="10"/>
      <c r="I1551" s="11"/>
      <c r="J1551" s="11"/>
      <c r="K1551" s="11"/>
      <c r="L1551" s="11"/>
      <c r="M1551" s="11"/>
      <c r="N1551" s="11"/>
      <c r="O1551" s="12"/>
      <c r="P1551" s="11"/>
      <c r="Q1551" s="13"/>
      <c r="R1551" s="14"/>
    </row>
    <row r="1552" spans="1:18" ht="15" customHeight="1">
      <c r="A1552" s="15" t="s">
        <v>26</v>
      </c>
      <c r="B1552" s="15" t="s">
        <v>825</v>
      </c>
      <c r="C1552" s="16">
        <v>0.69791666666666663</v>
      </c>
      <c r="D1552" s="15" t="s">
        <v>34</v>
      </c>
      <c r="E1552" s="15" t="s">
        <v>82</v>
      </c>
      <c r="F1552" s="15" t="s">
        <v>45</v>
      </c>
      <c r="G1552" s="298"/>
      <c r="H1552" s="10"/>
      <c r="I1552" s="11"/>
      <c r="J1552" s="11"/>
      <c r="K1552" s="11"/>
      <c r="L1552" s="11"/>
      <c r="M1552" s="11"/>
      <c r="N1552" s="11"/>
      <c r="O1552" s="12"/>
      <c r="P1552" s="11"/>
      <c r="Q1552" s="13"/>
      <c r="R1552" s="14"/>
    </row>
    <row r="1553" spans="1:18" ht="15" customHeight="1">
      <c r="A1553" s="17" t="s">
        <v>26</v>
      </c>
      <c r="B1553" s="17" t="s">
        <v>826</v>
      </c>
      <c r="C1553" s="18">
        <v>0.95833333333333337</v>
      </c>
      <c r="D1553" s="17" t="s">
        <v>28</v>
      </c>
      <c r="E1553" s="17" t="s">
        <v>90</v>
      </c>
      <c r="F1553" s="17" t="s">
        <v>827</v>
      </c>
      <c r="G1553" s="298"/>
      <c r="H1553" s="10"/>
      <c r="I1553" s="11"/>
      <c r="J1553" s="11"/>
      <c r="K1553" s="11"/>
      <c r="L1553" s="11"/>
      <c r="M1553" s="11"/>
      <c r="N1553" s="11"/>
      <c r="O1553" s="12"/>
      <c r="P1553" s="11"/>
      <c r="Q1553" s="13"/>
      <c r="R1553" s="14"/>
    </row>
    <row r="1554" spans="1:18" ht="15" customHeight="1">
      <c r="A1554" s="15" t="s">
        <v>26</v>
      </c>
      <c r="B1554" s="15" t="s">
        <v>826</v>
      </c>
      <c r="C1554" s="16">
        <v>0.95833333333333337</v>
      </c>
      <c r="D1554" s="15" t="s">
        <v>31</v>
      </c>
      <c r="E1554" s="15" t="s">
        <v>82</v>
      </c>
      <c r="F1554" s="15" t="s">
        <v>161</v>
      </c>
      <c r="G1554" s="298"/>
      <c r="H1554" s="10"/>
      <c r="I1554" s="11"/>
      <c r="J1554" s="11"/>
      <c r="K1554" s="11"/>
      <c r="L1554" s="11"/>
      <c r="M1554" s="11"/>
      <c r="N1554" s="11"/>
      <c r="O1554" s="12"/>
      <c r="P1554" s="11"/>
      <c r="Q1554" s="13"/>
      <c r="R1554" s="14"/>
    </row>
    <row r="1555" spans="1:18" ht="15" customHeight="1">
      <c r="A1555" s="15" t="s">
        <v>26</v>
      </c>
      <c r="B1555" s="15" t="s">
        <v>826</v>
      </c>
      <c r="C1555" s="16">
        <v>0.95833333333333337</v>
      </c>
      <c r="D1555" s="15" t="s">
        <v>34</v>
      </c>
      <c r="E1555" s="15" t="s">
        <v>82</v>
      </c>
      <c r="F1555" s="15" t="s">
        <v>123</v>
      </c>
      <c r="G1555" s="298"/>
      <c r="H1555" s="10"/>
      <c r="I1555" s="11"/>
      <c r="J1555" s="11"/>
      <c r="K1555" s="11"/>
      <c r="L1555" s="11"/>
      <c r="M1555" s="11"/>
      <c r="N1555" s="11"/>
      <c r="O1555" s="12"/>
      <c r="P1555" s="11"/>
      <c r="Q1555" s="13"/>
      <c r="R1555" s="14"/>
    </row>
    <row r="1556" spans="1:18" ht="15" customHeight="1">
      <c r="A1556" s="17" t="s">
        <v>26</v>
      </c>
      <c r="B1556" s="17" t="s">
        <v>823</v>
      </c>
      <c r="C1556" s="18">
        <v>0.81944444444444453</v>
      </c>
      <c r="D1556" s="17" t="s">
        <v>28</v>
      </c>
      <c r="E1556" s="17" t="s">
        <v>90</v>
      </c>
      <c r="F1556" s="17" t="s">
        <v>827</v>
      </c>
      <c r="G1556" s="298"/>
      <c r="H1556" s="10"/>
      <c r="I1556" s="11"/>
      <c r="J1556" s="11"/>
      <c r="K1556" s="11"/>
      <c r="L1556" s="11"/>
      <c r="M1556" s="11"/>
      <c r="N1556" s="11"/>
      <c r="O1556" s="12"/>
      <c r="P1556" s="11"/>
      <c r="Q1556" s="13"/>
      <c r="R1556" s="14"/>
    </row>
    <row r="1557" spans="1:18" ht="15" customHeight="1">
      <c r="A1557" s="15" t="s">
        <v>26</v>
      </c>
      <c r="B1557" s="15" t="s">
        <v>823</v>
      </c>
      <c r="C1557" s="16">
        <v>0.81944444444444453</v>
      </c>
      <c r="D1557" s="15" t="s">
        <v>31</v>
      </c>
      <c r="E1557" s="15" t="s">
        <v>82</v>
      </c>
      <c r="F1557" s="15" t="s">
        <v>161</v>
      </c>
      <c r="G1557" s="298"/>
      <c r="H1557" s="10"/>
      <c r="I1557" s="11"/>
      <c r="J1557" s="11"/>
      <c r="K1557" s="11"/>
      <c r="L1557" s="11"/>
      <c r="M1557" s="11"/>
      <c r="N1557" s="11"/>
      <c r="O1557" s="12"/>
      <c r="P1557" s="11"/>
      <c r="Q1557" s="13"/>
      <c r="R1557" s="14"/>
    </row>
    <row r="1558" spans="1:18" ht="15" customHeight="1">
      <c r="A1558" s="15" t="s">
        <v>26</v>
      </c>
      <c r="B1558" s="15" t="s">
        <v>823</v>
      </c>
      <c r="C1558" s="16">
        <v>0.81944444444444453</v>
      </c>
      <c r="D1558" s="15" t="s">
        <v>34</v>
      </c>
      <c r="E1558" s="15" t="s">
        <v>82</v>
      </c>
      <c r="F1558" s="15" t="s">
        <v>123</v>
      </c>
      <c r="G1558" s="298"/>
      <c r="H1558" s="10"/>
      <c r="I1558" s="11"/>
      <c r="J1558" s="11"/>
      <c r="K1558" s="11"/>
      <c r="L1558" s="11"/>
      <c r="M1558" s="11"/>
      <c r="N1558" s="11"/>
      <c r="O1558" s="12"/>
      <c r="P1558" s="11"/>
      <c r="Q1558" s="13"/>
      <c r="R1558" s="14"/>
    </row>
    <row r="1559" spans="1:18" ht="15" customHeight="1">
      <c r="A1559" s="87" t="s">
        <v>61</v>
      </c>
      <c r="B1559" s="87" t="s">
        <v>816</v>
      </c>
      <c r="C1559" s="88">
        <v>0.41319444444444442</v>
      </c>
      <c r="D1559" s="87" t="s">
        <v>63</v>
      </c>
      <c r="E1559" s="87" t="s">
        <v>51</v>
      </c>
      <c r="F1559" s="87" t="s">
        <v>849</v>
      </c>
      <c r="G1559" s="298"/>
      <c r="H1559" s="89" t="s">
        <v>818</v>
      </c>
      <c r="I1559" s="90">
        <v>1.6799999999999999E-2</v>
      </c>
      <c r="J1559" s="91">
        <v>3</v>
      </c>
      <c r="K1559" s="92">
        <v>46339</v>
      </c>
      <c r="L1559" s="91">
        <v>3</v>
      </c>
      <c r="M1559" s="91">
        <v>0</v>
      </c>
      <c r="N1559" s="91">
        <v>0</v>
      </c>
      <c r="O1559" s="93" t="s">
        <v>877</v>
      </c>
      <c r="P1559" s="94">
        <v>0.41319444444444442</v>
      </c>
      <c r="Q1559" s="91">
        <v>179</v>
      </c>
      <c r="R1559" s="95" t="s">
        <v>967</v>
      </c>
    </row>
    <row r="1560" spans="1:18" ht="15" customHeight="1">
      <c r="A1560" s="19" t="s">
        <v>359</v>
      </c>
      <c r="B1560" s="19" t="s">
        <v>814</v>
      </c>
      <c r="C1560" s="20">
        <v>0.4375</v>
      </c>
      <c r="D1560" s="19" t="s">
        <v>361</v>
      </c>
      <c r="E1560" s="19" t="s">
        <v>80</v>
      </c>
      <c r="F1560" s="19" t="s">
        <v>949</v>
      </c>
      <c r="G1560" s="298"/>
      <c r="H1560" s="10"/>
      <c r="I1560" s="11"/>
      <c r="J1560" s="11"/>
      <c r="K1560" s="11"/>
      <c r="L1560" s="11"/>
      <c r="M1560" s="11"/>
      <c r="N1560" s="11"/>
      <c r="O1560" s="12"/>
      <c r="P1560" s="11"/>
      <c r="Q1560" s="13"/>
      <c r="R1560" s="14"/>
    </row>
    <row r="1561" spans="1:18" ht="15" customHeight="1">
      <c r="A1561" s="15" t="s">
        <v>359</v>
      </c>
      <c r="B1561" s="15" t="s">
        <v>814</v>
      </c>
      <c r="C1561" s="16">
        <v>0.4375</v>
      </c>
      <c r="D1561" s="15" t="s">
        <v>46</v>
      </c>
      <c r="E1561" s="15" t="s">
        <v>82</v>
      </c>
      <c r="F1561" s="15" t="s">
        <v>950</v>
      </c>
      <c r="G1561" s="298"/>
      <c r="H1561" s="10"/>
      <c r="I1561" s="11"/>
      <c r="J1561" s="11"/>
      <c r="K1561" s="11"/>
      <c r="L1561" s="11"/>
      <c r="M1561" s="11"/>
      <c r="N1561" s="11"/>
      <c r="O1561" s="12"/>
      <c r="P1561" s="11"/>
      <c r="Q1561" s="13"/>
      <c r="R1561" s="14"/>
    </row>
    <row r="1562" spans="1:18" ht="15" customHeight="1">
      <c r="A1562" s="19" t="s">
        <v>402</v>
      </c>
      <c r="B1562" s="19" t="s">
        <v>839</v>
      </c>
      <c r="C1562" s="20">
        <v>0.1701388888888889</v>
      </c>
      <c r="D1562" s="19" t="s">
        <v>63</v>
      </c>
      <c r="E1562" s="19" t="s">
        <v>107</v>
      </c>
      <c r="F1562" s="19" t="s">
        <v>881</v>
      </c>
      <c r="G1562" s="298"/>
      <c r="H1562" s="10"/>
      <c r="I1562" s="11"/>
      <c r="J1562" s="11"/>
      <c r="K1562" s="11"/>
      <c r="L1562" s="11"/>
      <c r="M1562" s="11"/>
      <c r="N1562" s="11"/>
      <c r="O1562" s="12"/>
      <c r="P1562" s="11"/>
      <c r="Q1562" s="13"/>
      <c r="R1562" s="14"/>
    </row>
    <row r="1563" spans="1:18" ht="15" customHeight="1">
      <c r="A1563" s="17" t="s">
        <v>402</v>
      </c>
      <c r="B1563" s="17" t="s">
        <v>841</v>
      </c>
      <c r="C1563" s="18">
        <v>0.61458333333333337</v>
      </c>
      <c r="D1563" s="17" t="s">
        <v>63</v>
      </c>
      <c r="E1563" s="17" t="s">
        <v>435</v>
      </c>
      <c r="F1563" s="17" t="s">
        <v>881</v>
      </c>
      <c r="G1563" s="298"/>
      <c r="H1563" s="10"/>
      <c r="I1563" s="11"/>
      <c r="J1563" s="11"/>
      <c r="K1563" s="11"/>
      <c r="L1563" s="11"/>
      <c r="M1563" s="11"/>
      <c r="N1563" s="11"/>
      <c r="O1563" s="12"/>
      <c r="P1563" s="11"/>
      <c r="Q1563" s="13"/>
      <c r="R1563" s="14"/>
    </row>
    <row r="1564" spans="1:18" ht="15" customHeight="1">
      <c r="A1564" s="19" t="s">
        <v>48</v>
      </c>
      <c r="B1564" s="19" t="s">
        <v>837</v>
      </c>
      <c r="C1564" s="20">
        <v>0.62847222222222221</v>
      </c>
      <c r="D1564" s="19" t="s">
        <v>53</v>
      </c>
      <c r="E1564" s="19" t="s">
        <v>29</v>
      </c>
      <c r="F1564" s="19" t="s">
        <v>836</v>
      </c>
      <c r="G1564" s="298"/>
      <c r="H1564" s="10"/>
      <c r="I1564" s="11"/>
      <c r="J1564" s="11"/>
      <c r="K1564" s="11"/>
      <c r="L1564" s="11"/>
      <c r="M1564" s="11"/>
      <c r="N1564" s="11"/>
      <c r="O1564" s="12"/>
      <c r="P1564" s="11"/>
      <c r="Q1564" s="13"/>
      <c r="R1564" s="14"/>
    </row>
    <row r="1565" spans="1:18" ht="15" customHeight="1">
      <c r="A1565" s="17" t="s">
        <v>48</v>
      </c>
      <c r="B1565" s="17" t="s">
        <v>835</v>
      </c>
      <c r="C1565" s="18">
        <v>0.88888888888888884</v>
      </c>
      <c r="D1565" s="17" t="s">
        <v>53</v>
      </c>
      <c r="E1565" s="17" t="s">
        <v>37</v>
      </c>
      <c r="F1565" s="17" t="s">
        <v>946</v>
      </c>
      <c r="G1565" s="298"/>
      <c r="H1565" s="10"/>
      <c r="I1565" s="11"/>
      <c r="J1565" s="11"/>
      <c r="K1565" s="11"/>
      <c r="L1565" s="11"/>
      <c r="M1565" s="11"/>
      <c r="N1565" s="11"/>
      <c r="O1565" s="12"/>
      <c r="P1565" s="11"/>
      <c r="Q1565" s="13"/>
      <c r="R1565" s="14"/>
    </row>
    <row r="1566" spans="1:18" ht="15" customHeight="1">
      <c r="A1566" s="17" t="s">
        <v>48</v>
      </c>
      <c r="B1566" s="17" t="s">
        <v>838</v>
      </c>
      <c r="C1566" s="18">
        <v>0.94444444444444453</v>
      </c>
      <c r="D1566" s="17" t="s">
        <v>53</v>
      </c>
      <c r="E1566" s="17" t="s">
        <v>37</v>
      </c>
      <c r="F1566" s="17" t="s">
        <v>946</v>
      </c>
      <c r="G1566" s="298"/>
      <c r="H1566" s="10"/>
      <c r="I1566" s="11"/>
      <c r="J1566" s="11"/>
      <c r="K1566" s="11"/>
      <c r="L1566" s="11"/>
      <c r="M1566" s="11"/>
      <c r="N1566" s="11"/>
      <c r="O1566" s="12"/>
      <c r="P1566" s="11"/>
      <c r="Q1566" s="13"/>
      <c r="R1566" s="14"/>
    </row>
    <row r="1567" spans="1:18" ht="15" customHeight="1">
      <c r="A1567" s="17" t="s">
        <v>48</v>
      </c>
      <c r="B1567" s="17" t="s">
        <v>833</v>
      </c>
      <c r="C1567" s="18">
        <v>0.44444444444444442</v>
      </c>
      <c r="D1567" s="17" t="s">
        <v>53</v>
      </c>
      <c r="E1567" s="17" t="s">
        <v>57</v>
      </c>
      <c r="F1567" s="17" t="s">
        <v>870</v>
      </c>
      <c r="G1567" s="298"/>
      <c r="H1567" s="10"/>
      <c r="I1567" s="11"/>
      <c r="J1567" s="11"/>
      <c r="K1567" s="11"/>
      <c r="L1567" s="11"/>
      <c r="M1567" s="11"/>
      <c r="N1567" s="11"/>
      <c r="O1567" s="12"/>
      <c r="P1567" s="11"/>
      <c r="Q1567" s="13"/>
      <c r="R1567" s="14"/>
    </row>
    <row r="1568" spans="1:18" ht="15" customHeight="1">
      <c r="A1568" s="17" t="s">
        <v>48</v>
      </c>
      <c r="B1568" s="17" t="s">
        <v>828</v>
      </c>
      <c r="C1568" s="18">
        <v>0.82986111111111116</v>
      </c>
      <c r="D1568" s="17" t="s">
        <v>53</v>
      </c>
      <c r="E1568" s="17" t="s">
        <v>57</v>
      </c>
      <c r="F1568" s="17" t="s">
        <v>870</v>
      </c>
      <c r="G1568" s="298"/>
      <c r="H1568" s="10"/>
      <c r="I1568" s="11"/>
      <c r="J1568" s="11"/>
      <c r="K1568" s="11"/>
      <c r="L1568" s="11"/>
      <c r="M1568" s="11"/>
      <c r="N1568" s="11"/>
      <c r="O1568" s="12"/>
      <c r="P1568" s="11"/>
      <c r="Q1568" s="13"/>
      <c r="R1568" s="14"/>
    </row>
    <row r="1569" spans="1:18" ht="15" customHeight="1">
      <c r="A1569" s="17" t="s">
        <v>48</v>
      </c>
      <c r="B1569" s="17" t="s">
        <v>831</v>
      </c>
      <c r="C1569" s="18">
        <v>0.98263888888888884</v>
      </c>
      <c r="D1569" s="17" t="s">
        <v>53</v>
      </c>
      <c r="E1569" s="17" t="s">
        <v>57</v>
      </c>
      <c r="F1569" s="17" t="s">
        <v>870</v>
      </c>
      <c r="G1569" s="298"/>
      <c r="H1569" s="10"/>
      <c r="I1569" s="11"/>
      <c r="J1569" s="11"/>
      <c r="K1569" s="11"/>
      <c r="L1569" s="11"/>
      <c r="M1569" s="11"/>
      <c r="N1569" s="11"/>
      <c r="O1569" s="12"/>
      <c r="P1569" s="11"/>
      <c r="Q1569" s="13"/>
      <c r="R1569" s="14"/>
    </row>
    <row r="1570" spans="1:18" ht="15" customHeight="1" thickBot="1">
      <c r="A1570" s="30" t="s">
        <v>48</v>
      </c>
      <c r="B1570" s="30" t="s">
        <v>832</v>
      </c>
      <c r="C1570" s="31">
        <v>0.62847222222222221</v>
      </c>
      <c r="D1570" s="30" t="s">
        <v>53</v>
      </c>
      <c r="E1570" s="30" t="s">
        <v>57</v>
      </c>
      <c r="F1570" s="30" t="s">
        <v>870</v>
      </c>
      <c r="G1570" s="299"/>
      <c r="H1570" s="300"/>
      <c r="I1570" s="140"/>
      <c r="J1570" s="140"/>
      <c r="K1570" s="140"/>
      <c r="L1570" s="140"/>
      <c r="M1570" s="140"/>
      <c r="N1570" s="140"/>
      <c r="O1570" s="141"/>
      <c r="P1570" s="140"/>
      <c r="Q1570" s="142"/>
      <c r="R1570" s="301"/>
    </row>
    <row r="1571" spans="1:18" ht="17.45" customHeight="1" thickBot="1">
      <c r="A1571" s="283"/>
      <c r="B1571" s="284"/>
      <c r="C1571" s="284"/>
      <c r="D1571" s="284"/>
      <c r="E1571" s="284"/>
      <c r="F1571" s="284"/>
      <c r="G1571" s="284"/>
      <c r="H1571" s="284"/>
      <c r="I1571" s="284"/>
      <c r="J1571" s="284"/>
      <c r="K1571" s="284"/>
      <c r="L1571" s="284"/>
      <c r="M1571" s="284"/>
      <c r="N1571" s="284"/>
      <c r="O1571" s="284"/>
      <c r="P1571" s="284"/>
      <c r="Q1571" s="284"/>
      <c r="R1571" s="285"/>
    </row>
    <row r="1572" spans="1:18" ht="22.15" customHeight="1" thickTop="1" thickBot="1">
      <c r="A1572" s="279" t="s">
        <v>6</v>
      </c>
      <c r="B1572" s="295"/>
      <c r="C1572" s="295"/>
      <c r="D1572" s="295"/>
      <c r="E1572" s="295"/>
      <c r="F1572" s="296"/>
      <c r="G1572" s="32">
        <v>46052</v>
      </c>
      <c r="H1572" s="278" t="s">
        <v>7</v>
      </c>
      <c r="I1572" s="295"/>
      <c r="J1572" s="295"/>
      <c r="K1572" s="295"/>
      <c r="L1572" s="295"/>
      <c r="M1572" s="295"/>
      <c r="N1572" s="295"/>
      <c r="O1572" s="295"/>
      <c r="P1572" s="295"/>
      <c r="Q1572" s="295"/>
      <c r="R1572" s="296"/>
    </row>
    <row r="1573" spans="1:18" ht="24" customHeight="1">
      <c r="A1573" s="33" t="s">
        <v>8</v>
      </c>
      <c r="B1573" s="33" t="s">
        <v>9</v>
      </c>
      <c r="C1573" s="34" t="s">
        <v>10</v>
      </c>
      <c r="D1573" s="33" t="s">
        <v>11</v>
      </c>
      <c r="E1573" s="33" t="s">
        <v>12</v>
      </c>
      <c r="F1573" s="35" t="s">
        <v>13</v>
      </c>
      <c r="G1573" s="36" t="s">
        <v>14</v>
      </c>
      <c r="H1573" s="33" t="s">
        <v>15</v>
      </c>
      <c r="I1573" s="37" t="s">
        <v>16</v>
      </c>
      <c r="J1573" s="38" t="s">
        <v>17</v>
      </c>
      <c r="K1573" s="39" t="s">
        <v>18</v>
      </c>
      <c r="L1573" s="38" t="s">
        <v>19</v>
      </c>
      <c r="M1573" s="38" t="s">
        <v>20</v>
      </c>
      <c r="N1573" s="38" t="s">
        <v>21</v>
      </c>
      <c r="O1573" s="33" t="s">
        <v>22</v>
      </c>
      <c r="P1573" s="34" t="s">
        <v>23</v>
      </c>
      <c r="Q1573" s="38" t="s">
        <v>24</v>
      </c>
      <c r="R1573" s="33" t="s">
        <v>25</v>
      </c>
    </row>
    <row r="1574" spans="1:18" ht="15" customHeight="1">
      <c r="A1574" s="8" t="s">
        <v>38</v>
      </c>
      <c r="B1574" s="8" t="s">
        <v>809</v>
      </c>
      <c r="C1574" s="9">
        <v>0.57638888888888895</v>
      </c>
      <c r="D1574" s="8" t="s">
        <v>40</v>
      </c>
      <c r="E1574" s="8" t="s">
        <v>120</v>
      </c>
      <c r="F1574" s="8" t="s">
        <v>475</v>
      </c>
      <c r="G1574" s="302"/>
      <c r="H1574" s="10"/>
      <c r="I1574" s="11"/>
      <c r="J1574" s="11"/>
      <c r="K1574" s="11"/>
      <c r="L1574" s="11"/>
      <c r="M1574" s="11"/>
      <c r="N1574" s="11"/>
      <c r="O1574" s="12"/>
      <c r="P1574" s="11"/>
      <c r="Q1574" s="13"/>
      <c r="R1574" s="14"/>
    </row>
    <row r="1575" spans="1:18" ht="15" customHeight="1">
      <c r="A1575" s="15" t="s">
        <v>38</v>
      </c>
      <c r="B1575" s="15" t="s">
        <v>809</v>
      </c>
      <c r="C1575" s="16">
        <v>0.57638888888888895</v>
      </c>
      <c r="D1575" s="15" t="s">
        <v>43</v>
      </c>
      <c r="E1575" s="15" t="s">
        <v>122</v>
      </c>
      <c r="F1575" s="15" t="s">
        <v>121</v>
      </c>
      <c r="G1575" s="298"/>
      <c r="H1575" s="10"/>
      <c r="I1575" s="11"/>
      <c r="J1575" s="11"/>
      <c r="K1575" s="11"/>
      <c r="L1575" s="11"/>
      <c r="M1575" s="11"/>
      <c r="N1575" s="11"/>
      <c r="O1575" s="12"/>
      <c r="P1575" s="11"/>
      <c r="Q1575" s="13"/>
      <c r="R1575" s="14"/>
    </row>
    <row r="1576" spans="1:18" ht="15" customHeight="1">
      <c r="A1576" s="15" t="s">
        <v>38</v>
      </c>
      <c r="B1576" s="15" t="s">
        <v>809</v>
      </c>
      <c r="C1576" s="16">
        <v>0.57638888888888895</v>
      </c>
      <c r="D1576" s="15" t="s">
        <v>46</v>
      </c>
      <c r="E1576" s="15" t="s">
        <v>122</v>
      </c>
      <c r="F1576" s="15" t="s">
        <v>810</v>
      </c>
      <c r="G1576" s="298"/>
      <c r="H1576" s="10"/>
      <c r="I1576" s="11"/>
      <c r="J1576" s="11"/>
      <c r="K1576" s="11"/>
      <c r="L1576" s="11"/>
      <c r="M1576" s="11"/>
      <c r="N1576" s="11"/>
      <c r="O1576" s="12"/>
      <c r="P1576" s="11"/>
      <c r="Q1576" s="13"/>
      <c r="R1576" s="14"/>
    </row>
    <row r="1577" spans="1:18" ht="15" customHeight="1">
      <c r="A1577" s="17" t="s">
        <v>38</v>
      </c>
      <c r="B1577" s="17" t="s">
        <v>811</v>
      </c>
      <c r="C1577" s="18">
        <v>0.62847222222222221</v>
      </c>
      <c r="D1577" s="17" t="s">
        <v>40</v>
      </c>
      <c r="E1577" s="17" t="s">
        <v>442</v>
      </c>
      <c r="F1577" s="17" t="s">
        <v>475</v>
      </c>
      <c r="G1577" s="298"/>
      <c r="H1577" s="10"/>
      <c r="I1577" s="11"/>
      <c r="J1577" s="11"/>
      <c r="K1577" s="11"/>
      <c r="L1577" s="11"/>
      <c r="M1577" s="11"/>
      <c r="N1577" s="11"/>
      <c r="O1577" s="12"/>
      <c r="P1577" s="11"/>
      <c r="Q1577" s="13"/>
      <c r="R1577" s="14"/>
    </row>
    <row r="1578" spans="1:18" ht="15" customHeight="1">
      <c r="A1578" s="15" t="s">
        <v>38</v>
      </c>
      <c r="B1578" s="15" t="s">
        <v>811</v>
      </c>
      <c r="C1578" s="16">
        <v>0.62847222222222221</v>
      </c>
      <c r="D1578" s="15" t="s">
        <v>43</v>
      </c>
      <c r="E1578" s="15" t="s">
        <v>122</v>
      </c>
      <c r="F1578" s="15" t="s">
        <v>121</v>
      </c>
      <c r="G1578" s="298"/>
      <c r="H1578" s="10"/>
      <c r="I1578" s="11"/>
      <c r="J1578" s="11"/>
      <c r="K1578" s="11"/>
      <c r="L1578" s="11"/>
      <c r="M1578" s="11"/>
      <c r="N1578" s="11"/>
      <c r="O1578" s="12"/>
      <c r="P1578" s="11"/>
      <c r="Q1578" s="13"/>
      <c r="R1578" s="14"/>
    </row>
    <row r="1579" spans="1:18" ht="15" customHeight="1">
      <c r="A1579" s="15" t="s">
        <v>38</v>
      </c>
      <c r="B1579" s="15" t="s">
        <v>811</v>
      </c>
      <c r="C1579" s="16">
        <v>0.62847222222222221</v>
      </c>
      <c r="D1579" s="15" t="s">
        <v>46</v>
      </c>
      <c r="E1579" s="15" t="s">
        <v>122</v>
      </c>
      <c r="F1579" s="15" t="s">
        <v>810</v>
      </c>
      <c r="G1579" s="298"/>
      <c r="H1579" s="10"/>
      <c r="I1579" s="11"/>
      <c r="J1579" s="11"/>
      <c r="K1579" s="11"/>
      <c r="L1579" s="11"/>
      <c r="M1579" s="11"/>
      <c r="N1579" s="11"/>
      <c r="O1579" s="12"/>
      <c r="P1579" s="11"/>
      <c r="Q1579" s="13"/>
      <c r="R1579" s="14"/>
    </row>
    <row r="1580" spans="1:18" ht="15" customHeight="1">
      <c r="A1580" s="17" t="s">
        <v>38</v>
      </c>
      <c r="B1580" s="17" t="s">
        <v>812</v>
      </c>
      <c r="C1580" s="18">
        <v>0.88888888888888884</v>
      </c>
      <c r="D1580" s="17" t="s">
        <v>40</v>
      </c>
      <c r="E1580" s="17" t="s">
        <v>442</v>
      </c>
      <c r="F1580" s="17" t="s">
        <v>872</v>
      </c>
      <c r="G1580" s="298"/>
      <c r="H1580" s="10"/>
      <c r="I1580" s="11"/>
      <c r="J1580" s="11"/>
      <c r="K1580" s="11"/>
      <c r="L1580" s="11"/>
      <c r="M1580" s="11"/>
      <c r="N1580" s="11"/>
      <c r="O1580" s="12"/>
      <c r="P1580" s="11"/>
      <c r="Q1580" s="13"/>
      <c r="R1580" s="14"/>
    </row>
    <row r="1581" spans="1:18" ht="15" customHeight="1">
      <c r="A1581" s="15" t="s">
        <v>38</v>
      </c>
      <c r="B1581" s="15" t="s">
        <v>812</v>
      </c>
      <c r="C1581" s="16">
        <v>0.88888888888888884</v>
      </c>
      <c r="D1581" s="15" t="s">
        <v>43</v>
      </c>
      <c r="E1581" s="15" t="s">
        <v>122</v>
      </c>
      <c r="F1581" s="15" t="s">
        <v>349</v>
      </c>
      <c r="G1581" s="298"/>
      <c r="H1581" s="10"/>
      <c r="I1581" s="11"/>
      <c r="J1581" s="11"/>
      <c r="K1581" s="11"/>
      <c r="L1581" s="11"/>
      <c r="M1581" s="11"/>
      <c r="N1581" s="11"/>
      <c r="O1581" s="12"/>
      <c r="P1581" s="11"/>
      <c r="Q1581" s="13"/>
      <c r="R1581" s="14"/>
    </row>
    <row r="1582" spans="1:18" ht="15" customHeight="1">
      <c r="A1582" s="15" t="s">
        <v>38</v>
      </c>
      <c r="B1582" s="15" t="s">
        <v>812</v>
      </c>
      <c r="C1582" s="16">
        <v>0.88888888888888884</v>
      </c>
      <c r="D1582" s="15" t="s">
        <v>46</v>
      </c>
      <c r="E1582" s="15" t="s">
        <v>122</v>
      </c>
      <c r="F1582" s="15" t="s">
        <v>810</v>
      </c>
      <c r="G1582" s="298"/>
      <c r="H1582" s="10"/>
      <c r="I1582" s="11"/>
      <c r="J1582" s="11"/>
      <c r="K1582" s="11"/>
      <c r="L1582" s="11"/>
      <c r="M1582" s="11"/>
      <c r="N1582" s="11"/>
      <c r="O1582" s="12"/>
      <c r="P1582" s="11"/>
      <c r="Q1582" s="13"/>
      <c r="R1582" s="14"/>
    </row>
    <row r="1583" spans="1:18" ht="15" customHeight="1">
      <c r="A1583" s="17" t="s">
        <v>38</v>
      </c>
      <c r="B1583" s="17" t="s">
        <v>813</v>
      </c>
      <c r="C1583" s="18">
        <v>0.94444444444444453</v>
      </c>
      <c r="D1583" s="17" t="s">
        <v>40</v>
      </c>
      <c r="E1583" s="17" t="s">
        <v>421</v>
      </c>
      <c r="F1583" s="17" t="s">
        <v>872</v>
      </c>
      <c r="G1583" s="298"/>
      <c r="H1583" s="10"/>
      <c r="I1583" s="11"/>
      <c r="J1583" s="11"/>
      <c r="K1583" s="11"/>
      <c r="L1583" s="11"/>
      <c r="M1583" s="11"/>
      <c r="N1583" s="11"/>
      <c r="O1583" s="12"/>
      <c r="P1583" s="11"/>
      <c r="Q1583" s="13"/>
      <c r="R1583" s="14"/>
    </row>
    <row r="1584" spans="1:18" ht="15" customHeight="1">
      <c r="A1584" s="15" t="s">
        <v>38</v>
      </c>
      <c r="B1584" s="15" t="s">
        <v>813</v>
      </c>
      <c r="C1584" s="16">
        <v>0.94444444444444453</v>
      </c>
      <c r="D1584" s="15" t="s">
        <v>43</v>
      </c>
      <c r="E1584" s="15" t="s">
        <v>193</v>
      </c>
      <c r="F1584" s="15" t="s">
        <v>349</v>
      </c>
      <c r="G1584" s="298"/>
      <c r="H1584" s="10"/>
      <c r="I1584" s="11"/>
      <c r="J1584" s="11"/>
      <c r="K1584" s="11"/>
      <c r="L1584" s="11"/>
      <c r="M1584" s="11"/>
      <c r="N1584" s="11"/>
      <c r="O1584" s="12"/>
      <c r="P1584" s="11"/>
      <c r="Q1584" s="13"/>
      <c r="R1584" s="14"/>
    </row>
    <row r="1585" spans="1:18" ht="15" customHeight="1">
      <c r="A1585" s="15" t="s">
        <v>38</v>
      </c>
      <c r="B1585" s="15" t="s">
        <v>813</v>
      </c>
      <c r="C1585" s="16">
        <v>0.94444444444444453</v>
      </c>
      <c r="D1585" s="15" t="s">
        <v>46</v>
      </c>
      <c r="E1585" s="15" t="s">
        <v>193</v>
      </c>
      <c r="F1585" s="15" t="s">
        <v>810</v>
      </c>
      <c r="G1585" s="298"/>
      <c r="H1585" s="10"/>
      <c r="I1585" s="11"/>
      <c r="J1585" s="11"/>
      <c r="K1585" s="11"/>
      <c r="L1585" s="11"/>
      <c r="M1585" s="11"/>
      <c r="N1585" s="11"/>
      <c r="O1585" s="12"/>
      <c r="P1585" s="11"/>
      <c r="Q1585" s="13"/>
      <c r="R1585" s="14"/>
    </row>
    <row r="1586" spans="1:18" ht="15" customHeight="1">
      <c r="A1586" s="19" t="s">
        <v>26</v>
      </c>
      <c r="B1586" s="19" t="s">
        <v>820</v>
      </c>
      <c r="C1586" s="20">
        <v>0.4375</v>
      </c>
      <c r="D1586" s="19" t="s">
        <v>28</v>
      </c>
      <c r="E1586" s="19" t="s">
        <v>80</v>
      </c>
      <c r="F1586" s="19" t="s">
        <v>81</v>
      </c>
      <c r="G1586" s="298"/>
      <c r="H1586" s="10"/>
      <c r="I1586" s="11"/>
      <c r="J1586" s="11"/>
      <c r="K1586" s="11"/>
      <c r="L1586" s="11"/>
      <c r="M1586" s="11"/>
      <c r="N1586" s="11"/>
      <c r="O1586" s="12"/>
      <c r="P1586" s="11"/>
      <c r="Q1586" s="13"/>
      <c r="R1586" s="14"/>
    </row>
    <row r="1587" spans="1:18" ht="15" customHeight="1">
      <c r="A1587" s="15" t="s">
        <v>26</v>
      </c>
      <c r="B1587" s="15" t="s">
        <v>820</v>
      </c>
      <c r="C1587" s="16">
        <v>0.4375</v>
      </c>
      <c r="D1587" s="15" t="s">
        <v>31</v>
      </c>
      <c r="E1587" s="15" t="s">
        <v>82</v>
      </c>
      <c r="F1587" s="15" t="s">
        <v>83</v>
      </c>
      <c r="G1587" s="298"/>
      <c r="H1587" s="10"/>
      <c r="I1587" s="11"/>
      <c r="J1587" s="11"/>
      <c r="K1587" s="11"/>
      <c r="L1587" s="11"/>
      <c r="M1587" s="11"/>
      <c r="N1587" s="11"/>
      <c r="O1587" s="12"/>
      <c r="P1587" s="11"/>
      <c r="Q1587" s="13"/>
      <c r="R1587" s="14"/>
    </row>
    <row r="1588" spans="1:18" ht="15" customHeight="1">
      <c r="A1588" s="15" t="s">
        <v>26</v>
      </c>
      <c r="B1588" s="15" t="s">
        <v>820</v>
      </c>
      <c r="C1588" s="16">
        <v>0.4375</v>
      </c>
      <c r="D1588" s="15" t="s">
        <v>34</v>
      </c>
      <c r="E1588" s="15" t="s">
        <v>82</v>
      </c>
      <c r="F1588" s="15" t="s">
        <v>45</v>
      </c>
      <c r="G1588" s="298"/>
      <c r="H1588" s="10"/>
      <c r="I1588" s="11"/>
      <c r="J1588" s="11"/>
      <c r="K1588" s="11"/>
      <c r="L1588" s="11"/>
      <c r="M1588" s="11"/>
      <c r="N1588" s="11"/>
      <c r="O1588" s="12"/>
      <c r="P1588" s="11"/>
      <c r="Q1588" s="13"/>
      <c r="R1588" s="14"/>
    </row>
    <row r="1589" spans="1:18" ht="15" customHeight="1">
      <c r="A1589" s="17" t="s">
        <v>26</v>
      </c>
      <c r="B1589" s="17" t="s">
        <v>826</v>
      </c>
      <c r="C1589" s="18">
        <v>0.95833333333333337</v>
      </c>
      <c r="D1589" s="17" t="s">
        <v>28</v>
      </c>
      <c r="E1589" s="17" t="s">
        <v>90</v>
      </c>
      <c r="F1589" s="17" t="s">
        <v>81</v>
      </c>
      <c r="G1589" s="298"/>
      <c r="H1589" s="10"/>
      <c r="I1589" s="11"/>
      <c r="J1589" s="11"/>
      <c r="K1589" s="11"/>
      <c r="L1589" s="11"/>
      <c r="M1589" s="11"/>
      <c r="N1589" s="11"/>
      <c r="O1589" s="12"/>
      <c r="P1589" s="11"/>
      <c r="Q1589" s="13"/>
      <c r="R1589" s="14"/>
    </row>
    <row r="1590" spans="1:18" ht="15" customHeight="1">
      <c r="A1590" s="15" t="s">
        <v>26</v>
      </c>
      <c r="B1590" s="15" t="s">
        <v>826</v>
      </c>
      <c r="C1590" s="16">
        <v>0.95833333333333337</v>
      </c>
      <c r="D1590" s="15" t="s">
        <v>31</v>
      </c>
      <c r="E1590" s="15" t="s">
        <v>82</v>
      </c>
      <c r="F1590" s="15" t="s">
        <v>83</v>
      </c>
      <c r="G1590" s="298"/>
      <c r="H1590" s="10"/>
      <c r="I1590" s="11"/>
      <c r="J1590" s="11"/>
      <c r="K1590" s="11"/>
      <c r="L1590" s="11"/>
      <c r="M1590" s="11"/>
      <c r="N1590" s="11"/>
      <c r="O1590" s="12"/>
      <c r="P1590" s="11"/>
      <c r="Q1590" s="13"/>
      <c r="R1590" s="14"/>
    </row>
    <row r="1591" spans="1:18" ht="15" customHeight="1">
      <c r="A1591" s="15" t="s">
        <v>26</v>
      </c>
      <c r="B1591" s="15" t="s">
        <v>826</v>
      </c>
      <c r="C1591" s="16">
        <v>0.95833333333333337</v>
      </c>
      <c r="D1591" s="15" t="s">
        <v>34</v>
      </c>
      <c r="E1591" s="15" t="s">
        <v>82</v>
      </c>
      <c r="F1591" s="15" t="s">
        <v>45</v>
      </c>
      <c r="G1591" s="298"/>
      <c r="H1591" s="10"/>
      <c r="I1591" s="11"/>
      <c r="J1591" s="11"/>
      <c r="K1591" s="11"/>
      <c r="L1591" s="11"/>
      <c r="M1591" s="11"/>
      <c r="N1591" s="11"/>
      <c r="O1591" s="12"/>
      <c r="P1591" s="11"/>
      <c r="Q1591" s="13"/>
      <c r="R1591" s="14"/>
    </row>
    <row r="1592" spans="1:18" ht="15" customHeight="1">
      <c r="A1592" s="17" t="s">
        <v>26</v>
      </c>
      <c r="B1592" s="17" t="s">
        <v>821</v>
      </c>
      <c r="C1592" s="18">
        <v>0.63194444444444442</v>
      </c>
      <c r="D1592" s="17" t="s">
        <v>28</v>
      </c>
      <c r="E1592" s="17" t="s">
        <v>90</v>
      </c>
      <c r="F1592" s="17" t="s">
        <v>81</v>
      </c>
      <c r="G1592" s="298"/>
      <c r="H1592" s="10"/>
      <c r="I1592" s="11"/>
      <c r="J1592" s="11"/>
      <c r="K1592" s="11"/>
      <c r="L1592" s="11"/>
      <c r="M1592" s="11"/>
      <c r="N1592" s="11"/>
      <c r="O1592" s="12"/>
      <c r="P1592" s="11"/>
      <c r="Q1592" s="13"/>
      <c r="R1592" s="14"/>
    </row>
    <row r="1593" spans="1:18" ht="15" customHeight="1">
      <c r="A1593" s="15" t="s">
        <v>26</v>
      </c>
      <c r="B1593" s="15" t="s">
        <v>821</v>
      </c>
      <c r="C1593" s="16">
        <v>0.63194444444444442</v>
      </c>
      <c r="D1593" s="15" t="s">
        <v>31</v>
      </c>
      <c r="E1593" s="15" t="s">
        <v>82</v>
      </c>
      <c r="F1593" s="15" t="s">
        <v>83</v>
      </c>
      <c r="G1593" s="298"/>
      <c r="H1593" s="10"/>
      <c r="I1593" s="11"/>
      <c r="J1593" s="11"/>
      <c r="K1593" s="11"/>
      <c r="L1593" s="11"/>
      <c r="M1593" s="11"/>
      <c r="N1593" s="11"/>
      <c r="O1593" s="12"/>
      <c r="P1593" s="11"/>
      <c r="Q1593" s="13"/>
      <c r="R1593" s="14"/>
    </row>
    <row r="1594" spans="1:18" ht="15" customHeight="1">
      <c r="A1594" s="15" t="s">
        <v>26</v>
      </c>
      <c r="B1594" s="15" t="s">
        <v>821</v>
      </c>
      <c r="C1594" s="16">
        <v>0.63194444444444442</v>
      </c>
      <c r="D1594" s="15" t="s">
        <v>34</v>
      </c>
      <c r="E1594" s="15" t="s">
        <v>82</v>
      </c>
      <c r="F1594" s="15" t="s">
        <v>45</v>
      </c>
      <c r="G1594" s="298"/>
      <c r="H1594" s="10"/>
      <c r="I1594" s="11"/>
      <c r="J1594" s="11"/>
      <c r="K1594" s="11"/>
      <c r="L1594" s="11"/>
      <c r="M1594" s="11"/>
      <c r="N1594" s="11"/>
      <c r="O1594" s="12"/>
      <c r="P1594" s="11"/>
      <c r="Q1594" s="13"/>
      <c r="R1594" s="14"/>
    </row>
    <row r="1595" spans="1:18" ht="15" customHeight="1">
      <c r="A1595" s="17" t="s">
        <v>26</v>
      </c>
      <c r="B1595" s="17" t="s">
        <v>822</v>
      </c>
      <c r="C1595" s="18">
        <v>0.55902777777777779</v>
      </c>
      <c r="D1595" s="17" t="s">
        <v>28</v>
      </c>
      <c r="E1595" s="17" t="s">
        <v>90</v>
      </c>
      <c r="F1595" s="17" t="s">
        <v>81</v>
      </c>
      <c r="G1595" s="298"/>
      <c r="H1595" s="10"/>
      <c r="I1595" s="11"/>
      <c r="J1595" s="11"/>
      <c r="K1595" s="11"/>
      <c r="L1595" s="11"/>
      <c r="M1595" s="11"/>
      <c r="N1595" s="11"/>
      <c r="O1595" s="12"/>
      <c r="P1595" s="11"/>
      <c r="Q1595" s="13"/>
      <c r="R1595" s="14"/>
    </row>
    <row r="1596" spans="1:18" ht="15" customHeight="1">
      <c r="A1596" s="15" t="s">
        <v>26</v>
      </c>
      <c r="B1596" s="15" t="s">
        <v>822</v>
      </c>
      <c r="C1596" s="16">
        <v>0.55902777777777779</v>
      </c>
      <c r="D1596" s="15" t="s">
        <v>31</v>
      </c>
      <c r="E1596" s="15" t="s">
        <v>82</v>
      </c>
      <c r="F1596" s="15" t="s">
        <v>83</v>
      </c>
      <c r="G1596" s="298"/>
      <c r="H1596" s="10"/>
      <c r="I1596" s="11"/>
      <c r="J1596" s="11"/>
      <c r="K1596" s="11"/>
      <c r="L1596" s="11"/>
      <c r="M1596" s="11"/>
      <c r="N1596" s="11"/>
      <c r="O1596" s="12"/>
      <c r="P1596" s="11"/>
      <c r="Q1596" s="13"/>
      <c r="R1596" s="14"/>
    </row>
    <row r="1597" spans="1:18" ht="15" customHeight="1">
      <c r="A1597" s="15" t="s">
        <v>26</v>
      </c>
      <c r="B1597" s="15" t="s">
        <v>822</v>
      </c>
      <c r="C1597" s="16">
        <v>0.55902777777777779</v>
      </c>
      <c r="D1597" s="15" t="s">
        <v>34</v>
      </c>
      <c r="E1597" s="15" t="s">
        <v>82</v>
      </c>
      <c r="F1597" s="15" t="s">
        <v>45</v>
      </c>
      <c r="G1597" s="298"/>
      <c r="H1597" s="10"/>
      <c r="I1597" s="11"/>
      <c r="J1597" s="11"/>
      <c r="K1597" s="11"/>
      <c r="L1597" s="11"/>
      <c r="M1597" s="11"/>
      <c r="N1597" s="11"/>
      <c r="O1597" s="12"/>
      <c r="P1597" s="11"/>
      <c r="Q1597" s="13"/>
      <c r="R1597" s="14"/>
    </row>
    <row r="1598" spans="1:18" ht="15" customHeight="1">
      <c r="A1598" s="17" t="s">
        <v>26</v>
      </c>
      <c r="B1598" s="17" t="s">
        <v>823</v>
      </c>
      <c r="C1598" s="18">
        <v>0.81944444444444453</v>
      </c>
      <c r="D1598" s="17" t="s">
        <v>28</v>
      </c>
      <c r="E1598" s="17" t="s">
        <v>90</v>
      </c>
      <c r="F1598" s="17" t="s">
        <v>81</v>
      </c>
      <c r="G1598" s="298"/>
      <c r="H1598" s="10"/>
      <c r="I1598" s="11"/>
      <c r="J1598" s="11"/>
      <c r="K1598" s="11"/>
      <c r="L1598" s="11"/>
      <c r="M1598" s="11"/>
      <c r="N1598" s="11"/>
      <c r="O1598" s="12"/>
      <c r="P1598" s="11"/>
      <c r="Q1598" s="13"/>
      <c r="R1598" s="14"/>
    </row>
    <row r="1599" spans="1:18" ht="15" customHeight="1">
      <c r="A1599" s="15" t="s">
        <v>26</v>
      </c>
      <c r="B1599" s="15" t="s">
        <v>823</v>
      </c>
      <c r="C1599" s="16">
        <v>0.81944444444444453</v>
      </c>
      <c r="D1599" s="15" t="s">
        <v>31</v>
      </c>
      <c r="E1599" s="15" t="s">
        <v>82</v>
      </c>
      <c r="F1599" s="15" t="s">
        <v>83</v>
      </c>
      <c r="G1599" s="298"/>
      <c r="H1599" s="10"/>
      <c r="I1599" s="11"/>
      <c r="J1599" s="11"/>
      <c r="K1599" s="11"/>
      <c r="L1599" s="11"/>
      <c r="M1599" s="11"/>
      <c r="N1599" s="11"/>
      <c r="O1599" s="12"/>
      <c r="P1599" s="11"/>
      <c r="Q1599" s="13"/>
      <c r="R1599" s="14"/>
    </row>
    <row r="1600" spans="1:18" ht="15" customHeight="1">
      <c r="A1600" s="15" t="s">
        <v>26</v>
      </c>
      <c r="B1600" s="15" t="s">
        <v>823</v>
      </c>
      <c r="C1600" s="16">
        <v>0.81944444444444453</v>
      </c>
      <c r="D1600" s="15" t="s">
        <v>34</v>
      </c>
      <c r="E1600" s="15" t="s">
        <v>82</v>
      </c>
      <c r="F1600" s="15" t="s">
        <v>45</v>
      </c>
      <c r="G1600" s="298"/>
      <c r="H1600" s="10"/>
      <c r="I1600" s="11"/>
      <c r="J1600" s="11"/>
      <c r="K1600" s="11"/>
      <c r="L1600" s="11"/>
      <c r="M1600" s="11"/>
      <c r="N1600" s="11"/>
      <c r="O1600" s="12"/>
      <c r="P1600" s="11"/>
      <c r="Q1600" s="13"/>
      <c r="R1600" s="14"/>
    </row>
    <row r="1601" spans="1:18" ht="15" customHeight="1">
      <c r="A1601" s="17" t="s">
        <v>26</v>
      </c>
      <c r="B1601" s="17" t="s">
        <v>824</v>
      </c>
      <c r="C1601" s="18">
        <v>0.50694444444444442</v>
      </c>
      <c r="D1601" s="17" t="s">
        <v>28</v>
      </c>
      <c r="E1601" s="17" t="s">
        <v>90</v>
      </c>
      <c r="F1601" s="17" t="s">
        <v>81</v>
      </c>
      <c r="G1601" s="298"/>
      <c r="H1601" s="10"/>
      <c r="I1601" s="11"/>
      <c r="J1601" s="11"/>
      <c r="K1601" s="11"/>
      <c r="L1601" s="11"/>
      <c r="M1601" s="11"/>
      <c r="N1601" s="11"/>
      <c r="O1601" s="12"/>
      <c r="P1601" s="11"/>
      <c r="Q1601" s="13"/>
      <c r="R1601" s="14"/>
    </row>
    <row r="1602" spans="1:18" ht="15" customHeight="1">
      <c r="A1602" s="15" t="s">
        <v>26</v>
      </c>
      <c r="B1602" s="15" t="s">
        <v>824</v>
      </c>
      <c r="C1602" s="16">
        <v>0.50694444444444442</v>
      </c>
      <c r="D1602" s="15" t="s">
        <v>31</v>
      </c>
      <c r="E1602" s="15" t="s">
        <v>82</v>
      </c>
      <c r="F1602" s="15" t="s">
        <v>83</v>
      </c>
      <c r="G1602" s="298"/>
      <c r="H1602" s="10"/>
      <c r="I1602" s="11"/>
      <c r="J1602" s="11"/>
      <c r="K1602" s="11"/>
      <c r="L1602" s="11"/>
      <c r="M1602" s="11"/>
      <c r="N1602" s="11"/>
      <c r="O1602" s="12"/>
      <c r="P1602" s="11"/>
      <c r="Q1602" s="13"/>
      <c r="R1602" s="14"/>
    </row>
    <row r="1603" spans="1:18" ht="15" customHeight="1">
      <c r="A1603" s="15" t="s">
        <v>26</v>
      </c>
      <c r="B1603" s="15" t="s">
        <v>824</v>
      </c>
      <c r="C1603" s="16">
        <v>0.50694444444444442</v>
      </c>
      <c r="D1603" s="15" t="s">
        <v>34</v>
      </c>
      <c r="E1603" s="15" t="s">
        <v>82</v>
      </c>
      <c r="F1603" s="15" t="s">
        <v>45</v>
      </c>
      <c r="G1603" s="298"/>
      <c r="H1603" s="10"/>
      <c r="I1603" s="11"/>
      <c r="J1603" s="11"/>
      <c r="K1603" s="11"/>
      <c r="L1603" s="11"/>
      <c r="M1603" s="11"/>
      <c r="N1603" s="11"/>
      <c r="O1603" s="12"/>
      <c r="P1603" s="11"/>
      <c r="Q1603" s="13"/>
      <c r="R1603" s="14"/>
    </row>
    <row r="1604" spans="1:18" ht="15" customHeight="1">
      <c r="A1604" s="17" t="s">
        <v>26</v>
      </c>
      <c r="B1604" s="17" t="s">
        <v>825</v>
      </c>
      <c r="C1604" s="18">
        <v>0.69791666666666663</v>
      </c>
      <c r="D1604" s="17" t="s">
        <v>28</v>
      </c>
      <c r="E1604" s="17" t="s">
        <v>90</v>
      </c>
      <c r="F1604" s="17" t="s">
        <v>81</v>
      </c>
      <c r="G1604" s="298"/>
      <c r="H1604" s="10"/>
      <c r="I1604" s="11"/>
      <c r="J1604" s="11"/>
      <c r="K1604" s="11"/>
      <c r="L1604" s="11"/>
      <c r="M1604" s="11"/>
      <c r="N1604" s="11"/>
      <c r="O1604" s="12"/>
      <c r="P1604" s="11"/>
      <c r="Q1604" s="13"/>
      <c r="R1604" s="14"/>
    </row>
    <row r="1605" spans="1:18" ht="15" customHeight="1">
      <c r="A1605" s="15" t="s">
        <v>26</v>
      </c>
      <c r="B1605" s="15" t="s">
        <v>825</v>
      </c>
      <c r="C1605" s="16">
        <v>0.69791666666666663</v>
      </c>
      <c r="D1605" s="15" t="s">
        <v>31</v>
      </c>
      <c r="E1605" s="15" t="s">
        <v>82</v>
      </c>
      <c r="F1605" s="15" t="s">
        <v>83</v>
      </c>
      <c r="G1605" s="298"/>
      <c r="H1605" s="10"/>
      <c r="I1605" s="11"/>
      <c r="J1605" s="11"/>
      <c r="K1605" s="11"/>
      <c r="L1605" s="11"/>
      <c r="M1605" s="11"/>
      <c r="N1605" s="11"/>
      <c r="O1605" s="12"/>
      <c r="P1605" s="11"/>
      <c r="Q1605" s="13"/>
      <c r="R1605" s="14"/>
    </row>
    <row r="1606" spans="1:18" ht="15" customHeight="1">
      <c r="A1606" s="15" t="s">
        <v>26</v>
      </c>
      <c r="B1606" s="15" t="s">
        <v>825</v>
      </c>
      <c r="C1606" s="16">
        <v>0.69791666666666663</v>
      </c>
      <c r="D1606" s="15" t="s">
        <v>34</v>
      </c>
      <c r="E1606" s="15" t="s">
        <v>82</v>
      </c>
      <c r="F1606" s="15" t="s">
        <v>45</v>
      </c>
      <c r="G1606" s="298"/>
      <c r="H1606" s="10"/>
      <c r="I1606" s="11"/>
      <c r="J1606" s="11"/>
      <c r="K1606" s="11"/>
      <c r="L1606" s="11"/>
      <c r="M1606" s="11"/>
      <c r="N1606" s="11"/>
      <c r="O1606" s="12"/>
      <c r="P1606" s="11"/>
      <c r="Q1606" s="13"/>
      <c r="R1606" s="14"/>
    </row>
    <row r="1607" spans="1:18" ht="15" customHeight="1">
      <c r="A1607" s="40" t="s">
        <v>61</v>
      </c>
      <c r="B1607" s="40" t="s">
        <v>816</v>
      </c>
      <c r="C1607" s="41">
        <v>0.40625</v>
      </c>
      <c r="D1607" s="40" t="s">
        <v>63</v>
      </c>
      <c r="E1607" s="40" t="s">
        <v>29</v>
      </c>
      <c r="F1607" s="40" t="s">
        <v>849</v>
      </c>
      <c r="G1607" s="298"/>
      <c r="H1607" s="42" t="s">
        <v>818</v>
      </c>
      <c r="I1607" s="43">
        <v>1.6799999999999999E-2</v>
      </c>
      <c r="J1607" s="44">
        <v>3</v>
      </c>
      <c r="K1607" s="45">
        <v>46337</v>
      </c>
      <c r="L1607" s="44">
        <v>3</v>
      </c>
      <c r="M1607" s="44">
        <v>0</v>
      </c>
      <c r="N1607" s="44">
        <v>0</v>
      </c>
      <c r="O1607" s="46" t="s">
        <v>951</v>
      </c>
      <c r="P1607" s="47">
        <v>0.40625</v>
      </c>
      <c r="Q1607" s="44">
        <v>179</v>
      </c>
      <c r="R1607" s="48" t="s">
        <v>967</v>
      </c>
    </row>
    <row r="1608" spans="1:18" ht="15" customHeight="1">
      <c r="A1608" s="160" t="s">
        <v>61</v>
      </c>
      <c r="B1608" s="160" t="s">
        <v>852</v>
      </c>
      <c r="C1608" s="161">
        <v>0.72569444444444453</v>
      </c>
      <c r="D1608" s="160" t="s">
        <v>63</v>
      </c>
      <c r="E1608" s="160" t="s">
        <v>435</v>
      </c>
      <c r="F1608" s="160" t="s">
        <v>853</v>
      </c>
      <c r="G1608" s="298"/>
      <c r="H1608" s="23" t="s">
        <v>854</v>
      </c>
      <c r="I1608" s="24">
        <v>3.9100000000000003E-2</v>
      </c>
      <c r="J1608" s="25">
        <v>7</v>
      </c>
      <c r="K1608" s="26">
        <v>46345</v>
      </c>
      <c r="L1608" s="25">
        <v>7</v>
      </c>
      <c r="M1608" s="25">
        <v>0</v>
      </c>
      <c r="N1608" s="25">
        <v>0</v>
      </c>
      <c r="O1608" s="27" t="s">
        <v>552</v>
      </c>
      <c r="P1608" s="28">
        <v>0.72569444444444453</v>
      </c>
      <c r="Q1608" s="25">
        <v>179</v>
      </c>
      <c r="R1608" s="29" t="s">
        <v>918</v>
      </c>
    </row>
    <row r="1609" spans="1:18" ht="15" customHeight="1">
      <c r="A1609" s="19" t="s">
        <v>359</v>
      </c>
      <c r="B1609" s="19" t="s">
        <v>814</v>
      </c>
      <c r="C1609" s="20">
        <v>0.1875</v>
      </c>
      <c r="D1609" s="19" t="s">
        <v>361</v>
      </c>
      <c r="E1609" s="19" t="s">
        <v>80</v>
      </c>
      <c r="F1609" s="19" t="s">
        <v>879</v>
      </c>
      <c r="G1609" s="298"/>
      <c r="H1609" s="10"/>
      <c r="I1609" s="11"/>
      <c r="J1609" s="11"/>
      <c r="K1609" s="11"/>
      <c r="L1609" s="11"/>
      <c r="M1609" s="11"/>
      <c r="N1609" s="11"/>
      <c r="O1609" s="12"/>
      <c r="P1609" s="11"/>
      <c r="Q1609" s="13"/>
      <c r="R1609" s="14"/>
    </row>
    <row r="1610" spans="1:18" ht="15" customHeight="1">
      <c r="A1610" s="15" t="s">
        <v>359</v>
      </c>
      <c r="B1610" s="15" t="s">
        <v>814</v>
      </c>
      <c r="C1610" s="16">
        <v>0.1875</v>
      </c>
      <c r="D1610" s="15" t="s">
        <v>46</v>
      </c>
      <c r="E1610" s="15" t="s">
        <v>82</v>
      </c>
      <c r="F1610" s="15" t="s">
        <v>880</v>
      </c>
      <c r="G1610" s="298"/>
      <c r="H1610" s="10"/>
      <c r="I1610" s="11"/>
      <c r="J1610" s="11"/>
      <c r="K1610" s="11"/>
      <c r="L1610" s="11"/>
      <c r="M1610" s="11"/>
      <c r="N1610" s="11"/>
      <c r="O1610" s="12"/>
      <c r="P1610" s="11"/>
      <c r="Q1610" s="13"/>
      <c r="R1610" s="14"/>
    </row>
    <row r="1611" spans="1:18" ht="15" customHeight="1">
      <c r="A1611" s="19" t="s">
        <v>68</v>
      </c>
      <c r="B1611" s="19" t="s">
        <v>842</v>
      </c>
      <c r="C1611" s="20">
        <v>0.98263888888888884</v>
      </c>
      <c r="D1611" s="19" t="s">
        <v>70</v>
      </c>
      <c r="E1611" s="19" t="s">
        <v>51</v>
      </c>
      <c r="F1611" s="19" t="s">
        <v>404</v>
      </c>
      <c r="G1611" s="298"/>
      <c r="H1611" s="10"/>
      <c r="I1611" s="11"/>
      <c r="J1611" s="11"/>
      <c r="K1611" s="11"/>
      <c r="L1611" s="11"/>
      <c r="M1611" s="11"/>
      <c r="N1611" s="11"/>
      <c r="O1611" s="12"/>
      <c r="P1611" s="11"/>
      <c r="Q1611" s="13"/>
      <c r="R1611" s="14"/>
    </row>
    <row r="1612" spans="1:18" ht="15" customHeight="1">
      <c r="A1612" s="17" t="s">
        <v>68</v>
      </c>
      <c r="B1612" s="17" t="s">
        <v>843</v>
      </c>
      <c r="C1612" s="18">
        <v>0.35416666666666669</v>
      </c>
      <c r="D1612" s="17" t="s">
        <v>70</v>
      </c>
      <c r="E1612" s="17" t="s">
        <v>57</v>
      </c>
      <c r="F1612" s="17" t="s">
        <v>45</v>
      </c>
      <c r="G1612" s="298"/>
      <c r="H1612" s="10"/>
      <c r="I1612" s="11"/>
      <c r="J1612" s="11"/>
      <c r="K1612" s="11"/>
      <c r="L1612" s="11"/>
      <c r="M1612" s="11"/>
      <c r="N1612" s="11"/>
      <c r="O1612" s="12"/>
      <c r="P1612" s="11"/>
      <c r="Q1612" s="13"/>
      <c r="R1612" s="14"/>
    </row>
    <row r="1613" spans="1:18" ht="15" customHeight="1">
      <c r="A1613" s="17" t="s">
        <v>68</v>
      </c>
      <c r="B1613" s="17" t="s">
        <v>844</v>
      </c>
      <c r="C1613" s="18">
        <v>0.72916666666666663</v>
      </c>
      <c r="D1613" s="17" t="s">
        <v>70</v>
      </c>
      <c r="E1613" s="17" t="s">
        <v>57</v>
      </c>
      <c r="F1613" s="17" t="s">
        <v>845</v>
      </c>
      <c r="G1613" s="298"/>
      <c r="H1613" s="10"/>
      <c r="I1613" s="11"/>
      <c r="J1613" s="11"/>
      <c r="K1613" s="11"/>
      <c r="L1613" s="11"/>
      <c r="M1613" s="11"/>
      <c r="N1613" s="11"/>
      <c r="O1613" s="12"/>
      <c r="P1613" s="11"/>
      <c r="Q1613" s="13"/>
      <c r="R1613" s="14"/>
    </row>
    <row r="1614" spans="1:18" ht="15" customHeight="1">
      <c r="A1614" s="19" t="s">
        <v>402</v>
      </c>
      <c r="B1614" s="19" t="s">
        <v>839</v>
      </c>
      <c r="C1614" s="20">
        <v>0.21180555555555561</v>
      </c>
      <c r="D1614" s="19" t="s">
        <v>63</v>
      </c>
      <c r="E1614" s="19" t="s">
        <v>107</v>
      </c>
      <c r="F1614" s="19" t="s">
        <v>881</v>
      </c>
      <c r="G1614" s="298"/>
      <c r="H1614" s="10"/>
      <c r="I1614" s="11"/>
      <c r="J1614" s="11"/>
      <c r="K1614" s="11"/>
      <c r="L1614" s="11"/>
      <c r="M1614" s="11"/>
      <c r="N1614" s="11"/>
      <c r="O1614" s="12"/>
      <c r="P1614" s="11"/>
      <c r="Q1614" s="13"/>
      <c r="R1614" s="14"/>
    </row>
    <row r="1615" spans="1:18" ht="15" customHeight="1">
      <c r="A1615" s="19" t="s">
        <v>48</v>
      </c>
      <c r="B1615" s="19" t="s">
        <v>835</v>
      </c>
      <c r="C1615" s="20">
        <v>0.88888888888888884</v>
      </c>
      <c r="D1615" s="19" t="s">
        <v>53</v>
      </c>
      <c r="E1615" s="19" t="s">
        <v>29</v>
      </c>
      <c r="F1615" s="19" t="s">
        <v>836</v>
      </c>
      <c r="G1615" s="298"/>
      <c r="H1615" s="10"/>
      <c r="I1615" s="11"/>
      <c r="J1615" s="11"/>
      <c r="K1615" s="11"/>
      <c r="L1615" s="11"/>
      <c r="M1615" s="11"/>
      <c r="N1615" s="11"/>
      <c r="O1615" s="12"/>
      <c r="P1615" s="11"/>
      <c r="Q1615" s="13"/>
      <c r="R1615" s="14"/>
    </row>
    <row r="1616" spans="1:18" ht="15" customHeight="1">
      <c r="A1616" s="17" t="s">
        <v>48</v>
      </c>
      <c r="B1616" s="17" t="s">
        <v>837</v>
      </c>
      <c r="C1616" s="18">
        <v>0.62847222222222221</v>
      </c>
      <c r="D1616" s="17" t="s">
        <v>53</v>
      </c>
      <c r="E1616" s="17" t="s">
        <v>37</v>
      </c>
      <c r="F1616" s="17" t="s">
        <v>836</v>
      </c>
      <c r="G1616" s="298"/>
      <c r="H1616" s="10"/>
      <c r="I1616" s="11"/>
      <c r="J1616" s="11"/>
      <c r="K1616" s="11"/>
      <c r="L1616" s="11"/>
      <c r="M1616" s="11"/>
      <c r="N1616" s="11"/>
      <c r="O1616" s="12"/>
      <c r="P1616" s="11"/>
      <c r="Q1616" s="13"/>
      <c r="R1616" s="14"/>
    </row>
    <row r="1617" spans="1:18" ht="15" customHeight="1">
      <c r="A1617" s="17" t="s">
        <v>48</v>
      </c>
      <c r="B1617" s="17" t="s">
        <v>838</v>
      </c>
      <c r="C1617" s="18">
        <v>0.94444444444444453</v>
      </c>
      <c r="D1617" s="17" t="s">
        <v>53</v>
      </c>
      <c r="E1617" s="17" t="s">
        <v>37</v>
      </c>
      <c r="F1617" s="17" t="s">
        <v>836</v>
      </c>
      <c r="G1617" s="298"/>
      <c r="H1617" s="10"/>
      <c r="I1617" s="11"/>
      <c r="J1617" s="11"/>
      <c r="K1617" s="11"/>
      <c r="L1617" s="11"/>
      <c r="M1617" s="11"/>
      <c r="N1617" s="11"/>
      <c r="O1617" s="12"/>
      <c r="P1617" s="11"/>
      <c r="Q1617" s="13"/>
      <c r="R1617" s="14"/>
    </row>
    <row r="1618" spans="1:18" ht="15" customHeight="1">
      <c r="A1618" s="17" t="s">
        <v>48</v>
      </c>
      <c r="B1618" s="17" t="s">
        <v>833</v>
      </c>
      <c r="C1618" s="18">
        <v>0.44444444444444442</v>
      </c>
      <c r="D1618" s="17" t="s">
        <v>53</v>
      </c>
      <c r="E1618" s="17" t="s">
        <v>57</v>
      </c>
      <c r="F1618" s="17" t="s">
        <v>870</v>
      </c>
      <c r="G1618" s="298"/>
      <c r="H1618" s="10"/>
      <c r="I1618" s="11"/>
      <c r="J1618" s="11"/>
      <c r="K1618" s="11"/>
      <c r="L1618" s="11"/>
      <c r="M1618" s="11"/>
      <c r="N1618" s="11"/>
      <c r="O1618" s="12"/>
      <c r="P1618" s="11"/>
      <c r="Q1618" s="13"/>
      <c r="R1618" s="14"/>
    </row>
    <row r="1619" spans="1:18" ht="15" customHeight="1">
      <c r="A1619" s="17" t="s">
        <v>48</v>
      </c>
      <c r="B1619" s="17" t="s">
        <v>828</v>
      </c>
      <c r="C1619" s="18">
        <v>0.82986111111111116</v>
      </c>
      <c r="D1619" s="17" t="s">
        <v>53</v>
      </c>
      <c r="E1619" s="17" t="s">
        <v>57</v>
      </c>
      <c r="F1619" s="17" t="s">
        <v>870</v>
      </c>
      <c r="G1619" s="298"/>
      <c r="H1619" s="10"/>
      <c r="I1619" s="11"/>
      <c r="J1619" s="11"/>
      <c r="K1619" s="11"/>
      <c r="L1619" s="11"/>
      <c r="M1619" s="11"/>
      <c r="N1619" s="11"/>
      <c r="O1619" s="12"/>
      <c r="P1619" s="11"/>
      <c r="Q1619" s="13"/>
      <c r="R1619" s="14"/>
    </row>
    <row r="1620" spans="1:18" ht="15" customHeight="1">
      <c r="A1620" s="17" t="s">
        <v>48</v>
      </c>
      <c r="B1620" s="17" t="s">
        <v>831</v>
      </c>
      <c r="C1620" s="18">
        <v>0.98263888888888884</v>
      </c>
      <c r="D1620" s="17" t="s">
        <v>53</v>
      </c>
      <c r="E1620" s="17" t="s">
        <v>57</v>
      </c>
      <c r="F1620" s="17" t="s">
        <v>870</v>
      </c>
      <c r="G1620" s="298"/>
      <c r="H1620" s="10"/>
      <c r="I1620" s="11"/>
      <c r="J1620" s="11"/>
      <c r="K1620" s="11"/>
      <c r="L1620" s="11"/>
      <c r="M1620" s="11"/>
      <c r="N1620" s="11"/>
      <c r="O1620" s="12"/>
      <c r="P1620" s="11"/>
      <c r="Q1620" s="13"/>
      <c r="R1620" s="14"/>
    </row>
    <row r="1621" spans="1:18" ht="15" customHeight="1" thickBot="1">
      <c r="A1621" s="30" t="s">
        <v>48</v>
      </c>
      <c r="B1621" s="30" t="s">
        <v>832</v>
      </c>
      <c r="C1621" s="31">
        <v>0.62847222222222221</v>
      </c>
      <c r="D1621" s="30" t="s">
        <v>53</v>
      </c>
      <c r="E1621" s="30" t="s">
        <v>57</v>
      </c>
      <c r="F1621" s="30" t="s">
        <v>870</v>
      </c>
      <c r="G1621" s="299"/>
      <c r="H1621" s="300"/>
      <c r="I1621" s="140"/>
      <c r="J1621" s="140"/>
      <c r="K1621" s="140"/>
      <c r="L1621" s="140"/>
      <c r="M1621" s="140"/>
      <c r="N1621" s="140"/>
      <c r="O1621" s="141"/>
      <c r="P1621" s="140"/>
      <c r="Q1621" s="142"/>
      <c r="R1621" s="301"/>
    </row>
    <row r="1622" spans="1:18" ht="17.45" customHeight="1" thickBot="1">
      <c r="A1622" s="283"/>
      <c r="B1622" s="284"/>
      <c r="C1622" s="284"/>
      <c r="D1622" s="284"/>
      <c r="E1622" s="284"/>
      <c r="F1622" s="284"/>
      <c r="G1622" s="284"/>
      <c r="H1622" s="284"/>
      <c r="I1622" s="284"/>
      <c r="J1622" s="284"/>
      <c r="K1622" s="284"/>
      <c r="L1622" s="284"/>
      <c r="M1622" s="284"/>
      <c r="N1622" s="284"/>
      <c r="O1622" s="284"/>
      <c r="P1622" s="284"/>
      <c r="Q1622" s="284"/>
      <c r="R1622" s="285"/>
    </row>
    <row r="1623" spans="1:18" ht="22.15" customHeight="1" thickTop="1" thickBot="1">
      <c r="A1623" s="279" t="s">
        <v>6</v>
      </c>
      <c r="B1623" s="295"/>
      <c r="C1623" s="295"/>
      <c r="D1623" s="295"/>
      <c r="E1623" s="295"/>
      <c r="F1623" s="296"/>
      <c r="G1623" s="32">
        <v>46053</v>
      </c>
      <c r="H1623" s="278" t="s">
        <v>7</v>
      </c>
      <c r="I1623" s="295"/>
      <c r="J1623" s="295"/>
      <c r="K1623" s="295"/>
      <c r="L1623" s="295"/>
      <c r="M1623" s="295"/>
      <c r="N1623" s="295"/>
      <c r="O1623" s="295"/>
      <c r="P1623" s="295"/>
      <c r="Q1623" s="295"/>
      <c r="R1623" s="296"/>
    </row>
    <row r="1624" spans="1:18" ht="24" customHeight="1">
      <c r="A1624" s="33" t="s">
        <v>8</v>
      </c>
      <c r="B1624" s="33" t="s">
        <v>9</v>
      </c>
      <c r="C1624" s="34" t="s">
        <v>10</v>
      </c>
      <c r="D1624" s="33" t="s">
        <v>11</v>
      </c>
      <c r="E1624" s="33" t="s">
        <v>12</v>
      </c>
      <c r="F1624" s="35" t="s">
        <v>13</v>
      </c>
      <c r="G1624" s="36" t="s">
        <v>14</v>
      </c>
      <c r="H1624" s="33" t="s">
        <v>15</v>
      </c>
      <c r="I1624" s="37" t="s">
        <v>16</v>
      </c>
      <c r="J1624" s="38" t="s">
        <v>17</v>
      </c>
      <c r="K1624" s="39" t="s">
        <v>18</v>
      </c>
      <c r="L1624" s="38" t="s">
        <v>19</v>
      </c>
      <c r="M1624" s="38" t="s">
        <v>20</v>
      </c>
      <c r="N1624" s="38" t="s">
        <v>21</v>
      </c>
      <c r="O1624" s="33" t="s">
        <v>22</v>
      </c>
      <c r="P1624" s="34" t="s">
        <v>23</v>
      </c>
      <c r="Q1624" s="38" t="s">
        <v>24</v>
      </c>
      <c r="R1624" s="33" t="s">
        <v>25</v>
      </c>
    </row>
    <row r="1625" spans="1:18" ht="15" customHeight="1">
      <c r="A1625" s="8" t="s">
        <v>38</v>
      </c>
      <c r="B1625" s="8" t="s">
        <v>809</v>
      </c>
      <c r="C1625" s="9">
        <v>0.57638888888888895</v>
      </c>
      <c r="D1625" s="8" t="s">
        <v>40</v>
      </c>
      <c r="E1625" s="8" t="s">
        <v>168</v>
      </c>
      <c r="F1625" s="8" t="s">
        <v>872</v>
      </c>
      <c r="G1625" s="302"/>
      <c r="H1625" s="10"/>
      <c r="I1625" s="11"/>
      <c r="J1625" s="11"/>
      <c r="K1625" s="11"/>
      <c r="L1625" s="11"/>
      <c r="M1625" s="11"/>
      <c r="N1625" s="11"/>
      <c r="O1625" s="12"/>
      <c r="P1625" s="11"/>
      <c r="Q1625" s="13"/>
      <c r="R1625" s="14"/>
    </row>
    <row r="1626" spans="1:18" ht="15" customHeight="1">
      <c r="A1626" s="15" t="s">
        <v>38</v>
      </c>
      <c r="B1626" s="15" t="s">
        <v>809</v>
      </c>
      <c r="C1626" s="16">
        <v>0.57638888888888895</v>
      </c>
      <c r="D1626" s="15" t="s">
        <v>43</v>
      </c>
      <c r="E1626" s="15" t="s">
        <v>114</v>
      </c>
      <c r="F1626" s="15" t="s">
        <v>349</v>
      </c>
      <c r="G1626" s="298"/>
      <c r="H1626" s="10"/>
      <c r="I1626" s="11"/>
      <c r="J1626" s="11"/>
      <c r="K1626" s="11"/>
      <c r="L1626" s="11"/>
      <c r="M1626" s="11"/>
      <c r="N1626" s="11"/>
      <c r="O1626" s="12"/>
      <c r="P1626" s="11"/>
      <c r="Q1626" s="13"/>
      <c r="R1626" s="14"/>
    </row>
    <row r="1627" spans="1:18" ht="15" customHeight="1">
      <c r="A1627" s="15" t="s">
        <v>38</v>
      </c>
      <c r="B1627" s="15" t="s">
        <v>809</v>
      </c>
      <c r="C1627" s="16">
        <v>0.57638888888888895</v>
      </c>
      <c r="D1627" s="15" t="s">
        <v>46</v>
      </c>
      <c r="E1627" s="15" t="s">
        <v>114</v>
      </c>
      <c r="F1627" s="15" t="s">
        <v>810</v>
      </c>
      <c r="G1627" s="298"/>
      <c r="H1627" s="10"/>
      <c r="I1627" s="11"/>
      <c r="J1627" s="11"/>
      <c r="K1627" s="11"/>
      <c r="L1627" s="11"/>
      <c r="M1627" s="11"/>
      <c r="N1627" s="11"/>
      <c r="O1627" s="12"/>
      <c r="P1627" s="11"/>
      <c r="Q1627" s="13"/>
      <c r="R1627" s="14"/>
    </row>
    <row r="1628" spans="1:18" ht="15" customHeight="1">
      <c r="A1628" s="17" t="s">
        <v>38</v>
      </c>
      <c r="B1628" s="17" t="s">
        <v>811</v>
      </c>
      <c r="C1628" s="18">
        <v>0.62847222222222221</v>
      </c>
      <c r="D1628" s="17" t="s">
        <v>40</v>
      </c>
      <c r="E1628" s="17" t="s">
        <v>194</v>
      </c>
      <c r="F1628" s="17" t="s">
        <v>848</v>
      </c>
      <c r="G1628" s="298"/>
      <c r="H1628" s="10"/>
      <c r="I1628" s="11"/>
      <c r="J1628" s="11"/>
      <c r="K1628" s="11"/>
      <c r="L1628" s="11"/>
      <c r="M1628" s="11"/>
      <c r="N1628" s="11"/>
      <c r="O1628" s="12"/>
      <c r="P1628" s="11"/>
      <c r="Q1628" s="13"/>
      <c r="R1628" s="14"/>
    </row>
    <row r="1629" spans="1:18" ht="15" customHeight="1">
      <c r="A1629" s="15" t="s">
        <v>38</v>
      </c>
      <c r="B1629" s="15" t="s">
        <v>811</v>
      </c>
      <c r="C1629" s="16">
        <v>0.62847222222222221</v>
      </c>
      <c r="D1629" s="15" t="s">
        <v>43</v>
      </c>
      <c r="E1629" s="15" t="s">
        <v>195</v>
      </c>
      <c r="F1629" s="15" t="s">
        <v>426</v>
      </c>
      <c r="G1629" s="298"/>
      <c r="H1629" s="10"/>
      <c r="I1629" s="11"/>
      <c r="J1629" s="11"/>
      <c r="K1629" s="11"/>
      <c r="L1629" s="11"/>
      <c r="M1629" s="11"/>
      <c r="N1629" s="11"/>
      <c r="O1629" s="12"/>
      <c r="P1629" s="11"/>
      <c r="Q1629" s="13"/>
      <c r="R1629" s="14"/>
    </row>
    <row r="1630" spans="1:18" ht="15" customHeight="1">
      <c r="A1630" s="15" t="s">
        <v>38</v>
      </c>
      <c r="B1630" s="15" t="s">
        <v>811</v>
      </c>
      <c r="C1630" s="16">
        <v>0.62847222222222221</v>
      </c>
      <c r="D1630" s="15" t="s">
        <v>46</v>
      </c>
      <c r="E1630" s="15" t="s">
        <v>195</v>
      </c>
      <c r="F1630" s="15" t="s">
        <v>810</v>
      </c>
      <c r="G1630" s="298"/>
      <c r="H1630" s="10"/>
      <c r="I1630" s="11"/>
      <c r="J1630" s="11"/>
      <c r="K1630" s="11"/>
      <c r="L1630" s="11"/>
      <c r="M1630" s="11"/>
      <c r="N1630" s="11"/>
      <c r="O1630" s="12"/>
      <c r="P1630" s="11"/>
      <c r="Q1630" s="13"/>
      <c r="R1630" s="14"/>
    </row>
    <row r="1631" spans="1:18" ht="15" customHeight="1">
      <c r="A1631" s="17" t="s">
        <v>38</v>
      </c>
      <c r="B1631" s="17" t="s">
        <v>812</v>
      </c>
      <c r="C1631" s="18">
        <v>0.88888888888888884</v>
      </c>
      <c r="D1631" s="17" t="s">
        <v>40</v>
      </c>
      <c r="E1631" s="17" t="s">
        <v>971</v>
      </c>
      <c r="F1631" s="17" t="s">
        <v>83</v>
      </c>
      <c r="G1631" s="298"/>
      <c r="H1631" s="10"/>
      <c r="I1631" s="11"/>
      <c r="J1631" s="11"/>
      <c r="K1631" s="11"/>
      <c r="L1631" s="11"/>
      <c r="M1631" s="11"/>
      <c r="N1631" s="11"/>
      <c r="O1631" s="12"/>
      <c r="P1631" s="11"/>
      <c r="Q1631" s="13"/>
      <c r="R1631" s="14"/>
    </row>
    <row r="1632" spans="1:18" ht="15" customHeight="1">
      <c r="A1632" s="15" t="s">
        <v>38</v>
      </c>
      <c r="B1632" s="15" t="s">
        <v>812</v>
      </c>
      <c r="C1632" s="16">
        <v>0.88888888888888884</v>
      </c>
      <c r="D1632" s="15" t="s">
        <v>43</v>
      </c>
      <c r="E1632" s="15" t="s">
        <v>972</v>
      </c>
      <c r="F1632" s="15" t="s">
        <v>162</v>
      </c>
      <c r="G1632" s="298"/>
      <c r="H1632" s="10"/>
      <c r="I1632" s="11"/>
      <c r="J1632" s="11"/>
      <c r="K1632" s="11"/>
      <c r="L1632" s="11"/>
      <c r="M1632" s="11"/>
      <c r="N1632" s="11"/>
      <c r="O1632" s="12"/>
      <c r="P1632" s="11"/>
      <c r="Q1632" s="13"/>
      <c r="R1632" s="14"/>
    </row>
    <row r="1633" spans="1:18" ht="15" customHeight="1">
      <c r="A1633" s="15" t="s">
        <v>38</v>
      </c>
      <c r="B1633" s="15" t="s">
        <v>812</v>
      </c>
      <c r="C1633" s="16">
        <v>0.88888888888888884</v>
      </c>
      <c r="D1633" s="15" t="s">
        <v>46</v>
      </c>
      <c r="E1633" s="15" t="s">
        <v>972</v>
      </c>
      <c r="F1633" s="15" t="s">
        <v>810</v>
      </c>
      <c r="G1633" s="298"/>
      <c r="H1633" s="10"/>
      <c r="I1633" s="11"/>
      <c r="J1633" s="11"/>
      <c r="K1633" s="11"/>
      <c r="L1633" s="11"/>
      <c r="M1633" s="11"/>
      <c r="N1633" s="11"/>
      <c r="O1633" s="12"/>
      <c r="P1633" s="11"/>
      <c r="Q1633" s="13"/>
      <c r="R1633" s="14"/>
    </row>
    <row r="1634" spans="1:18" ht="15" customHeight="1">
      <c r="A1634" s="17" t="s">
        <v>38</v>
      </c>
      <c r="B1634" s="17" t="s">
        <v>813</v>
      </c>
      <c r="C1634" s="18">
        <v>0.94444444444444453</v>
      </c>
      <c r="D1634" s="17" t="s">
        <v>40</v>
      </c>
      <c r="E1634" s="17" t="s">
        <v>194</v>
      </c>
      <c r="F1634" s="17" t="s">
        <v>33</v>
      </c>
      <c r="G1634" s="298"/>
      <c r="H1634" s="10"/>
      <c r="I1634" s="11"/>
      <c r="J1634" s="11"/>
      <c r="K1634" s="11"/>
      <c r="L1634" s="11"/>
      <c r="M1634" s="11"/>
      <c r="N1634" s="11"/>
      <c r="O1634" s="12"/>
      <c r="P1634" s="11"/>
      <c r="Q1634" s="13"/>
      <c r="R1634" s="14"/>
    </row>
    <row r="1635" spans="1:18" ht="15" customHeight="1">
      <c r="A1635" s="15" t="s">
        <v>38</v>
      </c>
      <c r="B1635" s="15" t="s">
        <v>813</v>
      </c>
      <c r="C1635" s="16">
        <v>0.94444444444444453</v>
      </c>
      <c r="D1635" s="15" t="s">
        <v>43</v>
      </c>
      <c r="E1635" s="15" t="s">
        <v>195</v>
      </c>
      <c r="F1635" s="15" t="s">
        <v>926</v>
      </c>
      <c r="G1635" s="298"/>
      <c r="H1635" s="10"/>
      <c r="I1635" s="11"/>
      <c r="J1635" s="11"/>
      <c r="K1635" s="11"/>
      <c r="L1635" s="11"/>
      <c r="M1635" s="11"/>
      <c r="N1635" s="11"/>
      <c r="O1635" s="12"/>
      <c r="P1635" s="11"/>
      <c r="Q1635" s="13"/>
      <c r="R1635" s="14"/>
    </row>
    <row r="1636" spans="1:18" ht="15" customHeight="1">
      <c r="A1636" s="15" t="s">
        <v>38</v>
      </c>
      <c r="B1636" s="15" t="s">
        <v>813</v>
      </c>
      <c r="C1636" s="16">
        <v>0.94444444444444453</v>
      </c>
      <c r="D1636" s="15" t="s">
        <v>46</v>
      </c>
      <c r="E1636" s="15" t="s">
        <v>195</v>
      </c>
      <c r="F1636" s="15" t="s">
        <v>810</v>
      </c>
      <c r="G1636" s="298"/>
      <c r="H1636" s="10"/>
      <c r="I1636" s="11"/>
      <c r="J1636" s="11"/>
      <c r="K1636" s="11"/>
      <c r="L1636" s="11"/>
      <c r="M1636" s="11"/>
      <c r="N1636" s="11"/>
      <c r="O1636" s="12"/>
      <c r="P1636" s="11"/>
      <c r="Q1636" s="13"/>
      <c r="R1636" s="14"/>
    </row>
    <row r="1637" spans="1:18" ht="15" customHeight="1">
      <c r="A1637" s="19" t="s">
        <v>26</v>
      </c>
      <c r="B1637" s="19" t="s">
        <v>820</v>
      </c>
      <c r="C1637" s="20">
        <v>0.4375</v>
      </c>
      <c r="D1637" s="19" t="s">
        <v>28</v>
      </c>
      <c r="E1637" s="19" t="s">
        <v>80</v>
      </c>
      <c r="F1637" s="19" t="s">
        <v>81</v>
      </c>
      <c r="G1637" s="298"/>
      <c r="H1637" s="10"/>
      <c r="I1637" s="11"/>
      <c r="J1637" s="11"/>
      <c r="K1637" s="11"/>
      <c r="L1637" s="11"/>
      <c r="M1637" s="11"/>
      <c r="N1637" s="11"/>
      <c r="O1637" s="12"/>
      <c r="P1637" s="11"/>
      <c r="Q1637" s="13"/>
      <c r="R1637" s="14"/>
    </row>
    <row r="1638" spans="1:18" ht="15" customHeight="1">
      <c r="A1638" s="15" t="s">
        <v>26</v>
      </c>
      <c r="B1638" s="15" t="s">
        <v>820</v>
      </c>
      <c r="C1638" s="16">
        <v>0.4375</v>
      </c>
      <c r="D1638" s="15" t="s">
        <v>31</v>
      </c>
      <c r="E1638" s="15" t="s">
        <v>82</v>
      </c>
      <c r="F1638" s="15" t="s">
        <v>83</v>
      </c>
      <c r="G1638" s="298"/>
      <c r="H1638" s="10"/>
      <c r="I1638" s="11"/>
      <c r="J1638" s="11"/>
      <c r="K1638" s="11"/>
      <c r="L1638" s="11"/>
      <c r="M1638" s="11"/>
      <c r="N1638" s="11"/>
      <c r="O1638" s="12"/>
      <c r="P1638" s="11"/>
      <c r="Q1638" s="13"/>
      <c r="R1638" s="14"/>
    </row>
    <row r="1639" spans="1:18" ht="15" customHeight="1">
      <c r="A1639" s="15" t="s">
        <v>26</v>
      </c>
      <c r="B1639" s="15" t="s">
        <v>820</v>
      </c>
      <c r="C1639" s="16">
        <v>0.4375</v>
      </c>
      <c r="D1639" s="15" t="s">
        <v>34</v>
      </c>
      <c r="E1639" s="15" t="s">
        <v>82</v>
      </c>
      <c r="F1639" s="15" t="s">
        <v>45</v>
      </c>
      <c r="G1639" s="298"/>
      <c r="H1639" s="10"/>
      <c r="I1639" s="11"/>
      <c r="J1639" s="11"/>
      <c r="K1639" s="11"/>
      <c r="L1639" s="11"/>
      <c r="M1639" s="11"/>
      <c r="N1639" s="11"/>
      <c r="O1639" s="12"/>
      <c r="P1639" s="11"/>
      <c r="Q1639" s="13"/>
      <c r="R1639" s="14"/>
    </row>
    <row r="1640" spans="1:18" ht="15" customHeight="1">
      <c r="A1640" s="17" t="s">
        <v>26</v>
      </c>
      <c r="B1640" s="17" t="s">
        <v>821</v>
      </c>
      <c r="C1640" s="18">
        <v>0.63194444444444442</v>
      </c>
      <c r="D1640" s="17" t="s">
        <v>28</v>
      </c>
      <c r="E1640" s="17" t="s">
        <v>90</v>
      </c>
      <c r="F1640" s="17" t="s">
        <v>81</v>
      </c>
      <c r="G1640" s="298"/>
      <c r="H1640" s="10"/>
      <c r="I1640" s="11"/>
      <c r="J1640" s="11"/>
      <c r="K1640" s="11"/>
      <c r="L1640" s="11"/>
      <c r="M1640" s="11"/>
      <c r="N1640" s="11"/>
      <c r="O1640" s="12"/>
      <c r="P1640" s="11"/>
      <c r="Q1640" s="13"/>
      <c r="R1640" s="14"/>
    </row>
    <row r="1641" spans="1:18" ht="15" customHeight="1">
      <c r="A1641" s="15" t="s">
        <v>26</v>
      </c>
      <c r="B1641" s="15" t="s">
        <v>821</v>
      </c>
      <c r="C1641" s="16">
        <v>0.63194444444444442</v>
      </c>
      <c r="D1641" s="15" t="s">
        <v>31</v>
      </c>
      <c r="E1641" s="15" t="s">
        <v>82</v>
      </c>
      <c r="F1641" s="15" t="s">
        <v>83</v>
      </c>
      <c r="G1641" s="298"/>
      <c r="H1641" s="10"/>
      <c r="I1641" s="11"/>
      <c r="J1641" s="11"/>
      <c r="K1641" s="11"/>
      <c r="L1641" s="11"/>
      <c r="M1641" s="11"/>
      <c r="N1641" s="11"/>
      <c r="O1641" s="12"/>
      <c r="P1641" s="11"/>
      <c r="Q1641" s="13"/>
      <c r="R1641" s="14"/>
    </row>
    <row r="1642" spans="1:18" ht="15" customHeight="1">
      <c r="A1642" s="15" t="s">
        <v>26</v>
      </c>
      <c r="B1642" s="15" t="s">
        <v>821</v>
      </c>
      <c r="C1642" s="16">
        <v>0.63194444444444442</v>
      </c>
      <c r="D1642" s="15" t="s">
        <v>34</v>
      </c>
      <c r="E1642" s="15" t="s">
        <v>82</v>
      </c>
      <c r="F1642" s="15" t="s">
        <v>45</v>
      </c>
      <c r="G1642" s="298"/>
      <c r="H1642" s="10"/>
      <c r="I1642" s="11"/>
      <c r="J1642" s="11"/>
      <c r="K1642" s="11"/>
      <c r="L1642" s="11"/>
      <c r="M1642" s="11"/>
      <c r="N1642" s="11"/>
      <c r="O1642" s="12"/>
      <c r="P1642" s="11"/>
      <c r="Q1642" s="13"/>
      <c r="R1642" s="14"/>
    </row>
    <row r="1643" spans="1:18" ht="15" customHeight="1">
      <c r="A1643" s="17" t="s">
        <v>26</v>
      </c>
      <c r="B1643" s="17" t="s">
        <v>822</v>
      </c>
      <c r="C1643" s="18">
        <v>0.55902777777777779</v>
      </c>
      <c r="D1643" s="17" t="s">
        <v>28</v>
      </c>
      <c r="E1643" s="17" t="s">
        <v>90</v>
      </c>
      <c r="F1643" s="17" t="s">
        <v>81</v>
      </c>
      <c r="G1643" s="298"/>
      <c r="H1643" s="10"/>
      <c r="I1643" s="11"/>
      <c r="J1643" s="11"/>
      <c r="K1643" s="11"/>
      <c r="L1643" s="11"/>
      <c r="M1643" s="11"/>
      <c r="N1643" s="11"/>
      <c r="O1643" s="12"/>
      <c r="P1643" s="11"/>
      <c r="Q1643" s="13"/>
      <c r="R1643" s="14"/>
    </row>
    <row r="1644" spans="1:18" ht="15" customHeight="1">
      <c r="A1644" s="15" t="s">
        <v>26</v>
      </c>
      <c r="B1644" s="15" t="s">
        <v>822</v>
      </c>
      <c r="C1644" s="16">
        <v>0.55902777777777779</v>
      </c>
      <c r="D1644" s="15" t="s">
        <v>31</v>
      </c>
      <c r="E1644" s="15" t="s">
        <v>82</v>
      </c>
      <c r="F1644" s="15" t="s">
        <v>83</v>
      </c>
      <c r="G1644" s="298"/>
      <c r="H1644" s="10"/>
      <c r="I1644" s="11"/>
      <c r="J1644" s="11"/>
      <c r="K1644" s="11"/>
      <c r="L1644" s="11"/>
      <c r="M1644" s="11"/>
      <c r="N1644" s="11"/>
      <c r="O1644" s="12"/>
      <c r="P1644" s="11"/>
      <c r="Q1644" s="13"/>
      <c r="R1644" s="14"/>
    </row>
    <row r="1645" spans="1:18" ht="15" customHeight="1">
      <c r="A1645" s="15" t="s">
        <v>26</v>
      </c>
      <c r="B1645" s="15" t="s">
        <v>822</v>
      </c>
      <c r="C1645" s="16">
        <v>0.55902777777777779</v>
      </c>
      <c r="D1645" s="15" t="s">
        <v>34</v>
      </c>
      <c r="E1645" s="15" t="s">
        <v>82</v>
      </c>
      <c r="F1645" s="15" t="s">
        <v>45</v>
      </c>
      <c r="G1645" s="298"/>
      <c r="H1645" s="10"/>
      <c r="I1645" s="11"/>
      <c r="J1645" s="11"/>
      <c r="K1645" s="11"/>
      <c r="L1645" s="11"/>
      <c r="M1645" s="11"/>
      <c r="N1645" s="11"/>
      <c r="O1645" s="12"/>
      <c r="P1645" s="11"/>
      <c r="Q1645" s="13"/>
      <c r="R1645" s="14"/>
    </row>
    <row r="1646" spans="1:18" ht="15" customHeight="1">
      <c r="A1646" s="17" t="s">
        <v>26</v>
      </c>
      <c r="B1646" s="17" t="s">
        <v>825</v>
      </c>
      <c r="C1646" s="18">
        <v>0.69791666666666663</v>
      </c>
      <c r="D1646" s="17" t="s">
        <v>28</v>
      </c>
      <c r="E1646" s="17" t="s">
        <v>90</v>
      </c>
      <c r="F1646" s="17" t="s">
        <v>81</v>
      </c>
      <c r="G1646" s="298"/>
      <c r="H1646" s="10"/>
      <c r="I1646" s="11"/>
      <c r="J1646" s="11"/>
      <c r="K1646" s="11"/>
      <c r="L1646" s="11"/>
      <c r="M1646" s="11"/>
      <c r="N1646" s="11"/>
      <c r="O1646" s="12"/>
      <c r="P1646" s="11"/>
      <c r="Q1646" s="13"/>
      <c r="R1646" s="14"/>
    </row>
    <row r="1647" spans="1:18" ht="15" customHeight="1">
      <c r="A1647" s="15" t="s">
        <v>26</v>
      </c>
      <c r="B1647" s="15" t="s">
        <v>825</v>
      </c>
      <c r="C1647" s="16">
        <v>0.69791666666666663</v>
      </c>
      <c r="D1647" s="15" t="s">
        <v>31</v>
      </c>
      <c r="E1647" s="15" t="s">
        <v>82</v>
      </c>
      <c r="F1647" s="15" t="s">
        <v>83</v>
      </c>
      <c r="G1647" s="298"/>
      <c r="H1647" s="10"/>
      <c r="I1647" s="11"/>
      <c r="J1647" s="11"/>
      <c r="K1647" s="11"/>
      <c r="L1647" s="11"/>
      <c r="M1647" s="11"/>
      <c r="N1647" s="11"/>
      <c r="O1647" s="12"/>
      <c r="P1647" s="11"/>
      <c r="Q1647" s="13"/>
      <c r="R1647" s="14"/>
    </row>
    <row r="1648" spans="1:18" ht="15" customHeight="1">
      <c r="A1648" s="15" t="s">
        <v>26</v>
      </c>
      <c r="B1648" s="15" t="s">
        <v>825</v>
      </c>
      <c r="C1648" s="16">
        <v>0.69791666666666663</v>
      </c>
      <c r="D1648" s="15" t="s">
        <v>34</v>
      </c>
      <c r="E1648" s="15" t="s">
        <v>82</v>
      </c>
      <c r="F1648" s="15" t="s">
        <v>45</v>
      </c>
      <c r="G1648" s="298"/>
      <c r="H1648" s="10"/>
      <c r="I1648" s="11"/>
      <c r="J1648" s="11"/>
      <c r="K1648" s="11"/>
      <c r="L1648" s="11"/>
      <c r="M1648" s="11"/>
      <c r="N1648" s="11"/>
      <c r="O1648" s="12"/>
      <c r="P1648" s="11"/>
      <c r="Q1648" s="13"/>
      <c r="R1648" s="14"/>
    </row>
    <row r="1649" spans="1:18" ht="15" customHeight="1">
      <c r="A1649" s="17" t="s">
        <v>26</v>
      </c>
      <c r="B1649" s="17" t="s">
        <v>826</v>
      </c>
      <c r="C1649" s="18">
        <v>0.95833333333333337</v>
      </c>
      <c r="D1649" s="17" t="s">
        <v>28</v>
      </c>
      <c r="E1649" s="17" t="s">
        <v>427</v>
      </c>
      <c r="F1649" s="17" t="s">
        <v>827</v>
      </c>
      <c r="G1649" s="298"/>
      <c r="H1649" s="10"/>
      <c r="I1649" s="11"/>
      <c r="J1649" s="11"/>
      <c r="K1649" s="11"/>
      <c r="L1649" s="11"/>
      <c r="M1649" s="11"/>
      <c r="N1649" s="11"/>
      <c r="O1649" s="12"/>
      <c r="P1649" s="11"/>
      <c r="Q1649" s="13"/>
      <c r="R1649" s="14"/>
    </row>
    <row r="1650" spans="1:18" ht="15" customHeight="1">
      <c r="A1650" s="15" t="s">
        <v>26</v>
      </c>
      <c r="B1650" s="15" t="s">
        <v>826</v>
      </c>
      <c r="C1650" s="16">
        <v>0.95833333333333337</v>
      </c>
      <c r="D1650" s="15" t="s">
        <v>31</v>
      </c>
      <c r="E1650" s="15" t="s">
        <v>115</v>
      </c>
      <c r="F1650" s="15" t="s">
        <v>161</v>
      </c>
      <c r="G1650" s="298"/>
      <c r="H1650" s="10"/>
      <c r="I1650" s="11"/>
      <c r="J1650" s="11"/>
      <c r="K1650" s="11"/>
      <c r="L1650" s="11"/>
      <c r="M1650" s="11"/>
      <c r="N1650" s="11"/>
      <c r="O1650" s="12"/>
      <c r="P1650" s="11"/>
      <c r="Q1650" s="13"/>
      <c r="R1650" s="14"/>
    </row>
    <row r="1651" spans="1:18" ht="15" customHeight="1">
      <c r="A1651" s="15" t="s">
        <v>26</v>
      </c>
      <c r="B1651" s="15" t="s">
        <v>826</v>
      </c>
      <c r="C1651" s="16">
        <v>0.95833333333333337</v>
      </c>
      <c r="D1651" s="15" t="s">
        <v>34</v>
      </c>
      <c r="E1651" s="15" t="s">
        <v>115</v>
      </c>
      <c r="F1651" s="15" t="s">
        <v>123</v>
      </c>
      <c r="G1651" s="298"/>
      <c r="H1651" s="10"/>
      <c r="I1651" s="11"/>
      <c r="J1651" s="11"/>
      <c r="K1651" s="11"/>
      <c r="L1651" s="11"/>
      <c r="M1651" s="11"/>
      <c r="N1651" s="11"/>
      <c r="O1651" s="12"/>
      <c r="P1651" s="11"/>
      <c r="Q1651" s="13"/>
      <c r="R1651" s="14"/>
    </row>
    <row r="1652" spans="1:18" ht="15" customHeight="1">
      <c r="A1652" s="17" t="s">
        <v>26</v>
      </c>
      <c r="B1652" s="17" t="s">
        <v>823</v>
      </c>
      <c r="C1652" s="18">
        <v>0.81944444444444453</v>
      </c>
      <c r="D1652" s="17" t="s">
        <v>28</v>
      </c>
      <c r="E1652" s="17" t="s">
        <v>90</v>
      </c>
      <c r="F1652" s="17" t="s">
        <v>827</v>
      </c>
      <c r="G1652" s="298"/>
      <c r="H1652" s="10"/>
      <c r="I1652" s="11"/>
      <c r="J1652" s="11"/>
      <c r="K1652" s="11"/>
      <c r="L1652" s="11"/>
      <c r="M1652" s="11"/>
      <c r="N1652" s="11"/>
      <c r="O1652" s="12"/>
      <c r="P1652" s="11"/>
      <c r="Q1652" s="13"/>
      <c r="R1652" s="14"/>
    </row>
    <row r="1653" spans="1:18" ht="15" customHeight="1">
      <c r="A1653" s="15" t="s">
        <v>26</v>
      </c>
      <c r="B1653" s="15" t="s">
        <v>823</v>
      </c>
      <c r="C1653" s="16">
        <v>0.81944444444444453</v>
      </c>
      <c r="D1653" s="15" t="s">
        <v>31</v>
      </c>
      <c r="E1653" s="15" t="s">
        <v>82</v>
      </c>
      <c r="F1653" s="15" t="s">
        <v>161</v>
      </c>
      <c r="G1653" s="298"/>
      <c r="H1653" s="10"/>
      <c r="I1653" s="11"/>
      <c r="J1653" s="11"/>
      <c r="K1653" s="11"/>
      <c r="L1653" s="11"/>
      <c r="M1653" s="11"/>
      <c r="N1653" s="11"/>
      <c r="O1653" s="12"/>
      <c r="P1653" s="11"/>
      <c r="Q1653" s="13"/>
      <c r="R1653" s="14"/>
    </row>
    <row r="1654" spans="1:18" ht="15" customHeight="1">
      <c r="A1654" s="15" t="s">
        <v>26</v>
      </c>
      <c r="B1654" s="15" t="s">
        <v>823</v>
      </c>
      <c r="C1654" s="16">
        <v>0.81944444444444453</v>
      </c>
      <c r="D1654" s="15" t="s">
        <v>34</v>
      </c>
      <c r="E1654" s="15" t="s">
        <v>82</v>
      </c>
      <c r="F1654" s="15" t="s">
        <v>123</v>
      </c>
      <c r="G1654" s="298"/>
      <c r="H1654" s="10"/>
      <c r="I1654" s="11"/>
      <c r="J1654" s="11"/>
      <c r="K1654" s="11"/>
      <c r="L1654" s="11"/>
      <c r="M1654" s="11"/>
      <c r="N1654" s="11"/>
      <c r="O1654" s="12"/>
      <c r="P1654" s="11"/>
      <c r="Q1654" s="13"/>
      <c r="R1654" s="14"/>
    </row>
    <row r="1655" spans="1:18" ht="15" customHeight="1">
      <c r="A1655" s="17" t="s">
        <v>26</v>
      </c>
      <c r="B1655" s="17" t="s">
        <v>824</v>
      </c>
      <c r="C1655" s="18">
        <v>0.50694444444444442</v>
      </c>
      <c r="D1655" s="17" t="s">
        <v>28</v>
      </c>
      <c r="E1655" s="17" t="s">
        <v>90</v>
      </c>
      <c r="F1655" s="17" t="s">
        <v>827</v>
      </c>
      <c r="G1655" s="298"/>
      <c r="H1655" s="10"/>
      <c r="I1655" s="11"/>
      <c r="J1655" s="11"/>
      <c r="K1655" s="11"/>
      <c r="L1655" s="11"/>
      <c r="M1655" s="11"/>
      <c r="N1655" s="11"/>
      <c r="O1655" s="12"/>
      <c r="P1655" s="11"/>
      <c r="Q1655" s="13"/>
      <c r="R1655" s="14"/>
    </row>
    <row r="1656" spans="1:18" ht="15" customHeight="1">
      <c r="A1656" s="15" t="s">
        <v>26</v>
      </c>
      <c r="B1656" s="15" t="s">
        <v>824</v>
      </c>
      <c r="C1656" s="16">
        <v>0.50694444444444442</v>
      </c>
      <c r="D1656" s="15" t="s">
        <v>31</v>
      </c>
      <c r="E1656" s="15" t="s">
        <v>82</v>
      </c>
      <c r="F1656" s="15" t="s">
        <v>161</v>
      </c>
      <c r="G1656" s="298"/>
      <c r="H1656" s="10"/>
      <c r="I1656" s="11"/>
      <c r="J1656" s="11"/>
      <c r="K1656" s="11"/>
      <c r="L1656" s="11"/>
      <c r="M1656" s="11"/>
      <c r="N1656" s="11"/>
      <c r="O1656" s="12"/>
      <c r="P1656" s="11"/>
      <c r="Q1656" s="13"/>
      <c r="R1656" s="14"/>
    </row>
    <row r="1657" spans="1:18" ht="15" customHeight="1">
      <c r="A1657" s="15" t="s">
        <v>26</v>
      </c>
      <c r="B1657" s="15" t="s">
        <v>824</v>
      </c>
      <c r="C1657" s="16">
        <v>0.50694444444444442</v>
      </c>
      <c r="D1657" s="15" t="s">
        <v>34</v>
      </c>
      <c r="E1657" s="15" t="s">
        <v>82</v>
      </c>
      <c r="F1657" s="15" t="s">
        <v>123</v>
      </c>
      <c r="G1657" s="298"/>
      <c r="H1657" s="10"/>
      <c r="I1657" s="11"/>
      <c r="J1657" s="11"/>
      <c r="K1657" s="11"/>
      <c r="L1657" s="11"/>
      <c r="M1657" s="11"/>
      <c r="N1657" s="11"/>
      <c r="O1657" s="12"/>
      <c r="P1657" s="11"/>
      <c r="Q1657" s="13"/>
      <c r="R1657" s="14"/>
    </row>
    <row r="1658" spans="1:18" ht="15" customHeight="1">
      <c r="A1658" s="19" t="s">
        <v>359</v>
      </c>
      <c r="B1658" s="19" t="s">
        <v>814</v>
      </c>
      <c r="C1658" s="20">
        <v>0.4375</v>
      </c>
      <c r="D1658" s="19" t="s">
        <v>361</v>
      </c>
      <c r="E1658" s="19" t="s">
        <v>80</v>
      </c>
      <c r="F1658" s="19" t="s">
        <v>879</v>
      </c>
      <c r="G1658" s="298"/>
      <c r="H1658" s="10"/>
      <c r="I1658" s="11"/>
      <c r="J1658" s="11"/>
      <c r="K1658" s="11"/>
      <c r="L1658" s="11"/>
      <c r="M1658" s="11"/>
      <c r="N1658" s="11"/>
      <c r="O1658" s="12"/>
      <c r="P1658" s="11"/>
      <c r="Q1658" s="13"/>
      <c r="R1658" s="14"/>
    </row>
    <row r="1659" spans="1:18" ht="15" customHeight="1">
      <c r="A1659" s="15" t="s">
        <v>359</v>
      </c>
      <c r="B1659" s="15" t="s">
        <v>814</v>
      </c>
      <c r="C1659" s="16">
        <v>0.4375</v>
      </c>
      <c r="D1659" s="15" t="s">
        <v>46</v>
      </c>
      <c r="E1659" s="15" t="s">
        <v>82</v>
      </c>
      <c r="F1659" s="15" t="s">
        <v>880</v>
      </c>
      <c r="G1659" s="298"/>
      <c r="H1659" s="10"/>
      <c r="I1659" s="11"/>
      <c r="J1659" s="11"/>
      <c r="K1659" s="11"/>
      <c r="L1659" s="11"/>
      <c r="M1659" s="11"/>
      <c r="N1659" s="11"/>
      <c r="O1659" s="12"/>
      <c r="P1659" s="11"/>
      <c r="Q1659" s="13"/>
      <c r="R1659" s="14"/>
    </row>
    <row r="1660" spans="1:18" ht="15" customHeight="1">
      <c r="A1660" s="21" t="s">
        <v>61</v>
      </c>
      <c r="B1660" s="21" t="s">
        <v>816</v>
      </c>
      <c r="C1660" s="22">
        <v>0.41319444444444442</v>
      </c>
      <c r="D1660" s="21" t="s">
        <v>63</v>
      </c>
      <c r="E1660" s="21" t="s">
        <v>29</v>
      </c>
      <c r="F1660" s="21" t="s">
        <v>853</v>
      </c>
      <c r="G1660" s="298"/>
      <c r="H1660" s="23" t="s">
        <v>818</v>
      </c>
      <c r="I1660" s="24">
        <v>5.5899999999999998E-2</v>
      </c>
      <c r="J1660" s="25">
        <v>10</v>
      </c>
      <c r="K1660" s="26">
        <v>46339</v>
      </c>
      <c r="L1660" s="25">
        <v>10</v>
      </c>
      <c r="M1660" s="25">
        <v>0</v>
      </c>
      <c r="N1660" s="25">
        <v>0</v>
      </c>
      <c r="O1660" s="27" t="s">
        <v>368</v>
      </c>
      <c r="P1660" s="28">
        <v>0.41319444444444442</v>
      </c>
      <c r="Q1660" s="25">
        <v>179</v>
      </c>
      <c r="R1660" s="29" t="s">
        <v>973</v>
      </c>
    </row>
    <row r="1661" spans="1:18" ht="15" customHeight="1">
      <c r="A1661" s="19" t="s">
        <v>68</v>
      </c>
      <c r="B1661" s="19" t="s">
        <v>842</v>
      </c>
      <c r="C1661" s="20">
        <v>0.98263888888888884</v>
      </c>
      <c r="D1661" s="19" t="s">
        <v>70</v>
      </c>
      <c r="E1661" s="19" t="s">
        <v>29</v>
      </c>
      <c r="F1661" s="19" t="s">
        <v>45</v>
      </c>
      <c r="G1661" s="298"/>
      <c r="H1661" s="10"/>
      <c r="I1661" s="11"/>
      <c r="J1661" s="11"/>
      <c r="K1661" s="11"/>
      <c r="L1661" s="11"/>
      <c r="M1661" s="11"/>
      <c r="N1661" s="11"/>
      <c r="O1661" s="12"/>
      <c r="P1661" s="11"/>
      <c r="Q1661" s="13"/>
      <c r="R1661" s="14"/>
    </row>
    <row r="1662" spans="1:18" ht="15" customHeight="1">
      <c r="A1662" s="17" t="s">
        <v>68</v>
      </c>
      <c r="B1662" s="17" t="s">
        <v>844</v>
      </c>
      <c r="C1662" s="18">
        <v>0.72916666666666663</v>
      </c>
      <c r="D1662" s="17" t="s">
        <v>70</v>
      </c>
      <c r="E1662" s="17" t="s">
        <v>57</v>
      </c>
      <c r="F1662" s="17" t="s">
        <v>845</v>
      </c>
      <c r="G1662" s="298"/>
      <c r="H1662" s="10"/>
      <c r="I1662" s="11"/>
      <c r="J1662" s="11"/>
      <c r="K1662" s="11"/>
      <c r="L1662" s="11"/>
      <c r="M1662" s="11"/>
      <c r="N1662" s="11"/>
      <c r="O1662" s="12"/>
      <c r="P1662" s="11"/>
      <c r="Q1662" s="13"/>
      <c r="R1662" s="14"/>
    </row>
    <row r="1663" spans="1:18" ht="15" customHeight="1">
      <c r="A1663" s="17" t="s">
        <v>68</v>
      </c>
      <c r="B1663" s="17" t="s">
        <v>843</v>
      </c>
      <c r="C1663" s="18">
        <v>0.35416666666666669</v>
      </c>
      <c r="D1663" s="17" t="s">
        <v>70</v>
      </c>
      <c r="E1663" s="17" t="s">
        <v>57</v>
      </c>
      <c r="F1663" s="17" t="s">
        <v>845</v>
      </c>
      <c r="G1663" s="298"/>
      <c r="H1663" s="10"/>
      <c r="I1663" s="11"/>
      <c r="J1663" s="11"/>
      <c r="K1663" s="11"/>
      <c r="L1663" s="11"/>
      <c r="M1663" s="11"/>
      <c r="N1663" s="11"/>
      <c r="O1663" s="12"/>
      <c r="P1663" s="11"/>
      <c r="Q1663" s="13"/>
      <c r="R1663" s="14"/>
    </row>
    <row r="1664" spans="1:18" ht="15" customHeight="1">
      <c r="A1664" s="19" t="s">
        <v>402</v>
      </c>
      <c r="B1664" s="19" t="s">
        <v>839</v>
      </c>
      <c r="C1664" s="20">
        <v>0.1701388888888889</v>
      </c>
      <c r="D1664" s="19" t="s">
        <v>63</v>
      </c>
      <c r="E1664" s="19" t="s">
        <v>107</v>
      </c>
      <c r="F1664" s="19" t="s">
        <v>881</v>
      </c>
      <c r="G1664" s="298"/>
      <c r="H1664" s="10"/>
      <c r="I1664" s="11"/>
      <c r="J1664" s="11"/>
      <c r="K1664" s="11"/>
      <c r="L1664" s="11"/>
      <c r="M1664" s="11"/>
      <c r="N1664" s="11"/>
      <c r="O1664" s="12"/>
      <c r="P1664" s="11"/>
      <c r="Q1664" s="13"/>
      <c r="R1664" s="14"/>
    </row>
    <row r="1665" spans="1:18" ht="15" customHeight="1">
      <c r="A1665" s="19" t="s">
        <v>48</v>
      </c>
      <c r="B1665" s="19" t="s">
        <v>837</v>
      </c>
      <c r="C1665" s="20">
        <v>0.62847222222222221</v>
      </c>
      <c r="D1665" s="19" t="s">
        <v>53</v>
      </c>
      <c r="E1665" s="19" t="s">
        <v>29</v>
      </c>
      <c r="F1665" s="19" t="s">
        <v>836</v>
      </c>
      <c r="G1665" s="298"/>
      <c r="H1665" s="10"/>
      <c r="I1665" s="11"/>
      <c r="J1665" s="11"/>
      <c r="K1665" s="11"/>
      <c r="L1665" s="11"/>
      <c r="M1665" s="11"/>
      <c r="N1665" s="11"/>
      <c r="O1665" s="12"/>
      <c r="P1665" s="11"/>
      <c r="Q1665" s="13"/>
      <c r="R1665" s="14"/>
    </row>
    <row r="1666" spans="1:18" ht="15" customHeight="1">
      <c r="A1666" s="17" t="s">
        <v>48</v>
      </c>
      <c r="B1666" s="17" t="s">
        <v>835</v>
      </c>
      <c r="C1666" s="18">
        <v>0.88888888888888884</v>
      </c>
      <c r="D1666" s="17" t="s">
        <v>53</v>
      </c>
      <c r="E1666" s="17" t="s">
        <v>37</v>
      </c>
      <c r="F1666" s="17" t="s">
        <v>946</v>
      </c>
      <c r="G1666" s="298"/>
      <c r="H1666" s="10"/>
      <c r="I1666" s="11"/>
      <c r="J1666" s="11"/>
      <c r="K1666" s="11"/>
      <c r="L1666" s="11"/>
      <c r="M1666" s="11"/>
      <c r="N1666" s="11"/>
      <c r="O1666" s="12"/>
      <c r="P1666" s="11"/>
      <c r="Q1666" s="13"/>
      <c r="R1666" s="14"/>
    </row>
    <row r="1667" spans="1:18" ht="15" customHeight="1">
      <c r="A1667" s="17" t="s">
        <v>48</v>
      </c>
      <c r="B1667" s="17" t="s">
        <v>838</v>
      </c>
      <c r="C1667" s="18">
        <v>0.94444444444444453</v>
      </c>
      <c r="D1667" s="17" t="s">
        <v>53</v>
      </c>
      <c r="E1667" s="17" t="s">
        <v>37</v>
      </c>
      <c r="F1667" s="17" t="s">
        <v>933</v>
      </c>
      <c r="G1667" s="298"/>
      <c r="H1667" s="10"/>
      <c r="I1667" s="11"/>
      <c r="J1667" s="11"/>
      <c r="K1667" s="11"/>
      <c r="L1667" s="11"/>
      <c r="M1667" s="11"/>
      <c r="N1667" s="11"/>
      <c r="O1667" s="12"/>
      <c r="P1667" s="11"/>
      <c r="Q1667" s="13"/>
      <c r="R1667" s="14"/>
    </row>
    <row r="1668" spans="1:18" ht="15" customHeight="1">
      <c r="A1668" s="17" t="s">
        <v>48</v>
      </c>
      <c r="B1668" s="17" t="s">
        <v>833</v>
      </c>
      <c r="C1668" s="18">
        <v>0.44444444444444442</v>
      </c>
      <c r="D1668" s="17" t="s">
        <v>53</v>
      </c>
      <c r="E1668" s="17" t="s">
        <v>57</v>
      </c>
      <c r="F1668" s="17" t="s">
        <v>870</v>
      </c>
      <c r="G1668" s="298"/>
      <c r="H1668" s="10"/>
      <c r="I1668" s="11"/>
      <c r="J1668" s="11"/>
      <c r="K1668" s="11"/>
      <c r="L1668" s="11"/>
      <c r="M1668" s="11"/>
      <c r="N1668" s="11"/>
      <c r="O1668" s="12"/>
      <c r="P1668" s="11"/>
      <c r="Q1668" s="13"/>
      <c r="R1668" s="14"/>
    </row>
    <row r="1669" spans="1:18" ht="15" customHeight="1">
      <c r="A1669" s="17" t="s">
        <v>48</v>
      </c>
      <c r="B1669" s="17" t="s">
        <v>831</v>
      </c>
      <c r="C1669" s="18">
        <v>0.98263888888888884</v>
      </c>
      <c r="D1669" s="17" t="s">
        <v>53</v>
      </c>
      <c r="E1669" s="17" t="s">
        <v>57</v>
      </c>
      <c r="F1669" s="17" t="s">
        <v>870</v>
      </c>
      <c r="G1669" s="298"/>
      <c r="H1669" s="10"/>
      <c r="I1669" s="11"/>
      <c r="J1669" s="11"/>
      <c r="K1669" s="11"/>
      <c r="L1669" s="11"/>
      <c r="M1669" s="11"/>
      <c r="N1669" s="11"/>
      <c r="O1669" s="12"/>
      <c r="P1669" s="11"/>
      <c r="Q1669" s="13"/>
      <c r="R1669" s="14"/>
    </row>
    <row r="1670" spans="1:18" ht="15" customHeight="1">
      <c r="A1670" s="17" t="s">
        <v>48</v>
      </c>
      <c r="B1670" s="17" t="s">
        <v>828</v>
      </c>
      <c r="C1670" s="18">
        <v>0.82986111111111116</v>
      </c>
      <c r="D1670" s="17" t="s">
        <v>53</v>
      </c>
      <c r="E1670" s="17" t="s">
        <v>57</v>
      </c>
      <c r="F1670" s="17" t="s">
        <v>963</v>
      </c>
      <c r="G1670" s="298"/>
      <c r="H1670" s="10"/>
      <c r="I1670" s="11"/>
      <c r="J1670" s="11"/>
      <c r="K1670" s="11"/>
      <c r="L1670" s="11"/>
      <c r="M1670" s="11"/>
      <c r="N1670" s="11"/>
      <c r="O1670" s="12"/>
      <c r="P1670" s="11"/>
      <c r="Q1670" s="13"/>
      <c r="R1670" s="14"/>
    </row>
    <row r="1671" spans="1:18" ht="15" customHeight="1">
      <c r="A1671" s="30" t="s">
        <v>48</v>
      </c>
      <c r="B1671" s="30" t="s">
        <v>832</v>
      </c>
      <c r="C1671" s="31">
        <v>0.62847222222222221</v>
      </c>
      <c r="D1671" s="30" t="s">
        <v>53</v>
      </c>
      <c r="E1671" s="30" t="s">
        <v>57</v>
      </c>
      <c r="F1671" s="30" t="s">
        <v>963</v>
      </c>
      <c r="G1671" s="299"/>
      <c r="H1671" s="300"/>
      <c r="I1671" s="140"/>
      <c r="J1671" s="140"/>
      <c r="K1671" s="140"/>
      <c r="L1671" s="140"/>
      <c r="M1671" s="140"/>
      <c r="N1671" s="140"/>
      <c r="O1671" s="141"/>
      <c r="P1671" s="140"/>
      <c r="Q1671" s="142"/>
      <c r="R1671" s="301"/>
    </row>
  </sheetData>
  <mergeCells count="130">
    <mergeCell ref="H1:L1"/>
    <mergeCell ref="A1:E1"/>
    <mergeCell ref="H196:R196"/>
    <mergeCell ref="A1047:F1047"/>
    <mergeCell ref="A611:R611"/>
    <mergeCell ref="G558:G610"/>
    <mergeCell ref="H128:R128"/>
    <mergeCell ref="A127:R127"/>
    <mergeCell ref="A59:R59"/>
    <mergeCell ref="A60:F60"/>
    <mergeCell ref="A2:F2"/>
    <mergeCell ref="H60:R60"/>
    <mergeCell ref="G2:J2"/>
    <mergeCell ref="G252:G280"/>
    <mergeCell ref="H250:R250"/>
    <mergeCell ref="N1:R1"/>
    <mergeCell ref="K2:R2"/>
    <mergeCell ref="A128:F128"/>
    <mergeCell ref="G6:G58"/>
    <mergeCell ref="H4:R4"/>
    <mergeCell ref="A3:R3"/>
    <mergeCell ref="A195:R195"/>
    <mergeCell ref="H394:R394"/>
    <mergeCell ref="G1049:G1103"/>
    <mergeCell ref="H1469:R1469"/>
    <mergeCell ref="G130:G194"/>
    <mergeCell ref="H990:R990"/>
    <mergeCell ref="A1623:F1623"/>
    <mergeCell ref="G284:G338"/>
    <mergeCell ref="A989:R989"/>
    <mergeCell ref="H727:R727"/>
    <mergeCell ref="A783:F783"/>
    <mergeCell ref="A782:R782"/>
    <mergeCell ref="A1211:R1211"/>
    <mergeCell ref="G1471:G1519"/>
    <mergeCell ref="H939:R939"/>
    <mergeCell ref="A939:F939"/>
    <mergeCell ref="A1263:F1263"/>
    <mergeCell ref="A502:F502"/>
    <mergeCell ref="A888:R888"/>
    <mergeCell ref="A340:F340"/>
    <mergeCell ref="H556:R556"/>
    <mergeCell ref="G198:G248"/>
    <mergeCell ref="G729:G781"/>
    <mergeCell ref="G342:G392"/>
    <mergeCell ref="G1625:G1671"/>
    <mergeCell ref="A250:F250"/>
    <mergeCell ref="A1415:R1415"/>
    <mergeCell ref="G1214:G1261"/>
    <mergeCell ref="G992:G1045"/>
    <mergeCell ref="A1572:F1572"/>
    <mergeCell ref="A1416:F1416"/>
    <mergeCell ref="A501:R501"/>
    <mergeCell ref="G941:G988"/>
    <mergeCell ref="H612:R612"/>
    <mergeCell ref="G1366:G1414"/>
    <mergeCell ref="A449:F449"/>
    <mergeCell ref="H669:R669"/>
    <mergeCell ref="G396:G447"/>
    <mergeCell ref="A1520:R1520"/>
    <mergeCell ref="G1163:G1210"/>
    <mergeCell ref="A1364:F1364"/>
    <mergeCell ref="A1469:F1469"/>
    <mergeCell ref="H783:R783"/>
    <mergeCell ref="A990:F990"/>
    <mergeCell ref="A1521:F1521"/>
    <mergeCell ref="H838:R838"/>
    <mergeCell ref="A1046:R1046"/>
    <mergeCell ref="H1521:R1521"/>
    <mergeCell ref="H502:R502"/>
    <mergeCell ref="H340:R340"/>
    <mergeCell ref="H1313:R1313"/>
    <mergeCell ref="A612:F612"/>
    <mergeCell ref="G451:G500"/>
    <mergeCell ref="A1105:F1105"/>
    <mergeCell ref="A1571:R1571"/>
    <mergeCell ref="G671:G725"/>
    <mergeCell ref="H1047:R1047"/>
    <mergeCell ref="G614:G667"/>
    <mergeCell ref="A1161:F1161"/>
    <mergeCell ref="A448:R448"/>
    <mergeCell ref="A394:F394"/>
    <mergeCell ref="H1416:R1416"/>
    <mergeCell ref="G504:G554"/>
    <mergeCell ref="H1105:R1105"/>
    <mergeCell ref="G1265:G1311"/>
    <mergeCell ref="H449:R449"/>
    <mergeCell ref="A837:R837"/>
    <mergeCell ref="H1623:R1623"/>
    <mergeCell ref="H1212:R1212"/>
    <mergeCell ref="G1574:G1621"/>
    <mergeCell ref="A838:F838"/>
    <mergeCell ref="G840:G887"/>
    <mergeCell ref="H1364:R1364"/>
    <mergeCell ref="A1363:R1363"/>
    <mergeCell ref="H1572:R1572"/>
    <mergeCell ref="G1418:G1467"/>
    <mergeCell ref="G1523:G1570"/>
    <mergeCell ref="A1160:R1160"/>
    <mergeCell ref="A668:R668"/>
    <mergeCell ref="A727:F727"/>
    <mergeCell ref="H1161:R1161"/>
    <mergeCell ref="A1468:R1468"/>
    <mergeCell ref="A1262:R1262"/>
    <mergeCell ref="A1622:R1622"/>
    <mergeCell ref="A556:F556"/>
    <mergeCell ref="A393:R393"/>
    <mergeCell ref="G891:G937"/>
    <mergeCell ref="G1315:G1362"/>
    <mergeCell ref="H282:R282"/>
    <mergeCell ref="A4:F4"/>
    <mergeCell ref="A1104:R1104"/>
    <mergeCell ref="H1263:R1263"/>
    <mergeCell ref="A889:F889"/>
    <mergeCell ref="A726:R726"/>
    <mergeCell ref="A249:R249"/>
    <mergeCell ref="G62:G126"/>
    <mergeCell ref="G785:G836"/>
    <mergeCell ref="A555:R555"/>
    <mergeCell ref="A669:F669"/>
    <mergeCell ref="G1107:G1159"/>
    <mergeCell ref="A1312:R1312"/>
    <mergeCell ref="A196:F196"/>
    <mergeCell ref="A1212:F1212"/>
    <mergeCell ref="A339:R339"/>
    <mergeCell ref="A281:R281"/>
    <mergeCell ref="A282:F282"/>
    <mergeCell ref="A938:R938"/>
    <mergeCell ref="H889:R889"/>
    <mergeCell ref="A1313:F1313"/>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J42"/>
  <sheetViews>
    <sheetView workbookViewId="0"/>
  </sheetViews>
  <sheetFormatPr defaultColWidth="8.85546875" defaultRowHeight="15.6" outlineLevelCol="1"/>
  <cols>
    <col min="1" max="1" width="11.5703125" style="266" bestFit="1" customWidth="1"/>
    <col min="2" max="2" width="9.7109375" style="266" bestFit="1" customWidth="1"/>
    <col min="3" max="3" width="6.7109375" style="266" bestFit="1" customWidth="1"/>
    <col min="4" max="4" width="5.5703125" style="266" bestFit="1" customWidth="1"/>
    <col min="5" max="5" width="8.28515625" style="266" bestFit="1" customWidth="1"/>
    <col min="6" max="6" width="4.28515625" style="266" bestFit="1" customWidth="1"/>
    <col min="7" max="7" width="8.42578125" style="266" bestFit="1" customWidth="1"/>
    <col min="8" max="8" width="8.5703125" style="266" bestFit="1" customWidth="1"/>
    <col min="9"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6" width="3.85546875" style="266" bestFit="1" customWidth="1"/>
    <col min="27" max="27" width="4" style="266" bestFit="1" customWidth="1"/>
    <col min="28" max="28" width="4.28515625" style="266" bestFit="1" customWidth="1"/>
    <col min="29" max="30" width="3.85546875" style="266" bestFit="1" customWidth="1"/>
    <col min="31" max="31" width="4.5703125" style="266" bestFit="1" customWidth="1"/>
    <col min="32"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230</v>
      </c>
      <c r="B2" s="268">
        <v>46023</v>
      </c>
      <c r="C2" s="269" t="s">
        <v>818</v>
      </c>
      <c r="D2" s="270" t="s">
        <v>974</v>
      </c>
      <c r="E2" s="269" t="s">
        <v>808</v>
      </c>
      <c r="F2" s="269" t="s">
        <v>232</v>
      </c>
      <c r="G2" s="271">
        <v>1.6799999999999999E-2</v>
      </c>
      <c r="H2" s="272">
        <v>179</v>
      </c>
      <c r="I2" s="272">
        <v>3</v>
      </c>
      <c r="J2" s="272">
        <v>0</v>
      </c>
      <c r="K2" s="269" t="s">
        <v>233</v>
      </c>
      <c r="L2" s="273">
        <v>46338</v>
      </c>
      <c r="M2" s="272">
        <v>0</v>
      </c>
      <c r="N2" s="272">
        <v>0</v>
      </c>
      <c r="O2" s="272">
        <v>3</v>
      </c>
      <c r="P2" s="269" t="s">
        <v>326</v>
      </c>
      <c r="Q2" s="265"/>
      <c r="R2" s="265"/>
      <c r="S2" s="265"/>
      <c r="T2" s="265"/>
      <c r="U2" s="265"/>
      <c r="V2" s="265"/>
      <c r="W2" s="265"/>
      <c r="X2" s="265"/>
      <c r="Y2" s="265"/>
      <c r="Z2" s="265"/>
      <c r="AA2" s="265"/>
      <c r="AB2" s="265"/>
      <c r="AC2" s="265"/>
      <c r="AD2" s="265"/>
      <c r="AE2" s="265"/>
      <c r="AF2" s="272" t="s">
        <v>819</v>
      </c>
      <c r="AG2" s="265"/>
      <c r="AH2" s="265"/>
      <c r="AI2" s="265"/>
      <c r="AJ2" s="265"/>
    </row>
    <row r="3" spans="1:36">
      <c r="A3" s="267" t="s">
        <v>560</v>
      </c>
      <c r="B3" s="268">
        <v>46024</v>
      </c>
      <c r="C3" s="269" t="s">
        <v>818</v>
      </c>
      <c r="D3" s="270" t="s">
        <v>555</v>
      </c>
      <c r="E3" s="269" t="s">
        <v>808</v>
      </c>
      <c r="F3" s="269" t="s">
        <v>232</v>
      </c>
      <c r="G3" s="271">
        <v>4.4699999999999997E-2</v>
      </c>
      <c r="H3" s="272">
        <v>179</v>
      </c>
      <c r="I3" s="272">
        <v>8</v>
      </c>
      <c r="J3" s="272">
        <v>0</v>
      </c>
      <c r="K3" s="269" t="s">
        <v>233</v>
      </c>
      <c r="L3" s="273">
        <v>46344</v>
      </c>
      <c r="M3" s="272">
        <v>0</v>
      </c>
      <c r="N3" s="272">
        <v>0</v>
      </c>
      <c r="O3" s="272">
        <v>8</v>
      </c>
      <c r="P3" s="269" t="s">
        <v>850</v>
      </c>
      <c r="Q3" s="265"/>
      <c r="R3" s="265"/>
      <c r="S3" s="265"/>
      <c r="T3" s="265"/>
      <c r="U3" s="265"/>
      <c r="V3" s="265"/>
      <c r="W3" s="265"/>
      <c r="X3" s="265"/>
      <c r="Y3" s="265"/>
      <c r="Z3" s="265"/>
      <c r="AA3" s="265"/>
      <c r="AB3" s="265"/>
      <c r="AC3" s="265"/>
      <c r="AD3" s="265"/>
      <c r="AE3" s="272" t="s">
        <v>570</v>
      </c>
      <c r="AF3" s="272" t="s">
        <v>374</v>
      </c>
      <c r="AG3" s="265"/>
      <c r="AH3" s="265"/>
      <c r="AI3" s="265"/>
      <c r="AJ3" s="265"/>
    </row>
    <row r="4" spans="1:36">
      <c r="A4" s="267" t="s">
        <v>560</v>
      </c>
      <c r="B4" s="268">
        <v>46024</v>
      </c>
      <c r="C4" s="269" t="s">
        <v>854</v>
      </c>
      <c r="D4" s="270" t="s">
        <v>975</v>
      </c>
      <c r="E4" s="269" t="s">
        <v>808</v>
      </c>
      <c r="F4" s="269" t="s">
        <v>232</v>
      </c>
      <c r="G4" s="271">
        <v>8.9399999999999993E-2</v>
      </c>
      <c r="H4" s="272">
        <v>179</v>
      </c>
      <c r="I4" s="272">
        <v>16</v>
      </c>
      <c r="J4" s="272">
        <v>0</v>
      </c>
      <c r="K4" s="269" t="s">
        <v>233</v>
      </c>
      <c r="L4" s="273">
        <v>46344</v>
      </c>
      <c r="M4" s="272">
        <v>0</v>
      </c>
      <c r="N4" s="272">
        <v>0</v>
      </c>
      <c r="O4" s="272">
        <v>16</v>
      </c>
      <c r="P4" s="269" t="s">
        <v>552</v>
      </c>
      <c r="Q4" s="265"/>
      <c r="R4" s="265"/>
      <c r="S4" s="265"/>
      <c r="T4" s="265"/>
      <c r="U4" s="265"/>
      <c r="V4" s="265"/>
      <c r="W4" s="265"/>
      <c r="X4" s="265"/>
      <c r="Y4" s="265"/>
      <c r="Z4" s="265"/>
      <c r="AA4" s="265"/>
      <c r="AB4" s="265"/>
      <c r="AC4" s="272" t="s">
        <v>304</v>
      </c>
      <c r="AD4" s="272" t="s">
        <v>430</v>
      </c>
      <c r="AE4" s="272" t="s">
        <v>850</v>
      </c>
      <c r="AF4" s="272" t="s">
        <v>901</v>
      </c>
      <c r="AG4" s="265"/>
      <c r="AH4" s="265"/>
      <c r="AI4" s="265"/>
      <c r="AJ4" s="265"/>
    </row>
    <row r="5" spans="1:36">
      <c r="A5" s="267" t="s">
        <v>234</v>
      </c>
      <c r="B5" s="268">
        <v>46025</v>
      </c>
      <c r="C5" s="269" t="s">
        <v>818</v>
      </c>
      <c r="D5" s="270" t="s">
        <v>974</v>
      </c>
      <c r="E5" s="269" t="s">
        <v>808</v>
      </c>
      <c r="F5" s="269" t="s">
        <v>232</v>
      </c>
      <c r="G5" s="271">
        <v>0.2235</v>
      </c>
      <c r="H5" s="272">
        <v>179</v>
      </c>
      <c r="I5" s="272">
        <v>40</v>
      </c>
      <c r="J5" s="272">
        <v>0</v>
      </c>
      <c r="K5" s="269" t="s">
        <v>233</v>
      </c>
      <c r="L5" s="273">
        <v>46345</v>
      </c>
      <c r="M5" s="272">
        <v>0</v>
      </c>
      <c r="N5" s="272">
        <v>0</v>
      </c>
      <c r="O5" s="272">
        <v>40</v>
      </c>
      <c r="P5" s="269" t="s">
        <v>128</v>
      </c>
      <c r="Q5" s="265"/>
      <c r="R5" s="265"/>
      <c r="S5" s="265"/>
      <c r="T5" s="265"/>
      <c r="U5" s="265"/>
      <c r="V5" s="272" t="s">
        <v>976</v>
      </c>
      <c r="W5" s="265"/>
      <c r="X5" s="265"/>
      <c r="Y5" s="265"/>
      <c r="Z5" s="265"/>
      <c r="AA5" s="265"/>
      <c r="AB5" s="272" t="s">
        <v>977</v>
      </c>
      <c r="AC5" s="272" t="s">
        <v>306</v>
      </c>
      <c r="AD5" s="272" t="s">
        <v>549</v>
      </c>
      <c r="AE5" s="272" t="s">
        <v>968</v>
      </c>
      <c r="AF5" s="272" t="s">
        <v>591</v>
      </c>
      <c r="AG5" s="265"/>
      <c r="AH5" s="265"/>
      <c r="AI5" s="265"/>
      <c r="AJ5" s="265"/>
    </row>
    <row r="6" spans="1:36">
      <c r="A6" s="267" t="s">
        <v>236</v>
      </c>
      <c r="B6" s="268">
        <v>46026</v>
      </c>
      <c r="C6" s="269" t="s">
        <v>818</v>
      </c>
      <c r="D6" s="270" t="s">
        <v>978</v>
      </c>
      <c r="E6" s="269" t="s">
        <v>808</v>
      </c>
      <c r="F6" s="269" t="s">
        <v>232</v>
      </c>
      <c r="G6" s="271">
        <v>8.3799999999999999E-2</v>
      </c>
      <c r="H6" s="272">
        <v>179</v>
      </c>
      <c r="I6" s="272">
        <v>15</v>
      </c>
      <c r="J6" s="272">
        <v>0</v>
      </c>
      <c r="K6" s="269" t="s">
        <v>233</v>
      </c>
      <c r="L6" s="273">
        <v>46344</v>
      </c>
      <c r="M6" s="272">
        <v>0</v>
      </c>
      <c r="N6" s="272">
        <v>0</v>
      </c>
      <c r="O6" s="272">
        <v>15</v>
      </c>
      <c r="P6" s="269" t="s">
        <v>877</v>
      </c>
      <c r="Q6" s="265"/>
      <c r="R6" s="265"/>
      <c r="S6" s="265"/>
      <c r="T6" s="265"/>
      <c r="U6" s="265"/>
      <c r="V6" s="265"/>
      <c r="W6" s="265"/>
      <c r="X6" s="265"/>
      <c r="Y6" s="265"/>
      <c r="Z6" s="265"/>
      <c r="AA6" s="265"/>
      <c r="AB6" s="265"/>
      <c r="AC6" s="265"/>
      <c r="AD6" s="265"/>
      <c r="AE6" s="272" t="s">
        <v>979</v>
      </c>
      <c r="AF6" s="272" t="s">
        <v>819</v>
      </c>
      <c r="AG6" s="265"/>
      <c r="AH6" s="265"/>
      <c r="AI6" s="265"/>
      <c r="AJ6" s="265"/>
    </row>
    <row r="7" spans="1:36">
      <c r="A7" s="267" t="s">
        <v>240</v>
      </c>
      <c r="B7" s="268">
        <v>46027</v>
      </c>
      <c r="C7" s="269" t="s">
        <v>854</v>
      </c>
      <c r="D7" s="270" t="s">
        <v>975</v>
      </c>
      <c r="E7" s="269" t="s">
        <v>808</v>
      </c>
      <c r="F7" s="269" t="s">
        <v>232</v>
      </c>
      <c r="G7" s="271">
        <v>3.9100000000000003E-2</v>
      </c>
      <c r="H7" s="272">
        <v>179</v>
      </c>
      <c r="I7" s="272">
        <v>7</v>
      </c>
      <c r="J7" s="272">
        <v>0</v>
      </c>
      <c r="K7" s="269" t="s">
        <v>233</v>
      </c>
      <c r="L7" s="273">
        <v>46344</v>
      </c>
      <c r="M7" s="272">
        <v>0</v>
      </c>
      <c r="N7" s="272">
        <v>0</v>
      </c>
      <c r="O7" s="272">
        <v>7</v>
      </c>
      <c r="P7" s="269" t="s">
        <v>877</v>
      </c>
      <c r="Q7" s="265"/>
      <c r="R7" s="265"/>
      <c r="S7" s="265"/>
      <c r="T7" s="265"/>
      <c r="U7" s="265"/>
      <c r="V7" s="265"/>
      <c r="W7" s="265"/>
      <c r="X7" s="265"/>
      <c r="Y7" s="265"/>
      <c r="Z7" s="265"/>
      <c r="AA7" s="265"/>
      <c r="AB7" s="265"/>
      <c r="AC7" s="272" t="s">
        <v>304</v>
      </c>
      <c r="AD7" s="265"/>
      <c r="AE7" s="265"/>
      <c r="AF7" s="272" t="s">
        <v>901</v>
      </c>
      <c r="AG7" s="265"/>
      <c r="AH7" s="265"/>
      <c r="AI7" s="265"/>
      <c r="AJ7" s="265"/>
    </row>
    <row r="8" spans="1:36">
      <c r="A8" s="267" t="s">
        <v>242</v>
      </c>
      <c r="B8" s="268">
        <v>46028</v>
      </c>
      <c r="C8" s="269" t="s">
        <v>854</v>
      </c>
      <c r="D8" s="270" t="s">
        <v>980</v>
      </c>
      <c r="E8" s="269" t="s">
        <v>808</v>
      </c>
      <c r="F8" s="269" t="s">
        <v>232</v>
      </c>
      <c r="G8" s="271">
        <v>3.3500000000000002E-2</v>
      </c>
      <c r="H8" s="272">
        <v>179</v>
      </c>
      <c r="I8" s="272">
        <v>6</v>
      </c>
      <c r="J8" s="272">
        <v>0</v>
      </c>
      <c r="K8" s="269" t="s">
        <v>233</v>
      </c>
      <c r="L8" s="273">
        <v>46344</v>
      </c>
      <c r="M8" s="272">
        <v>0</v>
      </c>
      <c r="N8" s="272">
        <v>0</v>
      </c>
      <c r="O8" s="272">
        <v>6</v>
      </c>
      <c r="P8" s="269" t="s">
        <v>326</v>
      </c>
      <c r="Q8" s="265"/>
      <c r="R8" s="265"/>
      <c r="S8" s="265"/>
      <c r="T8" s="265"/>
      <c r="U8" s="265"/>
      <c r="V8" s="265"/>
      <c r="W8" s="265"/>
      <c r="X8" s="265"/>
      <c r="Y8" s="265"/>
      <c r="Z8" s="265"/>
      <c r="AA8" s="265"/>
      <c r="AB8" s="265"/>
      <c r="AC8" s="272" t="s">
        <v>298</v>
      </c>
      <c r="AD8" s="265"/>
      <c r="AE8" s="265"/>
      <c r="AF8" s="272" t="s">
        <v>901</v>
      </c>
      <c r="AG8" s="265"/>
      <c r="AH8" s="265"/>
      <c r="AI8" s="265"/>
      <c r="AJ8" s="265"/>
    </row>
    <row r="9" spans="1:36">
      <c r="A9" s="267" t="s">
        <v>315</v>
      </c>
      <c r="B9" s="268">
        <v>46029</v>
      </c>
      <c r="C9" s="269" t="s">
        <v>818</v>
      </c>
      <c r="D9" s="270" t="s">
        <v>974</v>
      </c>
      <c r="E9" s="269" t="s">
        <v>808</v>
      </c>
      <c r="F9" s="269" t="s">
        <v>232</v>
      </c>
      <c r="G9" s="271">
        <v>0</v>
      </c>
      <c r="H9" s="272">
        <v>179</v>
      </c>
      <c r="I9" s="272">
        <v>0</v>
      </c>
      <c r="J9" s="272">
        <v>0</v>
      </c>
      <c r="K9" s="269" t="s">
        <v>233</v>
      </c>
      <c r="L9" s="273" t="s">
        <v>66</v>
      </c>
      <c r="M9" s="272">
        <v>0</v>
      </c>
      <c r="N9" s="272">
        <v>0</v>
      </c>
      <c r="O9" s="272">
        <v>0</v>
      </c>
      <c r="P9" s="269" t="s">
        <v>326</v>
      </c>
      <c r="Q9" s="265"/>
      <c r="R9" s="265"/>
      <c r="S9" s="265"/>
      <c r="T9" s="265"/>
      <c r="U9" s="265"/>
      <c r="V9" s="265"/>
      <c r="W9" s="265"/>
      <c r="X9" s="265"/>
      <c r="Y9" s="265"/>
      <c r="Z9" s="265"/>
      <c r="AA9" s="265"/>
      <c r="AB9" s="265"/>
      <c r="AC9" s="265"/>
      <c r="AD9" s="265"/>
      <c r="AE9" s="265"/>
      <c r="AF9" s="265"/>
      <c r="AG9" s="265"/>
      <c r="AH9" s="265"/>
      <c r="AI9" s="265"/>
      <c r="AJ9" s="265"/>
    </row>
    <row r="10" spans="1:36">
      <c r="A10" s="267" t="s">
        <v>315</v>
      </c>
      <c r="B10" s="268">
        <v>46029</v>
      </c>
      <c r="C10" s="269" t="s">
        <v>854</v>
      </c>
      <c r="D10" s="270" t="s">
        <v>975</v>
      </c>
      <c r="E10" s="269" t="s">
        <v>808</v>
      </c>
      <c r="F10" s="269" t="s">
        <v>232</v>
      </c>
      <c r="G10" s="271">
        <v>1.6799999999999999E-2</v>
      </c>
      <c r="H10" s="272">
        <v>179</v>
      </c>
      <c r="I10" s="272">
        <v>3</v>
      </c>
      <c r="J10" s="272">
        <v>0</v>
      </c>
      <c r="K10" s="269" t="s">
        <v>233</v>
      </c>
      <c r="L10" s="273">
        <v>46330</v>
      </c>
      <c r="M10" s="272">
        <v>0</v>
      </c>
      <c r="N10" s="272">
        <v>0</v>
      </c>
      <c r="O10" s="272">
        <v>3</v>
      </c>
      <c r="P10" s="269" t="s">
        <v>326</v>
      </c>
      <c r="Q10" s="265"/>
      <c r="R10" s="265"/>
      <c r="S10" s="265"/>
      <c r="T10" s="265"/>
      <c r="U10" s="265"/>
      <c r="V10" s="265"/>
      <c r="W10" s="265"/>
      <c r="X10" s="265"/>
      <c r="Y10" s="265"/>
      <c r="Z10" s="265"/>
      <c r="AA10" s="265"/>
      <c r="AB10" s="265"/>
      <c r="AC10" s="272" t="s">
        <v>302</v>
      </c>
      <c r="AD10" s="265"/>
      <c r="AE10" s="265"/>
      <c r="AF10" s="272" t="s">
        <v>571</v>
      </c>
      <c r="AG10" s="265"/>
      <c r="AH10" s="265"/>
      <c r="AI10" s="265"/>
      <c r="AJ10" s="265"/>
    </row>
    <row r="11" spans="1:36">
      <c r="A11" s="267" t="s">
        <v>230</v>
      </c>
      <c r="B11" s="268">
        <v>46030</v>
      </c>
      <c r="C11" s="269" t="s">
        <v>818</v>
      </c>
      <c r="D11" s="270" t="s">
        <v>974</v>
      </c>
      <c r="E11" s="269" t="s">
        <v>808</v>
      </c>
      <c r="F11" s="269" t="s">
        <v>232</v>
      </c>
      <c r="G11" s="271">
        <v>3.9100000000000003E-2</v>
      </c>
      <c r="H11" s="272">
        <v>179</v>
      </c>
      <c r="I11" s="272">
        <v>7</v>
      </c>
      <c r="J11" s="272">
        <v>0</v>
      </c>
      <c r="K11" s="269" t="s">
        <v>233</v>
      </c>
      <c r="L11" s="273">
        <v>46341</v>
      </c>
      <c r="M11" s="272">
        <v>0</v>
      </c>
      <c r="N11" s="272">
        <v>0</v>
      </c>
      <c r="O11" s="272">
        <v>7</v>
      </c>
      <c r="P11" s="269" t="s">
        <v>326</v>
      </c>
      <c r="Q11" s="265"/>
      <c r="R11" s="265"/>
      <c r="S11" s="265"/>
      <c r="T11" s="265"/>
      <c r="U11" s="265"/>
      <c r="V11" s="265"/>
      <c r="W11" s="265"/>
      <c r="X11" s="265"/>
      <c r="Y11" s="265"/>
      <c r="Z11" s="265"/>
      <c r="AA11" s="265"/>
      <c r="AB11" s="265"/>
      <c r="AC11" s="272" t="s">
        <v>298</v>
      </c>
      <c r="AD11" s="265"/>
      <c r="AE11" s="265"/>
      <c r="AF11" s="272" t="s">
        <v>591</v>
      </c>
      <c r="AG11" s="265"/>
      <c r="AH11" s="265"/>
      <c r="AI11" s="265"/>
      <c r="AJ11" s="265"/>
    </row>
    <row r="12" spans="1:36">
      <c r="A12" s="267" t="s">
        <v>560</v>
      </c>
      <c r="B12" s="268">
        <v>46031</v>
      </c>
      <c r="C12" s="269" t="s">
        <v>818</v>
      </c>
      <c r="D12" s="270" t="s">
        <v>555</v>
      </c>
      <c r="E12" s="269" t="s">
        <v>808</v>
      </c>
      <c r="F12" s="269" t="s">
        <v>232</v>
      </c>
      <c r="G12" s="271">
        <v>5.5999999999999999E-3</v>
      </c>
      <c r="H12" s="272">
        <v>179</v>
      </c>
      <c r="I12" s="272">
        <v>1</v>
      </c>
      <c r="J12" s="272">
        <v>0</v>
      </c>
      <c r="K12" s="269" t="s">
        <v>233</v>
      </c>
      <c r="L12" s="273">
        <v>46338</v>
      </c>
      <c r="M12" s="272">
        <v>0</v>
      </c>
      <c r="N12" s="272">
        <v>0</v>
      </c>
      <c r="O12" s="272">
        <v>1</v>
      </c>
      <c r="P12" s="269" t="s">
        <v>900</v>
      </c>
      <c r="Q12" s="265"/>
      <c r="R12" s="265"/>
      <c r="S12" s="265"/>
      <c r="T12" s="265"/>
      <c r="U12" s="265"/>
      <c r="V12" s="265"/>
      <c r="W12" s="265"/>
      <c r="X12" s="265"/>
      <c r="Y12" s="265"/>
      <c r="Z12" s="265"/>
      <c r="AA12" s="265"/>
      <c r="AB12" s="265"/>
      <c r="AC12" s="265"/>
      <c r="AD12" s="265"/>
      <c r="AE12" s="265"/>
      <c r="AF12" s="272" t="s">
        <v>244</v>
      </c>
      <c r="AG12" s="265"/>
      <c r="AH12" s="265"/>
      <c r="AI12" s="265"/>
      <c r="AJ12" s="265"/>
    </row>
    <row r="13" spans="1:36">
      <c r="A13" s="267" t="s">
        <v>560</v>
      </c>
      <c r="B13" s="268">
        <v>46031</v>
      </c>
      <c r="C13" s="269" t="s">
        <v>854</v>
      </c>
      <c r="D13" s="270" t="s">
        <v>975</v>
      </c>
      <c r="E13" s="269" t="s">
        <v>808</v>
      </c>
      <c r="F13" s="269" t="s">
        <v>232</v>
      </c>
      <c r="G13" s="271">
        <v>1.6799999999999999E-2</v>
      </c>
      <c r="H13" s="272">
        <v>179</v>
      </c>
      <c r="I13" s="272">
        <v>3</v>
      </c>
      <c r="J13" s="272">
        <v>0</v>
      </c>
      <c r="K13" s="269" t="s">
        <v>233</v>
      </c>
      <c r="L13" s="273">
        <v>46326</v>
      </c>
      <c r="M13" s="272">
        <v>0</v>
      </c>
      <c r="N13" s="272">
        <v>0</v>
      </c>
      <c r="O13" s="272">
        <v>3</v>
      </c>
      <c r="P13" s="269" t="s">
        <v>901</v>
      </c>
      <c r="Q13" s="265"/>
      <c r="R13" s="265"/>
      <c r="S13" s="265"/>
      <c r="T13" s="265"/>
      <c r="U13" s="265"/>
      <c r="V13" s="265"/>
      <c r="W13" s="265"/>
      <c r="X13" s="265"/>
      <c r="Y13" s="265"/>
      <c r="Z13" s="265"/>
      <c r="AA13" s="265"/>
      <c r="AB13" s="265"/>
      <c r="AC13" s="272" t="s">
        <v>298</v>
      </c>
      <c r="AD13" s="265"/>
      <c r="AE13" s="265"/>
      <c r="AF13" s="272" t="s">
        <v>244</v>
      </c>
      <c r="AG13" s="265"/>
      <c r="AH13" s="265"/>
      <c r="AI13" s="265"/>
      <c r="AJ13" s="265"/>
    </row>
    <row r="14" spans="1:36">
      <c r="A14" s="267" t="s">
        <v>234</v>
      </c>
      <c r="B14" s="268">
        <v>46032</v>
      </c>
      <c r="C14" s="269" t="s">
        <v>818</v>
      </c>
      <c r="D14" s="270" t="s">
        <v>974</v>
      </c>
      <c r="E14" s="269" t="s">
        <v>808</v>
      </c>
      <c r="F14" s="269" t="s">
        <v>232</v>
      </c>
      <c r="G14" s="271">
        <v>4.4699999999999997E-2</v>
      </c>
      <c r="H14" s="272">
        <v>179</v>
      </c>
      <c r="I14" s="272">
        <v>8</v>
      </c>
      <c r="J14" s="272">
        <v>0</v>
      </c>
      <c r="K14" s="269" t="s">
        <v>233</v>
      </c>
      <c r="L14" s="273">
        <v>46345</v>
      </c>
      <c r="M14" s="272">
        <v>0</v>
      </c>
      <c r="N14" s="272">
        <v>0</v>
      </c>
      <c r="O14" s="272">
        <v>8</v>
      </c>
      <c r="P14" s="269" t="s">
        <v>905</v>
      </c>
      <c r="Q14" s="265"/>
      <c r="R14" s="265"/>
      <c r="S14" s="265"/>
      <c r="T14" s="265"/>
      <c r="U14" s="265"/>
      <c r="V14" s="265"/>
      <c r="W14" s="265"/>
      <c r="X14" s="265"/>
      <c r="Y14" s="265"/>
      <c r="Z14" s="265"/>
      <c r="AA14" s="265"/>
      <c r="AB14" s="265"/>
      <c r="AC14" s="272" t="s">
        <v>298</v>
      </c>
      <c r="AD14" s="265"/>
      <c r="AE14" s="272" t="s">
        <v>570</v>
      </c>
      <c r="AF14" s="272" t="s">
        <v>591</v>
      </c>
      <c r="AG14" s="265"/>
      <c r="AH14" s="265"/>
      <c r="AI14" s="265"/>
      <c r="AJ14" s="265"/>
    </row>
    <row r="15" spans="1:36">
      <c r="A15" s="267" t="s">
        <v>236</v>
      </c>
      <c r="B15" s="268">
        <v>46033</v>
      </c>
      <c r="C15" s="269" t="s">
        <v>818</v>
      </c>
      <c r="D15" s="270" t="s">
        <v>978</v>
      </c>
      <c r="E15" s="269" t="s">
        <v>808</v>
      </c>
      <c r="F15" s="269" t="s">
        <v>232</v>
      </c>
      <c r="G15" s="271">
        <v>1.6799999999999999E-2</v>
      </c>
      <c r="H15" s="272">
        <v>179</v>
      </c>
      <c r="I15" s="272">
        <v>3</v>
      </c>
      <c r="J15" s="272">
        <v>0</v>
      </c>
      <c r="K15" s="269" t="s">
        <v>233</v>
      </c>
      <c r="L15" s="273">
        <v>46311</v>
      </c>
      <c r="M15" s="272">
        <v>0</v>
      </c>
      <c r="N15" s="272">
        <v>0</v>
      </c>
      <c r="O15" s="272">
        <v>3</v>
      </c>
      <c r="P15" s="269" t="s">
        <v>326</v>
      </c>
      <c r="Q15" s="265"/>
      <c r="R15" s="265"/>
      <c r="S15" s="265"/>
      <c r="T15" s="265"/>
      <c r="U15" s="265"/>
      <c r="V15" s="265"/>
      <c r="W15" s="265"/>
      <c r="X15" s="265"/>
      <c r="Y15" s="265"/>
      <c r="Z15" s="265"/>
      <c r="AA15" s="265"/>
      <c r="AB15" s="265"/>
      <c r="AC15" s="272" t="s">
        <v>298</v>
      </c>
      <c r="AD15" s="265"/>
      <c r="AE15" s="265"/>
      <c r="AF15" s="272" t="s">
        <v>244</v>
      </c>
      <c r="AG15" s="265"/>
      <c r="AH15" s="265"/>
      <c r="AI15" s="265"/>
      <c r="AJ15" s="265"/>
    </row>
    <row r="16" spans="1:36">
      <c r="A16" s="267" t="s">
        <v>240</v>
      </c>
      <c r="B16" s="268">
        <v>46034</v>
      </c>
      <c r="C16" s="269" t="s">
        <v>854</v>
      </c>
      <c r="D16" s="270" t="s">
        <v>975</v>
      </c>
      <c r="E16" s="269" t="s">
        <v>808</v>
      </c>
      <c r="F16" s="269" t="s">
        <v>232</v>
      </c>
      <c r="G16" s="271">
        <v>1.12E-2</v>
      </c>
      <c r="H16" s="272">
        <v>179</v>
      </c>
      <c r="I16" s="272">
        <v>2</v>
      </c>
      <c r="J16" s="272">
        <v>0</v>
      </c>
      <c r="K16" s="269" t="s">
        <v>233</v>
      </c>
      <c r="L16" s="273">
        <v>46338</v>
      </c>
      <c r="M16" s="272">
        <v>0</v>
      </c>
      <c r="N16" s="272">
        <v>0</v>
      </c>
      <c r="O16" s="272">
        <v>2</v>
      </c>
      <c r="P16" s="269" t="s">
        <v>326</v>
      </c>
      <c r="Q16" s="265"/>
      <c r="R16" s="265"/>
      <c r="S16" s="265"/>
      <c r="T16" s="265"/>
      <c r="U16" s="265"/>
      <c r="V16" s="265"/>
      <c r="W16" s="265"/>
      <c r="X16" s="265"/>
      <c r="Y16" s="265"/>
      <c r="Z16" s="265"/>
      <c r="AA16" s="265"/>
      <c r="AB16" s="265"/>
      <c r="AC16" s="272" t="s">
        <v>302</v>
      </c>
      <c r="AD16" s="265"/>
      <c r="AE16" s="265"/>
      <c r="AF16" s="272" t="s">
        <v>244</v>
      </c>
      <c r="AG16" s="265"/>
      <c r="AH16" s="265"/>
      <c r="AI16" s="265"/>
      <c r="AJ16" s="265"/>
    </row>
    <row r="17" spans="1:36">
      <c r="A17" s="267" t="s">
        <v>242</v>
      </c>
      <c r="B17" s="268">
        <v>46035</v>
      </c>
      <c r="C17" s="269" t="s">
        <v>854</v>
      </c>
      <c r="D17" s="270" t="s">
        <v>980</v>
      </c>
      <c r="E17" s="269" t="s">
        <v>808</v>
      </c>
      <c r="F17" s="269" t="s">
        <v>232</v>
      </c>
      <c r="G17" s="271">
        <v>3.3500000000000002E-2</v>
      </c>
      <c r="H17" s="272">
        <v>179</v>
      </c>
      <c r="I17" s="272">
        <v>6</v>
      </c>
      <c r="J17" s="272">
        <v>0</v>
      </c>
      <c r="K17" s="269" t="s">
        <v>233</v>
      </c>
      <c r="L17" s="273">
        <v>46343</v>
      </c>
      <c r="M17" s="272">
        <v>0</v>
      </c>
      <c r="N17" s="272">
        <v>0</v>
      </c>
      <c r="O17" s="272">
        <v>6</v>
      </c>
      <c r="P17" s="269" t="s">
        <v>326</v>
      </c>
      <c r="Q17" s="265"/>
      <c r="R17" s="265"/>
      <c r="S17" s="265"/>
      <c r="T17" s="265"/>
      <c r="U17" s="265"/>
      <c r="V17" s="265"/>
      <c r="W17" s="265"/>
      <c r="X17" s="265"/>
      <c r="Y17" s="265"/>
      <c r="Z17" s="272" t="s">
        <v>174</v>
      </c>
      <c r="AA17" s="265"/>
      <c r="AB17" s="265"/>
      <c r="AC17" s="265"/>
      <c r="AD17" s="265"/>
      <c r="AE17" s="272" t="s">
        <v>570</v>
      </c>
      <c r="AF17" s="272" t="s">
        <v>901</v>
      </c>
      <c r="AG17" s="265"/>
      <c r="AH17" s="265"/>
      <c r="AI17" s="265"/>
      <c r="AJ17" s="265"/>
    </row>
    <row r="18" spans="1:36">
      <c r="A18" s="267" t="s">
        <v>315</v>
      </c>
      <c r="B18" s="268">
        <v>46036</v>
      </c>
      <c r="C18" s="269" t="s">
        <v>818</v>
      </c>
      <c r="D18" s="270" t="s">
        <v>974</v>
      </c>
      <c r="E18" s="269" t="s">
        <v>808</v>
      </c>
      <c r="F18" s="269" t="s">
        <v>232</v>
      </c>
      <c r="G18" s="271">
        <v>3.3500000000000002E-2</v>
      </c>
      <c r="H18" s="272">
        <v>179</v>
      </c>
      <c r="I18" s="272">
        <v>6</v>
      </c>
      <c r="J18" s="272">
        <v>0</v>
      </c>
      <c r="K18" s="269" t="s">
        <v>233</v>
      </c>
      <c r="L18" s="273">
        <v>46344</v>
      </c>
      <c r="M18" s="272">
        <v>0</v>
      </c>
      <c r="N18" s="272">
        <v>0</v>
      </c>
      <c r="O18" s="272">
        <v>6</v>
      </c>
      <c r="P18" s="269" t="s">
        <v>326</v>
      </c>
      <c r="Q18" s="265"/>
      <c r="R18" s="265"/>
      <c r="S18" s="265"/>
      <c r="T18" s="265"/>
      <c r="U18" s="265"/>
      <c r="V18" s="265"/>
      <c r="W18" s="265"/>
      <c r="X18" s="265"/>
      <c r="Y18" s="265"/>
      <c r="Z18" s="265"/>
      <c r="AA18" s="265"/>
      <c r="AB18" s="265"/>
      <c r="AC18" s="265"/>
      <c r="AD18" s="265"/>
      <c r="AE18" s="265"/>
      <c r="AF18" s="272" t="s">
        <v>900</v>
      </c>
      <c r="AG18" s="265"/>
      <c r="AH18" s="265"/>
      <c r="AI18" s="265"/>
      <c r="AJ18" s="265"/>
    </row>
    <row r="19" spans="1:36">
      <c r="A19" s="267" t="s">
        <v>315</v>
      </c>
      <c r="B19" s="268">
        <v>46036</v>
      </c>
      <c r="C19" s="269" t="s">
        <v>854</v>
      </c>
      <c r="D19" s="270" t="s">
        <v>975</v>
      </c>
      <c r="E19" s="269" t="s">
        <v>808</v>
      </c>
      <c r="F19" s="269" t="s">
        <v>232</v>
      </c>
      <c r="G19" s="271">
        <v>3.9100000000000003E-2</v>
      </c>
      <c r="H19" s="272">
        <v>179</v>
      </c>
      <c r="I19" s="272">
        <v>7</v>
      </c>
      <c r="J19" s="272">
        <v>0</v>
      </c>
      <c r="K19" s="269" t="s">
        <v>233</v>
      </c>
      <c r="L19" s="273">
        <v>46337</v>
      </c>
      <c r="M19" s="272">
        <v>0</v>
      </c>
      <c r="N19" s="272">
        <v>0</v>
      </c>
      <c r="O19" s="272">
        <v>7</v>
      </c>
      <c r="P19" s="269" t="s">
        <v>918</v>
      </c>
      <c r="Q19" s="265"/>
      <c r="R19" s="265"/>
      <c r="S19" s="265"/>
      <c r="T19" s="265"/>
      <c r="U19" s="265"/>
      <c r="V19" s="265"/>
      <c r="W19" s="265"/>
      <c r="X19" s="265"/>
      <c r="Y19" s="265"/>
      <c r="Z19" s="265"/>
      <c r="AA19" s="265"/>
      <c r="AB19" s="265"/>
      <c r="AC19" s="272" t="s">
        <v>304</v>
      </c>
      <c r="AD19" s="265"/>
      <c r="AE19" s="265"/>
      <c r="AF19" s="272" t="s">
        <v>901</v>
      </c>
      <c r="AG19" s="265"/>
      <c r="AH19" s="265"/>
      <c r="AI19" s="265"/>
      <c r="AJ19" s="265"/>
    </row>
    <row r="20" spans="1:36">
      <c r="A20" s="267" t="s">
        <v>230</v>
      </c>
      <c r="B20" s="268">
        <v>46037</v>
      </c>
      <c r="C20" s="269" t="s">
        <v>818</v>
      </c>
      <c r="D20" s="270" t="s">
        <v>974</v>
      </c>
      <c r="E20" s="269" t="s">
        <v>808</v>
      </c>
      <c r="F20" s="269" t="s">
        <v>232</v>
      </c>
      <c r="G20" s="271">
        <v>1.6799999999999999E-2</v>
      </c>
      <c r="H20" s="272">
        <v>179</v>
      </c>
      <c r="I20" s="272">
        <v>3</v>
      </c>
      <c r="J20" s="272">
        <v>0</v>
      </c>
      <c r="K20" s="269" t="s">
        <v>233</v>
      </c>
      <c r="L20" s="273">
        <v>46344</v>
      </c>
      <c r="M20" s="272">
        <v>0</v>
      </c>
      <c r="N20" s="272">
        <v>0</v>
      </c>
      <c r="O20" s="272">
        <v>3</v>
      </c>
      <c r="P20" s="269" t="s">
        <v>183</v>
      </c>
      <c r="Q20" s="265"/>
      <c r="R20" s="265"/>
      <c r="S20" s="265"/>
      <c r="T20" s="265"/>
      <c r="U20" s="265"/>
      <c r="V20" s="265"/>
      <c r="W20" s="265"/>
      <c r="X20" s="265"/>
      <c r="Y20" s="272" t="s">
        <v>981</v>
      </c>
      <c r="Z20" s="265"/>
      <c r="AA20" s="265"/>
      <c r="AB20" s="265"/>
      <c r="AC20" s="272" t="s">
        <v>302</v>
      </c>
      <c r="AD20" s="265"/>
      <c r="AE20" s="265"/>
      <c r="AF20" s="265"/>
      <c r="AG20" s="265"/>
      <c r="AH20" s="265"/>
      <c r="AI20" s="265"/>
      <c r="AJ20" s="265"/>
    </row>
    <row r="21" spans="1:36">
      <c r="A21" s="267" t="s">
        <v>560</v>
      </c>
      <c r="B21" s="268">
        <v>46038</v>
      </c>
      <c r="C21" s="269" t="s">
        <v>818</v>
      </c>
      <c r="D21" s="270" t="s">
        <v>555</v>
      </c>
      <c r="E21" s="269" t="s">
        <v>808</v>
      </c>
      <c r="F21" s="269" t="s">
        <v>232</v>
      </c>
      <c r="G21" s="271">
        <v>5.5999999999999999E-3</v>
      </c>
      <c r="H21" s="272">
        <v>179</v>
      </c>
      <c r="I21" s="272">
        <v>1</v>
      </c>
      <c r="J21" s="272">
        <v>0</v>
      </c>
      <c r="K21" s="269" t="s">
        <v>233</v>
      </c>
      <c r="L21" s="265"/>
      <c r="M21" s="272">
        <v>0</v>
      </c>
      <c r="N21" s="272">
        <v>0</v>
      </c>
      <c r="O21" s="272">
        <v>0</v>
      </c>
      <c r="P21" s="269" t="s">
        <v>514</v>
      </c>
      <c r="Q21" s="265"/>
      <c r="R21" s="265"/>
      <c r="S21" s="265"/>
      <c r="T21" s="265"/>
      <c r="U21" s="265"/>
      <c r="V21" s="265"/>
      <c r="W21" s="265"/>
      <c r="X21" s="265"/>
      <c r="Y21" s="265"/>
      <c r="Z21" s="265"/>
      <c r="AA21" s="272" t="s">
        <v>686</v>
      </c>
      <c r="AB21" s="265"/>
      <c r="AC21" s="265"/>
      <c r="AD21" s="265"/>
      <c r="AE21" s="265"/>
      <c r="AF21" s="265"/>
      <c r="AG21" s="265"/>
      <c r="AH21" s="265"/>
      <c r="AI21" s="265"/>
      <c r="AJ21" s="265"/>
    </row>
    <row r="22" spans="1:36">
      <c r="A22" s="267" t="s">
        <v>560</v>
      </c>
      <c r="B22" s="268">
        <v>46038</v>
      </c>
      <c r="C22" s="269" t="s">
        <v>854</v>
      </c>
      <c r="D22" s="270" t="s">
        <v>975</v>
      </c>
      <c r="E22" s="269" t="s">
        <v>808</v>
      </c>
      <c r="F22" s="269" t="s">
        <v>232</v>
      </c>
      <c r="G22" s="271">
        <v>6.1499999999999999E-2</v>
      </c>
      <c r="H22" s="272">
        <v>179</v>
      </c>
      <c r="I22" s="272">
        <v>11</v>
      </c>
      <c r="J22" s="272">
        <v>0</v>
      </c>
      <c r="K22" s="269" t="s">
        <v>233</v>
      </c>
      <c r="L22" s="273">
        <v>46344</v>
      </c>
      <c r="M22" s="272">
        <v>0</v>
      </c>
      <c r="N22" s="272">
        <v>0</v>
      </c>
      <c r="O22" s="272">
        <v>11</v>
      </c>
      <c r="P22" s="269" t="s">
        <v>667</v>
      </c>
      <c r="Q22" s="265"/>
      <c r="R22" s="265"/>
      <c r="S22" s="265"/>
      <c r="T22" s="265"/>
      <c r="U22" s="265"/>
      <c r="V22" s="265"/>
      <c r="W22" s="265"/>
      <c r="X22" s="265"/>
      <c r="Y22" s="272" t="s">
        <v>982</v>
      </c>
      <c r="Z22" s="272" t="s">
        <v>569</v>
      </c>
      <c r="AA22" s="272" t="s">
        <v>956</v>
      </c>
      <c r="AB22" s="265"/>
      <c r="AC22" s="265"/>
      <c r="AD22" s="265"/>
      <c r="AE22" s="265"/>
      <c r="AF22" s="265"/>
      <c r="AG22" s="265"/>
      <c r="AH22" s="265"/>
      <c r="AI22" s="265"/>
      <c r="AJ22" s="265"/>
    </row>
    <row r="23" spans="1:36">
      <c r="A23" s="267" t="s">
        <v>234</v>
      </c>
      <c r="B23" s="268">
        <v>46039</v>
      </c>
      <c r="C23" s="269" t="s">
        <v>818</v>
      </c>
      <c r="D23" s="270" t="s">
        <v>974</v>
      </c>
      <c r="E23" s="269" t="s">
        <v>808</v>
      </c>
      <c r="F23" s="269" t="s">
        <v>232</v>
      </c>
      <c r="G23" s="271">
        <v>0.11169999999999999</v>
      </c>
      <c r="H23" s="272">
        <v>179</v>
      </c>
      <c r="I23" s="272">
        <v>20</v>
      </c>
      <c r="J23" s="272">
        <v>0</v>
      </c>
      <c r="K23" s="269" t="s">
        <v>233</v>
      </c>
      <c r="L23" s="273">
        <v>46344</v>
      </c>
      <c r="M23" s="272">
        <v>0</v>
      </c>
      <c r="N23" s="272">
        <v>0</v>
      </c>
      <c r="O23" s="272">
        <v>20</v>
      </c>
      <c r="P23" s="269" t="s">
        <v>939</v>
      </c>
      <c r="Q23" s="265"/>
      <c r="R23" s="265"/>
      <c r="S23" s="265"/>
      <c r="T23" s="265"/>
      <c r="U23" s="265"/>
      <c r="V23" s="265"/>
      <c r="W23" s="265"/>
      <c r="X23" s="272" t="s">
        <v>983</v>
      </c>
      <c r="Y23" s="272" t="s">
        <v>667</v>
      </c>
      <c r="Z23" s="272" t="s">
        <v>158</v>
      </c>
      <c r="AA23" s="272" t="s">
        <v>310</v>
      </c>
      <c r="AB23" s="265"/>
      <c r="AC23" s="272" t="s">
        <v>302</v>
      </c>
      <c r="AD23" s="265"/>
      <c r="AE23" s="265"/>
      <c r="AF23" s="265"/>
      <c r="AG23" s="265"/>
      <c r="AH23" s="265"/>
      <c r="AI23" s="265"/>
      <c r="AJ23" s="265"/>
    </row>
    <row r="24" spans="1:36">
      <c r="A24" s="267" t="s">
        <v>236</v>
      </c>
      <c r="B24" s="268">
        <v>46040</v>
      </c>
      <c r="C24" s="269" t="s">
        <v>818</v>
      </c>
      <c r="D24" s="270" t="s">
        <v>978</v>
      </c>
      <c r="E24" s="269" t="s">
        <v>808</v>
      </c>
      <c r="F24" s="269" t="s">
        <v>232</v>
      </c>
      <c r="G24" s="271">
        <v>0.13969999999999999</v>
      </c>
      <c r="H24" s="272">
        <v>179</v>
      </c>
      <c r="I24" s="272">
        <v>25</v>
      </c>
      <c r="J24" s="272">
        <v>0</v>
      </c>
      <c r="K24" s="269" t="s">
        <v>233</v>
      </c>
      <c r="L24" s="273">
        <v>46343</v>
      </c>
      <c r="M24" s="272">
        <v>0</v>
      </c>
      <c r="N24" s="272">
        <v>0</v>
      </c>
      <c r="O24" s="272">
        <v>25</v>
      </c>
      <c r="P24" s="269" t="s">
        <v>471</v>
      </c>
      <c r="Q24" s="265"/>
      <c r="R24" s="265"/>
      <c r="S24" s="265"/>
      <c r="T24" s="265"/>
      <c r="U24" s="265"/>
      <c r="V24" s="265"/>
      <c r="W24" s="265"/>
      <c r="X24" s="265"/>
      <c r="Y24" s="265"/>
      <c r="Z24" s="265"/>
      <c r="AA24" s="272" t="s">
        <v>310</v>
      </c>
      <c r="AB24" s="272" t="s">
        <v>589</v>
      </c>
      <c r="AC24" s="272" t="s">
        <v>292</v>
      </c>
      <c r="AD24" s="272" t="s">
        <v>436</v>
      </c>
      <c r="AE24" s="272" t="s">
        <v>570</v>
      </c>
      <c r="AF24" s="265"/>
      <c r="AG24" s="265"/>
      <c r="AH24" s="265"/>
      <c r="AI24" s="265"/>
      <c r="AJ24" s="265"/>
    </row>
    <row r="25" spans="1:36">
      <c r="A25" s="267" t="s">
        <v>240</v>
      </c>
      <c r="B25" s="268">
        <v>46041</v>
      </c>
      <c r="C25" s="269" t="s">
        <v>854</v>
      </c>
      <c r="D25" s="270" t="s">
        <v>975</v>
      </c>
      <c r="E25" s="269" t="s">
        <v>808</v>
      </c>
      <c r="F25" s="269" t="s">
        <v>232</v>
      </c>
      <c r="G25" s="271">
        <v>7.2599999999999998E-2</v>
      </c>
      <c r="H25" s="272">
        <v>179</v>
      </c>
      <c r="I25" s="272">
        <v>13</v>
      </c>
      <c r="J25" s="272">
        <v>0</v>
      </c>
      <c r="K25" s="269" t="s">
        <v>233</v>
      </c>
      <c r="L25" s="273">
        <v>46344</v>
      </c>
      <c r="M25" s="272">
        <v>0</v>
      </c>
      <c r="N25" s="272">
        <v>0</v>
      </c>
      <c r="O25" s="272">
        <v>13</v>
      </c>
      <c r="P25" s="269" t="s">
        <v>549</v>
      </c>
      <c r="Q25" s="265"/>
      <c r="R25" s="265"/>
      <c r="S25" s="265"/>
      <c r="T25" s="265"/>
      <c r="U25" s="265"/>
      <c r="V25" s="265"/>
      <c r="W25" s="265"/>
      <c r="X25" s="265"/>
      <c r="Y25" s="265"/>
      <c r="Z25" s="265"/>
      <c r="AA25" s="265"/>
      <c r="AB25" s="265"/>
      <c r="AC25" s="265"/>
      <c r="AD25" s="272" t="s">
        <v>552</v>
      </c>
      <c r="AE25" s="272" t="s">
        <v>905</v>
      </c>
      <c r="AF25" s="265"/>
      <c r="AG25" s="265"/>
      <c r="AH25" s="265"/>
      <c r="AI25" s="265"/>
      <c r="AJ25" s="265"/>
    </row>
    <row r="26" spans="1:36">
      <c r="A26" s="267" t="s">
        <v>242</v>
      </c>
      <c r="B26" s="268">
        <v>46042</v>
      </c>
      <c r="C26" s="269" t="s">
        <v>854</v>
      </c>
      <c r="D26" s="270" t="s">
        <v>980</v>
      </c>
      <c r="E26" s="269" t="s">
        <v>808</v>
      </c>
      <c r="F26" s="269" t="s">
        <v>232</v>
      </c>
      <c r="G26" s="271">
        <v>3.3500000000000002E-2</v>
      </c>
      <c r="H26" s="272">
        <v>179</v>
      </c>
      <c r="I26" s="272">
        <v>6</v>
      </c>
      <c r="J26" s="272">
        <v>0</v>
      </c>
      <c r="K26" s="269" t="s">
        <v>233</v>
      </c>
      <c r="L26" s="273">
        <v>46345</v>
      </c>
      <c r="M26" s="272">
        <v>0</v>
      </c>
      <c r="N26" s="272">
        <v>0</v>
      </c>
      <c r="O26" s="272">
        <v>6</v>
      </c>
      <c r="P26" s="269" t="s">
        <v>877</v>
      </c>
      <c r="Q26" s="265"/>
      <c r="R26" s="265"/>
      <c r="S26" s="265"/>
      <c r="T26" s="265"/>
      <c r="U26" s="265"/>
      <c r="V26" s="265"/>
      <c r="W26" s="265"/>
      <c r="X26" s="265"/>
      <c r="Y26" s="265"/>
      <c r="Z26" s="265"/>
      <c r="AA26" s="265"/>
      <c r="AB26" s="265"/>
      <c r="AC26" s="265"/>
      <c r="AD26" s="265"/>
      <c r="AE26" s="272" t="s">
        <v>905</v>
      </c>
      <c r="AF26" s="265"/>
      <c r="AG26" s="265"/>
      <c r="AH26" s="265"/>
      <c r="AI26" s="265"/>
      <c r="AJ26" s="265"/>
    </row>
    <row r="27" spans="1:36">
      <c r="A27" s="267" t="s">
        <v>315</v>
      </c>
      <c r="B27" s="268">
        <v>46043</v>
      </c>
      <c r="C27" s="269" t="s">
        <v>818</v>
      </c>
      <c r="D27" s="270" t="s">
        <v>974</v>
      </c>
      <c r="E27" s="269" t="s">
        <v>808</v>
      </c>
      <c r="F27" s="269" t="s">
        <v>232</v>
      </c>
      <c r="G27" s="271">
        <v>2.23E-2</v>
      </c>
      <c r="H27" s="272">
        <v>179</v>
      </c>
      <c r="I27" s="272">
        <v>4</v>
      </c>
      <c r="J27" s="272">
        <v>0</v>
      </c>
      <c r="K27" s="269" t="s">
        <v>233</v>
      </c>
      <c r="L27" s="273">
        <v>46338</v>
      </c>
      <c r="M27" s="272">
        <v>0</v>
      </c>
      <c r="N27" s="272">
        <v>0</v>
      </c>
      <c r="O27" s="272">
        <v>4</v>
      </c>
      <c r="P27" s="269" t="s">
        <v>877</v>
      </c>
      <c r="Q27" s="265"/>
      <c r="R27" s="265"/>
      <c r="S27" s="265"/>
      <c r="T27" s="265"/>
      <c r="U27" s="265"/>
      <c r="V27" s="265"/>
      <c r="W27" s="265"/>
      <c r="X27" s="265"/>
      <c r="Y27" s="265"/>
      <c r="Z27" s="265"/>
      <c r="AA27" s="265"/>
      <c r="AB27" s="265"/>
      <c r="AC27" s="265"/>
      <c r="AD27" s="265"/>
      <c r="AE27" s="272" t="s">
        <v>951</v>
      </c>
      <c r="AF27" s="265"/>
      <c r="AG27" s="265"/>
      <c r="AH27" s="265"/>
      <c r="AI27" s="265"/>
      <c r="AJ27" s="265"/>
    </row>
    <row r="28" spans="1:36">
      <c r="A28" s="267" t="s">
        <v>315</v>
      </c>
      <c r="B28" s="268">
        <v>46043</v>
      </c>
      <c r="C28" s="269" t="s">
        <v>854</v>
      </c>
      <c r="D28" s="270" t="s">
        <v>975</v>
      </c>
      <c r="E28" s="269" t="s">
        <v>808</v>
      </c>
      <c r="F28" s="269" t="s">
        <v>232</v>
      </c>
      <c r="G28" s="271">
        <v>0</v>
      </c>
      <c r="H28" s="272">
        <v>179</v>
      </c>
      <c r="I28" s="272">
        <v>0</v>
      </c>
      <c r="J28" s="272">
        <v>0</v>
      </c>
      <c r="K28" s="269" t="s">
        <v>233</v>
      </c>
      <c r="L28" s="273" t="s">
        <v>66</v>
      </c>
      <c r="M28" s="272">
        <v>0</v>
      </c>
      <c r="N28" s="272">
        <v>0</v>
      </c>
      <c r="O28" s="272">
        <v>0</v>
      </c>
      <c r="P28" s="269" t="s">
        <v>918</v>
      </c>
      <c r="Q28" s="265"/>
      <c r="R28" s="265"/>
      <c r="S28" s="265"/>
      <c r="T28" s="265"/>
      <c r="U28" s="265"/>
      <c r="V28" s="265"/>
      <c r="W28" s="265"/>
      <c r="X28" s="265"/>
      <c r="Y28" s="265"/>
      <c r="Z28" s="265"/>
      <c r="AA28" s="265"/>
      <c r="AB28" s="265"/>
      <c r="AC28" s="265"/>
      <c r="AD28" s="265"/>
      <c r="AE28" s="265"/>
      <c r="AF28" s="265"/>
      <c r="AG28" s="265"/>
      <c r="AH28" s="265"/>
      <c r="AI28" s="265"/>
      <c r="AJ28" s="265"/>
    </row>
    <row r="29" spans="1:36">
      <c r="A29" s="267" t="s">
        <v>230</v>
      </c>
      <c r="B29" s="268">
        <v>46044</v>
      </c>
      <c r="C29" s="269" t="s">
        <v>818</v>
      </c>
      <c r="D29" s="270" t="s">
        <v>974</v>
      </c>
      <c r="E29" s="269" t="s">
        <v>808</v>
      </c>
      <c r="F29" s="269" t="s">
        <v>232</v>
      </c>
      <c r="G29" s="271">
        <v>0</v>
      </c>
      <c r="H29" s="272">
        <v>179</v>
      </c>
      <c r="I29" s="272">
        <v>0</v>
      </c>
      <c r="J29" s="272">
        <v>0</v>
      </c>
      <c r="K29" s="269" t="s">
        <v>233</v>
      </c>
      <c r="L29" s="273" t="s">
        <v>66</v>
      </c>
      <c r="M29" s="272">
        <v>0</v>
      </c>
      <c r="N29" s="272">
        <v>0</v>
      </c>
      <c r="O29" s="272">
        <v>0</v>
      </c>
      <c r="P29" s="269" t="s">
        <v>514</v>
      </c>
      <c r="Q29" s="265"/>
      <c r="R29" s="265"/>
      <c r="S29" s="265"/>
      <c r="T29" s="265"/>
      <c r="U29" s="265"/>
      <c r="V29" s="265"/>
      <c r="W29" s="265"/>
      <c r="X29" s="265"/>
      <c r="Y29" s="265"/>
      <c r="Z29" s="265"/>
      <c r="AA29" s="265"/>
      <c r="AB29" s="265"/>
      <c r="AC29" s="265"/>
      <c r="AD29" s="265"/>
      <c r="AE29" s="265"/>
      <c r="AF29" s="265"/>
      <c r="AG29" s="265"/>
      <c r="AH29" s="265"/>
      <c r="AI29" s="265"/>
      <c r="AJ29" s="265"/>
    </row>
    <row r="30" spans="1:36">
      <c r="A30" s="267" t="s">
        <v>560</v>
      </c>
      <c r="B30" s="268">
        <v>46045</v>
      </c>
      <c r="C30" s="269" t="s">
        <v>818</v>
      </c>
      <c r="D30" s="270" t="s">
        <v>555</v>
      </c>
      <c r="E30" s="269" t="s">
        <v>808</v>
      </c>
      <c r="F30" s="269" t="s">
        <v>232</v>
      </c>
      <c r="G30" s="271">
        <v>0</v>
      </c>
      <c r="H30" s="272">
        <v>179</v>
      </c>
      <c r="I30" s="272">
        <v>0</v>
      </c>
      <c r="J30" s="272">
        <v>0</v>
      </c>
      <c r="K30" s="269" t="s">
        <v>233</v>
      </c>
      <c r="L30" s="273" t="s">
        <v>66</v>
      </c>
      <c r="M30" s="272">
        <v>0</v>
      </c>
      <c r="N30" s="272">
        <v>0</v>
      </c>
      <c r="O30" s="272">
        <v>0</v>
      </c>
      <c r="P30" s="269" t="s">
        <v>956</v>
      </c>
      <c r="Q30" s="265"/>
      <c r="R30" s="265"/>
      <c r="S30" s="265"/>
      <c r="T30" s="265"/>
      <c r="U30" s="265"/>
      <c r="V30" s="265"/>
      <c r="W30" s="265"/>
      <c r="X30" s="265"/>
      <c r="Y30" s="265"/>
      <c r="Z30" s="265"/>
      <c r="AA30" s="265"/>
      <c r="AB30" s="265"/>
      <c r="AC30" s="265"/>
      <c r="AD30" s="265"/>
      <c r="AE30" s="265"/>
      <c r="AF30" s="265"/>
      <c r="AG30" s="265"/>
      <c r="AH30" s="265"/>
      <c r="AI30" s="265"/>
      <c r="AJ30" s="265"/>
    </row>
    <row r="31" spans="1:36">
      <c r="A31" s="267" t="s">
        <v>560</v>
      </c>
      <c r="B31" s="268">
        <v>46045</v>
      </c>
      <c r="C31" s="269" t="s">
        <v>854</v>
      </c>
      <c r="D31" s="270" t="s">
        <v>975</v>
      </c>
      <c r="E31" s="269" t="s">
        <v>808</v>
      </c>
      <c r="F31" s="269" t="s">
        <v>232</v>
      </c>
      <c r="G31" s="271">
        <v>5.5999999999999999E-3</v>
      </c>
      <c r="H31" s="272">
        <v>179</v>
      </c>
      <c r="I31" s="272">
        <v>1</v>
      </c>
      <c r="J31" s="272">
        <v>0</v>
      </c>
      <c r="K31" s="269" t="s">
        <v>233</v>
      </c>
      <c r="L31" s="273">
        <v>46288</v>
      </c>
      <c r="M31" s="272">
        <v>0</v>
      </c>
      <c r="N31" s="272">
        <v>0</v>
      </c>
      <c r="O31" s="272">
        <v>1</v>
      </c>
      <c r="P31" s="269" t="s">
        <v>587</v>
      </c>
      <c r="Q31" s="265"/>
      <c r="R31" s="265"/>
      <c r="S31" s="265"/>
      <c r="T31" s="265"/>
      <c r="U31" s="265"/>
      <c r="V31" s="265"/>
      <c r="W31" s="265"/>
      <c r="X31" s="265"/>
      <c r="Y31" s="265"/>
      <c r="Z31" s="265"/>
      <c r="AA31" s="272" t="s">
        <v>686</v>
      </c>
      <c r="AB31" s="265"/>
      <c r="AC31" s="265"/>
      <c r="AD31" s="265"/>
      <c r="AE31" s="265"/>
      <c r="AF31" s="265"/>
      <c r="AG31" s="265"/>
      <c r="AH31" s="265"/>
      <c r="AI31" s="265"/>
      <c r="AJ31" s="265"/>
    </row>
    <row r="32" spans="1:36">
      <c r="A32" s="267" t="s">
        <v>234</v>
      </c>
      <c r="B32" s="268">
        <v>46046</v>
      </c>
      <c r="C32" s="269" t="s">
        <v>818</v>
      </c>
      <c r="D32" s="270" t="s">
        <v>974</v>
      </c>
      <c r="E32" s="269" t="s">
        <v>808</v>
      </c>
      <c r="F32" s="269" t="s">
        <v>232</v>
      </c>
      <c r="G32" s="271">
        <v>3.3500000000000002E-2</v>
      </c>
      <c r="H32" s="272">
        <v>179</v>
      </c>
      <c r="I32" s="272">
        <v>6</v>
      </c>
      <c r="J32" s="272">
        <v>0</v>
      </c>
      <c r="K32" s="269" t="s">
        <v>233</v>
      </c>
      <c r="L32" s="273">
        <v>46339</v>
      </c>
      <c r="M32" s="272">
        <v>0</v>
      </c>
      <c r="N32" s="272">
        <v>0</v>
      </c>
      <c r="O32" s="272">
        <v>6</v>
      </c>
      <c r="P32" s="269" t="s">
        <v>317</v>
      </c>
      <c r="Q32" s="265"/>
      <c r="R32" s="265"/>
      <c r="S32" s="265"/>
      <c r="T32" s="265"/>
      <c r="U32" s="265"/>
      <c r="V32" s="265"/>
      <c r="W32" s="265"/>
      <c r="X32" s="265"/>
      <c r="Y32" s="265"/>
      <c r="Z32" s="272" t="s">
        <v>174</v>
      </c>
      <c r="AA32" s="272" t="s">
        <v>956</v>
      </c>
      <c r="AB32" s="265"/>
      <c r="AC32" s="265"/>
      <c r="AD32" s="265"/>
      <c r="AE32" s="265"/>
      <c r="AF32" s="265"/>
      <c r="AG32" s="265"/>
      <c r="AH32" s="265"/>
      <c r="AI32" s="265"/>
      <c r="AJ32" s="265"/>
    </row>
    <row r="33" spans="1:36">
      <c r="A33" s="267" t="s">
        <v>236</v>
      </c>
      <c r="B33" s="268">
        <v>46047</v>
      </c>
      <c r="C33" s="269" t="s">
        <v>818</v>
      </c>
      <c r="D33" s="270" t="s">
        <v>978</v>
      </c>
      <c r="E33" s="269" t="s">
        <v>808</v>
      </c>
      <c r="F33" s="269" t="s">
        <v>232</v>
      </c>
      <c r="G33" s="271">
        <v>1.6799999999999999E-2</v>
      </c>
      <c r="H33" s="272">
        <v>179</v>
      </c>
      <c r="I33" s="272">
        <v>3</v>
      </c>
      <c r="J33" s="272">
        <v>0</v>
      </c>
      <c r="K33" s="269" t="s">
        <v>233</v>
      </c>
      <c r="L33" s="273">
        <v>46309</v>
      </c>
      <c r="M33" s="272">
        <v>0</v>
      </c>
      <c r="N33" s="272">
        <v>0</v>
      </c>
      <c r="O33" s="272">
        <v>3</v>
      </c>
      <c r="P33" s="269" t="s">
        <v>514</v>
      </c>
      <c r="Q33" s="265"/>
      <c r="R33" s="265"/>
      <c r="S33" s="265"/>
      <c r="T33" s="265"/>
      <c r="U33" s="265"/>
      <c r="V33" s="265"/>
      <c r="W33" s="265"/>
      <c r="X33" s="265"/>
      <c r="Y33" s="265"/>
      <c r="Z33" s="272" t="s">
        <v>174</v>
      </c>
      <c r="AA33" s="272" t="s">
        <v>318</v>
      </c>
      <c r="AB33" s="265"/>
      <c r="AC33" s="265"/>
      <c r="AD33" s="265"/>
      <c r="AE33" s="265"/>
      <c r="AF33" s="265"/>
      <c r="AG33" s="265"/>
      <c r="AH33" s="265"/>
      <c r="AI33" s="265"/>
      <c r="AJ33" s="265"/>
    </row>
    <row r="34" spans="1:36">
      <c r="A34" s="267" t="s">
        <v>240</v>
      </c>
      <c r="B34" s="268">
        <v>46048</v>
      </c>
      <c r="C34" s="269" t="s">
        <v>854</v>
      </c>
      <c r="D34" s="270" t="s">
        <v>975</v>
      </c>
      <c r="E34" s="269" t="s">
        <v>808</v>
      </c>
      <c r="F34" s="269" t="s">
        <v>232</v>
      </c>
      <c r="G34" s="271">
        <v>2.23E-2</v>
      </c>
      <c r="H34" s="272">
        <v>179</v>
      </c>
      <c r="I34" s="272">
        <v>4</v>
      </c>
      <c r="J34" s="272">
        <v>0</v>
      </c>
      <c r="K34" s="269" t="s">
        <v>233</v>
      </c>
      <c r="L34" s="273">
        <v>46342</v>
      </c>
      <c r="M34" s="272">
        <v>0</v>
      </c>
      <c r="N34" s="272">
        <v>0</v>
      </c>
      <c r="O34" s="272">
        <v>4</v>
      </c>
      <c r="P34" s="269" t="s">
        <v>967</v>
      </c>
      <c r="Q34" s="265"/>
      <c r="R34" s="265"/>
      <c r="S34" s="265"/>
      <c r="T34" s="265"/>
      <c r="U34" s="265"/>
      <c r="V34" s="265"/>
      <c r="W34" s="265"/>
      <c r="X34" s="265"/>
      <c r="Y34" s="265"/>
      <c r="Z34" s="265"/>
      <c r="AA34" s="265"/>
      <c r="AB34" s="265"/>
      <c r="AC34" s="265"/>
      <c r="AD34" s="265"/>
      <c r="AE34" s="272" t="s">
        <v>951</v>
      </c>
      <c r="AF34" s="265"/>
      <c r="AG34" s="265"/>
      <c r="AH34" s="265"/>
      <c r="AI34" s="265"/>
      <c r="AJ34" s="265"/>
    </row>
    <row r="35" spans="1:36">
      <c r="A35" s="267" t="s">
        <v>242</v>
      </c>
      <c r="B35" s="268">
        <v>46049</v>
      </c>
      <c r="C35" s="269" t="s">
        <v>854</v>
      </c>
      <c r="D35" s="270" t="s">
        <v>980</v>
      </c>
      <c r="E35" s="269" t="s">
        <v>808</v>
      </c>
      <c r="F35" s="269" t="s">
        <v>232</v>
      </c>
      <c r="G35" s="271">
        <v>1.12E-2</v>
      </c>
      <c r="H35" s="272">
        <v>179</v>
      </c>
      <c r="I35" s="272">
        <v>2</v>
      </c>
      <c r="J35" s="272">
        <v>0</v>
      </c>
      <c r="K35" s="269" t="s">
        <v>233</v>
      </c>
      <c r="L35" s="273">
        <v>46330</v>
      </c>
      <c r="M35" s="272">
        <v>0</v>
      </c>
      <c r="N35" s="272">
        <v>0</v>
      </c>
      <c r="O35" s="272">
        <v>2</v>
      </c>
      <c r="P35" s="269" t="s">
        <v>968</v>
      </c>
      <c r="Q35" s="265"/>
      <c r="R35" s="265"/>
      <c r="S35" s="265"/>
      <c r="T35" s="265"/>
      <c r="U35" s="265"/>
      <c r="V35" s="265"/>
      <c r="W35" s="265"/>
      <c r="X35" s="265"/>
      <c r="Y35" s="265"/>
      <c r="Z35" s="265"/>
      <c r="AA35" s="272" t="s">
        <v>686</v>
      </c>
      <c r="AB35" s="265"/>
      <c r="AC35" s="265"/>
      <c r="AD35" s="265"/>
      <c r="AE35" s="272" t="s">
        <v>570</v>
      </c>
      <c r="AF35" s="265"/>
      <c r="AG35" s="265"/>
      <c r="AH35" s="265"/>
      <c r="AI35" s="265"/>
      <c r="AJ35" s="265"/>
    </row>
    <row r="36" spans="1:36">
      <c r="A36" s="267" t="s">
        <v>315</v>
      </c>
      <c r="B36" s="268">
        <v>46050</v>
      </c>
      <c r="C36" s="269" t="s">
        <v>818</v>
      </c>
      <c r="D36" s="270" t="s">
        <v>974</v>
      </c>
      <c r="E36" s="269" t="s">
        <v>808</v>
      </c>
      <c r="F36" s="269" t="s">
        <v>232</v>
      </c>
      <c r="G36" s="271">
        <v>5.5999999999999999E-3</v>
      </c>
      <c r="H36" s="272">
        <v>179</v>
      </c>
      <c r="I36" s="272">
        <v>1</v>
      </c>
      <c r="J36" s="272">
        <v>0</v>
      </c>
      <c r="K36" s="269" t="s">
        <v>233</v>
      </c>
      <c r="L36" s="273">
        <v>46342</v>
      </c>
      <c r="M36" s="272">
        <v>0</v>
      </c>
      <c r="N36" s="272">
        <v>0</v>
      </c>
      <c r="O36" s="272">
        <v>1</v>
      </c>
      <c r="P36" s="269" t="s">
        <v>905</v>
      </c>
      <c r="Q36" s="265"/>
      <c r="R36" s="265"/>
      <c r="S36" s="265"/>
      <c r="T36" s="265"/>
      <c r="U36" s="265"/>
      <c r="V36" s="265"/>
      <c r="W36" s="265"/>
      <c r="X36" s="265"/>
      <c r="Y36" s="265"/>
      <c r="Z36" s="265"/>
      <c r="AA36" s="265"/>
      <c r="AB36" s="265"/>
      <c r="AC36" s="265"/>
      <c r="AD36" s="265"/>
      <c r="AE36" s="272" t="s">
        <v>570</v>
      </c>
      <c r="AF36" s="265"/>
      <c r="AG36" s="265"/>
      <c r="AH36" s="265"/>
      <c r="AI36" s="265"/>
      <c r="AJ36" s="265"/>
    </row>
    <row r="37" spans="1:36">
      <c r="A37" s="267" t="s">
        <v>315</v>
      </c>
      <c r="B37" s="268">
        <v>46050</v>
      </c>
      <c r="C37" s="269" t="s">
        <v>854</v>
      </c>
      <c r="D37" s="270" t="s">
        <v>975</v>
      </c>
      <c r="E37" s="269" t="s">
        <v>808</v>
      </c>
      <c r="F37" s="269" t="s">
        <v>232</v>
      </c>
      <c r="G37" s="271">
        <v>6.1499999999999999E-2</v>
      </c>
      <c r="H37" s="272">
        <v>179</v>
      </c>
      <c r="I37" s="272">
        <v>11</v>
      </c>
      <c r="J37" s="272">
        <v>0</v>
      </c>
      <c r="K37" s="269" t="s">
        <v>233</v>
      </c>
      <c r="L37" s="273">
        <v>46343</v>
      </c>
      <c r="M37" s="272">
        <v>0</v>
      </c>
      <c r="N37" s="272">
        <v>0</v>
      </c>
      <c r="O37" s="272">
        <v>11</v>
      </c>
      <c r="P37" s="269" t="s">
        <v>549</v>
      </c>
      <c r="Q37" s="265"/>
      <c r="R37" s="265"/>
      <c r="S37" s="265"/>
      <c r="T37" s="265"/>
      <c r="U37" s="265"/>
      <c r="V37" s="265"/>
      <c r="W37" s="265"/>
      <c r="X37" s="265"/>
      <c r="Y37" s="265"/>
      <c r="Z37" s="265"/>
      <c r="AA37" s="265"/>
      <c r="AB37" s="265"/>
      <c r="AC37" s="265"/>
      <c r="AD37" s="272" t="s">
        <v>436</v>
      </c>
      <c r="AE37" s="272" t="s">
        <v>968</v>
      </c>
      <c r="AF37" s="265"/>
      <c r="AG37" s="265"/>
      <c r="AH37" s="265"/>
      <c r="AI37" s="265"/>
      <c r="AJ37" s="265"/>
    </row>
    <row r="38" spans="1:36">
      <c r="A38" s="267" t="s">
        <v>230</v>
      </c>
      <c r="B38" s="268">
        <v>46051</v>
      </c>
      <c r="C38" s="269" t="s">
        <v>818</v>
      </c>
      <c r="D38" s="270" t="s">
        <v>974</v>
      </c>
      <c r="E38" s="269" t="s">
        <v>808</v>
      </c>
      <c r="F38" s="269" t="s">
        <v>232</v>
      </c>
      <c r="G38" s="271">
        <v>1.6799999999999999E-2</v>
      </c>
      <c r="H38" s="272">
        <v>179</v>
      </c>
      <c r="I38" s="272">
        <v>3</v>
      </c>
      <c r="J38" s="272">
        <v>0</v>
      </c>
      <c r="K38" s="269" t="s">
        <v>233</v>
      </c>
      <c r="L38" s="273">
        <v>46339</v>
      </c>
      <c r="M38" s="272">
        <v>0</v>
      </c>
      <c r="N38" s="272">
        <v>0</v>
      </c>
      <c r="O38" s="272">
        <v>3</v>
      </c>
      <c r="P38" s="269" t="s">
        <v>877</v>
      </c>
      <c r="Q38" s="265"/>
      <c r="R38" s="265"/>
      <c r="S38" s="265"/>
      <c r="T38" s="265"/>
      <c r="U38" s="265"/>
      <c r="V38" s="265"/>
      <c r="W38" s="265"/>
      <c r="X38" s="265"/>
      <c r="Y38" s="265"/>
      <c r="Z38" s="265"/>
      <c r="AA38" s="265"/>
      <c r="AB38" s="265"/>
      <c r="AC38" s="265"/>
      <c r="AD38" s="265"/>
      <c r="AE38" s="272" t="s">
        <v>967</v>
      </c>
      <c r="AF38" s="265"/>
      <c r="AG38" s="265"/>
      <c r="AH38" s="265"/>
      <c r="AI38" s="265"/>
      <c r="AJ38" s="265"/>
    </row>
    <row r="39" spans="1:36">
      <c r="A39" s="267" t="s">
        <v>560</v>
      </c>
      <c r="B39" s="268">
        <v>46052</v>
      </c>
      <c r="C39" s="269" t="s">
        <v>818</v>
      </c>
      <c r="D39" s="270" t="s">
        <v>555</v>
      </c>
      <c r="E39" s="269" t="s">
        <v>808</v>
      </c>
      <c r="F39" s="269" t="s">
        <v>232</v>
      </c>
      <c r="G39" s="271">
        <v>1.6799999999999999E-2</v>
      </c>
      <c r="H39" s="272">
        <v>179</v>
      </c>
      <c r="I39" s="272">
        <v>3</v>
      </c>
      <c r="J39" s="272">
        <v>0</v>
      </c>
      <c r="K39" s="269" t="s">
        <v>233</v>
      </c>
      <c r="L39" s="273">
        <v>46337</v>
      </c>
      <c r="M39" s="272">
        <v>0</v>
      </c>
      <c r="N39" s="272">
        <v>0</v>
      </c>
      <c r="O39" s="272">
        <v>3</v>
      </c>
      <c r="P39" s="269" t="s">
        <v>951</v>
      </c>
      <c r="Q39" s="265"/>
      <c r="R39" s="265"/>
      <c r="S39" s="265"/>
      <c r="T39" s="265"/>
      <c r="U39" s="265"/>
      <c r="V39" s="265"/>
      <c r="W39" s="265"/>
      <c r="X39" s="265"/>
      <c r="Y39" s="265"/>
      <c r="Z39" s="265"/>
      <c r="AA39" s="265"/>
      <c r="AB39" s="265"/>
      <c r="AC39" s="265"/>
      <c r="AD39" s="265"/>
      <c r="AE39" s="272" t="s">
        <v>967</v>
      </c>
      <c r="AF39" s="265"/>
      <c r="AG39" s="265"/>
      <c r="AH39" s="265"/>
      <c r="AI39" s="265"/>
      <c r="AJ39" s="265"/>
    </row>
    <row r="40" spans="1:36">
      <c r="A40" s="267" t="s">
        <v>560</v>
      </c>
      <c r="B40" s="268">
        <v>46052</v>
      </c>
      <c r="C40" s="269" t="s">
        <v>854</v>
      </c>
      <c r="D40" s="270" t="s">
        <v>975</v>
      </c>
      <c r="E40" s="269" t="s">
        <v>808</v>
      </c>
      <c r="F40" s="269" t="s">
        <v>232</v>
      </c>
      <c r="G40" s="271">
        <v>3.9100000000000003E-2</v>
      </c>
      <c r="H40" s="272">
        <v>179</v>
      </c>
      <c r="I40" s="272">
        <v>7</v>
      </c>
      <c r="J40" s="272">
        <v>0</v>
      </c>
      <c r="K40" s="269" t="s">
        <v>233</v>
      </c>
      <c r="L40" s="273">
        <v>46345</v>
      </c>
      <c r="M40" s="272">
        <v>0</v>
      </c>
      <c r="N40" s="272">
        <v>0</v>
      </c>
      <c r="O40" s="272">
        <v>7</v>
      </c>
      <c r="P40" s="269" t="s">
        <v>552</v>
      </c>
      <c r="Q40" s="265"/>
      <c r="R40" s="265"/>
      <c r="S40" s="265"/>
      <c r="T40" s="265"/>
      <c r="U40" s="265"/>
      <c r="V40" s="265"/>
      <c r="W40" s="265"/>
      <c r="X40" s="265"/>
      <c r="Y40" s="265"/>
      <c r="Z40" s="265"/>
      <c r="AA40" s="265"/>
      <c r="AB40" s="265"/>
      <c r="AC40" s="265"/>
      <c r="AD40" s="265"/>
      <c r="AE40" s="272" t="s">
        <v>918</v>
      </c>
      <c r="AF40" s="265"/>
      <c r="AG40" s="265"/>
      <c r="AH40" s="265"/>
      <c r="AI40" s="265"/>
      <c r="AJ40" s="265"/>
    </row>
    <row r="41" spans="1:36">
      <c r="A41" s="267" t="s">
        <v>234</v>
      </c>
      <c r="B41" s="268">
        <v>46053</v>
      </c>
      <c r="C41" s="269" t="s">
        <v>818</v>
      </c>
      <c r="D41" s="270" t="s">
        <v>974</v>
      </c>
      <c r="E41" s="269" t="s">
        <v>808</v>
      </c>
      <c r="F41" s="269" t="s">
        <v>232</v>
      </c>
      <c r="G41" s="271">
        <v>5.5899999999999998E-2</v>
      </c>
      <c r="H41" s="272">
        <v>179</v>
      </c>
      <c r="I41" s="272">
        <v>10</v>
      </c>
      <c r="J41" s="272">
        <v>0</v>
      </c>
      <c r="K41" s="269" t="s">
        <v>233</v>
      </c>
      <c r="L41" s="273">
        <v>46339</v>
      </c>
      <c r="M41" s="272">
        <v>0</v>
      </c>
      <c r="N41" s="272">
        <v>0</v>
      </c>
      <c r="O41" s="272">
        <v>10</v>
      </c>
      <c r="P41" s="269" t="s">
        <v>368</v>
      </c>
      <c r="Q41" s="265"/>
      <c r="R41" s="265"/>
      <c r="S41" s="265"/>
      <c r="T41" s="265"/>
      <c r="U41" s="265"/>
      <c r="V41" s="265"/>
      <c r="W41" s="265"/>
      <c r="X41" s="265"/>
      <c r="Y41" s="265"/>
      <c r="Z41" s="265"/>
      <c r="AA41" s="272" t="s">
        <v>686</v>
      </c>
      <c r="AB41" s="265"/>
      <c r="AC41" s="265"/>
      <c r="AD41" s="272" t="s">
        <v>446</v>
      </c>
      <c r="AE41" s="272" t="s">
        <v>905</v>
      </c>
      <c r="AF41" s="265"/>
      <c r="AG41" s="265"/>
      <c r="AH41" s="265"/>
      <c r="AI41" s="265"/>
      <c r="AJ41" s="265"/>
    </row>
    <row r="42" spans="1:36" ht="21">
      <c r="A42" s="274" t="s">
        <v>251</v>
      </c>
      <c r="B42" s="275"/>
      <c r="C42" s="274">
        <f>SUBTOTAL(103,CAI_RUH_LF_LEGACY[Flt])</f>
        <v>40</v>
      </c>
      <c r="D42" s="274"/>
      <c r="E42" s="274">
        <f>SUBTOTAL(103,CAI_RUH_LF_LEGACY[Brd-Off])</f>
        <v>40</v>
      </c>
      <c r="F42" s="274"/>
      <c r="G42" s="276">
        <f>SUBTOTAL(101,CAI_RUH_LF_LEGACY[LF%])</f>
        <v>3.8417500000000007E-2</v>
      </c>
      <c r="H42" s="277">
        <f>SUBTOTAL(109,CAI_RUH_LF_LEGACY[CAP])</f>
        <v>7160</v>
      </c>
      <c r="I42" s="277">
        <f>SUBTOTAL(109,CAI_RUH_LF_LEGACY[BKG(Y)])</f>
        <v>275</v>
      </c>
      <c r="J42" s="277">
        <f>SUBTOTAL(109,CAI_RUH_LF_LEGACY[GRP(Y)])</f>
        <v>0</v>
      </c>
      <c r="K42" s="274"/>
      <c r="L42" s="275"/>
      <c r="M42" s="277">
        <f>SUBTOTAL(109,CAI_RUH_LF_LEGACY[TO-DAY])</f>
        <v>0</v>
      </c>
      <c r="N42" s="277">
        <f>SUBTOTAL(109,CAI_RUH_LF_LEGACY[Y-DAY])</f>
        <v>0</v>
      </c>
      <c r="O42" s="277">
        <f>SUBTOTAL(109,CAI_RUH_LF_LEGACY[WEEKLY])</f>
        <v>274</v>
      </c>
      <c r="P42" s="274"/>
      <c r="Q42" s="277">
        <f>SUBTOTAL(109,CAI_RUH_LF_LEGACY[Y])</f>
        <v>0</v>
      </c>
      <c r="R42" s="277">
        <f>SUBTOTAL(109,CAI_RUH_LF_LEGACY[B])</f>
        <v>0</v>
      </c>
      <c r="S42" s="277">
        <f>SUBTOTAL(109,CAI_RUH_LF_LEGACY[M])</f>
        <v>0</v>
      </c>
      <c r="T42" s="277">
        <f>SUBTOTAL(109,CAI_RUH_LF_LEGACY[H])</f>
        <v>0</v>
      </c>
      <c r="U42" s="277">
        <f>SUBTOTAL(109,CAI_RUH_LF_LEGACY[Q])</f>
        <v>0</v>
      </c>
      <c r="V42" s="277">
        <f>SUBTOTAL(109,CAI_RUH_LF_LEGACY[K])</f>
        <v>0</v>
      </c>
      <c r="W42" s="277">
        <f>SUBTOTAL(109,CAI_RUH_LF_LEGACY[V])</f>
        <v>0</v>
      </c>
      <c r="X42" s="277">
        <f>SUBTOTAL(109,CAI_RUH_LF_LEGACY[L])</f>
        <v>0</v>
      </c>
      <c r="Y42" s="277">
        <f>SUBTOTAL(109,CAI_RUH_LF_LEGACY[G])</f>
        <v>0</v>
      </c>
      <c r="Z42" s="277">
        <f>SUBTOTAL(109,CAI_RUH_LF_LEGACY[S])</f>
        <v>0</v>
      </c>
      <c r="AA42" s="277">
        <f>SUBTOTAL(109,CAI_RUH_LF_LEGACY[W])</f>
        <v>0</v>
      </c>
      <c r="AB42" s="277">
        <f>SUBTOTAL(109,CAI_RUH_LF_LEGACY[T])</f>
        <v>0</v>
      </c>
      <c r="AC42" s="277">
        <f>SUBTOTAL(109,CAI_RUH_LF_LEGACY[X])</f>
        <v>0</v>
      </c>
      <c r="AD42" s="277">
        <f>SUBTOTAL(109,CAI_RUH_LF_LEGACY[U])</f>
        <v>0</v>
      </c>
      <c r="AE42" s="277">
        <f>SUBTOTAL(109,CAI_RUH_LF_LEGACY[O])</f>
        <v>0</v>
      </c>
      <c r="AF42" s="277">
        <f>SUBTOTAL(109,CAI_RUH_LF_LEGACY[I])</f>
        <v>0</v>
      </c>
      <c r="AG42" s="277">
        <f>SUBTOTAL(109,CAI_RUH_LF_LEGACY[E])</f>
        <v>0</v>
      </c>
      <c r="AH42" s="277">
        <f>SUBTOTAL(109,CAI_RUH_LF_LEGACY[A])</f>
        <v>0</v>
      </c>
      <c r="AI42" s="277">
        <f>SUBTOTAL(109,CAI_RUH_LF_LEGACY[P])</f>
        <v>0</v>
      </c>
      <c r="AJ42" s="277">
        <f>SUBTOTAL(103,CAI_RUH_LF_LEGACY[N])</f>
        <v>0</v>
      </c>
    </row>
  </sheetData>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1577"/>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71.28515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1" t="s">
        <v>254</v>
      </c>
      <c r="B2" s="112" t="s">
        <v>38</v>
      </c>
      <c r="C2" s="113" t="s">
        <v>809</v>
      </c>
      <c r="D2" s="112" t="s">
        <v>808</v>
      </c>
      <c r="E2" s="112" t="s">
        <v>984</v>
      </c>
      <c r="F2" s="112" t="s">
        <v>40</v>
      </c>
      <c r="G2" s="114">
        <v>8</v>
      </c>
      <c r="H2" s="115" t="s">
        <v>475</v>
      </c>
    </row>
    <row r="3" spans="1:8" ht="19.899999999999999" customHeight="1">
      <c r="A3" s="111" t="s">
        <v>254</v>
      </c>
      <c r="B3" s="112" t="s">
        <v>38</v>
      </c>
      <c r="C3" s="113" t="s">
        <v>811</v>
      </c>
      <c r="D3" s="112" t="s">
        <v>808</v>
      </c>
      <c r="E3" s="112" t="s">
        <v>769</v>
      </c>
      <c r="F3" s="112" t="s">
        <v>40</v>
      </c>
      <c r="G3" s="114">
        <v>11</v>
      </c>
      <c r="H3" s="115" t="s">
        <v>475</v>
      </c>
    </row>
    <row r="4" spans="1:8" ht="19.899999999999999" customHeight="1">
      <c r="A4" s="111" t="s">
        <v>254</v>
      </c>
      <c r="B4" s="112" t="s">
        <v>38</v>
      </c>
      <c r="C4" s="113" t="s">
        <v>812</v>
      </c>
      <c r="D4" s="112" t="s">
        <v>808</v>
      </c>
      <c r="E4" s="112" t="s">
        <v>593</v>
      </c>
      <c r="F4" s="112" t="s">
        <v>40</v>
      </c>
      <c r="G4" s="114">
        <v>19</v>
      </c>
      <c r="H4" s="115" t="s">
        <v>475</v>
      </c>
    </row>
    <row r="5" spans="1:8" ht="19.899999999999999" customHeight="1">
      <c r="A5" s="111" t="s">
        <v>254</v>
      </c>
      <c r="B5" s="112" t="s">
        <v>38</v>
      </c>
      <c r="C5" s="113" t="s">
        <v>813</v>
      </c>
      <c r="D5" s="112" t="s">
        <v>808</v>
      </c>
      <c r="E5" s="112" t="s">
        <v>598</v>
      </c>
      <c r="F5" s="112" t="s">
        <v>40</v>
      </c>
      <c r="G5" s="114">
        <v>18</v>
      </c>
      <c r="H5" s="115" t="s">
        <v>475</v>
      </c>
    </row>
    <row r="6" spans="1:8" ht="19.899999999999999" customHeight="1">
      <c r="A6" s="111" t="s">
        <v>254</v>
      </c>
      <c r="B6" s="112" t="s">
        <v>359</v>
      </c>
      <c r="C6" s="113" t="s">
        <v>814</v>
      </c>
      <c r="D6" s="112" t="s">
        <v>808</v>
      </c>
      <c r="E6" s="112" t="s">
        <v>563</v>
      </c>
      <c r="F6" s="112" t="s">
        <v>361</v>
      </c>
      <c r="G6" s="114">
        <v>9</v>
      </c>
      <c r="H6" s="115" t="s">
        <v>815</v>
      </c>
    </row>
    <row r="7" spans="1:8" ht="19.899999999999999" customHeight="1">
      <c r="A7" s="116" t="s">
        <v>254</v>
      </c>
      <c r="B7" s="117" t="s">
        <v>61</v>
      </c>
      <c r="C7" s="118" t="s">
        <v>816</v>
      </c>
      <c r="D7" s="117" t="s">
        <v>808</v>
      </c>
      <c r="E7" s="117" t="s">
        <v>974</v>
      </c>
      <c r="F7" s="117" t="s">
        <v>63</v>
      </c>
      <c r="G7" s="119">
        <v>9</v>
      </c>
      <c r="H7" s="120" t="s">
        <v>817</v>
      </c>
    </row>
    <row r="8" spans="1:8" ht="19.899999999999999" customHeight="1">
      <c r="A8" s="121">
        <v>46023</v>
      </c>
      <c r="B8" s="112" t="s">
        <v>26</v>
      </c>
      <c r="C8" s="113" t="s">
        <v>820</v>
      </c>
      <c r="D8" s="112" t="s">
        <v>808</v>
      </c>
      <c r="E8" s="122">
        <v>1.4375</v>
      </c>
      <c r="F8" s="112" t="s">
        <v>28</v>
      </c>
      <c r="G8" s="114">
        <v>9</v>
      </c>
      <c r="H8" s="115" t="s">
        <v>81</v>
      </c>
    </row>
    <row r="9" spans="1:8" ht="19.899999999999999" customHeight="1">
      <c r="A9" s="121">
        <v>46023</v>
      </c>
      <c r="B9" s="112" t="s">
        <v>26</v>
      </c>
      <c r="C9" s="113" t="s">
        <v>821</v>
      </c>
      <c r="D9" s="112" t="s">
        <v>808</v>
      </c>
      <c r="E9" s="122">
        <v>1.631944444444444</v>
      </c>
      <c r="F9" s="112" t="s">
        <v>28</v>
      </c>
      <c r="G9" s="114">
        <v>9</v>
      </c>
      <c r="H9" s="115" t="s">
        <v>81</v>
      </c>
    </row>
    <row r="10" spans="1:8" ht="19.899999999999999" customHeight="1">
      <c r="A10" s="121">
        <v>46023</v>
      </c>
      <c r="B10" s="112" t="s">
        <v>26</v>
      </c>
      <c r="C10" s="113" t="s">
        <v>822</v>
      </c>
      <c r="D10" s="112" t="s">
        <v>808</v>
      </c>
      <c r="E10" s="122">
        <v>1.5590277777777779</v>
      </c>
      <c r="F10" s="112" t="s">
        <v>28</v>
      </c>
      <c r="G10" s="114">
        <v>9</v>
      </c>
      <c r="H10" s="115" t="s">
        <v>81</v>
      </c>
    </row>
    <row r="11" spans="1:8" ht="19.899999999999999" customHeight="1">
      <c r="A11" s="121">
        <v>46023</v>
      </c>
      <c r="B11" s="112" t="s">
        <v>26</v>
      </c>
      <c r="C11" s="113" t="s">
        <v>823</v>
      </c>
      <c r="D11" s="112" t="s">
        <v>808</v>
      </c>
      <c r="E11" s="122">
        <v>1.819444444444444</v>
      </c>
      <c r="F11" s="112" t="s">
        <v>28</v>
      </c>
      <c r="G11" s="114">
        <v>9</v>
      </c>
      <c r="H11" s="115" t="s">
        <v>81</v>
      </c>
    </row>
    <row r="12" spans="1:8" ht="19.899999999999999" customHeight="1">
      <c r="A12" s="121">
        <v>46023</v>
      </c>
      <c r="B12" s="112" t="s">
        <v>26</v>
      </c>
      <c r="C12" s="113" t="s">
        <v>824</v>
      </c>
      <c r="D12" s="112" t="s">
        <v>808</v>
      </c>
      <c r="E12" s="122">
        <v>1.506944444444444</v>
      </c>
      <c r="F12" s="112" t="s">
        <v>28</v>
      </c>
      <c r="G12" s="114">
        <v>9</v>
      </c>
      <c r="H12" s="115" t="s">
        <v>81</v>
      </c>
    </row>
    <row r="13" spans="1:8" ht="19.899999999999999" customHeight="1">
      <c r="A13" s="121">
        <v>46023</v>
      </c>
      <c r="B13" s="112" t="s">
        <v>26</v>
      </c>
      <c r="C13" s="113" t="s">
        <v>825</v>
      </c>
      <c r="D13" s="112" t="s">
        <v>808</v>
      </c>
      <c r="E13" s="122">
        <v>1.697916666666667</v>
      </c>
      <c r="F13" s="112" t="s">
        <v>28</v>
      </c>
      <c r="G13" s="114">
        <v>9</v>
      </c>
      <c r="H13" s="115" t="s">
        <v>81</v>
      </c>
    </row>
    <row r="14" spans="1:8" ht="19.899999999999999" customHeight="1">
      <c r="A14" s="121">
        <v>46023</v>
      </c>
      <c r="B14" s="112" t="s">
        <v>26</v>
      </c>
      <c r="C14" s="113" t="s">
        <v>826</v>
      </c>
      <c r="D14" s="112" t="s">
        <v>808</v>
      </c>
      <c r="E14" s="122">
        <v>1.958333333333333</v>
      </c>
      <c r="F14" s="112" t="s">
        <v>28</v>
      </c>
      <c r="G14" s="114">
        <v>8</v>
      </c>
      <c r="H14" s="115" t="s">
        <v>827</v>
      </c>
    </row>
    <row r="15" spans="1:8" ht="19.899999999999999" customHeight="1">
      <c r="A15" s="121">
        <v>46023</v>
      </c>
      <c r="B15" s="112" t="s">
        <v>48</v>
      </c>
      <c r="C15" s="113" t="s">
        <v>828</v>
      </c>
      <c r="D15" s="112" t="s">
        <v>808</v>
      </c>
      <c r="E15" s="122">
        <v>1.8298611111111109</v>
      </c>
      <c r="F15" s="112" t="s">
        <v>50</v>
      </c>
      <c r="G15" s="114">
        <v>9</v>
      </c>
      <c r="H15" s="115" t="s">
        <v>829</v>
      </c>
    </row>
    <row r="16" spans="1:8" ht="19.899999999999999" customHeight="1">
      <c r="A16" s="121">
        <v>46023</v>
      </c>
      <c r="B16" s="112" t="s">
        <v>48</v>
      </c>
      <c r="C16" s="113" t="s">
        <v>831</v>
      </c>
      <c r="D16" s="112" t="s">
        <v>808</v>
      </c>
      <c r="E16" s="122">
        <v>1.9826388888888891</v>
      </c>
      <c r="F16" s="112" t="s">
        <v>50</v>
      </c>
      <c r="G16" s="114">
        <v>9</v>
      </c>
      <c r="H16" s="115" t="s">
        <v>829</v>
      </c>
    </row>
    <row r="17" spans="1:8" ht="19.899999999999999" customHeight="1">
      <c r="A17" s="121">
        <v>46023</v>
      </c>
      <c r="B17" s="112" t="s">
        <v>48</v>
      </c>
      <c r="C17" s="113" t="s">
        <v>832</v>
      </c>
      <c r="D17" s="112" t="s">
        <v>808</v>
      </c>
      <c r="E17" s="122">
        <v>1.6284722222222221</v>
      </c>
      <c r="F17" s="112" t="s">
        <v>643</v>
      </c>
      <c r="G17" s="114">
        <v>9</v>
      </c>
      <c r="H17" s="115" t="s">
        <v>829</v>
      </c>
    </row>
    <row r="18" spans="1:8" ht="19.899999999999999" customHeight="1">
      <c r="A18" s="121">
        <v>46023</v>
      </c>
      <c r="B18" s="112" t="s">
        <v>48</v>
      </c>
      <c r="C18" s="113" t="s">
        <v>832</v>
      </c>
      <c r="D18" s="112" t="s">
        <v>808</v>
      </c>
      <c r="E18" s="122">
        <v>1.6284722222222221</v>
      </c>
      <c r="F18" s="112" t="s">
        <v>50</v>
      </c>
      <c r="G18" s="114">
        <v>9</v>
      </c>
      <c r="H18" s="115" t="s">
        <v>829</v>
      </c>
    </row>
    <row r="19" spans="1:8" ht="19.899999999999999" customHeight="1">
      <c r="A19" s="121">
        <v>46023</v>
      </c>
      <c r="B19" s="112" t="s">
        <v>402</v>
      </c>
      <c r="C19" s="113" t="s">
        <v>839</v>
      </c>
      <c r="D19" s="112" t="s">
        <v>808</v>
      </c>
      <c r="E19" s="122">
        <v>1.1701388888888891</v>
      </c>
      <c r="F19" s="112" t="s">
        <v>63</v>
      </c>
      <c r="G19" s="114">
        <v>3</v>
      </c>
      <c r="H19" s="115" t="s">
        <v>840</v>
      </c>
    </row>
    <row r="20" spans="1:8" ht="19.899999999999999" customHeight="1">
      <c r="A20" s="121">
        <v>46023</v>
      </c>
      <c r="B20" s="112" t="s">
        <v>402</v>
      </c>
      <c r="C20" s="113" t="s">
        <v>841</v>
      </c>
      <c r="D20" s="112" t="s">
        <v>808</v>
      </c>
      <c r="E20" s="122">
        <v>1.614583333333333</v>
      </c>
      <c r="F20" s="112" t="s">
        <v>63</v>
      </c>
      <c r="G20" s="114">
        <v>5</v>
      </c>
      <c r="H20" s="115" t="s">
        <v>840</v>
      </c>
    </row>
    <row r="21" spans="1:8" ht="19.899999999999999" customHeight="1">
      <c r="A21" s="121">
        <v>46023</v>
      </c>
      <c r="B21" s="112" t="s">
        <v>38</v>
      </c>
      <c r="C21" s="113" t="s">
        <v>809</v>
      </c>
      <c r="D21" s="112" t="s">
        <v>808</v>
      </c>
      <c r="E21" s="122">
        <v>1.5763888888888891</v>
      </c>
      <c r="F21" s="112" t="s">
        <v>43</v>
      </c>
      <c r="G21" s="114">
        <v>8</v>
      </c>
      <c r="H21" s="115" t="s">
        <v>121</v>
      </c>
    </row>
    <row r="22" spans="1:8" ht="19.899999999999999" customHeight="1">
      <c r="A22" s="121">
        <v>46023</v>
      </c>
      <c r="B22" s="112" t="s">
        <v>38</v>
      </c>
      <c r="C22" s="113" t="s">
        <v>811</v>
      </c>
      <c r="D22" s="112" t="s">
        <v>808</v>
      </c>
      <c r="E22" s="122">
        <v>1.6284722222222221</v>
      </c>
      <c r="F22" s="112" t="s">
        <v>43</v>
      </c>
      <c r="G22" s="114">
        <v>11</v>
      </c>
      <c r="H22" s="115" t="s">
        <v>121</v>
      </c>
    </row>
    <row r="23" spans="1:8" ht="19.899999999999999" customHeight="1">
      <c r="A23" s="121">
        <v>46023</v>
      </c>
      <c r="B23" s="112" t="s">
        <v>38</v>
      </c>
      <c r="C23" s="113" t="s">
        <v>812</v>
      </c>
      <c r="D23" s="112" t="s">
        <v>808</v>
      </c>
      <c r="E23" s="122">
        <v>1.8888888888888891</v>
      </c>
      <c r="F23" s="112" t="s">
        <v>43</v>
      </c>
      <c r="G23" s="114">
        <v>19</v>
      </c>
      <c r="H23" s="115" t="s">
        <v>121</v>
      </c>
    </row>
    <row r="24" spans="1:8" ht="19.899999999999999" customHeight="1">
      <c r="A24" s="121">
        <v>46023</v>
      </c>
      <c r="B24" s="112" t="s">
        <v>38</v>
      </c>
      <c r="C24" s="113" t="s">
        <v>813</v>
      </c>
      <c r="D24" s="112" t="s">
        <v>808</v>
      </c>
      <c r="E24" s="122">
        <v>1.944444444444444</v>
      </c>
      <c r="F24" s="112" t="s">
        <v>43</v>
      </c>
      <c r="G24" s="114">
        <v>18</v>
      </c>
      <c r="H24" s="115" t="s">
        <v>121</v>
      </c>
    </row>
    <row r="25" spans="1:8" ht="19.899999999999999" customHeight="1">
      <c r="A25" s="121">
        <v>46023</v>
      </c>
      <c r="B25" s="112" t="s">
        <v>26</v>
      </c>
      <c r="C25" s="113" t="s">
        <v>820</v>
      </c>
      <c r="D25" s="112" t="s">
        <v>808</v>
      </c>
      <c r="E25" s="122">
        <v>1.4375</v>
      </c>
      <c r="F25" s="112" t="s">
        <v>31</v>
      </c>
      <c r="G25" s="114">
        <v>9</v>
      </c>
      <c r="H25" s="115" t="s">
        <v>83</v>
      </c>
    </row>
    <row r="26" spans="1:8" ht="19.899999999999999" customHeight="1">
      <c r="A26" s="121">
        <v>46023</v>
      </c>
      <c r="B26" s="112" t="s">
        <v>26</v>
      </c>
      <c r="C26" s="113" t="s">
        <v>821</v>
      </c>
      <c r="D26" s="112" t="s">
        <v>808</v>
      </c>
      <c r="E26" s="122">
        <v>1.631944444444444</v>
      </c>
      <c r="F26" s="112" t="s">
        <v>31</v>
      </c>
      <c r="G26" s="114">
        <v>9</v>
      </c>
      <c r="H26" s="115" t="s">
        <v>83</v>
      </c>
    </row>
    <row r="27" spans="1:8" ht="19.899999999999999" customHeight="1">
      <c r="A27" s="121">
        <v>46023</v>
      </c>
      <c r="B27" s="112" t="s">
        <v>26</v>
      </c>
      <c r="C27" s="113" t="s">
        <v>822</v>
      </c>
      <c r="D27" s="112" t="s">
        <v>808</v>
      </c>
      <c r="E27" s="122">
        <v>1.5590277777777779</v>
      </c>
      <c r="F27" s="112" t="s">
        <v>31</v>
      </c>
      <c r="G27" s="114">
        <v>9</v>
      </c>
      <c r="H27" s="115" t="s">
        <v>83</v>
      </c>
    </row>
    <row r="28" spans="1:8" ht="19.899999999999999" customHeight="1">
      <c r="A28" s="121">
        <v>46023</v>
      </c>
      <c r="B28" s="112" t="s">
        <v>26</v>
      </c>
      <c r="C28" s="113" t="s">
        <v>823</v>
      </c>
      <c r="D28" s="112" t="s">
        <v>808</v>
      </c>
      <c r="E28" s="122">
        <v>1.819444444444444</v>
      </c>
      <c r="F28" s="112" t="s">
        <v>31</v>
      </c>
      <c r="G28" s="114">
        <v>9</v>
      </c>
      <c r="H28" s="115" t="s">
        <v>83</v>
      </c>
    </row>
    <row r="29" spans="1:8" ht="19.899999999999999" customHeight="1">
      <c r="A29" s="121">
        <v>46023</v>
      </c>
      <c r="B29" s="112" t="s">
        <v>26</v>
      </c>
      <c r="C29" s="113" t="s">
        <v>824</v>
      </c>
      <c r="D29" s="112" t="s">
        <v>808</v>
      </c>
      <c r="E29" s="122">
        <v>1.506944444444444</v>
      </c>
      <c r="F29" s="112" t="s">
        <v>31</v>
      </c>
      <c r="G29" s="114">
        <v>9</v>
      </c>
      <c r="H29" s="115" t="s">
        <v>83</v>
      </c>
    </row>
    <row r="30" spans="1:8" ht="19.899999999999999" customHeight="1">
      <c r="A30" s="121">
        <v>46023</v>
      </c>
      <c r="B30" s="112" t="s">
        <v>26</v>
      </c>
      <c r="C30" s="113" t="s">
        <v>825</v>
      </c>
      <c r="D30" s="112" t="s">
        <v>808</v>
      </c>
      <c r="E30" s="122">
        <v>1.697916666666667</v>
      </c>
      <c r="F30" s="112" t="s">
        <v>31</v>
      </c>
      <c r="G30" s="114">
        <v>9</v>
      </c>
      <c r="H30" s="115" t="s">
        <v>83</v>
      </c>
    </row>
    <row r="31" spans="1:8" ht="19.899999999999999" customHeight="1">
      <c r="A31" s="121">
        <v>46023</v>
      </c>
      <c r="B31" s="112" t="s">
        <v>68</v>
      </c>
      <c r="C31" s="113" t="s">
        <v>842</v>
      </c>
      <c r="D31" s="112" t="s">
        <v>808</v>
      </c>
      <c r="E31" s="122">
        <v>1.9826388888888891</v>
      </c>
      <c r="F31" s="112" t="s">
        <v>70</v>
      </c>
      <c r="G31" s="114">
        <v>6</v>
      </c>
      <c r="H31" s="115" t="s">
        <v>404</v>
      </c>
    </row>
    <row r="32" spans="1:8" ht="19.899999999999999" customHeight="1">
      <c r="A32" s="121">
        <v>46023</v>
      </c>
      <c r="B32" s="112" t="s">
        <v>68</v>
      </c>
      <c r="C32" s="113" t="s">
        <v>843</v>
      </c>
      <c r="D32" s="112" t="s">
        <v>808</v>
      </c>
      <c r="E32" s="122">
        <v>1.354166666666667</v>
      </c>
      <c r="F32" s="112" t="s">
        <v>70</v>
      </c>
      <c r="G32" s="114">
        <v>9</v>
      </c>
      <c r="H32" s="115" t="s">
        <v>404</v>
      </c>
    </row>
    <row r="33" spans="1:8" ht="19.899999999999999" customHeight="1">
      <c r="A33" s="121">
        <v>46023</v>
      </c>
      <c r="B33" s="112" t="s">
        <v>26</v>
      </c>
      <c r="C33" s="113" t="s">
        <v>826</v>
      </c>
      <c r="D33" s="112" t="s">
        <v>808</v>
      </c>
      <c r="E33" s="122">
        <v>1.958333333333333</v>
      </c>
      <c r="F33" s="112" t="s">
        <v>31</v>
      </c>
      <c r="G33" s="114">
        <v>8</v>
      </c>
      <c r="H33" s="115" t="s">
        <v>161</v>
      </c>
    </row>
    <row r="34" spans="1:8" ht="19.899999999999999" customHeight="1">
      <c r="A34" s="121">
        <v>46023</v>
      </c>
      <c r="B34" s="112" t="s">
        <v>48</v>
      </c>
      <c r="C34" s="113" t="s">
        <v>833</v>
      </c>
      <c r="D34" s="112" t="s">
        <v>808</v>
      </c>
      <c r="E34" s="122">
        <v>1.444444444444444</v>
      </c>
      <c r="F34" s="112" t="s">
        <v>50</v>
      </c>
      <c r="G34" s="114">
        <v>9</v>
      </c>
      <c r="H34" s="115" t="s">
        <v>133</v>
      </c>
    </row>
    <row r="35" spans="1:8" ht="19.899999999999999" customHeight="1">
      <c r="A35" s="121">
        <v>46023</v>
      </c>
      <c r="B35" s="112" t="s">
        <v>359</v>
      </c>
      <c r="C35" s="113" t="s">
        <v>814</v>
      </c>
      <c r="D35" s="112" t="s">
        <v>808</v>
      </c>
      <c r="E35" s="122">
        <v>1.4375</v>
      </c>
      <c r="F35" s="112" t="s">
        <v>46</v>
      </c>
      <c r="G35" s="114">
        <v>9</v>
      </c>
      <c r="H35" s="115" t="s">
        <v>657</v>
      </c>
    </row>
    <row r="36" spans="1:8" ht="19.899999999999999" customHeight="1">
      <c r="A36" s="121">
        <v>46023</v>
      </c>
      <c r="B36" s="112" t="s">
        <v>26</v>
      </c>
      <c r="C36" s="113" t="s">
        <v>820</v>
      </c>
      <c r="D36" s="112" t="s">
        <v>808</v>
      </c>
      <c r="E36" s="122">
        <v>1.4375</v>
      </c>
      <c r="F36" s="112" t="s">
        <v>34</v>
      </c>
      <c r="G36" s="114">
        <v>9</v>
      </c>
      <c r="H36" s="115" t="s">
        <v>45</v>
      </c>
    </row>
    <row r="37" spans="1:8" ht="19.899999999999999" customHeight="1">
      <c r="A37" s="121">
        <v>46023</v>
      </c>
      <c r="B37" s="112" t="s">
        <v>26</v>
      </c>
      <c r="C37" s="113" t="s">
        <v>821</v>
      </c>
      <c r="D37" s="112" t="s">
        <v>808</v>
      </c>
      <c r="E37" s="122">
        <v>1.631944444444444</v>
      </c>
      <c r="F37" s="112" t="s">
        <v>34</v>
      </c>
      <c r="G37" s="114">
        <v>9</v>
      </c>
      <c r="H37" s="115" t="s">
        <v>45</v>
      </c>
    </row>
    <row r="38" spans="1:8" ht="19.899999999999999" customHeight="1">
      <c r="A38" s="121">
        <v>46023</v>
      </c>
      <c r="B38" s="112" t="s">
        <v>26</v>
      </c>
      <c r="C38" s="113" t="s">
        <v>822</v>
      </c>
      <c r="D38" s="112" t="s">
        <v>808</v>
      </c>
      <c r="E38" s="122">
        <v>1.5590277777777779</v>
      </c>
      <c r="F38" s="112" t="s">
        <v>34</v>
      </c>
      <c r="G38" s="114">
        <v>9</v>
      </c>
      <c r="H38" s="115" t="s">
        <v>45</v>
      </c>
    </row>
    <row r="39" spans="1:8" ht="19.899999999999999" customHeight="1">
      <c r="A39" s="121">
        <v>46023</v>
      </c>
      <c r="B39" s="112" t="s">
        <v>26</v>
      </c>
      <c r="C39" s="113" t="s">
        <v>823</v>
      </c>
      <c r="D39" s="112" t="s">
        <v>808</v>
      </c>
      <c r="E39" s="122">
        <v>1.819444444444444</v>
      </c>
      <c r="F39" s="112" t="s">
        <v>34</v>
      </c>
      <c r="G39" s="114">
        <v>9</v>
      </c>
      <c r="H39" s="115" t="s">
        <v>45</v>
      </c>
    </row>
    <row r="40" spans="1:8" ht="19.899999999999999" customHeight="1">
      <c r="A40" s="121">
        <v>46023</v>
      </c>
      <c r="B40" s="112" t="s">
        <v>26</v>
      </c>
      <c r="C40" s="113" t="s">
        <v>824</v>
      </c>
      <c r="D40" s="112" t="s">
        <v>808</v>
      </c>
      <c r="E40" s="122">
        <v>1.506944444444444</v>
      </c>
      <c r="F40" s="112" t="s">
        <v>34</v>
      </c>
      <c r="G40" s="114">
        <v>9</v>
      </c>
      <c r="H40" s="115" t="s">
        <v>45</v>
      </c>
    </row>
    <row r="41" spans="1:8" ht="19.899999999999999" customHeight="1">
      <c r="A41" s="121">
        <v>46023</v>
      </c>
      <c r="B41" s="112" t="s">
        <v>26</v>
      </c>
      <c r="C41" s="113" t="s">
        <v>825</v>
      </c>
      <c r="D41" s="112" t="s">
        <v>808</v>
      </c>
      <c r="E41" s="122">
        <v>1.697916666666667</v>
      </c>
      <c r="F41" s="112" t="s">
        <v>34</v>
      </c>
      <c r="G41" s="114">
        <v>9</v>
      </c>
      <c r="H41" s="115" t="s">
        <v>45</v>
      </c>
    </row>
    <row r="42" spans="1:8" ht="19.899999999999999" customHeight="1">
      <c r="A42" s="121">
        <v>46023</v>
      </c>
      <c r="B42" s="112" t="s">
        <v>68</v>
      </c>
      <c r="C42" s="113" t="s">
        <v>844</v>
      </c>
      <c r="D42" s="112" t="s">
        <v>808</v>
      </c>
      <c r="E42" s="122">
        <v>1.729166666666667</v>
      </c>
      <c r="F42" s="112" t="s">
        <v>70</v>
      </c>
      <c r="G42" s="114">
        <v>9</v>
      </c>
      <c r="H42" s="115" t="s">
        <v>845</v>
      </c>
    </row>
    <row r="43" spans="1:8" ht="19.899999999999999" customHeight="1">
      <c r="A43" s="121">
        <v>46023</v>
      </c>
      <c r="B43" s="112" t="s">
        <v>48</v>
      </c>
      <c r="C43" s="113" t="s">
        <v>828</v>
      </c>
      <c r="D43" s="112" t="s">
        <v>808</v>
      </c>
      <c r="E43" s="122">
        <v>1.8298611111111109</v>
      </c>
      <c r="F43" s="112" t="s">
        <v>53</v>
      </c>
      <c r="G43" s="114">
        <v>9</v>
      </c>
      <c r="H43" s="115" t="s">
        <v>830</v>
      </c>
    </row>
    <row r="44" spans="1:8" ht="19.899999999999999" customHeight="1">
      <c r="A44" s="121">
        <v>46023</v>
      </c>
      <c r="B44" s="112" t="s">
        <v>48</v>
      </c>
      <c r="C44" s="113" t="s">
        <v>831</v>
      </c>
      <c r="D44" s="112" t="s">
        <v>808</v>
      </c>
      <c r="E44" s="122">
        <v>1.9826388888888891</v>
      </c>
      <c r="F44" s="112" t="s">
        <v>53</v>
      </c>
      <c r="G44" s="114">
        <v>9</v>
      </c>
      <c r="H44" s="115" t="s">
        <v>830</v>
      </c>
    </row>
    <row r="45" spans="1:8" ht="19.899999999999999" customHeight="1">
      <c r="A45" s="121">
        <v>46023</v>
      </c>
      <c r="B45" s="112" t="s">
        <v>48</v>
      </c>
      <c r="C45" s="113" t="s">
        <v>832</v>
      </c>
      <c r="D45" s="112" t="s">
        <v>808</v>
      </c>
      <c r="E45" s="122">
        <v>1.6284722222222221</v>
      </c>
      <c r="F45" s="112" t="s">
        <v>53</v>
      </c>
      <c r="G45" s="114">
        <v>9</v>
      </c>
      <c r="H45" s="115" t="s">
        <v>830</v>
      </c>
    </row>
    <row r="46" spans="1:8" ht="19.899999999999999" customHeight="1">
      <c r="A46" s="121">
        <v>46023</v>
      </c>
      <c r="B46" s="112" t="s">
        <v>26</v>
      </c>
      <c r="C46" s="113" t="s">
        <v>826</v>
      </c>
      <c r="D46" s="112" t="s">
        <v>808</v>
      </c>
      <c r="E46" s="122">
        <v>1.958333333333333</v>
      </c>
      <c r="F46" s="112" t="s">
        <v>34</v>
      </c>
      <c r="G46" s="114">
        <v>8</v>
      </c>
      <c r="H46" s="115" t="s">
        <v>123</v>
      </c>
    </row>
    <row r="47" spans="1:8" ht="19.899999999999999" customHeight="1">
      <c r="A47" s="121">
        <v>46023</v>
      </c>
      <c r="B47" s="112" t="s">
        <v>48</v>
      </c>
      <c r="C47" s="113" t="s">
        <v>833</v>
      </c>
      <c r="D47" s="112" t="s">
        <v>808</v>
      </c>
      <c r="E47" s="122">
        <v>1.444444444444444</v>
      </c>
      <c r="F47" s="112" t="s">
        <v>53</v>
      </c>
      <c r="G47" s="114">
        <v>9</v>
      </c>
      <c r="H47" s="115" t="s">
        <v>834</v>
      </c>
    </row>
    <row r="48" spans="1:8" ht="19.899999999999999" customHeight="1">
      <c r="A48" s="121">
        <v>46023</v>
      </c>
      <c r="B48" s="112" t="s">
        <v>38</v>
      </c>
      <c r="C48" s="113" t="s">
        <v>809</v>
      </c>
      <c r="D48" s="112" t="s">
        <v>808</v>
      </c>
      <c r="E48" s="122">
        <v>1.5763888888888891</v>
      </c>
      <c r="F48" s="112" t="s">
        <v>46</v>
      </c>
      <c r="G48" s="114">
        <v>8</v>
      </c>
      <c r="H48" s="115" t="s">
        <v>810</v>
      </c>
    </row>
    <row r="49" spans="1:8" ht="19.899999999999999" customHeight="1">
      <c r="A49" s="121">
        <v>46023</v>
      </c>
      <c r="B49" s="112" t="s">
        <v>38</v>
      </c>
      <c r="C49" s="113" t="s">
        <v>811</v>
      </c>
      <c r="D49" s="112" t="s">
        <v>808</v>
      </c>
      <c r="E49" s="122">
        <v>1.6284722222222221</v>
      </c>
      <c r="F49" s="112" t="s">
        <v>46</v>
      </c>
      <c r="G49" s="114">
        <v>11</v>
      </c>
      <c r="H49" s="115" t="s">
        <v>810</v>
      </c>
    </row>
    <row r="50" spans="1:8" ht="19.899999999999999" customHeight="1">
      <c r="A50" s="121">
        <v>46023</v>
      </c>
      <c r="B50" s="112" t="s">
        <v>38</v>
      </c>
      <c r="C50" s="113" t="s">
        <v>812</v>
      </c>
      <c r="D50" s="112" t="s">
        <v>808</v>
      </c>
      <c r="E50" s="122">
        <v>1.8888888888888891</v>
      </c>
      <c r="F50" s="112" t="s">
        <v>46</v>
      </c>
      <c r="G50" s="114">
        <v>19</v>
      </c>
      <c r="H50" s="115" t="s">
        <v>810</v>
      </c>
    </row>
    <row r="51" spans="1:8" ht="19.899999999999999" customHeight="1">
      <c r="A51" s="121">
        <v>46023</v>
      </c>
      <c r="B51" s="112" t="s">
        <v>38</v>
      </c>
      <c r="C51" s="113" t="s">
        <v>813</v>
      </c>
      <c r="D51" s="112" t="s">
        <v>808</v>
      </c>
      <c r="E51" s="122">
        <v>1.944444444444444</v>
      </c>
      <c r="F51" s="112" t="s">
        <v>46</v>
      </c>
      <c r="G51" s="114">
        <v>18</v>
      </c>
      <c r="H51" s="115" t="s">
        <v>810</v>
      </c>
    </row>
    <row r="52" spans="1:8" ht="19.899999999999999" customHeight="1">
      <c r="A52" s="121">
        <v>46023</v>
      </c>
      <c r="B52" s="112" t="s">
        <v>48</v>
      </c>
      <c r="C52" s="113" t="s">
        <v>835</v>
      </c>
      <c r="D52" s="112" t="s">
        <v>808</v>
      </c>
      <c r="E52" s="122">
        <v>1.8888888888888891</v>
      </c>
      <c r="F52" s="112" t="s">
        <v>53</v>
      </c>
      <c r="G52" s="114">
        <v>4</v>
      </c>
      <c r="H52" s="115" t="s">
        <v>836</v>
      </c>
    </row>
    <row r="53" spans="1:8" ht="19.899999999999999" customHeight="1">
      <c r="A53" s="121">
        <v>46023</v>
      </c>
      <c r="B53" s="112" t="s">
        <v>48</v>
      </c>
      <c r="C53" s="113" t="s">
        <v>837</v>
      </c>
      <c r="D53" s="112" t="s">
        <v>808</v>
      </c>
      <c r="E53" s="122">
        <v>1.6284722222222221</v>
      </c>
      <c r="F53" s="112" t="s">
        <v>53</v>
      </c>
      <c r="G53" s="114">
        <v>4</v>
      </c>
      <c r="H53" s="115" t="s">
        <v>836</v>
      </c>
    </row>
    <row r="54" spans="1:8" ht="19.899999999999999" customHeight="1">
      <c r="A54" s="123">
        <v>46023</v>
      </c>
      <c r="B54" s="124" t="s">
        <v>48</v>
      </c>
      <c r="C54" s="125" t="s">
        <v>838</v>
      </c>
      <c r="D54" s="124" t="s">
        <v>808</v>
      </c>
      <c r="E54" s="126">
        <v>1.944444444444444</v>
      </c>
      <c r="F54" s="124" t="s">
        <v>53</v>
      </c>
      <c r="G54" s="127">
        <v>4</v>
      </c>
      <c r="H54" s="128" t="s">
        <v>836</v>
      </c>
    </row>
    <row r="55" spans="1:8" ht="19.899999999999999" customHeight="1">
      <c r="A55" s="121">
        <v>46024</v>
      </c>
      <c r="B55" s="112" t="s">
        <v>26</v>
      </c>
      <c r="C55" s="113" t="s">
        <v>820</v>
      </c>
      <c r="D55" s="112" t="s">
        <v>808</v>
      </c>
      <c r="E55" s="122">
        <v>1.4375</v>
      </c>
      <c r="F55" s="112" t="s">
        <v>451</v>
      </c>
      <c r="G55" s="114">
        <v>1</v>
      </c>
      <c r="H55" s="115" t="s">
        <v>88</v>
      </c>
    </row>
    <row r="56" spans="1:8" ht="19.899999999999999" customHeight="1">
      <c r="A56" s="121">
        <v>46024</v>
      </c>
      <c r="B56" s="112" t="s">
        <v>26</v>
      </c>
      <c r="C56" s="113" t="s">
        <v>820</v>
      </c>
      <c r="D56" s="112" t="s">
        <v>808</v>
      </c>
      <c r="E56" s="122">
        <v>1.4375</v>
      </c>
      <c r="F56" s="112" t="s">
        <v>28</v>
      </c>
      <c r="G56" s="114">
        <v>1</v>
      </c>
      <c r="H56" s="115" t="s">
        <v>88</v>
      </c>
    </row>
    <row r="57" spans="1:8" ht="19.899999999999999" customHeight="1">
      <c r="A57" s="121">
        <v>46024</v>
      </c>
      <c r="B57" s="112" t="s">
        <v>26</v>
      </c>
      <c r="C57" s="113" t="s">
        <v>822</v>
      </c>
      <c r="D57" s="112" t="s">
        <v>808</v>
      </c>
      <c r="E57" s="122">
        <v>1.5590277777777779</v>
      </c>
      <c r="F57" s="112" t="s">
        <v>451</v>
      </c>
      <c r="G57" s="114">
        <v>8</v>
      </c>
      <c r="H57" s="115" t="s">
        <v>88</v>
      </c>
    </row>
    <row r="58" spans="1:8" ht="19.899999999999999" customHeight="1">
      <c r="A58" s="121">
        <v>46024</v>
      </c>
      <c r="B58" s="112" t="s">
        <v>26</v>
      </c>
      <c r="C58" s="113" t="s">
        <v>822</v>
      </c>
      <c r="D58" s="112" t="s">
        <v>808</v>
      </c>
      <c r="E58" s="122">
        <v>1.5590277777777779</v>
      </c>
      <c r="F58" s="112" t="s">
        <v>28</v>
      </c>
      <c r="G58" s="114">
        <v>8</v>
      </c>
      <c r="H58" s="115" t="s">
        <v>88</v>
      </c>
    </row>
    <row r="59" spans="1:8" ht="19.899999999999999" customHeight="1">
      <c r="A59" s="121">
        <v>46024</v>
      </c>
      <c r="B59" s="112" t="s">
        <v>26</v>
      </c>
      <c r="C59" s="113" t="s">
        <v>824</v>
      </c>
      <c r="D59" s="112" t="s">
        <v>808</v>
      </c>
      <c r="E59" s="122">
        <v>1.506944444444444</v>
      </c>
      <c r="F59" s="112" t="s">
        <v>451</v>
      </c>
      <c r="G59" s="114">
        <v>4</v>
      </c>
      <c r="H59" s="115" t="s">
        <v>88</v>
      </c>
    </row>
    <row r="60" spans="1:8" ht="19.899999999999999" customHeight="1">
      <c r="A60" s="121">
        <v>46024</v>
      </c>
      <c r="B60" s="112" t="s">
        <v>26</v>
      </c>
      <c r="C60" s="113" t="s">
        <v>824</v>
      </c>
      <c r="D60" s="112" t="s">
        <v>808</v>
      </c>
      <c r="E60" s="122">
        <v>1.506944444444444</v>
      </c>
      <c r="F60" s="112" t="s">
        <v>28</v>
      </c>
      <c r="G60" s="114">
        <v>4</v>
      </c>
      <c r="H60" s="115" t="s">
        <v>88</v>
      </c>
    </row>
    <row r="61" spans="1:8" ht="19.899999999999999" customHeight="1">
      <c r="A61" s="121">
        <v>46024</v>
      </c>
      <c r="B61" s="112" t="s">
        <v>359</v>
      </c>
      <c r="C61" s="113" t="s">
        <v>814</v>
      </c>
      <c r="D61" s="112" t="s">
        <v>808</v>
      </c>
      <c r="E61" s="122">
        <v>1.1875</v>
      </c>
      <c r="F61" s="112" t="s">
        <v>361</v>
      </c>
      <c r="G61" s="114">
        <v>9</v>
      </c>
      <c r="H61" s="115" t="s">
        <v>846</v>
      </c>
    </row>
    <row r="62" spans="1:8" ht="19.899999999999999" customHeight="1">
      <c r="A62" s="121">
        <v>46024</v>
      </c>
      <c r="B62" s="112" t="s">
        <v>38</v>
      </c>
      <c r="C62" s="113" t="s">
        <v>812</v>
      </c>
      <c r="D62" s="112" t="s">
        <v>808</v>
      </c>
      <c r="E62" s="122">
        <v>1.8888888888888891</v>
      </c>
      <c r="F62" s="112" t="s">
        <v>440</v>
      </c>
      <c r="G62" s="114">
        <v>5</v>
      </c>
      <c r="H62" s="115" t="s">
        <v>848</v>
      </c>
    </row>
    <row r="63" spans="1:8" ht="19.899999999999999" customHeight="1">
      <c r="A63" s="121">
        <v>46024</v>
      </c>
      <c r="B63" s="112" t="s">
        <v>38</v>
      </c>
      <c r="C63" s="113" t="s">
        <v>812</v>
      </c>
      <c r="D63" s="112" t="s">
        <v>808</v>
      </c>
      <c r="E63" s="122">
        <v>1.8888888888888891</v>
      </c>
      <c r="F63" s="112" t="s">
        <v>40</v>
      </c>
      <c r="G63" s="114">
        <v>5</v>
      </c>
      <c r="H63" s="115" t="s">
        <v>848</v>
      </c>
    </row>
    <row r="64" spans="1:8" ht="19.899999999999999" customHeight="1">
      <c r="A64" s="121">
        <v>46024</v>
      </c>
      <c r="B64" s="112" t="s">
        <v>38</v>
      </c>
      <c r="C64" s="113" t="s">
        <v>813</v>
      </c>
      <c r="D64" s="112" t="s">
        <v>808</v>
      </c>
      <c r="E64" s="122">
        <v>1.944444444444444</v>
      </c>
      <c r="F64" s="112" t="s">
        <v>440</v>
      </c>
      <c r="G64" s="114">
        <v>14</v>
      </c>
      <c r="H64" s="115" t="s">
        <v>848</v>
      </c>
    </row>
    <row r="65" spans="1:8" ht="19.899999999999999" customHeight="1">
      <c r="A65" s="121">
        <v>46024</v>
      </c>
      <c r="B65" s="112" t="s">
        <v>38</v>
      </c>
      <c r="C65" s="113" t="s">
        <v>813</v>
      </c>
      <c r="D65" s="112" t="s">
        <v>808</v>
      </c>
      <c r="E65" s="122">
        <v>1.944444444444444</v>
      </c>
      <c r="F65" s="112" t="s">
        <v>40</v>
      </c>
      <c r="G65" s="114">
        <v>14</v>
      </c>
      <c r="H65" s="115" t="s">
        <v>848</v>
      </c>
    </row>
    <row r="66" spans="1:8" ht="19.899999999999999" customHeight="1">
      <c r="A66" s="129">
        <v>46024</v>
      </c>
      <c r="B66" s="117" t="s">
        <v>61</v>
      </c>
      <c r="C66" s="118" t="s">
        <v>816</v>
      </c>
      <c r="D66" s="117" t="s">
        <v>808</v>
      </c>
      <c r="E66" s="130">
        <v>1.40625</v>
      </c>
      <c r="F66" s="117" t="s">
        <v>63</v>
      </c>
      <c r="G66" s="119">
        <v>8</v>
      </c>
      <c r="H66" s="120" t="s">
        <v>849</v>
      </c>
    </row>
    <row r="67" spans="1:8" ht="19.899999999999999" customHeight="1">
      <c r="A67" s="129">
        <v>46024</v>
      </c>
      <c r="B67" s="117" t="s">
        <v>61</v>
      </c>
      <c r="C67" s="118" t="s">
        <v>852</v>
      </c>
      <c r="D67" s="117" t="s">
        <v>808</v>
      </c>
      <c r="E67" s="130">
        <v>1.725694444444444</v>
      </c>
      <c r="F67" s="117" t="s">
        <v>63</v>
      </c>
      <c r="G67" s="119">
        <v>7</v>
      </c>
      <c r="H67" s="120" t="s">
        <v>853</v>
      </c>
    </row>
    <row r="68" spans="1:8" ht="19.899999999999999" customHeight="1">
      <c r="A68" s="121">
        <v>46024</v>
      </c>
      <c r="B68" s="112" t="s">
        <v>38</v>
      </c>
      <c r="C68" s="113" t="s">
        <v>809</v>
      </c>
      <c r="D68" s="112" t="s">
        <v>808</v>
      </c>
      <c r="E68" s="122">
        <v>1.5763888888888891</v>
      </c>
      <c r="F68" s="112" t="s">
        <v>440</v>
      </c>
      <c r="G68" s="114">
        <v>11</v>
      </c>
      <c r="H68" s="115" t="s">
        <v>42</v>
      </c>
    </row>
    <row r="69" spans="1:8" ht="19.899999999999999" customHeight="1">
      <c r="A69" s="121">
        <v>46024</v>
      </c>
      <c r="B69" s="112" t="s">
        <v>38</v>
      </c>
      <c r="C69" s="113" t="s">
        <v>809</v>
      </c>
      <c r="D69" s="112" t="s">
        <v>808</v>
      </c>
      <c r="E69" s="122">
        <v>1.5763888888888891</v>
      </c>
      <c r="F69" s="112" t="s">
        <v>40</v>
      </c>
      <c r="G69" s="114">
        <v>11</v>
      </c>
      <c r="H69" s="115" t="s">
        <v>42</v>
      </c>
    </row>
    <row r="70" spans="1:8" ht="19.899999999999999" customHeight="1">
      <c r="A70" s="121">
        <v>46024</v>
      </c>
      <c r="B70" s="112" t="s">
        <v>26</v>
      </c>
      <c r="C70" s="113" t="s">
        <v>826</v>
      </c>
      <c r="D70" s="112" t="s">
        <v>808</v>
      </c>
      <c r="E70" s="122">
        <v>1.958333333333333</v>
      </c>
      <c r="F70" s="112" t="s">
        <v>451</v>
      </c>
      <c r="G70" s="114">
        <v>9</v>
      </c>
      <c r="H70" s="115" t="s">
        <v>827</v>
      </c>
    </row>
    <row r="71" spans="1:8" ht="19.899999999999999" customHeight="1">
      <c r="A71" s="121">
        <v>46024</v>
      </c>
      <c r="B71" s="112" t="s">
        <v>26</v>
      </c>
      <c r="C71" s="113" t="s">
        <v>826</v>
      </c>
      <c r="D71" s="112" t="s">
        <v>808</v>
      </c>
      <c r="E71" s="122">
        <v>1.958333333333333</v>
      </c>
      <c r="F71" s="112" t="s">
        <v>28</v>
      </c>
      <c r="G71" s="114">
        <v>9</v>
      </c>
      <c r="H71" s="115" t="s">
        <v>827</v>
      </c>
    </row>
    <row r="72" spans="1:8" ht="19.899999999999999" customHeight="1">
      <c r="A72" s="121">
        <v>46024</v>
      </c>
      <c r="B72" s="112" t="s">
        <v>26</v>
      </c>
      <c r="C72" s="113" t="s">
        <v>823</v>
      </c>
      <c r="D72" s="112" t="s">
        <v>808</v>
      </c>
      <c r="E72" s="122">
        <v>1.819444444444444</v>
      </c>
      <c r="F72" s="112" t="s">
        <v>451</v>
      </c>
      <c r="G72" s="114">
        <v>9</v>
      </c>
      <c r="H72" s="115" t="s">
        <v>827</v>
      </c>
    </row>
    <row r="73" spans="1:8" ht="19.899999999999999" customHeight="1">
      <c r="A73" s="121">
        <v>46024</v>
      </c>
      <c r="B73" s="112" t="s">
        <v>26</v>
      </c>
      <c r="C73" s="113" t="s">
        <v>823</v>
      </c>
      <c r="D73" s="112" t="s">
        <v>808</v>
      </c>
      <c r="E73" s="122">
        <v>1.819444444444444</v>
      </c>
      <c r="F73" s="112" t="s">
        <v>28</v>
      </c>
      <c r="G73" s="114">
        <v>9</v>
      </c>
      <c r="H73" s="115" t="s">
        <v>827</v>
      </c>
    </row>
    <row r="74" spans="1:8" ht="19.899999999999999" customHeight="1">
      <c r="A74" s="121">
        <v>46024</v>
      </c>
      <c r="B74" s="112" t="s">
        <v>402</v>
      </c>
      <c r="C74" s="113" t="s">
        <v>839</v>
      </c>
      <c r="D74" s="112" t="s">
        <v>808</v>
      </c>
      <c r="E74" s="122">
        <v>1.211805555555556</v>
      </c>
      <c r="F74" s="112" t="s">
        <v>63</v>
      </c>
      <c r="G74" s="114">
        <v>1</v>
      </c>
      <c r="H74" s="115" t="s">
        <v>856</v>
      </c>
    </row>
    <row r="75" spans="1:8" ht="19.899999999999999" customHeight="1">
      <c r="A75" s="121">
        <v>46024</v>
      </c>
      <c r="B75" s="112" t="s">
        <v>26</v>
      </c>
      <c r="C75" s="113" t="s">
        <v>820</v>
      </c>
      <c r="D75" s="112" t="s">
        <v>808</v>
      </c>
      <c r="E75" s="122">
        <v>1.4375</v>
      </c>
      <c r="F75" s="112" t="s">
        <v>31</v>
      </c>
      <c r="G75" s="114">
        <v>1</v>
      </c>
      <c r="H75" s="115" t="s">
        <v>347</v>
      </c>
    </row>
    <row r="76" spans="1:8" ht="19.899999999999999" customHeight="1">
      <c r="A76" s="121">
        <v>46024</v>
      </c>
      <c r="B76" s="112" t="s">
        <v>26</v>
      </c>
      <c r="C76" s="113" t="s">
        <v>822</v>
      </c>
      <c r="D76" s="112" t="s">
        <v>808</v>
      </c>
      <c r="E76" s="122">
        <v>1.5590277777777779</v>
      </c>
      <c r="F76" s="112" t="s">
        <v>31</v>
      </c>
      <c r="G76" s="114">
        <v>8</v>
      </c>
      <c r="H76" s="115" t="s">
        <v>347</v>
      </c>
    </row>
    <row r="77" spans="1:8" ht="19.899999999999999" customHeight="1">
      <c r="A77" s="121">
        <v>46024</v>
      </c>
      <c r="B77" s="112" t="s">
        <v>26</v>
      </c>
      <c r="C77" s="113" t="s">
        <v>824</v>
      </c>
      <c r="D77" s="112" t="s">
        <v>808</v>
      </c>
      <c r="E77" s="122">
        <v>1.506944444444444</v>
      </c>
      <c r="F77" s="112" t="s">
        <v>31</v>
      </c>
      <c r="G77" s="114">
        <v>4</v>
      </c>
      <c r="H77" s="115" t="s">
        <v>347</v>
      </c>
    </row>
    <row r="78" spans="1:8" ht="19.899999999999999" customHeight="1">
      <c r="A78" s="121">
        <v>46024</v>
      </c>
      <c r="B78" s="112" t="s">
        <v>26</v>
      </c>
      <c r="C78" s="113" t="s">
        <v>821</v>
      </c>
      <c r="D78" s="112" t="s">
        <v>808</v>
      </c>
      <c r="E78" s="122">
        <v>1.631944444444444</v>
      </c>
      <c r="F78" s="112" t="s">
        <v>451</v>
      </c>
      <c r="G78" s="114">
        <v>7</v>
      </c>
      <c r="H78" s="115" t="s">
        <v>83</v>
      </c>
    </row>
    <row r="79" spans="1:8" ht="19.899999999999999" customHeight="1">
      <c r="A79" s="121">
        <v>46024</v>
      </c>
      <c r="B79" s="112" t="s">
        <v>26</v>
      </c>
      <c r="C79" s="113" t="s">
        <v>821</v>
      </c>
      <c r="D79" s="112" t="s">
        <v>808</v>
      </c>
      <c r="E79" s="122">
        <v>1.631944444444444</v>
      </c>
      <c r="F79" s="112" t="s">
        <v>28</v>
      </c>
      <c r="G79" s="114">
        <v>7</v>
      </c>
      <c r="H79" s="115" t="s">
        <v>83</v>
      </c>
    </row>
    <row r="80" spans="1:8" ht="19.899999999999999" customHeight="1">
      <c r="A80" s="121">
        <v>46024</v>
      </c>
      <c r="B80" s="112" t="s">
        <v>26</v>
      </c>
      <c r="C80" s="113" t="s">
        <v>825</v>
      </c>
      <c r="D80" s="112" t="s">
        <v>808</v>
      </c>
      <c r="E80" s="122">
        <v>1.697916666666667</v>
      </c>
      <c r="F80" s="112" t="s">
        <v>451</v>
      </c>
      <c r="G80" s="114">
        <v>9</v>
      </c>
      <c r="H80" s="115" t="s">
        <v>83</v>
      </c>
    </row>
    <row r="81" spans="1:8" ht="19.899999999999999" customHeight="1">
      <c r="A81" s="121">
        <v>46024</v>
      </c>
      <c r="B81" s="112" t="s">
        <v>26</v>
      </c>
      <c r="C81" s="113" t="s">
        <v>825</v>
      </c>
      <c r="D81" s="112" t="s">
        <v>808</v>
      </c>
      <c r="E81" s="122">
        <v>1.697916666666667</v>
      </c>
      <c r="F81" s="112" t="s">
        <v>28</v>
      </c>
      <c r="G81" s="114">
        <v>9</v>
      </c>
      <c r="H81" s="115" t="s">
        <v>83</v>
      </c>
    </row>
    <row r="82" spans="1:8" ht="19.899999999999999" customHeight="1">
      <c r="A82" s="121">
        <v>46024</v>
      </c>
      <c r="B82" s="112" t="s">
        <v>68</v>
      </c>
      <c r="C82" s="113" t="s">
        <v>843</v>
      </c>
      <c r="D82" s="112" t="s">
        <v>808</v>
      </c>
      <c r="E82" s="122">
        <v>1.354166666666667</v>
      </c>
      <c r="F82" s="112" t="s">
        <v>70</v>
      </c>
      <c r="G82" s="114">
        <v>2</v>
      </c>
      <c r="H82" s="115" t="s">
        <v>404</v>
      </c>
    </row>
    <row r="83" spans="1:8" ht="19.899999999999999" customHeight="1">
      <c r="A83" s="121">
        <v>46024</v>
      </c>
      <c r="B83" s="112" t="s">
        <v>26</v>
      </c>
      <c r="C83" s="113" t="s">
        <v>820</v>
      </c>
      <c r="D83" s="112" t="s">
        <v>808</v>
      </c>
      <c r="E83" s="122">
        <v>1.4375</v>
      </c>
      <c r="F83" s="112" t="s">
        <v>34</v>
      </c>
      <c r="G83" s="114">
        <v>1</v>
      </c>
      <c r="H83" s="115" t="s">
        <v>161</v>
      </c>
    </row>
    <row r="84" spans="1:8" ht="19.899999999999999" customHeight="1">
      <c r="A84" s="121">
        <v>46024</v>
      </c>
      <c r="B84" s="112" t="s">
        <v>26</v>
      </c>
      <c r="C84" s="113" t="s">
        <v>826</v>
      </c>
      <c r="D84" s="112" t="s">
        <v>808</v>
      </c>
      <c r="E84" s="122">
        <v>1.958333333333333</v>
      </c>
      <c r="F84" s="112" t="s">
        <v>31</v>
      </c>
      <c r="G84" s="114">
        <v>9</v>
      </c>
      <c r="H84" s="115" t="s">
        <v>161</v>
      </c>
    </row>
    <row r="85" spans="1:8" ht="19.899999999999999" customHeight="1">
      <c r="A85" s="121">
        <v>46024</v>
      </c>
      <c r="B85" s="112" t="s">
        <v>26</v>
      </c>
      <c r="C85" s="113" t="s">
        <v>822</v>
      </c>
      <c r="D85" s="112" t="s">
        <v>808</v>
      </c>
      <c r="E85" s="122">
        <v>1.5590277777777779</v>
      </c>
      <c r="F85" s="112" t="s">
        <v>34</v>
      </c>
      <c r="G85" s="114">
        <v>8</v>
      </c>
      <c r="H85" s="115" t="s">
        <v>161</v>
      </c>
    </row>
    <row r="86" spans="1:8" ht="19.899999999999999" customHeight="1">
      <c r="A86" s="121">
        <v>46024</v>
      </c>
      <c r="B86" s="112" t="s">
        <v>26</v>
      </c>
      <c r="C86" s="113" t="s">
        <v>823</v>
      </c>
      <c r="D86" s="112" t="s">
        <v>808</v>
      </c>
      <c r="E86" s="122">
        <v>1.819444444444444</v>
      </c>
      <c r="F86" s="112" t="s">
        <v>31</v>
      </c>
      <c r="G86" s="114">
        <v>9</v>
      </c>
      <c r="H86" s="115" t="s">
        <v>161</v>
      </c>
    </row>
    <row r="87" spans="1:8" ht="19.899999999999999" customHeight="1">
      <c r="A87" s="121">
        <v>46024</v>
      </c>
      <c r="B87" s="112" t="s">
        <v>26</v>
      </c>
      <c r="C87" s="113" t="s">
        <v>824</v>
      </c>
      <c r="D87" s="112" t="s">
        <v>808</v>
      </c>
      <c r="E87" s="122">
        <v>1.506944444444444</v>
      </c>
      <c r="F87" s="112" t="s">
        <v>34</v>
      </c>
      <c r="G87" s="114">
        <v>4</v>
      </c>
      <c r="H87" s="115" t="s">
        <v>161</v>
      </c>
    </row>
    <row r="88" spans="1:8" ht="19.899999999999999" customHeight="1">
      <c r="A88" s="121">
        <v>46024</v>
      </c>
      <c r="B88" s="112" t="s">
        <v>38</v>
      </c>
      <c r="C88" s="113" t="s">
        <v>812</v>
      </c>
      <c r="D88" s="112" t="s">
        <v>808</v>
      </c>
      <c r="E88" s="122">
        <v>1.8888888888888891</v>
      </c>
      <c r="F88" s="112" t="s">
        <v>43</v>
      </c>
      <c r="G88" s="114">
        <v>5</v>
      </c>
      <c r="H88" s="115" t="s">
        <v>426</v>
      </c>
    </row>
    <row r="89" spans="1:8" ht="19.899999999999999" customHeight="1">
      <c r="A89" s="121">
        <v>46024</v>
      </c>
      <c r="B89" s="112" t="s">
        <v>38</v>
      </c>
      <c r="C89" s="113" t="s">
        <v>813</v>
      </c>
      <c r="D89" s="112" t="s">
        <v>808</v>
      </c>
      <c r="E89" s="122">
        <v>1.944444444444444</v>
      </c>
      <c r="F89" s="112" t="s">
        <v>43</v>
      </c>
      <c r="G89" s="114">
        <v>14</v>
      </c>
      <c r="H89" s="115" t="s">
        <v>426</v>
      </c>
    </row>
    <row r="90" spans="1:8" ht="19.899999999999999" customHeight="1">
      <c r="A90" s="121">
        <v>46024</v>
      </c>
      <c r="B90" s="112" t="s">
        <v>38</v>
      </c>
      <c r="C90" s="113" t="s">
        <v>809</v>
      </c>
      <c r="D90" s="112" t="s">
        <v>808</v>
      </c>
      <c r="E90" s="122">
        <v>1.5763888888888891</v>
      </c>
      <c r="F90" s="112" t="s">
        <v>43</v>
      </c>
      <c r="G90" s="114">
        <v>11</v>
      </c>
      <c r="H90" s="115" t="s">
        <v>45</v>
      </c>
    </row>
    <row r="91" spans="1:8" ht="19.899999999999999" customHeight="1">
      <c r="A91" s="121">
        <v>46024</v>
      </c>
      <c r="B91" s="112" t="s">
        <v>38</v>
      </c>
      <c r="C91" s="113" t="s">
        <v>811</v>
      </c>
      <c r="D91" s="112" t="s">
        <v>808</v>
      </c>
      <c r="E91" s="122">
        <v>1.6284722222222221</v>
      </c>
      <c r="F91" s="112" t="s">
        <v>440</v>
      </c>
      <c r="G91" s="114">
        <v>16</v>
      </c>
      <c r="H91" s="115" t="s">
        <v>45</v>
      </c>
    </row>
    <row r="92" spans="1:8" ht="19.899999999999999" customHeight="1">
      <c r="A92" s="121">
        <v>46024</v>
      </c>
      <c r="B92" s="112" t="s">
        <v>38</v>
      </c>
      <c r="C92" s="113" t="s">
        <v>811</v>
      </c>
      <c r="D92" s="112" t="s">
        <v>808</v>
      </c>
      <c r="E92" s="122">
        <v>1.6284722222222221</v>
      </c>
      <c r="F92" s="112" t="s">
        <v>40</v>
      </c>
      <c r="G92" s="114">
        <v>16</v>
      </c>
      <c r="H92" s="115" t="s">
        <v>45</v>
      </c>
    </row>
    <row r="93" spans="1:8" ht="19.899999999999999" customHeight="1">
      <c r="A93" s="121">
        <v>46024</v>
      </c>
      <c r="B93" s="112" t="s">
        <v>26</v>
      </c>
      <c r="C93" s="113" t="s">
        <v>821</v>
      </c>
      <c r="D93" s="112" t="s">
        <v>808</v>
      </c>
      <c r="E93" s="122">
        <v>1.631944444444444</v>
      </c>
      <c r="F93" s="112" t="s">
        <v>31</v>
      </c>
      <c r="G93" s="114">
        <v>7</v>
      </c>
      <c r="H93" s="115" t="s">
        <v>159</v>
      </c>
    </row>
    <row r="94" spans="1:8" ht="19.899999999999999" customHeight="1">
      <c r="A94" s="121">
        <v>46024</v>
      </c>
      <c r="B94" s="112" t="s">
        <v>26</v>
      </c>
      <c r="C94" s="113" t="s">
        <v>825</v>
      </c>
      <c r="D94" s="112" t="s">
        <v>808</v>
      </c>
      <c r="E94" s="122">
        <v>1.697916666666667</v>
      </c>
      <c r="F94" s="112" t="s">
        <v>31</v>
      </c>
      <c r="G94" s="114">
        <v>9</v>
      </c>
      <c r="H94" s="115" t="s">
        <v>159</v>
      </c>
    </row>
    <row r="95" spans="1:8" ht="19.899999999999999" customHeight="1">
      <c r="A95" s="121">
        <v>46024</v>
      </c>
      <c r="B95" s="112" t="s">
        <v>359</v>
      </c>
      <c r="C95" s="113" t="s">
        <v>814</v>
      </c>
      <c r="D95" s="112" t="s">
        <v>808</v>
      </c>
      <c r="E95" s="122">
        <v>1.1875</v>
      </c>
      <c r="F95" s="112" t="s">
        <v>46</v>
      </c>
      <c r="G95" s="114">
        <v>9</v>
      </c>
      <c r="H95" s="115" t="s">
        <v>847</v>
      </c>
    </row>
    <row r="96" spans="1:8" ht="19.899999999999999" customHeight="1">
      <c r="A96" s="121">
        <v>46024</v>
      </c>
      <c r="B96" s="112" t="s">
        <v>26</v>
      </c>
      <c r="C96" s="113" t="s">
        <v>826</v>
      </c>
      <c r="D96" s="112" t="s">
        <v>808</v>
      </c>
      <c r="E96" s="122">
        <v>1.958333333333333</v>
      </c>
      <c r="F96" s="112" t="s">
        <v>34</v>
      </c>
      <c r="G96" s="114">
        <v>9</v>
      </c>
      <c r="H96" s="115" t="s">
        <v>123</v>
      </c>
    </row>
    <row r="97" spans="1:8" ht="19.899999999999999" customHeight="1">
      <c r="A97" s="121">
        <v>46024</v>
      </c>
      <c r="B97" s="112" t="s">
        <v>26</v>
      </c>
      <c r="C97" s="113" t="s">
        <v>823</v>
      </c>
      <c r="D97" s="112" t="s">
        <v>808</v>
      </c>
      <c r="E97" s="122">
        <v>1.819444444444444</v>
      </c>
      <c r="F97" s="112" t="s">
        <v>34</v>
      </c>
      <c r="G97" s="114">
        <v>9</v>
      </c>
      <c r="H97" s="115" t="s">
        <v>123</v>
      </c>
    </row>
    <row r="98" spans="1:8" ht="19.899999999999999" customHeight="1">
      <c r="A98" s="121">
        <v>46024</v>
      </c>
      <c r="B98" s="112" t="s">
        <v>68</v>
      </c>
      <c r="C98" s="113" t="s">
        <v>842</v>
      </c>
      <c r="D98" s="112" t="s">
        <v>808</v>
      </c>
      <c r="E98" s="122">
        <v>1.9826388888888891</v>
      </c>
      <c r="F98" s="112" t="s">
        <v>70</v>
      </c>
      <c r="G98" s="114">
        <v>9</v>
      </c>
      <c r="H98" s="115" t="s">
        <v>857</v>
      </c>
    </row>
    <row r="99" spans="1:8" ht="19.899999999999999" customHeight="1">
      <c r="A99" s="121">
        <v>46024</v>
      </c>
      <c r="B99" s="112" t="s">
        <v>26</v>
      </c>
      <c r="C99" s="113" t="s">
        <v>821</v>
      </c>
      <c r="D99" s="112" t="s">
        <v>808</v>
      </c>
      <c r="E99" s="122">
        <v>1.631944444444444</v>
      </c>
      <c r="F99" s="112" t="s">
        <v>34</v>
      </c>
      <c r="G99" s="114">
        <v>7</v>
      </c>
      <c r="H99" s="115" t="s">
        <v>355</v>
      </c>
    </row>
    <row r="100" spans="1:8" ht="19.899999999999999" customHeight="1">
      <c r="A100" s="121">
        <v>46024</v>
      </c>
      <c r="B100" s="112" t="s">
        <v>26</v>
      </c>
      <c r="C100" s="113" t="s">
        <v>825</v>
      </c>
      <c r="D100" s="112" t="s">
        <v>808</v>
      </c>
      <c r="E100" s="122">
        <v>1.697916666666667</v>
      </c>
      <c r="F100" s="112" t="s">
        <v>34</v>
      </c>
      <c r="G100" s="114">
        <v>9</v>
      </c>
      <c r="H100" s="115" t="s">
        <v>355</v>
      </c>
    </row>
    <row r="101" spans="1:8" ht="19.899999999999999" customHeight="1">
      <c r="A101" s="121">
        <v>46024</v>
      </c>
      <c r="B101" s="112" t="s">
        <v>68</v>
      </c>
      <c r="C101" s="113" t="s">
        <v>844</v>
      </c>
      <c r="D101" s="112" t="s">
        <v>808</v>
      </c>
      <c r="E101" s="122">
        <v>1.729166666666667</v>
      </c>
      <c r="F101" s="112" t="s">
        <v>70</v>
      </c>
      <c r="G101" s="114">
        <v>9</v>
      </c>
      <c r="H101" s="115" t="s">
        <v>858</v>
      </c>
    </row>
    <row r="102" spans="1:8" ht="19.899999999999999" customHeight="1">
      <c r="A102" s="121">
        <v>46024</v>
      </c>
      <c r="B102" s="112" t="s">
        <v>38</v>
      </c>
      <c r="C102" s="113" t="s">
        <v>811</v>
      </c>
      <c r="D102" s="112" t="s">
        <v>808</v>
      </c>
      <c r="E102" s="122">
        <v>1.6284722222222221</v>
      </c>
      <c r="F102" s="112" t="s">
        <v>43</v>
      </c>
      <c r="G102" s="114">
        <v>16</v>
      </c>
      <c r="H102" s="115" t="s">
        <v>163</v>
      </c>
    </row>
    <row r="103" spans="1:8" ht="19.899999999999999" customHeight="1">
      <c r="A103" s="121">
        <v>46024</v>
      </c>
      <c r="B103" s="112" t="s">
        <v>38</v>
      </c>
      <c r="C103" s="113" t="s">
        <v>809</v>
      </c>
      <c r="D103" s="112" t="s">
        <v>808</v>
      </c>
      <c r="E103" s="122">
        <v>1.5763888888888891</v>
      </c>
      <c r="F103" s="112" t="s">
        <v>46</v>
      </c>
      <c r="G103" s="114">
        <v>11</v>
      </c>
      <c r="H103" s="115" t="s">
        <v>810</v>
      </c>
    </row>
    <row r="104" spans="1:8" ht="19.899999999999999" customHeight="1">
      <c r="A104" s="121">
        <v>46024</v>
      </c>
      <c r="B104" s="112" t="s">
        <v>38</v>
      </c>
      <c r="C104" s="113" t="s">
        <v>811</v>
      </c>
      <c r="D104" s="112" t="s">
        <v>808</v>
      </c>
      <c r="E104" s="122">
        <v>1.6284722222222221</v>
      </c>
      <c r="F104" s="112" t="s">
        <v>46</v>
      </c>
      <c r="G104" s="114">
        <v>16</v>
      </c>
      <c r="H104" s="115" t="s">
        <v>810</v>
      </c>
    </row>
    <row r="105" spans="1:8" ht="19.899999999999999" customHeight="1">
      <c r="A105" s="121">
        <v>46024</v>
      </c>
      <c r="B105" s="112" t="s">
        <v>38</v>
      </c>
      <c r="C105" s="113" t="s">
        <v>812</v>
      </c>
      <c r="D105" s="112" t="s">
        <v>808</v>
      </c>
      <c r="E105" s="122">
        <v>1.8888888888888891</v>
      </c>
      <c r="F105" s="112" t="s">
        <v>46</v>
      </c>
      <c r="G105" s="114">
        <v>5</v>
      </c>
      <c r="H105" s="115" t="s">
        <v>810</v>
      </c>
    </row>
    <row r="106" spans="1:8" ht="19.899999999999999" customHeight="1">
      <c r="A106" s="121">
        <v>46024</v>
      </c>
      <c r="B106" s="112" t="s">
        <v>38</v>
      </c>
      <c r="C106" s="113" t="s">
        <v>813</v>
      </c>
      <c r="D106" s="112" t="s">
        <v>808</v>
      </c>
      <c r="E106" s="122">
        <v>1.944444444444444</v>
      </c>
      <c r="F106" s="112" t="s">
        <v>46</v>
      </c>
      <c r="G106" s="114">
        <v>14</v>
      </c>
      <c r="H106" s="115" t="s">
        <v>810</v>
      </c>
    </row>
    <row r="107" spans="1:8" ht="19.899999999999999" customHeight="1">
      <c r="A107" s="121">
        <v>46024</v>
      </c>
      <c r="B107" s="112" t="s">
        <v>48</v>
      </c>
      <c r="C107" s="113" t="s">
        <v>838</v>
      </c>
      <c r="D107" s="112" t="s">
        <v>808</v>
      </c>
      <c r="E107" s="122">
        <v>1.944444444444444</v>
      </c>
      <c r="F107" s="112" t="s">
        <v>70</v>
      </c>
      <c r="G107" s="114">
        <v>4</v>
      </c>
      <c r="H107" s="115" t="s">
        <v>836</v>
      </c>
    </row>
    <row r="108" spans="1:8" ht="19.899999999999999" customHeight="1">
      <c r="A108" s="121">
        <v>46024</v>
      </c>
      <c r="B108" s="112" t="s">
        <v>48</v>
      </c>
      <c r="C108" s="113" t="s">
        <v>838</v>
      </c>
      <c r="D108" s="112" t="s">
        <v>808</v>
      </c>
      <c r="E108" s="122">
        <v>1.944444444444444</v>
      </c>
      <c r="F108" s="112" t="s">
        <v>53</v>
      </c>
      <c r="G108" s="114">
        <v>4</v>
      </c>
      <c r="H108" s="115" t="s">
        <v>836</v>
      </c>
    </row>
    <row r="109" spans="1:8" ht="19.899999999999999" customHeight="1">
      <c r="A109" s="121">
        <v>46024</v>
      </c>
      <c r="B109" s="112" t="s">
        <v>48</v>
      </c>
      <c r="C109" s="113" t="s">
        <v>835</v>
      </c>
      <c r="D109" s="112" t="s">
        <v>808</v>
      </c>
      <c r="E109" s="122">
        <v>1.8888888888888891</v>
      </c>
      <c r="F109" s="112" t="s">
        <v>70</v>
      </c>
      <c r="G109" s="114">
        <v>4</v>
      </c>
      <c r="H109" s="115" t="s">
        <v>859</v>
      </c>
    </row>
    <row r="110" spans="1:8" ht="19.899999999999999" customHeight="1">
      <c r="A110" s="121">
        <v>46024</v>
      </c>
      <c r="B110" s="112" t="s">
        <v>48</v>
      </c>
      <c r="C110" s="113" t="s">
        <v>835</v>
      </c>
      <c r="D110" s="112" t="s">
        <v>808</v>
      </c>
      <c r="E110" s="122">
        <v>1.8888888888888891</v>
      </c>
      <c r="F110" s="112" t="s">
        <v>53</v>
      </c>
      <c r="G110" s="114">
        <v>4</v>
      </c>
      <c r="H110" s="115" t="s">
        <v>859</v>
      </c>
    </row>
    <row r="111" spans="1:8" ht="19.899999999999999" customHeight="1">
      <c r="A111" s="121">
        <v>46024</v>
      </c>
      <c r="B111" s="112" t="s">
        <v>48</v>
      </c>
      <c r="C111" s="113" t="s">
        <v>833</v>
      </c>
      <c r="D111" s="112" t="s">
        <v>808</v>
      </c>
      <c r="E111" s="122">
        <v>1.444444444444444</v>
      </c>
      <c r="F111" s="112" t="s">
        <v>70</v>
      </c>
      <c r="G111" s="114">
        <v>9</v>
      </c>
      <c r="H111" s="115" t="s">
        <v>860</v>
      </c>
    </row>
    <row r="112" spans="1:8" ht="19.899999999999999" customHeight="1">
      <c r="A112" s="121">
        <v>46024</v>
      </c>
      <c r="B112" s="112" t="s">
        <v>48</v>
      </c>
      <c r="C112" s="113" t="s">
        <v>833</v>
      </c>
      <c r="D112" s="112" t="s">
        <v>808</v>
      </c>
      <c r="E112" s="122">
        <v>1.444444444444444</v>
      </c>
      <c r="F112" s="112" t="s">
        <v>53</v>
      </c>
      <c r="G112" s="114">
        <v>9</v>
      </c>
      <c r="H112" s="115" t="s">
        <v>860</v>
      </c>
    </row>
    <row r="113" spans="1:8" ht="19.899999999999999" customHeight="1">
      <c r="A113" s="121">
        <v>46024</v>
      </c>
      <c r="B113" s="112" t="s">
        <v>48</v>
      </c>
      <c r="C113" s="113" t="s">
        <v>828</v>
      </c>
      <c r="D113" s="112" t="s">
        <v>808</v>
      </c>
      <c r="E113" s="122">
        <v>1.8298611111111109</v>
      </c>
      <c r="F113" s="112" t="s">
        <v>70</v>
      </c>
      <c r="G113" s="114">
        <v>9</v>
      </c>
      <c r="H113" s="115" t="s">
        <v>860</v>
      </c>
    </row>
    <row r="114" spans="1:8" ht="19.899999999999999" customHeight="1">
      <c r="A114" s="121">
        <v>46024</v>
      </c>
      <c r="B114" s="112" t="s">
        <v>48</v>
      </c>
      <c r="C114" s="113" t="s">
        <v>828</v>
      </c>
      <c r="D114" s="112" t="s">
        <v>808</v>
      </c>
      <c r="E114" s="122">
        <v>1.8298611111111109</v>
      </c>
      <c r="F114" s="112" t="s">
        <v>53</v>
      </c>
      <c r="G114" s="114">
        <v>9</v>
      </c>
      <c r="H114" s="115" t="s">
        <v>860</v>
      </c>
    </row>
    <row r="115" spans="1:8" ht="19.899999999999999" customHeight="1">
      <c r="A115" s="121">
        <v>46024</v>
      </c>
      <c r="B115" s="112" t="s">
        <v>48</v>
      </c>
      <c r="C115" s="113" t="s">
        <v>831</v>
      </c>
      <c r="D115" s="112" t="s">
        <v>808</v>
      </c>
      <c r="E115" s="122">
        <v>1.9826388888888891</v>
      </c>
      <c r="F115" s="112" t="s">
        <v>70</v>
      </c>
      <c r="G115" s="114">
        <v>9</v>
      </c>
      <c r="H115" s="115" t="s">
        <v>860</v>
      </c>
    </row>
    <row r="116" spans="1:8" ht="19.899999999999999" customHeight="1">
      <c r="A116" s="121">
        <v>46024</v>
      </c>
      <c r="B116" s="112" t="s">
        <v>48</v>
      </c>
      <c r="C116" s="113" t="s">
        <v>831</v>
      </c>
      <c r="D116" s="112" t="s">
        <v>808</v>
      </c>
      <c r="E116" s="122">
        <v>1.9826388888888891</v>
      </c>
      <c r="F116" s="112" t="s">
        <v>53</v>
      </c>
      <c r="G116" s="114">
        <v>9</v>
      </c>
      <c r="H116" s="115" t="s">
        <v>860</v>
      </c>
    </row>
    <row r="117" spans="1:8" ht="19.899999999999999" customHeight="1">
      <c r="A117" s="121">
        <v>46024</v>
      </c>
      <c r="B117" s="112" t="s">
        <v>48</v>
      </c>
      <c r="C117" s="113" t="s">
        <v>832</v>
      </c>
      <c r="D117" s="112" t="s">
        <v>808</v>
      </c>
      <c r="E117" s="122">
        <v>1.6284722222222221</v>
      </c>
      <c r="F117" s="112" t="s">
        <v>53</v>
      </c>
      <c r="G117" s="114">
        <v>9</v>
      </c>
      <c r="H117" s="115" t="s">
        <v>860</v>
      </c>
    </row>
    <row r="118" spans="1:8" ht="19.899999999999999" customHeight="1">
      <c r="A118" s="121">
        <v>46024</v>
      </c>
      <c r="B118" s="112" t="s">
        <v>48</v>
      </c>
      <c r="C118" s="113" t="s">
        <v>832</v>
      </c>
      <c r="D118" s="112" t="s">
        <v>808</v>
      </c>
      <c r="E118" s="122">
        <v>1.6284722222222221</v>
      </c>
      <c r="F118" s="112" t="s">
        <v>70</v>
      </c>
      <c r="G118" s="114">
        <v>9</v>
      </c>
      <c r="H118" s="115" t="s">
        <v>860</v>
      </c>
    </row>
    <row r="119" spans="1:8" ht="19.899999999999999" customHeight="1">
      <c r="A119" s="123">
        <v>46024</v>
      </c>
      <c r="B119" s="124" t="s">
        <v>48</v>
      </c>
      <c r="C119" s="125" t="s">
        <v>837</v>
      </c>
      <c r="D119" s="124" t="s">
        <v>808</v>
      </c>
      <c r="E119" s="126">
        <v>1.6284722222222221</v>
      </c>
      <c r="F119" s="124" t="s">
        <v>70</v>
      </c>
      <c r="G119" s="127">
        <v>4</v>
      </c>
      <c r="H119" s="128" t="s">
        <v>861</v>
      </c>
    </row>
    <row r="120" spans="1:8" ht="19.899999999999999" customHeight="1">
      <c r="A120" s="129">
        <v>46025</v>
      </c>
      <c r="B120" s="117" t="s">
        <v>61</v>
      </c>
      <c r="C120" s="118" t="s">
        <v>816</v>
      </c>
      <c r="D120" s="117" t="s">
        <v>808</v>
      </c>
      <c r="E120" s="130">
        <v>1.413194444444444</v>
      </c>
      <c r="F120" s="117" t="s">
        <v>63</v>
      </c>
      <c r="G120" s="119">
        <v>1</v>
      </c>
      <c r="H120" s="120" t="s">
        <v>121</v>
      </c>
    </row>
    <row r="121" spans="1:8" ht="19.899999999999999" customHeight="1">
      <c r="A121" s="121">
        <v>46025</v>
      </c>
      <c r="B121" s="112" t="s">
        <v>402</v>
      </c>
      <c r="C121" s="113" t="s">
        <v>839</v>
      </c>
      <c r="D121" s="112" t="s">
        <v>808</v>
      </c>
      <c r="E121" s="122">
        <v>1.1701388888888891</v>
      </c>
      <c r="F121" s="112" t="s">
        <v>63</v>
      </c>
      <c r="G121" s="114">
        <v>2</v>
      </c>
      <c r="H121" s="115" t="s">
        <v>404</v>
      </c>
    </row>
    <row r="122" spans="1:8" ht="19.899999999999999" customHeight="1">
      <c r="A122" s="121">
        <v>46025</v>
      </c>
      <c r="B122" s="112" t="s">
        <v>359</v>
      </c>
      <c r="C122" s="113" t="s">
        <v>814</v>
      </c>
      <c r="D122" s="112" t="s">
        <v>808</v>
      </c>
      <c r="E122" s="122">
        <v>1.4375</v>
      </c>
      <c r="F122" s="112" t="s">
        <v>469</v>
      </c>
      <c r="G122" s="114">
        <v>9</v>
      </c>
      <c r="H122" s="115" t="s">
        <v>863</v>
      </c>
    </row>
    <row r="123" spans="1:8" ht="19.899999999999999" customHeight="1">
      <c r="A123" s="121">
        <v>46025</v>
      </c>
      <c r="B123" s="112" t="s">
        <v>359</v>
      </c>
      <c r="C123" s="113" t="s">
        <v>814</v>
      </c>
      <c r="D123" s="112" t="s">
        <v>808</v>
      </c>
      <c r="E123" s="122">
        <v>1.4375</v>
      </c>
      <c r="F123" s="112" t="s">
        <v>361</v>
      </c>
      <c r="G123" s="114">
        <v>9</v>
      </c>
      <c r="H123" s="115" t="s">
        <v>863</v>
      </c>
    </row>
    <row r="124" spans="1:8" ht="19.899999999999999" customHeight="1">
      <c r="A124" s="121">
        <v>46025</v>
      </c>
      <c r="B124" s="112" t="s">
        <v>38</v>
      </c>
      <c r="C124" s="113" t="s">
        <v>809</v>
      </c>
      <c r="D124" s="112" t="s">
        <v>808</v>
      </c>
      <c r="E124" s="122">
        <v>1.5763888888888891</v>
      </c>
      <c r="F124" s="112" t="s">
        <v>440</v>
      </c>
      <c r="G124" s="114">
        <v>17</v>
      </c>
      <c r="H124" s="115" t="s">
        <v>45</v>
      </c>
    </row>
    <row r="125" spans="1:8" ht="19.899999999999999" customHeight="1">
      <c r="A125" s="121">
        <v>46025</v>
      </c>
      <c r="B125" s="112" t="s">
        <v>38</v>
      </c>
      <c r="C125" s="113" t="s">
        <v>809</v>
      </c>
      <c r="D125" s="112" t="s">
        <v>808</v>
      </c>
      <c r="E125" s="122">
        <v>1.5763888888888891</v>
      </c>
      <c r="F125" s="112" t="s">
        <v>40</v>
      </c>
      <c r="G125" s="114">
        <v>17</v>
      </c>
      <c r="H125" s="115" t="s">
        <v>45</v>
      </c>
    </row>
    <row r="126" spans="1:8" ht="19.899999999999999" customHeight="1">
      <c r="A126" s="121">
        <v>46025</v>
      </c>
      <c r="B126" s="112" t="s">
        <v>26</v>
      </c>
      <c r="C126" s="113" t="s">
        <v>822</v>
      </c>
      <c r="D126" s="112" t="s">
        <v>808</v>
      </c>
      <c r="E126" s="122">
        <v>1.5590277777777779</v>
      </c>
      <c r="F126" s="112" t="s">
        <v>451</v>
      </c>
      <c r="G126" s="114">
        <v>4</v>
      </c>
      <c r="H126" s="115" t="s">
        <v>35</v>
      </c>
    </row>
    <row r="127" spans="1:8" ht="19.899999999999999" customHeight="1">
      <c r="A127" s="121">
        <v>46025</v>
      </c>
      <c r="B127" s="112" t="s">
        <v>26</v>
      </c>
      <c r="C127" s="113" t="s">
        <v>822</v>
      </c>
      <c r="D127" s="112" t="s">
        <v>808</v>
      </c>
      <c r="E127" s="122">
        <v>1.5590277777777779</v>
      </c>
      <c r="F127" s="112" t="s">
        <v>28</v>
      </c>
      <c r="G127" s="114">
        <v>4</v>
      </c>
      <c r="H127" s="115" t="s">
        <v>35</v>
      </c>
    </row>
    <row r="128" spans="1:8" ht="19.899999999999999" customHeight="1">
      <c r="A128" s="121">
        <v>46025</v>
      </c>
      <c r="B128" s="112" t="s">
        <v>26</v>
      </c>
      <c r="C128" s="113" t="s">
        <v>824</v>
      </c>
      <c r="D128" s="112" t="s">
        <v>808</v>
      </c>
      <c r="E128" s="122">
        <v>1.506944444444444</v>
      </c>
      <c r="F128" s="112" t="s">
        <v>451</v>
      </c>
      <c r="G128" s="114">
        <v>9</v>
      </c>
      <c r="H128" s="115" t="s">
        <v>35</v>
      </c>
    </row>
    <row r="129" spans="1:8" ht="19.899999999999999" customHeight="1">
      <c r="A129" s="121">
        <v>46025</v>
      </c>
      <c r="B129" s="112" t="s">
        <v>26</v>
      </c>
      <c r="C129" s="113" t="s">
        <v>824</v>
      </c>
      <c r="D129" s="112" t="s">
        <v>808</v>
      </c>
      <c r="E129" s="122">
        <v>1.506944444444444</v>
      </c>
      <c r="F129" s="112" t="s">
        <v>28</v>
      </c>
      <c r="G129" s="114">
        <v>9</v>
      </c>
      <c r="H129" s="115" t="s">
        <v>35</v>
      </c>
    </row>
    <row r="130" spans="1:8" ht="19.899999999999999" customHeight="1">
      <c r="A130" s="121">
        <v>46025</v>
      </c>
      <c r="B130" s="112" t="s">
        <v>26</v>
      </c>
      <c r="C130" s="113" t="s">
        <v>825</v>
      </c>
      <c r="D130" s="112" t="s">
        <v>808</v>
      </c>
      <c r="E130" s="122">
        <v>1.697916666666667</v>
      </c>
      <c r="F130" s="112" t="s">
        <v>451</v>
      </c>
      <c r="G130" s="114">
        <v>9</v>
      </c>
      <c r="H130" s="115" t="s">
        <v>35</v>
      </c>
    </row>
    <row r="131" spans="1:8" ht="19.899999999999999" customHeight="1">
      <c r="A131" s="121">
        <v>46025</v>
      </c>
      <c r="B131" s="112" t="s">
        <v>26</v>
      </c>
      <c r="C131" s="113" t="s">
        <v>825</v>
      </c>
      <c r="D131" s="112" t="s">
        <v>808</v>
      </c>
      <c r="E131" s="122">
        <v>1.697916666666667</v>
      </c>
      <c r="F131" s="112" t="s">
        <v>28</v>
      </c>
      <c r="G131" s="114">
        <v>9</v>
      </c>
      <c r="H131" s="115" t="s">
        <v>35</v>
      </c>
    </row>
    <row r="132" spans="1:8" ht="19.899999999999999" customHeight="1">
      <c r="A132" s="121">
        <v>46025</v>
      </c>
      <c r="B132" s="112" t="s">
        <v>38</v>
      </c>
      <c r="C132" s="113" t="s">
        <v>811</v>
      </c>
      <c r="D132" s="112" t="s">
        <v>808</v>
      </c>
      <c r="E132" s="122">
        <v>1.6284722222222221</v>
      </c>
      <c r="F132" s="112" t="s">
        <v>440</v>
      </c>
      <c r="G132" s="114">
        <v>14</v>
      </c>
      <c r="H132" s="115" t="s">
        <v>162</v>
      </c>
    </row>
    <row r="133" spans="1:8" ht="19.899999999999999" customHeight="1">
      <c r="A133" s="121">
        <v>46025</v>
      </c>
      <c r="B133" s="112" t="s">
        <v>38</v>
      </c>
      <c r="C133" s="113" t="s">
        <v>811</v>
      </c>
      <c r="D133" s="112" t="s">
        <v>808</v>
      </c>
      <c r="E133" s="122">
        <v>1.6284722222222221</v>
      </c>
      <c r="F133" s="112" t="s">
        <v>40</v>
      </c>
      <c r="G133" s="114">
        <v>14</v>
      </c>
      <c r="H133" s="115" t="s">
        <v>162</v>
      </c>
    </row>
    <row r="134" spans="1:8" ht="19.899999999999999" customHeight="1">
      <c r="A134" s="121">
        <v>46025</v>
      </c>
      <c r="B134" s="112" t="s">
        <v>26</v>
      </c>
      <c r="C134" s="113" t="s">
        <v>820</v>
      </c>
      <c r="D134" s="112" t="s">
        <v>808</v>
      </c>
      <c r="E134" s="122">
        <v>1.4375</v>
      </c>
      <c r="F134" s="112" t="s">
        <v>451</v>
      </c>
      <c r="G134" s="114">
        <v>9</v>
      </c>
      <c r="H134" s="115" t="s">
        <v>355</v>
      </c>
    </row>
    <row r="135" spans="1:8" ht="19.899999999999999" customHeight="1">
      <c r="A135" s="121">
        <v>46025</v>
      </c>
      <c r="B135" s="112" t="s">
        <v>26</v>
      </c>
      <c r="C135" s="113" t="s">
        <v>820</v>
      </c>
      <c r="D135" s="112" t="s">
        <v>808</v>
      </c>
      <c r="E135" s="122">
        <v>1.4375</v>
      </c>
      <c r="F135" s="112" t="s">
        <v>28</v>
      </c>
      <c r="G135" s="114">
        <v>9</v>
      </c>
      <c r="H135" s="115" t="s">
        <v>355</v>
      </c>
    </row>
    <row r="136" spans="1:8" ht="19.899999999999999" customHeight="1">
      <c r="A136" s="121">
        <v>46025</v>
      </c>
      <c r="B136" s="112" t="s">
        <v>26</v>
      </c>
      <c r="C136" s="113" t="s">
        <v>826</v>
      </c>
      <c r="D136" s="112" t="s">
        <v>808</v>
      </c>
      <c r="E136" s="122">
        <v>1.958333333333333</v>
      </c>
      <c r="F136" s="112" t="s">
        <v>28</v>
      </c>
      <c r="G136" s="114">
        <v>9</v>
      </c>
      <c r="H136" s="115" t="s">
        <v>355</v>
      </c>
    </row>
    <row r="137" spans="1:8" ht="19.899999999999999" customHeight="1">
      <c r="A137" s="121">
        <v>46025</v>
      </c>
      <c r="B137" s="112" t="s">
        <v>26</v>
      </c>
      <c r="C137" s="113" t="s">
        <v>821</v>
      </c>
      <c r="D137" s="112" t="s">
        <v>808</v>
      </c>
      <c r="E137" s="122">
        <v>1.631944444444444</v>
      </c>
      <c r="F137" s="112" t="s">
        <v>451</v>
      </c>
      <c r="G137" s="114">
        <v>9</v>
      </c>
      <c r="H137" s="115" t="s">
        <v>355</v>
      </c>
    </row>
    <row r="138" spans="1:8" ht="19.899999999999999" customHeight="1">
      <c r="A138" s="121">
        <v>46025</v>
      </c>
      <c r="B138" s="112" t="s">
        <v>26</v>
      </c>
      <c r="C138" s="113" t="s">
        <v>821</v>
      </c>
      <c r="D138" s="112" t="s">
        <v>808</v>
      </c>
      <c r="E138" s="122">
        <v>1.631944444444444</v>
      </c>
      <c r="F138" s="112" t="s">
        <v>28</v>
      </c>
      <c r="G138" s="114">
        <v>9</v>
      </c>
      <c r="H138" s="115" t="s">
        <v>355</v>
      </c>
    </row>
    <row r="139" spans="1:8" ht="19.899999999999999" customHeight="1">
      <c r="A139" s="121">
        <v>46025</v>
      </c>
      <c r="B139" s="112" t="s">
        <v>26</v>
      </c>
      <c r="C139" s="113" t="s">
        <v>823</v>
      </c>
      <c r="D139" s="112" t="s">
        <v>808</v>
      </c>
      <c r="E139" s="122">
        <v>1.819444444444444</v>
      </c>
      <c r="F139" s="112" t="s">
        <v>451</v>
      </c>
      <c r="G139" s="114">
        <v>5</v>
      </c>
      <c r="H139" s="115" t="s">
        <v>355</v>
      </c>
    </row>
    <row r="140" spans="1:8" ht="19.899999999999999" customHeight="1">
      <c r="A140" s="121">
        <v>46025</v>
      </c>
      <c r="B140" s="112" t="s">
        <v>26</v>
      </c>
      <c r="C140" s="113" t="s">
        <v>823</v>
      </c>
      <c r="D140" s="112" t="s">
        <v>808</v>
      </c>
      <c r="E140" s="122">
        <v>1.819444444444444</v>
      </c>
      <c r="F140" s="112" t="s">
        <v>28</v>
      </c>
      <c r="G140" s="114">
        <v>5</v>
      </c>
      <c r="H140" s="115" t="s">
        <v>355</v>
      </c>
    </row>
    <row r="141" spans="1:8" ht="19.899999999999999" customHeight="1">
      <c r="A141" s="121">
        <v>46025</v>
      </c>
      <c r="B141" s="112" t="s">
        <v>38</v>
      </c>
      <c r="C141" s="113" t="s">
        <v>812</v>
      </c>
      <c r="D141" s="112" t="s">
        <v>808</v>
      </c>
      <c r="E141" s="122">
        <v>1.8888888888888891</v>
      </c>
      <c r="F141" s="112" t="s">
        <v>440</v>
      </c>
      <c r="G141" s="114">
        <v>16</v>
      </c>
      <c r="H141" s="115" t="s">
        <v>503</v>
      </c>
    </row>
    <row r="142" spans="1:8" ht="19.899999999999999" customHeight="1">
      <c r="A142" s="121">
        <v>46025</v>
      </c>
      <c r="B142" s="112" t="s">
        <v>38</v>
      </c>
      <c r="C142" s="113" t="s">
        <v>812</v>
      </c>
      <c r="D142" s="112" t="s">
        <v>808</v>
      </c>
      <c r="E142" s="122">
        <v>1.8888888888888891</v>
      </c>
      <c r="F142" s="112" t="s">
        <v>40</v>
      </c>
      <c r="G142" s="114">
        <v>16</v>
      </c>
      <c r="H142" s="115" t="s">
        <v>503</v>
      </c>
    </row>
    <row r="143" spans="1:8" ht="19.899999999999999" customHeight="1">
      <c r="A143" s="121">
        <v>46025</v>
      </c>
      <c r="B143" s="112" t="s">
        <v>38</v>
      </c>
      <c r="C143" s="113" t="s">
        <v>813</v>
      </c>
      <c r="D143" s="112" t="s">
        <v>808</v>
      </c>
      <c r="E143" s="122">
        <v>1.944444444444444</v>
      </c>
      <c r="F143" s="112" t="s">
        <v>440</v>
      </c>
      <c r="G143" s="114">
        <v>20</v>
      </c>
      <c r="H143" s="115" t="s">
        <v>503</v>
      </c>
    </row>
    <row r="144" spans="1:8" ht="19.899999999999999" customHeight="1">
      <c r="A144" s="121">
        <v>46025</v>
      </c>
      <c r="B144" s="112" t="s">
        <v>38</v>
      </c>
      <c r="C144" s="113" t="s">
        <v>813</v>
      </c>
      <c r="D144" s="112" t="s">
        <v>808</v>
      </c>
      <c r="E144" s="122">
        <v>1.944444444444444</v>
      </c>
      <c r="F144" s="112" t="s">
        <v>40</v>
      </c>
      <c r="G144" s="114">
        <v>20</v>
      </c>
      <c r="H144" s="115" t="s">
        <v>503</v>
      </c>
    </row>
    <row r="145" spans="1:8" ht="19.899999999999999" customHeight="1">
      <c r="A145" s="121">
        <v>46025</v>
      </c>
      <c r="B145" s="112" t="s">
        <v>26</v>
      </c>
      <c r="C145" s="113" t="s">
        <v>822</v>
      </c>
      <c r="D145" s="112" t="s">
        <v>808</v>
      </c>
      <c r="E145" s="122">
        <v>1.5590277777777779</v>
      </c>
      <c r="F145" s="112" t="s">
        <v>31</v>
      </c>
      <c r="G145" s="114">
        <v>4</v>
      </c>
      <c r="H145" s="115" t="s">
        <v>467</v>
      </c>
    </row>
    <row r="146" spans="1:8" ht="19.899999999999999" customHeight="1">
      <c r="A146" s="121">
        <v>46025</v>
      </c>
      <c r="B146" s="112" t="s">
        <v>26</v>
      </c>
      <c r="C146" s="113" t="s">
        <v>824</v>
      </c>
      <c r="D146" s="112" t="s">
        <v>808</v>
      </c>
      <c r="E146" s="122">
        <v>1.506944444444444</v>
      </c>
      <c r="F146" s="112" t="s">
        <v>31</v>
      </c>
      <c r="G146" s="114">
        <v>9</v>
      </c>
      <c r="H146" s="115" t="s">
        <v>467</v>
      </c>
    </row>
    <row r="147" spans="1:8" ht="19.899999999999999" customHeight="1">
      <c r="A147" s="121">
        <v>46025</v>
      </c>
      <c r="B147" s="112" t="s">
        <v>26</v>
      </c>
      <c r="C147" s="113" t="s">
        <v>825</v>
      </c>
      <c r="D147" s="112" t="s">
        <v>808</v>
      </c>
      <c r="E147" s="122">
        <v>1.697916666666667</v>
      </c>
      <c r="F147" s="112" t="s">
        <v>31</v>
      </c>
      <c r="G147" s="114">
        <v>9</v>
      </c>
      <c r="H147" s="115" t="s">
        <v>467</v>
      </c>
    </row>
    <row r="148" spans="1:8" ht="19.899999999999999" customHeight="1">
      <c r="A148" s="121">
        <v>46025</v>
      </c>
      <c r="B148" s="112" t="s">
        <v>38</v>
      </c>
      <c r="C148" s="113" t="s">
        <v>809</v>
      </c>
      <c r="D148" s="112" t="s">
        <v>808</v>
      </c>
      <c r="E148" s="122">
        <v>1.5763888888888891</v>
      </c>
      <c r="F148" s="112" t="s">
        <v>43</v>
      </c>
      <c r="G148" s="114">
        <v>17</v>
      </c>
      <c r="H148" s="115" t="s">
        <v>163</v>
      </c>
    </row>
    <row r="149" spans="1:8" ht="19.899999999999999" customHeight="1">
      <c r="A149" s="121">
        <v>46025</v>
      </c>
      <c r="B149" s="112" t="s">
        <v>68</v>
      </c>
      <c r="C149" s="113" t="s">
        <v>843</v>
      </c>
      <c r="D149" s="112" t="s">
        <v>808</v>
      </c>
      <c r="E149" s="122">
        <v>1.354166666666667</v>
      </c>
      <c r="F149" s="112" t="s">
        <v>70</v>
      </c>
      <c r="G149" s="114">
        <v>9</v>
      </c>
      <c r="H149" s="115" t="s">
        <v>466</v>
      </c>
    </row>
    <row r="150" spans="1:8" ht="19.899999999999999" customHeight="1">
      <c r="A150" s="121">
        <v>46025</v>
      </c>
      <c r="B150" s="112" t="s">
        <v>359</v>
      </c>
      <c r="C150" s="113" t="s">
        <v>814</v>
      </c>
      <c r="D150" s="112" t="s">
        <v>808</v>
      </c>
      <c r="E150" s="122">
        <v>1.4375</v>
      </c>
      <c r="F150" s="112" t="s">
        <v>46</v>
      </c>
      <c r="G150" s="114">
        <v>9</v>
      </c>
      <c r="H150" s="115" t="s">
        <v>864</v>
      </c>
    </row>
    <row r="151" spans="1:8" ht="19.899999999999999" customHeight="1">
      <c r="A151" s="121">
        <v>46025</v>
      </c>
      <c r="B151" s="112" t="s">
        <v>26</v>
      </c>
      <c r="C151" s="113" t="s">
        <v>820</v>
      </c>
      <c r="D151" s="112" t="s">
        <v>808</v>
      </c>
      <c r="E151" s="122">
        <v>1.4375</v>
      </c>
      <c r="F151" s="112" t="s">
        <v>31</v>
      </c>
      <c r="G151" s="114">
        <v>9</v>
      </c>
      <c r="H151" s="115" t="s">
        <v>160</v>
      </c>
    </row>
    <row r="152" spans="1:8" ht="19.899999999999999" customHeight="1">
      <c r="A152" s="121">
        <v>46025</v>
      </c>
      <c r="B152" s="112" t="s">
        <v>26</v>
      </c>
      <c r="C152" s="113" t="s">
        <v>826</v>
      </c>
      <c r="D152" s="112" t="s">
        <v>808</v>
      </c>
      <c r="E152" s="122">
        <v>1.958333333333333</v>
      </c>
      <c r="F152" s="112" t="s">
        <v>31</v>
      </c>
      <c r="G152" s="114">
        <v>9</v>
      </c>
      <c r="H152" s="115" t="s">
        <v>160</v>
      </c>
    </row>
    <row r="153" spans="1:8" ht="19.899999999999999" customHeight="1">
      <c r="A153" s="121">
        <v>46025</v>
      </c>
      <c r="B153" s="112" t="s">
        <v>26</v>
      </c>
      <c r="C153" s="113" t="s">
        <v>821</v>
      </c>
      <c r="D153" s="112" t="s">
        <v>808</v>
      </c>
      <c r="E153" s="122">
        <v>1.631944444444444</v>
      </c>
      <c r="F153" s="112" t="s">
        <v>31</v>
      </c>
      <c r="G153" s="114">
        <v>9</v>
      </c>
      <c r="H153" s="115" t="s">
        <v>160</v>
      </c>
    </row>
    <row r="154" spans="1:8" ht="19.899999999999999" customHeight="1">
      <c r="A154" s="121">
        <v>46025</v>
      </c>
      <c r="B154" s="112" t="s">
        <v>26</v>
      </c>
      <c r="C154" s="113" t="s">
        <v>823</v>
      </c>
      <c r="D154" s="112" t="s">
        <v>808</v>
      </c>
      <c r="E154" s="122">
        <v>1.819444444444444</v>
      </c>
      <c r="F154" s="112" t="s">
        <v>31</v>
      </c>
      <c r="G154" s="114">
        <v>5</v>
      </c>
      <c r="H154" s="115" t="s">
        <v>160</v>
      </c>
    </row>
    <row r="155" spans="1:8" ht="19.899999999999999" customHeight="1">
      <c r="A155" s="121">
        <v>46025</v>
      </c>
      <c r="B155" s="112" t="s">
        <v>38</v>
      </c>
      <c r="C155" s="113" t="s">
        <v>811</v>
      </c>
      <c r="D155" s="112" t="s">
        <v>808</v>
      </c>
      <c r="E155" s="122">
        <v>1.6284722222222221</v>
      </c>
      <c r="F155" s="112" t="s">
        <v>43</v>
      </c>
      <c r="G155" s="114">
        <v>14</v>
      </c>
      <c r="H155" s="115" t="s">
        <v>865</v>
      </c>
    </row>
    <row r="156" spans="1:8" ht="19.899999999999999" customHeight="1">
      <c r="A156" s="121">
        <v>46025</v>
      </c>
      <c r="B156" s="112" t="s">
        <v>26</v>
      </c>
      <c r="C156" s="113" t="s">
        <v>822</v>
      </c>
      <c r="D156" s="112" t="s">
        <v>808</v>
      </c>
      <c r="E156" s="122">
        <v>1.5590277777777779</v>
      </c>
      <c r="F156" s="112" t="s">
        <v>34</v>
      </c>
      <c r="G156" s="114">
        <v>4</v>
      </c>
      <c r="H156" s="115" t="s">
        <v>455</v>
      </c>
    </row>
    <row r="157" spans="1:8" ht="19.899999999999999" customHeight="1">
      <c r="A157" s="121">
        <v>46025</v>
      </c>
      <c r="B157" s="112" t="s">
        <v>26</v>
      </c>
      <c r="C157" s="113" t="s">
        <v>824</v>
      </c>
      <c r="D157" s="112" t="s">
        <v>808</v>
      </c>
      <c r="E157" s="122">
        <v>1.506944444444444</v>
      </c>
      <c r="F157" s="112" t="s">
        <v>34</v>
      </c>
      <c r="G157" s="114">
        <v>9</v>
      </c>
      <c r="H157" s="115" t="s">
        <v>455</v>
      </c>
    </row>
    <row r="158" spans="1:8" ht="19.899999999999999" customHeight="1">
      <c r="A158" s="121">
        <v>46025</v>
      </c>
      <c r="B158" s="112" t="s">
        <v>26</v>
      </c>
      <c r="C158" s="113" t="s">
        <v>825</v>
      </c>
      <c r="D158" s="112" t="s">
        <v>808</v>
      </c>
      <c r="E158" s="122">
        <v>1.697916666666667</v>
      </c>
      <c r="F158" s="112" t="s">
        <v>34</v>
      </c>
      <c r="G158" s="114">
        <v>9</v>
      </c>
      <c r="H158" s="115" t="s">
        <v>455</v>
      </c>
    </row>
    <row r="159" spans="1:8" ht="19.899999999999999" customHeight="1">
      <c r="A159" s="121">
        <v>46025</v>
      </c>
      <c r="B159" s="112" t="s">
        <v>68</v>
      </c>
      <c r="C159" s="113" t="s">
        <v>842</v>
      </c>
      <c r="D159" s="112" t="s">
        <v>808</v>
      </c>
      <c r="E159" s="122">
        <v>1.9826388888888891</v>
      </c>
      <c r="F159" s="112" t="s">
        <v>70</v>
      </c>
      <c r="G159" s="114">
        <v>9</v>
      </c>
      <c r="H159" s="115" t="s">
        <v>867</v>
      </c>
    </row>
    <row r="160" spans="1:8" ht="19.899999999999999" customHeight="1">
      <c r="A160" s="121">
        <v>46025</v>
      </c>
      <c r="B160" s="112" t="s">
        <v>68</v>
      </c>
      <c r="C160" s="113" t="s">
        <v>844</v>
      </c>
      <c r="D160" s="112" t="s">
        <v>808</v>
      </c>
      <c r="E160" s="122">
        <v>1.729166666666667</v>
      </c>
      <c r="F160" s="112" t="s">
        <v>70</v>
      </c>
      <c r="G160" s="114">
        <v>9</v>
      </c>
      <c r="H160" s="115" t="s">
        <v>868</v>
      </c>
    </row>
    <row r="161" spans="1:8" ht="19.899999999999999" customHeight="1">
      <c r="A161" s="121">
        <v>46025</v>
      </c>
      <c r="B161" s="112" t="s">
        <v>38</v>
      </c>
      <c r="C161" s="113" t="s">
        <v>812</v>
      </c>
      <c r="D161" s="112" t="s">
        <v>808</v>
      </c>
      <c r="E161" s="122">
        <v>1.8888888888888891</v>
      </c>
      <c r="F161" s="112" t="s">
        <v>43</v>
      </c>
      <c r="G161" s="114">
        <v>16</v>
      </c>
      <c r="H161" s="115" t="s">
        <v>47</v>
      </c>
    </row>
    <row r="162" spans="1:8" ht="19.899999999999999" customHeight="1">
      <c r="A162" s="121">
        <v>46025</v>
      </c>
      <c r="B162" s="112" t="s">
        <v>38</v>
      </c>
      <c r="C162" s="113" t="s">
        <v>813</v>
      </c>
      <c r="D162" s="112" t="s">
        <v>808</v>
      </c>
      <c r="E162" s="122">
        <v>1.944444444444444</v>
      </c>
      <c r="F162" s="112" t="s">
        <v>43</v>
      </c>
      <c r="G162" s="114">
        <v>20</v>
      </c>
      <c r="H162" s="115" t="s">
        <v>47</v>
      </c>
    </row>
    <row r="163" spans="1:8" ht="19.899999999999999" customHeight="1">
      <c r="A163" s="121">
        <v>46025</v>
      </c>
      <c r="B163" s="112" t="s">
        <v>26</v>
      </c>
      <c r="C163" s="113" t="s">
        <v>820</v>
      </c>
      <c r="D163" s="112" t="s">
        <v>808</v>
      </c>
      <c r="E163" s="122">
        <v>1.4375</v>
      </c>
      <c r="F163" s="112" t="s">
        <v>34</v>
      </c>
      <c r="G163" s="114">
        <v>9</v>
      </c>
      <c r="H163" s="115" t="s">
        <v>866</v>
      </c>
    </row>
    <row r="164" spans="1:8" ht="19.899999999999999" customHeight="1">
      <c r="A164" s="121">
        <v>46025</v>
      </c>
      <c r="B164" s="112" t="s">
        <v>26</v>
      </c>
      <c r="C164" s="113" t="s">
        <v>826</v>
      </c>
      <c r="D164" s="112" t="s">
        <v>808</v>
      </c>
      <c r="E164" s="122">
        <v>1.958333333333333</v>
      </c>
      <c r="F164" s="112" t="s">
        <v>34</v>
      </c>
      <c r="G164" s="114">
        <v>9</v>
      </c>
      <c r="H164" s="115" t="s">
        <v>866</v>
      </c>
    </row>
    <row r="165" spans="1:8" ht="19.899999999999999" customHeight="1">
      <c r="A165" s="121">
        <v>46025</v>
      </c>
      <c r="B165" s="112" t="s">
        <v>26</v>
      </c>
      <c r="C165" s="113" t="s">
        <v>821</v>
      </c>
      <c r="D165" s="112" t="s">
        <v>808</v>
      </c>
      <c r="E165" s="122">
        <v>1.631944444444444</v>
      </c>
      <c r="F165" s="112" t="s">
        <v>34</v>
      </c>
      <c r="G165" s="114">
        <v>9</v>
      </c>
      <c r="H165" s="115" t="s">
        <v>866</v>
      </c>
    </row>
    <row r="166" spans="1:8" ht="19.899999999999999" customHeight="1">
      <c r="A166" s="121">
        <v>46025</v>
      </c>
      <c r="B166" s="112" t="s">
        <v>26</v>
      </c>
      <c r="C166" s="113" t="s">
        <v>823</v>
      </c>
      <c r="D166" s="112" t="s">
        <v>808</v>
      </c>
      <c r="E166" s="122">
        <v>1.819444444444444</v>
      </c>
      <c r="F166" s="112" t="s">
        <v>34</v>
      </c>
      <c r="G166" s="114">
        <v>5</v>
      </c>
      <c r="H166" s="115" t="s">
        <v>866</v>
      </c>
    </row>
    <row r="167" spans="1:8" ht="19.899999999999999" customHeight="1">
      <c r="A167" s="121">
        <v>46025</v>
      </c>
      <c r="B167" s="112" t="s">
        <v>38</v>
      </c>
      <c r="C167" s="113" t="s">
        <v>809</v>
      </c>
      <c r="D167" s="112" t="s">
        <v>808</v>
      </c>
      <c r="E167" s="122">
        <v>1.5763888888888891</v>
      </c>
      <c r="F167" s="112" t="s">
        <v>46</v>
      </c>
      <c r="G167" s="114">
        <v>17</v>
      </c>
      <c r="H167" s="115" t="s">
        <v>810</v>
      </c>
    </row>
    <row r="168" spans="1:8" ht="19.899999999999999" customHeight="1">
      <c r="A168" s="121">
        <v>46025</v>
      </c>
      <c r="B168" s="112" t="s">
        <v>38</v>
      </c>
      <c r="C168" s="113" t="s">
        <v>811</v>
      </c>
      <c r="D168" s="112" t="s">
        <v>808</v>
      </c>
      <c r="E168" s="122">
        <v>1.6284722222222221</v>
      </c>
      <c r="F168" s="112" t="s">
        <v>46</v>
      </c>
      <c r="G168" s="114">
        <v>14</v>
      </c>
      <c r="H168" s="115" t="s">
        <v>810</v>
      </c>
    </row>
    <row r="169" spans="1:8" ht="19.899999999999999" customHeight="1">
      <c r="A169" s="121">
        <v>46025</v>
      </c>
      <c r="B169" s="112" t="s">
        <v>38</v>
      </c>
      <c r="C169" s="113" t="s">
        <v>812</v>
      </c>
      <c r="D169" s="112" t="s">
        <v>808</v>
      </c>
      <c r="E169" s="122">
        <v>1.8888888888888891</v>
      </c>
      <c r="F169" s="112" t="s">
        <v>46</v>
      </c>
      <c r="G169" s="114">
        <v>16</v>
      </c>
      <c r="H169" s="115" t="s">
        <v>810</v>
      </c>
    </row>
    <row r="170" spans="1:8" ht="19.899999999999999" customHeight="1">
      <c r="A170" s="121">
        <v>46025</v>
      </c>
      <c r="B170" s="112" t="s">
        <v>38</v>
      </c>
      <c r="C170" s="113" t="s">
        <v>813</v>
      </c>
      <c r="D170" s="112" t="s">
        <v>808</v>
      </c>
      <c r="E170" s="122">
        <v>1.944444444444444</v>
      </c>
      <c r="F170" s="112" t="s">
        <v>46</v>
      </c>
      <c r="G170" s="114">
        <v>20</v>
      </c>
      <c r="H170" s="115" t="s">
        <v>810</v>
      </c>
    </row>
    <row r="171" spans="1:8" ht="19.899999999999999" customHeight="1">
      <c r="A171" s="121">
        <v>46025</v>
      </c>
      <c r="B171" s="112" t="s">
        <v>48</v>
      </c>
      <c r="C171" s="113" t="s">
        <v>831</v>
      </c>
      <c r="D171" s="112" t="s">
        <v>808</v>
      </c>
      <c r="E171" s="122">
        <v>1.9826388888888891</v>
      </c>
      <c r="F171" s="112" t="s">
        <v>70</v>
      </c>
      <c r="G171" s="114">
        <v>9</v>
      </c>
      <c r="H171" s="115" t="s">
        <v>860</v>
      </c>
    </row>
    <row r="172" spans="1:8" ht="19.899999999999999" customHeight="1">
      <c r="A172" s="121">
        <v>46025</v>
      </c>
      <c r="B172" s="112" t="s">
        <v>48</v>
      </c>
      <c r="C172" s="113" t="s">
        <v>831</v>
      </c>
      <c r="D172" s="112" t="s">
        <v>808</v>
      </c>
      <c r="E172" s="122">
        <v>1.9826388888888891</v>
      </c>
      <c r="F172" s="112" t="s">
        <v>53</v>
      </c>
      <c r="G172" s="114">
        <v>9</v>
      </c>
      <c r="H172" s="115" t="s">
        <v>860</v>
      </c>
    </row>
    <row r="173" spans="1:8" ht="19.899999999999999" customHeight="1">
      <c r="A173" s="121">
        <v>46025</v>
      </c>
      <c r="B173" s="112" t="s">
        <v>48</v>
      </c>
      <c r="C173" s="113" t="s">
        <v>828</v>
      </c>
      <c r="D173" s="112" t="s">
        <v>808</v>
      </c>
      <c r="E173" s="122">
        <v>1.8298611111111109</v>
      </c>
      <c r="F173" s="112" t="s">
        <v>70</v>
      </c>
      <c r="G173" s="114">
        <v>9</v>
      </c>
      <c r="H173" s="115" t="s">
        <v>869</v>
      </c>
    </row>
    <row r="174" spans="1:8" ht="19.899999999999999" customHeight="1">
      <c r="A174" s="121">
        <v>46025</v>
      </c>
      <c r="B174" s="112" t="s">
        <v>48</v>
      </c>
      <c r="C174" s="113" t="s">
        <v>828</v>
      </c>
      <c r="D174" s="112" t="s">
        <v>808</v>
      </c>
      <c r="E174" s="122">
        <v>1.8298611111111109</v>
      </c>
      <c r="F174" s="112" t="s">
        <v>53</v>
      </c>
      <c r="G174" s="114">
        <v>9</v>
      </c>
      <c r="H174" s="115" t="s">
        <v>869</v>
      </c>
    </row>
    <row r="175" spans="1:8" ht="19.899999999999999" customHeight="1">
      <c r="A175" s="121">
        <v>46025</v>
      </c>
      <c r="B175" s="112" t="s">
        <v>48</v>
      </c>
      <c r="C175" s="113" t="s">
        <v>832</v>
      </c>
      <c r="D175" s="112" t="s">
        <v>808</v>
      </c>
      <c r="E175" s="122">
        <v>1.6284722222222221</v>
      </c>
      <c r="F175" s="112" t="s">
        <v>70</v>
      </c>
      <c r="G175" s="114">
        <v>9</v>
      </c>
      <c r="H175" s="115" t="s">
        <v>869</v>
      </c>
    </row>
    <row r="176" spans="1:8" ht="19.899999999999999" customHeight="1">
      <c r="A176" s="121">
        <v>46025</v>
      </c>
      <c r="B176" s="112" t="s">
        <v>48</v>
      </c>
      <c r="C176" s="113" t="s">
        <v>832</v>
      </c>
      <c r="D176" s="112" t="s">
        <v>808</v>
      </c>
      <c r="E176" s="122">
        <v>1.6284722222222221</v>
      </c>
      <c r="F176" s="112" t="s">
        <v>53</v>
      </c>
      <c r="G176" s="114">
        <v>9</v>
      </c>
      <c r="H176" s="115" t="s">
        <v>869</v>
      </c>
    </row>
    <row r="177" spans="1:8" ht="19.899999999999999" customHeight="1">
      <c r="A177" s="121">
        <v>46025</v>
      </c>
      <c r="B177" s="112" t="s">
        <v>48</v>
      </c>
      <c r="C177" s="113" t="s">
        <v>833</v>
      </c>
      <c r="D177" s="112" t="s">
        <v>808</v>
      </c>
      <c r="E177" s="122">
        <v>1.444444444444444</v>
      </c>
      <c r="F177" s="112" t="s">
        <v>70</v>
      </c>
      <c r="G177" s="114">
        <v>9</v>
      </c>
      <c r="H177" s="115" t="s">
        <v>870</v>
      </c>
    </row>
    <row r="178" spans="1:8" ht="19.899999999999999" customHeight="1">
      <c r="A178" s="121">
        <v>46025</v>
      </c>
      <c r="B178" s="112" t="s">
        <v>48</v>
      </c>
      <c r="C178" s="113" t="s">
        <v>833</v>
      </c>
      <c r="D178" s="112" t="s">
        <v>808</v>
      </c>
      <c r="E178" s="122">
        <v>1.444444444444444</v>
      </c>
      <c r="F178" s="112" t="s">
        <v>53</v>
      </c>
      <c r="G178" s="114">
        <v>9</v>
      </c>
      <c r="H178" s="115" t="s">
        <v>870</v>
      </c>
    </row>
    <row r="179" spans="1:8" ht="19.899999999999999" customHeight="1">
      <c r="A179" s="121">
        <v>46025</v>
      </c>
      <c r="B179" s="112" t="s">
        <v>48</v>
      </c>
      <c r="C179" s="113" t="s">
        <v>835</v>
      </c>
      <c r="D179" s="112" t="s">
        <v>808</v>
      </c>
      <c r="E179" s="122">
        <v>1.8888888888888891</v>
      </c>
      <c r="F179" s="112" t="s">
        <v>70</v>
      </c>
      <c r="G179" s="114">
        <v>4</v>
      </c>
      <c r="H179" s="115" t="s">
        <v>871</v>
      </c>
    </row>
    <row r="180" spans="1:8" ht="19.899999999999999" customHeight="1">
      <c r="A180" s="121">
        <v>46025</v>
      </c>
      <c r="B180" s="112" t="s">
        <v>48</v>
      </c>
      <c r="C180" s="113" t="s">
        <v>835</v>
      </c>
      <c r="D180" s="112" t="s">
        <v>808</v>
      </c>
      <c r="E180" s="122">
        <v>1.8888888888888891</v>
      </c>
      <c r="F180" s="112" t="s">
        <v>53</v>
      </c>
      <c r="G180" s="114">
        <v>4</v>
      </c>
      <c r="H180" s="115" t="s">
        <v>871</v>
      </c>
    </row>
    <row r="181" spans="1:8" ht="19.899999999999999" customHeight="1">
      <c r="A181" s="121">
        <v>46025</v>
      </c>
      <c r="B181" s="112" t="s">
        <v>48</v>
      </c>
      <c r="C181" s="113" t="s">
        <v>837</v>
      </c>
      <c r="D181" s="112" t="s">
        <v>808</v>
      </c>
      <c r="E181" s="122">
        <v>1.6284722222222221</v>
      </c>
      <c r="F181" s="112" t="s">
        <v>70</v>
      </c>
      <c r="G181" s="114">
        <v>4</v>
      </c>
      <c r="H181" s="115" t="s">
        <v>871</v>
      </c>
    </row>
    <row r="182" spans="1:8" ht="19.899999999999999" customHeight="1">
      <c r="A182" s="121">
        <v>46025</v>
      </c>
      <c r="B182" s="112" t="s">
        <v>48</v>
      </c>
      <c r="C182" s="113" t="s">
        <v>837</v>
      </c>
      <c r="D182" s="112" t="s">
        <v>808</v>
      </c>
      <c r="E182" s="122">
        <v>1.6284722222222221</v>
      </c>
      <c r="F182" s="112" t="s">
        <v>53</v>
      </c>
      <c r="G182" s="114">
        <v>4</v>
      </c>
      <c r="H182" s="115" t="s">
        <v>871</v>
      </c>
    </row>
    <row r="183" spans="1:8" ht="19.899999999999999" customHeight="1">
      <c r="A183" s="121">
        <v>46025</v>
      </c>
      <c r="B183" s="112" t="s">
        <v>48</v>
      </c>
      <c r="C183" s="113" t="s">
        <v>838</v>
      </c>
      <c r="D183" s="112" t="s">
        <v>808</v>
      </c>
      <c r="E183" s="122">
        <v>1.944444444444444</v>
      </c>
      <c r="F183" s="112" t="s">
        <v>70</v>
      </c>
      <c r="G183" s="114">
        <v>4</v>
      </c>
      <c r="H183" s="115" t="s">
        <v>871</v>
      </c>
    </row>
    <row r="184" spans="1:8" ht="19.899999999999999" customHeight="1">
      <c r="A184" s="123">
        <v>46025</v>
      </c>
      <c r="B184" s="124" t="s">
        <v>48</v>
      </c>
      <c r="C184" s="125" t="s">
        <v>838</v>
      </c>
      <c r="D184" s="124" t="s">
        <v>808</v>
      </c>
      <c r="E184" s="126">
        <v>1.944444444444444</v>
      </c>
      <c r="F184" s="124" t="s">
        <v>53</v>
      </c>
      <c r="G184" s="127">
        <v>4</v>
      </c>
      <c r="H184" s="128" t="s">
        <v>871</v>
      </c>
    </row>
    <row r="185" spans="1:8" ht="19.899999999999999" customHeight="1">
      <c r="A185" s="121">
        <v>46026</v>
      </c>
      <c r="B185" s="112" t="s">
        <v>38</v>
      </c>
      <c r="C185" s="113" t="s">
        <v>812</v>
      </c>
      <c r="D185" s="112" t="s">
        <v>808</v>
      </c>
      <c r="E185" s="122">
        <v>1.8888888888888891</v>
      </c>
      <c r="F185" s="112" t="s">
        <v>40</v>
      </c>
      <c r="G185" s="114">
        <v>12</v>
      </c>
      <c r="H185" s="115" t="s">
        <v>475</v>
      </c>
    </row>
    <row r="186" spans="1:8" ht="19.899999999999999" customHeight="1">
      <c r="A186" s="121">
        <v>46026</v>
      </c>
      <c r="B186" s="112" t="s">
        <v>26</v>
      </c>
      <c r="C186" s="113" t="s">
        <v>820</v>
      </c>
      <c r="D186" s="112" t="s">
        <v>808</v>
      </c>
      <c r="E186" s="122">
        <v>1.4375</v>
      </c>
      <c r="F186" s="112" t="s">
        <v>28</v>
      </c>
      <c r="G186" s="114">
        <v>8</v>
      </c>
      <c r="H186" s="115" t="s">
        <v>88</v>
      </c>
    </row>
    <row r="187" spans="1:8" ht="19.899999999999999" customHeight="1">
      <c r="A187" s="121">
        <v>46026</v>
      </c>
      <c r="B187" s="112" t="s">
        <v>26</v>
      </c>
      <c r="C187" s="113" t="s">
        <v>821</v>
      </c>
      <c r="D187" s="112" t="s">
        <v>808</v>
      </c>
      <c r="E187" s="122">
        <v>1.631944444444444</v>
      </c>
      <c r="F187" s="112" t="s">
        <v>28</v>
      </c>
      <c r="G187" s="114">
        <v>4</v>
      </c>
      <c r="H187" s="115" t="s">
        <v>88</v>
      </c>
    </row>
    <row r="188" spans="1:8" ht="19.899999999999999" customHeight="1">
      <c r="A188" s="121">
        <v>46026</v>
      </c>
      <c r="B188" s="112" t="s">
        <v>26</v>
      </c>
      <c r="C188" s="113" t="s">
        <v>822</v>
      </c>
      <c r="D188" s="112" t="s">
        <v>808</v>
      </c>
      <c r="E188" s="122">
        <v>1.5590277777777779</v>
      </c>
      <c r="F188" s="112" t="s">
        <v>28</v>
      </c>
      <c r="G188" s="114">
        <v>9</v>
      </c>
      <c r="H188" s="115" t="s">
        <v>88</v>
      </c>
    </row>
    <row r="189" spans="1:8" ht="19.899999999999999" customHeight="1">
      <c r="A189" s="121">
        <v>46026</v>
      </c>
      <c r="B189" s="112" t="s">
        <v>26</v>
      </c>
      <c r="C189" s="113" t="s">
        <v>823</v>
      </c>
      <c r="D189" s="112" t="s">
        <v>808</v>
      </c>
      <c r="E189" s="122">
        <v>1.819444444444444</v>
      </c>
      <c r="F189" s="112" t="s">
        <v>28</v>
      </c>
      <c r="G189" s="114">
        <v>9</v>
      </c>
      <c r="H189" s="115" t="s">
        <v>88</v>
      </c>
    </row>
    <row r="190" spans="1:8" ht="19.899999999999999" customHeight="1">
      <c r="A190" s="121">
        <v>46026</v>
      </c>
      <c r="B190" s="112" t="s">
        <v>26</v>
      </c>
      <c r="C190" s="113" t="s">
        <v>824</v>
      </c>
      <c r="D190" s="112" t="s">
        <v>808</v>
      </c>
      <c r="E190" s="122">
        <v>1.506944444444444</v>
      </c>
      <c r="F190" s="112" t="s">
        <v>28</v>
      </c>
      <c r="G190" s="114">
        <v>9</v>
      </c>
      <c r="H190" s="115" t="s">
        <v>88</v>
      </c>
    </row>
    <row r="191" spans="1:8" ht="19.899999999999999" customHeight="1">
      <c r="A191" s="121">
        <v>46026</v>
      </c>
      <c r="B191" s="112" t="s">
        <v>38</v>
      </c>
      <c r="C191" s="113" t="s">
        <v>813</v>
      </c>
      <c r="D191" s="112" t="s">
        <v>808</v>
      </c>
      <c r="E191" s="122">
        <v>1.944444444444444</v>
      </c>
      <c r="F191" s="112" t="s">
        <v>40</v>
      </c>
      <c r="G191" s="114">
        <v>15</v>
      </c>
      <c r="H191" s="115" t="s">
        <v>872</v>
      </c>
    </row>
    <row r="192" spans="1:8" ht="19.899999999999999" customHeight="1">
      <c r="A192" s="121">
        <v>46026</v>
      </c>
      <c r="B192" s="112" t="s">
        <v>26</v>
      </c>
      <c r="C192" s="113" t="s">
        <v>826</v>
      </c>
      <c r="D192" s="112" t="s">
        <v>808</v>
      </c>
      <c r="E192" s="122">
        <v>1.958333333333333</v>
      </c>
      <c r="F192" s="112" t="s">
        <v>28</v>
      </c>
      <c r="G192" s="114">
        <v>9</v>
      </c>
      <c r="H192" s="115" t="s">
        <v>81</v>
      </c>
    </row>
    <row r="193" spans="1:8" ht="19.899999999999999" customHeight="1">
      <c r="A193" s="121">
        <v>46026</v>
      </c>
      <c r="B193" s="112" t="s">
        <v>26</v>
      </c>
      <c r="C193" s="113" t="s">
        <v>825</v>
      </c>
      <c r="D193" s="112" t="s">
        <v>808</v>
      </c>
      <c r="E193" s="122">
        <v>1.697916666666667</v>
      </c>
      <c r="F193" s="112" t="s">
        <v>28</v>
      </c>
      <c r="G193" s="114">
        <v>6</v>
      </c>
      <c r="H193" s="115" t="s">
        <v>81</v>
      </c>
    </row>
    <row r="194" spans="1:8" ht="19.899999999999999" customHeight="1">
      <c r="A194" s="121">
        <v>46026</v>
      </c>
      <c r="B194" s="112" t="s">
        <v>38</v>
      </c>
      <c r="C194" s="113" t="s">
        <v>809</v>
      </c>
      <c r="D194" s="112" t="s">
        <v>808</v>
      </c>
      <c r="E194" s="122">
        <v>1.5763888888888891</v>
      </c>
      <c r="F194" s="112" t="s">
        <v>40</v>
      </c>
      <c r="G194" s="114">
        <v>15</v>
      </c>
      <c r="H194" s="115" t="s">
        <v>848</v>
      </c>
    </row>
    <row r="195" spans="1:8" ht="19.899999999999999" customHeight="1">
      <c r="A195" s="121">
        <v>46026</v>
      </c>
      <c r="B195" s="112" t="s">
        <v>48</v>
      </c>
      <c r="C195" s="113" t="s">
        <v>831</v>
      </c>
      <c r="D195" s="112" t="s">
        <v>808</v>
      </c>
      <c r="E195" s="122">
        <v>1.9826388888888891</v>
      </c>
      <c r="F195" s="112" t="s">
        <v>50</v>
      </c>
      <c r="G195" s="114">
        <v>1</v>
      </c>
      <c r="H195" s="115" t="s">
        <v>873</v>
      </c>
    </row>
    <row r="196" spans="1:8" ht="19.899999999999999" customHeight="1">
      <c r="A196" s="129">
        <v>46026</v>
      </c>
      <c r="B196" s="117" t="s">
        <v>61</v>
      </c>
      <c r="C196" s="118" t="s">
        <v>816</v>
      </c>
      <c r="D196" s="117" t="s">
        <v>808</v>
      </c>
      <c r="E196" s="130">
        <v>1.427083333333333</v>
      </c>
      <c r="F196" s="117" t="s">
        <v>63</v>
      </c>
      <c r="G196" s="119">
        <v>9</v>
      </c>
      <c r="H196" s="120" t="s">
        <v>849</v>
      </c>
    </row>
    <row r="197" spans="1:8" ht="19.899999999999999" customHeight="1">
      <c r="A197" s="121">
        <v>46026</v>
      </c>
      <c r="B197" s="112" t="s">
        <v>359</v>
      </c>
      <c r="C197" s="113" t="s">
        <v>814</v>
      </c>
      <c r="D197" s="112" t="s">
        <v>808</v>
      </c>
      <c r="E197" s="122">
        <v>1.2951388888888891</v>
      </c>
      <c r="F197" s="112" t="s">
        <v>361</v>
      </c>
      <c r="G197" s="114">
        <v>9</v>
      </c>
      <c r="H197" s="115" t="s">
        <v>879</v>
      </c>
    </row>
    <row r="198" spans="1:8" ht="19.899999999999999" customHeight="1">
      <c r="A198" s="121">
        <v>46026</v>
      </c>
      <c r="B198" s="112" t="s">
        <v>38</v>
      </c>
      <c r="C198" s="113" t="s">
        <v>811</v>
      </c>
      <c r="D198" s="112" t="s">
        <v>808</v>
      </c>
      <c r="E198" s="122">
        <v>1.6284722222222221</v>
      </c>
      <c r="F198" s="112" t="s">
        <v>40</v>
      </c>
      <c r="G198" s="114">
        <v>14</v>
      </c>
      <c r="H198" s="115" t="s">
        <v>42</v>
      </c>
    </row>
    <row r="199" spans="1:8" ht="19.899999999999999" customHeight="1">
      <c r="A199" s="121">
        <v>46026</v>
      </c>
      <c r="B199" s="112" t="s">
        <v>26</v>
      </c>
      <c r="C199" s="113" t="s">
        <v>820</v>
      </c>
      <c r="D199" s="112" t="s">
        <v>808</v>
      </c>
      <c r="E199" s="122">
        <v>1.4375</v>
      </c>
      <c r="F199" s="112" t="s">
        <v>31</v>
      </c>
      <c r="G199" s="114">
        <v>8</v>
      </c>
      <c r="H199" s="115" t="s">
        <v>347</v>
      </c>
    </row>
    <row r="200" spans="1:8" ht="19.899999999999999" customHeight="1">
      <c r="A200" s="121">
        <v>46026</v>
      </c>
      <c r="B200" s="112" t="s">
        <v>26</v>
      </c>
      <c r="C200" s="113" t="s">
        <v>821</v>
      </c>
      <c r="D200" s="112" t="s">
        <v>808</v>
      </c>
      <c r="E200" s="122">
        <v>1.631944444444444</v>
      </c>
      <c r="F200" s="112" t="s">
        <v>31</v>
      </c>
      <c r="G200" s="114">
        <v>4</v>
      </c>
      <c r="H200" s="115" t="s">
        <v>347</v>
      </c>
    </row>
    <row r="201" spans="1:8" ht="19.899999999999999" customHeight="1">
      <c r="A201" s="121">
        <v>46026</v>
      </c>
      <c r="B201" s="112" t="s">
        <v>26</v>
      </c>
      <c r="C201" s="113" t="s">
        <v>822</v>
      </c>
      <c r="D201" s="112" t="s">
        <v>808</v>
      </c>
      <c r="E201" s="122">
        <v>1.5590277777777779</v>
      </c>
      <c r="F201" s="112" t="s">
        <v>31</v>
      </c>
      <c r="G201" s="114">
        <v>9</v>
      </c>
      <c r="H201" s="115" t="s">
        <v>347</v>
      </c>
    </row>
    <row r="202" spans="1:8" ht="19.899999999999999" customHeight="1">
      <c r="A202" s="121">
        <v>46026</v>
      </c>
      <c r="B202" s="112" t="s">
        <v>26</v>
      </c>
      <c r="C202" s="113" t="s">
        <v>823</v>
      </c>
      <c r="D202" s="112" t="s">
        <v>808</v>
      </c>
      <c r="E202" s="122">
        <v>1.819444444444444</v>
      </c>
      <c r="F202" s="112" t="s">
        <v>31</v>
      </c>
      <c r="G202" s="114">
        <v>9</v>
      </c>
      <c r="H202" s="115" t="s">
        <v>347</v>
      </c>
    </row>
    <row r="203" spans="1:8" ht="19.899999999999999" customHeight="1">
      <c r="A203" s="121">
        <v>46026</v>
      </c>
      <c r="B203" s="112" t="s">
        <v>26</v>
      </c>
      <c r="C203" s="113" t="s">
        <v>824</v>
      </c>
      <c r="D203" s="112" t="s">
        <v>808</v>
      </c>
      <c r="E203" s="122">
        <v>1.506944444444444</v>
      </c>
      <c r="F203" s="112" t="s">
        <v>31</v>
      </c>
      <c r="G203" s="114">
        <v>9</v>
      </c>
      <c r="H203" s="115" t="s">
        <v>347</v>
      </c>
    </row>
    <row r="204" spans="1:8" ht="19.899999999999999" customHeight="1">
      <c r="A204" s="121">
        <v>46026</v>
      </c>
      <c r="B204" s="112" t="s">
        <v>48</v>
      </c>
      <c r="C204" s="113" t="s">
        <v>828</v>
      </c>
      <c r="D204" s="112" t="s">
        <v>808</v>
      </c>
      <c r="E204" s="122">
        <v>1.8298611111111109</v>
      </c>
      <c r="F204" s="112" t="s">
        <v>643</v>
      </c>
      <c r="G204" s="114">
        <v>9</v>
      </c>
      <c r="H204" s="115" t="s">
        <v>829</v>
      </c>
    </row>
    <row r="205" spans="1:8" ht="19.899999999999999" customHeight="1">
      <c r="A205" s="121">
        <v>46026</v>
      </c>
      <c r="B205" s="112" t="s">
        <v>48</v>
      </c>
      <c r="C205" s="113" t="s">
        <v>875</v>
      </c>
      <c r="D205" s="112" t="s">
        <v>808</v>
      </c>
      <c r="E205" s="122">
        <v>1.697916666666667</v>
      </c>
      <c r="F205" s="112" t="s">
        <v>50</v>
      </c>
      <c r="G205" s="114">
        <v>9</v>
      </c>
      <c r="H205" s="115" t="s">
        <v>829</v>
      </c>
    </row>
    <row r="206" spans="1:8" ht="19.899999999999999" customHeight="1">
      <c r="A206" s="121">
        <v>46026</v>
      </c>
      <c r="B206" s="112" t="s">
        <v>48</v>
      </c>
      <c r="C206" s="113" t="s">
        <v>875</v>
      </c>
      <c r="D206" s="112" t="s">
        <v>808</v>
      </c>
      <c r="E206" s="122">
        <v>1.697916666666667</v>
      </c>
      <c r="F206" s="112" t="s">
        <v>643</v>
      </c>
      <c r="G206" s="114">
        <v>9</v>
      </c>
      <c r="H206" s="115" t="s">
        <v>829</v>
      </c>
    </row>
    <row r="207" spans="1:8" ht="19.899999999999999" customHeight="1">
      <c r="A207" s="121">
        <v>46026</v>
      </c>
      <c r="B207" s="112" t="s">
        <v>48</v>
      </c>
      <c r="C207" s="113" t="s">
        <v>832</v>
      </c>
      <c r="D207" s="112" t="s">
        <v>808</v>
      </c>
      <c r="E207" s="122">
        <v>1.6284722222222221</v>
      </c>
      <c r="F207" s="112" t="s">
        <v>643</v>
      </c>
      <c r="G207" s="114">
        <v>9</v>
      </c>
      <c r="H207" s="115" t="s">
        <v>829</v>
      </c>
    </row>
    <row r="208" spans="1:8" ht="19.899999999999999" customHeight="1">
      <c r="A208" s="121">
        <v>46026</v>
      </c>
      <c r="B208" s="112" t="s">
        <v>38</v>
      </c>
      <c r="C208" s="113" t="s">
        <v>812</v>
      </c>
      <c r="D208" s="112" t="s">
        <v>808</v>
      </c>
      <c r="E208" s="122">
        <v>1.8888888888888891</v>
      </c>
      <c r="F208" s="112" t="s">
        <v>43</v>
      </c>
      <c r="G208" s="114">
        <v>12</v>
      </c>
      <c r="H208" s="115" t="s">
        <v>121</v>
      </c>
    </row>
    <row r="209" spans="1:8" ht="19.899999999999999" customHeight="1">
      <c r="A209" s="121">
        <v>46026</v>
      </c>
      <c r="B209" s="112" t="s">
        <v>26</v>
      </c>
      <c r="C209" s="113" t="s">
        <v>826</v>
      </c>
      <c r="D209" s="112" t="s">
        <v>808</v>
      </c>
      <c r="E209" s="122">
        <v>1.958333333333333</v>
      </c>
      <c r="F209" s="112" t="s">
        <v>31</v>
      </c>
      <c r="G209" s="114">
        <v>9</v>
      </c>
      <c r="H209" s="115" t="s">
        <v>83</v>
      </c>
    </row>
    <row r="210" spans="1:8" ht="19.899999999999999" customHeight="1">
      <c r="A210" s="121">
        <v>46026</v>
      </c>
      <c r="B210" s="112" t="s">
        <v>26</v>
      </c>
      <c r="C210" s="113" t="s">
        <v>825</v>
      </c>
      <c r="D210" s="112" t="s">
        <v>808</v>
      </c>
      <c r="E210" s="122">
        <v>1.697916666666667</v>
      </c>
      <c r="F210" s="112" t="s">
        <v>31</v>
      </c>
      <c r="G210" s="114">
        <v>6</v>
      </c>
      <c r="H210" s="115" t="s">
        <v>83</v>
      </c>
    </row>
    <row r="211" spans="1:8" ht="19.899999999999999" customHeight="1">
      <c r="A211" s="121">
        <v>46026</v>
      </c>
      <c r="B211" s="112" t="s">
        <v>38</v>
      </c>
      <c r="C211" s="113" t="s">
        <v>813</v>
      </c>
      <c r="D211" s="112" t="s">
        <v>808</v>
      </c>
      <c r="E211" s="122">
        <v>1.944444444444444</v>
      </c>
      <c r="F211" s="112" t="s">
        <v>43</v>
      </c>
      <c r="G211" s="114">
        <v>15</v>
      </c>
      <c r="H211" s="115" t="s">
        <v>349</v>
      </c>
    </row>
    <row r="212" spans="1:8" ht="19.899999999999999" customHeight="1">
      <c r="A212" s="121">
        <v>46026</v>
      </c>
      <c r="B212" s="112" t="s">
        <v>26</v>
      </c>
      <c r="C212" s="113" t="s">
        <v>820</v>
      </c>
      <c r="D212" s="112" t="s">
        <v>808</v>
      </c>
      <c r="E212" s="122">
        <v>1.4375</v>
      </c>
      <c r="F212" s="112" t="s">
        <v>34</v>
      </c>
      <c r="G212" s="114">
        <v>8</v>
      </c>
      <c r="H212" s="115" t="s">
        <v>161</v>
      </c>
    </row>
    <row r="213" spans="1:8" ht="19.899999999999999" customHeight="1">
      <c r="A213" s="121">
        <v>46026</v>
      </c>
      <c r="B213" s="112" t="s">
        <v>26</v>
      </c>
      <c r="C213" s="113" t="s">
        <v>821</v>
      </c>
      <c r="D213" s="112" t="s">
        <v>808</v>
      </c>
      <c r="E213" s="122">
        <v>1.631944444444444</v>
      </c>
      <c r="F213" s="112" t="s">
        <v>34</v>
      </c>
      <c r="G213" s="114">
        <v>4</v>
      </c>
      <c r="H213" s="115" t="s">
        <v>161</v>
      </c>
    </row>
    <row r="214" spans="1:8" ht="19.899999999999999" customHeight="1">
      <c r="A214" s="121">
        <v>46026</v>
      </c>
      <c r="B214" s="112" t="s">
        <v>26</v>
      </c>
      <c r="C214" s="113" t="s">
        <v>822</v>
      </c>
      <c r="D214" s="112" t="s">
        <v>808</v>
      </c>
      <c r="E214" s="122">
        <v>1.5590277777777779</v>
      </c>
      <c r="F214" s="112" t="s">
        <v>34</v>
      </c>
      <c r="G214" s="114">
        <v>9</v>
      </c>
      <c r="H214" s="115" t="s">
        <v>161</v>
      </c>
    </row>
    <row r="215" spans="1:8" ht="19.899999999999999" customHeight="1">
      <c r="A215" s="121">
        <v>46026</v>
      </c>
      <c r="B215" s="112" t="s">
        <v>26</v>
      </c>
      <c r="C215" s="113" t="s">
        <v>823</v>
      </c>
      <c r="D215" s="112" t="s">
        <v>808</v>
      </c>
      <c r="E215" s="122">
        <v>1.819444444444444</v>
      </c>
      <c r="F215" s="112" t="s">
        <v>34</v>
      </c>
      <c r="G215" s="114">
        <v>9</v>
      </c>
      <c r="H215" s="115" t="s">
        <v>161</v>
      </c>
    </row>
    <row r="216" spans="1:8" ht="19.899999999999999" customHeight="1">
      <c r="A216" s="121">
        <v>46026</v>
      </c>
      <c r="B216" s="112" t="s">
        <v>26</v>
      </c>
      <c r="C216" s="113" t="s">
        <v>824</v>
      </c>
      <c r="D216" s="112" t="s">
        <v>808</v>
      </c>
      <c r="E216" s="122">
        <v>1.506944444444444</v>
      </c>
      <c r="F216" s="112" t="s">
        <v>34</v>
      </c>
      <c r="G216" s="114">
        <v>9</v>
      </c>
      <c r="H216" s="115" t="s">
        <v>161</v>
      </c>
    </row>
    <row r="217" spans="1:8" ht="19.899999999999999" customHeight="1">
      <c r="A217" s="121">
        <v>46026</v>
      </c>
      <c r="B217" s="112" t="s">
        <v>48</v>
      </c>
      <c r="C217" s="113" t="s">
        <v>831</v>
      </c>
      <c r="D217" s="112" t="s">
        <v>808</v>
      </c>
      <c r="E217" s="122">
        <v>1.9826388888888891</v>
      </c>
      <c r="F217" s="112" t="s">
        <v>53</v>
      </c>
      <c r="G217" s="114">
        <v>1</v>
      </c>
      <c r="H217" s="115" t="s">
        <v>874</v>
      </c>
    </row>
    <row r="218" spans="1:8" ht="19.899999999999999" customHeight="1">
      <c r="A218" s="121">
        <v>46026</v>
      </c>
      <c r="B218" s="112" t="s">
        <v>38</v>
      </c>
      <c r="C218" s="113" t="s">
        <v>809</v>
      </c>
      <c r="D218" s="112" t="s">
        <v>808</v>
      </c>
      <c r="E218" s="122">
        <v>1.5763888888888891</v>
      </c>
      <c r="F218" s="112" t="s">
        <v>43</v>
      </c>
      <c r="G218" s="114">
        <v>15</v>
      </c>
      <c r="H218" s="115" t="s">
        <v>426</v>
      </c>
    </row>
    <row r="219" spans="1:8" ht="19.899999999999999" customHeight="1">
      <c r="A219" s="121">
        <v>46026</v>
      </c>
      <c r="B219" s="112" t="s">
        <v>68</v>
      </c>
      <c r="C219" s="113" t="s">
        <v>842</v>
      </c>
      <c r="D219" s="112" t="s">
        <v>808</v>
      </c>
      <c r="E219" s="122">
        <v>1.9826388888888891</v>
      </c>
      <c r="F219" s="112" t="s">
        <v>70</v>
      </c>
      <c r="G219" s="114">
        <v>9</v>
      </c>
      <c r="H219" s="115" t="s">
        <v>45</v>
      </c>
    </row>
    <row r="220" spans="1:8" ht="19.899999999999999" customHeight="1">
      <c r="A220" s="121">
        <v>46026</v>
      </c>
      <c r="B220" s="112" t="s">
        <v>68</v>
      </c>
      <c r="C220" s="113" t="s">
        <v>843</v>
      </c>
      <c r="D220" s="112" t="s">
        <v>808</v>
      </c>
      <c r="E220" s="122">
        <v>1.354166666666667</v>
      </c>
      <c r="F220" s="112" t="s">
        <v>70</v>
      </c>
      <c r="G220" s="114">
        <v>9</v>
      </c>
      <c r="H220" s="115" t="s">
        <v>45</v>
      </c>
    </row>
    <row r="221" spans="1:8" ht="19.899999999999999" customHeight="1">
      <c r="A221" s="121">
        <v>46026</v>
      </c>
      <c r="B221" s="112" t="s">
        <v>38</v>
      </c>
      <c r="C221" s="113" t="s">
        <v>811</v>
      </c>
      <c r="D221" s="112" t="s">
        <v>808</v>
      </c>
      <c r="E221" s="122">
        <v>1.6284722222222221</v>
      </c>
      <c r="F221" s="112" t="s">
        <v>43</v>
      </c>
      <c r="G221" s="114">
        <v>14</v>
      </c>
      <c r="H221" s="115" t="s">
        <v>45</v>
      </c>
    </row>
    <row r="222" spans="1:8" ht="19.899999999999999" customHeight="1">
      <c r="A222" s="121">
        <v>46026</v>
      </c>
      <c r="B222" s="112" t="s">
        <v>26</v>
      </c>
      <c r="C222" s="113" t="s">
        <v>826</v>
      </c>
      <c r="D222" s="112" t="s">
        <v>808</v>
      </c>
      <c r="E222" s="122">
        <v>1.958333333333333</v>
      </c>
      <c r="F222" s="112" t="s">
        <v>34</v>
      </c>
      <c r="G222" s="114">
        <v>9</v>
      </c>
      <c r="H222" s="115" t="s">
        <v>45</v>
      </c>
    </row>
    <row r="223" spans="1:8" ht="19.899999999999999" customHeight="1">
      <c r="A223" s="121">
        <v>46026</v>
      </c>
      <c r="B223" s="112" t="s">
        <v>26</v>
      </c>
      <c r="C223" s="113" t="s">
        <v>825</v>
      </c>
      <c r="D223" s="112" t="s">
        <v>808</v>
      </c>
      <c r="E223" s="122">
        <v>1.697916666666667</v>
      </c>
      <c r="F223" s="112" t="s">
        <v>34</v>
      </c>
      <c r="G223" s="114">
        <v>6</v>
      </c>
      <c r="H223" s="115" t="s">
        <v>45</v>
      </c>
    </row>
    <row r="224" spans="1:8" ht="19.899999999999999" customHeight="1">
      <c r="A224" s="121">
        <v>46026</v>
      </c>
      <c r="B224" s="112" t="s">
        <v>48</v>
      </c>
      <c r="C224" s="113" t="s">
        <v>875</v>
      </c>
      <c r="D224" s="112" t="s">
        <v>808</v>
      </c>
      <c r="E224" s="122">
        <v>1.697916666666667</v>
      </c>
      <c r="F224" s="112" t="s">
        <v>53</v>
      </c>
      <c r="G224" s="114">
        <v>9</v>
      </c>
      <c r="H224" s="115" t="s">
        <v>830</v>
      </c>
    </row>
    <row r="225" spans="1:8" ht="19.899999999999999" customHeight="1">
      <c r="A225" s="121">
        <v>46026</v>
      </c>
      <c r="B225" s="112" t="s">
        <v>402</v>
      </c>
      <c r="C225" s="113" t="s">
        <v>839</v>
      </c>
      <c r="D225" s="112" t="s">
        <v>808</v>
      </c>
      <c r="E225" s="122">
        <v>1.1736111111111109</v>
      </c>
      <c r="F225" s="112" t="s">
        <v>63</v>
      </c>
      <c r="G225" s="114">
        <v>2</v>
      </c>
      <c r="H225" s="115" t="s">
        <v>881</v>
      </c>
    </row>
    <row r="226" spans="1:8" ht="19.899999999999999" customHeight="1">
      <c r="A226" s="121">
        <v>46026</v>
      </c>
      <c r="B226" s="112" t="s">
        <v>48</v>
      </c>
      <c r="C226" s="113" t="s">
        <v>833</v>
      </c>
      <c r="D226" s="112" t="s">
        <v>808</v>
      </c>
      <c r="E226" s="122">
        <v>1.444444444444444</v>
      </c>
      <c r="F226" s="112" t="s">
        <v>643</v>
      </c>
      <c r="G226" s="114">
        <v>9</v>
      </c>
      <c r="H226" s="115" t="s">
        <v>876</v>
      </c>
    </row>
    <row r="227" spans="1:8" ht="19.899999999999999" customHeight="1">
      <c r="A227" s="121">
        <v>46026</v>
      </c>
      <c r="B227" s="112" t="s">
        <v>68</v>
      </c>
      <c r="C227" s="113" t="s">
        <v>844</v>
      </c>
      <c r="D227" s="112" t="s">
        <v>808</v>
      </c>
      <c r="E227" s="122">
        <v>1.729166666666667</v>
      </c>
      <c r="F227" s="112" t="s">
        <v>70</v>
      </c>
      <c r="G227" s="114">
        <v>9</v>
      </c>
      <c r="H227" s="115" t="s">
        <v>162</v>
      </c>
    </row>
    <row r="228" spans="1:8" ht="19.899999999999999" customHeight="1">
      <c r="A228" s="121">
        <v>46026</v>
      </c>
      <c r="B228" s="112" t="s">
        <v>359</v>
      </c>
      <c r="C228" s="113" t="s">
        <v>814</v>
      </c>
      <c r="D228" s="112" t="s">
        <v>808</v>
      </c>
      <c r="E228" s="122">
        <v>1.2951388888888891</v>
      </c>
      <c r="F228" s="112" t="s">
        <v>46</v>
      </c>
      <c r="G228" s="114">
        <v>9</v>
      </c>
      <c r="H228" s="115" t="s">
        <v>880</v>
      </c>
    </row>
    <row r="229" spans="1:8" ht="19.899999999999999" customHeight="1">
      <c r="A229" s="121">
        <v>46026</v>
      </c>
      <c r="B229" s="112" t="s">
        <v>38</v>
      </c>
      <c r="C229" s="113" t="s">
        <v>809</v>
      </c>
      <c r="D229" s="112" t="s">
        <v>808</v>
      </c>
      <c r="E229" s="122">
        <v>1.5763888888888891</v>
      </c>
      <c r="F229" s="112" t="s">
        <v>46</v>
      </c>
      <c r="G229" s="114">
        <v>15</v>
      </c>
      <c r="H229" s="115" t="s">
        <v>810</v>
      </c>
    </row>
    <row r="230" spans="1:8" ht="19.899999999999999" customHeight="1">
      <c r="A230" s="121">
        <v>46026</v>
      </c>
      <c r="B230" s="112" t="s">
        <v>38</v>
      </c>
      <c r="C230" s="113" t="s">
        <v>811</v>
      </c>
      <c r="D230" s="112" t="s">
        <v>808</v>
      </c>
      <c r="E230" s="122">
        <v>1.6284722222222221</v>
      </c>
      <c r="F230" s="112" t="s">
        <v>46</v>
      </c>
      <c r="G230" s="114">
        <v>14</v>
      </c>
      <c r="H230" s="115" t="s">
        <v>810</v>
      </c>
    </row>
    <row r="231" spans="1:8" ht="19.899999999999999" customHeight="1">
      <c r="A231" s="121">
        <v>46026</v>
      </c>
      <c r="B231" s="112" t="s">
        <v>38</v>
      </c>
      <c r="C231" s="113" t="s">
        <v>812</v>
      </c>
      <c r="D231" s="112" t="s">
        <v>808</v>
      </c>
      <c r="E231" s="122">
        <v>1.8888888888888891</v>
      </c>
      <c r="F231" s="112" t="s">
        <v>46</v>
      </c>
      <c r="G231" s="114">
        <v>12</v>
      </c>
      <c r="H231" s="115" t="s">
        <v>810</v>
      </c>
    </row>
    <row r="232" spans="1:8" ht="19.899999999999999" customHeight="1">
      <c r="A232" s="121">
        <v>46026</v>
      </c>
      <c r="B232" s="112" t="s">
        <v>38</v>
      </c>
      <c r="C232" s="113" t="s">
        <v>813</v>
      </c>
      <c r="D232" s="112" t="s">
        <v>808</v>
      </c>
      <c r="E232" s="122">
        <v>1.944444444444444</v>
      </c>
      <c r="F232" s="112" t="s">
        <v>46</v>
      </c>
      <c r="G232" s="114">
        <v>15</v>
      </c>
      <c r="H232" s="115" t="s">
        <v>810</v>
      </c>
    </row>
    <row r="233" spans="1:8" ht="19.899999999999999" customHeight="1">
      <c r="A233" s="121">
        <v>46026</v>
      </c>
      <c r="B233" s="112" t="s">
        <v>48</v>
      </c>
      <c r="C233" s="113" t="s">
        <v>835</v>
      </c>
      <c r="D233" s="112" t="s">
        <v>808</v>
      </c>
      <c r="E233" s="122">
        <v>1.8888888888888891</v>
      </c>
      <c r="F233" s="112" t="s">
        <v>53</v>
      </c>
      <c r="G233" s="114">
        <v>4</v>
      </c>
      <c r="H233" s="115" t="s">
        <v>836</v>
      </c>
    </row>
    <row r="234" spans="1:8" ht="19.899999999999999" customHeight="1">
      <c r="A234" s="121">
        <v>46026</v>
      </c>
      <c r="B234" s="112" t="s">
        <v>48</v>
      </c>
      <c r="C234" s="113" t="s">
        <v>838</v>
      </c>
      <c r="D234" s="112" t="s">
        <v>808</v>
      </c>
      <c r="E234" s="122">
        <v>1.944444444444444</v>
      </c>
      <c r="F234" s="112" t="s">
        <v>70</v>
      </c>
      <c r="G234" s="114">
        <v>4</v>
      </c>
      <c r="H234" s="115" t="s">
        <v>836</v>
      </c>
    </row>
    <row r="235" spans="1:8" ht="19.899999999999999" customHeight="1">
      <c r="A235" s="123">
        <v>46026</v>
      </c>
      <c r="B235" s="124" t="s">
        <v>48</v>
      </c>
      <c r="C235" s="125" t="s">
        <v>837</v>
      </c>
      <c r="D235" s="124" t="s">
        <v>808</v>
      </c>
      <c r="E235" s="126">
        <v>1.6284722222222221</v>
      </c>
      <c r="F235" s="124" t="s">
        <v>70</v>
      </c>
      <c r="G235" s="127">
        <v>4</v>
      </c>
      <c r="H235" s="128" t="s">
        <v>859</v>
      </c>
    </row>
    <row r="236" spans="1:8" ht="19.899999999999999" customHeight="1">
      <c r="A236" s="121">
        <v>46027</v>
      </c>
      <c r="B236" s="112" t="s">
        <v>38</v>
      </c>
      <c r="C236" s="113" t="s">
        <v>809</v>
      </c>
      <c r="D236" s="112" t="s">
        <v>808</v>
      </c>
      <c r="E236" s="122">
        <v>1.5763888888888891</v>
      </c>
      <c r="F236" s="112" t="s">
        <v>440</v>
      </c>
      <c r="G236" s="114">
        <v>9</v>
      </c>
      <c r="H236" s="115" t="s">
        <v>475</v>
      </c>
    </row>
    <row r="237" spans="1:8" ht="19.899999999999999" customHeight="1">
      <c r="A237" s="121">
        <v>46027</v>
      </c>
      <c r="B237" s="112" t="s">
        <v>38</v>
      </c>
      <c r="C237" s="113" t="s">
        <v>812</v>
      </c>
      <c r="D237" s="112" t="s">
        <v>808</v>
      </c>
      <c r="E237" s="122">
        <v>1.8888888888888891</v>
      </c>
      <c r="F237" s="112" t="s">
        <v>440</v>
      </c>
      <c r="G237" s="114">
        <v>10</v>
      </c>
      <c r="H237" s="115" t="s">
        <v>475</v>
      </c>
    </row>
    <row r="238" spans="1:8" ht="19.899999999999999" customHeight="1">
      <c r="A238" s="121">
        <v>46027</v>
      </c>
      <c r="B238" s="112" t="s">
        <v>38</v>
      </c>
      <c r="C238" s="113" t="s">
        <v>813</v>
      </c>
      <c r="D238" s="112" t="s">
        <v>808</v>
      </c>
      <c r="E238" s="122">
        <v>1.944444444444444</v>
      </c>
      <c r="F238" s="112" t="s">
        <v>440</v>
      </c>
      <c r="G238" s="114">
        <v>17</v>
      </c>
      <c r="H238" s="115" t="s">
        <v>475</v>
      </c>
    </row>
    <row r="239" spans="1:8" ht="19.899999999999999" customHeight="1">
      <c r="A239" s="121">
        <v>46027</v>
      </c>
      <c r="B239" s="112" t="s">
        <v>359</v>
      </c>
      <c r="C239" s="113" t="s">
        <v>814</v>
      </c>
      <c r="D239" s="112" t="s">
        <v>808</v>
      </c>
      <c r="E239" s="122">
        <v>1.3298611111111109</v>
      </c>
      <c r="F239" s="112" t="s">
        <v>469</v>
      </c>
      <c r="G239" s="114">
        <v>9</v>
      </c>
      <c r="H239" s="115" t="s">
        <v>883</v>
      </c>
    </row>
    <row r="240" spans="1:8" ht="19.899999999999999" customHeight="1">
      <c r="A240" s="121">
        <v>46027</v>
      </c>
      <c r="B240" s="112" t="s">
        <v>38</v>
      </c>
      <c r="C240" s="113" t="s">
        <v>811</v>
      </c>
      <c r="D240" s="112" t="s">
        <v>808</v>
      </c>
      <c r="E240" s="122">
        <v>1.6284722222222221</v>
      </c>
      <c r="F240" s="112" t="s">
        <v>440</v>
      </c>
      <c r="G240" s="114">
        <v>12</v>
      </c>
      <c r="H240" s="115" t="s">
        <v>872</v>
      </c>
    </row>
    <row r="241" spans="1:8" ht="19.899999999999999" customHeight="1">
      <c r="A241" s="121">
        <v>46027</v>
      </c>
      <c r="B241" s="112" t="s">
        <v>26</v>
      </c>
      <c r="C241" s="113" t="s">
        <v>820</v>
      </c>
      <c r="D241" s="112" t="s">
        <v>808</v>
      </c>
      <c r="E241" s="122">
        <v>1.4375</v>
      </c>
      <c r="F241" s="112" t="s">
        <v>451</v>
      </c>
      <c r="G241" s="114">
        <v>9</v>
      </c>
      <c r="H241" s="115" t="s">
        <v>81</v>
      </c>
    </row>
    <row r="242" spans="1:8" ht="19.899999999999999" customHeight="1">
      <c r="A242" s="121">
        <v>46027</v>
      </c>
      <c r="B242" s="112" t="s">
        <v>26</v>
      </c>
      <c r="C242" s="113" t="s">
        <v>826</v>
      </c>
      <c r="D242" s="112" t="s">
        <v>808</v>
      </c>
      <c r="E242" s="122">
        <v>1.958333333333333</v>
      </c>
      <c r="F242" s="112" t="s">
        <v>28</v>
      </c>
      <c r="G242" s="114">
        <v>9</v>
      </c>
      <c r="H242" s="115" t="s">
        <v>81</v>
      </c>
    </row>
    <row r="243" spans="1:8" ht="19.899999999999999" customHeight="1">
      <c r="A243" s="121">
        <v>46027</v>
      </c>
      <c r="B243" s="112" t="s">
        <v>26</v>
      </c>
      <c r="C243" s="113" t="s">
        <v>821</v>
      </c>
      <c r="D243" s="112" t="s">
        <v>808</v>
      </c>
      <c r="E243" s="122">
        <v>1.631944444444444</v>
      </c>
      <c r="F243" s="112" t="s">
        <v>451</v>
      </c>
      <c r="G243" s="114">
        <v>9</v>
      </c>
      <c r="H243" s="115" t="s">
        <v>81</v>
      </c>
    </row>
    <row r="244" spans="1:8" ht="19.899999999999999" customHeight="1">
      <c r="A244" s="121">
        <v>46027</v>
      </c>
      <c r="B244" s="112" t="s">
        <v>26</v>
      </c>
      <c r="C244" s="113" t="s">
        <v>822</v>
      </c>
      <c r="D244" s="112" t="s">
        <v>808</v>
      </c>
      <c r="E244" s="122">
        <v>1.5590277777777779</v>
      </c>
      <c r="F244" s="112" t="s">
        <v>451</v>
      </c>
      <c r="G244" s="114">
        <v>9</v>
      </c>
      <c r="H244" s="115" t="s">
        <v>81</v>
      </c>
    </row>
    <row r="245" spans="1:8" ht="19.899999999999999" customHeight="1">
      <c r="A245" s="121">
        <v>46027</v>
      </c>
      <c r="B245" s="112" t="s">
        <v>26</v>
      </c>
      <c r="C245" s="113" t="s">
        <v>823</v>
      </c>
      <c r="D245" s="112" t="s">
        <v>808</v>
      </c>
      <c r="E245" s="122">
        <v>1.819444444444444</v>
      </c>
      <c r="F245" s="112" t="s">
        <v>451</v>
      </c>
      <c r="G245" s="114">
        <v>9</v>
      </c>
      <c r="H245" s="115" t="s">
        <v>81</v>
      </c>
    </row>
    <row r="246" spans="1:8" ht="19.899999999999999" customHeight="1">
      <c r="A246" s="121">
        <v>46027</v>
      </c>
      <c r="B246" s="112" t="s">
        <v>26</v>
      </c>
      <c r="C246" s="113" t="s">
        <v>824</v>
      </c>
      <c r="D246" s="112" t="s">
        <v>808</v>
      </c>
      <c r="E246" s="122">
        <v>1.506944444444444</v>
      </c>
      <c r="F246" s="112" t="s">
        <v>451</v>
      </c>
      <c r="G246" s="114">
        <v>9</v>
      </c>
      <c r="H246" s="115" t="s">
        <v>81</v>
      </c>
    </row>
    <row r="247" spans="1:8" ht="19.899999999999999" customHeight="1">
      <c r="A247" s="121">
        <v>46027</v>
      </c>
      <c r="B247" s="112" t="s">
        <v>26</v>
      </c>
      <c r="C247" s="113" t="s">
        <v>825</v>
      </c>
      <c r="D247" s="112" t="s">
        <v>808</v>
      </c>
      <c r="E247" s="122">
        <v>1.697916666666667</v>
      </c>
      <c r="F247" s="112" t="s">
        <v>451</v>
      </c>
      <c r="G247" s="114">
        <v>9</v>
      </c>
      <c r="H247" s="115" t="s">
        <v>81</v>
      </c>
    </row>
    <row r="248" spans="1:8" ht="19.899999999999999" customHeight="1">
      <c r="A248" s="121">
        <v>46027</v>
      </c>
      <c r="B248" s="112" t="s">
        <v>48</v>
      </c>
      <c r="C248" s="113" t="s">
        <v>833</v>
      </c>
      <c r="D248" s="112" t="s">
        <v>808</v>
      </c>
      <c r="E248" s="122">
        <v>1.444444444444444</v>
      </c>
      <c r="F248" s="112" t="s">
        <v>643</v>
      </c>
      <c r="G248" s="114">
        <v>9</v>
      </c>
      <c r="H248" s="115" t="s">
        <v>873</v>
      </c>
    </row>
    <row r="249" spans="1:8" ht="19.899999999999999" customHeight="1">
      <c r="A249" s="121">
        <v>46027</v>
      </c>
      <c r="B249" s="112" t="s">
        <v>48</v>
      </c>
      <c r="C249" s="113" t="s">
        <v>884</v>
      </c>
      <c r="D249" s="112" t="s">
        <v>808</v>
      </c>
      <c r="E249" s="122">
        <v>1.208333333333333</v>
      </c>
      <c r="F249" s="112" t="s">
        <v>643</v>
      </c>
      <c r="G249" s="114">
        <v>9</v>
      </c>
      <c r="H249" s="115" t="s">
        <v>873</v>
      </c>
    </row>
    <row r="250" spans="1:8" ht="19.899999999999999" customHeight="1">
      <c r="A250" s="121">
        <v>46027</v>
      </c>
      <c r="B250" s="112" t="s">
        <v>48</v>
      </c>
      <c r="C250" s="113" t="s">
        <v>831</v>
      </c>
      <c r="D250" s="112" t="s">
        <v>808</v>
      </c>
      <c r="E250" s="122">
        <v>1.9826388888888891</v>
      </c>
      <c r="F250" s="112" t="s">
        <v>643</v>
      </c>
      <c r="G250" s="114">
        <v>9</v>
      </c>
      <c r="H250" s="115" t="s">
        <v>873</v>
      </c>
    </row>
    <row r="251" spans="1:8" ht="19.899999999999999" customHeight="1">
      <c r="A251" s="129">
        <v>46027</v>
      </c>
      <c r="B251" s="117" t="s">
        <v>61</v>
      </c>
      <c r="C251" s="118" t="s">
        <v>852</v>
      </c>
      <c r="D251" s="117" t="s">
        <v>808</v>
      </c>
      <c r="E251" s="130">
        <v>1.725694444444444</v>
      </c>
      <c r="F251" s="117" t="s">
        <v>63</v>
      </c>
      <c r="G251" s="119">
        <v>9</v>
      </c>
      <c r="H251" s="120" t="s">
        <v>849</v>
      </c>
    </row>
    <row r="252" spans="1:8" ht="19.899999999999999" customHeight="1">
      <c r="A252" s="121">
        <v>46027</v>
      </c>
      <c r="B252" s="112" t="s">
        <v>48</v>
      </c>
      <c r="C252" s="113" t="s">
        <v>828</v>
      </c>
      <c r="D252" s="112" t="s">
        <v>808</v>
      </c>
      <c r="E252" s="122">
        <v>1.8298611111111109</v>
      </c>
      <c r="F252" s="112" t="s">
        <v>643</v>
      </c>
      <c r="G252" s="114">
        <v>9</v>
      </c>
      <c r="H252" s="115" t="s">
        <v>829</v>
      </c>
    </row>
    <row r="253" spans="1:8" ht="19.899999999999999" customHeight="1">
      <c r="A253" s="121">
        <v>46027</v>
      </c>
      <c r="B253" s="112" t="s">
        <v>48</v>
      </c>
      <c r="C253" s="113" t="s">
        <v>832</v>
      </c>
      <c r="D253" s="112" t="s">
        <v>808</v>
      </c>
      <c r="E253" s="122">
        <v>1.6284722222222221</v>
      </c>
      <c r="F253" s="112" t="s">
        <v>643</v>
      </c>
      <c r="G253" s="114">
        <v>9</v>
      </c>
      <c r="H253" s="115" t="s">
        <v>829</v>
      </c>
    </row>
    <row r="254" spans="1:8" ht="19.899999999999999" customHeight="1">
      <c r="A254" s="121">
        <v>46027</v>
      </c>
      <c r="B254" s="112" t="s">
        <v>26</v>
      </c>
      <c r="C254" s="113" t="s">
        <v>826</v>
      </c>
      <c r="D254" s="112" t="s">
        <v>808</v>
      </c>
      <c r="E254" s="122">
        <v>1.958333333333333</v>
      </c>
      <c r="F254" s="112" t="s">
        <v>31</v>
      </c>
      <c r="G254" s="114">
        <v>9</v>
      </c>
      <c r="H254" s="115" t="s">
        <v>83</v>
      </c>
    </row>
    <row r="255" spans="1:8" ht="19.899999999999999" customHeight="1">
      <c r="A255" s="121">
        <v>46027</v>
      </c>
      <c r="B255" s="112" t="s">
        <v>68</v>
      </c>
      <c r="C255" s="113" t="s">
        <v>842</v>
      </c>
      <c r="D255" s="112" t="s">
        <v>808</v>
      </c>
      <c r="E255" s="122">
        <v>1.9826388888888891</v>
      </c>
      <c r="F255" s="112" t="s">
        <v>70</v>
      </c>
      <c r="G255" s="114">
        <v>9</v>
      </c>
      <c r="H255" s="115" t="s">
        <v>404</v>
      </c>
    </row>
    <row r="256" spans="1:8" ht="19.899999999999999" customHeight="1">
      <c r="A256" s="121">
        <v>46027</v>
      </c>
      <c r="B256" s="112" t="s">
        <v>68</v>
      </c>
      <c r="C256" s="113" t="s">
        <v>843</v>
      </c>
      <c r="D256" s="112" t="s">
        <v>808</v>
      </c>
      <c r="E256" s="122">
        <v>1.354166666666667</v>
      </c>
      <c r="F256" s="112" t="s">
        <v>70</v>
      </c>
      <c r="G256" s="114">
        <v>9</v>
      </c>
      <c r="H256" s="115" t="s">
        <v>404</v>
      </c>
    </row>
    <row r="257" spans="1:8" ht="19.899999999999999" customHeight="1">
      <c r="A257" s="121">
        <v>46027</v>
      </c>
      <c r="B257" s="112" t="s">
        <v>26</v>
      </c>
      <c r="C257" s="113" t="s">
        <v>826</v>
      </c>
      <c r="D257" s="112" t="s">
        <v>808</v>
      </c>
      <c r="E257" s="122">
        <v>1.958333333333333</v>
      </c>
      <c r="F257" s="112" t="s">
        <v>34</v>
      </c>
      <c r="G257" s="114">
        <v>9</v>
      </c>
      <c r="H257" s="115" t="s">
        <v>45</v>
      </c>
    </row>
    <row r="258" spans="1:8" ht="19.899999999999999" customHeight="1">
      <c r="A258" s="121">
        <v>46027</v>
      </c>
      <c r="B258" s="112" t="s">
        <v>68</v>
      </c>
      <c r="C258" s="113" t="s">
        <v>844</v>
      </c>
      <c r="D258" s="112" t="s">
        <v>808</v>
      </c>
      <c r="E258" s="122">
        <v>1.729166666666667</v>
      </c>
      <c r="F258" s="112" t="s">
        <v>70</v>
      </c>
      <c r="G258" s="114">
        <v>9</v>
      </c>
      <c r="H258" s="115" t="s">
        <v>845</v>
      </c>
    </row>
    <row r="259" spans="1:8" ht="19.899999999999999" customHeight="1">
      <c r="A259" s="121">
        <v>46027</v>
      </c>
      <c r="B259" s="112" t="s">
        <v>402</v>
      </c>
      <c r="C259" s="113" t="s">
        <v>839</v>
      </c>
      <c r="D259" s="112" t="s">
        <v>808</v>
      </c>
      <c r="E259" s="122">
        <v>1.1701388888888891</v>
      </c>
      <c r="F259" s="112" t="s">
        <v>63</v>
      </c>
      <c r="G259" s="114">
        <v>7</v>
      </c>
      <c r="H259" s="115" t="s">
        <v>881</v>
      </c>
    </row>
    <row r="260" spans="1:8" ht="19.899999999999999" customHeight="1">
      <c r="A260" s="121">
        <v>46027</v>
      </c>
      <c r="B260" s="112" t="s">
        <v>402</v>
      </c>
      <c r="C260" s="113" t="s">
        <v>841</v>
      </c>
      <c r="D260" s="112" t="s">
        <v>808</v>
      </c>
      <c r="E260" s="122">
        <v>1.552083333333333</v>
      </c>
      <c r="F260" s="112" t="s">
        <v>63</v>
      </c>
      <c r="G260" s="114">
        <v>4</v>
      </c>
      <c r="H260" s="115" t="s">
        <v>881</v>
      </c>
    </row>
    <row r="261" spans="1:8" ht="19.899999999999999" customHeight="1">
      <c r="A261" s="121">
        <v>46027</v>
      </c>
      <c r="B261" s="112" t="s">
        <v>48</v>
      </c>
      <c r="C261" s="113" t="s">
        <v>835</v>
      </c>
      <c r="D261" s="112" t="s">
        <v>808</v>
      </c>
      <c r="E261" s="122">
        <v>1.8888888888888891</v>
      </c>
      <c r="F261" s="112" t="s">
        <v>53</v>
      </c>
      <c r="G261" s="114">
        <v>4</v>
      </c>
      <c r="H261" s="115" t="s">
        <v>836</v>
      </c>
    </row>
    <row r="262" spans="1:8" ht="19.899999999999999" customHeight="1">
      <c r="A262" s="121">
        <v>46027</v>
      </c>
      <c r="B262" s="112" t="s">
        <v>48</v>
      </c>
      <c r="C262" s="113" t="s">
        <v>835</v>
      </c>
      <c r="D262" s="112" t="s">
        <v>808</v>
      </c>
      <c r="E262" s="122">
        <v>1.8888888888888891</v>
      </c>
      <c r="F262" s="112" t="s">
        <v>70</v>
      </c>
      <c r="G262" s="114">
        <v>4</v>
      </c>
      <c r="H262" s="115" t="s">
        <v>836</v>
      </c>
    </row>
    <row r="263" spans="1:8" ht="19.899999999999999" customHeight="1">
      <c r="A263" s="121">
        <v>46027</v>
      </c>
      <c r="B263" s="112" t="s">
        <v>48</v>
      </c>
      <c r="C263" s="113" t="s">
        <v>837</v>
      </c>
      <c r="D263" s="112" t="s">
        <v>808</v>
      </c>
      <c r="E263" s="122">
        <v>1.6284722222222221</v>
      </c>
      <c r="F263" s="112" t="s">
        <v>70</v>
      </c>
      <c r="G263" s="114">
        <v>4</v>
      </c>
      <c r="H263" s="115" t="s">
        <v>836</v>
      </c>
    </row>
    <row r="264" spans="1:8" ht="19.899999999999999" customHeight="1">
      <c r="A264" s="123">
        <v>46027</v>
      </c>
      <c r="B264" s="124" t="s">
        <v>48</v>
      </c>
      <c r="C264" s="125" t="s">
        <v>838</v>
      </c>
      <c r="D264" s="124" t="s">
        <v>808</v>
      </c>
      <c r="E264" s="126">
        <v>1.944444444444444</v>
      </c>
      <c r="F264" s="124" t="s">
        <v>70</v>
      </c>
      <c r="G264" s="127">
        <v>4</v>
      </c>
      <c r="H264" s="128" t="s">
        <v>836</v>
      </c>
    </row>
    <row r="265" spans="1:8" ht="19.899999999999999" customHeight="1">
      <c r="A265" s="121">
        <v>46028</v>
      </c>
      <c r="B265" s="112" t="s">
        <v>38</v>
      </c>
      <c r="C265" s="113" t="s">
        <v>809</v>
      </c>
      <c r="D265" s="112" t="s">
        <v>808</v>
      </c>
      <c r="E265" s="122">
        <v>1.5763888888888891</v>
      </c>
      <c r="F265" s="112" t="s">
        <v>40</v>
      </c>
      <c r="G265" s="114">
        <v>14</v>
      </c>
      <c r="H265" s="115" t="s">
        <v>475</v>
      </c>
    </row>
    <row r="266" spans="1:8" ht="19.899999999999999" customHeight="1">
      <c r="A266" s="121">
        <v>46028</v>
      </c>
      <c r="B266" s="112" t="s">
        <v>38</v>
      </c>
      <c r="C266" s="113" t="s">
        <v>811</v>
      </c>
      <c r="D266" s="112" t="s">
        <v>808</v>
      </c>
      <c r="E266" s="122">
        <v>1.6284722222222221</v>
      </c>
      <c r="F266" s="112" t="s">
        <v>40</v>
      </c>
      <c r="G266" s="114">
        <v>17</v>
      </c>
      <c r="H266" s="115" t="s">
        <v>475</v>
      </c>
    </row>
    <row r="267" spans="1:8" ht="19.899999999999999" customHeight="1">
      <c r="A267" s="121">
        <v>46028</v>
      </c>
      <c r="B267" s="112" t="s">
        <v>38</v>
      </c>
      <c r="C267" s="113" t="s">
        <v>812</v>
      </c>
      <c r="D267" s="112" t="s">
        <v>808</v>
      </c>
      <c r="E267" s="122">
        <v>1.8888888888888891</v>
      </c>
      <c r="F267" s="112" t="s">
        <v>40</v>
      </c>
      <c r="G267" s="114">
        <v>19</v>
      </c>
      <c r="H267" s="115" t="s">
        <v>475</v>
      </c>
    </row>
    <row r="268" spans="1:8" ht="19.899999999999999" customHeight="1">
      <c r="A268" s="121">
        <v>46028</v>
      </c>
      <c r="B268" s="112" t="s">
        <v>38</v>
      </c>
      <c r="C268" s="113" t="s">
        <v>813</v>
      </c>
      <c r="D268" s="112" t="s">
        <v>808</v>
      </c>
      <c r="E268" s="122">
        <v>1.944444444444444</v>
      </c>
      <c r="F268" s="112" t="s">
        <v>40</v>
      </c>
      <c r="G268" s="114">
        <v>15</v>
      </c>
      <c r="H268" s="115" t="s">
        <v>475</v>
      </c>
    </row>
    <row r="269" spans="1:8" ht="19.899999999999999" customHeight="1">
      <c r="A269" s="121">
        <v>46028</v>
      </c>
      <c r="B269" s="112" t="s">
        <v>359</v>
      </c>
      <c r="C269" s="113" t="s">
        <v>814</v>
      </c>
      <c r="D269" s="112" t="s">
        <v>808</v>
      </c>
      <c r="E269" s="122">
        <v>1.4375</v>
      </c>
      <c r="F269" s="112" t="s">
        <v>361</v>
      </c>
      <c r="G269" s="114">
        <v>9</v>
      </c>
      <c r="H269" s="115" t="s">
        <v>883</v>
      </c>
    </row>
    <row r="270" spans="1:8" ht="19.899999999999999" customHeight="1">
      <c r="A270" s="121">
        <v>46028</v>
      </c>
      <c r="B270" s="112" t="s">
        <v>359</v>
      </c>
      <c r="C270" s="113" t="s">
        <v>887</v>
      </c>
      <c r="D270" s="112" t="s">
        <v>808</v>
      </c>
      <c r="E270" s="122">
        <v>1.052083333333333</v>
      </c>
      <c r="F270" s="112" t="s">
        <v>361</v>
      </c>
      <c r="G270" s="114">
        <v>9</v>
      </c>
      <c r="H270" s="115" t="s">
        <v>883</v>
      </c>
    </row>
    <row r="271" spans="1:8" ht="19.899999999999999" customHeight="1">
      <c r="A271" s="121">
        <v>46028</v>
      </c>
      <c r="B271" s="112" t="s">
        <v>68</v>
      </c>
      <c r="C271" s="113" t="s">
        <v>844</v>
      </c>
      <c r="D271" s="112" t="s">
        <v>808</v>
      </c>
      <c r="E271" s="122">
        <v>1.729166666666667</v>
      </c>
      <c r="F271" s="112" t="s">
        <v>643</v>
      </c>
      <c r="G271" s="114">
        <v>9</v>
      </c>
      <c r="H271" s="115" t="s">
        <v>888</v>
      </c>
    </row>
    <row r="272" spans="1:8" ht="19.899999999999999" customHeight="1">
      <c r="A272" s="129">
        <v>46028</v>
      </c>
      <c r="B272" s="117" t="s">
        <v>61</v>
      </c>
      <c r="C272" s="118" t="s">
        <v>852</v>
      </c>
      <c r="D272" s="117" t="s">
        <v>808</v>
      </c>
      <c r="E272" s="130">
        <v>1.7152777777777779</v>
      </c>
      <c r="F272" s="117" t="s">
        <v>63</v>
      </c>
      <c r="G272" s="119">
        <v>9</v>
      </c>
      <c r="H272" s="120" t="s">
        <v>817</v>
      </c>
    </row>
    <row r="273" spans="1:8" ht="19.899999999999999" customHeight="1">
      <c r="A273" s="121">
        <v>46028</v>
      </c>
      <c r="B273" s="112" t="s">
        <v>26</v>
      </c>
      <c r="C273" s="113" t="s">
        <v>820</v>
      </c>
      <c r="D273" s="112" t="s">
        <v>808</v>
      </c>
      <c r="E273" s="122">
        <v>1.4375</v>
      </c>
      <c r="F273" s="112" t="s">
        <v>28</v>
      </c>
      <c r="G273" s="114">
        <v>9</v>
      </c>
      <c r="H273" s="115" t="s">
        <v>81</v>
      </c>
    </row>
    <row r="274" spans="1:8" ht="19.899999999999999" customHeight="1">
      <c r="A274" s="121">
        <v>46028</v>
      </c>
      <c r="B274" s="112" t="s">
        <v>26</v>
      </c>
      <c r="C274" s="113" t="s">
        <v>826</v>
      </c>
      <c r="D274" s="112" t="s">
        <v>808</v>
      </c>
      <c r="E274" s="122">
        <v>1.958333333333333</v>
      </c>
      <c r="F274" s="112" t="s">
        <v>28</v>
      </c>
      <c r="G274" s="114">
        <v>9</v>
      </c>
      <c r="H274" s="115" t="s">
        <v>81</v>
      </c>
    </row>
    <row r="275" spans="1:8" ht="19.899999999999999" customHeight="1">
      <c r="A275" s="121">
        <v>46028</v>
      </c>
      <c r="B275" s="112" t="s">
        <v>26</v>
      </c>
      <c r="C275" s="113" t="s">
        <v>821</v>
      </c>
      <c r="D275" s="112" t="s">
        <v>808</v>
      </c>
      <c r="E275" s="122">
        <v>1.631944444444444</v>
      </c>
      <c r="F275" s="112" t="s">
        <v>28</v>
      </c>
      <c r="G275" s="114">
        <v>9</v>
      </c>
      <c r="H275" s="115" t="s">
        <v>81</v>
      </c>
    </row>
    <row r="276" spans="1:8" ht="19.899999999999999" customHeight="1">
      <c r="A276" s="121">
        <v>46028</v>
      </c>
      <c r="B276" s="112" t="s">
        <v>26</v>
      </c>
      <c r="C276" s="113" t="s">
        <v>822</v>
      </c>
      <c r="D276" s="112" t="s">
        <v>808</v>
      </c>
      <c r="E276" s="122">
        <v>1.5590277777777779</v>
      </c>
      <c r="F276" s="112" t="s">
        <v>28</v>
      </c>
      <c r="G276" s="114">
        <v>9</v>
      </c>
      <c r="H276" s="115" t="s">
        <v>81</v>
      </c>
    </row>
    <row r="277" spans="1:8" ht="19.899999999999999" customHeight="1">
      <c r="A277" s="121">
        <v>46028</v>
      </c>
      <c r="B277" s="112" t="s">
        <v>26</v>
      </c>
      <c r="C277" s="113" t="s">
        <v>823</v>
      </c>
      <c r="D277" s="112" t="s">
        <v>808</v>
      </c>
      <c r="E277" s="122">
        <v>1.819444444444444</v>
      </c>
      <c r="F277" s="112" t="s">
        <v>28</v>
      </c>
      <c r="G277" s="114">
        <v>9</v>
      </c>
      <c r="H277" s="115" t="s">
        <v>81</v>
      </c>
    </row>
    <row r="278" spans="1:8" ht="19.899999999999999" customHeight="1">
      <c r="A278" s="121">
        <v>46028</v>
      </c>
      <c r="B278" s="112" t="s">
        <v>26</v>
      </c>
      <c r="C278" s="113" t="s">
        <v>824</v>
      </c>
      <c r="D278" s="112" t="s">
        <v>808</v>
      </c>
      <c r="E278" s="122">
        <v>1.506944444444444</v>
      </c>
      <c r="F278" s="112" t="s">
        <v>28</v>
      </c>
      <c r="G278" s="114">
        <v>9</v>
      </c>
      <c r="H278" s="115" t="s">
        <v>81</v>
      </c>
    </row>
    <row r="279" spans="1:8" ht="19.899999999999999" customHeight="1">
      <c r="A279" s="121">
        <v>46028</v>
      </c>
      <c r="B279" s="112" t="s">
        <v>26</v>
      </c>
      <c r="C279" s="113" t="s">
        <v>825</v>
      </c>
      <c r="D279" s="112" t="s">
        <v>808</v>
      </c>
      <c r="E279" s="122">
        <v>1.697916666666667</v>
      </c>
      <c r="F279" s="112" t="s">
        <v>28</v>
      </c>
      <c r="G279" s="114">
        <v>9</v>
      </c>
      <c r="H279" s="115" t="s">
        <v>81</v>
      </c>
    </row>
    <row r="280" spans="1:8" ht="19.899999999999999" customHeight="1">
      <c r="A280" s="121">
        <v>46028</v>
      </c>
      <c r="B280" s="112" t="s">
        <v>48</v>
      </c>
      <c r="C280" s="113" t="s">
        <v>833</v>
      </c>
      <c r="D280" s="112" t="s">
        <v>808</v>
      </c>
      <c r="E280" s="122">
        <v>1.444444444444444</v>
      </c>
      <c r="F280" s="112" t="s">
        <v>50</v>
      </c>
      <c r="G280" s="114">
        <v>9</v>
      </c>
      <c r="H280" s="115" t="s">
        <v>873</v>
      </c>
    </row>
    <row r="281" spans="1:8" ht="19.899999999999999" customHeight="1">
      <c r="A281" s="121">
        <v>46028</v>
      </c>
      <c r="B281" s="112" t="s">
        <v>48</v>
      </c>
      <c r="C281" s="113" t="s">
        <v>828</v>
      </c>
      <c r="D281" s="112" t="s">
        <v>808</v>
      </c>
      <c r="E281" s="122">
        <v>1.8298611111111109</v>
      </c>
      <c r="F281" s="112" t="s">
        <v>50</v>
      </c>
      <c r="G281" s="114">
        <v>9</v>
      </c>
      <c r="H281" s="115" t="s">
        <v>873</v>
      </c>
    </row>
    <row r="282" spans="1:8" ht="19.899999999999999" customHeight="1">
      <c r="A282" s="121">
        <v>46028</v>
      </c>
      <c r="B282" s="112" t="s">
        <v>48</v>
      </c>
      <c r="C282" s="113" t="s">
        <v>831</v>
      </c>
      <c r="D282" s="112" t="s">
        <v>808</v>
      </c>
      <c r="E282" s="122">
        <v>1.9826388888888891</v>
      </c>
      <c r="F282" s="112" t="s">
        <v>50</v>
      </c>
      <c r="G282" s="114">
        <v>9</v>
      </c>
      <c r="H282" s="115" t="s">
        <v>873</v>
      </c>
    </row>
    <row r="283" spans="1:8" ht="19.899999999999999" customHeight="1">
      <c r="A283" s="121">
        <v>46028</v>
      </c>
      <c r="B283" s="112" t="s">
        <v>48</v>
      </c>
      <c r="C283" s="113" t="s">
        <v>875</v>
      </c>
      <c r="D283" s="112" t="s">
        <v>808</v>
      </c>
      <c r="E283" s="122">
        <v>1.697916666666667</v>
      </c>
      <c r="F283" s="112" t="s">
        <v>50</v>
      </c>
      <c r="G283" s="114">
        <v>9</v>
      </c>
      <c r="H283" s="115" t="s">
        <v>873</v>
      </c>
    </row>
    <row r="284" spans="1:8" ht="19.899999999999999" customHeight="1">
      <c r="A284" s="121">
        <v>46028</v>
      </c>
      <c r="B284" s="112" t="s">
        <v>48</v>
      </c>
      <c r="C284" s="113" t="s">
        <v>832</v>
      </c>
      <c r="D284" s="112" t="s">
        <v>808</v>
      </c>
      <c r="E284" s="122">
        <v>1.6284722222222221</v>
      </c>
      <c r="F284" s="112" t="s">
        <v>50</v>
      </c>
      <c r="G284" s="114">
        <v>9</v>
      </c>
      <c r="H284" s="115" t="s">
        <v>873</v>
      </c>
    </row>
    <row r="285" spans="1:8" ht="19.899999999999999" customHeight="1">
      <c r="A285" s="121">
        <v>46028</v>
      </c>
      <c r="B285" s="112" t="s">
        <v>38</v>
      </c>
      <c r="C285" s="113" t="s">
        <v>809</v>
      </c>
      <c r="D285" s="112" t="s">
        <v>808</v>
      </c>
      <c r="E285" s="122">
        <v>1.5763888888888891</v>
      </c>
      <c r="F285" s="112" t="s">
        <v>43</v>
      </c>
      <c r="G285" s="114">
        <v>14</v>
      </c>
      <c r="H285" s="115" t="s">
        <v>121</v>
      </c>
    </row>
    <row r="286" spans="1:8" ht="19.899999999999999" customHeight="1">
      <c r="A286" s="121">
        <v>46028</v>
      </c>
      <c r="B286" s="112" t="s">
        <v>38</v>
      </c>
      <c r="C286" s="113" t="s">
        <v>811</v>
      </c>
      <c r="D286" s="112" t="s">
        <v>808</v>
      </c>
      <c r="E286" s="122">
        <v>1.6284722222222221</v>
      </c>
      <c r="F286" s="112" t="s">
        <v>43</v>
      </c>
      <c r="G286" s="114">
        <v>17</v>
      </c>
      <c r="H286" s="115" t="s">
        <v>121</v>
      </c>
    </row>
    <row r="287" spans="1:8" ht="19.899999999999999" customHeight="1">
      <c r="A287" s="121">
        <v>46028</v>
      </c>
      <c r="B287" s="112" t="s">
        <v>38</v>
      </c>
      <c r="C287" s="113" t="s">
        <v>812</v>
      </c>
      <c r="D287" s="112" t="s">
        <v>808</v>
      </c>
      <c r="E287" s="122">
        <v>1.8888888888888891</v>
      </c>
      <c r="F287" s="112" t="s">
        <v>43</v>
      </c>
      <c r="G287" s="114">
        <v>19</v>
      </c>
      <c r="H287" s="115" t="s">
        <v>121</v>
      </c>
    </row>
    <row r="288" spans="1:8" ht="19.899999999999999" customHeight="1">
      <c r="A288" s="121">
        <v>46028</v>
      </c>
      <c r="B288" s="112" t="s">
        <v>38</v>
      </c>
      <c r="C288" s="113" t="s">
        <v>813</v>
      </c>
      <c r="D288" s="112" t="s">
        <v>808</v>
      </c>
      <c r="E288" s="122">
        <v>1.944444444444444</v>
      </c>
      <c r="F288" s="112" t="s">
        <v>43</v>
      </c>
      <c r="G288" s="114">
        <v>15</v>
      </c>
      <c r="H288" s="115" t="s">
        <v>121</v>
      </c>
    </row>
    <row r="289" spans="1:8" ht="19.899999999999999" customHeight="1">
      <c r="A289" s="121">
        <v>46028</v>
      </c>
      <c r="B289" s="112" t="s">
        <v>26</v>
      </c>
      <c r="C289" s="113" t="s">
        <v>820</v>
      </c>
      <c r="D289" s="112" t="s">
        <v>808</v>
      </c>
      <c r="E289" s="122">
        <v>1.4375</v>
      </c>
      <c r="F289" s="112" t="s">
        <v>31</v>
      </c>
      <c r="G289" s="114">
        <v>9</v>
      </c>
      <c r="H289" s="115" t="s">
        <v>83</v>
      </c>
    </row>
    <row r="290" spans="1:8" ht="19.899999999999999" customHeight="1">
      <c r="A290" s="121">
        <v>46028</v>
      </c>
      <c r="B290" s="112" t="s">
        <v>26</v>
      </c>
      <c r="C290" s="113" t="s">
        <v>826</v>
      </c>
      <c r="D290" s="112" t="s">
        <v>808</v>
      </c>
      <c r="E290" s="122">
        <v>1.958333333333333</v>
      </c>
      <c r="F290" s="112" t="s">
        <v>31</v>
      </c>
      <c r="G290" s="114">
        <v>9</v>
      </c>
      <c r="H290" s="115" t="s">
        <v>83</v>
      </c>
    </row>
    <row r="291" spans="1:8" ht="19.899999999999999" customHeight="1">
      <c r="A291" s="121">
        <v>46028</v>
      </c>
      <c r="B291" s="112" t="s">
        <v>26</v>
      </c>
      <c r="C291" s="113" t="s">
        <v>821</v>
      </c>
      <c r="D291" s="112" t="s">
        <v>808</v>
      </c>
      <c r="E291" s="122">
        <v>1.631944444444444</v>
      </c>
      <c r="F291" s="112" t="s">
        <v>31</v>
      </c>
      <c r="G291" s="114">
        <v>9</v>
      </c>
      <c r="H291" s="115" t="s">
        <v>83</v>
      </c>
    </row>
    <row r="292" spans="1:8" ht="19.899999999999999" customHeight="1">
      <c r="A292" s="121">
        <v>46028</v>
      </c>
      <c r="B292" s="112" t="s">
        <v>26</v>
      </c>
      <c r="C292" s="113" t="s">
        <v>822</v>
      </c>
      <c r="D292" s="112" t="s">
        <v>808</v>
      </c>
      <c r="E292" s="122">
        <v>1.5590277777777779</v>
      </c>
      <c r="F292" s="112" t="s">
        <v>31</v>
      </c>
      <c r="G292" s="114">
        <v>9</v>
      </c>
      <c r="H292" s="115" t="s">
        <v>83</v>
      </c>
    </row>
    <row r="293" spans="1:8" ht="19.899999999999999" customHeight="1">
      <c r="A293" s="121">
        <v>46028</v>
      </c>
      <c r="B293" s="112" t="s">
        <v>26</v>
      </c>
      <c r="C293" s="113" t="s">
        <v>823</v>
      </c>
      <c r="D293" s="112" t="s">
        <v>808</v>
      </c>
      <c r="E293" s="122">
        <v>1.819444444444444</v>
      </c>
      <c r="F293" s="112" t="s">
        <v>31</v>
      </c>
      <c r="G293" s="114">
        <v>9</v>
      </c>
      <c r="H293" s="115" t="s">
        <v>83</v>
      </c>
    </row>
    <row r="294" spans="1:8" ht="19.899999999999999" customHeight="1">
      <c r="A294" s="121">
        <v>46028</v>
      </c>
      <c r="B294" s="112" t="s">
        <v>26</v>
      </c>
      <c r="C294" s="113" t="s">
        <v>824</v>
      </c>
      <c r="D294" s="112" t="s">
        <v>808</v>
      </c>
      <c r="E294" s="122">
        <v>1.506944444444444</v>
      </c>
      <c r="F294" s="112" t="s">
        <v>31</v>
      </c>
      <c r="G294" s="114">
        <v>9</v>
      </c>
      <c r="H294" s="115" t="s">
        <v>83</v>
      </c>
    </row>
    <row r="295" spans="1:8" ht="19.899999999999999" customHeight="1">
      <c r="A295" s="121">
        <v>46028</v>
      </c>
      <c r="B295" s="112" t="s">
        <v>26</v>
      </c>
      <c r="C295" s="113" t="s">
        <v>825</v>
      </c>
      <c r="D295" s="112" t="s">
        <v>808</v>
      </c>
      <c r="E295" s="122">
        <v>1.697916666666667</v>
      </c>
      <c r="F295" s="112" t="s">
        <v>31</v>
      </c>
      <c r="G295" s="114">
        <v>9</v>
      </c>
      <c r="H295" s="115" t="s">
        <v>83</v>
      </c>
    </row>
    <row r="296" spans="1:8" ht="19.899999999999999" customHeight="1">
      <c r="A296" s="121">
        <v>46028</v>
      </c>
      <c r="B296" s="112" t="s">
        <v>68</v>
      </c>
      <c r="C296" s="113" t="s">
        <v>842</v>
      </c>
      <c r="D296" s="112" t="s">
        <v>808</v>
      </c>
      <c r="E296" s="122">
        <v>1.9826388888888891</v>
      </c>
      <c r="F296" s="112" t="s">
        <v>70</v>
      </c>
      <c r="G296" s="114">
        <v>9</v>
      </c>
      <c r="H296" s="115" t="s">
        <v>404</v>
      </c>
    </row>
    <row r="297" spans="1:8" ht="19.899999999999999" customHeight="1">
      <c r="A297" s="121">
        <v>46028</v>
      </c>
      <c r="B297" s="112" t="s">
        <v>68</v>
      </c>
      <c r="C297" s="113" t="s">
        <v>843</v>
      </c>
      <c r="D297" s="112" t="s">
        <v>808</v>
      </c>
      <c r="E297" s="122">
        <v>1.354166666666667</v>
      </c>
      <c r="F297" s="112" t="s">
        <v>70</v>
      </c>
      <c r="G297" s="114">
        <v>9</v>
      </c>
      <c r="H297" s="115" t="s">
        <v>404</v>
      </c>
    </row>
    <row r="298" spans="1:8" ht="19.899999999999999" customHeight="1">
      <c r="A298" s="121">
        <v>46028</v>
      </c>
      <c r="B298" s="112" t="s">
        <v>48</v>
      </c>
      <c r="C298" s="113" t="s">
        <v>833</v>
      </c>
      <c r="D298" s="112" t="s">
        <v>808</v>
      </c>
      <c r="E298" s="122">
        <v>1.444444444444444</v>
      </c>
      <c r="F298" s="112" t="s">
        <v>53</v>
      </c>
      <c r="G298" s="114">
        <v>9</v>
      </c>
      <c r="H298" s="115" t="s">
        <v>874</v>
      </c>
    </row>
    <row r="299" spans="1:8" ht="19.899999999999999" customHeight="1">
      <c r="A299" s="121">
        <v>46028</v>
      </c>
      <c r="B299" s="112" t="s">
        <v>48</v>
      </c>
      <c r="C299" s="113" t="s">
        <v>828</v>
      </c>
      <c r="D299" s="112" t="s">
        <v>808</v>
      </c>
      <c r="E299" s="122">
        <v>1.8298611111111109</v>
      </c>
      <c r="F299" s="112" t="s">
        <v>53</v>
      </c>
      <c r="G299" s="114">
        <v>9</v>
      </c>
      <c r="H299" s="115" t="s">
        <v>874</v>
      </c>
    </row>
    <row r="300" spans="1:8" ht="19.899999999999999" customHeight="1">
      <c r="A300" s="121">
        <v>46028</v>
      </c>
      <c r="B300" s="112" t="s">
        <v>48</v>
      </c>
      <c r="C300" s="113" t="s">
        <v>831</v>
      </c>
      <c r="D300" s="112" t="s">
        <v>808</v>
      </c>
      <c r="E300" s="122">
        <v>1.9826388888888891</v>
      </c>
      <c r="F300" s="112" t="s">
        <v>53</v>
      </c>
      <c r="G300" s="114">
        <v>9</v>
      </c>
      <c r="H300" s="115" t="s">
        <v>874</v>
      </c>
    </row>
    <row r="301" spans="1:8" ht="19.899999999999999" customHeight="1">
      <c r="A301" s="121">
        <v>46028</v>
      </c>
      <c r="B301" s="112" t="s">
        <v>48</v>
      </c>
      <c r="C301" s="113" t="s">
        <v>875</v>
      </c>
      <c r="D301" s="112" t="s">
        <v>808</v>
      </c>
      <c r="E301" s="122">
        <v>1.697916666666667</v>
      </c>
      <c r="F301" s="112" t="s">
        <v>53</v>
      </c>
      <c r="G301" s="114">
        <v>9</v>
      </c>
      <c r="H301" s="115" t="s">
        <v>874</v>
      </c>
    </row>
    <row r="302" spans="1:8" ht="19.899999999999999" customHeight="1">
      <c r="A302" s="121">
        <v>46028</v>
      </c>
      <c r="B302" s="112" t="s">
        <v>48</v>
      </c>
      <c r="C302" s="113" t="s">
        <v>832</v>
      </c>
      <c r="D302" s="112" t="s">
        <v>808</v>
      </c>
      <c r="E302" s="122">
        <v>1.6284722222222221</v>
      </c>
      <c r="F302" s="112" t="s">
        <v>53</v>
      </c>
      <c r="G302" s="114">
        <v>9</v>
      </c>
      <c r="H302" s="115" t="s">
        <v>874</v>
      </c>
    </row>
    <row r="303" spans="1:8" ht="19.899999999999999" customHeight="1">
      <c r="A303" s="121">
        <v>46028</v>
      </c>
      <c r="B303" s="112" t="s">
        <v>359</v>
      </c>
      <c r="C303" s="113" t="s">
        <v>814</v>
      </c>
      <c r="D303" s="112" t="s">
        <v>808</v>
      </c>
      <c r="E303" s="122">
        <v>1.4375</v>
      </c>
      <c r="F303" s="112" t="s">
        <v>46</v>
      </c>
      <c r="G303" s="114">
        <v>9</v>
      </c>
      <c r="H303" s="115" t="s">
        <v>886</v>
      </c>
    </row>
    <row r="304" spans="1:8" ht="19.899999999999999" customHeight="1">
      <c r="A304" s="121">
        <v>46028</v>
      </c>
      <c r="B304" s="112" t="s">
        <v>359</v>
      </c>
      <c r="C304" s="113" t="s">
        <v>887</v>
      </c>
      <c r="D304" s="112" t="s">
        <v>808</v>
      </c>
      <c r="E304" s="122">
        <v>1.052083333333333</v>
      </c>
      <c r="F304" s="112" t="s">
        <v>46</v>
      </c>
      <c r="G304" s="114">
        <v>9</v>
      </c>
      <c r="H304" s="115" t="s">
        <v>886</v>
      </c>
    </row>
    <row r="305" spans="1:8" ht="19.899999999999999" customHeight="1">
      <c r="A305" s="121">
        <v>46028</v>
      </c>
      <c r="B305" s="112" t="s">
        <v>26</v>
      </c>
      <c r="C305" s="113" t="s">
        <v>820</v>
      </c>
      <c r="D305" s="112" t="s">
        <v>808</v>
      </c>
      <c r="E305" s="122">
        <v>1.4375</v>
      </c>
      <c r="F305" s="112" t="s">
        <v>34</v>
      </c>
      <c r="G305" s="114">
        <v>9</v>
      </c>
      <c r="H305" s="115" t="s">
        <v>45</v>
      </c>
    </row>
    <row r="306" spans="1:8" ht="19.899999999999999" customHeight="1">
      <c r="A306" s="121">
        <v>46028</v>
      </c>
      <c r="B306" s="112" t="s">
        <v>26</v>
      </c>
      <c r="C306" s="113" t="s">
        <v>826</v>
      </c>
      <c r="D306" s="112" t="s">
        <v>808</v>
      </c>
      <c r="E306" s="122">
        <v>1.958333333333333</v>
      </c>
      <c r="F306" s="112" t="s">
        <v>34</v>
      </c>
      <c r="G306" s="114">
        <v>9</v>
      </c>
      <c r="H306" s="115" t="s">
        <v>45</v>
      </c>
    </row>
    <row r="307" spans="1:8" ht="19.899999999999999" customHeight="1">
      <c r="A307" s="121">
        <v>46028</v>
      </c>
      <c r="B307" s="112" t="s">
        <v>26</v>
      </c>
      <c r="C307" s="113" t="s">
        <v>821</v>
      </c>
      <c r="D307" s="112" t="s">
        <v>808</v>
      </c>
      <c r="E307" s="122">
        <v>1.631944444444444</v>
      </c>
      <c r="F307" s="112" t="s">
        <v>34</v>
      </c>
      <c r="G307" s="114">
        <v>9</v>
      </c>
      <c r="H307" s="115" t="s">
        <v>45</v>
      </c>
    </row>
    <row r="308" spans="1:8" ht="19.899999999999999" customHeight="1">
      <c r="A308" s="121">
        <v>46028</v>
      </c>
      <c r="B308" s="112" t="s">
        <v>26</v>
      </c>
      <c r="C308" s="113" t="s">
        <v>822</v>
      </c>
      <c r="D308" s="112" t="s">
        <v>808</v>
      </c>
      <c r="E308" s="122">
        <v>1.5590277777777779</v>
      </c>
      <c r="F308" s="112" t="s">
        <v>34</v>
      </c>
      <c r="G308" s="114">
        <v>9</v>
      </c>
      <c r="H308" s="115" t="s">
        <v>45</v>
      </c>
    </row>
    <row r="309" spans="1:8" ht="19.899999999999999" customHeight="1">
      <c r="A309" s="121">
        <v>46028</v>
      </c>
      <c r="B309" s="112" t="s">
        <v>26</v>
      </c>
      <c r="C309" s="113" t="s">
        <v>823</v>
      </c>
      <c r="D309" s="112" t="s">
        <v>808</v>
      </c>
      <c r="E309" s="122">
        <v>1.819444444444444</v>
      </c>
      <c r="F309" s="112" t="s">
        <v>34</v>
      </c>
      <c r="G309" s="114">
        <v>9</v>
      </c>
      <c r="H309" s="115" t="s">
        <v>45</v>
      </c>
    </row>
    <row r="310" spans="1:8" ht="19.899999999999999" customHeight="1">
      <c r="A310" s="121">
        <v>46028</v>
      </c>
      <c r="B310" s="112" t="s">
        <v>26</v>
      </c>
      <c r="C310" s="113" t="s">
        <v>824</v>
      </c>
      <c r="D310" s="112" t="s">
        <v>808</v>
      </c>
      <c r="E310" s="122">
        <v>1.506944444444444</v>
      </c>
      <c r="F310" s="112" t="s">
        <v>34</v>
      </c>
      <c r="G310" s="114">
        <v>9</v>
      </c>
      <c r="H310" s="115" t="s">
        <v>45</v>
      </c>
    </row>
    <row r="311" spans="1:8" ht="19.899999999999999" customHeight="1">
      <c r="A311" s="121">
        <v>46028</v>
      </c>
      <c r="B311" s="112" t="s">
        <v>26</v>
      </c>
      <c r="C311" s="113" t="s">
        <v>825</v>
      </c>
      <c r="D311" s="112" t="s">
        <v>808</v>
      </c>
      <c r="E311" s="122">
        <v>1.697916666666667</v>
      </c>
      <c r="F311" s="112" t="s">
        <v>34</v>
      </c>
      <c r="G311" s="114">
        <v>9</v>
      </c>
      <c r="H311" s="115" t="s">
        <v>45</v>
      </c>
    </row>
    <row r="312" spans="1:8" ht="19.899999999999999" customHeight="1">
      <c r="A312" s="121">
        <v>46028</v>
      </c>
      <c r="B312" s="112" t="s">
        <v>402</v>
      </c>
      <c r="C312" s="113" t="s">
        <v>839</v>
      </c>
      <c r="D312" s="112" t="s">
        <v>808</v>
      </c>
      <c r="E312" s="122">
        <v>1.1701388888888891</v>
      </c>
      <c r="F312" s="112" t="s">
        <v>63</v>
      </c>
      <c r="G312" s="114">
        <v>7</v>
      </c>
      <c r="H312" s="115" t="s">
        <v>881</v>
      </c>
    </row>
    <row r="313" spans="1:8" ht="19.899999999999999" customHeight="1">
      <c r="A313" s="121">
        <v>46028</v>
      </c>
      <c r="B313" s="112" t="s">
        <v>38</v>
      </c>
      <c r="C313" s="113" t="s">
        <v>809</v>
      </c>
      <c r="D313" s="112" t="s">
        <v>808</v>
      </c>
      <c r="E313" s="122">
        <v>1.5763888888888891</v>
      </c>
      <c r="F313" s="112" t="s">
        <v>46</v>
      </c>
      <c r="G313" s="114">
        <v>14</v>
      </c>
      <c r="H313" s="115" t="s">
        <v>810</v>
      </c>
    </row>
    <row r="314" spans="1:8" ht="19.899999999999999" customHeight="1">
      <c r="A314" s="121">
        <v>46028</v>
      </c>
      <c r="B314" s="112" t="s">
        <v>38</v>
      </c>
      <c r="C314" s="113" t="s">
        <v>811</v>
      </c>
      <c r="D314" s="112" t="s">
        <v>808</v>
      </c>
      <c r="E314" s="122">
        <v>1.6284722222222221</v>
      </c>
      <c r="F314" s="112" t="s">
        <v>46</v>
      </c>
      <c r="G314" s="114">
        <v>17</v>
      </c>
      <c r="H314" s="115" t="s">
        <v>810</v>
      </c>
    </row>
    <row r="315" spans="1:8" ht="19.899999999999999" customHeight="1">
      <c r="A315" s="121">
        <v>46028</v>
      </c>
      <c r="B315" s="112" t="s">
        <v>38</v>
      </c>
      <c r="C315" s="113" t="s">
        <v>812</v>
      </c>
      <c r="D315" s="112" t="s">
        <v>808</v>
      </c>
      <c r="E315" s="122">
        <v>1.8888888888888891</v>
      </c>
      <c r="F315" s="112" t="s">
        <v>46</v>
      </c>
      <c r="G315" s="114">
        <v>19</v>
      </c>
      <c r="H315" s="115" t="s">
        <v>810</v>
      </c>
    </row>
    <row r="316" spans="1:8" ht="19.899999999999999" customHeight="1">
      <c r="A316" s="121">
        <v>46028</v>
      </c>
      <c r="B316" s="112" t="s">
        <v>38</v>
      </c>
      <c r="C316" s="113" t="s">
        <v>813</v>
      </c>
      <c r="D316" s="112" t="s">
        <v>808</v>
      </c>
      <c r="E316" s="122">
        <v>1.944444444444444</v>
      </c>
      <c r="F316" s="112" t="s">
        <v>46</v>
      </c>
      <c r="G316" s="114">
        <v>15</v>
      </c>
      <c r="H316" s="115" t="s">
        <v>810</v>
      </c>
    </row>
    <row r="317" spans="1:8" ht="19.899999999999999" customHeight="1">
      <c r="A317" s="121">
        <v>46028</v>
      </c>
      <c r="B317" s="112" t="s">
        <v>48</v>
      </c>
      <c r="C317" s="113" t="s">
        <v>835</v>
      </c>
      <c r="D317" s="112" t="s">
        <v>808</v>
      </c>
      <c r="E317" s="122">
        <v>1.8888888888888891</v>
      </c>
      <c r="F317" s="112" t="s">
        <v>53</v>
      </c>
      <c r="G317" s="114">
        <v>4</v>
      </c>
      <c r="H317" s="115" t="s">
        <v>836</v>
      </c>
    </row>
    <row r="318" spans="1:8" ht="19.899999999999999" customHeight="1">
      <c r="A318" s="121">
        <v>46028</v>
      </c>
      <c r="B318" s="112" t="s">
        <v>48</v>
      </c>
      <c r="C318" s="113" t="s">
        <v>837</v>
      </c>
      <c r="D318" s="112" t="s">
        <v>808</v>
      </c>
      <c r="E318" s="122">
        <v>1.6284722222222221</v>
      </c>
      <c r="F318" s="112" t="s">
        <v>53</v>
      </c>
      <c r="G318" s="114">
        <v>4</v>
      </c>
      <c r="H318" s="115" t="s">
        <v>836</v>
      </c>
    </row>
    <row r="319" spans="1:8" ht="19.899999999999999" customHeight="1">
      <c r="A319" s="123">
        <v>46028</v>
      </c>
      <c r="B319" s="124" t="s">
        <v>48</v>
      </c>
      <c r="C319" s="125" t="s">
        <v>838</v>
      </c>
      <c r="D319" s="124" t="s">
        <v>808</v>
      </c>
      <c r="E319" s="126">
        <v>1.944444444444444</v>
      </c>
      <c r="F319" s="124" t="s">
        <v>53</v>
      </c>
      <c r="G319" s="127">
        <v>4</v>
      </c>
      <c r="H319" s="128" t="s">
        <v>836</v>
      </c>
    </row>
    <row r="320" spans="1:8" ht="19.899999999999999" customHeight="1">
      <c r="A320" s="121">
        <v>46029</v>
      </c>
      <c r="B320" s="112" t="s">
        <v>38</v>
      </c>
      <c r="C320" s="113" t="s">
        <v>809</v>
      </c>
      <c r="D320" s="112" t="s">
        <v>808</v>
      </c>
      <c r="E320" s="122">
        <v>1.5763888888888891</v>
      </c>
      <c r="F320" s="112" t="s">
        <v>40</v>
      </c>
      <c r="G320" s="114">
        <v>17</v>
      </c>
      <c r="H320" s="115" t="s">
        <v>475</v>
      </c>
    </row>
    <row r="321" spans="1:8" ht="19.899999999999999" customHeight="1">
      <c r="A321" s="121">
        <v>46029</v>
      </c>
      <c r="B321" s="112" t="s">
        <v>38</v>
      </c>
      <c r="C321" s="113" t="s">
        <v>811</v>
      </c>
      <c r="D321" s="112" t="s">
        <v>808</v>
      </c>
      <c r="E321" s="122">
        <v>1.6284722222222221</v>
      </c>
      <c r="F321" s="112" t="s">
        <v>40</v>
      </c>
      <c r="G321" s="114">
        <v>20</v>
      </c>
      <c r="H321" s="115" t="s">
        <v>475</v>
      </c>
    </row>
    <row r="322" spans="1:8" ht="19.899999999999999" customHeight="1">
      <c r="A322" s="121">
        <v>46029</v>
      </c>
      <c r="B322" s="112" t="s">
        <v>38</v>
      </c>
      <c r="C322" s="113" t="s">
        <v>812</v>
      </c>
      <c r="D322" s="112" t="s">
        <v>808</v>
      </c>
      <c r="E322" s="122">
        <v>1.8888888888888891</v>
      </c>
      <c r="F322" s="112" t="s">
        <v>40</v>
      </c>
      <c r="G322" s="114">
        <v>19</v>
      </c>
      <c r="H322" s="115" t="s">
        <v>475</v>
      </c>
    </row>
    <row r="323" spans="1:8" ht="19.899999999999999" customHeight="1">
      <c r="A323" s="121">
        <v>46029</v>
      </c>
      <c r="B323" s="112" t="s">
        <v>38</v>
      </c>
      <c r="C323" s="113" t="s">
        <v>813</v>
      </c>
      <c r="D323" s="112" t="s">
        <v>808</v>
      </c>
      <c r="E323" s="122">
        <v>1.944444444444444</v>
      </c>
      <c r="F323" s="112" t="s">
        <v>40</v>
      </c>
      <c r="G323" s="114">
        <v>22</v>
      </c>
      <c r="H323" s="115" t="s">
        <v>872</v>
      </c>
    </row>
    <row r="324" spans="1:8" ht="19.899999999999999" customHeight="1">
      <c r="A324" s="121">
        <v>46029</v>
      </c>
      <c r="B324" s="112" t="s">
        <v>68</v>
      </c>
      <c r="C324" s="113" t="s">
        <v>842</v>
      </c>
      <c r="D324" s="112" t="s">
        <v>808</v>
      </c>
      <c r="E324" s="122">
        <v>1.9826388888888891</v>
      </c>
      <c r="F324" s="112" t="s">
        <v>643</v>
      </c>
      <c r="G324" s="114">
        <v>9</v>
      </c>
      <c r="H324" s="115" t="s">
        <v>891</v>
      </c>
    </row>
    <row r="325" spans="1:8" ht="19.899999999999999" customHeight="1">
      <c r="A325" s="121">
        <v>46029</v>
      </c>
      <c r="B325" s="112" t="s">
        <v>68</v>
      </c>
      <c r="C325" s="113" t="s">
        <v>843</v>
      </c>
      <c r="D325" s="112" t="s">
        <v>808</v>
      </c>
      <c r="E325" s="122">
        <v>1.354166666666667</v>
      </c>
      <c r="F325" s="112" t="s">
        <v>643</v>
      </c>
      <c r="G325" s="114">
        <v>9</v>
      </c>
      <c r="H325" s="115" t="s">
        <v>891</v>
      </c>
    </row>
    <row r="326" spans="1:8" ht="19.899999999999999" customHeight="1">
      <c r="A326" s="129">
        <v>46029</v>
      </c>
      <c r="B326" s="117" t="s">
        <v>61</v>
      </c>
      <c r="C326" s="118" t="s">
        <v>816</v>
      </c>
      <c r="D326" s="117" t="s">
        <v>808</v>
      </c>
      <c r="E326" s="130">
        <v>1.413194444444444</v>
      </c>
      <c r="F326" s="117" t="s">
        <v>63</v>
      </c>
      <c r="G326" s="119">
        <v>9</v>
      </c>
      <c r="H326" s="120" t="s">
        <v>817</v>
      </c>
    </row>
    <row r="327" spans="1:8" ht="19.899999999999999" customHeight="1">
      <c r="A327" s="129">
        <v>46029</v>
      </c>
      <c r="B327" s="117" t="s">
        <v>61</v>
      </c>
      <c r="C327" s="118" t="s">
        <v>852</v>
      </c>
      <c r="D327" s="117" t="s">
        <v>808</v>
      </c>
      <c r="E327" s="130">
        <v>1.725694444444444</v>
      </c>
      <c r="F327" s="117" t="s">
        <v>63</v>
      </c>
      <c r="G327" s="119">
        <v>9</v>
      </c>
      <c r="H327" s="120" t="s">
        <v>817</v>
      </c>
    </row>
    <row r="328" spans="1:8" ht="19.899999999999999" customHeight="1">
      <c r="A328" s="121">
        <v>46029</v>
      </c>
      <c r="B328" s="112" t="s">
        <v>26</v>
      </c>
      <c r="C328" s="113" t="s">
        <v>820</v>
      </c>
      <c r="D328" s="112" t="s">
        <v>808</v>
      </c>
      <c r="E328" s="122">
        <v>1.4375</v>
      </c>
      <c r="F328" s="112" t="s">
        <v>28</v>
      </c>
      <c r="G328" s="114">
        <v>9</v>
      </c>
      <c r="H328" s="115" t="s">
        <v>81</v>
      </c>
    </row>
    <row r="329" spans="1:8" ht="19.899999999999999" customHeight="1">
      <c r="A329" s="121">
        <v>46029</v>
      </c>
      <c r="B329" s="112" t="s">
        <v>26</v>
      </c>
      <c r="C329" s="113" t="s">
        <v>826</v>
      </c>
      <c r="D329" s="112" t="s">
        <v>808</v>
      </c>
      <c r="E329" s="122">
        <v>1.958333333333333</v>
      </c>
      <c r="F329" s="112" t="s">
        <v>28</v>
      </c>
      <c r="G329" s="114">
        <v>9</v>
      </c>
      <c r="H329" s="115" t="s">
        <v>81</v>
      </c>
    </row>
    <row r="330" spans="1:8" ht="19.899999999999999" customHeight="1">
      <c r="A330" s="121">
        <v>46029</v>
      </c>
      <c r="B330" s="112" t="s">
        <v>26</v>
      </c>
      <c r="C330" s="113" t="s">
        <v>821</v>
      </c>
      <c r="D330" s="112" t="s">
        <v>808</v>
      </c>
      <c r="E330" s="122">
        <v>1.631944444444444</v>
      </c>
      <c r="F330" s="112" t="s">
        <v>28</v>
      </c>
      <c r="G330" s="114">
        <v>9</v>
      </c>
      <c r="H330" s="115" t="s">
        <v>81</v>
      </c>
    </row>
    <row r="331" spans="1:8" ht="19.899999999999999" customHeight="1">
      <c r="A331" s="121">
        <v>46029</v>
      </c>
      <c r="B331" s="112" t="s">
        <v>26</v>
      </c>
      <c r="C331" s="113" t="s">
        <v>822</v>
      </c>
      <c r="D331" s="112" t="s">
        <v>808</v>
      </c>
      <c r="E331" s="122">
        <v>1.5590277777777779</v>
      </c>
      <c r="F331" s="112" t="s">
        <v>28</v>
      </c>
      <c r="G331" s="114">
        <v>9</v>
      </c>
      <c r="H331" s="115" t="s">
        <v>81</v>
      </c>
    </row>
    <row r="332" spans="1:8" ht="19.899999999999999" customHeight="1">
      <c r="A332" s="121">
        <v>46029</v>
      </c>
      <c r="B332" s="112" t="s">
        <v>26</v>
      </c>
      <c r="C332" s="113" t="s">
        <v>823</v>
      </c>
      <c r="D332" s="112" t="s">
        <v>808</v>
      </c>
      <c r="E332" s="122">
        <v>1.819444444444444</v>
      </c>
      <c r="F332" s="112" t="s">
        <v>28</v>
      </c>
      <c r="G332" s="114">
        <v>9</v>
      </c>
      <c r="H332" s="115" t="s">
        <v>81</v>
      </c>
    </row>
    <row r="333" spans="1:8" ht="19.899999999999999" customHeight="1">
      <c r="A333" s="121">
        <v>46029</v>
      </c>
      <c r="B333" s="112" t="s">
        <v>26</v>
      </c>
      <c r="C333" s="113" t="s">
        <v>824</v>
      </c>
      <c r="D333" s="112" t="s">
        <v>808</v>
      </c>
      <c r="E333" s="122">
        <v>1.506944444444444</v>
      </c>
      <c r="F333" s="112" t="s">
        <v>28</v>
      </c>
      <c r="G333" s="114">
        <v>9</v>
      </c>
      <c r="H333" s="115" t="s">
        <v>81</v>
      </c>
    </row>
    <row r="334" spans="1:8" ht="19.899999999999999" customHeight="1">
      <c r="A334" s="121">
        <v>46029</v>
      </c>
      <c r="B334" s="112" t="s">
        <v>26</v>
      </c>
      <c r="C334" s="113" t="s">
        <v>825</v>
      </c>
      <c r="D334" s="112" t="s">
        <v>808</v>
      </c>
      <c r="E334" s="122">
        <v>1.697916666666667</v>
      </c>
      <c r="F334" s="112" t="s">
        <v>28</v>
      </c>
      <c r="G334" s="114">
        <v>9</v>
      </c>
      <c r="H334" s="115" t="s">
        <v>81</v>
      </c>
    </row>
    <row r="335" spans="1:8" ht="19.899999999999999" customHeight="1">
      <c r="A335" s="121">
        <v>46029</v>
      </c>
      <c r="B335" s="112" t="s">
        <v>48</v>
      </c>
      <c r="C335" s="113" t="s">
        <v>833</v>
      </c>
      <c r="D335" s="112" t="s">
        <v>808</v>
      </c>
      <c r="E335" s="122">
        <v>1.444444444444444</v>
      </c>
      <c r="F335" s="112" t="s">
        <v>50</v>
      </c>
      <c r="G335" s="114">
        <v>9</v>
      </c>
      <c r="H335" s="115" t="s">
        <v>873</v>
      </c>
    </row>
    <row r="336" spans="1:8" ht="19.899999999999999" customHeight="1">
      <c r="A336" s="121">
        <v>46029</v>
      </c>
      <c r="B336" s="112" t="s">
        <v>48</v>
      </c>
      <c r="C336" s="113" t="s">
        <v>828</v>
      </c>
      <c r="D336" s="112" t="s">
        <v>808</v>
      </c>
      <c r="E336" s="122">
        <v>1.8298611111111109</v>
      </c>
      <c r="F336" s="112" t="s">
        <v>50</v>
      </c>
      <c r="G336" s="114">
        <v>9</v>
      </c>
      <c r="H336" s="115" t="s">
        <v>873</v>
      </c>
    </row>
    <row r="337" spans="1:8" ht="19.899999999999999" customHeight="1">
      <c r="A337" s="121">
        <v>46029</v>
      </c>
      <c r="B337" s="112" t="s">
        <v>48</v>
      </c>
      <c r="C337" s="113" t="s">
        <v>831</v>
      </c>
      <c r="D337" s="112" t="s">
        <v>808</v>
      </c>
      <c r="E337" s="122">
        <v>1.9826388888888891</v>
      </c>
      <c r="F337" s="112" t="s">
        <v>50</v>
      </c>
      <c r="G337" s="114">
        <v>9</v>
      </c>
      <c r="H337" s="115" t="s">
        <v>873</v>
      </c>
    </row>
    <row r="338" spans="1:8" ht="19.899999999999999" customHeight="1">
      <c r="A338" s="121">
        <v>46029</v>
      </c>
      <c r="B338" s="112" t="s">
        <v>48</v>
      </c>
      <c r="C338" s="113" t="s">
        <v>832</v>
      </c>
      <c r="D338" s="112" t="s">
        <v>808</v>
      </c>
      <c r="E338" s="122">
        <v>1.6284722222222221</v>
      </c>
      <c r="F338" s="112" t="s">
        <v>50</v>
      </c>
      <c r="G338" s="114">
        <v>9</v>
      </c>
      <c r="H338" s="115" t="s">
        <v>873</v>
      </c>
    </row>
    <row r="339" spans="1:8" ht="19.899999999999999" customHeight="1">
      <c r="A339" s="121">
        <v>46029</v>
      </c>
      <c r="B339" s="112" t="s">
        <v>38</v>
      </c>
      <c r="C339" s="113" t="s">
        <v>809</v>
      </c>
      <c r="D339" s="112" t="s">
        <v>808</v>
      </c>
      <c r="E339" s="122">
        <v>1.5763888888888891</v>
      </c>
      <c r="F339" s="112" t="s">
        <v>43</v>
      </c>
      <c r="G339" s="114">
        <v>17</v>
      </c>
      <c r="H339" s="115" t="s">
        <v>121</v>
      </c>
    </row>
    <row r="340" spans="1:8" ht="19.899999999999999" customHeight="1">
      <c r="A340" s="121">
        <v>46029</v>
      </c>
      <c r="B340" s="112" t="s">
        <v>38</v>
      </c>
      <c r="C340" s="113" t="s">
        <v>811</v>
      </c>
      <c r="D340" s="112" t="s">
        <v>808</v>
      </c>
      <c r="E340" s="122">
        <v>1.6284722222222221</v>
      </c>
      <c r="F340" s="112" t="s">
        <v>43</v>
      </c>
      <c r="G340" s="114">
        <v>20</v>
      </c>
      <c r="H340" s="115" t="s">
        <v>121</v>
      </c>
    </row>
    <row r="341" spans="1:8" ht="19.899999999999999" customHeight="1">
      <c r="A341" s="121">
        <v>46029</v>
      </c>
      <c r="B341" s="112" t="s">
        <v>38</v>
      </c>
      <c r="C341" s="113" t="s">
        <v>812</v>
      </c>
      <c r="D341" s="112" t="s">
        <v>808</v>
      </c>
      <c r="E341" s="122">
        <v>1.8888888888888891</v>
      </c>
      <c r="F341" s="112" t="s">
        <v>43</v>
      </c>
      <c r="G341" s="114">
        <v>19</v>
      </c>
      <c r="H341" s="115" t="s">
        <v>121</v>
      </c>
    </row>
    <row r="342" spans="1:8" ht="19.899999999999999" customHeight="1">
      <c r="A342" s="121">
        <v>46029</v>
      </c>
      <c r="B342" s="112" t="s">
        <v>26</v>
      </c>
      <c r="C342" s="113" t="s">
        <v>820</v>
      </c>
      <c r="D342" s="112" t="s">
        <v>808</v>
      </c>
      <c r="E342" s="122">
        <v>1.4375</v>
      </c>
      <c r="F342" s="112" t="s">
        <v>31</v>
      </c>
      <c r="G342" s="114">
        <v>9</v>
      </c>
      <c r="H342" s="115" t="s">
        <v>83</v>
      </c>
    </row>
    <row r="343" spans="1:8" ht="19.899999999999999" customHeight="1">
      <c r="A343" s="121">
        <v>46029</v>
      </c>
      <c r="B343" s="112" t="s">
        <v>26</v>
      </c>
      <c r="C343" s="113" t="s">
        <v>826</v>
      </c>
      <c r="D343" s="112" t="s">
        <v>808</v>
      </c>
      <c r="E343" s="122">
        <v>1.958333333333333</v>
      </c>
      <c r="F343" s="112" t="s">
        <v>31</v>
      </c>
      <c r="G343" s="114">
        <v>9</v>
      </c>
      <c r="H343" s="115" t="s">
        <v>83</v>
      </c>
    </row>
    <row r="344" spans="1:8" ht="19.899999999999999" customHeight="1">
      <c r="A344" s="121">
        <v>46029</v>
      </c>
      <c r="B344" s="112" t="s">
        <v>26</v>
      </c>
      <c r="C344" s="113" t="s">
        <v>821</v>
      </c>
      <c r="D344" s="112" t="s">
        <v>808</v>
      </c>
      <c r="E344" s="122">
        <v>1.631944444444444</v>
      </c>
      <c r="F344" s="112" t="s">
        <v>31</v>
      </c>
      <c r="G344" s="114">
        <v>9</v>
      </c>
      <c r="H344" s="115" t="s">
        <v>83</v>
      </c>
    </row>
    <row r="345" spans="1:8" ht="19.899999999999999" customHeight="1">
      <c r="A345" s="121">
        <v>46029</v>
      </c>
      <c r="B345" s="112" t="s">
        <v>26</v>
      </c>
      <c r="C345" s="113" t="s">
        <v>822</v>
      </c>
      <c r="D345" s="112" t="s">
        <v>808</v>
      </c>
      <c r="E345" s="122">
        <v>1.5590277777777779</v>
      </c>
      <c r="F345" s="112" t="s">
        <v>31</v>
      </c>
      <c r="G345" s="114">
        <v>9</v>
      </c>
      <c r="H345" s="115" t="s">
        <v>83</v>
      </c>
    </row>
    <row r="346" spans="1:8" ht="19.899999999999999" customHeight="1">
      <c r="A346" s="121">
        <v>46029</v>
      </c>
      <c r="B346" s="112" t="s">
        <v>26</v>
      </c>
      <c r="C346" s="113" t="s">
        <v>823</v>
      </c>
      <c r="D346" s="112" t="s">
        <v>808</v>
      </c>
      <c r="E346" s="122">
        <v>1.819444444444444</v>
      </c>
      <c r="F346" s="112" t="s">
        <v>31</v>
      </c>
      <c r="G346" s="114">
        <v>9</v>
      </c>
      <c r="H346" s="115" t="s">
        <v>83</v>
      </c>
    </row>
    <row r="347" spans="1:8" ht="19.899999999999999" customHeight="1">
      <c r="A347" s="121">
        <v>46029</v>
      </c>
      <c r="B347" s="112" t="s">
        <v>26</v>
      </c>
      <c r="C347" s="113" t="s">
        <v>824</v>
      </c>
      <c r="D347" s="112" t="s">
        <v>808</v>
      </c>
      <c r="E347" s="122">
        <v>1.506944444444444</v>
      </c>
      <c r="F347" s="112" t="s">
        <v>31</v>
      </c>
      <c r="G347" s="114">
        <v>9</v>
      </c>
      <c r="H347" s="115" t="s">
        <v>83</v>
      </c>
    </row>
    <row r="348" spans="1:8" ht="19.899999999999999" customHeight="1">
      <c r="A348" s="121">
        <v>46029</v>
      </c>
      <c r="B348" s="112" t="s">
        <v>26</v>
      </c>
      <c r="C348" s="113" t="s">
        <v>825</v>
      </c>
      <c r="D348" s="112" t="s">
        <v>808</v>
      </c>
      <c r="E348" s="122">
        <v>1.697916666666667</v>
      </c>
      <c r="F348" s="112" t="s">
        <v>31</v>
      </c>
      <c r="G348" s="114">
        <v>9</v>
      </c>
      <c r="H348" s="115" t="s">
        <v>83</v>
      </c>
    </row>
    <row r="349" spans="1:8" ht="19.899999999999999" customHeight="1">
      <c r="A349" s="121">
        <v>46029</v>
      </c>
      <c r="B349" s="112" t="s">
        <v>38</v>
      </c>
      <c r="C349" s="113" t="s">
        <v>813</v>
      </c>
      <c r="D349" s="112" t="s">
        <v>808</v>
      </c>
      <c r="E349" s="122">
        <v>1.944444444444444</v>
      </c>
      <c r="F349" s="112" t="s">
        <v>43</v>
      </c>
      <c r="G349" s="114">
        <v>22</v>
      </c>
      <c r="H349" s="115" t="s">
        <v>349</v>
      </c>
    </row>
    <row r="350" spans="1:8" ht="19.899999999999999" customHeight="1">
      <c r="A350" s="121">
        <v>46029</v>
      </c>
      <c r="B350" s="112" t="s">
        <v>68</v>
      </c>
      <c r="C350" s="113" t="s">
        <v>844</v>
      </c>
      <c r="D350" s="112" t="s">
        <v>808</v>
      </c>
      <c r="E350" s="122">
        <v>1.729166666666667</v>
      </c>
      <c r="F350" s="112" t="s">
        <v>70</v>
      </c>
      <c r="G350" s="114">
        <v>9</v>
      </c>
      <c r="H350" s="115" t="s">
        <v>892</v>
      </c>
    </row>
    <row r="351" spans="1:8" ht="19.899999999999999" customHeight="1">
      <c r="A351" s="121">
        <v>46029</v>
      </c>
      <c r="B351" s="112" t="s">
        <v>48</v>
      </c>
      <c r="C351" s="113" t="s">
        <v>833</v>
      </c>
      <c r="D351" s="112" t="s">
        <v>808</v>
      </c>
      <c r="E351" s="122">
        <v>1.444444444444444</v>
      </c>
      <c r="F351" s="112" t="s">
        <v>53</v>
      </c>
      <c r="G351" s="114">
        <v>9</v>
      </c>
      <c r="H351" s="115" t="s">
        <v>874</v>
      </c>
    </row>
    <row r="352" spans="1:8" ht="19.899999999999999" customHeight="1">
      <c r="A352" s="121">
        <v>46029</v>
      </c>
      <c r="B352" s="112" t="s">
        <v>48</v>
      </c>
      <c r="C352" s="113" t="s">
        <v>828</v>
      </c>
      <c r="D352" s="112" t="s">
        <v>808</v>
      </c>
      <c r="E352" s="122">
        <v>1.8298611111111109</v>
      </c>
      <c r="F352" s="112" t="s">
        <v>53</v>
      </c>
      <c r="G352" s="114">
        <v>9</v>
      </c>
      <c r="H352" s="115" t="s">
        <v>874</v>
      </c>
    </row>
    <row r="353" spans="1:8" ht="19.899999999999999" customHeight="1">
      <c r="A353" s="121">
        <v>46029</v>
      </c>
      <c r="B353" s="112" t="s">
        <v>48</v>
      </c>
      <c r="C353" s="113" t="s">
        <v>831</v>
      </c>
      <c r="D353" s="112" t="s">
        <v>808</v>
      </c>
      <c r="E353" s="122">
        <v>1.9826388888888891</v>
      </c>
      <c r="F353" s="112" t="s">
        <v>53</v>
      </c>
      <c r="G353" s="114">
        <v>9</v>
      </c>
      <c r="H353" s="115" t="s">
        <v>874</v>
      </c>
    </row>
    <row r="354" spans="1:8" ht="19.899999999999999" customHeight="1">
      <c r="A354" s="121">
        <v>46029</v>
      </c>
      <c r="B354" s="112" t="s">
        <v>48</v>
      </c>
      <c r="C354" s="113" t="s">
        <v>832</v>
      </c>
      <c r="D354" s="112" t="s">
        <v>808</v>
      </c>
      <c r="E354" s="122">
        <v>1.6284722222222221</v>
      </c>
      <c r="F354" s="112" t="s">
        <v>53</v>
      </c>
      <c r="G354" s="114">
        <v>9</v>
      </c>
      <c r="H354" s="115" t="s">
        <v>874</v>
      </c>
    </row>
    <row r="355" spans="1:8" ht="19.899999999999999" customHeight="1">
      <c r="A355" s="121">
        <v>46029</v>
      </c>
      <c r="B355" s="112" t="s">
        <v>26</v>
      </c>
      <c r="C355" s="113" t="s">
        <v>820</v>
      </c>
      <c r="D355" s="112" t="s">
        <v>808</v>
      </c>
      <c r="E355" s="122">
        <v>1.4375</v>
      </c>
      <c r="F355" s="112" t="s">
        <v>34</v>
      </c>
      <c r="G355" s="114">
        <v>9</v>
      </c>
      <c r="H355" s="115" t="s">
        <v>45</v>
      </c>
    </row>
    <row r="356" spans="1:8" ht="19.899999999999999" customHeight="1">
      <c r="A356" s="121">
        <v>46029</v>
      </c>
      <c r="B356" s="112" t="s">
        <v>26</v>
      </c>
      <c r="C356" s="113" t="s">
        <v>826</v>
      </c>
      <c r="D356" s="112" t="s">
        <v>808</v>
      </c>
      <c r="E356" s="122">
        <v>1.958333333333333</v>
      </c>
      <c r="F356" s="112" t="s">
        <v>34</v>
      </c>
      <c r="G356" s="114">
        <v>9</v>
      </c>
      <c r="H356" s="115" t="s">
        <v>45</v>
      </c>
    </row>
    <row r="357" spans="1:8" ht="19.899999999999999" customHeight="1">
      <c r="A357" s="121">
        <v>46029</v>
      </c>
      <c r="B357" s="112" t="s">
        <v>26</v>
      </c>
      <c r="C357" s="113" t="s">
        <v>821</v>
      </c>
      <c r="D357" s="112" t="s">
        <v>808</v>
      </c>
      <c r="E357" s="122">
        <v>1.631944444444444</v>
      </c>
      <c r="F357" s="112" t="s">
        <v>34</v>
      </c>
      <c r="G357" s="114">
        <v>9</v>
      </c>
      <c r="H357" s="115" t="s">
        <v>45</v>
      </c>
    </row>
    <row r="358" spans="1:8" ht="19.899999999999999" customHeight="1">
      <c r="A358" s="121">
        <v>46029</v>
      </c>
      <c r="B358" s="112" t="s">
        <v>26</v>
      </c>
      <c r="C358" s="113" t="s">
        <v>822</v>
      </c>
      <c r="D358" s="112" t="s">
        <v>808</v>
      </c>
      <c r="E358" s="122">
        <v>1.5590277777777779</v>
      </c>
      <c r="F358" s="112" t="s">
        <v>34</v>
      </c>
      <c r="G358" s="114">
        <v>9</v>
      </c>
      <c r="H358" s="115" t="s">
        <v>45</v>
      </c>
    </row>
    <row r="359" spans="1:8" ht="19.899999999999999" customHeight="1">
      <c r="A359" s="121">
        <v>46029</v>
      </c>
      <c r="B359" s="112" t="s">
        <v>26</v>
      </c>
      <c r="C359" s="113" t="s">
        <v>823</v>
      </c>
      <c r="D359" s="112" t="s">
        <v>808</v>
      </c>
      <c r="E359" s="122">
        <v>1.819444444444444</v>
      </c>
      <c r="F359" s="112" t="s">
        <v>34</v>
      </c>
      <c r="G359" s="114">
        <v>9</v>
      </c>
      <c r="H359" s="115" t="s">
        <v>45</v>
      </c>
    </row>
    <row r="360" spans="1:8" ht="19.899999999999999" customHeight="1">
      <c r="A360" s="121">
        <v>46029</v>
      </c>
      <c r="B360" s="112" t="s">
        <v>26</v>
      </c>
      <c r="C360" s="113" t="s">
        <v>824</v>
      </c>
      <c r="D360" s="112" t="s">
        <v>808</v>
      </c>
      <c r="E360" s="122">
        <v>1.506944444444444</v>
      </c>
      <c r="F360" s="112" t="s">
        <v>34</v>
      </c>
      <c r="G360" s="114">
        <v>9</v>
      </c>
      <c r="H360" s="115" t="s">
        <v>45</v>
      </c>
    </row>
    <row r="361" spans="1:8" ht="19.899999999999999" customHeight="1">
      <c r="A361" s="121">
        <v>46029</v>
      </c>
      <c r="B361" s="112" t="s">
        <v>26</v>
      </c>
      <c r="C361" s="113" t="s">
        <v>825</v>
      </c>
      <c r="D361" s="112" t="s">
        <v>808</v>
      </c>
      <c r="E361" s="122">
        <v>1.697916666666667</v>
      </c>
      <c r="F361" s="112" t="s">
        <v>34</v>
      </c>
      <c r="G361" s="114">
        <v>9</v>
      </c>
      <c r="H361" s="115" t="s">
        <v>45</v>
      </c>
    </row>
    <row r="362" spans="1:8" ht="19.899999999999999" customHeight="1">
      <c r="A362" s="121">
        <v>46029</v>
      </c>
      <c r="B362" s="112" t="s">
        <v>402</v>
      </c>
      <c r="C362" s="113" t="s">
        <v>839</v>
      </c>
      <c r="D362" s="112" t="s">
        <v>808</v>
      </c>
      <c r="E362" s="122">
        <v>1.2013888888888891</v>
      </c>
      <c r="F362" s="112" t="s">
        <v>63</v>
      </c>
      <c r="G362" s="114">
        <v>7</v>
      </c>
      <c r="H362" s="115" t="s">
        <v>881</v>
      </c>
    </row>
    <row r="363" spans="1:8" ht="19.899999999999999" customHeight="1">
      <c r="A363" s="121">
        <v>46029</v>
      </c>
      <c r="B363" s="112" t="s">
        <v>402</v>
      </c>
      <c r="C363" s="113" t="s">
        <v>841</v>
      </c>
      <c r="D363" s="112" t="s">
        <v>808</v>
      </c>
      <c r="E363" s="122">
        <v>1.614583333333333</v>
      </c>
      <c r="F363" s="112" t="s">
        <v>63</v>
      </c>
      <c r="G363" s="114">
        <v>7</v>
      </c>
      <c r="H363" s="115" t="s">
        <v>881</v>
      </c>
    </row>
    <row r="364" spans="1:8" ht="19.899999999999999" customHeight="1">
      <c r="A364" s="121">
        <v>46029</v>
      </c>
      <c r="B364" s="112" t="s">
        <v>38</v>
      </c>
      <c r="C364" s="113" t="s">
        <v>809</v>
      </c>
      <c r="D364" s="112" t="s">
        <v>808</v>
      </c>
      <c r="E364" s="122">
        <v>1.5763888888888891</v>
      </c>
      <c r="F364" s="112" t="s">
        <v>46</v>
      </c>
      <c r="G364" s="114">
        <v>17</v>
      </c>
      <c r="H364" s="115" t="s">
        <v>810</v>
      </c>
    </row>
    <row r="365" spans="1:8" ht="19.899999999999999" customHeight="1">
      <c r="A365" s="121">
        <v>46029</v>
      </c>
      <c r="B365" s="112" t="s">
        <v>38</v>
      </c>
      <c r="C365" s="113" t="s">
        <v>811</v>
      </c>
      <c r="D365" s="112" t="s">
        <v>808</v>
      </c>
      <c r="E365" s="122">
        <v>1.6284722222222221</v>
      </c>
      <c r="F365" s="112" t="s">
        <v>46</v>
      </c>
      <c r="G365" s="114">
        <v>20</v>
      </c>
      <c r="H365" s="115" t="s">
        <v>810</v>
      </c>
    </row>
    <row r="366" spans="1:8" ht="19.899999999999999" customHeight="1">
      <c r="A366" s="121">
        <v>46029</v>
      </c>
      <c r="B366" s="112" t="s">
        <v>38</v>
      </c>
      <c r="C366" s="113" t="s">
        <v>812</v>
      </c>
      <c r="D366" s="112" t="s">
        <v>808</v>
      </c>
      <c r="E366" s="122">
        <v>1.8888888888888891</v>
      </c>
      <c r="F366" s="112" t="s">
        <v>46</v>
      </c>
      <c r="G366" s="114">
        <v>19</v>
      </c>
      <c r="H366" s="115" t="s">
        <v>810</v>
      </c>
    </row>
    <row r="367" spans="1:8" ht="19.899999999999999" customHeight="1">
      <c r="A367" s="121">
        <v>46029</v>
      </c>
      <c r="B367" s="112" t="s">
        <v>38</v>
      </c>
      <c r="C367" s="113" t="s">
        <v>813</v>
      </c>
      <c r="D367" s="112" t="s">
        <v>808</v>
      </c>
      <c r="E367" s="122">
        <v>1.944444444444444</v>
      </c>
      <c r="F367" s="112" t="s">
        <v>46</v>
      </c>
      <c r="G367" s="114">
        <v>22</v>
      </c>
      <c r="H367" s="115" t="s">
        <v>810</v>
      </c>
    </row>
    <row r="368" spans="1:8" ht="19.899999999999999" customHeight="1">
      <c r="A368" s="121">
        <v>46029</v>
      </c>
      <c r="B368" s="112" t="s">
        <v>48</v>
      </c>
      <c r="C368" s="113" t="s">
        <v>835</v>
      </c>
      <c r="D368" s="112" t="s">
        <v>808</v>
      </c>
      <c r="E368" s="122">
        <v>1.8888888888888891</v>
      </c>
      <c r="F368" s="112" t="s">
        <v>53</v>
      </c>
      <c r="G368" s="114">
        <v>4</v>
      </c>
      <c r="H368" s="115" t="s">
        <v>836</v>
      </c>
    </row>
    <row r="369" spans="1:8" ht="19.899999999999999" customHeight="1">
      <c r="A369" s="121">
        <v>46029</v>
      </c>
      <c r="B369" s="112" t="s">
        <v>48</v>
      </c>
      <c r="C369" s="113" t="s">
        <v>837</v>
      </c>
      <c r="D369" s="112" t="s">
        <v>808</v>
      </c>
      <c r="E369" s="122">
        <v>1.6284722222222221</v>
      </c>
      <c r="F369" s="112" t="s">
        <v>53</v>
      </c>
      <c r="G369" s="114">
        <v>4</v>
      </c>
      <c r="H369" s="115" t="s">
        <v>836</v>
      </c>
    </row>
    <row r="370" spans="1:8" ht="19.899999999999999" customHeight="1">
      <c r="A370" s="123">
        <v>46029</v>
      </c>
      <c r="B370" s="124" t="s">
        <v>48</v>
      </c>
      <c r="C370" s="125" t="s">
        <v>838</v>
      </c>
      <c r="D370" s="124" t="s">
        <v>808</v>
      </c>
      <c r="E370" s="126">
        <v>1.944444444444444</v>
      </c>
      <c r="F370" s="124" t="s">
        <v>53</v>
      </c>
      <c r="G370" s="127">
        <v>4</v>
      </c>
      <c r="H370" s="128" t="s">
        <v>836</v>
      </c>
    </row>
    <row r="371" spans="1:8" ht="19.899999999999999" customHeight="1">
      <c r="A371" s="121">
        <v>46030</v>
      </c>
      <c r="B371" s="112" t="s">
        <v>38</v>
      </c>
      <c r="C371" s="113" t="s">
        <v>809</v>
      </c>
      <c r="D371" s="112" t="s">
        <v>808</v>
      </c>
      <c r="E371" s="122">
        <v>1.5763888888888891</v>
      </c>
      <c r="F371" s="112" t="s">
        <v>40</v>
      </c>
      <c r="G371" s="114">
        <v>13</v>
      </c>
      <c r="H371" s="115" t="s">
        <v>475</v>
      </c>
    </row>
    <row r="372" spans="1:8" ht="19.899999999999999" customHeight="1">
      <c r="A372" s="121">
        <v>46030</v>
      </c>
      <c r="B372" s="112" t="s">
        <v>38</v>
      </c>
      <c r="C372" s="113" t="s">
        <v>811</v>
      </c>
      <c r="D372" s="112" t="s">
        <v>808</v>
      </c>
      <c r="E372" s="122">
        <v>1.6284722222222221</v>
      </c>
      <c r="F372" s="112" t="s">
        <v>40</v>
      </c>
      <c r="G372" s="114">
        <v>12</v>
      </c>
      <c r="H372" s="115" t="s">
        <v>475</v>
      </c>
    </row>
    <row r="373" spans="1:8" ht="19.899999999999999" customHeight="1">
      <c r="A373" s="121">
        <v>46030</v>
      </c>
      <c r="B373" s="112" t="s">
        <v>38</v>
      </c>
      <c r="C373" s="113" t="s">
        <v>812</v>
      </c>
      <c r="D373" s="112" t="s">
        <v>808</v>
      </c>
      <c r="E373" s="122">
        <v>1.8888888888888891</v>
      </c>
      <c r="F373" s="112" t="s">
        <v>40</v>
      </c>
      <c r="G373" s="114">
        <v>16</v>
      </c>
      <c r="H373" s="115" t="s">
        <v>475</v>
      </c>
    </row>
    <row r="374" spans="1:8" ht="19.899999999999999" customHeight="1">
      <c r="A374" s="121">
        <v>46030</v>
      </c>
      <c r="B374" s="112" t="s">
        <v>38</v>
      </c>
      <c r="C374" s="113" t="s">
        <v>813</v>
      </c>
      <c r="D374" s="112" t="s">
        <v>808</v>
      </c>
      <c r="E374" s="122">
        <v>1.944444444444444</v>
      </c>
      <c r="F374" s="112" t="s">
        <v>40</v>
      </c>
      <c r="G374" s="114">
        <v>18</v>
      </c>
      <c r="H374" s="115" t="s">
        <v>475</v>
      </c>
    </row>
    <row r="375" spans="1:8" ht="19.899999999999999" customHeight="1">
      <c r="A375" s="121">
        <v>46030</v>
      </c>
      <c r="B375" s="112" t="s">
        <v>359</v>
      </c>
      <c r="C375" s="113" t="s">
        <v>814</v>
      </c>
      <c r="D375" s="112" t="s">
        <v>808</v>
      </c>
      <c r="E375" s="122">
        <v>1.4375</v>
      </c>
      <c r="F375" s="112" t="s">
        <v>361</v>
      </c>
      <c r="G375" s="114">
        <v>9</v>
      </c>
      <c r="H375" s="115" t="s">
        <v>883</v>
      </c>
    </row>
    <row r="376" spans="1:8" ht="19.899999999999999" customHeight="1">
      <c r="A376" s="121">
        <v>46030</v>
      </c>
      <c r="B376" s="112" t="s">
        <v>68</v>
      </c>
      <c r="C376" s="113" t="s">
        <v>842</v>
      </c>
      <c r="D376" s="112" t="s">
        <v>808</v>
      </c>
      <c r="E376" s="122">
        <v>1.9826388888888891</v>
      </c>
      <c r="F376" s="112" t="s">
        <v>643</v>
      </c>
      <c r="G376" s="114">
        <v>6</v>
      </c>
      <c r="H376" s="115" t="s">
        <v>891</v>
      </c>
    </row>
    <row r="377" spans="1:8" ht="19.899999999999999" customHeight="1">
      <c r="A377" s="121">
        <v>46030</v>
      </c>
      <c r="B377" s="112" t="s">
        <v>68</v>
      </c>
      <c r="C377" s="113" t="s">
        <v>844</v>
      </c>
      <c r="D377" s="112" t="s">
        <v>808</v>
      </c>
      <c r="E377" s="122">
        <v>1.729166666666667</v>
      </c>
      <c r="F377" s="112" t="s">
        <v>643</v>
      </c>
      <c r="G377" s="114">
        <v>3</v>
      </c>
      <c r="H377" s="115" t="s">
        <v>888</v>
      </c>
    </row>
    <row r="378" spans="1:8" ht="19.899999999999999" customHeight="1">
      <c r="A378" s="129">
        <v>46030</v>
      </c>
      <c r="B378" s="117" t="s">
        <v>61</v>
      </c>
      <c r="C378" s="118" t="s">
        <v>816</v>
      </c>
      <c r="D378" s="117" t="s">
        <v>808</v>
      </c>
      <c r="E378" s="130">
        <v>1.413194444444444</v>
      </c>
      <c r="F378" s="117" t="s">
        <v>63</v>
      </c>
      <c r="G378" s="119">
        <v>9</v>
      </c>
      <c r="H378" s="120" t="s">
        <v>817</v>
      </c>
    </row>
    <row r="379" spans="1:8" ht="19.899999999999999" customHeight="1">
      <c r="A379" s="121">
        <v>46030</v>
      </c>
      <c r="B379" s="112" t="s">
        <v>26</v>
      </c>
      <c r="C379" s="113" t="s">
        <v>820</v>
      </c>
      <c r="D379" s="112" t="s">
        <v>808</v>
      </c>
      <c r="E379" s="122">
        <v>1.4375</v>
      </c>
      <c r="F379" s="112" t="s">
        <v>28</v>
      </c>
      <c r="G379" s="114">
        <v>9</v>
      </c>
      <c r="H379" s="115" t="s">
        <v>81</v>
      </c>
    </row>
    <row r="380" spans="1:8" ht="19.899999999999999" customHeight="1">
      <c r="A380" s="121">
        <v>46030</v>
      </c>
      <c r="B380" s="112" t="s">
        <v>26</v>
      </c>
      <c r="C380" s="113" t="s">
        <v>826</v>
      </c>
      <c r="D380" s="112" t="s">
        <v>808</v>
      </c>
      <c r="E380" s="122">
        <v>1.958333333333333</v>
      </c>
      <c r="F380" s="112" t="s">
        <v>28</v>
      </c>
      <c r="G380" s="114">
        <v>9</v>
      </c>
      <c r="H380" s="115" t="s">
        <v>81</v>
      </c>
    </row>
    <row r="381" spans="1:8" ht="19.899999999999999" customHeight="1">
      <c r="A381" s="121">
        <v>46030</v>
      </c>
      <c r="B381" s="112" t="s">
        <v>26</v>
      </c>
      <c r="C381" s="113" t="s">
        <v>821</v>
      </c>
      <c r="D381" s="112" t="s">
        <v>808</v>
      </c>
      <c r="E381" s="122">
        <v>1.631944444444444</v>
      </c>
      <c r="F381" s="112" t="s">
        <v>28</v>
      </c>
      <c r="G381" s="114">
        <v>9</v>
      </c>
      <c r="H381" s="115" t="s">
        <v>81</v>
      </c>
    </row>
    <row r="382" spans="1:8" ht="19.899999999999999" customHeight="1">
      <c r="A382" s="121">
        <v>46030</v>
      </c>
      <c r="B382" s="112" t="s">
        <v>26</v>
      </c>
      <c r="C382" s="113" t="s">
        <v>822</v>
      </c>
      <c r="D382" s="112" t="s">
        <v>808</v>
      </c>
      <c r="E382" s="122">
        <v>1.5590277777777779</v>
      </c>
      <c r="F382" s="112" t="s">
        <v>28</v>
      </c>
      <c r="G382" s="114">
        <v>9</v>
      </c>
      <c r="H382" s="115" t="s">
        <v>81</v>
      </c>
    </row>
    <row r="383" spans="1:8" ht="19.899999999999999" customHeight="1">
      <c r="A383" s="121">
        <v>46030</v>
      </c>
      <c r="B383" s="112" t="s">
        <v>26</v>
      </c>
      <c r="C383" s="113" t="s">
        <v>823</v>
      </c>
      <c r="D383" s="112" t="s">
        <v>808</v>
      </c>
      <c r="E383" s="122">
        <v>1.819444444444444</v>
      </c>
      <c r="F383" s="112" t="s">
        <v>28</v>
      </c>
      <c r="G383" s="114">
        <v>9</v>
      </c>
      <c r="H383" s="115" t="s">
        <v>81</v>
      </c>
    </row>
    <row r="384" spans="1:8" ht="19.899999999999999" customHeight="1">
      <c r="A384" s="121">
        <v>46030</v>
      </c>
      <c r="B384" s="112" t="s">
        <v>26</v>
      </c>
      <c r="C384" s="113" t="s">
        <v>824</v>
      </c>
      <c r="D384" s="112" t="s">
        <v>808</v>
      </c>
      <c r="E384" s="122">
        <v>1.506944444444444</v>
      </c>
      <c r="F384" s="112" t="s">
        <v>28</v>
      </c>
      <c r="G384" s="114">
        <v>9</v>
      </c>
      <c r="H384" s="115" t="s">
        <v>81</v>
      </c>
    </row>
    <row r="385" spans="1:8" ht="19.899999999999999" customHeight="1">
      <c r="A385" s="121">
        <v>46030</v>
      </c>
      <c r="B385" s="112" t="s">
        <v>26</v>
      </c>
      <c r="C385" s="113" t="s">
        <v>825</v>
      </c>
      <c r="D385" s="112" t="s">
        <v>808</v>
      </c>
      <c r="E385" s="122">
        <v>1.697916666666667</v>
      </c>
      <c r="F385" s="112" t="s">
        <v>28</v>
      </c>
      <c r="G385" s="114">
        <v>9</v>
      </c>
      <c r="H385" s="115" t="s">
        <v>81</v>
      </c>
    </row>
    <row r="386" spans="1:8" ht="19.899999999999999" customHeight="1">
      <c r="A386" s="121">
        <v>46030</v>
      </c>
      <c r="B386" s="112" t="s">
        <v>48</v>
      </c>
      <c r="C386" s="113" t="s">
        <v>833</v>
      </c>
      <c r="D386" s="112" t="s">
        <v>808</v>
      </c>
      <c r="E386" s="122">
        <v>1.444444444444444</v>
      </c>
      <c r="F386" s="112" t="s">
        <v>50</v>
      </c>
      <c r="G386" s="114">
        <v>9</v>
      </c>
      <c r="H386" s="115" t="s">
        <v>873</v>
      </c>
    </row>
    <row r="387" spans="1:8" ht="19.899999999999999" customHeight="1">
      <c r="A387" s="121">
        <v>46030</v>
      </c>
      <c r="B387" s="112" t="s">
        <v>48</v>
      </c>
      <c r="C387" s="113" t="s">
        <v>828</v>
      </c>
      <c r="D387" s="112" t="s">
        <v>808</v>
      </c>
      <c r="E387" s="122">
        <v>1.8298611111111109</v>
      </c>
      <c r="F387" s="112" t="s">
        <v>50</v>
      </c>
      <c r="G387" s="114">
        <v>9</v>
      </c>
      <c r="H387" s="115" t="s">
        <v>873</v>
      </c>
    </row>
    <row r="388" spans="1:8" ht="19.899999999999999" customHeight="1">
      <c r="A388" s="121">
        <v>46030</v>
      </c>
      <c r="B388" s="112" t="s">
        <v>48</v>
      </c>
      <c r="C388" s="113" t="s">
        <v>831</v>
      </c>
      <c r="D388" s="112" t="s">
        <v>808</v>
      </c>
      <c r="E388" s="122">
        <v>1.9826388888888891</v>
      </c>
      <c r="F388" s="112" t="s">
        <v>50</v>
      </c>
      <c r="G388" s="114">
        <v>9</v>
      </c>
      <c r="H388" s="115" t="s">
        <v>873</v>
      </c>
    </row>
    <row r="389" spans="1:8" ht="19.899999999999999" customHeight="1">
      <c r="A389" s="121">
        <v>46030</v>
      </c>
      <c r="B389" s="112" t="s">
        <v>48</v>
      </c>
      <c r="C389" s="113" t="s">
        <v>832</v>
      </c>
      <c r="D389" s="112" t="s">
        <v>808</v>
      </c>
      <c r="E389" s="122">
        <v>1.6284722222222221</v>
      </c>
      <c r="F389" s="112" t="s">
        <v>50</v>
      </c>
      <c r="G389" s="114">
        <v>3</v>
      </c>
      <c r="H389" s="115" t="s">
        <v>873</v>
      </c>
    </row>
    <row r="390" spans="1:8" ht="19.899999999999999" customHeight="1">
      <c r="A390" s="121">
        <v>46030</v>
      </c>
      <c r="B390" s="112" t="s">
        <v>38</v>
      </c>
      <c r="C390" s="113" t="s">
        <v>809</v>
      </c>
      <c r="D390" s="112" t="s">
        <v>808</v>
      </c>
      <c r="E390" s="122">
        <v>1.5763888888888891</v>
      </c>
      <c r="F390" s="112" t="s">
        <v>43</v>
      </c>
      <c r="G390" s="114">
        <v>13</v>
      </c>
      <c r="H390" s="115" t="s">
        <v>121</v>
      </c>
    </row>
    <row r="391" spans="1:8" ht="19.899999999999999" customHeight="1">
      <c r="A391" s="121">
        <v>46030</v>
      </c>
      <c r="B391" s="112" t="s">
        <v>38</v>
      </c>
      <c r="C391" s="113" t="s">
        <v>811</v>
      </c>
      <c r="D391" s="112" t="s">
        <v>808</v>
      </c>
      <c r="E391" s="122">
        <v>1.6284722222222221</v>
      </c>
      <c r="F391" s="112" t="s">
        <v>43</v>
      </c>
      <c r="G391" s="114">
        <v>12</v>
      </c>
      <c r="H391" s="115" t="s">
        <v>121</v>
      </c>
    </row>
    <row r="392" spans="1:8" ht="19.899999999999999" customHeight="1">
      <c r="A392" s="121">
        <v>46030</v>
      </c>
      <c r="B392" s="112" t="s">
        <v>38</v>
      </c>
      <c r="C392" s="113" t="s">
        <v>812</v>
      </c>
      <c r="D392" s="112" t="s">
        <v>808</v>
      </c>
      <c r="E392" s="122">
        <v>1.8888888888888891</v>
      </c>
      <c r="F392" s="112" t="s">
        <v>43</v>
      </c>
      <c r="G392" s="114">
        <v>16</v>
      </c>
      <c r="H392" s="115" t="s">
        <v>121</v>
      </c>
    </row>
    <row r="393" spans="1:8" ht="19.899999999999999" customHeight="1">
      <c r="A393" s="121">
        <v>46030</v>
      </c>
      <c r="B393" s="112" t="s">
        <v>38</v>
      </c>
      <c r="C393" s="113" t="s">
        <v>813</v>
      </c>
      <c r="D393" s="112" t="s">
        <v>808</v>
      </c>
      <c r="E393" s="122">
        <v>1.944444444444444</v>
      </c>
      <c r="F393" s="112" t="s">
        <v>43</v>
      </c>
      <c r="G393" s="114">
        <v>18</v>
      </c>
      <c r="H393" s="115" t="s">
        <v>121</v>
      </c>
    </row>
    <row r="394" spans="1:8" ht="19.899999999999999" customHeight="1">
      <c r="A394" s="121">
        <v>46030</v>
      </c>
      <c r="B394" s="112" t="s">
        <v>26</v>
      </c>
      <c r="C394" s="113" t="s">
        <v>820</v>
      </c>
      <c r="D394" s="112" t="s">
        <v>808</v>
      </c>
      <c r="E394" s="122">
        <v>1.4375</v>
      </c>
      <c r="F394" s="112" t="s">
        <v>31</v>
      </c>
      <c r="G394" s="114">
        <v>9</v>
      </c>
      <c r="H394" s="115" t="s">
        <v>83</v>
      </c>
    </row>
    <row r="395" spans="1:8" ht="19.899999999999999" customHeight="1">
      <c r="A395" s="121">
        <v>46030</v>
      </c>
      <c r="B395" s="112" t="s">
        <v>26</v>
      </c>
      <c r="C395" s="113" t="s">
        <v>826</v>
      </c>
      <c r="D395" s="112" t="s">
        <v>808</v>
      </c>
      <c r="E395" s="122">
        <v>1.958333333333333</v>
      </c>
      <c r="F395" s="112" t="s">
        <v>31</v>
      </c>
      <c r="G395" s="114">
        <v>9</v>
      </c>
      <c r="H395" s="115" t="s">
        <v>83</v>
      </c>
    </row>
    <row r="396" spans="1:8" ht="19.899999999999999" customHeight="1">
      <c r="A396" s="121">
        <v>46030</v>
      </c>
      <c r="B396" s="112" t="s">
        <v>26</v>
      </c>
      <c r="C396" s="113" t="s">
        <v>821</v>
      </c>
      <c r="D396" s="112" t="s">
        <v>808</v>
      </c>
      <c r="E396" s="122">
        <v>1.631944444444444</v>
      </c>
      <c r="F396" s="112" t="s">
        <v>31</v>
      </c>
      <c r="G396" s="114">
        <v>9</v>
      </c>
      <c r="H396" s="115" t="s">
        <v>83</v>
      </c>
    </row>
    <row r="397" spans="1:8" ht="19.899999999999999" customHeight="1">
      <c r="A397" s="121">
        <v>46030</v>
      </c>
      <c r="B397" s="112" t="s">
        <v>26</v>
      </c>
      <c r="C397" s="113" t="s">
        <v>822</v>
      </c>
      <c r="D397" s="112" t="s">
        <v>808</v>
      </c>
      <c r="E397" s="122">
        <v>1.5590277777777779</v>
      </c>
      <c r="F397" s="112" t="s">
        <v>31</v>
      </c>
      <c r="G397" s="114">
        <v>9</v>
      </c>
      <c r="H397" s="115" t="s">
        <v>83</v>
      </c>
    </row>
    <row r="398" spans="1:8" ht="19.899999999999999" customHeight="1">
      <c r="A398" s="121">
        <v>46030</v>
      </c>
      <c r="B398" s="112" t="s">
        <v>26</v>
      </c>
      <c r="C398" s="113" t="s">
        <v>823</v>
      </c>
      <c r="D398" s="112" t="s">
        <v>808</v>
      </c>
      <c r="E398" s="122">
        <v>1.819444444444444</v>
      </c>
      <c r="F398" s="112" t="s">
        <v>31</v>
      </c>
      <c r="G398" s="114">
        <v>9</v>
      </c>
      <c r="H398" s="115" t="s">
        <v>83</v>
      </c>
    </row>
    <row r="399" spans="1:8" ht="19.899999999999999" customHeight="1">
      <c r="A399" s="121">
        <v>46030</v>
      </c>
      <c r="B399" s="112" t="s">
        <v>26</v>
      </c>
      <c r="C399" s="113" t="s">
        <v>824</v>
      </c>
      <c r="D399" s="112" t="s">
        <v>808</v>
      </c>
      <c r="E399" s="122">
        <v>1.506944444444444</v>
      </c>
      <c r="F399" s="112" t="s">
        <v>31</v>
      </c>
      <c r="G399" s="114">
        <v>9</v>
      </c>
      <c r="H399" s="115" t="s">
        <v>83</v>
      </c>
    </row>
    <row r="400" spans="1:8" ht="19.899999999999999" customHeight="1">
      <c r="A400" s="121">
        <v>46030</v>
      </c>
      <c r="B400" s="112" t="s">
        <v>26</v>
      </c>
      <c r="C400" s="113" t="s">
        <v>825</v>
      </c>
      <c r="D400" s="112" t="s">
        <v>808</v>
      </c>
      <c r="E400" s="122">
        <v>1.697916666666667</v>
      </c>
      <c r="F400" s="112" t="s">
        <v>31</v>
      </c>
      <c r="G400" s="114">
        <v>9</v>
      </c>
      <c r="H400" s="115" t="s">
        <v>83</v>
      </c>
    </row>
    <row r="401" spans="1:8" ht="19.899999999999999" customHeight="1">
      <c r="A401" s="121">
        <v>46030</v>
      </c>
      <c r="B401" s="112" t="s">
        <v>68</v>
      </c>
      <c r="C401" s="113" t="s">
        <v>843</v>
      </c>
      <c r="D401" s="112" t="s">
        <v>808</v>
      </c>
      <c r="E401" s="122">
        <v>1.354166666666667</v>
      </c>
      <c r="F401" s="112" t="s">
        <v>70</v>
      </c>
      <c r="G401" s="114">
        <v>9</v>
      </c>
      <c r="H401" s="115" t="s">
        <v>404</v>
      </c>
    </row>
    <row r="402" spans="1:8" ht="19.899999999999999" customHeight="1">
      <c r="A402" s="121">
        <v>46030</v>
      </c>
      <c r="B402" s="112" t="s">
        <v>48</v>
      </c>
      <c r="C402" s="113" t="s">
        <v>833</v>
      </c>
      <c r="D402" s="112" t="s">
        <v>808</v>
      </c>
      <c r="E402" s="122">
        <v>1.444444444444444</v>
      </c>
      <c r="F402" s="112" t="s">
        <v>53</v>
      </c>
      <c r="G402" s="114">
        <v>9</v>
      </c>
      <c r="H402" s="115" t="s">
        <v>874</v>
      </c>
    </row>
    <row r="403" spans="1:8" ht="19.899999999999999" customHeight="1">
      <c r="A403" s="121">
        <v>46030</v>
      </c>
      <c r="B403" s="112" t="s">
        <v>48</v>
      </c>
      <c r="C403" s="113" t="s">
        <v>828</v>
      </c>
      <c r="D403" s="112" t="s">
        <v>808</v>
      </c>
      <c r="E403" s="122">
        <v>1.8298611111111109</v>
      </c>
      <c r="F403" s="112" t="s">
        <v>53</v>
      </c>
      <c r="G403" s="114">
        <v>9</v>
      </c>
      <c r="H403" s="115" t="s">
        <v>874</v>
      </c>
    </row>
    <row r="404" spans="1:8" ht="19.899999999999999" customHeight="1">
      <c r="A404" s="121">
        <v>46030</v>
      </c>
      <c r="B404" s="112" t="s">
        <v>48</v>
      </c>
      <c r="C404" s="113" t="s">
        <v>831</v>
      </c>
      <c r="D404" s="112" t="s">
        <v>808</v>
      </c>
      <c r="E404" s="122">
        <v>1.9826388888888891</v>
      </c>
      <c r="F404" s="112" t="s">
        <v>53</v>
      </c>
      <c r="G404" s="114">
        <v>9</v>
      </c>
      <c r="H404" s="115" t="s">
        <v>874</v>
      </c>
    </row>
    <row r="405" spans="1:8" ht="19.899999999999999" customHeight="1">
      <c r="A405" s="121">
        <v>46030</v>
      </c>
      <c r="B405" s="112" t="s">
        <v>48</v>
      </c>
      <c r="C405" s="113" t="s">
        <v>832</v>
      </c>
      <c r="D405" s="112" t="s">
        <v>808</v>
      </c>
      <c r="E405" s="122">
        <v>1.6284722222222221</v>
      </c>
      <c r="F405" s="112" t="s">
        <v>53</v>
      </c>
      <c r="G405" s="114">
        <v>3</v>
      </c>
      <c r="H405" s="115" t="s">
        <v>874</v>
      </c>
    </row>
    <row r="406" spans="1:8" ht="19.899999999999999" customHeight="1">
      <c r="A406" s="121">
        <v>46030</v>
      </c>
      <c r="B406" s="112" t="s">
        <v>359</v>
      </c>
      <c r="C406" s="113" t="s">
        <v>814</v>
      </c>
      <c r="D406" s="112" t="s">
        <v>808</v>
      </c>
      <c r="E406" s="122">
        <v>1.4375</v>
      </c>
      <c r="F406" s="112" t="s">
        <v>46</v>
      </c>
      <c r="G406" s="114">
        <v>9</v>
      </c>
      <c r="H406" s="115" t="s">
        <v>886</v>
      </c>
    </row>
    <row r="407" spans="1:8" ht="19.899999999999999" customHeight="1">
      <c r="A407" s="121">
        <v>46030</v>
      </c>
      <c r="B407" s="112" t="s">
        <v>26</v>
      </c>
      <c r="C407" s="113" t="s">
        <v>820</v>
      </c>
      <c r="D407" s="112" t="s">
        <v>808</v>
      </c>
      <c r="E407" s="122">
        <v>1.4375</v>
      </c>
      <c r="F407" s="112" t="s">
        <v>34</v>
      </c>
      <c r="G407" s="114">
        <v>9</v>
      </c>
      <c r="H407" s="115" t="s">
        <v>45</v>
      </c>
    </row>
    <row r="408" spans="1:8" ht="19.899999999999999" customHeight="1">
      <c r="A408" s="121">
        <v>46030</v>
      </c>
      <c r="B408" s="112" t="s">
        <v>26</v>
      </c>
      <c r="C408" s="113" t="s">
        <v>826</v>
      </c>
      <c r="D408" s="112" t="s">
        <v>808</v>
      </c>
      <c r="E408" s="122">
        <v>1.958333333333333</v>
      </c>
      <c r="F408" s="112" t="s">
        <v>34</v>
      </c>
      <c r="G408" s="114">
        <v>9</v>
      </c>
      <c r="H408" s="115" t="s">
        <v>45</v>
      </c>
    </row>
    <row r="409" spans="1:8" ht="19.899999999999999" customHeight="1">
      <c r="A409" s="121">
        <v>46030</v>
      </c>
      <c r="B409" s="112" t="s">
        <v>26</v>
      </c>
      <c r="C409" s="113" t="s">
        <v>821</v>
      </c>
      <c r="D409" s="112" t="s">
        <v>808</v>
      </c>
      <c r="E409" s="122">
        <v>1.631944444444444</v>
      </c>
      <c r="F409" s="112" t="s">
        <v>34</v>
      </c>
      <c r="G409" s="114">
        <v>9</v>
      </c>
      <c r="H409" s="115" t="s">
        <v>45</v>
      </c>
    </row>
    <row r="410" spans="1:8" ht="19.899999999999999" customHeight="1">
      <c r="A410" s="121">
        <v>46030</v>
      </c>
      <c r="B410" s="112" t="s">
        <v>26</v>
      </c>
      <c r="C410" s="113" t="s">
        <v>822</v>
      </c>
      <c r="D410" s="112" t="s">
        <v>808</v>
      </c>
      <c r="E410" s="122">
        <v>1.5590277777777779</v>
      </c>
      <c r="F410" s="112" t="s">
        <v>34</v>
      </c>
      <c r="G410" s="114">
        <v>9</v>
      </c>
      <c r="H410" s="115" t="s">
        <v>45</v>
      </c>
    </row>
    <row r="411" spans="1:8" ht="19.899999999999999" customHeight="1">
      <c r="A411" s="121">
        <v>46030</v>
      </c>
      <c r="B411" s="112" t="s">
        <v>26</v>
      </c>
      <c r="C411" s="113" t="s">
        <v>823</v>
      </c>
      <c r="D411" s="112" t="s">
        <v>808</v>
      </c>
      <c r="E411" s="122">
        <v>1.819444444444444</v>
      </c>
      <c r="F411" s="112" t="s">
        <v>34</v>
      </c>
      <c r="G411" s="114">
        <v>9</v>
      </c>
      <c r="H411" s="115" t="s">
        <v>45</v>
      </c>
    </row>
    <row r="412" spans="1:8" ht="19.899999999999999" customHeight="1">
      <c r="A412" s="121">
        <v>46030</v>
      </c>
      <c r="B412" s="112" t="s">
        <v>26</v>
      </c>
      <c r="C412" s="113" t="s">
        <v>824</v>
      </c>
      <c r="D412" s="112" t="s">
        <v>808</v>
      </c>
      <c r="E412" s="122">
        <v>1.506944444444444</v>
      </c>
      <c r="F412" s="112" t="s">
        <v>34</v>
      </c>
      <c r="G412" s="114">
        <v>9</v>
      </c>
      <c r="H412" s="115" t="s">
        <v>45</v>
      </c>
    </row>
    <row r="413" spans="1:8" ht="19.899999999999999" customHeight="1">
      <c r="A413" s="121">
        <v>46030</v>
      </c>
      <c r="B413" s="112" t="s">
        <v>26</v>
      </c>
      <c r="C413" s="113" t="s">
        <v>825</v>
      </c>
      <c r="D413" s="112" t="s">
        <v>808</v>
      </c>
      <c r="E413" s="122">
        <v>1.697916666666667</v>
      </c>
      <c r="F413" s="112" t="s">
        <v>34</v>
      </c>
      <c r="G413" s="114">
        <v>9</v>
      </c>
      <c r="H413" s="115" t="s">
        <v>45</v>
      </c>
    </row>
    <row r="414" spans="1:8" ht="19.899999999999999" customHeight="1">
      <c r="A414" s="121">
        <v>46030</v>
      </c>
      <c r="B414" s="112" t="s">
        <v>402</v>
      </c>
      <c r="C414" s="113" t="s">
        <v>839</v>
      </c>
      <c r="D414" s="112" t="s">
        <v>808</v>
      </c>
      <c r="E414" s="122">
        <v>1.1701388888888891</v>
      </c>
      <c r="F414" s="112" t="s">
        <v>63</v>
      </c>
      <c r="G414" s="114">
        <v>7</v>
      </c>
      <c r="H414" s="115" t="s">
        <v>881</v>
      </c>
    </row>
    <row r="415" spans="1:8" ht="19.899999999999999" customHeight="1">
      <c r="A415" s="121">
        <v>46030</v>
      </c>
      <c r="B415" s="112" t="s">
        <v>402</v>
      </c>
      <c r="C415" s="113" t="s">
        <v>841</v>
      </c>
      <c r="D415" s="112" t="s">
        <v>808</v>
      </c>
      <c r="E415" s="122">
        <v>1.614583333333333</v>
      </c>
      <c r="F415" s="112" t="s">
        <v>63</v>
      </c>
      <c r="G415" s="114">
        <v>7</v>
      </c>
      <c r="H415" s="115" t="s">
        <v>881</v>
      </c>
    </row>
    <row r="416" spans="1:8" ht="19.899999999999999" customHeight="1">
      <c r="A416" s="121">
        <v>46030</v>
      </c>
      <c r="B416" s="112" t="s">
        <v>38</v>
      </c>
      <c r="C416" s="113" t="s">
        <v>809</v>
      </c>
      <c r="D416" s="112" t="s">
        <v>808</v>
      </c>
      <c r="E416" s="122">
        <v>1.5763888888888891</v>
      </c>
      <c r="F416" s="112" t="s">
        <v>46</v>
      </c>
      <c r="G416" s="114">
        <v>13</v>
      </c>
      <c r="H416" s="115" t="s">
        <v>810</v>
      </c>
    </row>
    <row r="417" spans="1:8" ht="19.899999999999999" customHeight="1">
      <c r="A417" s="121">
        <v>46030</v>
      </c>
      <c r="B417" s="112" t="s">
        <v>38</v>
      </c>
      <c r="C417" s="113" t="s">
        <v>812</v>
      </c>
      <c r="D417" s="112" t="s">
        <v>808</v>
      </c>
      <c r="E417" s="122">
        <v>1.8888888888888891</v>
      </c>
      <c r="F417" s="112" t="s">
        <v>46</v>
      </c>
      <c r="G417" s="114">
        <v>16</v>
      </c>
      <c r="H417" s="115" t="s">
        <v>810</v>
      </c>
    </row>
    <row r="418" spans="1:8" ht="19.899999999999999" customHeight="1">
      <c r="A418" s="121">
        <v>46030</v>
      </c>
      <c r="B418" s="112" t="s">
        <v>38</v>
      </c>
      <c r="C418" s="113" t="s">
        <v>813</v>
      </c>
      <c r="D418" s="112" t="s">
        <v>808</v>
      </c>
      <c r="E418" s="122">
        <v>1.944444444444444</v>
      </c>
      <c r="F418" s="112" t="s">
        <v>46</v>
      </c>
      <c r="G418" s="114">
        <v>18</v>
      </c>
      <c r="H418" s="115" t="s">
        <v>810</v>
      </c>
    </row>
    <row r="419" spans="1:8" ht="19.899999999999999" customHeight="1">
      <c r="A419" s="121">
        <v>46030</v>
      </c>
      <c r="B419" s="112" t="s">
        <v>48</v>
      </c>
      <c r="C419" s="113" t="s">
        <v>835</v>
      </c>
      <c r="D419" s="112" t="s">
        <v>808</v>
      </c>
      <c r="E419" s="122">
        <v>1.8888888888888891</v>
      </c>
      <c r="F419" s="112" t="s">
        <v>53</v>
      </c>
      <c r="G419" s="114">
        <v>4</v>
      </c>
      <c r="H419" s="115" t="s">
        <v>836</v>
      </c>
    </row>
    <row r="420" spans="1:8" ht="19.899999999999999" customHeight="1">
      <c r="A420" s="121">
        <v>46030</v>
      </c>
      <c r="B420" s="112" t="s">
        <v>48</v>
      </c>
      <c r="C420" s="113" t="s">
        <v>837</v>
      </c>
      <c r="D420" s="112" t="s">
        <v>808</v>
      </c>
      <c r="E420" s="122">
        <v>1.6284722222222221</v>
      </c>
      <c r="F420" s="112" t="s">
        <v>53</v>
      </c>
      <c r="G420" s="114">
        <v>4</v>
      </c>
      <c r="H420" s="115" t="s">
        <v>836</v>
      </c>
    </row>
    <row r="421" spans="1:8" ht="19.899999999999999" customHeight="1">
      <c r="A421" s="121">
        <v>46030</v>
      </c>
      <c r="B421" s="112" t="s">
        <v>48</v>
      </c>
      <c r="C421" s="113" t="s">
        <v>838</v>
      </c>
      <c r="D421" s="112" t="s">
        <v>808</v>
      </c>
      <c r="E421" s="122">
        <v>1.944444444444444</v>
      </c>
      <c r="F421" s="112" t="s">
        <v>53</v>
      </c>
      <c r="G421" s="114">
        <v>4</v>
      </c>
      <c r="H421" s="115" t="s">
        <v>836</v>
      </c>
    </row>
    <row r="422" spans="1:8" ht="19.899999999999999" customHeight="1">
      <c r="A422" s="123">
        <v>46030</v>
      </c>
      <c r="B422" s="124" t="s">
        <v>38</v>
      </c>
      <c r="C422" s="125" t="s">
        <v>811</v>
      </c>
      <c r="D422" s="124" t="s">
        <v>808</v>
      </c>
      <c r="E422" s="126">
        <v>1.6284722222222221</v>
      </c>
      <c r="F422" s="124" t="s">
        <v>46</v>
      </c>
      <c r="G422" s="127">
        <v>12</v>
      </c>
      <c r="H422" s="128" t="s">
        <v>894</v>
      </c>
    </row>
    <row r="423" spans="1:8" ht="19.899999999999999" customHeight="1">
      <c r="A423" s="121">
        <v>46031</v>
      </c>
      <c r="B423" s="112" t="s">
        <v>38</v>
      </c>
      <c r="C423" s="113" t="s">
        <v>809</v>
      </c>
      <c r="D423" s="112" t="s">
        <v>808</v>
      </c>
      <c r="E423" s="122">
        <v>1.5763888888888891</v>
      </c>
      <c r="F423" s="112" t="s">
        <v>40</v>
      </c>
      <c r="G423" s="114">
        <v>14</v>
      </c>
      <c r="H423" s="115" t="s">
        <v>475</v>
      </c>
    </row>
    <row r="424" spans="1:8" ht="19.899999999999999" customHeight="1">
      <c r="A424" s="121">
        <v>46031</v>
      </c>
      <c r="B424" s="112" t="s">
        <v>38</v>
      </c>
      <c r="C424" s="113" t="s">
        <v>813</v>
      </c>
      <c r="D424" s="112" t="s">
        <v>808</v>
      </c>
      <c r="E424" s="122">
        <v>1.944444444444444</v>
      </c>
      <c r="F424" s="112" t="s">
        <v>40</v>
      </c>
      <c r="G424" s="114">
        <v>14</v>
      </c>
      <c r="H424" s="115" t="s">
        <v>475</v>
      </c>
    </row>
    <row r="425" spans="1:8" ht="19.899999999999999" customHeight="1">
      <c r="A425" s="121">
        <v>46031</v>
      </c>
      <c r="B425" s="112" t="s">
        <v>359</v>
      </c>
      <c r="C425" s="113" t="s">
        <v>814</v>
      </c>
      <c r="D425" s="112" t="s">
        <v>808</v>
      </c>
      <c r="E425" s="122">
        <v>1.1875</v>
      </c>
      <c r="F425" s="112" t="s">
        <v>361</v>
      </c>
      <c r="G425" s="114">
        <v>9</v>
      </c>
      <c r="H425" s="115" t="s">
        <v>898</v>
      </c>
    </row>
    <row r="426" spans="1:8" ht="19.899999999999999" customHeight="1">
      <c r="A426" s="121">
        <v>46031</v>
      </c>
      <c r="B426" s="112" t="s">
        <v>38</v>
      </c>
      <c r="C426" s="113" t="s">
        <v>811</v>
      </c>
      <c r="D426" s="112" t="s">
        <v>808</v>
      </c>
      <c r="E426" s="122">
        <v>1.6284722222222221</v>
      </c>
      <c r="F426" s="112" t="s">
        <v>40</v>
      </c>
      <c r="G426" s="114">
        <v>11</v>
      </c>
      <c r="H426" s="115" t="s">
        <v>872</v>
      </c>
    </row>
    <row r="427" spans="1:8" ht="19.899999999999999" customHeight="1">
      <c r="A427" s="121">
        <v>46031</v>
      </c>
      <c r="B427" s="112" t="s">
        <v>38</v>
      </c>
      <c r="C427" s="113" t="s">
        <v>812</v>
      </c>
      <c r="D427" s="112" t="s">
        <v>808</v>
      </c>
      <c r="E427" s="122">
        <v>1.8888888888888891</v>
      </c>
      <c r="F427" s="112" t="s">
        <v>40</v>
      </c>
      <c r="G427" s="114">
        <v>35</v>
      </c>
      <c r="H427" s="115" t="s">
        <v>872</v>
      </c>
    </row>
    <row r="428" spans="1:8" ht="19.899999999999999" customHeight="1">
      <c r="A428" s="129">
        <v>46031</v>
      </c>
      <c r="B428" s="117" t="s">
        <v>61</v>
      </c>
      <c r="C428" s="118" t="s">
        <v>816</v>
      </c>
      <c r="D428" s="117" t="s">
        <v>808</v>
      </c>
      <c r="E428" s="130">
        <v>1.40625</v>
      </c>
      <c r="F428" s="117" t="s">
        <v>63</v>
      </c>
      <c r="G428" s="119">
        <v>6</v>
      </c>
      <c r="H428" s="120" t="s">
        <v>817</v>
      </c>
    </row>
    <row r="429" spans="1:8" ht="19.899999999999999" customHeight="1">
      <c r="A429" s="129">
        <v>46031</v>
      </c>
      <c r="B429" s="117" t="s">
        <v>61</v>
      </c>
      <c r="C429" s="118" t="s">
        <v>852</v>
      </c>
      <c r="D429" s="117" t="s">
        <v>808</v>
      </c>
      <c r="E429" s="130">
        <v>1.725694444444444</v>
      </c>
      <c r="F429" s="117" t="s">
        <v>63</v>
      </c>
      <c r="G429" s="119">
        <v>4</v>
      </c>
      <c r="H429" s="120" t="s">
        <v>817</v>
      </c>
    </row>
    <row r="430" spans="1:8" ht="19.899999999999999" customHeight="1">
      <c r="A430" s="121">
        <v>46031</v>
      </c>
      <c r="B430" s="112" t="s">
        <v>26</v>
      </c>
      <c r="C430" s="113" t="s">
        <v>820</v>
      </c>
      <c r="D430" s="112" t="s">
        <v>808</v>
      </c>
      <c r="E430" s="122">
        <v>1.4375</v>
      </c>
      <c r="F430" s="112" t="s">
        <v>28</v>
      </c>
      <c r="G430" s="114">
        <v>9</v>
      </c>
      <c r="H430" s="115" t="s">
        <v>81</v>
      </c>
    </row>
    <row r="431" spans="1:8" ht="19.899999999999999" customHeight="1">
      <c r="A431" s="121">
        <v>46031</v>
      </c>
      <c r="B431" s="112" t="s">
        <v>26</v>
      </c>
      <c r="C431" s="113" t="s">
        <v>826</v>
      </c>
      <c r="D431" s="112" t="s">
        <v>808</v>
      </c>
      <c r="E431" s="122">
        <v>1.958333333333333</v>
      </c>
      <c r="F431" s="112" t="s">
        <v>28</v>
      </c>
      <c r="G431" s="114">
        <v>9</v>
      </c>
      <c r="H431" s="115" t="s">
        <v>81</v>
      </c>
    </row>
    <row r="432" spans="1:8" ht="19.899999999999999" customHeight="1">
      <c r="A432" s="121">
        <v>46031</v>
      </c>
      <c r="B432" s="112" t="s">
        <v>26</v>
      </c>
      <c r="C432" s="113" t="s">
        <v>821</v>
      </c>
      <c r="D432" s="112" t="s">
        <v>808</v>
      </c>
      <c r="E432" s="122">
        <v>1.631944444444444</v>
      </c>
      <c r="F432" s="112" t="s">
        <v>28</v>
      </c>
      <c r="G432" s="114">
        <v>9</v>
      </c>
      <c r="H432" s="115" t="s">
        <v>81</v>
      </c>
    </row>
    <row r="433" spans="1:8" ht="19.899999999999999" customHeight="1">
      <c r="A433" s="121">
        <v>46031</v>
      </c>
      <c r="B433" s="112" t="s">
        <v>26</v>
      </c>
      <c r="C433" s="113" t="s">
        <v>822</v>
      </c>
      <c r="D433" s="112" t="s">
        <v>808</v>
      </c>
      <c r="E433" s="122">
        <v>1.5590277777777779</v>
      </c>
      <c r="F433" s="112" t="s">
        <v>28</v>
      </c>
      <c r="G433" s="114">
        <v>9</v>
      </c>
      <c r="H433" s="115" t="s">
        <v>81</v>
      </c>
    </row>
    <row r="434" spans="1:8" ht="19.899999999999999" customHeight="1">
      <c r="A434" s="121">
        <v>46031</v>
      </c>
      <c r="B434" s="112" t="s">
        <v>26</v>
      </c>
      <c r="C434" s="113" t="s">
        <v>823</v>
      </c>
      <c r="D434" s="112" t="s">
        <v>808</v>
      </c>
      <c r="E434" s="122">
        <v>1.819444444444444</v>
      </c>
      <c r="F434" s="112" t="s">
        <v>451</v>
      </c>
      <c r="G434" s="114">
        <v>9</v>
      </c>
      <c r="H434" s="115" t="s">
        <v>81</v>
      </c>
    </row>
    <row r="435" spans="1:8" ht="19.899999999999999" customHeight="1">
      <c r="A435" s="121">
        <v>46031</v>
      </c>
      <c r="B435" s="112" t="s">
        <v>26</v>
      </c>
      <c r="C435" s="113" t="s">
        <v>824</v>
      </c>
      <c r="D435" s="112" t="s">
        <v>808</v>
      </c>
      <c r="E435" s="122">
        <v>1.506944444444444</v>
      </c>
      <c r="F435" s="112" t="s">
        <v>28</v>
      </c>
      <c r="G435" s="114">
        <v>9</v>
      </c>
      <c r="H435" s="115" t="s">
        <v>81</v>
      </c>
    </row>
    <row r="436" spans="1:8" ht="19.899999999999999" customHeight="1">
      <c r="A436" s="121">
        <v>46031</v>
      </c>
      <c r="B436" s="112" t="s">
        <v>26</v>
      </c>
      <c r="C436" s="113" t="s">
        <v>825</v>
      </c>
      <c r="D436" s="112" t="s">
        <v>808</v>
      </c>
      <c r="E436" s="122">
        <v>1.697916666666667</v>
      </c>
      <c r="F436" s="112" t="s">
        <v>28</v>
      </c>
      <c r="G436" s="114">
        <v>9</v>
      </c>
      <c r="H436" s="115" t="s">
        <v>81</v>
      </c>
    </row>
    <row r="437" spans="1:8" ht="19.899999999999999" customHeight="1">
      <c r="A437" s="121">
        <v>46031</v>
      </c>
      <c r="B437" s="112" t="s">
        <v>48</v>
      </c>
      <c r="C437" s="113" t="s">
        <v>833</v>
      </c>
      <c r="D437" s="112" t="s">
        <v>808</v>
      </c>
      <c r="E437" s="122">
        <v>1.444444444444444</v>
      </c>
      <c r="F437" s="112" t="s">
        <v>50</v>
      </c>
      <c r="G437" s="114">
        <v>5</v>
      </c>
      <c r="H437" s="115" t="s">
        <v>873</v>
      </c>
    </row>
    <row r="438" spans="1:8" ht="19.899999999999999" customHeight="1">
      <c r="A438" s="121">
        <v>46031</v>
      </c>
      <c r="B438" s="112" t="s">
        <v>48</v>
      </c>
      <c r="C438" s="113" t="s">
        <v>828</v>
      </c>
      <c r="D438" s="112" t="s">
        <v>808</v>
      </c>
      <c r="E438" s="122">
        <v>1.8298611111111109</v>
      </c>
      <c r="F438" s="112" t="s">
        <v>50</v>
      </c>
      <c r="G438" s="114">
        <v>9</v>
      </c>
      <c r="H438" s="115" t="s">
        <v>829</v>
      </c>
    </row>
    <row r="439" spans="1:8" ht="19.899999999999999" customHeight="1">
      <c r="A439" s="121">
        <v>46031</v>
      </c>
      <c r="B439" s="112" t="s">
        <v>48</v>
      </c>
      <c r="C439" s="113" t="s">
        <v>831</v>
      </c>
      <c r="D439" s="112" t="s">
        <v>808</v>
      </c>
      <c r="E439" s="122">
        <v>1.9826388888888891</v>
      </c>
      <c r="F439" s="112" t="s">
        <v>50</v>
      </c>
      <c r="G439" s="114">
        <v>9</v>
      </c>
      <c r="H439" s="115" t="s">
        <v>829</v>
      </c>
    </row>
    <row r="440" spans="1:8" ht="19.899999999999999" customHeight="1">
      <c r="A440" s="121">
        <v>46031</v>
      </c>
      <c r="B440" s="112" t="s">
        <v>48</v>
      </c>
      <c r="C440" s="113" t="s">
        <v>832</v>
      </c>
      <c r="D440" s="112" t="s">
        <v>808</v>
      </c>
      <c r="E440" s="122">
        <v>1.6284722222222221</v>
      </c>
      <c r="F440" s="112" t="s">
        <v>50</v>
      </c>
      <c r="G440" s="114">
        <v>9</v>
      </c>
      <c r="H440" s="115" t="s">
        <v>829</v>
      </c>
    </row>
    <row r="441" spans="1:8" ht="19.899999999999999" customHeight="1">
      <c r="A441" s="121">
        <v>46031</v>
      </c>
      <c r="B441" s="112" t="s">
        <v>38</v>
      </c>
      <c r="C441" s="113" t="s">
        <v>809</v>
      </c>
      <c r="D441" s="112" t="s">
        <v>808</v>
      </c>
      <c r="E441" s="122">
        <v>1.5763888888888891</v>
      </c>
      <c r="F441" s="112" t="s">
        <v>43</v>
      </c>
      <c r="G441" s="114">
        <v>14</v>
      </c>
      <c r="H441" s="115" t="s">
        <v>121</v>
      </c>
    </row>
    <row r="442" spans="1:8" ht="19.899999999999999" customHeight="1">
      <c r="A442" s="121">
        <v>46031</v>
      </c>
      <c r="B442" s="112" t="s">
        <v>38</v>
      </c>
      <c r="C442" s="113" t="s">
        <v>813</v>
      </c>
      <c r="D442" s="112" t="s">
        <v>808</v>
      </c>
      <c r="E442" s="122">
        <v>1.944444444444444</v>
      </c>
      <c r="F442" s="112" t="s">
        <v>43</v>
      </c>
      <c r="G442" s="114">
        <v>14</v>
      </c>
      <c r="H442" s="115" t="s">
        <v>121</v>
      </c>
    </row>
    <row r="443" spans="1:8" ht="19.899999999999999" customHeight="1">
      <c r="A443" s="121">
        <v>46031</v>
      </c>
      <c r="B443" s="112" t="s">
        <v>26</v>
      </c>
      <c r="C443" s="113" t="s">
        <v>820</v>
      </c>
      <c r="D443" s="112" t="s">
        <v>808</v>
      </c>
      <c r="E443" s="122">
        <v>1.4375</v>
      </c>
      <c r="F443" s="112" t="s">
        <v>31</v>
      </c>
      <c r="G443" s="114">
        <v>9</v>
      </c>
      <c r="H443" s="115" t="s">
        <v>83</v>
      </c>
    </row>
    <row r="444" spans="1:8" ht="19.899999999999999" customHeight="1">
      <c r="A444" s="121">
        <v>46031</v>
      </c>
      <c r="B444" s="112" t="s">
        <v>26</v>
      </c>
      <c r="C444" s="113" t="s">
        <v>826</v>
      </c>
      <c r="D444" s="112" t="s">
        <v>808</v>
      </c>
      <c r="E444" s="122">
        <v>1.958333333333333</v>
      </c>
      <c r="F444" s="112" t="s">
        <v>31</v>
      </c>
      <c r="G444" s="114">
        <v>9</v>
      </c>
      <c r="H444" s="115" t="s">
        <v>83</v>
      </c>
    </row>
    <row r="445" spans="1:8" ht="19.899999999999999" customHeight="1">
      <c r="A445" s="121">
        <v>46031</v>
      </c>
      <c r="B445" s="112" t="s">
        <v>26</v>
      </c>
      <c r="C445" s="113" t="s">
        <v>821</v>
      </c>
      <c r="D445" s="112" t="s">
        <v>808</v>
      </c>
      <c r="E445" s="122">
        <v>1.631944444444444</v>
      </c>
      <c r="F445" s="112" t="s">
        <v>31</v>
      </c>
      <c r="G445" s="114">
        <v>9</v>
      </c>
      <c r="H445" s="115" t="s">
        <v>83</v>
      </c>
    </row>
    <row r="446" spans="1:8" ht="19.899999999999999" customHeight="1">
      <c r="A446" s="121">
        <v>46031</v>
      </c>
      <c r="B446" s="112" t="s">
        <v>26</v>
      </c>
      <c r="C446" s="113" t="s">
        <v>822</v>
      </c>
      <c r="D446" s="112" t="s">
        <v>808</v>
      </c>
      <c r="E446" s="122">
        <v>1.5590277777777779</v>
      </c>
      <c r="F446" s="112" t="s">
        <v>31</v>
      </c>
      <c r="G446" s="114">
        <v>9</v>
      </c>
      <c r="H446" s="115" t="s">
        <v>83</v>
      </c>
    </row>
    <row r="447" spans="1:8" ht="19.899999999999999" customHeight="1">
      <c r="A447" s="121">
        <v>46031</v>
      </c>
      <c r="B447" s="112" t="s">
        <v>26</v>
      </c>
      <c r="C447" s="113" t="s">
        <v>824</v>
      </c>
      <c r="D447" s="112" t="s">
        <v>808</v>
      </c>
      <c r="E447" s="122">
        <v>1.506944444444444</v>
      </c>
      <c r="F447" s="112" t="s">
        <v>31</v>
      </c>
      <c r="G447" s="114">
        <v>9</v>
      </c>
      <c r="H447" s="115" t="s">
        <v>83</v>
      </c>
    </row>
    <row r="448" spans="1:8" ht="19.899999999999999" customHeight="1">
      <c r="A448" s="121">
        <v>46031</v>
      </c>
      <c r="B448" s="112" t="s">
        <v>26</v>
      </c>
      <c r="C448" s="113" t="s">
        <v>825</v>
      </c>
      <c r="D448" s="112" t="s">
        <v>808</v>
      </c>
      <c r="E448" s="122">
        <v>1.697916666666667</v>
      </c>
      <c r="F448" s="112" t="s">
        <v>31</v>
      </c>
      <c r="G448" s="114">
        <v>9</v>
      </c>
      <c r="H448" s="115" t="s">
        <v>83</v>
      </c>
    </row>
    <row r="449" spans="1:8" ht="19.899999999999999" customHeight="1">
      <c r="A449" s="121">
        <v>46031</v>
      </c>
      <c r="B449" s="112" t="s">
        <v>38</v>
      </c>
      <c r="C449" s="113" t="s">
        <v>811</v>
      </c>
      <c r="D449" s="112" t="s">
        <v>808</v>
      </c>
      <c r="E449" s="122">
        <v>1.6284722222222221</v>
      </c>
      <c r="F449" s="112" t="s">
        <v>43</v>
      </c>
      <c r="G449" s="114">
        <v>11</v>
      </c>
      <c r="H449" s="115" t="s">
        <v>349</v>
      </c>
    </row>
    <row r="450" spans="1:8" ht="19.899999999999999" customHeight="1">
      <c r="A450" s="121">
        <v>46031</v>
      </c>
      <c r="B450" s="112" t="s">
        <v>38</v>
      </c>
      <c r="C450" s="113" t="s">
        <v>812</v>
      </c>
      <c r="D450" s="112" t="s">
        <v>808</v>
      </c>
      <c r="E450" s="122">
        <v>1.8888888888888891</v>
      </c>
      <c r="F450" s="112" t="s">
        <v>43</v>
      </c>
      <c r="G450" s="114">
        <v>35</v>
      </c>
      <c r="H450" s="115" t="s">
        <v>349</v>
      </c>
    </row>
    <row r="451" spans="1:8" ht="19.899999999999999" customHeight="1">
      <c r="A451" s="121">
        <v>46031</v>
      </c>
      <c r="B451" s="112" t="s">
        <v>68</v>
      </c>
      <c r="C451" s="113" t="s">
        <v>842</v>
      </c>
      <c r="D451" s="112" t="s">
        <v>808</v>
      </c>
      <c r="E451" s="122">
        <v>1.9826388888888891</v>
      </c>
      <c r="F451" s="112" t="s">
        <v>70</v>
      </c>
      <c r="G451" s="114">
        <v>5</v>
      </c>
      <c r="H451" s="115" t="s">
        <v>404</v>
      </c>
    </row>
    <row r="452" spans="1:8" ht="19.899999999999999" customHeight="1">
      <c r="A452" s="121">
        <v>46031</v>
      </c>
      <c r="B452" s="112" t="s">
        <v>48</v>
      </c>
      <c r="C452" s="113" t="s">
        <v>833</v>
      </c>
      <c r="D452" s="112" t="s">
        <v>808</v>
      </c>
      <c r="E452" s="122">
        <v>1.444444444444444</v>
      </c>
      <c r="F452" s="112" t="s">
        <v>53</v>
      </c>
      <c r="G452" s="114">
        <v>5</v>
      </c>
      <c r="H452" s="115" t="s">
        <v>874</v>
      </c>
    </row>
    <row r="453" spans="1:8" ht="19.899999999999999" customHeight="1">
      <c r="A453" s="121">
        <v>46031</v>
      </c>
      <c r="B453" s="112" t="s">
        <v>68</v>
      </c>
      <c r="C453" s="113" t="s">
        <v>843</v>
      </c>
      <c r="D453" s="112" t="s">
        <v>808</v>
      </c>
      <c r="E453" s="122">
        <v>1.354166666666667</v>
      </c>
      <c r="F453" s="112" t="s">
        <v>70</v>
      </c>
      <c r="G453" s="114">
        <v>9</v>
      </c>
      <c r="H453" s="115" t="s">
        <v>45</v>
      </c>
    </row>
    <row r="454" spans="1:8" ht="19.899999999999999" customHeight="1">
      <c r="A454" s="121">
        <v>46031</v>
      </c>
      <c r="B454" s="112" t="s">
        <v>26</v>
      </c>
      <c r="C454" s="113" t="s">
        <v>820</v>
      </c>
      <c r="D454" s="112" t="s">
        <v>808</v>
      </c>
      <c r="E454" s="122">
        <v>1.4375</v>
      </c>
      <c r="F454" s="112" t="s">
        <v>34</v>
      </c>
      <c r="G454" s="114">
        <v>9</v>
      </c>
      <c r="H454" s="115" t="s">
        <v>45</v>
      </c>
    </row>
    <row r="455" spans="1:8" ht="19.899999999999999" customHeight="1">
      <c r="A455" s="121">
        <v>46031</v>
      </c>
      <c r="B455" s="112" t="s">
        <v>26</v>
      </c>
      <c r="C455" s="113" t="s">
        <v>826</v>
      </c>
      <c r="D455" s="112" t="s">
        <v>808</v>
      </c>
      <c r="E455" s="122">
        <v>1.958333333333333</v>
      </c>
      <c r="F455" s="112" t="s">
        <v>34</v>
      </c>
      <c r="G455" s="114">
        <v>9</v>
      </c>
      <c r="H455" s="115" t="s">
        <v>45</v>
      </c>
    </row>
    <row r="456" spans="1:8" ht="19.899999999999999" customHeight="1">
      <c r="A456" s="121">
        <v>46031</v>
      </c>
      <c r="B456" s="112" t="s">
        <v>26</v>
      </c>
      <c r="C456" s="113" t="s">
        <v>821</v>
      </c>
      <c r="D456" s="112" t="s">
        <v>808</v>
      </c>
      <c r="E456" s="122">
        <v>1.631944444444444</v>
      </c>
      <c r="F456" s="112" t="s">
        <v>34</v>
      </c>
      <c r="G456" s="114">
        <v>9</v>
      </c>
      <c r="H456" s="115" t="s">
        <v>45</v>
      </c>
    </row>
    <row r="457" spans="1:8" ht="19.899999999999999" customHeight="1">
      <c r="A457" s="121">
        <v>46031</v>
      </c>
      <c r="B457" s="112" t="s">
        <v>26</v>
      </c>
      <c r="C457" s="113" t="s">
        <v>822</v>
      </c>
      <c r="D457" s="112" t="s">
        <v>808</v>
      </c>
      <c r="E457" s="122">
        <v>1.5590277777777779</v>
      </c>
      <c r="F457" s="112" t="s">
        <v>34</v>
      </c>
      <c r="G457" s="114">
        <v>9</v>
      </c>
      <c r="H457" s="115" t="s">
        <v>45</v>
      </c>
    </row>
    <row r="458" spans="1:8" ht="19.899999999999999" customHeight="1">
      <c r="A458" s="121">
        <v>46031</v>
      </c>
      <c r="B458" s="112" t="s">
        <v>26</v>
      </c>
      <c r="C458" s="113" t="s">
        <v>824</v>
      </c>
      <c r="D458" s="112" t="s">
        <v>808</v>
      </c>
      <c r="E458" s="122">
        <v>1.506944444444444</v>
      </c>
      <c r="F458" s="112" t="s">
        <v>34</v>
      </c>
      <c r="G458" s="114">
        <v>9</v>
      </c>
      <c r="H458" s="115" t="s">
        <v>45</v>
      </c>
    </row>
    <row r="459" spans="1:8" ht="19.899999999999999" customHeight="1">
      <c r="A459" s="121">
        <v>46031</v>
      </c>
      <c r="B459" s="112" t="s">
        <v>26</v>
      </c>
      <c r="C459" s="113" t="s">
        <v>825</v>
      </c>
      <c r="D459" s="112" t="s">
        <v>808</v>
      </c>
      <c r="E459" s="122">
        <v>1.697916666666667</v>
      </c>
      <c r="F459" s="112" t="s">
        <v>34</v>
      </c>
      <c r="G459" s="114">
        <v>9</v>
      </c>
      <c r="H459" s="115" t="s">
        <v>45</v>
      </c>
    </row>
    <row r="460" spans="1:8" ht="19.899999999999999" customHeight="1">
      <c r="A460" s="121">
        <v>46031</v>
      </c>
      <c r="B460" s="112" t="s">
        <v>359</v>
      </c>
      <c r="C460" s="113" t="s">
        <v>814</v>
      </c>
      <c r="D460" s="112" t="s">
        <v>808</v>
      </c>
      <c r="E460" s="122">
        <v>1.1875</v>
      </c>
      <c r="F460" s="112" t="s">
        <v>46</v>
      </c>
      <c r="G460" s="114">
        <v>9</v>
      </c>
      <c r="H460" s="115" t="s">
        <v>899</v>
      </c>
    </row>
    <row r="461" spans="1:8" ht="19.899999999999999" customHeight="1">
      <c r="A461" s="121">
        <v>46031</v>
      </c>
      <c r="B461" s="112" t="s">
        <v>68</v>
      </c>
      <c r="C461" s="113" t="s">
        <v>844</v>
      </c>
      <c r="D461" s="112" t="s">
        <v>808</v>
      </c>
      <c r="E461" s="122">
        <v>1.729166666666667</v>
      </c>
      <c r="F461" s="112" t="s">
        <v>70</v>
      </c>
      <c r="G461" s="114">
        <v>9</v>
      </c>
      <c r="H461" s="115" t="s">
        <v>845</v>
      </c>
    </row>
    <row r="462" spans="1:8" ht="19.899999999999999" customHeight="1">
      <c r="A462" s="121">
        <v>46031</v>
      </c>
      <c r="B462" s="112" t="s">
        <v>48</v>
      </c>
      <c r="C462" s="113" t="s">
        <v>828</v>
      </c>
      <c r="D462" s="112" t="s">
        <v>808</v>
      </c>
      <c r="E462" s="122">
        <v>1.8298611111111109</v>
      </c>
      <c r="F462" s="112" t="s">
        <v>53</v>
      </c>
      <c r="G462" s="114">
        <v>9</v>
      </c>
      <c r="H462" s="115" t="s">
        <v>830</v>
      </c>
    </row>
    <row r="463" spans="1:8" ht="19.899999999999999" customHeight="1">
      <c r="A463" s="121">
        <v>46031</v>
      </c>
      <c r="B463" s="112" t="s">
        <v>48</v>
      </c>
      <c r="C463" s="113" t="s">
        <v>831</v>
      </c>
      <c r="D463" s="112" t="s">
        <v>808</v>
      </c>
      <c r="E463" s="122">
        <v>1.9826388888888891</v>
      </c>
      <c r="F463" s="112" t="s">
        <v>53</v>
      </c>
      <c r="G463" s="114">
        <v>9</v>
      </c>
      <c r="H463" s="115" t="s">
        <v>830</v>
      </c>
    </row>
    <row r="464" spans="1:8" ht="19.899999999999999" customHeight="1">
      <c r="A464" s="121">
        <v>46031</v>
      </c>
      <c r="B464" s="112" t="s">
        <v>48</v>
      </c>
      <c r="C464" s="113" t="s">
        <v>832</v>
      </c>
      <c r="D464" s="112" t="s">
        <v>808</v>
      </c>
      <c r="E464" s="122">
        <v>1.6284722222222221</v>
      </c>
      <c r="F464" s="112" t="s">
        <v>53</v>
      </c>
      <c r="G464" s="114">
        <v>9</v>
      </c>
      <c r="H464" s="115" t="s">
        <v>830</v>
      </c>
    </row>
    <row r="465" spans="1:8" ht="19.899999999999999" customHeight="1">
      <c r="A465" s="121">
        <v>46031</v>
      </c>
      <c r="B465" s="112" t="s">
        <v>402</v>
      </c>
      <c r="C465" s="113" t="s">
        <v>839</v>
      </c>
      <c r="D465" s="112" t="s">
        <v>808</v>
      </c>
      <c r="E465" s="122">
        <v>1.211805555555556</v>
      </c>
      <c r="F465" s="112" t="s">
        <v>63</v>
      </c>
      <c r="G465" s="114">
        <v>5</v>
      </c>
      <c r="H465" s="115" t="s">
        <v>881</v>
      </c>
    </row>
    <row r="466" spans="1:8" ht="19.899999999999999" customHeight="1">
      <c r="A466" s="121">
        <v>46031</v>
      </c>
      <c r="B466" s="112" t="s">
        <v>38</v>
      </c>
      <c r="C466" s="113" t="s">
        <v>809</v>
      </c>
      <c r="D466" s="112" t="s">
        <v>808</v>
      </c>
      <c r="E466" s="122">
        <v>1.5763888888888891</v>
      </c>
      <c r="F466" s="112" t="s">
        <v>46</v>
      </c>
      <c r="G466" s="114">
        <v>14</v>
      </c>
      <c r="H466" s="115" t="s">
        <v>810</v>
      </c>
    </row>
    <row r="467" spans="1:8" ht="19.899999999999999" customHeight="1">
      <c r="A467" s="121">
        <v>46031</v>
      </c>
      <c r="B467" s="112" t="s">
        <v>38</v>
      </c>
      <c r="C467" s="113" t="s">
        <v>811</v>
      </c>
      <c r="D467" s="112" t="s">
        <v>808</v>
      </c>
      <c r="E467" s="122">
        <v>1.6284722222222221</v>
      </c>
      <c r="F467" s="112" t="s">
        <v>46</v>
      </c>
      <c r="G467" s="114">
        <v>11</v>
      </c>
      <c r="H467" s="115" t="s">
        <v>810</v>
      </c>
    </row>
    <row r="468" spans="1:8" ht="19.899999999999999" customHeight="1">
      <c r="A468" s="121">
        <v>46031</v>
      </c>
      <c r="B468" s="112" t="s">
        <v>38</v>
      </c>
      <c r="C468" s="113" t="s">
        <v>812</v>
      </c>
      <c r="D468" s="112" t="s">
        <v>808</v>
      </c>
      <c r="E468" s="122">
        <v>1.8888888888888891</v>
      </c>
      <c r="F468" s="112" t="s">
        <v>46</v>
      </c>
      <c r="G468" s="114">
        <v>35</v>
      </c>
      <c r="H468" s="115" t="s">
        <v>810</v>
      </c>
    </row>
    <row r="469" spans="1:8" ht="19.899999999999999" customHeight="1">
      <c r="A469" s="121">
        <v>46031</v>
      </c>
      <c r="B469" s="112" t="s">
        <v>38</v>
      </c>
      <c r="C469" s="113" t="s">
        <v>813</v>
      </c>
      <c r="D469" s="112" t="s">
        <v>808</v>
      </c>
      <c r="E469" s="122">
        <v>1.944444444444444</v>
      </c>
      <c r="F469" s="112" t="s">
        <v>46</v>
      </c>
      <c r="G469" s="114">
        <v>14</v>
      </c>
      <c r="H469" s="115" t="s">
        <v>810</v>
      </c>
    </row>
    <row r="470" spans="1:8" ht="19.899999999999999" customHeight="1">
      <c r="A470" s="121">
        <v>46031</v>
      </c>
      <c r="B470" s="112" t="s">
        <v>48</v>
      </c>
      <c r="C470" s="113" t="s">
        <v>835</v>
      </c>
      <c r="D470" s="112" t="s">
        <v>808</v>
      </c>
      <c r="E470" s="122">
        <v>1.8888888888888891</v>
      </c>
      <c r="F470" s="112" t="s">
        <v>53</v>
      </c>
      <c r="G470" s="114">
        <v>4</v>
      </c>
      <c r="H470" s="115" t="s">
        <v>836</v>
      </c>
    </row>
    <row r="471" spans="1:8" ht="19.899999999999999" customHeight="1">
      <c r="A471" s="121">
        <v>46031</v>
      </c>
      <c r="B471" s="112" t="s">
        <v>48</v>
      </c>
      <c r="C471" s="113" t="s">
        <v>837</v>
      </c>
      <c r="D471" s="112" t="s">
        <v>808</v>
      </c>
      <c r="E471" s="122">
        <v>1.6284722222222221</v>
      </c>
      <c r="F471" s="112" t="s">
        <v>53</v>
      </c>
      <c r="G471" s="114">
        <v>4</v>
      </c>
      <c r="H471" s="115" t="s">
        <v>836</v>
      </c>
    </row>
    <row r="472" spans="1:8" ht="19.899999999999999" customHeight="1">
      <c r="A472" s="123">
        <v>46031</v>
      </c>
      <c r="B472" s="124" t="s">
        <v>48</v>
      </c>
      <c r="C472" s="125" t="s">
        <v>838</v>
      </c>
      <c r="D472" s="124" t="s">
        <v>808</v>
      </c>
      <c r="E472" s="126">
        <v>1.944444444444444</v>
      </c>
      <c r="F472" s="124" t="s">
        <v>53</v>
      </c>
      <c r="G472" s="127">
        <v>4</v>
      </c>
      <c r="H472" s="128" t="s">
        <v>836</v>
      </c>
    </row>
    <row r="473" spans="1:8" ht="19.899999999999999" customHeight="1">
      <c r="A473" s="121">
        <v>46032</v>
      </c>
      <c r="B473" s="112" t="s">
        <v>38</v>
      </c>
      <c r="C473" s="113" t="s">
        <v>812</v>
      </c>
      <c r="D473" s="112" t="s">
        <v>808</v>
      </c>
      <c r="E473" s="122">
        <v>1.8888888888888891</v>
      </c>
      <c r="F473" s="112" t="s">
        <v>40</v>
      </c>
      <c r="G473" s="114">
        <v>10</v>
      </c>
      <c r="H473" s="115" t="s">
        <v>475</v>
      </c>
    </row>
    <row r="474" spans="1:8" ht="19.899999999999999" customHeight="1">
      <c r="A474" s="121">
        <v>46032</v>
      </c>
      <c r="B474" s="112" t="s">
        <v>38</v>
      </c>
      <c r="C474" s="113" t="s">
        <v>813</v>
      </c>
      <c r="D474" s="112" t="s">
        <v>808</v>
      </c>
      <c r="E474" s="122">
        <v>1.944444444444444</v>
      </c>
      <c r="F474" s="112" t="s">
        <v>40</v>
      </c>
      <c r="G474" s="114">
        <v>10</v>
      </c>
      <c r="H474" s="115" t="s">
        <v>475</v>
      </c>
    </row>
    <row r="475" spans="1:8" ht="19.899999999999999" customHeight="1">
      <c r="A475" s="121">
        <v>46032</v>
      </c>
      <c r="B475" s="112" t="s">
        <v>26</v>
      </c>
      <c r="C475" s="113" t="s">
        <v>823</v>
      </c>
      <c r="D475" s="112" t="s">
        <v>808</v>
      </c>
      <c r="E475" s="122">
        <v>1.819444444444444</v>
      </c>
      <c r="F475" s="112" t="s">
        <v>28</v>
      </c>
      <c r="G475" s="114">
        <v>3</v>
      </c>
      <c r="H475" s="115" t="s">
        <v>88</v>
      </c>
    </row>
    <row r="476" spans="1:8" ht="19.899999999999999" customHeight="1">
      <c r="A476" s="121">
        <v>46032</v>
      </c>
      <c r="B476" s="112" t="s">
        <v>38</v>
      </c>
      <c r="C476" s="113" t="s">
        <v>809</v>
      </c>
      <c r="D476" s="112" t="s">
        <v>808</v>
      </c>
      <c r="E476" s="122">
        <v>1.5763888888888891</v>
      </c>
      <c r="F476" s="112" t="s">
        <v>40</v>
      </c>
      <c r="G476" s="114">
        <v>16</v>
      </c>
      <c r="H476" s="115" t="s">
        <v>872</v>
      </c>
    </row>
    <row r="477" spans="1:8" ht="19.899999999999999" customHeight="1">
      <c r="A477" s="121">
        <v>46032</v>
      </c>
      <c r="B477" s="112" t="s">
        <v>26</v>
      </c>
      <c r="C477" s="113" t="s">
        <v>820</v>
      </c>
      <c r="D477" s="112" t="s">
        <v>808</v>
      </c>
      <c r="E477" s="122">
        <v>1.4375</v>
      </c>
      <c r="F477" s="112" t="s">
        <v>28</v>
      </c>
      <c r="G477" s="114">
        <v>9</v>
      </c>
      <c r="H477" s="115" t="s">
        <v>81</v>
      </c>
    </row>
    <row r="478" spans="1:8" ht="19.899999999999999" customHeight="1">
      <c r="A478" s="121">
        <v>46032</v>
      </c>
      <c r="B478" s="112" t="s">
        <v>26</v>
      </c>
      <c r="C478" s="113" t="s">
        <v>826</v>
      </c>
      <c r="D478" s="112" t="s">
        <v>808</v>
      </c>
      <c r="E478" s="122">
        <v>1.958333333333333</v>
      </c>
      <c r="F478" s="112" t="s">
        <v>28</v>
      </c>
      <c r="G478" s="114">
        <v>9</v>
      </c>
      <c r="H478" s="115" t="s">
        <v>81</v>
      </c>
    </row>
    <row r="479" spans="1:8" ht="19.899999999999999" customHeight="1">
      <c r="A479" s="121">
        <v>46032</v>
      </c>
      <c r="B479" s="112" t="s">
        <v>26</v>
      </c>
      <c r="C479" s="113" t="s">
        <v>821</v>
      </c>
      <c r="D479" s="112" t="s">
        <v>808</v>
      </c>
      <c r="E479" s="122">
        <v>1.631944444444444</v>
      </c>
      <c r="F479" s="112" t="s">
        <v>28</v>
      </c>
      <c r="G479" s="114">
        <v>9</v>
      </c>
      <c r="H479" s="115" t="s">
        <v>81</v>
      </c>
    </row>
    <row r="480" spans="1:8" ht="19.899999999999999" customHeight="1">
      <c r="A480" s="121">
        <v>46032</v>
      </c>
      <c r="B480" s="112" t="s">
        <v>26</v>
      </c>
      <c r="C480" s="113" t="s">
        <v>822</v>
      </c>
      <c r="D480" s="112" t="s">
        <v>808</v>
      </c>
      <c r="E480" s="122">
        <v>1.5590277777777779</v>
      </c>
      <c r="F480" s="112" t="s">
        <v>28</v>
      </c>
      <c r="G480" s="114">
        <v>9</v>
      </c>
      <c r="H480" s="115" t="s">
        <v>81</v>
      </c>
    </row>
    <row r="481" spans="1:8" ht="19.899999999999999" customHeight="1">
      <c r="A481" s="121">
        <v>46032</v>
      </c>
      <c r="B481" s="112" t="s">
        <v>26</v>
      </c>
      <c r="C481" s="113" t="s">
        <v>824</v>
      </c>
      <c r="D481" s="112" t="s">
        <v>808</v>
      </c>
      <c r="E481" s="122">
        <v>1.506944444444444</v>
      </c>
      <c r="F481" s="112" t="s">
        <v>28</v>
      </c>
      <c r="G481" s="114">
        <v>9</v>
      </c>
      <c r="H481" s="115" t="s">
        <v>81</v>
      </c>
    </row>
    <row r="482" spans="1:8" ht="19.899999999999999" customHeight="1">
      <c r="A482" s="121">
        <v>46032</v>
      </c>
      <c r="B482" s="112" t="s">
        <v>26</v>
      </c>
      <c r="C482" s="113" t="s">
        <v>825</v>
      </c>
      <c r="D482" s="112" t="s">
        <v>808</v>
      </c>
      <c r="E482" s="122">
        <v>1.697916666666667</v>
      </c>
      <c r="F482" s="112" t="s">
        <v>28</v>
      </c>
      <c r="G482" s="114">
        <v>9</v>
      </c>
      <c r="H482" s="115" t="s">
        <v>81</v>
      </c>
    </row>
    <row r="483" spans="1:8" ht="19.899999999999999" customHeight="1">
      <c r="A483" s="121">
        <v>46032</v>
      </c>
      <c r="B483" s="112" t="s">
        <v>359</v>
      </c>
      <c r="C483" s="113" t="s">
        <v>814</v>
      </c>
      <c r="D483" s="112" t="s">
        <v>808</v>
      </c>
      <c r="E483" s="122">
        <v>1.4375</v>
      </c>
      <c r="F483" s="112" t="s">
        <v>361</v>
      </c>
      <c r="G483" s="114">
        <v>9</v>
      </c>
      <c r="H483" s="115" t="s">
        <v>903</v>
      </c>
    </row>
    <row r="484" spans="1:8" ht="19.899999999999999" customHeight="1">
      <c r="A484" s="129">
        <v>46032</v>
      </c>
      <c r="B484" s="117" t="s">
        <v>61</v>
      </c>
      <c r="C484" s="118" t="s">
        <v>816</v>
      </c>
      <c r="D484" s="117" t="s">
        <v>808</v>
      </c>
      <c r="E484" s="130">
        <v>1.413194444444444</v>
      </c>
      <c r="F484" s="117" t="s">
        <v>63</v>
      </c>
      <c r="G484" s="119">
        <v>6</v>
      </c>
      <c r="H484" s="120" t="s">
        <v>849</v>
      </c>
    </row>
    <row r="485" spans="1:8" ht="19.899999999999999" customHeight="1">
      <c r="A485" s="121">
        <v>46032</v>
      </c>
      <c r="B485" s="112" t="s">
        <v>26</v>
      </c>
      <c r="C485" s="113" t="s">
        <v>823</v>
      </c>
      <c r="D485" s="112" t="s">
        <v>808</v>
      </c>
      <c r="E485" s="122">
        <v>1.819444444444444</v>
      </c>
      <c r="F485" s="112" t="s">
        <v>31</v>
      </c>
      <c r="G485" s="114">
        <v>3</v>
      </c>
      <c r="H485" s="115" t="s">
        <v>347</v>
      </c>
    </row>
    <row r="486" spans="1:8" ht="19.899999999999999" customHeight="1">
      <c r="A486" s="121">
        <v>46032</v>
      </c>
      <c r="B486" s="112" t="s">
        <v>48</v>
      </c>
      <c r="C486" s="113" t="s">
        <v>833</v>
      </c>
      <c r="D486" s="112" t="s">
        <v>808</v>
      </c>
      <c r="E486" s="122">
        <v>1.444444444444444</v>
      </c>
      <c r="F486" s="112" t="s">
        <v>50</v>
      </c>
      <c r="G486" s="114">
        <v>9</v>
      </c>
      <c r="H486" s="115" t="s">
        <v>829</v>
      </c>
    </row>
    <row r="487" spans="1:8" ht="19.899999999999999" customHeight="1">
      <c r="A487" s="121">
        <v>46032</v>
      </c>
      <c r="B487" s="112" t="s">
        <v>38</v>
      </c>
      <c r="C487" s="113" t="s">
        <v>811</v>
      </c>
      <c r="D487" s="112" t="s">
        <v>808</v>
      </c>
      <c r="E487" s="122">
        <v>1.6284722222222221</v>
      </c>
      <c r="F487" s="112" t="s">
        <v>40</v>
      </c>
      <c r="G487" s="114">
        <v>15</v>
      </c>
      <c r="H487" s="115" t="s">
        <v>149</v>
      </c>
    </row>
    <row r="488" spans="1:8" ht="19.899999999999999" customHeight="1">
      <c r="A488" s="121">
        <v>46032</v>
      </c>
      <c r="B488" s="112" t="s">
        <v>38</v>
      </c>
      <c r="C488" s="113" t="s">
        <v>812</v>
      </c>
      <c r="D488" s="112" t="s">
        <v>808</v>
      </c>
      <c r="E488" s="122">
        <v>1.8888888888888891</v>
      </c>
      <c r="F488" s="112" t="s">
        <v>43</v>
      </c>
      <c r="G488" s="114">
        <v>10</v>
      </c>
      <c r="H488" s="115" t="s">
        <v>121</v>
      </c>
    </row>
    <row r="489" spans="1:8" ht="19.899999999999999" customHeight="1">
      <c r="A489" s="121">
        <v>46032</v>
      </c>
      <c r="B489" s="112" t="s">
        <v>38</v>
      </c>
      <c r="C489" s="113" t="s">
        <v>813</v>
      </c>
      <c r="D489" s="112" t="s">
        <v>808</v>
      </c>
      <c r="E489" s="122">
        <v>1.944444444444444</v>
      </c>
      <c r="F489" s="112" t="s">
        <v>43</v>
      </c>
      <c r="G489" s="114">
        <v>10</v>
      </c>
      <c r="H489" s="115" t="s">
        <v>121</v>
      </c>
    </row>
    <row r="490" spans="1:8" ht="19.899999999999999" customHeight="1">
      <c r="A490" s="121">
        <v>46032</v>
      </c>
      <c r="B490" s="112" t="s">
        <v>26</v>
      </c>
      <c r="C490" s="113" t="s">
        <v>820</v>
      </c>
      <c r="D490" s="112" t="s">
        <v>808</v>
      </c>
      <c r="E490" s="122">
        <v>1.4375</v>
      </c>
      <c r="F490" s="112" t="s">
        <v>31</v>
      </c>
      <c r="G490" s="114">
        <v>9</v>
      </c>
      <c r="H490" s="115" t="s">
        <v>83</v>
      </c>
    </row>
    <row r="491" spans="1:8" ht="19.899999999999999" customHeight="1">
      <c r="A491" s="121">
        <v>46032</v>
      </c>
      <c r="B491" s="112" t="s">
        <v>26</v>
      </c>
      <c r="C491" s="113" t="s">
        <v>826</v>
      </c>
      <c r="D491" s="112" t="s">
        <v>808</v>
      </c>
      <c r="E491" s="122">
        <v>1.958333333333333</v>
      </c>
      <c r="F491" s="112" t="s">
        <v>31</v>
      </c>
      <c r="G491" s="114">
        <v>9</v>
      </c>
      <c r="H491" s="115" t="s">
        <v>83</v>
      </c>
    </row>
    <row r="492" spans="1:8" ht="19.899999999999999" customHeight="1">
      <c r="A492" s="121">
        <v>46032</v>
      </c>
      <c r="B492" s="112" t="s">
        <v>26</v>
      </c>
      <c r="C492" s="113" t="s">
        <v>821</v>
      </c>
      <c r="D492" s="112" t="s">
        <v>808</v>
      </c>
      <c r="E492" s="122">
        <v>1.631944444444444</v>
      </c>
      <c r="F492" s="112" t="s">
        <v>31</v>
      </c>
      <c r="G492" s="114">
        <v>9</v>
      </c>
      <c r="H492" s="115" t="s">
        <v>83</v>
      </c>
    </row>
    <row r="493" spans="1:8" ht="19.899999999999999" customHeight="1">
      <c r="A493" s="121">
        <v>46032</v>
      </c>
      <c r="B493" s="112" t="s">
        <v>26</v>
      </c>
      <c r="C493" s="113" t="s">
        <v>822</v>
      </c>
      <c r="D493" s="112" t="s">
        <v>808</v>
      </c>
      <c r="E493" s="122">
        <v>1.5590277777777779</v>
      </c>
      <c r="F493" s="112" t="s">
        <v>31</v>
      </c>
      <c r="G493" s="114">
        <v>9</v>
      </c>
      <c r="H493" s="115" t="s">
        <v>83</v>
      </c>
    </row>
    <row r="494" spans="1:8" ht="19.899999999999999" customHeight="1">
      <c r="A494" s="121">
        <v>46032</v>
      </c>
      <c r="B494" s="112" t="s">
        <v>26</v>
      </c>
      <c r="C494" s="113" t="s">
        <v>824</v>
      </c>
      <c r="D494" s="112" t="s">
        <v>808</v>
      </c>
      <c r="E494" s="122">
        <v>1.506944444444444</v>
      </c>
      <c r="F494" s="112" t="s">
        <v>31</v>
      </c>
      <c r="G494" s="114">
        <v>9</v>
      </c>
      <c r="H494" s="115" t="s">
        <v>83</v>
      </c>
    </row>
    <row r="495" spans="1:8" ht="19.899999999999999" customHeight="1">
      <c r="A495" s="121">
        <v>46032</v>
      </c>
      <c r="B495" s="112" t="s">
        <v>26</v>
      </c>
      <c r="C495" s="113" t="s">
        <v>825</v>
      </c>
      <c r="D495" s="112" t="s">
        <v>808</v>
      </c>
      <c r="E495" s="122">
        <v>1.697916666666667</v>
      </c>
      <c r="F495" s="112" t="s">
        <v>31</v>
      </c>
      <c r="G495" s="114">
        <v>9</v>
      </c>
      <c r="H495" s="115" t="s">
        <v>83</v>
      </c>
    </row>
    <row r="496" spans="1:8" ht="19.899999999999999" customHeight="1">
      <c r="A496" s="121">
        <v>46032</v>
      </c>
      <c r="B496" s="112" t="s">
        <v>38</v>
      </c>
      <c r="C496" s="113" t="s">
        <v>809</v>
      </c>
      <c r="D496" s="112" t="s">
        <v>808</v>
      </c>
      <c r="E496" s="122">
        <v>1.5763888888888891</v>
      </c>
      <c r="F496" s="112" t="s">
        <v>43</v>
      </c>
      <c r="G496" s="114">
        <v>16</v>
      </c>
      <c r="H496" s="115" t="s">
        <v>349</v>
      </c>
    </row>
    <row r="497" spans="1:8" ht="19.899999999999999" customHeight="1">
      <c r="A497" s="121">
        <v>46032</v>
      </c>
      <c r="B497" s="112" t="s">
        <v>48</v>
      </c>
      <c r="C497" s="113" t="s">
        <v>831</v>
      </c>
      <c r="D497" s="112" t="s">
        <v>808</v>
      </c>
      <c r="E497" s="122">
        <v>1.9826388888888891</v>
      </c>
      <c r="F497" s="112" t="s">
        <v>50</v>
      </c>
      <c r="G497" s="114">
        <v>9</v>
      </c>
      <c r="H497" s="115" t="s">
        <v>907</v>
      </c>
    </row>
    <row r="498" spans="1:8" ht="19.899999999999999" customHeight="1">
      <c r="A498" s="121">
        <v>46032</v>
      </c>
      <c r="B498" s="112" t="s">
        <v>26</v>
      </c>
      <c r="C498" s="113" t="s">
        <v>823</v>
      </c>
      <c r="D498" s="112" t="s">
        <v>808</v>
      </c>
      <c r="E498" s="122">
        <v>1.819444444444444</v>
      </c>
      <c r="F498" s="112" t="s">
        <v>34</v>
      </c>
      <c r="G498" s="114">
        <v>3</v>
      </c>
      <c r="H498" s="115" t="s">
        <v>161</v>
      </c>
    </row>
    <row r="499" spans="1:8" ht="19.899999999999999" customHeight="1">
      <c r="A499" s="121">
        <v>46032</v>
      </c>
      <c r="B499" s="112" t="s">
        <v>68</v>
      </c>
      <c r="C499" s="113" t="s">
        <v>842</v>
      </c>
      <c r="D499" s="112" t="s">
        <v>808</v>
      </c>
      <c r="E499" s="122">
        <v>1.9826388888888891</v>
      </c>
      <c r="F499" s="112" t="s">
        <v>70</v>
      </c>
      <c r="G499" s="114">
        <v>9</v>
      </c>
      <c r="H499" s="115" t="s">
        <v>45</v>
      </c>
    </row>
    <row r="500" spans="1:8" ht="19.899999999999999" customHeight="1">
      <c r="A500" s="121">
        <v>46032</v>
      </c>
      <c r="B500" s="112" t="s">
        <v>26</v>
      </c>
      <c r="C500" s="113" t="s">
        <v>820</v>
      </c>
      <c r="D500" s="112" t="s">
        <v>808</v>
      </c>
      <c r="E500" s="122">
        <v>1.4375</v>
      </c>
      <c r="F500" s="112" t="s">
        <v>34</v>
      </c>
      <c r="G500" s="114">
        <v>9</v>
      </c>
      <c r="H500" s="115" t="s">
        <v>45</v>
      </c>
    </row>
    <row r="501" spans="1:8" ht="19.899999999999999" customHeight="1">
      <c r="A501" s="121">
        <v>46032</v>
      </c>
      <c r="B501" s="112" t="s">
        <v>26</v>
      </c>
      <c r="C501" s="113" t="s">
        <v>826</v>
      </c>
      <c r="D501" s="112" t="s">
        <v>808</v>
      </c>
      <c r="E501" s="122">
        <v>1.958333333333333</v>
      </c>
      <c r="F501" s="112" t="s">
        <v>34</v>
      </c>
      <c r="G501" s="114">
        <v>9</v>
      </c>
      <c r="H501" s="115" t="s">
        <v>45</v>
      </c>
    </row>
    <row r="502" spans="1:8" ht="19.899999999999999" customHeight="1">
      <c r="A502" s="121">
        <v>46032</v>
      </c>
      <c r="B502" s="112" t="s">
        <v>26</v>
      </c>
      <c r="C502" s="113" t="s">
        <v>821</v>
      </c>
      <c r="D502" s="112" t="s">
        <v>808</v>
      </c>
      <c r="E502" s="122">
        <v>1.631944444444444</v>
      </c>
      <c r="F502" s="112" t="s">
        <v>34</v>
      </c>
      <c r="G502" s="114">
        <v>9</v>
      </c>
      <c r="H502" s="115" t="s">
        <v>45</v>
      </c>
    </row>
    <row r="503" spans="1:8" ht="19.899999999999999" customHeight="1">
      <c r="A503" s="121">
        <v>46032</v>
      </c>
      <c r="B503" s="112" t="s">
        <v>26</v>
      </c>
      <c r="C503" s="113" t="s">
        <v>822</v>
      </c>
      <c r="D503" s="112" t="s">
        <v>808</v>
      </c>
      <c r="E503" s="122">
        <v>1.5590277777777779</v>
      </c>
      <c r="F503" s="112" t="s">
        <v>34</v>
      </c>
      <c r="G503" s="114">
        <v>9</v>
      </c>
      <c r="H503" s="115" t="s">
        <v>45</v>
      </c>
    </row>
    <row r="504" spans="1:8" ht="19.899999999999999" customHeight="1">
      <c r="A504" s="121">
        <v>46032</v>
      </c>
      <c r="B504" s="112" t="s">
        <v>26</v>
      </c>
      <c r="C504" s="113" t="s">
        <v>824</v>
      </c>
      <c r="D504" s="112" t="s">
        <v>808</v>
      </c>
      <c r="E504" s="122">
        <v>1.506944444444444</v>
      </c>
      <c r="F504" s="112" t="s">
        <v>34</v>
      </c>
      <c r="G504" s="114">
        <v>9</v>
      </c>
      <c r="H504" s="115" t="s">
        <v>45</v>
      </c>
    </row>
    <row r="505" spans="1:8" ht="19.899999999999999" customHeight="1">
      <c r="A505" s="121">
        <v>46032</v>
      </c>
      <c r="B505" s="112" t="s">
        <v>26</v>
      </c>
      <c r="C505" s="113" t="s">
        <v>825</v>
      </c>
      <c r="D505" s="112" t="s">
        <v>808</v>
      </c>
      <c r="E505" s="122">
        <v>1.697916666666667</v>
      </c>
      <c r="F505" s="112" t="s">
        <v>34</v>
      </c>
      <c r="G505" s="114">
        <v>9</v>
      </c>
      <c r="H505" s="115" t="s">
        <v>45</v>
      </c>
    </row>
    <row r="506" spans="1:8" ht="19.899999999999999" customHeight="1">
      <c r="A506" s="121">
        <v>46032</v>
      </c>
      <c r="B506" s="112" t="s">
        <v>68</v>
      </c>
      <c r="C506" s="113" t="s">
        <v>844</v>
      </c>
      <c r="D506" s="112" t="s">
        <v>808</v>
      </c>
      <c r="E506" s="122">
        <v>1.729166666666667</v>
      </c>
      <c r="F506" s="112" t="s">
        <v>70</v>
      </c>
      <c r="G506" s="114">
        <v>1</v>
      </c>
      <c r="H506" s="115" t="s">
        <v>845</v>
      </c>
    </row>
    <row r="507" spans="1:8" ht="19.899999999999999" customHeight="1">
      <c r="A507" s="121">
        <v>46032</v>
      </c>
      <c r="B507" s="112" t="s">
        <v>68</v>
      </c>
      <c r="C507" s="113" t="s">
        <v>843</v>
      </c>
      <c r="D507" s="112" t="s">
        <v>808</v>
      </c>
      <c r="E507" s="122">
        <v>1.354166666666667</v>
      </c>
      <c r="F507" s="112" t="s">
        <v>70</v>
      </c>
      <c r="G507" s="114">
        <v>9</v>
      </c>
      <c r="H507" s="115" t="s">
        <v>845</v>
      </c>
    </row>
    <row r="508" spans="1:8" ht="19.899999999999999" customHeight="1">
      <c r="A508" s="121">
        <v>46032</v>
      </c>
      <c r="B508" s="112" t="s">
        <v>48</v>
      </c>
      <c r="C508" s="113" t="s">
        <v>833</v>
      </c>
      <c r="D508" s="112" t="s">
        <v>808</v>
      </c>
      <c r="E508" s="122">
        <v>1.444444444444444</v>
      </c>
      <c r="F508" s="112" t="s">
        <v>53</v>
      </c>
      <c r="G508" s="114">
        <v>9</v>
      </c>
      <c r="H508" s="115" t="s">
        <v>830</v>
      </c>
    </row>
    <row r="509" spans="1:8" ht="19.899999999999999" customHeight="1">
      <c r="A509" s="121">
        <v>46032</v>
      </c>
      <c r="B509" s="112" t="s">
        <v>48</v>
      </c>
      <c r="C509" s="113" t="s">
        <v>832</v>
      </c>
      <c r="D509" s="112" t="s">
        <v>808</v>
      </c>
      <c r="E509" s="122">
        <v>1.6284722222222221</v>
      </c>
      <c r="F509" s="112" t="s">
        <v>50</v>
      </c>
      <c r="G509" s="114">
        <v>9</v>
      </c>
      <c r="H509" s="115" t="s">
        <v>909</v>
      </c>
    </row>
    <row r="510" spans="1:8" ht="19.899999999999999" customHeight="1">
      <c r="A510" s="121">
        <v>46032</v>
      </c>
      <c r="B510" s="112" t="s">
        <v>38</v>
      </c>
      <c r="C510" s="113" t="s">
        <v>811</v>
      </c>
      <c r="D510" s="112" t="s">
        <v>808</v>
      </c>
      <c r="E510" s="122">
        <v>1.6284722222222221</v>
      </c>
      <c r="F510" s="112" t="s">
        <v>43</v>
      </c>
      <c r="G510" s="114">
        <v>15</v>
      </c>
      <c r="H510" s="115" t="s">
        <v>35</v>
      </c>
    </row>
    <row r="511" spans="1:8" ht="19.899999999999999" customHeight="1">
      <c r="A511" s="121">
        <v>46032</v>
      </c>
      <c r="B511" s="112" t="s">
        <v>402</v>
      </c>
      <c r="C511" s="113" t="s">
        <v>839</v>
      </c>
      <c r="D511" s="112" t="s">
        <v>808</v>
      </c>
      <c r="E511" s="122">
        <v>1.1701388888888891</v>
      </c>
      <c r="F511" s="112" t="s">
        <v>63</v>
      </c>
      <c r="G511" s="114">
        <v>4</v>
      </c>
      <c r="H511" s="115" t="s">
        <v>881</v>
      </c>
    </row>
    <row r="512" spans="1:8" ht="19.899999999999999" customHeight="1">
      <c r="A512" s="121">
        <v>46032</v>
      </c>
      <c r="B512" s="112" t="s">
        <v>359</v>
      </c>
      <c r="C512" s="113" t="s">
        <v>814</v>
      </c>
      <c r="D512" s="112" t="s">
        <v>808</v>
      </c>
      <c r="E512" s="122">
        <v>1.4375</v>
      </c>
      <c r="F512" s="112" t="s">
        <v>46</v>
      </c>
      <c r="G512" s="114">
        <v>9</v>
      </c>
      <c r="H512" s="115" t="s">
        <v>904</v>
      </c>
    </row>
    <row r="513" spans="1:8" ht="19.899999999999999" customHeight="1">
      <c r="A513" s="121">
        <v>46032</v>
      </c>
      <c r="B513" s="112" t="s">
        <v>48</v>
      </c>
      <c r="C513" s="113" t="s">
        <v>831</v>
      </c>
      <c r="D513" s="112" t="s">
        <v>808</v>
      </c>
      <c r="E513" s="122">
        <v>1.9826388888888891</v>
      </c>
      <c r="F513" s="112" t="s">
        <v>53</v>
      </c>
      <c r="G513" s="114">
        <v>9</v>
      </c>
      <c r="H513" s="115" t="s">
        <v>908</v>
      </c>
    </row>
    <row r="514" spans="1:8" ht="19.899999999999999" customHeight="1">
      <c r="A514" s="121">
        <v>46032</v>
      </c>
      <c r="B514" s="112" t="s">
        <v>48</v>
      </c>
      <c r="C514" s="113" t="s">
        <v>828</v>
      </c>
      <c r="D514" s="112" t="s">
        <v>808</v>
      </c>
      <c r="E514" s="122">
        <v>1.8298611111111109</v>
      </c>
      <c r="F514" s="112" t="s">
        <v>50</v>
      </c>
      <c r="G514" s="114">
        <v>9</v>
      </c>
      <c r="H514" s="115" t="s">
        <v>467</v>
      </c>
    </row>
    <row r="515" spans="1:8" ht="19.899999999999999" customHeight="1">
      <c r="A515" s="121">
        <v>46032</v>
      </c>
      <c r="B515" s="112" t="s">
        <v>48</v>
      </c>
      <c r="C515" s="113" t="s">
        <v>832</v>
      </c>
      <c r="D515" s="112" t="s">
        <v>808</v>
      </c>
      <c r="E515" s="122">
        <v>1.6284722222222221</v>
      </c>
      <c r="F515" s="112" t="s">
        <v>53</v>
      </c>
      <c r="G515" s="114">
        <v>9</v>
      </c>
      <c r="H515" s="115" t="s">
        <v>910</v>
      </c>
    </row>
    <row r="516" spans="1:8" ht="19.899999999999999" customHeight="1">
      <c r="A516" s="121">
        <v>46032</v>
      </c>
      <c r="B516" s="112" t="s">
        <v>48</v>
      </c>
      <c r="C516" s="113" t="s">
        <v>828</v>
      </c>
      <c r="D516" s="112" t="s">
        <v>808</v>
      </c>
      <c r="E516" s="122">
        <v>1.8298611111111109</v>
      </c>
      <c r="F516" s="112" t="s">
        <v>53</v>
      </c>
      <c r="G516" s="114">
        <v>9</v>
      </c>
      <c r="H516" s="115" t="s">
        <v>911</v>
      </c>
    </row>
    <row r="517" spans="1:8" ht="19.899999999999999" customHeight="1">
      <c r="A517" s="121">
        <v>46032</v>
      </c>
      <c r="B517" s="112" t="s">
        <v>38</v>
      </c>
      <c r="C517" s="113" t="s">
        <v>809</v>
      </c>
      <c r="D517" s="112" t="s">
        <v>808</v>
      </c>
      <c r="E517" s="122">
        <v>1.5763888888888891</v>
      </c>
      <c r="F517" s="112" t="s">
        <v>46</v>
      </c>
      <c r="G517" s="114">
        <v>16</v>
      </c>
      <c r="H517" s="115" t="s">
        <v>810</v>
      </c>
    </row>
    <row r="518" spans="1:8" ht="19.899999999999999" customHeight="1">
      <c r="A518" s="121">
        <v>46032</v>
      </c>
      <c r="B518" s="112" t="s">
        <v>38</v>
      </c>
      <c r="C518" s="113" t="s">
        <v>812</v>
      </c>
      <c r="D518" s="112" t="s">
        <v>808</v>
      </c>
      <c r="E518" s="122">
        <v>1.8888888888888891</v>
      </c>
      <c r="F518" s="112" t="s">
        <v>46</v>
      </c>
      <c r="G518" s="114">
        <v>10</v>
      </c>
      <c r="H518" s="115" t="s">
        <v>810</v>
      </c>
    </row>
    <row r="519" spans="1:8" ht="19.899999999999999" customHeight="1">
      <c r="A519" s="121">
        <v>46032</v>
      </c>
      <c r="B519" s="112" t="s">
        <v>38</v>
      </c>
      <c r="C519" s="113" t="s">
        <v>813</v>
      </c>
      <c r="D519" s="112" t="s">
        <v>808</v>
      </c>
      <c r="E519" s="122">
        <v>1.944444444444444</v>
      </c>
      <c r="F519" s="112" t="s">
        <v>46</v>
      </c>
      <c r="G519" s="114">
        <v>10</v>
      </c>
      <c r="H519" s="115" t="s">
        <v>810</v>
      </c>
    </row>
    <row r="520" spans="1:8" ht="19.899999999999999" customHeight="1">
      <c r="A520" s="121">
        <v>46032</v>
      </c>
      <c r="B520" s="112" t="s">
        <v>48</v>
      </c>
      <c r="C520" s="113" t="s">
        <v>835</v>
      </c>
      <c r="D520" s="112" t="s">
        <v>808</v>
      </c>
      <c r="E520" s="122">
        <v>1.8888888888888891</v>
      </c>
      <c r="F520" s="112" t="s">
        <v>53</v>
      </c>
      <c r="G520" s="114">
        <v>4</v>
      </c>
      <c r="H520" s="115" t="s">
        <v>836</v>
      </c>
    </row>
    <row r="521" spans="1:8" ht="19.899999999999999" customHeight="1">
      <c r="A521" s="121">
        <v>46032</v>
      </c>
      <c r="B521" s="112" t="s">
        <v>48</v>
      </c>
      <c r="C521" s="113" t="s">
        <v>838</v>
      </c>
      <c r="D521" s="112" t="s">
        <v>808</v>
      </c>
      <c r="E521" s="122">
        <v>1.944444444444444</v>
      </c>
      <c r="F521" s="112" t="s">
        <v>53</v>
      </c>
      <c r="G521" s="114">
        <v>4</v>
      </c>
      <c r="H521" s="115" t="s">
        <v>836</v>
      </c>
    </row>
    <row r="522" spans="1:8" ht="19.899999999999999" customHeight="1">
      <c r="A522" s="121">
        <v>46032</v>
      </c>
      <c r="B522" s="112" t="s">
        <v>48</v>
      </c>
      <c r="C522" s="113" t="s">
        <v>837</v>
      </c>
      <c r="D522" s="112" t="s">
        <v>808</v>
      </c>
      <c r="E522" s="122">
        <v>1.6284722222222221</v>
      </c>
      <c r="F522" s="112" t="s">
        <v>53</v>
      </c>
      <c r="G522" s="114">
        <v>4</v>
      </c>
      <c r="H522" s="115" t="s">
        <v>912</v>
      </c>
    </row>
    <row r="523" spans="1:8" ht="19.899999999999999" customHeight="1">
      <c r="A523" s="123">
        <v>46032</v>
      </c>
      <c r="B523" s="124" t="s">
        <v>38</v>
      </c>
      <c r="C523" s="125" t="s">
        <v>811</v>
      </c>
      <c r="D523" s="124" t="s">
        <v>808</v>
      </c>
      <c r="E523" s="126">
        <v>1.6284722222222221</v>
      </c>
      <c r="F523" s="124" t="s">
        <v>46</v>
      </c>
      <c r="G523" s="127">
        <v>15</v>
      </c>
      <c r="H523" s="128" t="s">
        <v>894</v>
      </c>
    </row>
    <row r="524" spans="1:8" ht="19.899999999999999" customHeight="1">
      <c r="A524" s="121">
        <v>46033</v>
      </c>
      <c r="B524" s="112" t="s">
        <v>38</v>
      </c>
      <c r="C524" s="113" t="s">
        <v>809</v>
      </c>
      <c r="D524" s="112" t="s">
        <v>808</v>
      </c>
      <c r="E524" s="122">
        <v>1.5763888888888891</v>
      </c>
      <c r="F524" s="112" t="s">
        <v>40</v>
      </c>
      <c r="G524" s="114">
        <v>15</v>
      </c>
      <c r="H524" s="115" t="s">
        <v>475</v>
      </c>
    </row>
    <row r="525" spans="1:8" ht="19.899999999999999" customHeight="1">
      <c r="A525" s="121">
        <v>46033</v>
      </c>
      <c r="B525" s="112" t="s">
        <v>38</v>
      </c>
      <c r="C525" s="113" t="s">
        <v>812</v>
      </c>
      <c r="D525" s="112" t="s">
        <v>808</v>
      </c>
      <c r="E525" s="122">
        <v>1.8888888888888891</v>
      </c>
      <c r="F525" s="112" t="s">
        <v>40</v>
      </c>
      <c r="G525" s="114">
        <v>15</v>
      </c>
      <c r="H525" s="115" t="s">
        <v>475</v>
      </c>
    </row>
    <row r="526" spans="1:8" ht="19.899999999999999" customHeight="1">
      <c r="A526" s="121">
        <v>46033</v>
      </c>
      <c r="B526" s="112" t="s">
        <v>38</v>
      </c>
      <c r="C526" s="113" t="s">
        <v>813</v>
      </c>
      <c r="D526" s="112" t="s">
        <v>808</v>
      </c>
      <c r="E526" s="122">
        <v>1.944444444444444</v>
      </c>
      <c r="F526" s="112" t="s">
        <v>40</v>
      </c>
      <c r="G526" s="114">
        <v>19</v>
      </c>
      <c r="H526" s="115" t="s">
        <v>475</v>
      </c>
    </row>
    <row r="527" spans="1:8" ht="19.899999999999999" customHeight="1">
      <c r="A527" s="121">
        <v>46033</v>
      </c>
      <c r="B527" s="112" t="s">
        <v>359</v>
      </c>
      <c r="C527" s="113" t="s">
        <v>814</v>
      </c>
      <c r="D527" s="112" t="s">
        <v>808</v>
      </c>
      <c r="E527" s="122">
        <v>1.2951388888888891</v>
      </c>
      <c r="F527" s="112" t="s">
        <v>361</v>
      </c>
      <c r="G527" s="114">
        <v>9</v>
      </c>
      <c r="H527" s="115" t="s">
        <v>898</v>
      </c>
    </row>
    <row r="528" spans="1:8" ht="19.899999999999999" customHeight="1">
      <c r="A528" s="121">
        <v>46033</v>
      </c>
      <c r="B528" s="112" t="s">
        <v>38</v>
      </c>
      <c r="C528" s="113" t="s">
        <v>811</v>
      </c>
      <c r="D528" s="112" t="s">
        <v>808</v>
      </c>
      <c r="E528" s="122">
        <v>1.6284722222222221</v>
      </c>
      <c r="F528" s="112" t="s">
        <v>40</v>
      </c>
      <c r="G528" s="114">
        <v>17</v>
      </c>
      <c r="H528" s="115" t="s">
        <v>872</v>
      </c>
    </row>
    <row r="529" spans="1:8" ht="19.899999999999999" customHeight="1">
      <c r="A529" s="129">
        <v>46033</v>
      </c>
      <c r="B529" s="117" t="s">
        <v>61</v>
      </c>
      <c r="C529" s="118" t="s">
        <v>816</v>
      </c>
      <c r="D529" s="117" t="s">
        <v>808</v>
      </c>
      <c r="E529" s="130">
        <v>1.427083333333333</v>
      </c>
      <c r="F529" s="117" t="s">
        <v>63</v>
      </c>
      <c r="G529" s="119">
        <v>9</v>
      </c>
      <c r="H529" s="120" t="s">
        <v>817</v>
      </c>
    </row>
    <row r="530" spans="1:8" ht="19.899999999999999" customHeight="1">
      <c r="A530" s="121">
        <v>46033</v>
      </c>
      <c r="B530" s="112" t="s">
        <v>26</v>
      </c>
      <c r="C530" s="113" t="s">
        <v>820</v>
      </c>
      <c r="D530" s="112" t="s">
        <v>808</v>
      </c>
      <c r="E530" s="122">
        <v>1.4375</v>
      </c>
      <c r="F530" s="112" t="s">
        <v>28</v>
      </c>
      <c r="G530" s="114">
        <v>9</v>
      </c>
      <c r="H530" s="115" t="s">
        <v>81</v>
      </c>
    </row>
    <row r="531" spans="1:8" ht="19.899999999999999" customHeight="1">
      <c r="A531" s="121">
        <v>46033</v>
      </c>
      <c r="B531" s="112" t="s">
        <v>26</v>
      </c>
      <c r="C531" s="113" t="s">
        <v>826</v>
      </c>
      <c r="D531" s="112" t="s">
        <v>808</v>
      </c>
      <c r="E531" s="122">
        <v>1.958333333333333</v>
      </c>
      <c r="F531" s="112" t="s">
        <v>28</v>
      </c>
      <c r="G531" s="114">
        <v>9</v>
      </c>
      <c r="H531" s="115" t="s">
        <v>81</v>
      </c>
    </row>
    <row r="532" spans="1:8" ht="19.899999999999999" customHeight="1">
      <c r="A532" s="121">
        <v>46033</v>
      </c>
      <c r="B532" s="112" t="s">
        <v>26</v>
      </c>
      <c r="C532" s="113" t="s">
        <v>821</v>
      </c>
      <c r="D532" s="112" t="s">
        <v>808</v>
      </c>
      <c r="E532" s="122">
        <v>1.631944444444444</v>
      </c>
      <c r="F532" s="112" t="s">
        <v>28</v>
      </c>
      <c r="G532" s="114">
        <v>9</v>
      </c>
      <c r="H532" s="115" t="s">
        <v>81</v>
      </c>
    </row>
    <row r="533" spans="1:8" ht="19.899999999999999" customHeight="1">
      <c r="A533" s="121">
        <v>46033</v>
      </c>
      <c r="B533" s="112" t="s">
        <v>26</v>
      </c>
      <c r="C533" s="113" t="s">
        <v>822</v>
      </c>
      <c r="D533" s="112" t="s">
        <v>808</v>
      </c>
      <c r="E533" s="122">
        <v>1.5590277777777779</v>
      </c>
      <c r="F533" s="112" t="s">
        <v>28</v>
      </c>
      <c r="G533" s="114">
        <v>9</v>
      </c>
      <c r="H533" s="115" t="s">
        <v>81</v>
      </c>
    </row>
    <row r="534" spans="1:8" ht="19.899999999999999" customHeight="1">
      <c r="A534" s="121">
        <v>46033</v>
      </c>
      <c r="B534" s="112" t="s">
        <v>26</v>
      </c>
      <c r="C534" s="113" t="s">
        <v>823</v>
      </c>
      <c r="D534" s="112" t="s">
        <v>808</v>
      </c>
      <c r="E534" s="122">
        <v>1.819444444444444</v>
      </c>
      <c r="F534" s="112" t="s">
        <v>28</v>
      </c>
      <c r="G534" s="114">
        <v>9</v>
      </c>
      <c r="H534" s="115" t="s">
        <v>81</v>
      </c>
    </row>
    <row r="535" spans="1:8" ht="19.899999999999999" customHeight="1">
      <c r="A535" s="121">
        <v>46033</v>
      </c>
      <c r="B535" s="112" t="s">
        <v>26</v>
      </c>
      <c r="C535" s="113" t="s">
        <v>824</v>
      </c>
      <c r="D535" s="112" t="s">
        <v>808</v>
      </c>
      <c r="E535" s="122">
        <v>1.506944444444444</v>
      </c>
      <c r="F535" s="112" t="s">
        <v>28</v>
      </c>
      <c r="G535" s="114">
        <v>8</v>
      </c>
      <c r="H535" s="115" t="s">
        <v>81</v>
      </c>
    </row>
    <row r="536" spans="1:8" ht="19.899999999999999" customHeight="1">
      <c r="A536" s="121">
        <v>46033</v>
      </c>
      <c r="B536" s="112" t="s">
        <v>26</v>
      </c>
      <c r="C536" s="113" t="s">
        <v>825</v>
      </c>
      <c r="D536" s="112" t="s">
        <v>808</v>
      </c>
      <c r="E536" s="122">
        <v>1.697916666666667</v>
      </c>
      <c r="F536" s="112" t="s">
        <v>28</v>
      </c>
      <c r="G536" s="114">
        <v>9</v>
      </c>
      <c r="H536" s="115" t="s">
        <v>81</v>
      </c>
    </row>
    <row r="537" spans="1:8" ht="19.899999999999999" customHeight="1">
      <c r="A537" s="121">
        <v>46033</v>
      </c>
      <c r="B537" s="112" t="s">
        <v>48</v>
      </c>
      <c r="C537" s="113" t="s">
        <v>833</v>
      </c>
      <c r="D537" s="112" t="s">
        <v>808</v>
      </c>
      <c r="E537" s="122">
        <v>1.444444444444444</v>
      </c>
      <c r="F537" s="112" t="s">
        <v>50</v>
      </c>
      <c r="G537" s="114">
        <v>9</v>
      </c>
      <c r="H537" s="115" t="s">
        <v>873</v>
      </c>
    </row>
    <row r="538" spans="1:8" ht="19.899999999999999" customHeight="1">
      <c r="A538" s="121">
        <v>46033</v>
      </c>
      <c r="B538" s="112" t="s">
        <v>48</v>
      </c>
      <c r="C538" s="113" t="s">
        <v>828</v>
      </c>
      <c r="D538" s="112" t="s">
        <v>808</v>
      </c>
      <c r="E538" s="122">
        <v>1.8298611111111109</v>
      </c>
      <c r="F538" s="112" t="s">
        <v>50</v>
      </c>
      <c r="G538" s="114">
        <v>9</v>
      </c>
      <c r="H538" s="115" t="s">
        <v>873</v>
      </c>
    </row>
    <row r="539" spans="1:8" ht="19.899999999999999" customHeight="1">
      <c r="A539" s="121">
        <v>46033</v>
      </c>
      <c r="B539" s="112" t="s">
        <v>48</v>
      </c>
      <c r="C539" s="113" t="s">
        <v>831</v>
      </c>
      <c r="D539" s="112" t="s">
        <v>808</v>
      </c>
      <c r="E539" s="122">
        <v>1.9826388888888891</v>
      </c>
      <c r="F539" s="112" t="s">
        <v>50</v>
      </c>
      <c r="G539" s="114">
        <v>9</v>
      </c>
      <c r="H539" s="115" t="s">
        <v>873</v>
      </c>
    </row>
    <row r="540" spans="1:8" ht="19.899999999999999" customHeight="1">
      <c r="A540" s="121">
        <v>46033</v>
      </c>
      <c r="B540" s="112" t="s">
        <v>48</v>
      </c>
      <c r="C540" s="113" t="s">
        <v>875</v>
      </c>
      <c r="D540" s="112" t="s">
        <v>808</v>
      </c>
      <c r="E540" s="122">
        <v>1.697916666666667</v>
      </c>
      <c r="F540" s="112" t="s">
        <v>50</v>
      </c>
      <c r="G540" s="114">
        <v>9</v>
      </c>
      <c r="H540" s="115" t="s">
        <v>873</v>
      </c>
    </row>
    <row r="541" spans="1:8" ht="19.899999999999999" customHeight="1">
      <c r="A541" s="121">
        <v>46033</v>
      </c>
      <c r="B541" s="112" t="s">
        <v>48</v>
      </c>
      <c r="C541" s="113" t="s">
        <v>832</v>
      </c>
      <c r="D541" s="112" t="s">
        <v>808</v>
      </c>
      <c r="E541" s="122">
        <v>1.6284722222222221</v>
      </c>
      <c r="F541" s="112" t="s">
        <v>50</v>
      </c>
      <c r="G541" s="114">
        <v>9</v>
      </c>
      <c r="H541" s="115" t="s">
        <v>873</v>
      </c>
    </row>
    <row r="542" spans="1:8" ht="19.899999999999999" customHeight="1">
      <c r="A542" s="121">
        <v>46033</v>
      </c>
      <c r="B542" s="112" t="s">
        <v>38</v>
      </c>
      <c r="C542" s="113" t="s">
        <v>809</v>
      </c>
      <c r="D542" s="112" t="s">
        <v>808</v>
      </c>
      <c r="E542" s="122">
        <v>1.5763888888888891</v>
      </c>
      <c r="F542" s="112" t="s">
        <v>43</v>
      </c>
      <c r="G542" s="114">
        <v>15</v>
      </c>
      <c r="H542" s="115" t="s">
        <v>121</v>
      </c>
    </row>
    <row r="543" spans="1:8" ht="19.899999999999999" customHeight="1">
      <c r="A543" s="121">
        <v>46033</v>
      </c>
      <c r="B543" s="112" t="s">
        <v>38</v>
      </c>
      <c r="C543" s="113" t="s">
        <v>812</v>
      </c>
      <c r="D543" s="112" t="s">
        <v>808</v>
      </c>
      <c r="E543" s="122">
        <v>1.8888888888888891</v>
      </c>
      <c r="F543" s="112" t="s">
        <v>43</v>
      </c>
      <c r="G543" s="114">
        <v>15</v>
      </c>
      <c r="H543" s="115" t="s">
        <v>121</v>
      </c>
    </row>
    <row r="544" spans="1:8" ht="19.899999999999999" customHeight="1">
      <c r="A544" s="121">
        <v>46033</v>
      </c>
      <c r="B544" s="112" t="s">
        <v>38</v>
      </c>
      <c r="C544" s="113" t="s">
        <v>813</v>
      </c>
      <c r="D544" s="112" t="s">
        <v>808</v>
      </c>
      <c r="E544" s="122">
        <v>1.944444444444444</v>
      </c>
      <c r="F544" s="112" t="s">
        <v>43</v>
      </c>
      <c r="G544" s="114">
        <v>19</v>
      </c>
      <c r="H544" s="115" t="s">
        <v>121</v>
      </c>
    </row>
    <row r="545" spans="1:8" ht="19.899999999999999" customHeight="1">
      <c r="A545" s="121">
        <v>46033</v>
      </c>
      <c r="B545" s="112" t="s">
        <v>26</v>
      </c>
      <c r="C545" s="113" t="s">
        <v>820</v>
      </c>
      <c r="D545" s="112" t="s">
        <v>808</v>
      </c>
      <c r="E545" s="122">
        <v>1.4375</v>
      </c>
      <c r="F545" s="112" t="s">
        <v>31</v>
      </c>
      <c r="G545" s="114">
        <v>9</v>
      </c>
      <c r="H545" s="115" t="s">
        <v>83</v>
      </c>
    </row>
    <row r="546" spans="1:8" ht="19.899999999999999" customHeight="1">
      <c r="A546" s="121">
        <v>46033</v>
      </c>
      <c r="B546" s="112" t="s">
        <v>26</v>
      </c>
      <c r="C546" s="113" t="s">
        <v>826</v>
      </c>
      <c r="D546" s="112" t="s">
        <v>808</v>
      </c>
      <c r="E546" s="122">
        <v>1.958333333333333</v>
      </c>
      <c r="F546" s="112" t="s">
        <v>31</v>
      </c>
      <c r="G546" s="114">
        <v>9</v>
      </c>
      <c r="H546" s="115" t="s">
        <v>83</v>
      </c>
    </row>
    <row r="547" spans="1:8" ht="19.899999999999999" customHeight="1">
      <c r="A547" s="121">
        <v>46033</v>
      </c>
      <c r="B547" s="112" t="s">
        <v>26</v>
      </c>
      <c r="C547" s="113" t="s">
        <v>821</v>
      </c>
      <c r="D547" s="112" t="s">
        <v>808</v>
      </c>
      <c r="E547" s="122">
        <v>1.631944444444444</v>
      </c>
      <c r="F547" s="112" t="s">
        <v>31</v>
      </c>
      <c r="G547" s="114">
        <v>9</v>
      </c>
      <c r="H547" s="115" t="s">
        <v>83</v>
      </c>
    </row>
    <row r="548" spans="1:8" ht="19.899999999999999" customHeight="1">
      <c r="A548" s="121">
        <v>46033</v>
      </c>
      <c r="B548" s="112" t="s">
        <v>26</v>
      </c>
      <c r="C548" s="113" t="s">
        <v>822</v>
      </c>
      <c r="D548" s="112" t="s">
        <v>808</v>
      </c>
      <c r="E548" s="122">
        <v>1.5590277777777779</v>
      </c>
      <c r="F548" s="112" t="s">
        <v>31</v>
      </c>
      <c r="G548" s="114">
        <v>9</v>
      </c>
      <c r="H548" s="115" t="s">
        <v>83</v>
      </c>
    </row>
    <row r="549" spans="1:8" ht="19.899999999999999" customHeight="1">
      <c r="A549" s="121">
        <v>46033</v>
      </c>
      <c r="B549" s="112" t="s">
        <v>26</v>
      </c>
      <c r="C549" s="113" t="s">
        <v>823</v>
      </c>
      <c r="D549" s="112" t="s">
        <v>808</v>
      </c>
      <c r="E549" s="122">
        <v>1.819444444444444</v>
      </c>
      <c r="F549" s="112" t="s">
        <v>31</v>
      </c>
      <c r="G549" s="114">
        <v>9</v>
      </c>
      <c r="H549" s="115" t="s">
        <v>83</v>
      </c>
    </row>
    <row r="550" spans="1:8" ht="19.899999999999999" customHeight="1">
      <c r="A550" s="121">
        <v>46033</v>
      </c>
      <c r="B550" s="112" t="s">
        <v>26</v>
      </c>
      <c r="C550" s="113" t="s">
        <v>824</v>
      </c>
      <c r="D550" s="112" t="s">
        <v>808</v>
      </c>
      <c r="E550" s="122">
        <v>1.506944444444444</v>
      </c>
      <c r="F550" s="112" t="s">
        <v>31</v>
      </c>
      <c r="G550" s="114">
        <v>8</v>
      </c>
      <c r="H550" s="115" t="s">
        <v>83</v>
      </c>
    </row>
    <row r="551" spans="1:8" ht="19.899999999999999" customHeight="1">
      <c r="A551" s="121">
        <v>46033</v>
      </c>
      <c r="B551" s="112" t="s">
        <v>26</v>
      </c>
      <c r="C551" s="113" t="s">
        <v>825</v>
      </c>
      <c r="D551" s="112" t="s">
        <v>808</v>
      </c>
      <c r="E551" s="122">
        <v>1.697916666666667</v>
      </c>
      <c r="F551" s="112" t="s">
        <v>31</v>
      </c>
      <c r="G551" s="114">
        <v>9</v>
      </c>
      <c r="H551" s="115" t="s">
        <v>83</v>
      </c>
    </row>
    <row r="552" spans="1:8" ht="19.899999999999999" customHeight="1">
      <c r="A552" s="121">
        <v>46033</v>
      </c>
      <c r="B552" s="112" t="s">
        <v>38</v>
      </c>
      <c r="C552" s="113" t="s">
        <v>811</v>
      </c>
      <c r="D552" s="112" t="s">
        <v>808</v>
      </c>
      <c r="E552" s="122">
        <v>1.6284722222222221</v>
      </c>
      <c r="F552" s="112" t="s">
        <v>43</v>
      </c>
      <c r="G552" s="114">
        <v>17</v>
      </c>
      <c r="H552" s="115" t="s">
        <v>349</v>
      </c>
    </row>
    <row r="553" spans="1:8" ht="19.899999999999999" customHeight="1">
      <c r="A553" s="121">
        <v>46033</v>
      </c>
      <c r="B553" s="112" t="s">
        <v>68</v>
      </c>
      <c r="C553" s="113" t="s">
        <v>842</v>
      </c>
      <c r="D553" s="112" t="s">
        <v>808</v>
      </c>
      <c r="E553" s="122">
        <v>1.9826388888888891</v>
      </c>
      <c r="F553" s="112" t="s">
        <v>70</v>
      </c>
      <c r="G553" s="114">
        <v>9</v>
      </c>
      <c r="H553" s="115" t="s">
        <v>404</v>
      </c>
    </row>
    <row r="554" spans="1:8" ht="19.899999999999999" customHeight="1">
      <c r="A554" s="121">
        <v>46033</v>
      </c>
      <c r="B554" s="112" t="s">
        <v>68</v>
      </c>
      <c r="C554" s="113" t="s">
        <v>843</v>
      </c>
      <c r="D554" s="112" t="s">
        <v>808</v>
      </c>
      <c r="E554" s="122">
        <v>1.354166666666667</v>
      </c>
      <c r="F554" s="112" t="s">
        <v>70</v>
      </c>
      <c r="G554" s="114">
        <v>9</v>
      </c>
      <c r="H554" s="115" t="s">
        <v>404</v>
      </c>
    </row>
    <row r="555" spans="1:8" ht="19.899999999999999" customHeight="1">
      <c r="A555" s="121">
        <v>46033</v>
      </c>
      <c r="B555" s="112" t="s">
        <v>68</v>
      </c>
      <c r="C555" s="113" t="s">
        <v>844</v>
      </c>
      <c r="D555" s="112" t="s">
        <v>808</v>
      </c>
      <c r="E555" s="122">
        <v>1.729166666666667</v>
      </c>
      <c r="F555" s="112" t="s">
        <v>70</v>
      </c>
      <c r="G555" s="114">
        <v>9</v>
      </c>
      <c r="H555" s="115" t="s">
        <v>892</v>
      </c>
    </row>
    <row r="556" spans="1:8" ht="19.899999999999999" customHeight="1">
      <c r="A556" s="121">
        <v>46033</v>
      </c>
      <c r="B556" s="112" t="s">
        <v>48</v>
      </c>
      <c r="C556" s="113" t="s">
        <v>833</v>
      </c>
      <c r="D556" s="112" t="s">
        <v>808</v>
      </c>
      <c r="E556" s="122">
        <v>1.444444444444444</v>
      </c>
      <c r="F556" s="112" t="s">
        <v>53</v>
      </c>
      <c r="G556" s="114">
        <v>9</v>
      </c>
      <c r="H556" s="115" t="s">
        <v>874</v>
      </c>
    </row>
    <row r="557" spans="1:8" ht="19.899999999999999" customHeight="1">
      <c r="A557" s="121">
        <v>46033</v>
      </c>
      <c r="B557" s="112" t="s">
        <v>48</v>
      </c>
      <c r="C557" s="113" t="s">
        <v>828</v>
      </c>
      <c r="D557" s="112" t="s">
        <v>808</v>
      </c>
      <c r="E557" s="122">
        <v>1.8298611111111109</v>
      </c>
      <c r="F557" s="112" t="s">
        <v>53</v>
      </c>
      <c r="G557" s="114">
        <v>9</v>
      </c>
      <c r="H557" s="115" t="s">
        <v>874</v>
      </c>
    </row>
    <row r="558" spans="1:8" ht="19.899999999999999" customHeight="1">
      <c r="A558" s="121">
        <v>46033</v>
      </c>
      <c r="B558" s="112" t="s">
        <v>48</v>
      </c>
      <c r="C558" s="113" t="s">
        <v>831</v>
      </c>
      <c r="D558" s="112" t="s">
        <v>808</v>
      </c>
      <c r="E558" s="122">
        <v>1.9826388888888891</v>
      </c>
      <c r="F558" s="112" t="s">
        <v>53</v>
      </c>
      <c r="G558" s="114">
        <v>9</v>
      </c>
      <c r="H558" s="115" t="s">
        <v>874</v>
      </c>
    </row>
    <row r="559" spans="1:8" ht="19.899999999999999" customHeight="1">
      <c r="A559" s="121">
        <v>46033</v>
      </c>
      <c r="B559" s="112" t="s">
        <v>48</v>
      </c>
      <c r="C559" s="113" t="s">
        <v>875</v>
      </c>
      <c r="D559" s="112" t="s">
        <v>808</v>
      </c>
      <c r="E559" s="122">
        <v>1.697916666666667</v>
      </c>
      <c r="F559" s="112" t="s">
        <v>53</v>
      </c>
      <c r="G559" s="114">
        <v>9</v>
      </c>
      <c r="H559" s="115" t="s">
        <v>874</v>
      </c>
    </row>
    <row r="560" spans="1:8" ht="19.899999999999999" customHeight="1">
      <c r="A560" s="121">
        <v>46033</v>
      </c>
      <c r="B560" s="112" t="s">
        <v>48</v>
      </c>
      <c r="C560" s="113" t="s">
        <v>832</v>
      </c>
      <c r="D560" s="112" t="s">
        <v>808</v>
      </c>
      <c r="E560" s="122">
        <v>1.6284722222222221</v>
      </c>
      <c r="F560" s="112" t="s">
        <v>53</v>
      </c>
      <c r="G560" s="114">
        <v>9</v>
      </c>
      <c r="H560" s="115" t="s">
        <v>874</v>
      </c>
    </row>
    <row r="561" spans="1:8" ht="19.899999999999999" customHeight="1">
      <c r="A561" s="121">
        <v>46033</v>
      </c>
      <c r="B561" s="112" t="s">
        <v>26</v>
      </c>
      <c r="C561" s="113" t="s">
        <v>820</v>
      </c>
      <c r="D561" s="112" t="s">
        <v>808</v>
      </c>
      <c r="E561" s="122">
        <v>1.4375</v>
      </c>
      <c r="F561" s="112" t="s">
        <v>34</v>
      </c>
      <c r="G561" s="114">
        <v>9</v>
      </c>
      <c r="H561" s="115" t="s">
        <v>45</v>
      </c>
    </row>
    <row r="562" spans="1:8" ht="19.899999999999999" customHeight="1">
      <c r="A562" s="121">
        <v>46033</v>
      </c>
      <c r="B562" s="112" t="s">
        <v>26</v>
      </c>
      <c r="C562" s="113" t="s">
        <v>826</v>
      </c>
      <c r="D562" s="112" t="s">
        <v>808</v>
      </c>
      <c r="E562" s="122">
        <v>1.958333333333333</v>
      </c>
      <c r="F562" s="112" t="s">
        <v>34</v>
      </c>
      <c r="G562" s="114">
        <v>9</v>
      </c>
      <c r="H562" s="115" t="s">
        <v>45</v>
      </c>
    </row>
    <row r="563" spans="1:8" ht="19.899999999999999" customHeight="1">
      <c r="A563" s="121">
        <v>46033</v>
      </c>
      <c r="B563" s="112" t="s">
        <v>26</v>
      </c>
      <c r="C563" s="113" t="s">
        <v>821</v>
      </c>
      <c r="D563" s="112" t="s">
        <v>808</v>
      </c>
      <c r="E563" s="122">
        <v>1.631944444444444</v>
      </c>
      <c r="F563" s="112" t="s">
        <v>34</v>
      </c>
      <c r="G563" s="114">
        <v>9</v>
      </c>
      <c r="H563" s="115" t="s">
        <v>45</v>
      </c>
    </row>
    <row r="564" spans="1:8" ht="19.899999999999999" customHeight="1">
      <c r="A564" s="121">
        <v>46033</v>
      </c>
      <c r="B564" s="112" t="s">
        <v>26</v>
      </c>
      <c r="C564" s="113" t="s">
        <v>822</v>
      </c>
      <c r="D564" s="112" t="s">
        <v>808</v>
      </c>
      <c r="E564" s="122">
        <v>1.5590277777777779</v>
      </c>
      <c r="F564" s="112" t="s">
        <v>34</v>
      </c>
      <c r="G564" s="114">
        <v>9</v>
      </c>
      <c r="H564" s="115" t="s">
        <v>45</v>
      </c>
    </row>
    <row r="565" spans="1:8" ht="19.899999999999999" customHeight="1">
      <c r="A565" s="121">
        <v>46033</v>
      </c>
      <c r="B565" s="112" t="s">
        <v>26</v>
      </c>
      <c r="C565" s="113" t="s">
        <v>823</v>
      </c>
      <c r="D565" s="112" t="s">
        <v>808</v>
      </c>
      <c r="E565" s="122">
        <v>1.819444444444444</v>
      </c>
      <c r="F565" s="112" t="s">
        <v>34</v>
      </c>
      <c r="G565" s="114">
        <v>9</v>
      </c>
      <c r="H565" s="115" t="s">
        <v>45</v>
      </c>
    </row>
    <row r="566" spans="1:8" ht="19.899999999999999" customHeight="1">
      <c r="A566" s="121">
        <v>46033</v>
      </c>
      <c r="B566" s="112" t="s">
        <v>26</v>
      </c>
      <c r="C566" s="113" t="s">
        <v>824</v>
      </c>
      <c r="D566" s="112" t="s">
        <v>808</v>
      </c>
      <c r="E566" s="122">
        <v>1.506944444444444</v>
      </c>
      <c r="F566" s="112" t="s">
        <v>34</v>
      </c>
      <c r="G566" s="114">
        <v>8</v>
      </c>
      <c r="H566" s="115" t="s">
        <v>45</v>
      </c>
    </row>
    <row r="567" spans="1:8" ht="19.899999999999999" customHeight="1">
      <c r="A567" s="121">
        <v>46033</v>
      </c>
      <c r="B567" s="112" t="s">
        <v>26</v>
      </c>
      <c r="C567" s="113" t="s">
        <v>825</v>
      </c>
      <c r="D567" s="112" t="s">
        <v>808</v>
      </c>
      <c r="E567" s="122">
        <v>1.697916666666667</v>
      </c>
      <c r="F567" s="112" t="s">
        <v>34</v>
      </c>
      <c r="G567" s="114">
        <v>9</v>
      </c>
      <c r="H567" s="115" t="s">
        <v>45</v>
      </c>
    </row>
    <row r="568" spans="1:8" ht="19.899999999999999" customHeight="1">
      <c r="A568" s="121">
        <v>46033</v>
      </c>
      <c r="B568" s="112" t="s">
        <v>359</v>
      </c>
      <c r="C568" s="113" t="s">
        <v>814</v>
      </c>
      <c r="D568" s="112" t="s">
        <v>808</v>
      </c>
      <c r="E568" s="122">
        <v>1.2951388888888891</v>
      </c>
      <c r="F568" s="112" t="s">
        <v>46</v>
      </c>
      <c r="G568" s="114">
        <v>9</v>
      </c>
      <c r="H568" s="115" t="s">
        <v>899</v>
      </c>
    </row>
    <row r="569" spans="1:8" ht="19.899999999999999" customHeight="1">
      <c r="A569" s="121">
        <v>46033</v>
      </c>
      <c r="B569" s="112" t="s">
        <v>402</v>
      </c>
      <c r="C569" s="113" t="s">
        <v>839</v>
      </c>
      <c r="D569" s="112" t="s">
        <v>808</v>
      </c>
      <c r="E569" s="122">
        <v>1.1736111111111109</v>
      </c>
      <c r="F569" s="112" t="s">
        <v>63</v>
      </c>
      <c r="G569" s="114">
        <v>6</v>
      </c>
      <c r="H569" s="115" t="s">
        <v>881</v>
      </c>
    </row>
    <row r="570" spans="1:8" ht="19.899999999999999" customHeight="1">
      <c r="A570" s="121">
        <v>46033</v>
      </c>
      <c r="B570" s="112" t="s">
        <v>38</v>
      </c>
      <c r="C570" s="113" t="s">
        <v>809</v>
      </c>
      <c r="D570" s="112" t="s">
        <v>808</v>
      </c>
      <c r="E570" s="122">
        <v>1.5763888888888891</v>
      </c>
      <c r="F570" s="112" t="s">
        <v>46</v>
      </c>
      <c r="G570" s="114">
        <v>15</v>
      </c>
      <c r="H570" s="115" t="s">
        <v>810</v>
      </c>
    </row>
    <row r="571" spans="1:8" ht="19.899999999999999" customHeight="1">
      <c r="A571" s="121">
        <v>46033</v>
      </c>
      <c r="B571" s="112" t="s">
        <v>38</v>
      </c>
      <c r="C571" s="113" t="s">
        <v>811</v>
      </c>
      <c r="D571" s="112" t="s">
        <v>808</v>
      </c>
      <c r="E571" s="122">
        <v>1.6284722222222221</v>
      </c>
      <c r="F571" s="112" t="s">
        <v>46</v>
      </c>
      <c r="G571" s="114">
        <v>17</v>
      </c>
      <c r="H571" s="115" t="s">
        <v>810</v>
      </c>
    </row>
    <row r="572" spans="1:8" ht="19.899999999999999" customHeight="1">
      <c r="A572" s="121">
        <v>46033</v>
      </c>
      <c r="B572" s="112" t="s">
        <v>38</v>
      </c>
      <c r="C572" s="113" t="s">
        <v>812</v>
      </c>
      <c r="D572" s="112" t="s">
        <v>808</v>
      </c>
      <c r="E572" s="122">
        <v>1.8888888888888891</v>
      </c>
      <c r="F572" s="112" t="s">
        <v>46</v>
      </c>
      <c r="G572" s="114">
        <v>15</v>
      </c>
      <c r="H572" s="115" t="s">
        <v>810</v>
      </c>
    </row>
    <row r="573" spans="1:8" ht="19.899999999999999" customHeight="1">
      <c r="A573" s="121">
        <v>46033</v>
      </c>
      <c r="B573" s="112" t="s">
        <v>38</v>
      </c>
      <c r="C573" s="113" t="s">
        <v>813</v>
      </c>
      <c r="D573" s="112" t="s">
        <v>808</v>
      </c>
      <c r="E573" s="122">
        <v>1.944444444444444</v>
      </c>
      <c r="F573" s="112" t="s">
        <v>46</v>
      </c>
      <c r="G573" s="114">
        <v>19</v>
      </c>
      <c r="H573" s="115" t="s">
        <v>810</v>
      </c>
    </row>
    <row r="574" spans="1:8" ht="19.899999999999999" customHeight="1">
      <c r="A574" s="121">
        <v>46033</v>
      </c>
      <c r="B574" s="112" t="s">
        <v>48</v>
      </c>
      <c r="C574" s="113" t="s">
        <v>835</v>
      </c>
      <c r="D574" s="112" t="s">
        <v>808</v>
      </c>
      <c r="E574" s="122">
        <v>1.8888888888888891</v>
      </c>
      <c r="F574" s="112" t="s">
        <v>53</v>
      </c>
      <c r="G574" s="114">
        <v>4</v>
      </c>
      <c r="H574" s="115" t="s">
        <v>836</v>
      </c>
    </row>
    <row r="575" spans="1:8" ht="19.899999999999999" customHeight="1">
      <c r="A575" s="121">
        <v>46033</v>
      </c>
      <c r="B575" s="112" t="s">
        <v>48</v>
      </c>
      <c r="C575" s="113" t="s">
        <v>837</v>
      </c>
      <c r="D575" s="112" t="s">
        <v>808</v>
      </c>
      <c r="E575" s="122">
        <v>1.6284722222222221</v>
      </c>
      <c r="F575" s="112" t="s">
        <v>53</v>
      </c>
      <c r="G575" s="114">
        <v>4</v>
      </c>
      <c r="H575" s="115" t="s">
        <v>836</v>
      </c>
    </row>
    <row r="576" spans="1:8" ht="19.899999999999999" customHeight="1">
      <c r="A576" s="123">
        <v>46033</v>
      </c>
      <c r="B576" s="124" t="s">
        <v>48</v>
      </c>
      <c r="C576" s="125" t="s">
        <v>838</v>
      </c>
      <c r="D576" s="124" t="s">
        <v>808</v>
      </c>
      <c r="E576" s="126">
        <v>1.944444444444444</v>
      </c>
      <c r="F576" s="124" t="s">
        <v>53</v>
      </c>
      <c r="G576" s="127">
        <v>4</v>
      </c>
      <c r="H576" s="128" t="s">
        <v>836</v>
      </c>
    </row>
    <row r="577" spans="1:8" ht="19.899999999999999" customHeight="1">
      <c r="A577" s="121">
        <v>46034</v>
      </c>
      <c r="B577" s="112" t="s">
        <v>38</v>
      </c>
      <c r="C577" s="113" t="s">
        <v>809</v>
      </c>
      <c r="D577" s="112" t="s">
        <v>808</v>
      </c>
      <c r="E577" s="122">
        <v>1.5763888888888891</v>
      </c>
      <c r="F577" s="112" t="s">
        <v>40</v>
      </c>
      <c r="G577" s="114">
        <v>15</v>
      </c>
      <c r="H577" s="115" t="s">
        <v>475</v>
      </c>
    </row>
    <row r="578" spans="1:8" ht="19.899999999999999" customHeight="1">
      <c r="A578" s="121">
        <v>46034</v>
      </c>
      <c r="B578" s="112" t="s">
        <v>38</v>
      </c>
      <c r="C578" s="113" t="s">
        <v>812</v>
      </c>
      <c r="D578" s="112" t="s">
        <v>808</v>
      </c>
      <c r="E578" s="122">
        <v>1.8888888888888891</v>
      </c>
      <c r="F578" s="112" t="s">
        <v>40</v>
      </c>
      <c r="G578" s="114">
        <v>10</v>
      </c>
      <c r="H578" s="115" t="s">
        <v>475</v>
      </c>
    </row>
    <row r="579" spans="1:8" ht="19.899999999999999" customHeight="1">
      <c r="A579" s="121">
        <v>46034</v>
      </c>
      <c r="B579" s="112" t="s">
        <v>38</v>
      </c>
      <c r="C579" s="113" t="s">
        <v>813</v>
      </c>
      <c r="D579" s="112" t="s">
        <v>808</v>
      </c>
      <c r="E579" s="122">
        <v>1.944444444444444</v>
      </c>
      <c r="F579" s="112" t="s">
        <v>40</v>
      </c>
      <c r="G579" s="114">
        <v>19</v>
      </c>
      <c r="H579" s="115" t="s">
        <v>475</v>
      </c>
    </row>
    <row r="580" spans="1:8" ht="19.899999999999999" customHeight="1">
      <c r="A580" s="121">
        <v>46034</v>
      </c>
      <c r="B580" s="112" t="s">
        <v>359</v>
      </c>
      <c r="C580" s="113" t="s">
        <v>814</v>
      </c>
      <c r="D580" s="112" t="s">
        <v>808</v>
      </c>
      <c r="E580" s="122">
        <v>1.3298611111111109</v>
      </c>
      <c r="F580" s="112" t="s">
        <v>361</v>
      </c>
      <c r="G580" s="114">
        <v>9</v>
      </c>
      <c r="H580" s="115" t="s">
        <v>883</v>
      </c>
    </row>
    <row r="581" spans="1:8" ht="19.899999999999999" customHeight="1">
      <c r="A581" s="121">
        <v>46034</v>
      </c>
      <c r="B581" s="112" t="s">
        <v>38</v>
      </c>
      <c r="C581" s="113" t="s">
        <v>811</v>
      </c>
      <c r="D581" s="112" t="s">
        <v>808</v>
      </c>
      <c r="E581" s="122">
        <v>1.6284722222222221</v>
      </c>
      <c r="F581" s="112" t="s">
        <v>40</v>
      </c>
      <c r="G581" s="114">
        <v>15</v>
      </c>
      <c r="H581" s="115" t="s">
        <v>872</v>
      </c>
    </row>
    <row r="582" spans="1:8" ht="19.899999999999999" customHeight="1">
      <c r="A582" s="121">
        <v>46034</v>
      </c>
      <c r="B582" s="112" t="s">
        <v>68</v>
      </c>
      <c r="C582" s="113" t="s">
        <v>842</v>
      </c>
      <c r="D582" s="112" t="s">
        <v>808</v>
      </c>
      <c r="E582" s="122">
        <v>1.9826388888888891</v>
      </c>
      <c r="F582" s="112" t="s">
        <v>643</v>
      </c>
      <c r="G582" s="114">
        <v>9</v>
      </c>
      <c r="H582" s="115" t="s">
        <v>891</v>
      </c>
    </row>
    <row r="583" spans="1:8" ht="19.899999999999999" customHeight="1">
      <c r="A583" s="129">
        <v>46034</v>
      </c>
      <c r="B583" s="117" t="s">
        <v>61</v>
      </c>
      <c r="C583" s="118" t="s">
        <v>852</v>
      </c>
      <c r="D583" s="117" t="s">
        <v>808</v>
      </c>
      <c r="E583" s="130">
        <v>1.725694444444444</v>
      </c>
      <c r="F583" s="117" t="s">
        <v>63</v>
      </c>
      <c r="G583" s="119">
        <v>9</v>
      </c>
      <c r="H583" s="120" t="s">
        <v>817</v>
      </c>
    </row>
    <row r="584" spans="1:8" ht="19.899999999999999" customHeight="1">
      <c r="A584" s="121">
        <v>46034</v>
      </c>
      <c r="B584" s="112" t="s">
        <v>26</v>
      </c>
      <c r="C584" s="113" t="s">
        <v>820</v>
      </c>
      <c r="D584" s="112" t="s">
        <v>808</v>
      </c>
      <c r="E584" s="122">
        <v>1.4375</v>
      </c>
      <c r="F584" s="112" t="s">
        <v>28</v>
      </c>
      <c r="G584" s="114">
        <v>9</v>
      </c>
      <c r="H584" s="115" t="s">
        <v>81</v>
      </c>
    </row>
    <row r="585" spans="1:8" ht="19.899999999999999" customHeight="1">
      <c r="A585" s="121">
        <v>46034</v>
      </c>
      <c r="B585" s="112" t="s">
        <v>26</v>
      </c>
      <c r="C585" s="113" t="s">
        <v>826</v>
      </c>
      <c r="D585" s="112" t="s">
        <v>808</v>
      </c>
      <c r="E585" s="122">
        <v>1.958333333333333</v>
      </c>
      <c r="F585" s="112" t="s">
        <v>28</v>
      </c>
      <c r="G585" s="114">
        <v>9</v>
      </c>
      <c r="H585" s="115" t="s">
        <v>81</v>
      </c>
    </row>
    <row r="586" spans="1:8" ht="19.899999999999999" customHeight="1">
      <c r="A586" s="121">
        <v>46034</v>
      </c>
      <c r="B586" s="112" t="s">
        <v>26</v>
      </c>
      <c r="C586" s="113" t="s">
        <v>821</v>
      </c>
      <c r="D586" s="112" t="s">
        <v>808</v>
      </c>
      <c r="E586" s="122">
        <v>1.631944444444444</v>
      </c>
      <c r="F586" s="112" t="s">
        <v>28</v>
      </c>
      <c r="G586" s="114">
        <v>9</v>
      </c>
      <c r="H586" s="115" t="s">
        <v>81</v>
      </c>
    </row>
    <row r="587" spans="1:8" ht="19.899999999999999" customHeight="1">
      <c r="A587" s="121">
        <v>46034</v>
      </c>
      <c r="B587" s="112" t="s">
        <v>26</v>
      </c>
      <c r="C587" s="113" t="s">
        <v>822</v>
      </c>
      <c r="D587" s="112" t="s">
        <v>808</v>
      </c>
      <c r="E587" s="122">
        <v>1.5590277777777779</v>
      </c>
      <c r="F587" s="112" t="s">
        <v>28</v>
      </c>
      <c r="G587" s="114">
        <v>9</v>
      </c>
      <c r="H587" s="115" t="s">
        <v>81</v>
      </c>
    </row>
    <row r="588" spans="1:8" ht="19.899999999999999" customHeight="1">
      <c r="A588" s="121">
        <v>46034</v>
      </c>
      <c r="B588" s="112" t="s">
        <v>26</v>
      </c>
      <c r="C588" s="113" t="s">
        <v>823</v>
      </c>
      <c r="D588" s="112" t="s">
        <v>808</v>
      </c>
      <c r="E588" s="122">
        <v>1.819444444444444</v>
      </c>
      <c r="F588" s="112" t="s">
        <v>28</v>
      </c>
      <c r="G588" s="114">
        <v>9</v>
      </c>
      <c r="H588" s="115" t="s">
        <v>81</v>
      </c>
    </row>
    <row r="589" spans="1:8" ht="19.899999999999999" customHeight="1">
      <c r="A589" s="121">
        <v>46034</v>
      </c>
      <c r="B589" s="112" t="s">
        <v>26</v>
      </c>
      <c r="C589" s="113" t="s">
        <v>824</v>
      </c>
      <c r="D589" s="112" t="s">
        <v>808</v>
      </c>
      <c r="E589" s="122">
        <v>1.506944444444444</v>
      </c>
      <c r="F589" s="112" t="s">
        <v>28</v>
      </c>
      <c r="G589" s="114">
        <v>9</v>
      </c>
      <c r="H589" s="115" t="s">
        <v>81</v>
      </c>
    </row>
    <row r="590" spans="1:8" ht="19.899999999999999" customHeight="1">
      <c r="A590" s="121">
        <v>46034</v>
      </c>
      <c r="B590" s="112" t="s">
        <v>26</v>
      </c>
      <c r="C590" s="113" t="s">
        <v>825</v>
      </c>
      <c r="D590" s="112" t="s">
        <v>808</v>
      </c>
      <c r="E590" s="122">
        <v>1.697916666666667</v>
      </c>
      <c r="F590" s="112" t="s">
        <v>28</v>
      </c>
      <c r="G590" s="114">
        <v>9</v>
      </c>
      <c r="H590" s="115" t="s">
        <v>81</v>
      </c>
    </row>
    <row r="591" spans="1:8" ht="19.899999999999999" customHeight="1">
      <c r="A591" s="121">
        <v>46034</v>
      </c>
      <c r="B591" s="112" t="s">
        <v>48</v>
      </c>
      <c r="C591" s="113" t="s">
        <v>833</v>
      </c>
      <c r="D591" s="112" t="s">
        <v>808</v>
      </c>
      <c r="E591" s="122">
        <v>1.444444444444444</v>
      </c>
      <c r="F591" s="112" t="s">
        <v>50</v>
      </c>
      <c r="G591" s="114">
        <v>9</v>
      </c>
      <c r="H591" s="115" t="s">
        <v>873</v>
      </c>
    </row>
    <row r="592" spans="1:8" ht="19.899999999999999" customHeight="1">
      <c r="A592" s="121">
        <v>46034</v>
      </c>
      <c r="B592" s="112" t="s">
        <v>48</v>
      </c>
      <c r="C592" s="113" t="s">
        <v>828</v>
      </c>
      <c r="D592" s="112" t="s">
        <v>808</v>
      </c>
      <c r="E592" s="122">
        <v>1.8298611111111109</v>
      </c>
      <c r="F592" s="112" t="s">
        <v>50</v>
      </c>
      <c r="G592" s="114">
        <v>9</v>
      </c>
      <c r="H592" s="115" t="s">
        <v>873</v>
      </c>
    </row>
    <row r="593" spans="1:8" ht="19.899999999999999" customHeight="1">
      <c r="A593" s="121">
        <v>46034</v>
      </c>
      <c r="B593" s="112" t="s">
        <v>48</v>
      </c>
      <c r="C593" s="113" t="s">
        <v>884</v>
      </c>
      <c r="D593" s="112" t="s">
        <v>808</v>
      </c>
      <c r="E593" s="122">
        <v>1.208333333333333</v>
      </c>
      <c r="F593" s="112" t="s">
        <v>50</v>
      </c>
      <c r="G593" s="114">
        <v>9</v>
      </c>
      <c r="H593" s="115" t="s">
        <v>873</v>
      </c>
    </row>
    <row r="594" spans="1:8" ht="19.899999999999999" customHeight="1">
      <c r="A594" s="121">
        <v>46034</v>
      </c>
      <c r="B594" s="112" t="s">
        <v>48</v>
      </c>
      <c r="C594" s="113" t="s">
        <v>831</v>
      </c>
      <c r="D594" s="112" t="s">
        <v>808</v>
      </c>
      <c r="E594" s="122">
        <v>1.9826388888888891</v>
      </c>
      <c r="F594" s="112" t="s">
        <v>50</v>
      </c>
      <c r="G594" s="114">
        <v>9</v>
      </c>
      <c r="H594" s="115" t="s">
        <v>873</v>
      </c>
    </row>
    <row r="595" spans="1:8" ht="19.899999999999999" customHeight="1">
      <c r="A595" s="121">
        <v>46034</v>
      </c>
      <c r="B595" s="112" t="s">
        <v>48</v>
      </c>
      <c r="C595" s="113" t="s">
        <v>832</v>
      </c>
      <c r="D595" s="112" t="s">
        <v>808</v>
      </c>
      <c r="E595" s="122">
        <v>1.6284722222222221</v>
      </c>
      <c r="F595" s="112" t="s">
        <v>50</v>
      </c>
      <c r="G595" s="114">
        <v>9</v>
      </c>
      <c r="H595" s="115" t="s">
        <v>873</v>
      </c>
    </row>
    <row r="596" spans="1:8" ht="19.899999999999999" customHeight="1">
      <c r="A596" s="121">
        <v>46034</v>
      </c>
      <c r="B596" s="112" t="s">
        <v>38</v>
      </c>
      <c r="C596" s="113" t="s">
        <v>809</v>
      </c>
      <c r="D596" s="112" t="s">
        <v>808</v>
      </c>
      <c r="E596" s="122">
        <v>1.5763888888888891</v>
      </c>
      <c r="F596" s="112" t="s">
        <v>43</v>
      </c>
      <c r="G596" s="114">
        <v>15</v>
      </c>
      <c r="H596" s="115" t="s">
        <v>121</v>
      </c>
    </row>
    <row r="597" spans="1:8" ht="19.899999999999999" customHeight="1">
      <c r="A597" s="121">
        <v>46034</v>
      </c>
      <c r="B597" s="112" t="s">
        <v>38</v>
      </c>
      <c r="C597" s="113" t="s">
        <v>812</v>
      </c>
      <c r="D597" s="112" t="s">
        <v>808</v>
      </c>
      <c r="E597" s="122">
        <v>1.8888888888888891</v>
      </c>
      <c r="F597" s="112" t="s">
        <v>43</v>
      </c>
      <c r="G597" s="114">
        <v>10</v>
      </c>
      <c r="H597" s="115" t="s">
        <v>121</v>
      </c>
    </row>
    <row r="598" spans="1:8" ht="19.899999999999999" customHeight="1">
      <c r="A598" s="121">
        <v>46034</v>
      </c>
      <c r="B598" s="112" t="s">
        <v>38</v>
      </c>
      <c r="C598" s="113" t="s">
        <v>813</v>
      </c>
      <c r="D598" s="112" t="s">
        <v>808</v>
      </c>
      <c r="E598" s="122">
        <v>1.944444444444444</v>
      </c>
      <c r="F598" s="112" t="s">
        <v>43</v>
      </c>
      <c r="G598" s="114">
        <v>19</v>
      </c>
      <c r="H598" s="115" t="s">
        <v>121</v>
      </c>
    </row>
    <row r="599" spans="1:8" ht="19.899999999999999" customHeight="1">
      <c r="A599" s="121">
        <v>46034</v>
      </c>
      <c r="B599" s="112" t="s">
        <v>26</v>
      </c>
      <c r="C599" s="113" t="s">
        <v>820</v>
      </c>
      <c r="D599" s="112" t="s">
        <v>808</v>
      </c>
      <c r="E599" s="122">
        <v>1.4375</v>
      </c>
      <c r="F599" s="112" t="s">
        <v>31</v>
      </c>
      <c r="G599" s="114">
        <v>9</v>
      </c>
      <c r="H599" s="115" t="s">
        <v>83</v>
      </c>
    </row>
    <row r="600" spans="1:8" ht="19.899999999999999" customHeight="1">
      <c r="A600" s="121">
        <v>46034</v>
      </c>
      <c r="B600" s="112" t="s">
        <v>26</v>
      </c>
      <c r="C600" s="113" t="s">
        <v>826</v>
      </c>
      <c r="D600" s="112" t="s">
        <v>808</v>
      </c>
      <c r="E600" s="122">
        <v>1.958333333333333</v>
      </c>
      <c r="F600" s="112" t="s">
        <v>31</v>
      </c>
      <c r="G600" s="114">
        <v>9</v>
      </c>
      <c r="H600" s="115" t="s">
        <v>83</v>
      </c>
    </row>
    <row r="601" spans="1:8" ht="19.899999999999999" customHeight="1">
      <c r="A601" s="121">
        <v>46034</v>
      </c>
      <c r="B601" s="112" t="s">
        <v>26</v>
      </c>
      <c r="C601" s="113" t="s">
        <v>821</v>
      </c>
      <c r="D601" s="112" t="s">
        <v>808</v>
      </c>
      <c r="E601" s="122">
        <v>1.631944444444444</v>
      </c>
      <c r="F601" s="112" t="s">
        <v>31</v>
      </c>
      <c r="G601" s="114">
        <v>9</v>
      </c>
      <c r="H601" s="115" t="s">
        <v>83</v>
      </c>
    </row>
    <row r="602" spans="1:8" ht="19.899999999999999" customHeight="1">
      <c r="A602" s="121">
        <v>46034</v>
      </c>
      <c r="B602" s="112" t="s">
        <v>26</v>
      </c>
      <c r="C602" s="113" t="s">
        <v>822</v>
      </c>
      <c r="D602" s="112" t="s">
        <v>808</v>
      </c>
      <c r="E602" s="122">
        <v>1.5590277777777779</v>
      </c>
      <c r="F602" s="112" t="s">
        <v>31</v>
      </c>
      <c r="G602" s="114">
        <v>9</v>
      </c>
      <c r="H602" s="115" t="s">
        <v>83</v>
      </c>
    </row>
    <row r="603" spans="1:8" ht="19.899999999999999" customHeight="1">
      <c r="A603" s="121">
        <v>46034</v>
      </c>
      <c r="B603" s="112" t="s">
        <v>26</v>
      </c>
      <c r="C603" s="113" t="s">
        <v>823</v>
      </c>
      <c r="D603" s="112" t="s">
        <v>808</v>
      </c>
      <c r="E603" s="122">
        <v>1.819444444444444</v>
      </c>
      <c r="F603" s="112" t="s">
        <v>31</v>
      </c>
      <c r="G603" s="114">
        <v>9</v>
      </c>
      <c r="H603" s="115" t="s">
        <v>83</v>
      </c>
    </row>
    <row r="604" spans="1:8" ht="19.899999999999999" customHeight="1">
      <c r="A604" s="121">
        <v>46034</v>
      </c>
      <c r="B604" s="112" t="s">
        <v>26</v>
      </c>
      <c r="C604" s="113" t="s">
        <v>824</v>
      </c>
      <c r="D604" s="112" t="s">
        <v>808</v>
      </c>
      <c r="E604" s="122">
        <v>1.506944444444444</v>
      </c>
      <c r="F604" s="112" t="s">
        <v>31</v>
      </c>
      <c r="G604" s="114">
        <v>9</v>
      </c>
      <c r="H604" s="115" t="s">
        <v>83</v>
      </c>
    </row>
    <row r="605" spans="1:8" ht="19.899999999999999" customHeight="1">
      <c r="A605" s="121">
        <v>46034</v>
      </c>
      <c r="B605" s="112" t="s">
        <v>26</v>
      </c>
      <c r="C605" s="113" t="s">
        <v>825</v>
      </c>
      <c r="D605" s="112" t="s">
        <v>808</v>
      </c>
      <c r="E605" s="122">
        <v>1.697916666666667</v>
      </c>
      <c r="F605" s="112" t="s">
        <v>31</v>
      </c>
      <c r="G605" s="114">
        <v>9</v>
      </c>
      <c r="H605" s="115" t="s">
        <v>83</v>
      </c>
    </row>
    <row r="606" spans="1:8" ht="19.899999999999999" customHeight="1">
      <c r="A606" s="121">
        <v>46034</v>
      </c>
      <c r="B606" s="112" t="s">
        <v>38</v>
      </c>
      <c r="C606" s="113" t="s">
        <v>811</v>
      </c>
      <c r="D606" s="112" t="s">
        <v>808</v>
      </c>
      <c r="E606" s="122">
        <v>1.6284722222222221</v>
      </c>
      <c r="F606" s="112" t="s">
        <v>43</v>
      </c>
      <c r="G606" s="114">
        <v>15</v>
      </c>
      <c r="H606" s="115" t="s">
        <v>349</v>
      </c>
    </row>
    <row r="607" spans="1:8" ht="19.899999999999999" customHeight="1">
      <c r="A607" s="121">
        <v>46034</v>
      </c>
      <c r="B607" s="112" t="s">
        <v>68</v>
      </c>
      <c r="C607" s="113" t="s">
        <v>843</v>
      </c>
      <c r="D607" s="112" t="s">
        <v>808</v>
      </c>
      <c r="E607" s="122">
        <v>1.354166666666667</v>
      </c>
      <c r="F607" s="112" t="s">
        <v>70</v>
      </c>
      <c r="G607" s="114">
        <v>9</v>
      </c>
      <c r="H607" s="115" t="s">
        <v>404</v>
      </c>
    </row>
    <row r="608" spans="1:8" ht="19.899999999999999" customHeight="1">
      <c r="A608" s="121">
        <v>46034</v>
      </c>
      <c r="B608" s="112" t="s">
        <v>68</v>
      </c>
      <c r="C608" s="113" t="s">
        <v>844</v>
      </c>
      <c r="D608" s="112" t="s">
        <v>808</v>
      </c>
      <c r="E608" s="122">
        <v>1.729166666666667</v>
      </c>
      <c r="F608" s="112" t="s">
        <v>70</v>
      </c>
      <c r="G608" s="114">
        <v>9</v>
      </c>
      <c r="H608" s="115" t="s">
        <v>892</v>
      </c>
    </row>
    <row r="609" spans="1:8" ht="19.899999999999999" customHeight="1">
      <c r="A609" s="121">
        <v>46034</v>
      </c>
      <c r="B609" s="112" t="s">
        <v>48</v>
      </c>
      <c r="C609" s="113" t="s">
        <v>833</v>
      </c>
      <c r="D609" s="112" t="s">
        <v>808</v>
      </c>
      <c r="E609" s="122">
        <v>1.444444444444444</v>
      </c>
      <c r="F609" s="112" t="s">
        <v>53</v>
      </c>
      <c r="G609" s="114">
        <v>9</v>
      </c>
      <c r="H609" s="115" t="s">
        <v>874</v>
      </c>
    </row>
    <row r="610" spans="1:8" ht="19.899999999999999" customHeight="1">
      <c r="A610" s="121">
        <v>46034</v>
      </c>
      <c r="B610" s="112" t="s">
        <v>48</v>
      </c>
      <c r="C610" s="113" t="s">
        <v>828</v>
      </c>
      <c r="D610" s="112" t="s">
        <v>808</v>
      </c>
      <c r="E610" s="122">
        <v>1.8298611111111109</v>
      </c>
      <c r="F610" s="112" t="s">
        <v>53</v>
      </c>
      <c r="G610" s="114">
        <v>9</v>
      </c>
      <c r="H610" s="115" t="s">
        <v>874</v>
      </c>
    </row>
    <row r="611" spans="1:8" ht="19.899999999999999" customHeight="1">
      <c r="A611" s="121">
        <v>46034</v>
      </c>
      <c r="B611" s="112" t="s">
        <v>48</v>
      </c>
      <c r="C611" s="113" t="s">
        <v>884</v>
      </c>
      <c r="D611" s="112" t="s">
        <v>808</v>
      </c>
      <c r="E611" s="122">
        <v>1.208333333333333</v>
      </c>
      <c r="F611" s="112" t="s">
        <v>53</v>
      </c>
      <c r="G611" s="114">
        <v>9</v>
      </c>
      <c r="H611" s="115" t="s">
        <v>874</v>
      </c>
    </row>
    <row r="612" spans="1:8" ht="19.899999999999999" customHeight="1">
      <c r="A612" s="121">
        <v>46034</v>
      </c>
      <c r="B612" s="112" t="s">
        <v>48</v>
      </c>
      <c r="C612" s="113" t="s">
        <v>831</v>
      </c>
      <c r="D612" s="112" t="s">
        <v>808</v>
      </c>
      <c r="E612" s="122">
        <v>1.9826388888888891</v>
      </c>
      <c r="F612" s="112" t="s">
        <v>53</v>
      </c>
      <c r="G612" s="114">
        <v>9</v>
      </c>
      <c r="H612" s="115" t="s">
        <v>874</v>
      </c>
    </row>
    <row r="613" spans="1:8" ht="19.899999999999999" customHeight="1">
      <c r="A613" s="121">
        <v>46034</v>
      </c>
      <c r="B613" s="112" t="s">
        <v>48</v>
      </c>
      <c r="C613" s="113" t="s">
        <v>832</v>
      </c>
      <c r="D613" s="112" t="s">
        <v>808</v>
      </c>
      <c r="E613" s="122">
        <v>1.6284722222222221</v>
      </c>
      <c r="F613" s="112" t="s">
        <v>53</v>
      </c>
      <c r="G613" s="114">
        <v>9</v>
      </c>
      <c r="H613" s="115" t="s">
        <v>874</v>
      </c>
    </row>
    <row r="614" spans="1:8" ht="19.899999999999999" customHeight="1">
      <c r="A614" s="121">
        <v>46034</v>
      </c>
      <c r="B614" s="112" t="s">
        <v>359</v>
      </c>
      <c r="C614" s="113" t="s">
        <v>814</v>
      </c>
      <c r="D614" s="112" t="s">
        <v>808</v>
      </c>
      <c r="E614" s="122">
        <v>1.3298611111111109</v>
      </c>
      <c r="F614" s="112" t="s">
        <v>46</v>
      </c>
      <c r="G614" s="114">
        <v>9</v>
      </c>
      <c r="H614" s="115" t="s">
        <v>886</v>
      </c>
    </row>
    <row r="615" spans="1:8" ht="19.899999999999999" customHeight="1">
      <c r="A615" s="121">
        <v>46034</v>
      </c>
      <c r="B615" s="112" t="s">
        <v>26</v>
      </c>
      <c r="C615" s="113" t="s">
        <v>820</v>
      </c>
      <c r="D615" s="112" t="s">
        <v>808</v>
      </c>
      <c r="E615" s="122">
        <v>1.4375</v>
      </c>
      <c r="F615" s="112" t="s">
        <v>34</v>
      </c>
      <c r="G615" s="114">
        <v>9</v>
      </c>
      <c r="H615" s="115" t="s">
        <v>45</v>
      </c>
    </row>
    <row r="616" spans="1:8" ht="19.899999999999999" customHeight="1">
      <c r="A616" s="121">
        <v>46034</v>
      </c>
      <c r="B616" s="112" t="s">
        <v>26</v>
      </c>
      <c r="C616" s="113" t="s">
        <v>826</v>
      </c>
      <c r="D616" s="112" t="s">
        <v>808</v>
      </c>
      <c r="E616" s="122">
        <v>1.958333333333333</v>
      </c>
      <c r="F616" s="112" t="s">
        <v>34</v>
      </c>
      <c r="G616" s="114">
        <v>9</v>
      </c>
      <c r="H616" s="115" t="s">
        <v>45</v>
      </c>
    </row>
    <row r="617" spans="1:8" ht="19.899999999999999" customHeight="1">
      <c r="A617" s="121">
        <v>46034</v>
      </c>
      <c r="B617" s="112" t="s">
        <v>26</v>
      </c>
      <c r="C617" s="113" t="s">
        <v>821</v>
      </c>
      <c r="D617" s="112" t="s">
        <v>808</v>
      </c>
      <c r="E617" s="122">
        <v>1.631944444444444</v>
      </c>
      <c r="F617" s="112" t="s">
        <v>34</v>
      </c>
      <c r="G617" s="114">
        <v>9</v>
      </c>
      <c r="H617" s="115" t="s">
        <v>45</v>
      </c>
    </row>
    <row r="618" spans="1:8" ht="19.899999999999999" customHeight="1">
      <c r="A618" s="121">
        <v>46034</v>
      </c>
      <c r="B618" s="112" t="s">
        <v>26</v>
      </c>
      <c r="C618" s="113" t="s">
        <v>822</v>
      </c>
      <c r="D618" s="112" t="s">
        <v>808</v>
      </c>
      <c r="E618" s="122">
        <v>1.5590277777777779</v>
      </c>
      <c r="F618" s="112" t="s">
        <v>34</v>
      </c>
      <c r="G618" s="114">
        <v>9</v>
      </c>
      <c r="H618" s="115" t="s">
        <v>45</v>
      </c>
    </row>
    <row r="619" spans="1:8" ht="19.899999999999999" customHeight="1">
      <c r="A619" s="121">
        <v>46034</v>
      </c>
      <c r="B619" s="112" t="s">
        <v>26</v>
      </c>
      <c r="C619" s="113" t="s">
        <v>823</v>
      </c>
      <c r="D619" s="112" t="s">
        <v>808</v>
      </c>
      <c r="E619" s="122">
        <v>1.819444444444444</v>
      </c>
      <c r="F619" s="112" t="s">
        <v>34</v>
      </c>
      <c r="G619" s="114">
        <v>9</v>
      </c>
      <c r="H619" s="115" t="s">
        <v>45</v>
      </c>
    </row>
    <row r="620" spans="1:8" ht="19.899999999999999" customHeight="1">
      <c r="A620" s="121">
        <v>46034</v>
      </c>
      <c r="B620" s="112" t="s">
        <v>26</v>
      </c>
      <c r="C620" s="113" t="s">
        <v>824</v>
      </c>
      <c r="D620" s="112" t="s">
        <v>808</v>
      </c>
      <c r="E620" s="122">
        <v>1.506944444444444</v>
      </c>
      <c r="F620" s="112" t="s">
        <v>34</v>
      </c>
      <c r="G620" s="114">
        <v>9</v>
      </c>
      <c r="H620" s="115" t="s">
        <v>45</v>
      </c>
    </row>
    <row r="621" spans="1:8" ht="19.899999999999999" customHeight="1">
      <c r="A621" s="121">
        <v>46034</v>
      </c>
      <c r="B621" s="112" t="s">
        <v>26</v>
      </c>
      <c r="C621" s="113" t="s">
        <v>825</v>
      </c>
      <c r="D621" s="112" t="s">
        <v>808</v>
      </c>
      <c r="E621" s="122">
        <v>1.697916666666667</v>
      </c>
      <c r="F621" s="112" t="s">
        <v>34</v>
      </c>
      <c r="G621" s="114">
        <v>9</v>
      </c>
      <c r="H621" s="115" t="s">
        <v>45</v>
      </c>
    </row>
    <row r="622" spans="1:8" ht="19.899999999999999" customHeight="1">
      <c r="A622" s="121">
        <v>46034</v>
      </c>
      <c r="B622" s="112" t="s">
        <v>402</v>
      </c>
      <c r="C622" s="113" t="s">
        <v>839</v>
      </c>
      <c r="D622" s="112" t="s">
        <v>808</v>
      </c>
      <c r="E622" s="122">
        <v>1.1701388888888891</v>
      </c>
      <c r="F622" s="112" t="s">
        <v>63</v>
      </c>
      <c r="G622" s="114">
        <v>6</v>
      </c>
      <c r="H622" s="115" t="s">
        <v>881</v>
      </c>
    </row>
    <row r="623" spans="1:8" ht="19.899999999999999" customHeight="1">
      <c r="A623" s="121">
        <v>46034</v>
      </c>
      <c r="B623" s="112" t="s">
        <v>402</v>
      </c>
      <c r="C623" s="113" t="s">
        <v>841</v>
      </c>
      <c r="D623" s="112" t="s">
        <v>808</v>
      </c>
      <c r="E623" s="122">
        <v>1.552083333333333</v>
      </c>
      <c r="F623" s="112" t="s">
        <v>63</v>
      </c>
      <c r="G623" s="114">
        <v>7</v>
      </c>
      <c r="H623" s="115" t="s">
        <v>881</v>
      </c>
    </row>
    <row r="624" spans="1:8" ht="19.899999999999999" customHeight="1">
      <c r="A624" s="121">
        <v>46034</v>
      </c>
      <c r="B624" s="112" t="s">
        <v>38</v>
      </c>
      <c r="C624" s="113" t="s">
        <v>809</v>
      </c>
      <c r="D624" s="112" t="s">
        <v>808</v>
      </c>
      <c r="E624" s="122">
        <v>1.5763888888888891</v>
      </c>
      <c r="F624" s="112" t="s">
        <v>46</v>
      </c>
      <c r="G624" s="114">
        <v>15</v>
      </c>
      <c r="H624" s="115" t="s">
        <v>810</v>
      </c>
    </row>
    <row r="625" spans="1:8" ht="19.899999999999999" customHeight="1">
      <c r="A625" s="121">
        <v>46034</v>
      </c>
      <c r="B625" s="112" t="s">
        <v>38</v>
      </c>
      <c r="C625" s="113" t="s">
        <v>811</v>
      </c>
      <c r="D625" s="112" t="s">
        <v>808</v>
      </c>
      <c r="E625" s="122">
        <v>1.6284722222222221</v>
      </c>
      <c r="F625" s="112" t="s">
        <v>46</v>
      </c>
      <c r="G625" s="114">
        <v>15</v>
      </c>
      <c r="H625" s="115" t="s">
        <v>810</v>
      </c>
    </row>
    <row r="626" spans="1:8" ht="19.899999999999999" customHeight="1">
      <c r="A626" s="121">
        <v>46034</v>
      </c>
      <c r="B626" s="112" t="s">
        <v>38</v>
      </c>
      <c r="C626" s="113" t="s">
        <v>812</v>
      </c>
      <c r="D626" s="112" t="s">
        <v>808</v>
      </c>
      <c r="E626" s="122">
        <v>1.8888888888888891</v>
      </c>
      <c r="F626" s="112" t="s">
        <v>46</v>
      </c>
      <c r="G626" s="114">
        <v>10</v>
      </c>
      <c r="H626" s="115" t="s">
        <v>810</v>
      </c>
    </row>
    <row r="627" spans="1:8" ht="19.899999999999999" customHeight="1">
      <c r="A627" s="121">
        <v>46034</v>
      </c>
      <c r="B627" s="112" t="s">
        <v>38</v>
      </c>
      <c r="C627" s="113" t="s">
        <v>813</v>
      </c>
      <c r="D627" s="112" t="s">
        <v>808</v>
      </c>
      <c r="E627" s="122">
        <v>1.944444444444444</v>
      </c>
      <c r="F627" s="112" t="s">
        <v>46</v>
      </c>
      <c r="G627" s="114">
        <v>19</v>
      </c>
      <c r="H627" s="115" t="s">
        <v>810</v>
      </c>
    </row>
    <row r="628" spans="1:8" ht="19.899999999999999" customHeight="1">
      <c r="A628" s="121">
        <v>46034</v>
      </c>
      <c r="B628" s="112" t="s">
        <v>48</v>
      </c>
      <c r="C628" s="113" t="s">
        <v>835</v>
      </c>
      <c r="D628" s="112" t="s">
        <v>808</v>
      </c>
      <c r="E628" s="122">
        <v>1.8888888888888891</v>
      </c>
      <c r="F628" s="112" t="s">
        <v>53</v>
      </c>
      <c r="G628" s="114">
        <v>4</v>
      </c>
      <c r="H628" s="115" t="s">
        <v>836</v>
      </c>
    </row>
    <row r="629" spans="1:8" ht="19.899999999999999" customHeight="1">
      <c r="A629" s="121">
        <v>46034</v>
      </c>
      <c r="B629" s="112" t="s">
        <v>48</v>
      </c>
      <c r="C629" s="113" t="s">
        <v>837</v>
      </c>
      <c r="D629" s="112" t="s">
        <v>808</v>
      </c>
      <c r="E629" s="122">
        <v>1.6284722222222221</v>
      </c>
      <c r="F629" s="112" t="s">
        <v>53</v>
      </c>
      <c r="G629" s="114">
        <v>4</v>
      </c>
      <c r="H629" s="115" t="s">
        <v>836</v>
      </c>
    </row>
    <row r="630" spans="1:8" ht="19.899999999999999" customHeight="1">
      <c r="A630" s="123">
        <v>46034</v>
      </c>
      <c r="B630" s="124" t="s">
        <v>48</v>
      </c>
      <c r="C630" s="125" t="s">
        <v>838</v>
      </c>
      <c r="D630" s="124" t="s">
        <v>808</v>
      </c>
      <c r="E630" s="126">
        <v>1.944444444444444</v>
      </c>
      <c r="F630" s="124" t="s">
        <v>53</v>
      </c>
      <c r="G630" s="127">
        <v>4</v>
      </c>
      <c r="H630" s="128" t="s">
        <v>836</v>
      </c>
    </row>
    <row r="631" spans="1:8" ht="19.899999999999999" customHeight="1">
      <c r="A631" s="121">
        <v>46035</v>
      </c>
      <c r="B631" s="112" t="s">
        <v>38</v>
      </c>
      <c r="C631" s="113" t="s">
        <v>809</v>
      </c>
      <c r="D631" s="112" t="s">
        <v>808</v>
      </c>
      <c r="E631" s="122">
        <v>1.5763888888888891</v>
      </c>
      <c r="F631" s="112" t="s">
        <v>40</v>
      </c>
      <c r="G631" s="114">
        <v>16</v>
      </c>
      <c r="H631" s="115" t="s">
        <v>475</v>
      </c>
    </row>
    <row r="632" spans="1:8" ht="19.899999999999999" customHeight="1">
      <c r="A632" s="121">
        <v>46035</v>
      </c>
      <c r="B632" s="112" t="s">
        <v>38</v>
      </c>
      <c r="C632" s="113" t="s">
        <v>811</v>
      </c>
      <c r="D632" s="112" t="s">
        <v>808</v>
      </c>
      <c r="E632" s="122">
        <v>1.6284722222222221</v>
      </c>
      <c r="F632" s="112" t="s">
        <v>40</v>
      </c>
      <c r="G632" s="114">
        <v>16</v>
      </c>
      <c r="H632" s="115" t="s">
        <v>475</v>
      </c>
    </row>
    <row r="633" spans="1:8" ht="19.899999999999999" customHeight="1">
      <c r="A633" s="121">
        <v>46035</v>
      </c>
      <c r="B633" s="112" t="s">
        <v>38</v>
      </c>
      <c r="C633" s="113" t="s">
        <v>813</v>
      </c>
      <c r="D633" s="112" t="s">
        <v>808</v>
      </c>
      <c r="E633" s="122">
        <v>1.944444444444444</v>
      </c>
      <c r="F633" s="112" t="s">
        <v>40</v>
      </c>
      <c r="G633" s="114">
        <v>19</v>
      </c>
      <c r="H633" s="115" t="s">
        <v>475</v>
      </c>
    </row>
    <row r="634" spans="1:8" ht="19.899999999999999" customHeight="1">
      <c r="A634" s="121">
        <v>46035</v>
      </c>
      <c r="B634" s="112" t="s">
        <v>359</v>
      </c>
      <c r="C634" s="113" t="s">
        <v>887</v>
      </c>
      <c r="D634" s="112" t="s">
        <v>808</v>
      </c>
      <c r="E634" s="122">
        <v>1.052083333333333</v>
      </c>
      <c r="F634" s="112" t="s">
        <v>361</v>
      </c>
      <c r="G634" s="114">
        <v>9</v>
      </c>
      <c r="H634" s="115" t="s">
        <v>883</v>
      </c>
    </row>
    <row r="635" spans="1:8" ht="19.899999999999999" customHeight="1">
      <c r="A635" s="121">
        <v>46035</v>
      </c>
      <c r="B635" s="112" t="s">
        <v>38</v>
      </c>
      <c r="C635" s="113" t="s">
        <v>812</v>
      </c>
      <c r="D635" s="112" t="s">
        <v>808</v>
      </c>
      <c r="E635" s="122">
        <v>1.8888888888888891</v>
      </c>
      <c r="F635" s="112" t="s">
        <v>40</v>
      </c>
      <c r="G635" s="114">
        <v>46</v>
      </c>
      <c r="H635" s="115" t="s">
        <v>872</v>
      </c>
    </row>
    <row r="636" spans="1:8" ht="19.899999999999999" customHeight="1">
      <c r="A636" s="121">
        <v>46035</v>
      </c>
      <c r="B636" s="112" t="s">
        <v>359</v>
      </c>
      <c r="C636" s="113" t="s">
        <v>814</v>
      </c>
      <c r="D636" s="112" t="s">
        <v>808</v>
      </c>
      <c r="E636" s="122">
        <v>1.4375</v>
      </c>
      <c r="F636" s="112" t="s">
        <v>361</v>
      </c>
      <c r="G636" s="114">
        <v>9</v>
      </c>
      <c r="H636" s="115" t="s">
        <v>815</v>
      </c>
    </row>
    <row r="637" spans="1:8" ht="19.899999999999999" customHeight="1">
      <c r="A637" s="121">
        <v>46035</v>
      </c>
      <c r="B637" s="112" t="s">
        <v>68</v>
      </c>
      <c r="C637" s="113" t="s">
        <v>842</v>
      </c>
      <c r="D637" s="112" t="s">
        <v>808</v>
      </c>
      <c r="E637" s="122">
        <v>1.9826388888888891</v>
      </c>
      <c r="F637" s="112" t="s">
        <v>643</v>
      </c>
      <c r="G637" s="114">
        <v>9</v>
      </c>
      <c r="H637" s="115" t="s">
        <v>891</v>
      </c>
    </row>
    <row r="638" spans="1:8" ht="19.899999999999999" customHeight="1">
      <c r="A638" s="121">
        <v>46035</v>
      </c>
      <c r="B638" s="112" t="s">
        <v>68</v>
      </c>
      <c r="C638" s="113" t="s">
        <v>844</v>
      </c>
      <c r="D638" s="112" t="s">
        <v>808</v>
      </c>
      <c r="E638" s="122">
        <v>1.729166666666667</v>
      </c>
      <c r="F638" s="112" t="s">
        <v>643</v>
      </c>
      <c r="G638" s="114">
        <v>8</v>
      </c>
      <c r="H638" s="115" t="s">
        <v>888</v>
      </c>
    </row>
    <row r="639" spans="1:8" ht="19.899999999999999" customHeight="1">
      <c r="A639" s="129">
        <v>46035</v>
      </c>
      <c r="B639" s="117" t="s">
        <v>61</v>
      </c>
      <c r="C639" s="118" t="s">
        <v>852</v>
      </c>
      <c r="D639" s="117" t="s">
        <v>808</v>
      </c>
      <c r="E639" s="130">
        <v>1.7152777777777779</v>
      </c>
      <c r="F639" s="117" t="s">
        <v>63</v>
      </c>
      <c r="G639" s="119">
        <v>9</v>
      </c>
      <c r="H639" s="120" t="s">
        <v>817</v>
      </c>
    </row>
    <row r="640" spans="1:8" ht="19.899999999999999" customHeight="1">
      <c r="A640" s="121">
        <v>46035</v>
      </c>
      <c r="B640" s="112" t="s">
        <v>26</v>
      </c>
      <c r="C640" s="113" t="s">
        <v>820</v>
      </c>
      <c r="D640" s="112" t="s">
        <v>808</v>
      </c>
      <c r="E640" s="122">
        <v>1.4375</v>
      </c>
      <c r="F640" s="112" t="s">
        <v>28</v>
      </c>
      <c r="G640" s="114">
        <v>9</v>
      </c>
      <c r="H640" s="115" t="s">
        <v>81</v>
      </c>
    </row>
    <row r="641" spans="1:8" ht="19.899999999999999" customHeight="1">
      <c r="A641" s="121">
        <v>46035</v>
      </c>
      <c r="B641" s="112" t="s">
        <v>26</v>
      </c>
      <c r="C641" s="113" t="s">
        <v>826</v>
      </c>
      <c r="D641" s="112" t="s">
        <v>808</v>
      </c>
      <c r="E641" s="122">
        <v>1.958333333333333</v>
      </c>
      <c r="F641" s="112" t="s">
        <v>28</v>
      </c>
      <c r="G641" s="114">
        <v>9</v>
      </c>
      <c r="H641" s="115" t="s">
        <v>81</v>
      </c>
    </row>
    <row r="642" spans="1:8" ht="19.899999999999999" customHeight="1">
      <c r="A642" s="121">
        <v>46035</v>
      </c>
      <c r="B642" s="112" t="s">
        <v>26</v>
      </c>
      <c r="C642" s="113" t="s">
        <v>821</v>
      </c>
      <c r="D642" s="112" t="s">
        <v>808</v>
      </c>
      <c r="E642" s="122">
        <v>1.631944444444444</v>
      </c>
      <c r="F642" s="112" t="s">
        <v>28</v>
      </c>
      <c r="G642" s="114">
        <v>9</v>
      </c>
      <c r="H642" s="115" t="s">
        <v>81</v>
      </c>
    </row>
    <row r="643" spans="1:8" ht="19.899999999999999" customHeight="1">
      <c r="A643" s="121">
        <v>46035</v>
      </c>
      <c r="B643" s="112" t="s">
        <v>26</v>
      </c>
      <c r="C643" s="113" t="s">
        <v>822</v>
      </c>
      <c r="D643" s="112" t="s">
        <v>808</v>
      </c>
      <c r="E643" s="122">
        <v>1.5590277777777779</v>
      </c>
      <c r="F643" s="112" t="s">
        <v>28</v>
      </c>
      <c r="G643" s="114">
        <v>9</v>
      </c>
      <c r="H643" s="115" t="s">
        <v>81</v>
      </c>
    </row>
    <row r="644" spans="1:8" ht="19.899999999999999" customHeight="1">
      <c r="A644" s="121">
        <v>46035</v>
      </c>
      <c r="B644" s="112" t="s">
        <v>26</v>
      </c>
      <c r="C644" s="113" t="s">
        <v>823</v>
      </c>
      <c r="D644" s="112" t="s">
        <v>808</v>
      </c>
      <c r="E644" s="122">
        <v>1.819444444444444</v>
      </c>
      <c r="F644" s="112" t="s">
        <v>28</v>
      </c>
      <c r="G644" s="114">
        <v>9</v>
      </c>
      <c r="H644" s="115" t="s">
        <v>81</v>
      </c>
    </row>
    <row r="645" spans="1:8" ht="19.899999999999999" customHeight="1">
      <c r="A645" s="121">
        <v>46035</v>
      </c>
      <c r="B645" s="112" t="s">
        <v>26</v>
      </c>
      <c r="C645" s="113" t="s">
        <v>824</v>
      </c>
      <c r="D645" s="112" t="s">
        <v>808</v>
      </c>
      <c r="E645" s="122">
        <v>1.506944444444444</v>
      </c>
      <c r="F645" s="112" t="s">
        <v>28</v>
      </c>
      <c r="G645" s="114">
        <v>9</v>
      </c>
      <c r="H645" s="115" t="s">
        <v>81</v>
      </c>
    </row>
    <row r="646" spans="1:8" ht="19.899999999999999" customHeight="1">
      <c r="A646" s="121">
        <v>46035</v>
      </c>
      <c r="B646" s="112" t="s">
        <v>26</v>
      </c>
      <c r="C646" s="113" t="s">
        <v>825</v>
      </c>
      <c r="D646" s="112" t="s">
        <v>808</v>
      </c>
      <c r="E646" s="122">
        <v>1.697916666666667</v>
      </c>
      <c r="F646" s="112" t="s">
        <v>28</v>
      </c>
      <c r="G646" s="114">
        <v>9</v>
      </c>
      <c r="H646" s="115" t="s">
        <v>81</v>
      </c>
    </row>
    <row r="647" spans="1:8" ht="19.899999999999999" customHeight="1">
      <c r="A647" s="121">
        <v>46035</v>
      </c>
      <c r="B647" s="112" t="s">
        <v>48</v>
      </c>
      <c r="C647" s="113" t="s">
        <v>833</v>
      </c>
      <c r="D647" s="112" t="s">
        <v>808</v>
      </c>
      <c r="E647" s="122">
        <v>1.444444444444444</v>
      </c>
      <c r="F647" s="112" t="s">
        <v>50</v>
      </c>
      <c r="G647" s="114">
        <v>9</v>
      </c>
      <c r="H647" s="115" t="s">
        <v>873</v>
      </c>
    </row>
    <row r="648" spans="1:8" ht="19.899999999999999" customHeight="1">
      <c r="A648" s="121">
        <v>46035</v>
      </c>
      <c r="B648" s="112" t="s">
        <v>48</v>
      </c>
      <c r="C648" s="113" t="s">
        <v>828</v>
      </c>
      <c r="D648" s="112" t="s">
        <v>808</v>
      </c>
      <c r="E648" s="122">
        <v>1.8298611111111109</v>
      </c>
      <c r="F648" s="112" t="s">
        <v>50</v>
      </c>
      <c r="G648" s="114">
        <v>9</v>
      </c>
      <c r="H648" s="115" t="s">
        <v>873</v>
      </c>
    </row>
    <row r="649" spans="1:8" ht="19.899999999999999" customHeight="1">
      <c r="A649" s="121">
        <v>46035</v>
      </c>
      <c r="B649" s="112" t="s">
        <v>48</v>
      </c>
      <c r="C649" s="113" t="s">
        <v>831</v>
      </c>
      <c r="D649" s="112" t="s">
        <v>808</v>
      </c>
      <c r="E649" s="122">
        <v>1.9826388888888891</v>
      </c>
      <c r="F649" s="112" t="s">
        <v>50</v>
      </c>
      <c r="G649" s="114">
        <v>9</v>
      </c>
      <c r="H649" s="115" t="s">
        <v>873</v>
      </c>
    </row>
    <row r="650" spans="1:8" ht="19.899999999999999" customHeight="1">
      <c r="A650" s="121">
        <v>46035</v>
      </c>
      <c r="B650" s="112" t="s">
        <v>48</v>
      </c>
      <c r="C650" s="113" t="s">
        <v>875</v>
      </c>
      <c r="D650" s="112" t="s">
        <v>808</v>
      </c>
      <c r="E650" s="122">
        <v>1.697916666666667</v>
      </c>
      <c r="F650" s="112" t="s">
        <v>50</v>
      </c>
      <c r="G650" s="114">
        <v>9</v>
      </c>
      <c r="H650" s="115" t="s">
        <v>873</v>
      </c>
    </row>
    <row r="651" spans="1:8" ht="19.899999999999999" customHeight="1">
      <c r="A651" s="121">
        <v>46035</v>
      </c>
      <c r="B651" s="112" t="s">
        <v>48</v>
      </c>
      <c r="C651" s="113" t="s">
        <v>832</v>
      </c>
      <c r="D651" s="112" t="s">
        <v>808</v>
      </c>
      <c r="E651" s="122">
        <v>1.6284722222222221</v>
      </c>
      <c r="F651" s="112" t="s">
        <v>50</v>
      </c>
      <c r="G651" s="114">
        <v>9</v>
      </c>
      <c r="H651" s="115" t="s">
        <v>873</v>
      </c>
    </row>
    <row r="652" spans="1:8" ht="19.899999999999999" customHeight="1">
      <c r="A652" s="121">
        <v>46035</v>
      </c>
      <c r="B652" s="112" t="s">
        <v>38</v>
      </c>
      <c r="C652" s="113" t="s">
        <v>809</v>
      </c>
      <c r="D652" s="112" t="s">
        <v>808</v>
      </c>
      <c r="E652" s="122">
        <v>1.5763888888888891</v>
      </c>
      <c r="F652" s="112" t="s">
        <v>43</v>
      </c>
      <c r="G652" s="114">
        <v>16</v>
      </c>
      <c r="H652" s="115" t="s">
        <v>121</v>
      </c>
    </row>
    <row r="653" spans="1:8" ht="19.899999999999999" customHeight="1">
      <c r="A653" s="121">
        <v>46035</v>
      </c>
      <c r="B653" s="112" t="s">
        <v>38</v>
      </c>
      <c r="C653" s="113" t="s">
        <v>811</v>
      </c>
      <c r="D653" s="112" t="s">
        <v>808</v>
      </c>
      <c r="E653" s="122">
        <v>1.6284722222222221</v>
      </c>
      <c r="F653" s="112" t="s">
        <v>43</v>
      </c>
      <c r="G653" s="114">
        <v>16</v>
      </c>
      <c r="H653" s="115" t="s">
        <v>121</v>
      </c>
    </row>
    <row r="654" spans="1:8" ht="19.899999999999999" customHeight="1">
      <c r="A654" s="121">
        <v>46035</v>
      </c>
      <c r="B654" s="112" t="s">
        <v>38</v>
      </c>
      <c r="C654" s="113" t="s">
        <v>813</v>
      </c>
      <c r="D654" s="112" t="s">
        <v>808</v>
      </c>
      <c r="E654" s="122">
        <v>1.944444444444444</v>
      </c>
      <c r="F654" s="112" t="s">
        <v>43</v>
      </c>
      <c r="G654" s="114">
        <v>19</v>
      </c>
      <c r="H654" s="115" t="s">
        <v>121</v>
      </c>
    </row>
    <row r="655" spans="1:8" ht="19.899999999999999" customHeight="1">
      <c r="A655" s="121">
        <v>46035</v>
      </c>
      <c r="B655" s="112" t="s">
        <v>26</v>
      </c>
      <c r="C655" s="113" t="s">
        <v>820</v>
      </c>
      <c r="D655" s="112" t="s">
        <v>808</v>
      </c>
      <c r="E655" s="122">
        <v>1.4375</v>
      </c>
      <c r="F655" s="112" t="s">
        <v>31</v>
      </c>
      <c r="G655" s="114">
        <v>9</v>
      </c>
      <c r="H655" s="115" t="s">
        <v>83</v>
      </c>
    </row>
    <row r="656" spans="1:8" ht="19.899999999999999" customHeight="1">
      <c r="A656" s="121">
        <v>46035</v>
      </c>
      <c r="B656" s="112" t="s">
        <v>26</v>
      </c>
      <c r="C656" s="113" t="s">
        <v>826</v>
      </c>
      <c r="D656" s="112" t="s">
        <v>808</v>
      </c>
      <c r="E656" s="122">
        <v>1.958333333333333</v>
      </c>
      <c r="F656" s="112" t="s">
        <v>31</v>
      </c>
      <c r="G656" s="114">
        <v>9</v>
      </c>
      <c r="H656" s="115" t="s">
        <v>83</v>
      </c>
    </row>
    <row r="657" spans="1:8" ht="19.899999999999999" customHeight="1">
      <c r="A657" s="121">
        <v>46035</v>
      </c>
      <c r="B657" s="112" t="s">
        <v>26</v>
      </c>
      <c r="C657" s="113" t="s">
        <v>821</v>
      </c>
      <c r="D657" s="112" t="s">
        <v>808</v>
      </c>
      <c r="E657" s="122">
        <v>1.631944444444444</v>
      </c>
      <c r="F657" s="112" t="s">
        <v>31</v>
      </c>
      <c r="G657" s="114">
        <v>9</v>
      </c>
      <c r="H657" s="115" t="s">
        <v>83</v>
      </c>
    </row>
    <row r="658" spans="1:8" ht="19.899999999999999" customHeight="1">
      <c r="A658" s="121">
        <v>46035</v>
      </c>
      <c r="B658" s="112" t="s">
        <v>26</v>
      </c>
      <c r="C658" s="113" t="s">
        <v>822</v>
      </c>
      <c r="D658" s="112" t="s">
        <v>808</v>
      </c>
      <c r="E658" s="122">
        <v>1.5590277777777779</v>
      </c>
      <c r="F658" s="112" t="s">
        <v>31</v>
      </c>
      <c r="G658" s="114">
        <v>9</v>
      </c>
      <c r="H658" s="115" t="s">
        <v>83</v>
      </c>
    </row>
    <row r="659" spans="1:8" ht="19.899999999999999" customHeight="1">
      <c r="A659" s="121">
        <v>46035</v>
      </c>
      <c r="B659" s="112" t="s">
        <v>26</v>
      </c>
      <c r="C659" s="113" t="s">
        <v>823</v>
      </c>
      <c r="D659" s="112" t="s">
        <v>808</v>
      </c>
      <c r="E659" s="122">
        <v>1.819444444444444</v>
      </c>
      <c r="F659" s="112" t="s">
        <v>31</v>
      </c>
      <c r="G659" s="114">
        <v>9</v>
      </c>
      <c r="H659" s="115" t="s">
        <v>83</v>
      </c>
    </row>
    <row r="660" spans="1:8" ht="19.899999999999999" customHeight="1">
      <c r="A660" s="121">
        <v>46035</v>
      </c>
      <c r="B660" s="112" t="s">
        <v>26</v>
      </c>
      <c r="C660" s="113" t="s">
        <v>824</v>
      </c>
      <c r="D660" s="112" t="s">
        <v>808</v>
      </c>
      <c r="E660" s="122">
        <v>1.506944444444444</v>
      </c>
      <c r="F660" s="112" t="s">
        <v>31</v>
      </c>
      <c r="G660" s="114">
        <v>9</v>
      </c>
      <c r="H660" s="115" t="s">
        <v>83</v>
      </c>
    </row>
    <row r="661" spans="1:8" ht="19.899999999999999" customHeight="1">
      <c r="A661" s="121">
        <v>46035</v>
      </c>
      <c r="B661" s="112" t="s">
        <v>26</v>
      </c>
      <c r="C661" s="113" t="s">
        <v>825</v>
      </c>
      <c r="D661" s="112" t="s">
        <v>808</v>
      </c>
      <c r="E661" s="122">
        <v>1.697916666666667</v>
      </c>
      <c r="F661" s="112" t="s">
        <v>31</v>
      </c>
      <c r="G661" s="114">
        <v>9</v>
      </c>
      <c r="H661" s="115" t="s">
        <v>83</v>
      </c>
    </row>
    <row r="662" spans="1:8" ht="19.899999999999999" customHeight="1">
      <c r="A662" s="121">
        <v>46035</v>
      </c>
      <c r="B662" s="112" t="s">
        <v>38</v>
      </c>
      <c r="C662" s="113" t="s">
        <v>812</v>
      </c>
      <c r="D662" s="112" t="s">
        <v>808</v>
      </c>
      <c r="E662" s="122">
        <v>1.8888888888888891</v>
      </c>
      <c r="F662" s="112" t="s">
        <v>43</v>
      </c>
      <c r="G662" s="114">
        <v>46</v>
      </c>
      <c r="H662" s="115" t="s">
        <v>349</v>
      </c>
    </row>
    <row r="663" spans="1:8" ht="19.899999999999999" customHeight="1">
      <c r="A663" s="121">
        <v>46035</v>
      </c>
      <c r="B663" s="112" t="s">
        <v>68</v>
      </c>
      <c r="C663" s="113" t="s">
        <v>843</v>
      </c>
      <c r="D663" s="112" t="s">
        <v>808</v>
      </c>
      <c r="E663" s="122">
        <v>1.354166666666667</v>
      </c>
      <c r="F663" s="112" t="s">
        <v>70</v>
      </c>
      <c r="G663" s="114">
        <v>9</v>
      </c>
      <c r="H663" s="115" t="s">
        <v>404</v>
      </c>
    </row>
    <row r="664" spans="1:8" ht="19.899999999999999" customHeight="1">
      <c r="A664" s="121">
        <v>46035</v>
      </c>
      <c r="B664" s="112" t="s">
        <v>48</v>
      </c>
      <c r="C664" s="113" t="s">
        <v>833</v>
      </c>
      <c r="D664" s="112" t="s">
        <v>808</v>
      </c>
      <c r="E664" s="122">
        <v>1.444444444444444</v>
      </c>
      <c r="F664" s="112" t="s">
        <v>53</v>
      </c>
      <c r="G664" s="114">
        <v>9</v>
      </c>
      <c r="H664" s="115" t="s">
        <v>874</v>
      </c>
    </row>
    <row r="665" spans="1:8" ht="19.899999999999999" customHeight="1">
      <c r="A665" s="121">
        <v>46035</v>
      </c>
      <c r="B665" s="112" t="s">
        <v>48</v>
      </c>
      <c r="C665" s="113" t="s">
        <v>828</v>
      </c>
      <c r="D665" s="112" t="s">
        <v>808</v>
      </c>
      <c r="E665" s="122">
        <v>1.8298611111111109</v>
      </c>
      <c r="F665" s="112" t="s">
        <v>53</v>
      </c>
      <c r="G665" s="114">
        <v>9</v>
      </c>
      <c r="H665" s="115" t="s">
        <v>874</v>
      </c>
    </row>
    <row r="666" spans="1:8" ht="19.899999999999999" customHeight="1">
      <c r="A666" s="121">
        <v>46035</v>
      </c>
      <c r="B666" s="112" t="s">
        <v>48</v>
      </c>
      <c r="C666" s="113" t="s">
        <v>831</v>
      </c>
      <c r="D666" s="112" t="s">
        <v>808</v>
      </c>
      <c r="E666" s="122">
        <v>1.9826388888888891</v>
      </c>
      <c r="F666" s="112" t="s">
        <v>53</v>
      </c>
      <c r="G666" s="114">
        <v>9</v>
      </c>
      <c r="H666" s="115" t="s">
        <v>874</v>
      </c>
    </row>
    <row r="667" spans="1:8" ht="19.899999999999999" customHeight="1">
      <c r="A667" s="121">
        <v>46035</v>
      </c>
      <c r="B667" s="112" t="s">
        <v>48</v>
      </c>
      <c r="C667" s="113" t="s">
        <v>875</v>
      </c>
      <c r="D667" s="112" t="s">
        <v>808</v>
      </c>
      <c r="E667" s="122">
        <v>1.697916666666667</v>
      </c>
      <c r="F667" s="112" t="s">
        <v>53</v>
      </c>
      <c r="G667" s="114">
        <v>9</v>
      </c>
      <c r="H667" s="115" t="s">
        <v>874</v>
      </c>
    </row>
    <row r="668" spans="1:8" ht="19.899999999999999" customHeight="1">
      <c r="A668" s="121">
        <v>46035</v>
      </c>
      <c r="B668" s="112" t="s">
        <v>48</v>
      </c>
      <c r="C668" s="113" t="s">
        <v>832</v>
      </c>
      <c r="D668" s="112" t="s">
        <v>808</v>
      </c>
      <c r="E668" s="122">
        <v>1.6284722222222221</v>
      </c>
      <c r="F668" s="112" t="s">
        <v>53</v>
      </c>
      <c r="G668" s="114">
        <v>9</v>
      </c>
      <c r="H668" s="115" t="s">
        <v>874</v>
      </c>
    </row>
    <row r="669" spans="1:8" ht="19.899999999999999" customHeight="1">
      <c r="A669" s="121">
        <v>46035</v>
      </c>
      <c r="B669" s="112" t="s">
        <v>359</v>
      </c>
      <c r="C669" s="113" t="s">
        <v>887</v>
      </c>
      <c r="D669" s="112" t="s">
        <v>808</v>
      </c>
      <c r="E669" s="122">
        <v>1.052083333333333</v>
      </c>
      <c r="F669" s="112" t="s">
        <v>46</v>
      </c>
      <c r="G669" s="114">
        <v>9</v>
      </c>
      <c r="H669" s="115" t="s">
        <v>886</v>
      </c>
    </row>
    <row r="670" spans="1:8" ht="19.899999999999999" customHeight="1">
      <c r="A670" s="121">
        <v>46035</v>
      </c>
      <c r="B670" s="112" t="s">
        <v>359</v>
      </c>
      <c r="C670" s="113" t="s">
        <v>814</v>
      </c>
      <c r="D670" s="112" t="s">
        <v>808</v>
      </c>
      <c r="E670" s="122">
        <v>1.4375</v>
      </c>
      <c r="F670" s="112" t="s">
        <v>46</v>
      </c>
      <c r="G670" s="114">
        <v>9</v>
      </c>
      <c r="H670" s="115" t="s">
        <v>657</v>
      </c>
    </row>
    <row r="671" spans="1:8" ht="19.899999999999999" customHeight="1">
      <c r="A671" s="121">
        <v>46035</v>
      </c>
      <c r="B671" s="112" t="s">
        <v>26</v>
      </c>
      <c r="C671" s="113" t="s">
        <v>820</v>
      </c>
      <c r="D671" s="112" t="s">
        <v>808</v>
      </c>
      <c r="E671" s="122">
        <v>1.4375</v>
      </c>
      <c r="F671" s="112" t="s">
        <v>34</v>
      </c>
      <c r="G671" s="114">
        <v>9</v>
      </c>
      <c r="H671" s="115" t="s">
        <v>45</v>
      </c>
    </row>
    <row r="672" spans="1:8" ht="19.899999999999999" customHeight="1">
      <c r="A672" s="121">
        <v>46035</v>
      </c>
      <c r="B672" s="112" t="s">
        <v>26</v>
      </c>
      <c r="C672" s="113" t="s">
        <v>826</v>
      </c>
      <c r="D672" s="112" t="s">
        <v>808</v>
      </c>
      <c r="E672" s="122">
        <v>1.958333333333333</v>
      </c>
      <c r="F672" s="112" t="s">
        <v>34</v>
      </c>
      <c r="G672" s="114">
        <v>9</v>
      </c>
      <c r="H672" s="115" t="s">
        <v>45</v>
      </c>
    </row>
    <row r="673" spans="1:8" ht="19.899999999999999" customHeight="1">
      <c r="A673" s="121">
        <v>46035</v>
      </c>
      <c r="B673" s="112" t="s">
        <v>26</v>
      </c>
      <c r="C673" s="113" t="s">
        <v>821</v>
      </c>
      <c r="D673" s="112" t="s">
        <v>808</v>
      </c>
      <c r="E673" s="122">
        <v>1.631944444444444</v>
      </c>
      <c r="F673" s="112" t="s">
        <v>34</v>
      </c>
      <c r="G673" s="114">
        <v>9</v>
      </c>
      <c r="H673" s="115" t="s">
        <v>45</v>
      </c>
    </row>
    <row r="674" spans="1:8" ht="19.899999999999999" customHeight="1">
      <c r="A674" s="121">
        <v>46035</v>
      </c>
      <c r="B674" s="112" t="s">
        <v>26</v>
      </c>
      <c r="C674" s="113" t="s">
        <v>822</v>
      </c>
      <c r="D674" s="112" t="s">
        <v>808</v>
      </c>
      <c r="E674" s="122">
        <v>1.5590277777777779</v>
      </c>
      <c r="F674" s="112" t="s">
        <v>34</v>
      </c>
      <c r="G674" s="114">
        <v>9</v>
      </c>
      <c r="H674" s="115" t="s">
        <v>45</v>
      </c>
    </row>
    <row r="675" spans="1:8" ht="19.899999999999999" customHeight="1">
      <c r="A675" s="121">
        <v>46035</v>
      </c>
      <c r="B675" s="112" t="s">
        <v>26</v>
      </c>
      <c r="C675" s="113" t="s">
        <v>823</v>
      </c>
      <c r="D675" s="112" t="s">
        <v>808</v>
      </c>
      <c r="E675" s="122">
        <v>1.819444444444444</v>
      </c>
      <c r="F675" s="112" t="s">
        <v>34</v>
      </c>
      <c r="G675" s="114">
        <v>9</v>
      </c>
      <c r="H675" s="115" t="s">
        <v>45</v>
      </c>
    </row>
    <row r="676" spans="1:8" ht="19.899999999999999" customHeight="1">
      <c r="A676" s="121">
        <v>46035</v>
      </c>
      <c r="B676" s="112" t="s">
        <v>26</v>
      </c>
      <c r="C676" s="113" t="s">
        <v>824</v>
      </c>
      <c r="D676" s="112" t="s">
        <v>808</v>
      </c>
      <c r="E676" s="122">
        <v>1.506944444444444</v>
      </c>
      <c r="F676" s="112" t="s">
        <v>34</v>
      </c>
      <c r="G676" s="114">
        <v>9</v>
      </c>
      <c r="H676" s="115" t="s">
        <v>45</v>
      </c>
    </row>
    <row r="677" spans="1:8" ht="19.899999999999999" customHeight="1">
      <c r="A677" s="121">
        <v>46035</v>
      </c>
      <c r="B677" s="112" t="s">
        <v>26</v>
      </c>
      <c r="C677" s="113" t="s">
        <v>825</v>
      </c>
      <c r="D677" s="112" t="s">
        <v>808</v>
      </c>
      <c r="E677" s="122">
        <v>1.697916666666667</v>
      </c>
      <c r="F677" s="112" t="s">
        <v>34</v>
      </c>
      <c r="G677" s="114">
        <v>9</v>
      </c>
      <c r="H677" s="115" t="s">
        <v>45</v>
      </c>
    </row>
    <row r="678" spans="1:8" ht="19.899999999999999" customHeight="1">
      <c r="A678" s="121">
        <v>46035</v>
      </c>
      <c r="B678" s="112" t="s">
        <v>402</v>
      </c>
      <c r="C678" s="113" t="s">
        <v>839</v>
      </c>
      <c r="D678" s="112" t="s">
        <v>808</v>
      </c>
      <c r="E678" s="122">
        <v>1.1701388888888891</v>
      </c>
      <c r="F678" s="112" t="s">
        <v>63</v>
      </c>
      <c r="G678" s="114">
        <v>5</v>
      </c>
      <c r="H678" s="115" t="s">
        <v>881</v>
      </c>
    </row>
    <row r="679" spans="1:8" ht="19.899999999999999" customHeight="1">
      <c r="A679" s="121">
        <v>46035</v>
      </c>
      <c r="B679" s="112" t="s">
        <v>38</v>
      </c>
      <c r="C679" s="113" t="s">
        <v>809</v>
      </c>
      <c r="D679" s="112" t="s">
        <v>808</v>
      </c>
      <c r="E679" s="122">
        <v>1.5763888888888891</v>
      </c>
      <c r="F679" s="112" t="s">
        <v>46</v>
      </c>
      <c r="G679" s="114">
        <v>16</v>
      </c>
      <c r="H679" s="115" t="s">
        <v>810</v>
      </c>
    </row>
    <row r="680" spans="1:8" ht="19.899999999999999" customHeight="1">
      <c r="A680" s="121">
        <v>46035</v>
      </c>
      <c r="B680" s="112" t="s">
        <v>38</v>
      </c>
      <c r="C680" s="113" t="s">
        <v>811</v>
      </c>
      <c r="D680" s="112" t="s">
        <v>808</v>
      </c>
      <c r="E680" s="122">
        <v>1.6284722222222221</v>
      </c>
      <c r="F680" s="112" t="s">
        <v>46</v>
      </c>
      <c r="G680" s="114">
        <v>16</v>
      </c>
      <c r="H680" s="115" t="s">
        <v>810</v>
      </c>
    </row>
    <row r="681" spans="1:8" ht="19.899999999999999" customHeight="1">
      <c r="A681" s="121">
        <v>46035</v>
      </c>
      <c r="B681" s="112" t="s">
        <v>38</v>
      </c>
      <c r="C681" s="113" t="s">
        <v>812</v>
      </c>
      <c r="D681" s="112" t="s">
        <v>808</v>
      </c>
      <c r="E681" s="122">
        <v>1.8888888888888891</v>
      </c>
      <c r="F681" s="112" t="s">
        <v>46</v>
      </c>
      <c r="G681" s="114">
        <v>46</v>
      </c>
      <c r="H681" s="115" t="s">
        <v>810</v>
      </c>
    </row>
    <row r="682" spans="1:8" ht="19.899999999999999" customHeight="1">
      <c r="A682" s="121">
        <v>46035</v>
      </c>
      <c r="B682" s="112" t="s">
        <v>38</v>
      </c>
      <c r="C682" s="113" t="s">
        <v>813</v>
      </c>
      <c r="D682" s="112" t="s">
        <v>808</v>
      </c>
      <c r="E682" s="122">
        <v>1.944444444444444</v>
      </c>
      <c r="F682" s="112" t="s">
        <v>46</v>
      </c>
      <c r="G682" s="114">
        <v>19</v>
      </c>
      <c r="H682" s="115" t="s">
        <v>810</v>
      </c>
    </row>
    <row r="683" spans="1:8" ht="19.899999999999999" customHeight="1">
      <c r="A683" s="121">
        <v>46035</v>
      </c>
      <c r="B683" s="112" t="s">
        <v>48</v>
      </c>
      <c r="C683" s="113" t="s">
        <v>835</v>
      </c>
      <c r="D683" s="112" t="s">
        <v>808</v>
      </c>
      <c r="E683" s="122">
        <v>1.8888888888888891</v>
      </c>
      <c r="F683" s="112" t="s">
        <v>53</v>
      </c>
      <c r="G683" s="114">
        <v>4</v>
      </c>
      <c r="H683" s="115" t="s">
        <v>836</v>
      </c>
    </row>
    <row r="684" spans="1:8" ht="19.899999999999999" customHeight="1">
      <c r="A684" s="121">
        <v>46035</v>
      </c>
      <c r="B684" s="112" t="s">
        <v>48</v>
      </c>
      <c r="C684" s="113" t="s">
        <v>837</v>
      </c>
      <c r="D684" s="112" t="s">
        <v>808</v>
      </c>
      <c r="E684" s="122">
        <v>1.6284722222222221</v>
      </c>
      <c r="F684" s="112" t="s">
        <v>53</v>
      </c>
      <c r="G684" s="114">
        <v>4</v>
      </c>
      <c r="H684" s="115" t="s">
        <v>836</v>
      </c>
    </row>
    <row r="685" spans="1:8" ht="19.899999999999999" customHeight="1">
      <c r="A685" s="123">
        <v>46035</v>
      </c>
      <c r="B685" s="124" t="s">
        <v>48</v>
      </c>
      <c r="C685" s="125" t="s">
        <v>838</v>
      </c>
      <c r="D685" s="124" t="s">
        <v>808</v>
      </c>
      <c r="E685" s="126">
        <v>1.944444444444444</v>
      </c>
      <c r="F685" s="124" t="s">
        <v>53</v>
      </c>
      <c r="G685" s="127">
        <v>4</v>
      </c>
      <c r="H685" s="128" t="s">
        <v>836</v>
      </c>
    </row>
    <row r="686" spans="1:8" ht="19.899999999999999" customHeight="1">
      <c r="A686" s="121">
        <v>46036</v>
      </c>
      <c r="B686" s="112" t="s">
        <v>38</v>
      </c>
      <c r="C686" s="113" t="s">
        <v>811</v>
      </c>
      <c r="D686" s="112" t="s">
        <v>808</v>
      </c>
      <c r="E686" s="122">
        <v>1.6284722222222221</v>
      </c>
      <c r="F686" s="112" t="s">
        <v>40</v>
      </c>
      <c r="G686" s="114">
        <v>5</v>
      </c>
      <c r="H686" s="115" t="s">
        <v>475</v>
      </c>
    </row>
    <row r="687" spans="1:8" ht="19.899999999999999" customHeight="1">
      <c r="A687" s="121">
        <v>46036</v>
      </c>
      <c r="B687" s="112" t="s">
        <v>38</v>
      </c>
      <c r="C687" s="113" t="s">
        <v>812</v>
      </c>
      <c r="D687" s="112" t="s">
        <v>808</v>
      </c>
      <c r="E687" s="122">
        <v>1.8888888888888891</v>
      </c>
      <c r="F687" s="112" t="s">
        <v>40</v>
      </c>
      <c r="G687" s="114">
        <v>11</v>
      </c>
      <c r="H687" s="115" t="s">
        <v>475</v>
      </c>
    </row>
    <row r="688" spans="1:8" ht="19.899999999999999" customHeight="1">
      <c r="A688" s="121">
        <v>46036</v>
      </c>
      <c r="B688" s="112" t="s">
        <v>38</v>
      </c>
      <c r="C688" s="113" t="s">
        <v>809</v>
      </c>
      <c r="D688" s="112" t="s">
        <v>808</v>
      </c>
      <c r="E688" s="122">
        <v>1.5763888888888891</v>
      </c>
      <c r="F688" s="112" t="s">
        <v>40</v>
      </c>
      <c r="G688" s="114">
        <v>10</v>
      </c>
      <c r="H688" s="115" t="s">
        <v>872</v>
      </c>
    </row>
    <row r="689" spans="1:8" ht="19.899999999999999" customHeight="1">
      <c r="A689" s="121">
        <v>46036</v>
      </c>
      <c r="B689" s="112" t="s">
        <v>38</v>
      </c>
      <c r="C689" s="113" t="s">
        <v>813</v>
      </c>
      <c r="D689" s="112" t="s">
        <v>808</v>
      </c>
      <c r="E689" s="122">
        <v>1.944444444444444</v>
      </c>
      <c r="F689" s="112" t="s">
        <v>40</v>
      </c>
      <c r="G689" s="114">
        <v>34</v>
      </c>
      <c r="H689" s="115" t="s">
        <v>872</v>
      </c>
    </row>
    <row r="690" spans="1:8" ht="19.899999999999999" customHeight="1">
      <c r="A690" s="121">
        <v>46036</v>
      </c>
      <c r="B690" s="112" t="s">
        <v>68</v>
      </c>
      <c r="C690" s="113" t="s">
        <v>843</v>
      </c>
      <c r="D690" s="112" t="s">
        <v>808</v>
      </c>
      <c r="E690" s="122">
        <v>1.354166666666667</v>
      </c>
      <c r="F690" s="112" t="s">
        <v>643</v>
      </c>
      <c r="G690" s="114">
        <v>9</v>
      </c>
      <c r="H690" s="115" t="s">
        <v>891</v>
      </c>
    </row>
    <row r="691" spans="1:8" ht="19.899999999999999" customHeight="1">
      <c r="A691" s="129">
        <v>46036</v>
      </c>
      <c r="B691" s="117" t="s">
        <v>61</v>
      </c>
      <c r="C691" s="118" t="s">
        <v>816</v>
      </c>
      <c r="D691" s="117" t="s">
        <v>808</v>
      </c>
      <c r="E691" s="130">
        <v>1.413194444444444</v>
      </c>
      <c r="F691" s="117" t="s">
        <v>63</v>
      </c>
      <c r="G691" s="119">
        <v>9</v>
      </c>
      <c r="H691" s="120" t="s">
        <v>817</v>
      </c>
    </row>
    <row r="692" spans="1:8" ht="19.899999999999999" customHeight="1">
      <c r="A692" s="121">
        <v>46036</v>
      </c>
      <c r="B692" s="112" t="s">
        <v>26</v>
      </c>
      <c r="C692" s="113" t="s">
        <v>820</v>
      </c>
      <c r="D692" s="112" t="s">
        <v>808</v>
      </c>
      <c r="E692" s="122">
        <v>1.4375</v>
      </c>
      <c r="F692" s="112" t="s">
        <v>28</v>
      </c>
      <c r="G692" s="114">
        <v>9</v>
      </c>
      <c r="H692" s="115" t="s">
        <v>81</v>
      </c>
    </row>
    <row r="693" spans="1:8" ht="19.899999999999999" customHeight="1">
      <c r="A693" s="121">
        <v>46036</v>
      </c>
      <c r="B693" s="112" t="s">
        <v>26</v>
      </c>
      <c r="C693" s="113" t="s">
        <v>826</v>
      </c>
      <c r="D693" s="112" t="s">
        <v>808</v>
      </c>
      <c r="E693" s="122">
        <v>1.958333333333333</v>
      </c>
      <c r="F693" s="112" t="s">
        <v>28</v>
      </c>
      <c r="G693" s="114">
        <v>9</v>
      </c>
      <c r="H693" s="115" t="s">
        <v>81</v>
      </c>
    </row>
    <row r="694" spans="1:8" ht="19.899999999999999" customHeight="1">
      <c r="A694" s="121">
        <v>46036</v>
      </c>
      <c r="B694" s="112" t="s">
        <v>26</v>
      </c>
      <c r="C694" s="113" t="s">
        <v>821</v>
      </c>
      <c r="D694" s="112" t="s">
        <v>808</v>
      </c>
      <c r="E694" s="122">
        <v>1.631944444444444</v>
      </c>
      <c r="F694" s="112" t="s">
        <v>28</v>
      </c>
      <c r="G694" s="114">
        <v>9</v>
      </c>
      <c r="H694" s="115" t="s">
        <v>81</v>
      </c>
    </row>
    <row r="695" spans="1:8" ht="19.899999999999999" customHeight="1">
      <c r="A695" s="121">
        <v>46036</v>
      </c>
      <c r="B695" s="112" t="s">
        <v>26</v>
      </c>
      <c r="C695" s="113" t="s">
        <v>822</v>
      </c>
      <c r="D695" s="112" t="s">
        <v>808</v>
      </c>
      <c r="E695" s="122">
        <v>1.5590277777777779</v>
      </c>
      <c r="F695" s="112" t="s">
        <v>28</v>
      </c>
      <c r="G695" s="114">
        <v>9</v>
      </c>
      <c r="H695" s="115" t="s">
        <v>81</v>
      </c>
    </row>
    <row r="696" spans="1:8" ht="19.899999999999999" customHeight="1">
      <c r="A696" s="121">
        <v>46036</v>
      </c>
      <c r="B696" s="112" t="s">
        <v>26</v>
      </c>
      <c r="C696" s="113" t="s">
        <v>823</v>
      </c>
      <c r="D696" s="112" t="s">
        <v>808</v>
      </c>
      <c r="E696" s="122">
        <v>1.819444444444444</v>
      </c>
      <c r="F696" s="112" t="s">
        <v>28</v>
      </c>
      <c r="G696" s="114">
        <v>9</v>
      </c>
      <c r="H696" s="115" t="s">
        <v>81</v>
      </c>
    </row>
    <row r="697" spans="1:8" ht="19.899999999999999" customHeight="1">
      <c r="A697" s="121">
        <v>46036</v>
      </c>
      <c r="B697" s="112" t="s">
        <v>26</v>
      </c>
      <c r="C697" s="113" t="s">
        <v>824</v>
      </c>
      <c r="D697" s="112" t="s">
        <v>808</v>
      </c>
      <c r="E697" s="122">
        <v>1.506944444444444</v>
      </c>
      <c r="F697" s="112" t="s">
        <v>28</v>
      </c>
      <c r="G697" s="114">
        <v>9</v>
      </c>
      <c r="H697" s="115" t="s">
        <v>81</v>
      </c>
    </row>
    <row r="698" spans="1:8" ht="19.899999999999999" customHeight="1">
      <c r="A698" s="121">
        <v>46036</v>
      </c>
      <c r="B698" s="112" t="s">
        <v>26</v>
      </c>
      <c r="C698" s="113" t="s">
        <v>825</v>
      </c>
      <c r="D698" s="112" t="s">
        <v>808</v>
      </c>
      <c r="E698" s="122">
        <v>1.697916666666667</v>
      </c>
      <c r="F698" s="112" t="s">
        <v>28</v>
      </c>
      <c r="G698" s="114">
        <v>9</v>
      </c>
      <c r="H698" s="115" t="s">
        <v>81</v>
      </c>
    </row>
    <row r="699" spans="1:8" ht="19.899999999999999" customHeight="1">
      <c r="A699" s="121">
        <v>46036</v>
      </c>
      <c r="B699" s="112" t="s">
        <v>48</v>
      </c>
      <c r="C699" s="113" t="s">
        <v>833</v>
      </c>
      <c r="D699" s="112" t="s">
        <v>808</v>
      </c>
      <c r="E699" s="122">
        <v>1.444444444444444</v>
      </c>
      <c r="F699" s="112" t="s">
        <v>50</v>
      </c>
      <c r="G699" s="114">
        <v>9</v>
      </c>
      <c r="H699" s="115" t="s">
        <v>873</v>
      </c>
    </row>
    <row r="700" spans="1:8" ht="19.899999999999999" customHeight="1">
      <c r="A700" s="121">
        <v>46036</v>
      </c>
      <c r="B700" s="112" t="s">
        <v>48</v>
      </c>
      <c r="C700" s="113" t="s">
        <v>831</v>
      </c>
      <c r="D700" s="112" t="s">
        <v>808</v>
      </c>
      <c r="E700" s="122">
        <v>1.9826388888888891</v>
      </c>
      <c r="F700" s="112" t="s">
        <v>50</v>
      </c>
      <c r="G700" s="114">
        <v>9</v>
      </c>
      <c r="H700" s="115" t="s">
        <v>873</v>
      </c>
    </row>
    <row r="701" spans="1:8" ht="19.899999999999999" customHeight="1">
      <c r="A701" s="121">
        <v>46036</v>
      </c>
      <c r="B701" s="112" t="s">
        <v>48</v>
      </c>
      <c r="C701" s="113" t="s">
        <v>832</v>
      </c>
      <c r="D701" s="112" t="s">
        <v>808</v>
      </c>
      <c r="E701" s="122">
        <v>1.6284722222222221</v>
      </c>
      <c r="F701" s="112" t="s">
        <v>50</v>
      </c>
      <c r="G701" s="114">
        <v>4</v>
      </c>
      <c r="H701" s="115" t="s">
        <v>873</v>
      </c>
    </row>
    <row r="702" spans="1:8" ht="19.899999999999999" customHeight="1">
      <c r="A702" s="129">
        <v>46036</v>
      </c>
      <c r="B702" s="117" t="s">
        <v>61</v>
      </c>
      <c r="C702" s="118" t="s">
        <v>852</v>
      </c>
      <c r="D702" s="117" t="s">
        <v>808</v>
      </c>
      <c r="E702" s="130">
        <v>1.725694444444444</v>
      </c>
      <c r="F702" s="117" t="s">
        <v>63</v>
      </c>
      <c r="G702" s="119">
        <v>7</v>
      </c>
      <c r="H702" s="120" t="s">
        <v>849</v>
      </c>
    </row>
    <row r="703" spans="1:8" ht="19.899999999999999" customHeight="1">
      <c r="A703" s="121">
        <v>46036</v>
      </c>
      <c r="B703" s="112" t="s">
        <v>48</v>
      </c>
      <c r="C703" s="113" t="s">
        <v>828</v>
      </c>
      <c r="D703" s="112" t="s">
        <v>808</v>
      </c>
      <c r="E703" s="122">
        <v>1.8298611111111109</v>
      </c>
      <c r="F703" s="112" t="s">
        <v>50</v>
      </c>
      <c r="G703" s="114">
        <v>9</v>
      </c>
      <c r="H703" s="115" t="s">
        <v>829</v>
      </c>
    </row>
    <row r="704" spans="1:8" ht="19.899999999999999" customHeight="1">
      <c r="A704" s="121">
        <v>46036</v>
      </c>
      <c r="B704" s="112" t="s">
        <v>38</v>
      </c>
      <c r="C704" s="113" t="s">
        <v>811</v>
      </c>
      <c r="D704" s="112" t="s">
        <v>808</v>
      </c>
      <c r="E704" s="122">
        <v>1.6284722222222221</v>
      </c>
      <c r="F704" s="112" t="s">
        <v>43</v>
      </c>
      <c r="G704" s="114">
        <v>5</v>
      </c>
      <c r="H704" s="115" t="s">
        <v>121</v>
      </c>
    </row>
    <row r="705" spans="1:8" ht="19.899999999999999" customHeight="1">
      <c r="A705" s="121">
        <v>46036</v>
      </c>
      <c r="B705" s="112" t="s">
        <v>38</v>
      </c>
      <c r="C705" s="113" t="s">
        <v>812</v>
      </c>
      <c r="D705" s="112" t="s">
        <v>808</v>
      </c>
      <c r="E705" s="122">
        <v>1.8888888888888891</v>
      </c>
      <c r="F705" s="112" t="s">
        <v>43</v>
      </c>
      <c r="G705" s="114">
        <v>11</v>
      </c>
      <c r="H705" s="115" t="s">
        <v>121</v>
      </c>
    </row>
    <row r="706" spans="1:8" ht="19.899999999999999" customHeight="1">
      <c r="A706" s="121">
        <v>46036</v>
      </c>
      <c r="B706" s="112" t="s">
        <v>26</v>
      </c>
      <c r="C706" s="113" t="s">
        <v>820</v>
      </c>
      <c r="D706" s="112" t="s">
        <v>808</v>
      </c>
      <c r="E706" s="122">
        <v>1.4375</v>
      </c>
      <c r="F706" s="112" t="s">
        <v>31</v>
      </c>
      <c r="G706" s="114">
        <v>9</v>
      </c>
      <c r="H706" s="115" t="s">
        <v>83</v>
      </c>
    </row>
    <row r="707" spans="1:8" ht="19.899999999999999" customHeight="1">
      <c r="A707" s="121">
        <v>46036</v>
      </c>
      <c r="B707" s="112" t="s">
        <v>26</v>
      </c>
      <c r="C707" s="113" t="s">
        <v>826</v>
      </c>
      <c r="D707" s="112" t="s">
        <v>808</v>
      </c>
      <c r="E707" s="122">
        <v>1.958333333333333</v>
      </c>
      <c r="F707" s="112" t="s">
        <v>31</v>
      </c>
      <c r="G707" s="114">
        <v>9</v>
      </c>
      <c r="H707" s="115" t="s">
        <v>83</v>
      </c>
    </row>
    <row r="708" spans="1:8" ht="19.899999999999999" customHeight="1">
      <c r="A708" s="121">
        <v>46036</v>
      </c>
      <c r="B708" s="112" t="s">
        <v>26</v>
      </c>
      <c r="C708" s="113" t="s">
        <v>821</v>
      </c>
      <c r="D708" s="112" t="s">
        <v>808</v>
      </c>
      <c r="E708" s="122">
        <v>1.631944444444444</v>
      </c>
      <c r="F708" s="112" t="s">
        <v>31</v>
      </c>
      <c r="G708" s="114">
        <v>9</v>
      </c>
      <c r="H708" s="115" t="s">
        <v>83</v>
      </c>
    </row>
    <row r="709" spans="1:8" ht="19.899999999999999" customHeight="1">
      <c r="A709" s="121">
        <v>46036</v>
      </c>
      <c r="B709" s="112" t="s">
        <v>26</v>
      </c>
      <c r="C709" s="113" t="s">
        <v>822</v>
      </c>
      <c r="D709" s="112" t="s">
        <v>808</v>
      </c>
      <c r="E709" s="122">
        <v>1.5590277777777779</v>
      </c>
      <c r="F709" s="112" t="s">
        <v>31</v>
      </c>
      <c r="G709" s="114">
        <v>9</v>
      </c>
      <c r="H709" s="115" t="s">
        <v>83</v>
      </c>
    </row>
    <row r="710" spans="1:8" ht="19.899999999999999" customHeight="1">
      <c r="A710" s="121">
        <v>46036</v>
      </c>
      <c r="B710" s="112" t="s">
        <v>26</v>
      </c>
      <c r="C710" s="113" t="s">
        <v>823</v>
      </c>
      <c r="D710" s="112" t="s">
        <v>808</v>
      </c>
      <c r="E710" s="122">
        <v>1.819444444444444</v>
      </c>
      <c r="F710" s="112" t="s">
        <v>31</v>
      </c>
      <c r="G710" s="114">
        <v>9</v>
      </c>
      <c r="H710" s="115" t="s">
        <v>83</v>
      </c>
    </row>
    <row r="711" spans="1:8" ht="19.899999999999999" customHeight="1">
      <c r="A711" s="121">
        <v>46036</v>
      </c>
      <c r="B711" s="112" t="s">
        <v>26</v>
      </c>
      <c r="C711" s="113" t="s">
        <v>824</v>
      </c>
      <c r="D711" s="112" t="s">
        <v>808</v>
      </c>
      <c r="E711" s="122">
        <v>1.506944444444444</v>
      </c>
      <c r="F711" s="112" t="s">
        <v>31</v>
      </c>
      <c r="G711" s="114">
        <v>9</v>
      </c>
      <c r="H711" s="115" t="s">
        <v>83</v>
      </c>
    </row>
    <row r="712" spans="1:8" ht="19.899999999999999" customHeight="1">
      <c r="A712" s="121">
        <v>46036</v>
      </c>
      <c r="B712" s="112" t="s">
        <v>26</v>
      </c>
      <c r="C712" s="113" t="s">
        <v>825</v>
      </c>
      <c r="D712" s="112" t="s">
        <v>808</v>
      </c>
      <c r="E712" s="122">
        <v>1.697916666666667</v>
      </c>
      <c r="F712" s="112" t="s">
        <v>31</v>
      </c>
      <c r="G712" s="114">
        <v>9</v>
      </c>
      <c r="H712" s="115" t="s">
        <v>83</v>
      </c>
    </row>
    <row r="713" spans="1:8" ht="19.899999999999999" customHeight="1">
      <c r="A713" s="121">
        <v>46036</v>
      </c>
      <c r="B713" s="112" t="s">
        <v>359</v>
      </c>
      <c r="C713" s="113" t="s">
        <v>887</v>
      </c>
      <c r="D713" s="112" t="s">
        <v>808</v>
      </c>
      <c r="E713" s="122">
        <v>1.052083333333333</v>
      </c>
      <c r="F713" s="112" t="s">
        <v>361</v>
      </c>
      <c r="G713" s="114">
        <v>9</v>
      </c>
      <c r="H713" s="115" t="s">
        <v>919</v>
      </c>
    </row>
    <row r="714" spans="1:8" ht="19.899999999999999" customHeight="1">
      <c r="A714" s="121">
        <v>46036</v>
      </c>
      <c r="B714" s="112" t="s">
        <v>38</v>
      </c>
      <c r="C714" s="113" t="s">
        <v>809</v>
      </c>
      <c r="D714" s="112" t="s">
        <v>808</v>
      </c>
      <c r="E714" s="122">
        <v>1.5763888888888891</v>
      </c>
      <c r="F714" s="112" t="s">
        <v>43</v>
      </c>
      <c r="G714" s="114">
        <v>10</v>
      </c>
      <c r="H714" s="115" t="s">
        <v>349</v>
      </c>
    </row>
    <row r="715" spans="1:8" ht="19.899999999999999" customHeight="1">
      <c r="A715" s="121">
        <v>46036</v>
      </c>
      <c r="B715" s="112" t="s">
        <v>38</v>
      </c>
      <c r="C715" s="113" t="s">
        <v>813</v>
      </c>
      <c r="D715" s="112" t="s">
        <v>808</v>
      </c>
      <c r="E715" s="122">
        <v>1.944444444444444</v>
      </c>
      <c r="F715" s="112" t="s">
        <v>43</v>
      </c>
      <c r="G715" s="114">
        <v>34</v>
      </c>
      <c r="H715" s="115" t="s">
        <v>349</v>
      </c>
    </row>
    <row r="716" spans="1:8" ht="19.899999999999999" customHeight="1">
      <c r="A716" s="121">
        <v>46036</v>
      </c>
      <c r="B716" s="112" t="s">
        <v>68</v>
      </c>
      <c r="C716" s="113" t="s">
        <v>842</v>
      </c>
      <c r="D716" s="112" t="s">
        <v>808</v>
      </c>
      <c r="E716" s="122">
        <v>1.9826388888888891</v>
      </c>
      <c r="F716" s="112" t="s">
        <v>70</v>
      </c>
      <c r="G716" s="114">
        <v>9</v>
      </c>
      <c r="H716" s="115" t="s">
        <v>404</v>
      </c>
    </row>
    <row r="717" spans="1:8" ht="19.899999999999999" customHeight="1">
      <c r="A717" s="121">
        <v>46036</v>
      </c>
      <c r="B717" s="112" t="s">
        <v>68</v>
      </c>
      <c r="C717" s="113" t="s">
        <v>844</v>
      </c>
      <c r="D717" s="112" t="s">
        <v>808</v>
      </c>
      <c r="E717" s="122">
        <v>1.729166666666667</v>
      </c>
      <c r="F717" s="112" t="s">
        <v>70</v>
      </c>
      <c r="G717" s="114">
        <v>9</v>
      </c>
      <c r="H717" s="115" t="s">
        <v>892</v>
      </c>
    </row>
    <row r="718" spans="1:8" ht="19.899999999999999" customHeight="1">
      <c r="A718" s="121">
        <v>46036</v>
      </c>
      <c r="B718" s="112" t="s">
        <v>48</v>
      </c>
      <c r="C718" s="113" t="s">
        <v>833</v>
      </c>
      <c r="D718" s="112" t="s">
        <v>808</v>
      </c>
      <c r="E718" s="122">
        <v>1.444444444444444</v>
      </c>
      <c r="F718" s="112" t="s">
        <v>53</v>
      </c>
      <c r="G718" s="114">
        <v>9</v>
      </c>
      <c r="H718" s="115" t="s">
        <v>874</v>
      </c>
    </row>
    <row r="719" spans="1:8" ht="19.899999999999999" customHeight="1">
      <c r="A719" s="121">
        <v>46036</v>
      </c>
      <c r="B719" s="112" t="s">
        <v>48</v>
      </c>
      <c r="C719" s="113" t="s">
        <v>831</v>
      </c>
      <c r="D719" s="112" t="s">
        <v>808</v>
      </c>
      <c r="E719" s="122">
        <v>1.9826388888888891</v>
      </c>
      <c r="F719" s="112" t="s">
        <v>53</v>
      </c>
      <c r="G719" s="114">
        <v>9</v>
      </c>
      <c r="H719" s="115" t="s">
        <v>874</v>
      </c>
    </row>
    <row r="720" spans="1:8" ht="19.899999999999999" customHeight="1">
      <c r="A720" s="121">
        <v>46036</v>
      </c>
      <c r="B720" s="112" t="s">
        <v>48</v>
      </c>
      <c r="C720" s="113" t="s">
        <v>832</v>
      </c>
      <c r="D720" s="112" t="s">
        <v>808</v>
      </c>
      <c r="E720" s="122">
        <v>1.6284722222222221</v>
      </c>
      <c r="F720" s="112" t="s">
        <v>53</v>
      </c>
      <c r="G720" s="114">
        <v>4</v>
      </c>
      <c r="H720" s="115" t="s">
        <v>874</v>
      </c>
    </row>
    <row r="721" spans="1:8" ht="19.899999999999999" customHeight="1">
      <c r="A721" s="121">
        <v>46036</v>
      </c>
      <c r="B721" s="112" t="s">
        <v>26</v>
      </c>
      <c r="C721" s="113" t="s">
        <v>820</v>
      </c>
      <c r="D721" s="112" t="s">
        <v>808</v>
      </c>
      <c r="E721" s="122">
        <v>1.4375</v>
      </c>
      <c r="F721" s="112" t="s">
        <v>34</v>
      </c>
      <c r="G721" s="114">
        <v>9</v>
      </c>
      <c r="H721" s="115" t="s">
        <v>45</v>
      </c>
    </row>
    <row r="722" spans="1:8" ht="19.899999999999999" customHeight="1">
      <c r="A722" s="121">
        <v>46036</v>
      </c>
      <c r="B722" s="112" t="s">
        <v>26</v>
      </c>
      <c r="C722" s="113" t="s">
        <v>826</v>
      </c>
      <c r="D722" s="112" t="s">
        <v>808</v>
      </c>
      <c r="E722" s="122">
        <v>1.958333333333333</v>
      </c>
      <c r="F722" s="112" t="s">
        <v>34</v>
      </c>
      <c r="G722" s="114">
        <v>9</v>
      </c>
      <c r="H722" s="115" t="s">
        <v>45</v>
      </c>
    </row>
    <row r="723" spans="1:8" ht="19.899999999999999" customHeight="1">
      <c r="A723" s="121">
        <v>46036</v>
      </c>
      <c r="B723" s="112" t="s">
        <v>26</v>
      </c>
      <c r="C723" s="113" t="s">
        <v>821</v>
      </c>
      <c r="D723" s="112" t="s">
        <v>808</v>
      </c>
      <c r="E723" s="122">
        <v>1.631944444444444</v>
      </c>
      <c r="F723" s="112" t="s">
        <v>34</v>
      </c>
      <c r="G723" s="114">
        <v>9</v>
      </c>
      <c r="H723" s="115" t="s">
        <v>45</v>
      </c>
    </row>
    <row r="724" spans="1:8" ht="19.899999999999999" customHeight="1">
      <c r="A724" s="121">
        <v>46036</v>
      </c>
      <c r="B724" s="112" t="s">
        <v>26</v>
      </c>
      <c r="C724" s="113" t="s">
        <v>822</v>
      </c>
      <c r="D724" s="112" t="s">
        <v>808</v>
      </c>
      <c r="E724" s="122">
        <v>1.5590277777777779</v>
      </c>
      <c r="F724" s="112" t="s">
        <v>34</v>
      </c>
      <c r="G724" s="114">
        <v>9</v>
      </c>
      <c r="H724" s="115" t="s">
        <v>45</v>
      </c>
    </row>
    <row r="725" spans="1:8" ht="19.899999999999999" customHeight="1">
      <c r="A725" s="121">
        <v>46036</v>
      </c>
      <c r="B725" s="112" t="s">
        <v>26</v>
      </c>
      <c r="C725" s="113" t="s">
        <v>823</v>
      </c>
      <c r="D725" s="112" t="s">
        <v>808</v>
      </c>
      <c r="E725" s="122">
        <v>1.819444444444444</v>
      </c>
      <c r="F725" s="112" t="s">
        <v>34</v>
      </c>
      <c r="G725" s="114">
        <v>9</v>
      </c>
      <c r="H725" s="115" t="s">
        <v>45</v>
      </c>
    </row>
    <row r="726" spans="1:8" ht="19.899999999999999" customHeight="1">
      <c r="A726" s="121">
        <v>46036</v>
      </c>
      <c r="B726" s="112" t="s">
        <v>26</v>
      </c>
      <c r="C726" s="113" t="s">
        <v>824</v>
      </c>
      <c r="D726" s="112" t="s">
        <v>808</v>
      </c>
      <c r="E726" s="122">
        <v>1.506944444444444</v>
      </c>
      <c r="F726" s="112" t="s">
        <v>34</v>
      </c>
      <c r="G726" s="114">
        <v>9</v>
      </c>
      <c r="H726" s="115" t="s">
        <v>45</v>
      </c>
    </row>
    <row r="727" spans="1:8" ht="19.899999999999999" customHeight="1">
      <c r="A727" s="121">
        <v>46036</v>
      </c>
      <c r="B727" s="112" t="s">
        <v>26</v>
      </c>
      <c r="C727" s="113" t="s">
        <v>825</v>
      </c>
      <c r="D727" s="112" t="s">
        <v>808</v>
      </c>
      <c r="E727" s="122">
        <v>1.697916666666667</v>
      </c>
      <c r="F727" s="112" t="s">
        <v>34</v>
      </c>
      <c r="G727" s="114">
        <v>9</v>
      </c>
      <c r="H727" s="115" t="s">
        <v>45</v>
      </c>
    </row>
    <row r="728" spans="1:8" ht="19.899999999999999" customHeight="1">
      <c r="A728" s="121">
        <v>46036</v>
      </c>
      <c r="B728" s="112" t="s">
        <v>48</v>
      </c>
      <c r="C728" s="113" t="s">
        <v>828</v>
      </c>
      <c r="D728" s="112" t="s">
        <v>808</v>
      </c>
      <c r="E728" s="122">
        <v>1.8298611111111109</v>
      </c>
      <c r="F728" s="112" t="s">
        <v>53</v>
      </c>
      <c r="G728" s="114">
        <v>9</v>
      </c>
      <c r="H728" s="115" t="s">
        <v>830</v>
      </c>
    </row>
    <row r="729" spans="1:8" ht="19.899999999999999" customHeight="1">
      <c r="A729" s="121">
        <v>46036</v>
      </c>
      <c r="B729" s="112" t="s">
        <v>402</v>
      </c>
      <c r="C729" s="113" t="s">
        <v>839</v>
      </c>
      <c r="D729" s="112" t="s">
        <v>808</v>
      </c>
      <c r="E729" s="122">
        <v>1.2013888888888891</v>
      </c>
      <c r="F729" s="112" t="s">
        <v>63</v>
      </c>
      <c r="G729" s="114">
        <v>7</v>
      </c>
      <c r="H729" s="115" t="s">
        <v>881</v>
      </c>
    </row>
    <row r="730" spans="1:8" ht="19.899999999999999" customHeight="1">
      <c r="A730" s="121">
        <v>46036</v>
      </c>
      <c r="B730" s="112" t="s">
        <v>402</v>
      </c>
      <c r="C730" s="113" t="s">
        <v>841</v>
      </c>
      <c r="D730" s="112" t="s">
        <v>808</v>
      </c>
      <c r="E730" s="122">
        <v>1.614583333333333</v>
      </c>
      <c r="F730" s="112" t="s">
        <v>63</v>
      </c>
      <c r="G730" s="114">
        <v>6</v>
      </c>
      <c r="H730" s="115" t="s">
        <v>881</v>
      </c>
    </row>
    <row r="731" spans="1:8" ht="19.899999999999999" customHeight="1">
      <c r="A731" s="121">
        <v>46036</v>
      </c>
      <c r="B731" s="112" t="s">
        <v>359</v>
      </c>
      <c r="C731" s="113" t="s">
        <v>887</v>
      </c>
      <c r="D731" s="112" t="s">
        <v>808</v>
      </c>
      <c r="E731" s="122">
        <v>1.052083333333333</v>
      </c>
      <c r="F731" s="112" t="s">
        <v>46</v>
      </c>
      <c r="G731" s="114">
        <v>9</v>
      </c>
      <c r="H731" s="115" t="s">
        <v>607</v>
      </c>
    </row>
    <row r="732" spans="1:8" ht="19.899999999999999" customHeight="1">
      <c r="A732" s="121">
        <v>46036</v>
      </c>
      <c r="B732" s="112" t="s">
        <v>38</v>
      </c>
      <c r="C732" s="113" t="s">
        <v>809</v>
      </c>
      <c r="D732" s="112" t="s">
        <v>808</v>
      </c>
      <c r="E732" s="122">
        <v>1.5763888888888891</v>
      </c>
      <c r="F732" s="112" t="s">
        <v>46</v>
      </c>
      <c r="G732" s="114">
        <v>10</v>
      </c>
      <c r="H732" s="115" t="s">
        <v>810</v>
      </c>
    </row>
    <row r="733" spans="1:8" ht="19.899999999999999" customHeight="1">
      <c r="A733" s="121">
        <v>46036</v>
      </c>
      <c r="B733" s="112" t="s">
        <v>38</v>
      </c>
      <c r="C733" s="113" t="s">
        <v>811</v>
      </c>
      <c r="D733" s="112" t="s">
        <v>808</v>
      </c>
      <c r="E733" s="122">
        <v>1.6284722222222221</v>
      </c>
      <c r="F733" s="112" t="s">
        <v>46</v>
      </c>
      <c r="G733" s="114">
        <v>5</v>
      </c>
      <c r="H733" s="115" t="s">
        <v>810</v>
      </c>
    </row>
    <row r="734" spans="1:8" ht="19.899999999999999" customHeight="1">
      <c r="A734" s="121">
        <v>46036</v>
      </c>
      <c r="B734" s="112" t="s">
        <v>38</v>
      </c>
      <c r="C734" s="113" t="s">
        <v>812</v>
      </c>
      <c r="D734" s="112" t="s">
        <v>808</v>
      </c>
      <c r="E734" s="122">
        <v>1.8888888888888891</v>
      </c>
      <c r="F734" s="112" t="s">
        <v>46</v>
      </c>
      <c r="G734" s="114">
        <v>11</v>
      </c>
      <c r="H734" s="115" t="s">
        <v>810</v>
      </c>
    </row>
    <row r="735" spans="1:8" ht="19.899999999999999" customHeight="1">
      <c r="A735" s="121">
        <v>46036</v>
      </c>
      <c r="B735" s="112" t="s">
        <v>38</v>
      </c>
      <c r="C735" s="113" t="s">
        <v>813</v>
      </c>
      <c r="D735" s="112" t="s">
        <v>808</v>
      </c>
      <c r="E735" s="122">
        <v>1.944444444444444</v>
      </c>
      <c r="F735" s="112" t="s">
        <v>46</v>
      </c>
      <c r="G735" s="114">
        <v>34</v>
      </c>
      <c r="H735" s="115" t="s">
        <v>810</v>
      </c>
    </row>
    <row r="736" spans="1:8" ht="19.899999999999999" customHeight="1">
      <c r="A736" s="121">
        <v>46036</v>
      </c>
      <c r="B736" s="112" t="s">
        <v>48</v>
      </c>
      <c r="C736" s="113" t="s">
        <v>835</v>
      </c>
      <c r="D736" s="112" t="s">
        <v>808</v>
      </c>
      <c r="E736" s="122">
        <v>1.8888888888888891</v>
      </c>
      <c r="F736" s="112" t="s">
        <v>53</v>
      </c>
      <c r="G736" s="114">
        <v>4</v>
      </c>
      <c r="H736" s="115" t="s">
        <v>836</v>
      </c>
    </row>
    <row r="737" spans="1:8" ht="19.899999999999999" customHeight="1">
      <c r="A737" s="121">
        <v>46036</v>
      </c>
      <c r="B737" s="112" t="s">
        <v>48</v>
      </c>
      <c r="C737" s="113" t="s">
        <v>837</v>
      </c>
      <c r="D737" s="112" t="s">
        <v>808</v>
      </c>
      <c r="E737" s="122">
        <v>1.6284722222222221</v>
      </c>
      <c r="F737" s="112" t="s">
        <v>53</v>
      </c>
      <c r="G737" s="114">
        <v>4</v>
      </c>
      <c r="H737" s="115" t="s">
        <v>836</v>
      </c>
    </row>
    <row r="738" spans="1:8" ht="19.899999999999999" customHeight="1">
      <c r="A738" s="123">
        <v>46036</v>
      </c>
      <c r="B738" s="124" t="s">
        <v>48</v>
      </c>
      <c r="C738" s="125" t="s">
        <v>838</v>
      </c>
      <c r="D738" s="124" t="s">
        <v>808</v>
      </c>
      <c r="E738" s="126">
        <v>1.944444444444444</v>
      </c>
      <c r="F738" s="124" t="s">
        <v>53</v>
      </c>
      <c r="G738" s="127">
        <v>4</v>
      </c>
      <c r="H738" s="128" t="s">
        <v>836</v>
      </c>
    </row>
    <row r="739" spans="1:8" ht="19.899999999999999" customHeight="1">
      <c r="A739" s="121">
        <v>46037</v>
      </c>
      <c r="B739" s="112" t="s">
        <v>38</v>
      </c>
      <c r="C739" s="113" t="s">
        <v>809</v>
      </c>
      <c r="D739" s="112" t="s">
        <v>808</v>
      </c>
      <c r="E739" s="122">
        <v>1.5763888888888891</v>
      </c>
      <c r="F739" s="112" t="s">
        <v>40</v>
      </c>
      <c r="G739" s="114">
        <v>10</v>
      </c>
      <c r="H739" s="115" t="s">
        <v>872</v>
      </c>
    </row>
    <row r="740" spans="1:8" ht="19.899999999999999" customHeight="1">
      <c r="A740" s="121">
        <v>46037</v>
      </c>
      <c r="B740" s="112" t="s">
        <v>38</v>
      </c>
      <c r="C740" s="113" t="s">
        <v>811</v>
      </c>
      <c r="D740" s="112" t="s">
        <v>808</v>
      </c>
      <c r="E740" s="122">
        <v>1.6284722222222221</v>
      </c>
      <c r="F740" s="112" t="s">
        <v>40</v>
      </c>
      <c r="G740" s="114">
        <v>10</v>
      </c>
      <c r="H740" s="115" t="s">
        <v>872</v>
      </c>
    </row>
    <row r="741" spans="1:8" ht="19.899999999999999" customHeight="1">
      <c r="A741" s="121">
        <v>46037</v>
      </c>
      <c r="B741" s="112" t="s">
        <v>38</v>
      </c>
      <c r="C741" s="113" t="s">
        <v>812</v>
      </c>
      <c r="D741" s="112" t="s">
        <v>808</v>
      </c>
      <c r="E741" s="122">
        <v>1.8888888888888891</v>
      </c>
      <c r="F741" s="112" t="s">
        <v>40</v>
      </c>
      <c r="G741" s="114">
        <v>15</v>
      </c>
      <c r="H741" s="115" t="s">
        <v>872</v>
      </c>
    </row>
    <row r="742" spans="1:8" ht="19.899999999999999" customHeight="1">
      <c r="A742" s="121">
        <v>46037</v>
      </c>
      <c r="B742" s="112" t="s">
        <v>38</v>
      </c>
      <c r="C742" s="113" t="s">
        <v>813</v>
      </c>
      <c r="D742" s="112" t="s">
        <v>808</v>
      </c>
      <c r="E742" s="122">
        <v>1.944444444444444</v>
      </c>
      <c r="F742" s="112" t="s">
        <v>40</v>
      </c>
      <c r="G742" s="114">
        <v>10</v>
      </c>
      <c r="H742" s="115" t="s">
        <v>872</v>
      </c>
    </row>
    <row r="743" spans="1:8" ht="19.899999999999999" customHeight="1">
      <c r="A743" s="121">
        <v>46037</v>
      </c>
      <c r="B743" s="112" t="s">
        <v>26</v>
      </c>
      <c r="C743" s="113" t="s">
        <v>820</v>
      </c>
      <c r="D743" s="112" t="s">
        <v>808</v>
      </c>
      <c r="E743" s="122">
        <v>1.4375</v>
      </c>
      <c r="F743" s="112" t="s">
        <v>28</v>
      </c>
      <c r="G743" s="114">
        <v>9</v>
      </c>
      <c r="H743" s="115" t="s">
        <v>81</v>
      </c>
    </row>
    <row r="744" spans="1:8" ht="19.899999999999999" customHeight="1">
      <c r="A744" s="121">
        <v>46037</v>
      </c>
      <c r="B744" s="112" t="s">
        <v>26</v>
      </c>
      <c r="C744" s="113" t="s">
        <v>821</v>
      </c>
      <c r="D744" s="112" t="s">
        <v>808</v>
      </c>
      <c r="E744" s="122">
        <v>1.631944444444444</v>
      </c>
      <c r="F744" s="112" t="s">
        <v>28</v>
      </c>
      <c r="G744" s="114">
        <v>9</v>
      </c>
      <c r="H744" s="115" t="s">
        <v>81</v>
      </c>
    </row>
    <row r="745" spans="1:8" ht="19.899999999999999" customHeight="1">
      <c r="A745" s="121">
        <v>46037</v>
      </c>
      <c r="B745" s="112" t="s">
        <v>26</v>
      </c>
      <c r="C745" s="113" t="s">
        <v>822</v>
      </c>
      <c r="D745" s="112" t="s">
        <v>808</v>
      </c>
      <c r="E745" s="122">
        <v>1.5590277777777779</v>
      </c>
      <c r="F745" s="112" t="s">
        <v>28</v>
      </c>
      <c r="G745" s="114">
        <v>9</v>
      </c>
      <c r="H745" s="115" t="s">
        <v>81</v>
      </c>
    </row>
    <row r="746" spans="1:8" ht="19.899999999999999" customHeight="1">
      <c r="A746" s="121">
        <v>46037</v>
      </c>
      <c r="B746" s="112" t="s">
        <v>26</v>
      </c>
      <c r="C746" s="113" t="s">
        <v>824</v>
      </c>
      <c r="D746" s="112" t="s">
        <v>808</v>
      </c>
      <c r="E746" s="122">
        <v>1.506944444444444</v>
      </c>
      <c r="F746" s="112" t="s">
        <v>28</v>
      </c>
      <c r="G746" s="114">
        <v>9</v>
      </c>
      <c r="H746" s="115" t="s">
        <v>81</v>
      </c>
    </row>
    <row r="747" spans="1:8" ht="19.899999999999999" customHeight="1">
      <c r="A747" s="121">
        <v>46037</v>
      </c>
      <c r="B747" s="112" t="s">
        <v>26</v>
      </c>
      <c r="C747" s="113" t="s">
        <v>825</v>
      </c>
      <c r="D747" s="112" t="s">
        <v>808</v>
      </c>
      <c r="E747" s="122">
        <v>1.697916666666667</v>
      </c>
      <c r="F747" s="112" t="s">
        <v>28</v>
      </c>
      <c r="G747" s="114">
        <v>4</v>
      </c>
      <c r="H747" s="115" t="s">
        <v>81</v>
      </c>
    </row>
    <row r="748" spans="1:8" ht="19.899999999999999" customHeight="1">
      <c r="A748" s="121">
        <v>46037</v>
      </c>
      <c r="B748" s="112" t="s">
        <v>26</v>
      </c>
      <c r="C748" s="113" t="s">
        <v>826</v>
      </c>
      <c r="D748" s="112" t="s">
        <v>808</v>
      </c>
      <c r="E748" s="122">
        <v>1.958333333333333</v>
      </c>
      <c r="F748" s="112" t="s">
        <v>28</v>
      </c>
      <c r="G748" s="114">
        <v>9</v>
      </c>
      <c r="H748" s="115" t="s">
        <v>827</v>
      </c>
    </row>
    <row r="749" spans="1:8" ht="19.899999999999999" customHeight="1">
      <c r="A749" s="121">
        <v>46037</v>
      </c>
      <c r="B749" s="112" t="s">
        <v>26</v>
      </c>
      <c r="C749" s="113" t="s">
        <v>823</v>
      </c>
      <c r="D749" s="112" t="s">
        <v>808</v>
      </c>
      <c r="E749" s="122">
        <v>1.819444444444444</v>
      </c>
      <c r="F749" s="112" t="s">
        <v>28</v>
      </c>
      <c r="G749" s="114">
        <v>9</v>
      </c>
      <c r="H749" s="115" t="s">
        <v>827</v>
      </c>
    </row>
    <row r="750" spans="1:8" ht="19.899999999999999" customHeight="1">
      <c r="A750" s="129">
        <v>46037</v>
      </c>
      <c r="B750" s="117" t="s">
        <v>61</v>
      </c>
      <c r="C750" s="118" t="s">
        <v>816</v>
      </c>
      <c r="D750" s="117" t="s">
        <v>808</v>
      </c>
      <c r="E750" s="130">
        <v>1.413194444444444</v>
      </c>
      <c r="F750" s="117" t="s">
        <v>63</v>
      </c>
      <c r="G750" s="119">
        <v>7</v>
      </c>
      <c r="H750" s="120" t="s">
        <v>121</v>
      </c>
    </row>
    <row r="751" spans="1:8" ht="19.899999999999999" customHeight="1">
      <c r="A751" s="121">
        <v>46037</v>
      </c>
      <c r="B751" s="112" t="s">
        <v>26</v>
      </c>
      <c r="C751" s="113" t="s">
        <v>820</v>
      </c>
      <c r="D751" s="112" t="s">
        <v>808</v>
      </c>
      <c r="E751" s="122">
        <v>1.4375</v>
      </c>
      <c r="F751" s="112" t="s">
        <v>31</v>
      </c>
      <c r="G751" s="114">
        <v>9</v>
      </c>
      <c r="H751" s="115" t="s">
        <v>83</v>
      </c>
    </row>
    <row r="752" spans="1:8" ht="19.899999999999999" customHeight="1">
      <c r="A752" s="121">
        <v>46037</v>
      </c>
      <c r="B752" s="112" t="s">
        <v>26</v>
      </c>
      <c r="C752" s="113" t="s">
        <v>821</v>
      </c>
      <c r="D752" s="112" t="s">
        <v>808</v>
      </c>
      <c r="E752" s="122">
        <v>1.631944444444444</v>
      </c>
      <c r="F752" s="112" t="s">
        <v>31</v>
      </c>
      <c r="G752" s="114">
        <v>9</v>
      </c>
      <c r="H752" s="115" t="s">
        <v>83</v>
      </c>
    </row>
    <row r="753" spans="1:8" ht="19.899999999999999" customHeight="1">
      <c r="A753" s="121">
        <v>46037</v>
      </c>
      <c r="B753" s="112" t="s">
        <v>26</v>
      </c>
      <c r="C753" s="113" t="s">
        <v>822</v>
      </c>
      <c r="D753" s="112" t="s">
        <v>808</v>
      </c>
      <c r="E753" s="122">
        <v>1.5590277777777779</v>
      </c>
      <c r="F753" s="112" t="s">
        <v>31</v>
      </c>
      <c r="G753" s="114">
        <v>9</v>
      </c>
      <c r="H753" s="115" t="s">
        <v>83</v>
      </c>
    </row>
    <row r="754" spans="1:8" ht="19.899999999999999" customHeight="1">
      <c r="A754" s="121">
        <v>46037</v>
      </c>
      <c r="B754" s="112" t="s">
        <v>26</v>
      </c>
      <c r="C754" s="113" t="s">
        <v>824</v>
      </c>
      <c r="D754" s="112" t="s">
        <v>808</v>
      </c>
      <c r="E754" s="122">
        <v>1.506944444444444</v>
      </c>
      <c r="F754" s="112" t="s">
        <v>31</v>
      </c>
      <c r="G754" s="114">
        <v>9</v>
      </c>
      <c r="H754" s="115" t="s">
        <v>83</v>
      </c>
    </row>
    <row r="755" spans="1:8" ht="19.899999999999999" customHeight="1">
      <c r="A755" s="121">
        <v>46037</v>
      </c>
      <c r="B755" s="112" t="s">
        <v>26</v>
      </c>
      <c r="C755" s="113" t="s">
        <v>825</v>
      </c>
      <c r="D755" s="112" t="s">
        <v>808</v>
      </c>
      <c r="E755" s="122">
        <v>1.697916666666667</v>
      </c>
      <c r="F755" s="112" t="s">
        <v>31</v>
      </c>
      <c r="G755" s="114">
        <v>4</v>
      </c>
      <c r="H755" s="115" t="s">
        <v>83</v>
      </c>
    </row>
    <row r="756" spans="1:8" ht="19.899999999999999" customHeight="1">
      <c r="A756" s="121">
        <v>46037</v>
      </c>
      <c r="B756" s="112" t="s">
        <v>359</v>
      </c>
      <c r="C756" s="113" t="s">
        <v>814</v>
      </c>
      <c r="D756" s="112" t="s">
        <v>808</v>
      </c>
      <c r="E756" s="122">
        <v>1.4375</v>
      </c>
      <c r="F756" s="112" t="s">
        <v>361</v>
      </c>
      <c r="G756" s="114">
        <v>9</v>
      </c>
      <c r="H756" s="115" t="s">
        <v>919</v>
      </c>
    </row>
    <row r="757" spans="1:8" ht="19.899999999999999" customHeight="1">
      <c r="A757" s="121">
        <v>46037</v>
      </c>
      <c r="B757" s="112" t="s">
        <v>38</v>
      </c>
      <c r="C757" s="113" t="s">
        <v>809</v>
      </c>
      <c r="D757" s="112" t="s">
        <v>808</v>
      </c>
      <c r="E757" s="122">
        <v>1.5763888888888891</v>
      </c>
      <c r="F757" s="112" t="s">
        <v>43</v>
      </c>
      <c r="G757" s="114">
        <v>10</v>
      </c>
      <c r="H757" s="115" t="s">
        <v>349</v>
      </c>
    </row>
    <row r="758" spans="1:8" ht="19.899999999999999" customHeight="1">
      <c r="A758" s="121">
        <v>46037</v>
      </c>
      <c r="B758" s="112" t="s">
        <v>38</v>
      </c>
      <c r="C758" s="113" t="s">
        <v>811</v>
      </c>
      <c r="D758" s="112" t="s">
        <v>808</v>
      </c>
      <c r="E758" s="122">
        <v>1.6284722222222221</v>
      </c>
      <c r="F758" s="112" t="s">
        <v>43</v>
      </c>
      <c r="G758" s="114">
        <v>10</v>
      </c>
      <c r="H758" s="115" t="s">
        <v>349</v>
      </c>
    </row>
    <row r="759" spans="1:8" ht="19.899999999999999" customHeight="1">
      <c r="A759" s="121">
        <v>46037</v>
      </c>
      <c r="B759" s="112" t="s">
        <v>38</v>
      </c>
      <c r="C759" s="113" t="s">
        <v>812</v>
      </c>
      <c r="D759" s="112" t="s">
        <v>808</v>
      </c>
      <c r="E759" s="122">
        <v>1.8888888888888891</v>
      </c>
      <c r="F759" s="112" t="s">
        <v>43</v>
      </c>
      <c r="G759" s="114">
        <v>15</v>
      </c>
      <c r="H759" s="115" t="s">
        <v>349</v>
      </c>
    </row>
    <row r="760" spans="1:8" ht="19.899999999999999" customHeight="1">
      <c r="A760" s="121">
        <v>46037</v>
      </c>
      <c r="B760" s="112" t="s">
        <v>38</v>
      </c>
      <c r="C760" s="113" t="s">
        <v>813</v>
      </c>
      <c r="D760" s="112" t="s">
        <v>808</v>
      </c>
      <c r="E760" s="122">
        <v>1.944444444444444</v>
      </c>
      <c r="F760" s="112" t="s">
        <v>43</v>
      </c>
      <c r="G760" s="114">
        <v>10</v>
      </c>
      <c r="H760" s="115" t="s">
        <v>349</v>
      </c>
    </row>
    <row r="761" spans="1:8" ht="19.899999999999999" customHeight="1">
      <c r="A761" s="121">
        <v>46037</v>
      </c>
      <c r="B761" s="112" t="s">
        <v>68</v>
      </c>
      <c r="C761" s="113" t="s">
        <v>843</v>
      </c>
      <c r="D761" s="112" t="s">
        <v>808</v>
      </c>
      <c r="E761" s="122">
        <v>1.354166666666667</v>
      </c>
      <c r="F761" s="112" t="s">
        <v>70</v>
      </c>
      <c r="G761" s="114">
        <v>9</v>
      </c>
      <c r="H761" s="115" t="s">
        <v>404</v>
      </c>
    </row>
    <row r="762" spans="1:8" ht="19.899999999999999" customHeight="1">
      <c r="A762" s="121">
        <v>46037</v>
      </c>
      <c r="B762" s="112" t="s">
        <v>26</v>
      </c>
      <c r="C762" s="113" t="s">
        <v>826</v>
      </c>
      <c r="D762" s="112" t="s">
        <v>808</v>
      </c>
      <c r="E762" s="122">
        <v>1.958333333333333</v>
      </c>
      <c r="F762" s="112" t="s">
        <v>31</v>
      </c>
      <c r="G762" s="114">
        <v>9</v>
      </c>
      <c r="H762" s="115" t="s">
        <v>161</v>
      </c>
    </row>
    <row r="763" spans="1:8" ht="19.899999999999999" customHeight="1">
      <c r="A763" s="121">
        <v>46037</v>
      </c>
      <c r="B763" s="112" t="s">
        <v>26</v>
      </c>
      <c r="C763" s="113" t="s">
        <v>823</v>
      </c>
      <c r="D763" s="112" t="s">
        <v>808</v>
      </c>
      <c r="E763" s="122">
        <v>1.819444444444444</v>
      </c>
      <c r="F763" s="112" t="s">
        <v>31</v>
      </c>
      <c r="G763" s="114">
        <v>9</v>
      </c>
      <c r="H763" s="115" t="s">
        <v>161</v>
      </c>
    </row>
    <row r="764" spans="1:8" ht="19.899999999999999" customHeight="1">
      <c r="A764" s="121">
        <v>46037</v>
      </c>
      <c r="B764" s="112" t="s">
        <v>48</v>
      </c>
      <c r="C764" s="113" t="s">
        <v>833</v>
      </c>
      <c r="D764" s="112" t="s">
        <v>808</v>
      </c>
      <c r="E764" s="122">
        <v>1.444444444444444</v>
      </c>
      <c r="F764" s="112" t="s">
        <v>50</v>
      </c>
      <c r="G764" s="114">
        <v>9</v>
      </c>
      <c r="H764" s="115" t="s">
        <v>133</v>
      </c>
    </row>
    <row r="765" spans="1:8" ht="19.899999999999999" customHeight="1">
      <c r="A765" s="121">
        <v>46037</v>
      </c>
      <c r="B765" s="112" t="s">
        <v>48</v>
      </c>
      <c r="C765" s="113" t="s">
        <v>828</v>
      </c>
      <c r="D765" s="112" t="s">
        <v>808</v>
      </c>
      <c r="E765" s="122">
        <v>1.8298611111111109</v>
      </c>
      <c r="F765" s="112" t="s">
        <v>50</v>
      </c>
      <c r="G765" s="114">
        <v>3</v>
      </c>
      <c r="H765" s="115" t="s">
        <v>133</v>
      </c>
    </row>
    <row r="766" spans="1:8" ht="19.899999999999999" customHeight="1">
      <c r="A766" s="121">
        <v>46037</v>
      </c>
      <c r="B766" s="112" t="s">
        <v>48</v>
      </c>
      <c r="C766" s="113" t="s">
        <v>831</v>
      </c>
      <c r="D766" s="112" t="s">
        <v>808</v>
      </c>
      <c r="E766" s="122">
        <v>1.9826388888888891</v>
      </c>
      <c r="F766" s="112" t="s">
        <v>50</v>
      </c>
      <c r="G766" s="114">
        <v>9</v>
      </c>
      <c r="H766" s="115" t="s">
        <v>133</v>
      </c>
    </row>
    <row r="767" spans="1:8" ht="19.899999999999999" customHeight="1">
      <c r="A767" s="121">
        <v>46037</v>
      </c>
      <c r="B767" s="112" t="s">
        <v>48</v>
      </c>
      <c r="C767" s="113" t="s">
        <v>832</v>
      </c>
      <c r="D767" s="112" t="s">
        <v>808</v>
      </c>
      <c r="E767" s="122">
        <v>1.6284722222222221</v>
      </c>
      <c r="F767" s="112" t="s">
        <v>50</v>
      </c>
      <c r="G767" s="114">
        <v>9</v>
      </c>
      <c r="H767" s="115" t="s">
        <v>133</v>
      </c>
    </row>
    <row r="768" spans="1:8" ht="19.899999999999999" customHeight="1">
      <c r="A768" s="121">
        <v>46037</v>
      </c>
      <c r="B768" s="112" t="s">
        <v>68</v>
      </c>
      <c r="C768" s="113" t="s">
        <v>842</v>
      </c>
      <c r="D768" s="112" t="s">
        <v>808</v>
      </c>
      <c r="E768" s="122">
        <v>1.9826388888888891</v>
      </c>
      <c r="F768" s="112" t="s">
        <v>70</v>
      </c>
      <c r="G768" s="114">
        <v>9</v>
      </c>
      <c r="H768" s="115" t="s">
        <v>45</v>
      </c>
    </row>
    <row r="769" spans="1:8" ht="19.899999999999999" customHeight="1">
      <c r="A769" s="121">
        <v>46037</v>
      </c>
      <c r="B769" s="112" t="s">
        <v>26</v>
      </c>
      <c r="C769" s="113" t="s">
        <v>820</v>
      </c>
      <c r="D769" s="112" t="s">
        <v>808</v>
      </c>
      <c r="E769" s="122">
        <v>1.4375</v>
      </c>
      <c r="F769" s="112" t="s">
        <v>34</v>
      </c>
      <c r="G769" s="114">
        <v>9</v>
      </c>
      <c r="H769" s="115" t="s">
        <v>45</v>
      </c>
    </row>
    <row r="770" spans="1:8" ht="19.899999999999999" customHeight="1">
      <c r="A770" s="121">
        <v>46037</v>
      </c>
      <c r="B770" s="112" t="s">
        <v>26</v>
      </c>
      <c r="C770" s="113" t="s">
        <v>821</v>
      </c>
      <c r="D770" s="112" t="s">
        <v>808</v>
      </c>
      <c r="E770" s="122">
        <v>1.631944444444444</v>
      </c>
      <c r="F770" s="112" t="s">
        <v>34</v>
      </c>
      <c r="G770" s="114">
        <v>9</v>
      </c>
      <c r="H770" s="115" t="s">
        <v>45</v>
      </c>
    </row>
    <row r="771" spans="1:8" ht="19.899999999999999" customHeight="1">
      <c r="A771" s="121">
        <v>46037</v>
      </c>
      <c r="B771" s="112" t="s">
        <v>26</v>
      </c>
      <c r="C771" s="113" t="s">
        <v>822</v>
      </c>
      <c r="D771" s="112" t="s">
        <v>808</v>
      </c>
      <c r="E771" s="122">
        <v>1.5590277777777779</v>
      </c>
      <c r="F771" s="112" t="s">
        <v>34</v>
      </c>
      <c r="G771" s="114">
        <v>9</v>
      </c>
      <c r="H771" s="115" t="s">
        <v>45</v>
      </c>
    </row>
    <row r="772" spans="1:8" ht="19.899999999999999" customHeight="1">
      <c r="A772" s="121">
        <v>46037</v>
      </c>
      <c r="B772" s="112" t="s">
        <v>26</v>
      </c>
      <c r="C772" s="113" t="s">
        <v>824</v>
      </c>
      <c r="D772" s="112" t="s">
        <v>808</v>
      </c>
      <c r="E772" s="122">
        <v>1.506944444444444</v>
      </c>
      <c r="F772" s="112" t="s">
        <v>34</v>
      </c>
      <c r="G772" s="114">
        <v>9</v>
      </c>
      <c r="H772" s="115" t="s">
        <v>45</v>
      </c>
    </row>
    <row r="773" spans="1:8" ht="19.899999999999999" customHeight="1">
      <c r="A773" s="121">
        <v>46037</v>
      </c>
      <c r="B773" s="112" t="s">
        <v>26</v>
      </c>
      <c r="C773" s="113" t="s">
        <v>825</v>
      </c>
      <c r="D773" s="112" t="s">
        <v>808</v>
      </c>
      <c r="E773" s="122">
        <v>1.697916666666667</v>
      </c>
      <c r="F773" s="112" t="s">
        <v>34</v>
      </c>
      <c r="G773" s="114">
        <v>4</v>
      </c>
      <c r="H773" s="115" t="s">
        <v>45</v>
      </c>
    </row>
    <row r="774" spans="1:8" ht="19.899999999999999" customHeight="1">
      <c r="A774" s="121">
        <v>46037</v>
      </c>
      <c r="B774" s="112" t="s">
        <v>402</v>
      </c>
      <c r="C774" s="113" t="s">
        <v>839</v>
      </c>
      <c r="D774" s="112" t="s">
        <v>808</v>
      </c>
      <c r="E774" s="122">
        <v>1.1701388888888891</v>
      </c>
      <c r="F774" s="112" t="s">
        <v>63</v>
      </c>
      <c r="G774" s="114">
        <v>5</v>
      </c>
      <c r="H774" s="115" t="s">
        <v>881</v>
      </c>
    </row>
    <row r="775" spans="1:8" ht="19.899999999999999" customHeight="1">
      <c r="A775" s="121">
        <v>46037</v>
      </c>
      <c r="B775" s="112" t="s">
        <v>26</v>
      </c>
      <c r="C775" s="113" t="s">
        <v>826</v>
      </c>
      <c r="D775" s="112" t="s">
        <v>808</v>
      </c>
      <c r="E775" s="122">
        <v>1.958333333333333</v>
      </c>
      <c r="F775" s="112" t="s">
        <v>34</v>
      </c>
      <c r="G775" s="114">
        <v>9</v>
      </c>
      <c r="H775" s="115" t="s">
        <v>123</v>
      </c>
    </row>
    <row r="776" spans="1:8" ht="19.899999999999999" customHeight="1">
      <c r="A776" s="121">
        <v>46037</v>
      </c>
      <c r="B776" s="112" t="s">
        <v>26</v>
      </c>
      <c r="C776" s="113" t="s">
        <v>823</v>
      </c>
      <c r="D776" s="112" t="s">
        <v>808</v>
      </c>
      <c r="E776" s="122">
        <v>1.819444444444444</v>
      </c>
      <c r="F776" s="112" t="s">
        <v>34</v>
      </c>
      <c r="G776" s="114">
        <v>9</v>
      </c>
      <c r="H776" s="115" t="s">
        <v>123</v>
      </c>
    </row>
    <row r="777" spans="1:8" ht="19.899999999999999" customHeight="1">
      <c r="A777" s="121">
        <v>46037</v>
      </c>
      <c r="B777" s="112" t="s">
        <v>48</v>
      </c>
      <c r="C777" s="113" t="s">
        <v>833</v>
      </c>
      <c r="D777" s="112" t="s">
        <v>808</v>
      </c>
      <c r="E777" s="122">
        <v>1.444444444444444</v>
      </c>
      <c r="F777" s="112" t="s">
        <v>53</v>
      </c>
      <c r="G777" s="114">
        <v>9</v>
      </c>
      <c r="H777" s="115" t="s">
        <v>834</v>
      </c>
    </row>
    <row r="778" spans="1:8" ht="19.899999999999999" customHeight="1">
      <c r="A778" s="121">
        <v>46037</v>
      </c>
      <c r="B778" s="112" t="s">
        <v>48</v>
      </c>
      <c r="C778" s="113" t="s">
        <v>828</v>
      </c>
      <c r="D778" s="112" t="s">
        <v>808</v>
      </c>
      <c r="E778" s="122">
        <v>1.8298611111111109</v>
      </c>
      <c r="F778" s="112" t="s">
        <v>53</v>
      </c>
      <c r="G778" s="114">
        <v>3</v>
      </c>
      <c r="H778" s="115" t="s">
        <v>834</v>
      </c>
    </row>
    <row r="779" spans="1:8" ht="19.899999999999999" customHeight="1">
      <c r="A779" s="121">
        <v>46037</v>
      </c>
      <c r="B779" s="112" t="s">
        <v>48</v>
      </c>
      <c r="C779" s="113" t="s">
        <v>831</v>
      </c>
      <c r="D779" s="112" t="s">
        <v>808</v>
      </c>
      <c r="E779" s="122">
        <v>1.9826388888888891</v>
      </c>
      <c r="F779" s="112" t="s">
        <v>53</v>
      </c>
      <c r="G779" s="114">
        <v>9</v>
      </c>
      <c r="H779" s="115" t="s">
        <v>834</v>
      </c>
    </row>
    <row r="780" spans="1:8" ht="19.899999999999999" customHeight="1">
      <c r="A780" s="121">
        <v>46037</v>
      </c>
      <c r="B780" s="112" t="s">
        <v>48</v>
      </c>
      <c r="C780" s="113" t="s">
        <v>832</v>
      </c>
      <c r="D780" s="112" t="s">
        <v>808</v>
      </c>
      <c r="E780" s="122">
        <v>1.6284722222222221</v>
      </c>
      <c r="F780" s="112" t="s">
        <v>53</v>
      </c>
      <c r="G780" s="114">
        <v>9</v>
      </c>
      <c r="H780" s="115" t="s">
        <v>834</v>
      </c>
    </row>
    <row r="781" spans="1:8" ht="19.899999999999999" customHeight="1">
      <c r="A781" s="121">
        <v>46037</v>
      </c>
      <c r="B781" s="112" t="s">
        <v>359</v>
      </c>
      <c r="C781" s="113" t="s">
        <v>814</v>
      </c>
      <c r="D781" s="112" t="s">
        <v>808</v>
      </c>
      <c r="E781" s="122">
        <v>1.4375</v>
      </c>
      <c r="F781" s="112" t="s">
        <v>46</v>
      </c>
      <c r="G781" s="114">
        <v>9</v>
      </c>
      <c r="H781" s="115" t="s">
        <v>607</v>
      </c>
    </row>
    <row r="782" spans="1:8" ht="19.899999999999999" customHeight="1">
      <c r="A782" s="121">
        <v>46037</v>
      </c>
      <c r="B782" s="112" t="s">
        <v>402</v>
      </c>
      <c r="C782" s="113" t="s">
        <v>841</v>
      </c>
      <c r="D782" s="112" t="s">
        <v>808</v>
      </c>
      <c r="E782" s="122">
        <v>1.614583333333333</v>
      </c>
      <c r="F782" s="112" t="s">
        <v>63</v>
      </c>
      <c r="G782" s="114">
        <v>3</v>
      </c>
      <c r="H782" s="115" t="s">
        <v>118</v>
      </c>
    </row>
    <row r="783" spans="1:8" ht="19.899999999999999" customHeight="1">
      <c r="A783" s="121">
        <v>46037</v>
      </c>
      <c r="B783" s="112" t="s">
        <v>68</v>
      </c>
      <c r="C783" s="113" t="s">
        <v>844</v>
      </c>
      <c r="D783" s="112" t="s">
        <v>808</v>
      </c>
      <c r="E783" s="122">
        <v>1.729166666666667</v>
      </c>
      <c r="F783" s="112" t="s">
        <v>70</v>
      </c>
      <c r="G783" s="114">
        <v>9</v>
      </c>
      <c r="H783" s="115" t="s">
        <v>921</v>
      </c>
    </row>
    <row r="784" spans="1:8" ht="19.899999999999999" customHeight="1">
      <c r="A784" s="121">
        <v>46037</v>
      </c>
      <c r="B784" s="112" t="s">
        <v>38</v>
      </c>
      <c r="C784" s="113" t="s">
        <v>809</v>
      </c>
      <c r="D784" s="112" t="s">
        <v>808</v>
      </c>
      <c r="E784" s="122">
        <v>1.5763888888888891</v>
      </c>
      <c r="F784" s="112" t="s">
        <v>46</v>
      </c>
      <c r="G784" s="114">
        <v>10</v>
      </c>
      <c r="H784" s="115" t="s">
        <v>810</v>
      </c>
    </row>
    <row r="785" spans="1:8" ht="19.899999999999999" customHeight="1">
      <c r="A785" s="121">
        <v>46037</v>
      </c>
      <c r="B785" s="112" t="s">
        <v>38</v>
      </c>
      <c r="C785" s="113" t="s">
        <v>811</v>
      </c>
      <c r="D785" s="112" t="s">
        <v>808</v>
      </c>
      <c r="E785" s="122">
        <v>1.6284722222222221</v>
      </c>
      <c r="F785" s="112" t="s">
        <v>46</v>
      </c>
      <c r="G785" s="114">
        <v>10</v>
      </c>
      <c r="H785" s="115" t="s">
        <v>810</v>
      </c>
    </row>
    <row r="786" spans="1:8" ht="19.899999999999999" customHeight="1">
      <c r="A786" s="121">
        <v>46037</v>
      </c>
      <c r="B786" s="112" t="s">
        <v>38</v>
      </c>
      <c r="C786" s="113" t="s">
        <v>812</v>
      </c>
      <c r="D786" s="112" t="s">
        <v>808</v>
      </c>
      <c r="E786" s="122">
        <v>1.8888888888888891</v>
      </c>
      <c r="F786" s="112" t="s">
        <v>46</v>
      </c>
      <c r="G786" s="114">
        <v>15</v>
      </c>
      <c r="H786" s="115" t="s">
        <v>810</v>
      </c>
    </row>
    <row r="787" spans="1:8" ht="19.899999999999999" customHeight="1">
      <c r="A787" s="121">
        <v>46037</v>
      </c>
      <c r="B787" s="112" t="s">
        <v>38</v>
      </c>
      <c r="C787" s="113" t="s">
        <v>813</v>
      </c>
      <c r="D787" s="112" t="s">
        <v>808</v>
      </c>
      <c r="E787" s="122">
        <v>1.944444444444444</v>
      </c>
      <c r="F787" s="112" t="s">
        <v>46</v>
      </c>
      <c r="G787" s="114">
        <v>10</v>
      </c>
      <c r="H787" s="115" t="s">
        <v>810</v>
      </c>
    </row>
    <row r="788" spans="1:8" ht="19.899999999999999" customHeight="1">
      <c r="A788" s="121">
        <v>46037</v>
      </c>
      <c r="B788" s="112" t="s">
        <v>48</v>
      </c>
      <c r="C788" s="113" t="s">
        <v>835</v>
      </c>
      <c r="D788" s="112" t="s">
        <v>808</v>
      </c>
      <c r="E788" s="122">
        <v>1.8888888888888891</v>
      </c>
      <c r="F788" s="112" t="s">
        <v>53</v>
      </c>
      <c r="G788" s="114">
        <v>4</v>
      </c>
      <c r="H788" s="115" t="s">
        <v>836</v>
      </c>
    </row>
    <row r="789" spans="1:8" ht="19.899999999999999" customHeight="1">
      <c r="A789" s="121">
        <v>46037</v>
      </c>
      <c r="B789" s="112" t="s">
        <v>48</v>
      </c>
      <c r="C789" s="113" t="s">
        <v>837</v>
      </c>
      <c r="D789" s="112" t="s">
        <v>808</v>
      </c>
      <c r="E789" s="122">
        <v>1.6284722222222221</v>
      </c>
      <c r="F789" s="112" t="s">
        <v>53</v>
      </c>
      <c r="G789" s="114">
        <v>4</v>
      </c>
      <c r="H789" s="115" t="s">
        <v>836</v>
      </c>
    </row>
    <row r="790" spans="1:8" ht="19.899999999999999" customHeight="1">
      <c r="A790" s="123">
        <v>46037</v>
      </c>
      <c r="B790" s="124" t="s">
        <v>48</v>
      </c>
      <c r="C790" s="125" t="s">
        <v>838</v>
      </c>
      <c r="D790" s="124" t="s">
        <v>808</v>
      </c>
      <c r="E790" s="126">
        <v>1.944444444444444</v>
      </c>
      <c r="F790" s="124" t="s">
        <v>53</v>
      </c>
      <c r="G790" s="127">
        <v>4</v>
      </c>
      <c r="H790" s="128" t="s">
        <v>836</v>
      </c>
    </row>
    <row r="791" spans="1:8" ht="19.899999999999999" customHeight="1">
      <c r="A791" s="121">
        <v>46038</v>
      </c>
      <c r="B791" s="112" t="s">
        <v>359</v>
      </c>
      <c r="C791" s="113" t="s">
        <v>814</v>
      </c>
      <c r="D791" s="112" t="s">
        <v>808</v>
      </c>
      <c r="E791" s="122">
        <v>1.1875</v>
      </c>
      <c r="F791" s="112" t="s">
        <v>361</v>
      </c>
      <c r="G791" s="114">
        <v>9</v>
      </c>
      <c r="H791" s="115" t="s">
        <v>922</v>
      </c>
    </row>
    <row r="792" spans="1:8" ht="19.899999999999999" customHeight="1">
      <c r="A792" s="129">
        <v>46038</v>
      </c>
      <c r="B792" s="117" t="s">
        <v>61</v>
      </c>
      <c r="C792" s="118" t="s">
        <v>816</v>
      </c>
      <c r="D792" s="117" t="s">
        <v>808</v>
      </c>
      <c r="E792" s="130">
        <v>1.40625</v>
      </c>
      <c r="F792" s="117" t="s">
        <v>63</v>
      </c>
      <c r="G792" s="119">
        <v>9</v>
      </c>
      <c r="H792" s="120" t="s">
        <v>33</v>
      </c>
    </row>
    <row r="793" spans="1:8" ht="19.899999999999999" customHeight="1">
      <c r="A793" s="121">
        <v>46038</v>
      </c>
      <c r="B793" s="112" t="s">
        <v>38</v>
      </c>
      <c r="C793" s="113" t="s">
        <v>812</v>
      </c>
      <c r="D793" s="112" t="s">
        <v>808</v>
      </c>
      <c r="E793" s="122">
        <v>1.8888888888888891</v>
      </c>
      <c r="F793" s="112" t="s">
        <v>40</v>
      </c>
      <c r="G793" s="114">
        <v>6</v>
      </c>
      <c r="H793" s="115" t="s">
        <v>33</v>
      </c>
    </row>
    <row r="794" spans="1:8" ht="19.899999999999999" customHeight="1">
      <c r="A794" s="121">
        <v>46038</v>
      </c>
      <c r="B794" s="112" t="s">
        <v>38</v>
      </c>
      <c r="C794" s="113" t="s">
        <v>813</v>
      </c>
      <c r="D794" s="112" t="s">
        <v>808</v>
      </c>
      <c r="E794" s="122">
        <v>1.944444444444444</v>
      </c>
      <c r="F794" s="112" t="s">
        <v>40</v>
      </c>
      <c r="G794" s="114">
        <v>26</v>
      </c>
      <c r="H794" s="115" t="s">
        <v>33</v>
      </c>
    </row>
    <row r="795" spans="1:8" ht="19.899999999999999" customHeight="1">
      <c r="A795" s="121">
        <v>46038</v>
      </c>
      <c r="B795" s="112" t="s">
        <v>38</v>
      </c>
      <c r="C795" s="113" t="s">
        <v>811</v>
      </c>
      <c r="D795" s="112" t="s">
        <v>808</v>
      </c>
      <c r="E795" s="122">
        <v>1.6284722222222221</v>
      </c>
      <c r="F795" s="112" t="s">
        <v>40</v>
      </c>
      <c r="G795" s="114">
        <v>53</v>
      </c>
      <c r="H795" s="115" t="s">
        <v>426</v>
      </c>
    </row>
    <row r="796" spans="1:8" ht="19.899999999999999" customHeight="1">
      <c r="A796" s="121">
        <v>46038</v>
      </c>
      <c r="B796" s="112" t="s">
        <v>38</v>
      </c>
      <c r="C796" s="113" t="s">
        <v>809</v>
      </c>
      <c r="D796" s="112" t="s">
        <v>808</v>
      </c>
      <c r="E796" s="122">
        <v>1.5763888888888891</v>
      </c>
      <c r="F796" s="112" t="s">
        <v>40</v>
      </c>
      <c r="G796" s="114">
        <v>20</v>
      </c>
      <c r="H796" s="115" t="s">
        <v>45</v>
      </c>
    </row>
    <row r="797" spans="1:8" ht="19.899999999999999" customHeight="1">
      <c r="A797" s="129">
        <v>46038</v>
      </c>
      <c r="B797" s="117" t="s">
        <v>61</v>
      </c>
      <c r="C797" s="118" t="s">
        <v>852</v>
      </c>
      <c r="D797" s="117" t="s">
        <v>808</v>
      </c>
      <c r="E797" s="130">
        <v>1.725694444444444</v>
      </c>
      <c r="F797" s="117" t="s">
        <v>63</v>
      </c>
      <c r="G797" s="119">
        <v>9</v>
      </c>
      <c r="H797" s="120" t="s">
        <v>924</v>
      </c>
    </row>
    <row r="798" spans="1:8" ht="19.899999999999999" customHeight="1">
      <c r="A798" s="121">
        <v>46038</v>
      </c>
      <c r="B798" s="112" t="s">
        <v>38</v>
      </c>
      <c r="C798" s="113" t="s">
        <v>812</v>
      </c>
      <c r="D798" s="112" t="s">
        <v>808</v>
      </c>
      <c r="E798" s="122">
        <v>1.8888888888888891</v>
      </c>
      <c r="F798" s="112" t="s">
        <v>43</v>
      </c>
      <c r="G798" s="114">
        <v>6</v>
      </c>
      <c r="H798" s="115" t="s">
        <v>926</v>
      </c>
    </row>
    <row r="799" spans="1:8" ht="19.899999999999999" customHeight="1">
      <c r="A799" s="121">
        <v>46038</v>
      </c>
      <c r="B799" s="112" t="s">
        <v>38</v>
      </c>
      <c r="C799" s="113" t="s">
        <v>813</v>
      </c>
      <c r="D799" s="112" t="s">
        <v>808</v>
      </c>
      <c r="E799" s="122">
        <v>1.944444444444444</v>
      </c>
      <c r="F799" s="112" t="s">
        <v>43</v>
      </c>
      <c r="G799" s="114">
        <v>26</v>
      </c>
      <c r="H799" s="115" t="s">
        <v>926</v>
      </c>
    </row>
    <row r="800" spans="1:8" ht="19.899999999999999" customHeight="1">
      <c r="A800" s="121">
        <v>46038</v>
      </c>
      <c r="B800" s="112" t="s">
        <v>68</v>
      </c>
      <c r="C800" s="113" t="s">
        <v>843</v>
      </c>
      <c r="D800" s="112" t="s">
        <v>808</v>
      </c>
      <c r="E800" s="122">
        <v>1.354166666666667</v>
      </c>
      <c r="F800" s="112" t="s">
        <v>70</v>
      </c>
      <c r="G800" s="114">
        <v>9</v>
      </c>
      <c r="H800" s="115" t="s">
        <v>931</v>
      </c>
    </row>
    <row r="801" spans="1:8" ht="19.899999999999999" customHeight="1">
      <c r="A801" s="121">
        <v>46038</v>
      </c>
      <c r="B801" s="112" t="s">
        <v>38</v>
      </c>
      <c r="C801" s="113" t="s">
        <v>811</v>
      </c>
      <c r="D801" s="112" t="s">
        <v>808</v>
      </c>
      <c r="E801" s="122">
        <v>1.6284722222222221</v>
      </c>
      <c r="F801" s="112" t="s">
        <v>43</v>
      </c>
      <c r="G801" s="114">
        <v>53</v>
      </c>
      <c r="H801" s="115" t="s">
        <v>503</v>
      </c>
    </row>
    <row r="802" spans="1:8" ht="19.899999999999999" customHeight="1">
      <c r="A802" s="121">
        <v>46038</v>
      </c>
      <c r="B802" s="112" t="s">
        <v>402</v>
      </c>
      <c r="C802" s="113" t="s">
        <v>839</v>
      </c>
      <c r="D802" s="112" t="s">
        <v>808</v>
      </c>
      <c r="E802" s="122">
        <v>1.211805555555556</v>
      </c>
      <c r="F802" s="112" t="s">
        <v>63</v>
      </c>
      <c r="G802" s="114">
        <v>1</v>
      </c>
      <c r="H802" s="115" t="s">
        <v>118</v>
      </c>
    </row>
    <row r="803" spans="1:8" ht="19.899999999999999" customHeight="1">
      <c r="A803" s="121">
        <v>46038</v>
      </c>
      <c r="B803" s="112" t="s">
        <v>38</v>
      </c>
      <c r="C803" s="113" t="s">
        <v>809</v>
      </c>
      <c r="D803" s="112" t="s">
        <v>808</v>
      </c>
      <c r="E803" s="122">
        <v>1.5763888888888891</v>
      </c>
      <c r="F803" s="112" t="s">
        <v>43</v>
      </c>
      <c r="G803" s="114">
        <v>20</v>
      </c>
      <c r="H803" s="115" t="s">
        <v>163</v>
      </c>
    </row>
    <row r="804" spans="1:8" ht="19.899999999999999" customHeight="1">
      <c r="A804" s="121">
        <v>46038</v>
      </c>
      <c r="B804" s="112" t="s">
        <v>359</v>
      </c>
      <c r="C804" s="113" t="s">
        <v>814</v>
      </c>
      <c r="D804" s="112" t="s">
        <v>808</v>
      </c>
      <c r="E804" s="122">
        <v>1.1875</v>
      </c>
      <c r="F804" s="112" t="s">
        <v>46</v>
      </c>
      <c r="G804" s="114">
        <v>9</v>
      </c>
      <c r="H804" s="115" t="s">
        <v>923</v>
      </c>
    </row>
    <row r="805" spans="1:8" ht="19.899999999999999" customHeight="1">
      <c r="A805" s="121">
        <v>46038</v>
      </c>
      <c r="B805" s="112" t="s">
        <v>26</v>
      </c>
      <c r="C805" s="113" t="s">
        <v>820</v>
      </c>
      <c r="D805" s="112" t="s">
        <v>808</v>
      </c>
      <c r="E805" s="122">
        <v>1.4375</v>
      </c>
      <c r="F805" s="112" t="s">
        <v>28</v>
      </c>
      <c r="G805" s="114">
        <v>8</v>
      </c>
      <c r="H805" s="115" t="s">
        <v>511</v>
      </c>
    </row>
    <row r="806" spans="1:8" ht="19.899999999999999" customHeight="1">
      <c r="A806" s="121">
        <v>46038</v>
      </c>
      <c r="B806" s="112" t="s">
        <v>26</v>
      </c>
      <c r="C806" s="113" t="s">
        <v>826</v>
      </c>
      <c r="D806" s="112" t="s">
        <v>808</v>
      </c>
      <c r="E806" s="122">
        <v>1.958333333333333</v>
      </c>
      <c r="F806" s="112" t="s">
        <v>28</v>
      </c>
      <c r="G806" s="114">
        <v>8</v>
      </c>
      <c r="H806" s="115" t="s">
        <v>511</v>
      </c>
    </row>
    <row r="807" spans="1:8" ht="19.899999999999999" customHeight="1">
      <c r="A807" s="121">
        <v>46038</v>
      </c>
      <c r="B807" s="112" t="s">
        <v>26</v>
      </c>
      <c r="C807" s="113" t="s">
        <v>821</v>
      </c>
      <c r="D807" s="112" t="s">
        <v>808</v>
      </c>
      <c r="E807" s="122">
        <v>1.631944444444444</v>
      </c>
      <c r="F807" s="112" t="s">
        <v>28</v>
      </c>
      <c r="G807" s="114">
        <v>8</v>
      </c>
      <c r="H807" s="115" t="s">
        <v>511</v>
      </c>
    </row>
    <row r="808" spans="1:8" ht="19.899999999999999" customHeight="1">
      <c r="A808" s="121">
        <v>46038</v>
      </c>
      <c r="B808" s="112" t="s">
        <v>26</v>
      </c>
      <c r="C808" s="113" t="s">
        <v>822</v>
      </c>
      <c r="D808" s="112" t="s">
        <v>808</v>
      </c>
      <c r="E808" s="122">
        <v>1.5590277777777779</v>
      </c>
      <c r="F808" s="112" t="s">
        <v>28</v>
      </c>
      <c r="G808" s="114">
        <v>8</v>
      </c>
      <c r="H808" s="115" t="s">
        <v>511</v>
      </c>
    </row>
    <row r="809" spans="1:8" ht="19.899999999999999" customHeight="1">
      <c r="A809" s="121">
        <v>46038</v>
      </c>
      <c r="B809" s="112" t="s">
        <v>26</v>
      </c>
      <c r="C809" s="113" t="s">
        <v>823</v>
      </c>
      <c r="D809" s="112" t="s">
        <v>808</v>
      </c>
      <c r="E809" s="122">
        <v>1.819444444444444</v>
      </c>
      <c r="F809" s="112" t="s">
        <v>28</v>
      </c>
      <c r="G809" s="114">
        <v>4</v>
      </c>
      <c r="H809" s="115" t="s">
        <v>511</v>
      </c>
    </row>
    <row r="810" spans="1:8" ht="19.899999999999999" customHeight="1">
      <c r="A810" s="121">
        <v>46038</v>
      </c>
      <c r="B810" s="112" t="s">
        <v>26</v>
      </c>
      <c r="C810" s="113" t="s">
        <v>824</v>
      </c>
      <c r="D810" s="112" t="s">
        <v>808</v>
      </c>
      <c r="E810" s="122">
        <v>1.506944444444444</v>
      </c>
      <c r="F810" s="112" t="s">
        <v>28</v>
      </c>
      <c r="G810" s="114">
        <v>8</v>
      </c>
      <c r="H810" s="115" t="s">
        <v>511</v>
      </c>
    </row>
    <row r="811" spans="1:8" ht="19.899999999999999" customHeight="1">
      <c r="A811" s="121">
        <v>46038</v>
      </c>
      <c r="B811" s="112" t="s">
        <v>26</v>
      </c>
      <c r="C811" s="113" t="s">
        <v>825</v>
      </c>
      <c r="D811" s="112" t="s">
        <v>808</v>
      </c>
      <c r="E811" s="122">
        <v>1.697916666666667</v>
      </c>
      <c r="F811" s="112" t="s">
        <v>28</v>
      </c>
      <c r="G811" s="114">
        <v>9</v>
      </c>
      <c r="H811" s="115" t="s">
        <v>511</v>
      </c>
    </row>
    <row r="812" spans="1:8" ht="19.899999999999999" customHeight="1">
      <c r="A812" s="121">
        <v>46038</v>
      </c>
      <c r="B812" s="112" t="s">
        <v>68</v>
      </c>
      <c r="C812" s="113" t="s">
        <v>842</v>
      </c>
      <c r="D812" s="112" t="s">
        <v>808</v>
      </c>
      <c r="E812" s="122">
        <v>1.9826388888888891</v>
      </c>
      <c r="F812" s="112" t="s">
        <v>70</v>
      </c>
      <c r="G812" s="114">
        <v>9</v>
      </c>
      <c r="H812" s="115" t="s">
        <v>666</v>
      </c>
    </row>
    <row r="813" spans="1:8" ht="19.899999999999999" customHeight="1">
      <c r="A813" s="121">
        <v>46038</v>
      </c>
      <c r="B813" s="112" t="s">
        <v>68</v>
      </c>
      <c r="C813" s="113" t="s">
        <v>844</v>
      </c>
      <c r="D813" s="112" t="s">
        <v>808</v>
      </c>
      <c r="E813" s="122">
        <v>1.729166666666667</v>
      </c>
      <c r="F813" s="112" t="s">
        <v>70</v>
      </c>
      <c r="G813" s="114">
        <v>9</v>
      </c>
      <c r="H813" s="115" t="s">
        <v>466</v>
      </c>
    </row>
    <row r="814" spans="1:8" ht="19.899999999999999" customHeight="1">
      <c r="A814" s="121">
        <v>46038</v>
      </c>
      <c r="B814" s="112" t="s">
        <v>26</v>
      </c>
      <c r="C814" s="113" t="s">
        <v>820</v>
      </c>
      <c r="D814" s="112" t="s">
        <v>808</v>
      </c>
      <c r="E814" s="122">
        <v>1.4375</v>
      </c>
      <c r="F814" s="112" t="s">
        <v>31</v>
      </c>
      <c r="G814" s="114">
        <v>8</v>
      </c>
      <c r="H814" s="115" t="s">
        <v>47</v>
      </c>
    </row>
    <row r="815" spans="1:8" ht="19.899999999999999" customHeight="1">
      <c r="A815" s="121">
        <v>46038</v>
      </c>
      <c r="B815" s="112" t="s">
        <v>26</v>
      </c>
      <c r="C815" s="113" t="s">
        <v>826</v>
      </c>
      <c r="D815" s="112" t="s">
        <v>808</v>
      </c>
      <c r="E815" s="122">
        <v>1.958333333333333</v>
      </c>
      <c r="F815" s="112" t="s">
        <v>31</v>
      </c>
      <c r="G815" s="114">
        <v>8</v>
      </c>
      <c r="H815" s="115" t="s">
        <v>47</v>
      </c>
    </row>
    <row r="816" spans="1:8" ht="19.899999999999999" customHeight="1">
      <c r="A816" s="121">
        <v>46038</v>
      </c>
      <c r="B816" s="112" t="s">
        <v>26</v>
      </c>
      <c r="C816" s="113" t="s">
        <v>821</v>
      </c>
      <c r="D816" s="112" t="s">
        <v>808</v>
      </c>
      <c r="E816" s="122">
        <v>1.631944444444444</v>
      </c>
      <c r="F816" s="112" t="s">
        <v>31</v>
      </c>
      <c r="G816" s="114">
        <v>8</v>
      </c>
      <c r="H816" s="115" t="s">
        <v>47</v>
      </c>
    </row>
    <row r="817" spans="1:8" ht="19.899999999999999" customHeight="1">
      <c r="A817" s="121">
        <v>46038</v>
      </c>
      <c r="B817" s="112" t="s">
        <v>26</v>
      </c>
      <c r="C817" s="113" t="s">
        <v>822</v>
      </c>
      <c r="D817" s="112" t="s">
        <v>808</v>
      </c>
      <c r="E817" s="122">
        <v>1.5590277777777779</v>
      </c>
      <c r="F817" s="112" t="s">
        <v>31</v>
      </c>
      <c r="G817" s="114">
        <v>8</v>
      </c>
      <c r="H817" s="115" t="s">
        <v>47</v>
      </c>
    </row>
    <row r="818" spans="1:8" ht="19.899999999999999" customHeight="1">
      <c r="A818" s="121">
        <v>46038</v>
      </c>
      <c r="B818" s="112" t="s">
        <v>26</v>
      </c>
      <c r="C818" s="113" t="s">
        <v>823</v>
      </c>
      <c r="D818" s="112" t="s">
        <v>808</v>
      </c>
      <c r="E818" s="122">
        <v>1.819444444444444</v>
      </c>
      <c r="F818" s="112" t="s">
        <v>31</v>
      </c>
      <c r="G818" s="114">
        <v>4</v>
      </c>
      <c r="H818" s="115" t="s">
        <v>47</v>
      </c>
    </row>
    <row r="819" spans="1:8" ht="19.899999999999999" customHeight="1">
      <c r="A819" s="121">
        <v>46038</v>
      </c>
      <c r="B819" s="112" t="s">
        <v>26</v>
      </c>
      <c r="C819" s="113" t="s">
        <v>824</v>
      </c>
      <c r="D819" s="112" t="s">
        <v>808</v>
      </c>
      <c r="E819" s="122">
        <v>1.506944444444444</v>
      </c>
      <c r="F819" s="112" t="s">
        <v>31</v>
      </c>
      <c r="G819" s="114">
        <v>8</v>
      </c>
      <c r="H819" s="115" t="s">
        <v>47</v>
      </c>
    </row>
    <row r="820" spans="1:8" ht="19.899999999999999" customHeight="1">
      <c r="A820" s="121">
        <v>46038</v>
      </c>
      <c r="B820" s="112" t="s">
        <v>26</v>
      </c>
      <c r="C820" s="113" t="s">
        <v>825</v>
      </c>
      <c r="D820" s="112" t="s">
        <v>808</v>
      </c>
      <c r="E820" s="122">
        <v>1.697916666666667</v>
      </c>
      <c r="F820" s="112" t="s">
        <v>31</v>
      </c>
      <c r="G820" s="114">
        <v>9</v>
      </c>
      <c r="H820" s="115" t="s">
        <v>47</v>
      </c>
    </row>
    <row r="821" spans="1:8" ht="19.899999999999999" customHeight="1">
      <c r="A821" s="121">
        <v>46038</v>
      </c>
      <c r="B821" s="112" t="s">
        <v>26</v>
      </c>
      <c r="C821" s="113" t="s">
        <v>820</v>
      </c>
      <c r="D821" s="112" t="s">
        <v>808</v>
      </c>
      <c r="E821" s="122">
        <v>1.4375</v>
      </c>
      <c r="F821" s="112" t="s">
        <v>34</v>
      </c>
      <c r="G821" s="114">
        <v>8</v>
      </c>
      <c r="H821" s="115" t="s">
        <v>932</v>
      </c>
    </row>
    <row r="822" spans="1:8" ht="19.899999999999999" customHeight="1">
      <c r="A822" s="121">
        <v>46038</v>
      </c>
      <c r="B822" s="112" t="s">
        <v>26</v>
      </c>
      <c r="C822" s="113" t="s">
        <v>826</v>
      </c>
      <c r="D822" s="112" t="s">
        <v>808</v>
      </c>
      <c r="E822" s="122">
        <v>1.958333333333333</v>
      </c>
      <c r="F822" s="112" t="s">
        <v>34</v>
      </c>
      <c r="G822" s="114">
        <v>8</v>
      </c>
      <c r="H822" s="115" t="s">
        <v>932</v>
      </c>
    </row>
    <row r="823" spans="1:8" ht="19.899999999999999" customHeight="1">
      <c r="A823" s="121">
        <v>46038</v>
      </c>
      <c r="B823" s="112" t="s">
        <v>26</v>
      </c>
      <c r="C823" s="113" t="s">
        <v>821</v>
      </c>
      <c r="D823" s="112" t="s">
        <v>808</v>
      </c>
      <c r="E823" s="122">
        <v>1.631944444444444</v>
      </c>
      <c r="F823" s="112" t="s">
        <v>34</v>
      </c>
      <c r="G823" s="114">
        <v>8</v>
      </c>
      <c r="H823" s="115" t="s">
        <v>932</v>
      </c>
    </row>
    <row r="824" spans="1:8" ht="19.899999999999999" customHeight="1">
      <c r="A824" s="121">
        <v>46038</v>
      </c>
      <c r="B824" s="112" t="s">
        <v>26</v>
      </c>
      <c r="C824" s="113" t="s">
        <v>822</v>
      </c>
      <c r="D824" s="112" t="s">
        <v>808</v>
      </c>
      <c r="E824" s="122">
        <v>1.5590277777777779</v>
      </c>
      <c r="F824" s="112" t="s">
        <v>34</v>
      </c>
      <c r="G824" s="114">
        <v>8</v>
      </c>
      <c r="H824" s="115" t="s">
        <v>932</v>
      </c>
    </row>
    <row r="825" spans="1:8" ht="19.899999999999999" customHeight="1">
      <c r="A825" s="121">
        <v>46038</v>
      </c>
      <c r="B825" s="112" t="s">
        <v>26</v>
      </c>
      <c r="C825" s="113" t="s">
        <v>823</v>
      </c>
      <c r="D825" s="112" t="s">
        <v>808</v>
      </c>
      <c r="E825" s="122">
        <v>1.819444444444444</v>
      </c>
      <c r="F825" s="112" t="s">
        <v>34</v>
      </c>
      <c r="G825" s="114">
        <v>4</v>
      </c>
      <c r="H825" s="115" t="s">
        <v>932</v>
      </c>
    </row>
    <row r="826" spans="1:8" ht="19.899999999999999" customHeight="1">
      <c r="A826" s="121">
        <v>46038</v>
      </c>
      <c r="B826" s="112" t="s">
        <v>26</v>
      </c>
      <c r="C826" s="113" t="s">
        <v>824</v>
      </c>
      <c r="D826" s="112" t="s">
        <v>808</v>
      </c>
      <c r="E826" s="122">
        <v>1.506944444444444</v>
      </c>
      <c r="F826" s="112" t="s">
        <v>34</v>
      </c>
      <c r="G826" s="114">
        <v>8</v>
      </c>
      <c r="H826" s="115" t="s">
        <v>932</v>
      </c>
    </row>
    <row r="827" spans="1:8" ht="19.899999999999999" customHeight="1">
      <c r="A827" s="121">
        <v>46038</v>
      </c>
      <c r="B827" s="112" t="s">
        <v>26</v>
      </c>
      <c r="C827" s="113" t="s">
        <v>825</v>
      </c>
      <c r="D827" s="112" t="s">
        <v>808</v>
      </c>
      <c r="E827" s="122">
        <v>1.697916666666667</v>
      </c>
      <c r="F827" s="112" t="s">
        <v>34</v>
      </c>
      <c r="G827" s="114">
        <v>9</v>
      </c>
      <c r="H827" s="115" t="s">
        <v>932</v>
      </c>
    </row>
    <row r="828" spans="1:8" ht="19.899999999999999" customHeight="1">
      <c r="A828" s="121">
        <v>46038</v>
      </c>
      <c r="B828" s="112" t="s">
        <v>38</v>
      </c>
      <c r="C828" s="113" t="s">
        <v>809</v>
      </c>
      <c r="D828" s="112" t="s">
        <v>808</v>
      </c>
      <c r="E828" s="122">
        <v>1.5763888888888891</v>
      </c>
      <c r="F828" s="112" t="s">
        <v>46</v>
      </c>
      <c r="G828" s="114">
        <v>20</v>
      </c>
      <c r="H828" s="115" t="s">
        <v>810</v>
      </c>
    </row>
    <row r="829" spans="1:8" ht="19.899999999999999" customHeight="1">
      <c r="A829" s="121">
        <v>46038</v>
      </c>
      <c r="B829" s="112" t="s">
        <v>38</v>
      </c>
      <c r="C829" s="113" t="s">
        <v>811</v>
      </c>
      <c r="D829" s="112" t="s">
        <v>808</v>
      </c>
      <c r="E829" s="122">
        <v>1.6284722222222221</v>
      </c>
      <c r="F829" s="112" t="s">
        <v>46</v>
      </c>
      <c r="G829" s="114">
        <v>53</v>
      </c>
      <c r="H829" s="115" t="s">
        <v>810</v>
      </c>
    </row>
    <row r="830" spans="1:8" ht="19.899999999999999" customHeight="1">
      <c r="A830" s="121">
        <v>46038</v>
      </c>
      <c r="B830" s="112" t="s">
        <v>38</v>
      </c>
      <c r="C830" s="113" t="s">
        <v>812</v>
      </c>
      <c r="D830" s="112" t="s">
        <v>808</v>
      </c>
      <c r="E830" s="122">
        <v>1.8888888888888891</v>
      </c>
      <c r="F830" s="112" t="s">
        <v>46</v>
      </c>
      <c r="G830" s="114">
        <v>6</v>
      </c>
      <c r="H830" s="115" t="s">
        <v>810</v>
      </c>
    </row>
    <row r="831" spans="1:8" ht="19.899999999999999" customHeight="1">
      <c r="A831" s="121">
        <v>46038</v>
      </c>
      <c r="B831" s="112" t="s">
        <v>38</v>
      </c>
      <c r="C831" s="113" t="s">
        <v>813</v>
      </c>
      <c r="D831" s="112" t="s">
        <v>808</v>
      </c>
      <c r="E831" s="122">
        <v>1.944444444444444</v>
      </c>
      <c r="F831" s="112" t="s">
        <v>46</v>
      </c>
      <c r="G831" s="114">
        <v>26</v>
      </c>
      <c r="H831" s="115" t="s">
        <v>810</v>
      </c>
    </row>
    <row r="832" spans="1:8" ht="19.899999999999999" customHeight="1">
      <c r="A832" s="121">
        <v>46038</v>
      </c>
      <c r="B832" s="112" t="s">
        <v>48</v>
      </c>
      <c r="C832" s="113" t="s">
        <v>833</v>
      </c>
      <c r="D832" s="112" t="s">
        <v>808</v>
      </c>
      <c r="E832" s="122">
        <v>1.444444444444444</v>
      </c>
      <c r="F832" s="112" t="s">
        <v>53</v>
      </c>
      <c r="G832" s="114">
        <v>9</v>
      </c>
      <c r="H832" s="115" t="s">
        <v>860</v>
      </c>
    </row>
    <row r="833" spans="1:8" ht="19.899999999999999" customHeight="1">
      <c r="A833" s="121">
        <v>46038</v>
      </c>
      <c r="B833" s="112" t="s">
        <v>48</v>
      </c>
      <c r="C833" s="113" t="s">
        <v>828</v>
      </c>
      <c r="D833" s="112" t="s">
        <v>808</v>
      </c>
      <c r="E833" s="122">
        <v>1.8298611111111109</v>
      </c>
      <c r="F833" s="112" t="s">
        <v>53</v>
      </c>
      <c r="G833" s="114">
        <v>9</v>
      </c>
      <c r="H833" s="115" t="s">
        <v>860</v>
      </c>
    </row>
    <row r="834" spans="1:8" ht="19.899999999999999" customHeight="1">
      <c r="A834" s="121">
        <v>46038</v>
      </c>
      <c r="B834" s="112" t="s">
        <v>48</v>
      </c>
      <c r="C834" s="113" t="s">
        <v>831</v>
      </c>
      <c r="D834" s="112" t="s">
        <v>808</v>
      </c>
      <c r="E834" s="122">
        <v>1.9826388888888891</v>
      </c>
      <c r="F834" s="112" t="s">
        <v>53</v>
      </c>
      <c r="G834" s="114">
        <v>9</v>
      </c>
      <c r="H834" s="115" t="s">
        <v>860</v>
      </c>
    </row>
    <row r="835" spans="1:8" ht="19.899999999999999" customHeight="1">
      <c r="A835" s="121">
        <v>46038</v>
      </c>
      <c r="B835" s="112" t="s">
        <v>48</v>
      </c>
      <c r="C835" s="113" t="s">
        <v>832</v>
      </c>
      <c r="D835" s="112" t="s">
        <v>808</v>
      </c>
      <c r="E835" s="122">
        <v>1.6284722222222221</v>
      </c>
      <c r="F835" s="112" t="s">
        <v>53</v>
      </c>
      <c r="G835" s="114">
        <v>9</v>
      </c>
      <c r="H835" s="115" t="s">
        <v>860</v>
      </c>
    </row>
    <row r="836" spans="1:8" ht="19.899999999999999" customHeight="1">
      <c r="A836" s="121">
        <v>46038</v>
      </c>
      <c r="B836" s="112" t="s">
        <v>48</v>
      </c>
      <c r="C836" s="113" t="s">
        <v>835</v>
      </c>
      <c r="D836" s="112" t="s">
        <v>808</v>
      </c>
      <c r="E836" s="122">
        <v>1.8888888888888891</v>
      </c>
      <c r="F836" s="112" t="s">
        <v>53</v>
      </c>
      <c r="G836" s="114">
        <v>4</v>
      </c>
      <c r="H836" s="115" t="s">
        <v>933</v>
      </c>
    </row>
    <row r="837" spans="1:8" ht="19.899999999999999" customHeight="1">
      <c r="A837" s="121">
        <v>46038</v>
      </c>
      <c r="B837" s="112" t="s">
        <v>48</v>
      </c>
      <c r="C837" s="113" t="s">
        <v>838</v>
      </c>
      <c r="D837" s="112" t="s">
        <v>808</v>
      </c>
      <c r="E837" s="122">
        <v>1.944444444444444</v>
      </c>
      <c r="F837" s="112" t="s">
        <v>53</v>
      </c>
      <c r="G837" s="114">
        <v>4</v>
      </c>
      <c r="H837" s="115" t="s">
        <v>933</v>
      </c>
    </row>
    <row r="838" spans="1:8" ht="19.899999999999999" customHeight="1">
      <c r="A838" s="123">
        <v>46038</v>
      </c>
      <c r="B838" s="124" t="s">
        <v>48</v>
      </c>
      <c r="C838" s="125" t="s">
        <v>837</v>
      </c>
      <c r="D838" s="124" t="s">
        <v>808</v>
      </c>
      <c r="E838" s="126">
        <v>1.6284722222222221</v>
      </c>
      <c r="F838" s="124" t="s">
        <v>53</v>
      </c>
      <c r="G838" s="127">
        <v>4</v>
      </c>
      <c r="H838" s="128" t="s">
        <v>861</v>
      </c>
    </row>
    <row r="839" spans="1:8" ht="19.899999999999999" customHeight="1">
      <c r="A839" s="121">
        <v>46039</v>
      </c>
      <c r="B839" s="112" t="s">
        <v>38</v>
      </c>
      <c r="C839" s="113" t="s">
        <v>809</v>
      </c>
      <c r="D839" s="112" t="s">
        <v>808</v>
      </c>
      <c r="E839" s="122">
        <v>1.5763888888888891</v>
      </c>
      <c r="F839" s="112" t="s">
        <v>40</v>
      </c>
      <c r="G839" s="114">
        <v>10</v>
      </c>
      <c r="H839" s="115" t="s">
        <v>162</v>
      </c>
    </row>
    <row r="840" spans="1:8" ht="19.899999999999999" customHeight="1">
      <c r="A840" s="121">
        <v>46039</v>
      </c>
      <c r="B840" s="112" t="s">
        <v>359</v>
      </c>
      <c r="C840" s="113" t="s">
        <v>814</v>
      </c>
      <c r="D840" s="112" t="s">
        <v>808</v>
      </c>
      <c r="E840" s="122">
        <v>1.4375</v>
      </c>
      <c r="F840" s="112" t="s">
        <v>361</v>
      </c>
      <c r="G840" s="114">
        <v>9</v>
      </c>
      <c r="H840" s="115" t="s">
        <v>936</v>
      </c>
    </row>
    <row r="841" spans="1:8" ht="19.899999999999999" customHeight="1">
      <c r="A841" s="129">
        <v>46039</v>
      </c>
      <c r="B841" s="117" t="s">
        <v>61</v>
      </c>
      <c r="C841" s="118" t="s">
        <v>816</v>
      </c>
      <c r="D841" s="117" t="s">
        <v>808</v>
      </c>
      <c r="E841" s="130">
        <v>1.413194444444444</v>
      </c>
      <c r="F841" s="117" t="s">
        <v>63</v>
      </c>
      <c r="G841" s="119">
        <v>9</v>
      </c>
      <c r="H841" s="120" t="s">
        <v>938</v>
      </c>
    </row>
    <row r="842" spans="1:8" ht="19.899999999999999" customHeight="1">
      <c r="A842" s="121">
        <v>46039</v>
      </c>
      <c r="B842" s="112" t="s">
        <v>68</v>
      </c>
      <c r="C842" s="113" t="s">
        <v>843</v>
      </c>
      <c r="D842" s="112" t="s">
        <v>808</v>
      </c>
      <c r="E842" s="122">
        <v>1.354166666666667</v>
      </c>
      <c r="F842" s="112" t="s">
        <v>70</v>
      </c>
      <c r="G842" s="114">
        <v>9</v>
      </c>
      <c r="H842" s="115" t="s">
        <v>858</v>
      </c>
    </row>
    <row r="843" spans="1:8" ht="19.899999999999999" customHeight="1">
      <c r="A843" s="121">
        <v>46039</v>
      </c>
      <c r="B843" s="112" t="s">
        <v>38</v>
      </c>
      <c r="C843" s="113" t="s">
        <v>811</v>
      </c>
      <c r="D843" s="112" t="s">
        <v>808</v>
      </c>
      <c r="E843" s="122">
        <v>1.6284722222222221</v>
      </c>
      <c r="F843" s="112" t="s">
        <v>40</v>
      </c>
      <c r="G843" s="114">
        <v>22</v>
      </c>
      <c r="H843" s="115" t="s">
        <v>503</v>
      </c>
    </row>
    <row r="844" spans="1:8" ht="19.899999999999999" customHeight="1">
      <c r="A844" s="121">
        <v>46039</v>
      </c>
      <c r="B844" s="112" t="s">
        <v>38</v>
      </c>
      <c r="C844" s="113" t="s">
        <v>812</v>
      </c>
      <c r="D844" s="112" t="s">
        <v>808</v>
      </c>
      <c r="E844" s="122">
        <v>1.8888888888888891</v>
      </c>
      <c r="F844" s="112" t="s">
        <v>40</v>
      </c>
      <c r="G844" s="114">
        <v>17</v>
      </c>
      <c r="H844" s="115" t="s">
        <v>503</v>
      </c>
    </row>
    <row r="845" spans="1:8" ht="19.899999999999999" customHeight="1">
      <c r="A845" s="121">
        <v>46039</v>
      </c>
      <c r="B845" s="112" t="s">
        <v>26</v>
      </c>
      <c r="C845" s="113" t="s">
        <v>820</v>
      </c>
      <c r="D845" s="112" t="s">
        <v>808</v>
      </c>
      <c r="E845" s="122">
        <v>1.4375</v>
      </c>
      <c r="F845" s="112" t="s">
        <v>28</v>
      </c>
      <c r="G845" s="114">
        <v>9</v>
      </c>
      <c r="H845" s="115" t="s">
        <v>511</v>
      </c>
    </row>
    <row r="846" spans="1:8" ht="19.899999999999999" customHeight="1">
      <c r="A846" s="121">
        <v>46039</v>
      </c>
      <c r="B846" s="112" t="s">
        <v>26</v>
      </c>
      <c r="C846" s="113" t="s">
        <v>826</v>
      </c>
      <c r="D846" s="112" t="s">
        <v>808</v>
      </c>
      <c r="E846" s="122">
        <v>1.958333333333333</v>
      </c>
      <c r="F846" s="112" t="s">
        <v>28</v>
      </c>
      <c r="G846" s="114">
        <v>4</v>
      </c>
      <c r="H846" s="115" t="s">
        <v>511</v>
      </c>
    </row>
    <row r="847" spans="1:8" ht="19.899999999999999" customHeight="1">
      <c r="A847" s="121">
        <v>46039</v>
      </c>
      <c r="B847" s="112" t="s">
        <v>26</v>
      </c>
      <c r="C847" s="113" t="s">
        <v>822</v>
      </c>
      <c r="D847" s="112" t="s">
        <v>808</v>
      </c>
      <c r="E847" s="122">
        <v>1.5590277777777779</v>
      </c>
      <c r="F847" s="112" t="s">
        <v>28</v>
      </c>
      <c r="G847" s="114">
        <v>4</v>
      </c>
      <c r="H847" s="115" t="s">
        <v>511</v>
      </c>
    </row>
    <row r="848" spans="1:8" ht="19.899999999999999" customHeight="1">
      <c r="A848" s="121">
        <v>46039</v>
      </c>
      <c r="B848" s="112" t="s">
        <v>26</v>
      </c>
      <c r="C848" s="113" t="s">
        <v>824</v>
      </c>
      <c r="D848" s="112" t="s">
        <v>808</v>
      </c>
      <c r="E848" s="122">
        <v>1.506944444444444</v>
      </c>
      <c r="F848" s="112" t="s">
        <v>28</v>
      </c>
      <c r="G848" s="114">
        <v>1</v>
      </c>
      <c r="H848" s="115" t="s">
        <v>511</v>
      </c>
    </row>
    <row r="849" spans="1:8" ht="19.899999999999999" customHeight="1">
      <c r="A849" s="121">
        <v>46039</v>
      </c>
      <c r="B849" s="112" t="s">
        <v>26</v>
      </c>
      <c r="C849" s="113" t="s">
        <v>825</v>
      </c>
      <c r="D849" s="112" t="s">
        <v>808</v>
      </c>
      <c r="E849" s="122">
        <v>1.697916666666667</v>
      </c>
      <c r="F849" s="112" t="s">
        <v>28</v>
      </c>
      <c r="G849" s="114">
        <v>1</v>
      </c>
      <c r="H849" s="115" t="s">
        <v>511</v>
      </c>
    </row>
    <row r="850" spans="1:8" ht="19.899999999999999" customHeight="1">
      <c r="A850" s="121">
        <v>46039</v>
      </c>
      <c r="B850" s="112" t="s">
        <v>38</v>
      </c>
      <c r="C850" s="113" t="s">
        <v>813</v>
      </c>
      <c r="D850" s="112" t="s">
        <v>808</v>
      </c>
      <c r="E850" s="122">
        <v>1.944444444444444</v>
      </c>
      <c r="F850" s="112" t="s">
        <v>40</v>
      </c>
      <c r="G850" s="114">
        <v>23</v>
      </c>
      <c r="H850" s="115" t="s">
        <v>487</v>
      </c>
    </row>
    <row r="851" spans="1:8" ht="19.899999999999999" customHeight="1">
      <c r="A851" s="121">
        <v>46039</v>
      </c>
      <c r="B851" s="112" t="s">
        <v>38</v>
      </c>
      <c r="C851" s="113" t="s">
        <v>809</v>
      </c>
      <c r="D851" s="112" t="s">
        <v>808</v>
      </c>
      <c r="E851" s="122">
        <v>1.5763888888888891</v>
      </c>
      <c r="F851" s="112" t="s">
        <v>43</v>
      </c>
      <c r="G851" s="114">
        <v>10</v>
      </c>
      <c r="H851" s="115" t="s">
        <v>865</v>
      </c>
    </row>
    <row r="852" spans="1:8" ht="19.899999999999999" customHeight="1">
      <c r="A852" s="121">
        <v>46039</v>
      </c>
      <c r="B852" s="112" t="s">
        <v>26</v>
      </c>
      <c r="C852" s="113" t="s">
        <v>821</v>
      </c>
      <c r="D852" s="112" t="s">
        <v>808</v>
      </c>
      <c r="E852" s="122">
        <v>1.631944444444444</v>
      </c>
      <c r="F852" s="112" t="s">
        <v>28</v>
      </c>
      <c r="G852" s="114">
        <v>9</v>
      </c>
      <c r="H852" s="115" t="s">
        <v>119</v>
      </c>
    </row>
    <row r="853" spans="1:8" ht="19.899999999999999" customHeight="1">
      <c r="A853" s="121">
        <v>46039</v>
      </c>
      <c r="B853" s="112" t="s">
        <v>26</v>
      </c>
      <c r="C853" s="113" t="s">
        <v>823</v>
      </c>
      <c r="D853" s="112" t="s">
        <v>808</v>
      </c>
      <c r="E853" s="122">
        <v>1.819444444444444</v>
      </c>
      <c r="F853" s="112" t="s">
        <v>28</v>
      </c>
      <c r="G853" s="114">
        <v>8</v>
      </c>
      <c r="H853" s="115" t="s">
        <v>119</v>
      </c>
    </row>
    <row r="854" spans="1:8" ht="19.899999999999999" customHeight="1">
      <c r="A854" s="121">
        <v>46039</v>
      </c>
      <c r="B854" s="112" t="s">
        <v>68</v>
      </c>
      <c r="C854" s="113" t="s">
        <v>842</v>
      </c>
      <c r="D854" s="112" t="s">
        <v>808</v>
      </c>
      <c r="E854" s="122">
        <v>1.9826388888888891</v>
      </c>
      <c r="F854" s="112" t="s">
        <v>70</v>
      </c>
      <c r="G854" s="114">
        <v>9</v>
      </c>
      <c r="H854" s="115" t="s">
        <v>867</v>
      </c>
    </row>
    <row r="855" spans="1:8" ht="19.899999999999999" customHeight="1">
      <c r="A855" s="121">
        <v>46039</v>
      </c>
      <c r="B855" s="112" t="s">
        <v>68</v>
      </c>
      <c r="C855" s="113" t="s">
        <v>844</v>
      </c>
      <c r="D855" s="112" t="s">
        <v>808</v>
      </c>
      <c r="E855" s="122">
        <v>1.729166666666667</v>
      </c>
      <c r="F855" s="112" t="s">
        <v>70</v>
      </c>
      <c r="G855" s="114">
        <v>9</v>
      </c>
      <c r="H855" s="115" t="s">
        <v>868</v>
      </c>
    </row>
    <row r="856" spans="1:8" ht="19.899999999999999" customHeight="1">
      <c r="A856" s="121">
        <v>46039</v>
      </c>
      <c r="B856" s="112" t="s">
        <v>38</v>
      </c>
      <c r="C856" s="113" t="s">
        <v>811</v>
      </c>
      <c r="D856" s="112" t="s">
        <v>808</v>
      </c>
      <c r="E856" s="122">
        <v>1.6284722222222221</v>
      </c>
      <c r="F856" s="112" t="s">
        <v>43</v>
      </c>
      <c r="G856" s="114">
        <v>22</v>
      </c>
      <c r="H856" s="115" t="s">
        <v>47</v>
      </c>
    </row>
    <row r="857" spans="1:8" ht="19.899999999999999" customHeight="1">
      <c r="A857" s="121">
        <v>46039</v>
      </c>
      <c r="B857" s="112" t="s">
        <v>38</v>
      </c>
      <c r="C857" s="113" t="s">
        <v>812</v>
      </c>
      <c r="D857" s="112" t="s">
        <v>808</v>
      </c>
      <c r="E857" s="122">
        <v>1.8888888888888891</v>
      </c>
      <c r="F857" s="112" t="s">
        <v>43</v>
      </c>
      <c r="G857" s="114">
        <v>17</v>
      </c>
      <c r="H857" s="115" t="s">
        <v>47</v>
      </c>
    </row>
    <row r="858" spans="1:8" ht="19.899999999999999" customHeight="1">
      <c r="A858" s="121">
        <v>46039</v>
      </c>
      <c r="B858" s="112" t="s">
        <v>26</v>
      </c>
      <c r="C858" s="113" t="s">
        <v>820</v>
      </c>
      <c r="D858" s="112" t="s">
        <v>808</v>
      </c>
      <c r="E858" s="122">
        <v>1.4375</v>
      </c>
      <c r="F858" s="112" t="s">
        <v>31</v>
      </c>
      <c r="G858" s="114">
        <v>9</v>
      </c>
      <c r="H858" s="115" t="s">
        <v>47</v>
      </c>
    </row>
    <row r="859" spans="1:8" ht="19.899999999999999" customHeight="1">
      <c r="A859" s="121">
        <v>46039</v>
      </c>
      <c r="B859" s="112" t="s">
        <v>26</v>
      </c>
      <c r="C859" s="113" t="s">
        <v>826</v>
      </c>
      <c r="D859" s="112" t="s">
        <v>808</v>
      </c>
      <c r="E859" s="122">
        <v>1.958333333333333</v>
      </c>
      <c r="F859" s="112" t="s">
        <v>31</v>
      </c>
      <c r="G859" s="114">
        <v>4</v>
      </c>
      <c r="H859" s="115" t="s">
        <v>47</v>
      </c>
    </row>
    <row r="860" spans="1:8" ht="19.899999999999999" customHeight="1">
      <c r="A860" s="121">
        <v>46039</v>
      </c>
      <c r="B860" s="112" t="s">
        <v>26</v>
      </c>
      <c r="C860" s="113" t="s">
        <v>822</v>
      </c>
      <c r="D860" s="112" t="s">
        <v>808</v>
      </c>
      <c r="E860" s="122">
        <v>1.5590277777777779</v>
      </c>
      <c r="F860" s="112" t="s">
        <v>31</v>
      </c>
      <c r="G860" s="114">
        <v>4</v>
      </c>
      <c r="H860" s="115" t="s">
        <v>47</v>
      </c>
    </row>
    <row r="861" spans="1:8" ht="19.899999999999999" customHeight="1">
      <c r="A861" s="121">
        <v>46039</v>
      </c>
      <c r="B861" s="112" t="s">
        <v>26</v>
      </c>
      <c r="C861" s="113" t="s">
        <v>824</v>
      </c>
      <c r="D861" s="112" t="s">
        <v>808</v>
      </c>
      <c r="E861" s="122">
        <v>1.506944444444444</v>
      </c>
      <c r="F861" s="112" t="s">
        <v>31</v>
      </c>
      <c r="G861" s="114">
        <v>1</v>
      </c>
      <c r="H861" s="115" t="s">
        <v>47</v>
      </c>
    </row>
    <row r="862" spans="1:8" ht="19.899999999999999" customHeight="1">
      <c r="A862" s="121">
        <v>46039</v>
      </c>
      <c r="B862" s="112" t="s">
        <v>26</v>
      </c>
      <c r="C862" s="113" t="s">
        <v>825</v>
      </c>
      <c r="D862" s="112" t="s">
        <v>808</v>
      </c>
      <c r="E862" s="122">
        <v>1.697916666666667</v>
      </c>
      <c r="F862" s="112" t="s">
        <v>31</v>
      </c>
      <c r="G862" s="114">
        <v>1</v>
      </c>
      <c r="H862" s="115" t="s">
        <v>47</v>
      </c>
    </row>
    <row r="863" spans="1:8" ht="19.899999999999999" customHeight="1">
      <c r="A863" s="121">
        <v>46039</v>
      </c>
      <c r="B863" s="112" t="s">
        <v>402</v>
      </c>
      <c r="C863" s="113" t="s">
        <v>839</v>
      </c>
      <c r="D863" s="112" t="s">
        <v>808</v>
      </c>
      <c r="E863" s="122">
        <v>1.1701388888888891</v>
      </c>
      <c r="F863" s="112" t="s">
        <v>63</v>
      </c>
      <c r="G863" s="114">
        <v>7</v>
      </c>
      <c r="H863" s="115" t="s">
        <v>523</v>
      </c>
    </row>
    <row r="864" spans="1:8" ht="19.899999999999999" customHeight="1">
      <c r="A864" s="121">
        <v>46039</v>
      </c>
      <c r="B864" s="112" t="s">
        <v>359</v>
      </c>
      <c r="C864" s="113" t="s">
        <v>814</v>
      </c>
      <c r="D864" s="112" t="s">
        <v>808</v>
      </c>
      <c r="E864" s="122">
        <v>1.4375</v>
      </c>
      <c r="F864" s="112" t="s">
        <v>46</v>
      </c>
      <c r="G864" s="114">
        <v>9</v>
      </c>
      <c r="H864" s="115" t="s">
        <v>937</v>
      </c>
    </row>
    <row r="865" spans="1:8" ht="19.899999999999999" customHeight="1">
      <c r="A865" s="121">
        <v>46039</v>
      </c>
      <c r="B865" s="112" t="s">
        <v>38</v>
      </c>
      <c r="C865" s="113" t="s">
        <v>813</v>
      </c>
      <c r="D865" s="112" t="s">
        <v>808</v>
      </c>
      <c r="E865" s="122">
        <v>1.944444444444444</v>
      </c>
      <c r="F865" s="112" t="s">
        <v>43</v>
      </c>
      <c r="G865" s="114">
        <v>23</v>
      </c>
      <c r="H865" s="115" t="s">
        <v>105</v>
      </c>
    </row>
    <row r="866" spans="1:8" ht="19.899999999999999" customHeight="1">
      <c r="A866" s="121">
        <v>46039</v>
      </c>
      <c r="B866" s="112" t="s">
        <v>26</v>
      </c>
      <c r="C866" s="113" t="s">
        <v>821</v>
      </c>
      <c r="D866" s="112" t="s">
        <v>808</v>
      </c>
      <c r="E866" s="122">
        <v>1.631944444444444</v>
      </c>
      <c r="F866" s="112" t="s">
        <v>31</v>
      </c>
      <c r="G866" s="114">
        <v>9</v>
      </c>
      <c r="H866" s="115" t="s">
        <v>941</v>
      </c>
    </row>
    <row r="867" spans="1:8" ht="19.899999999999999" customHeight="1">
      <c r="A867" s="121">
        <v>46039</v>
      </c>
      <c r="B867" s="112" t="s">
        <v>26</v>
      </c>
      <c r="C867" s="113" t="s">
        <v>823</v>
      </c>
      <c r="D867" s="112" t="s">
        <v>808</v>
      </c>
      <c r="E867" s="122">
        <v>1.819444444444444</v>
      </c>
      <c r="F867" s="112" t="s">
        <v>31</v>
      </c>
      <c r="G867" s="114">
        <v>8</v>
      </c>
      <c r="H867" s="115" t="s">
        <v>941</v>
      </c>
    </row>
    <row r="868" spans="1:8" ht="19.899999999999999" customHeight="1">
      <c r="A868" s="121">
        <v>46039</v>
      </c>
      <c r="B868" s="112" t="s">
        <v>26</v>
      </c>
      <c r="C868" s="113" t="s">
        <v>820</v>
      </c>
      <c r="D868" s="112" t="s">
        <v>808</v>
      </c>
      <c r="E868" s="122">
        <v>1.4375</v>
      </c>
      <c r="F868" s="112" t="s">
        <v>34</v>
      </c>
      <c r="G868" s="114">
        <v>9</v>
      </c>
      <c r="H868" s="115" t="s">
        <v>932</v>
      </c>
    </row>
    <row r="869" spans="1:8" ht="19.899999999999999" customHeight="1">
      <c r="A869" s="121">
        <v>46039</v>
      </c>
      <c r="B869" s="112" t="s">
        <v>26</v>
      </c>
      <c r="C869" s="113" t="s">
        <v>826</v>
      </c>
      <c r="D869" s="112" t="s">
        <v>808</v>
      </c>
      <c r="E869" s="122">
        <v>1.958333333333333</v>
      </c>
      <c r="F869" s="112" t="s">
        <v>34</v>
      </c>
      <c r="G869" s="114">
        <v>4</v>
      </c>
      <c r="H869" s="115" t="s">
        <v>932</v>
      </c>
    </row>
    <row r="870" spans="1:8" ht="19.899999999999999" customHeight="1">
      <c r="A870" s="121">
        <v>46039</v>
      </c>
      <c r="B870" s="112" t="s">
        <v>26</v>
      </c>
      <c r="C870" s="113" t="s">
        <v>822</v>
      </c>
      <c r="D870" s="112" t="s">
        <v>808</v>
      </c>
      <c r="E870" s="122">
        <v>1.5590277777777779</v>
      </c>
      <c r="F870" s="112" t="s">
        <v>34</v>
      </c>
      <c r="G870" s="114">
        <v>4</v>
      </c>
      <c r="H870" s="115" t="s">
        <v>932</v>
      </c>
    </row>
    <row r="871" spans="1:8" ht="19.899999999999999" customHeight="1">
      <c r="A871" s="121">
        <v>46039</v>
      </c>
      <c r="B871" s="112" t="s">
        <v>26</v>
      </c>
      <c r="C871" s="113" t="s">
        <v>824</v>
      </c>
      <c r="D871" s="112" t="s">
        <v>808</v>
      </c>
      <c r="E871" s="122">
        <v>1.506944444444444</v>
      </c>
      <c r="F871" s="112" t="s">
        <v>34</v>
      </c>
      <c r="G871" s="114">
        <v>1</v>
      </c>
      <c r="H871" s="115" t="s">
        <v>932</v>
      </c>
    </row>
    <row r="872" spans="1:8" ht="19.899999999999999" customHeight="1">
      <c r="A872" s="121">
        <v>46039</v>
      </c>
      <c r="B872" s="112" t="s">
        <v>26</v>
      </c>
      <c r="C872" s="113" t="s">
        <v>825</v>
      </c>
      <c r="D872" s="112" t="s">
        <v>808</v>
      </c>
      <c r="E872" s="122">
        <v>1.697916666666667</v>
      </c>
      <c r="F872" s="112" t="s">
        <v>34</v>
      </c>
      <c r="G872" s="114">
        <v>1</v>
      </c>
      <c r="H872" s="115" t="s">
        <v>932</v>
      </c>
    </row>
    <row r="873" spans="1:8" ht="19.899999999999999" customHeight="1">
      <c r="A873" s="121">
        <v>46039</v>
      </c>
      <c r="B873" s="112" t="s">
        <v>38</v>
      </c>
      <c r="C873" s="113" t="s">
        <v>809</v>
      </c>
      <c r="D873" s="112" t="s">
        <v>808</v>
      </c>
      <c r="E873" s="122">
        <v>1.5763888888888891</v>
      </c>
      <c r="F873" s="112" t="s">
        <v>46</v>
      </c>
      <c r="G873" s="114">
        <v>10</v>
      </c>
      <c r="H873" s="115" t="s">
        <v>810</v>
      </c>
    </row>
    <row r="874" spans="1:8" ht="19.899999999999999" customHeight="1">
      <c r="A874" s="121">
        <v>46039</v>
      </c>
      <c r="B874" s="112" t="s">
        <v>38</v>
      </c>
      <c r="C874" s="113" t="s">
        <v>811</v>
      </c>
      <c r="D874" s="112" t="s">
        <v>808</v>
      </c>
      <c r="E874" s="122">
        <v>1.6284722222222221</v>
      </c>
      <c r="F874" s="112" t="s">
        <v>46</v>
      </c>
      <c r="G874" s="114">
        <v>22</v>
      </c>
      <c r="H874" s="115" t="s">
        <v>810</v>
      </c>
    </row>
    <row r="875" spans="1:8" ht="19.899999999999999" customHeight="1">
      <c r="A875" s="121">
        <v>46039</v>
      </c>
      <c r="B875" s="112" t="s">
        <v>26</v>
      </c>
      <c r="C875" s="113" t="s">
        <v>821</v>
      </c>
      <c r="D875" s="112" t="s">
        <v>808</v>
      </c>
      <c r="E875" s="122">
        <v>1.631944444444444</v>
      </c>
      <c r="F875" s="112" t="s">
        <v>34</v>
      </c>
      <c r="G875" s="114">
        <v>9</v>
      </c>
      <c r="H875" s="115" t="s">
        <v>171</v>
      </c>
    </row>
    <row r="876" spans="1:8" ht="19.899999999999999" customHeight="1">
      <c r="A876" s="121">
        <v>46039</v>
      </c>
      <c r="B876" s="112" t="s">
        <v>26</v>
      </c>
      <c r="C876" s="113" t="s">
        <v>823</v>
      </c>
      <c r="D876" s="112" t="s">
        <v>808</v>
      </c>
      <c r="E876" s="122">
        <v>1.819444444444444</v>
      </c>
      <c r="F876" s="112" t="s">
        <v>34</v>
      </c>
      <c r="G876" s="114">
        <v>8</v>
      </c>
      <c r="H876" s="115" t="s">
        <v>171</v>
      </c>
    </row>
    <row r="877" spans="1:8" ht="19.899999999999999" customHeight="1">
      <c r="A877" s="121">
        <v>46039</v>
      </c>
      <c r="B877" s="112" t="s">
        <v>48</v>
      </c>
      <c r="C877" s="113" t="s">
        <v>833</v>
      </c>
      <c r="D877" s="112" t="s">
        <v>808</v>
      </c>
      <c r="E877" s="122">
        <v>1.444444444444444</v>
      </c>
      <c r="F877" s="112" t="s">
        <v>53</v>
      </c>
      <c r="G877" s="114">
        <v>9</v>
      </c>
      <c r="H877" s="115" t="s">
        <v>860</v>
      </c>
    </row>
    <row r="878" spans="1:8" ht="19.899999999999999" customHeight="1">
      <c r="A878" s="121">
        <v>46039</v>
      </c>
      <c r="B878" s="112" t="s">
        <v>48</v>
      </c>
      <c r="C878" s="113" t="s">
        <v>831</v>
      </c>
      <c r="D878" s="112" t="s">
        <v>808</v>
      </c>
      <c r="E878" s="122">
        <v>1.9826388888888891</v>
      </c>
      <c r="F878" s="112" t="s">
        <v>53</v>
      </c>
      <c r="G878" s="114">
        <v>9</v>
      </c>
      <c r="H878" s="115" t="s">
        <v>860</v>
      </c>
    </row>
    <row r="879" spans="1:8" ht="19.899999999999999" customHeight="1">
      <c r="A879" s="121">
        <v>46039</v>
      </c>
      <c r="B879" s="112" t="s">
        <v>48</v>
      </c>
      <c r="C879" s="113" t="s">
        <v>828</v>
      </c>
      <c r="D879" s="112" t="s">
        <v>808</v>
      </c>
      <c r="E879" s="122">
        <v>1.8298611111111109</v>
      </c>
      <c r="F879" s="112" t="s">
        <v>53</v>
      </c>
      <c r="G879" s="114">
        <v>9</v>
      </c>
      <c r="H879" s="115" t="s">
        <v>869</v>
      </c>
    </row>
    <row r="880" spans="1:8" ht="19.899999999999999" customHeight="1">
      <c r="A880" s="121">
        <v>46039</v>
      </c>
      <c r="B880" s="112" t="s">
        <v>48</v>
      </c>
      <c r="C880" s="113" t="s">
        <v>832</v>
      </c>
      <c r="D880" s="112" t="s">
        <v>808</v>
      </c>
      <c r="E880" s="122">
        <v>1.6284722222222221</v>
      </c>
      <c r="F880" s="112" t="s">
        <v>53</v>
      </c>
      <c r="G880" s="114">
        <v>9</v>
      </c>
      <c r="H880" s="115" t="s">
        <v>869</v>
      </c>
    </row>
    <row r="881" spans="1:8" ht="19.899999999999999" customHeight="1">
      <c r="A881" s="121">
        <v>46039</v>
      </c>
      <c r="B881" s="112" t="s">
        <v>38</v>
      </c>
      <c r="C881" s="113" t="s">
        <v>812</v>
      </c>
      <c r="D881" s="112" t="s">
        <v>808</v>
      </c>
      <c r="E881" s="122">
        <v>1.8888888888888891</v>
      </c>
      <c r="F881" s="112" t="s">
        <v>46</v>
      </c>
      <c r="G881" s="114">
        <v>17</v>
      </c>
      <c r="H881" s="115" t="s">
        <v>894</v>
      </c>
    </row>
    <row r="882" spans="1:8" ht="19.899999999999999" customHeight="1">
      <c r="A882" s="121">
        <v>46039</v>
      </c>
      <c r="B882" s="112" t="s">
        <v>38</v>
      </c>
      <c r="C882" s="113" t="s">
        <v>813</v>
      </c>
      <c r="D882" s="112" t="s">
        <v>808</v>
      </c>
      <c r="E882" s="122">
        <v>1.944444444444444</v>
      </c>
      <c r="F882" s="112" t="s">
        <v>46</v>
      </c>
      <c r="G882" s="114">
        <v>23</v>
      </c>
      <c r="H882" s="115" t="s">
        <v>894</v>
      </c>
    </row>
    <row r="883" spans="1:8" ht="19.899999999999999" customHeight="1">
      <c r="A883" s="121">
        <v>46039</v>
      </c>
      <c r="B883" s="112" t="s">
        <v>48</v>
      </c>
      <c r="C883" s="113" t="s">
        <v>835</v>
      </c>
      <c r="D883" s="112" t="s">
        <v>808</v>
      </c>
      <c r="E883" s="122">
        <v>1.8888888888888891</v>
      </c>
      <c r="F883" s="112" t="s">
        <v>53</v>
      </c>
      <c r="G883" s="114">
        <v>4</v>
      </c>
      <c r="H883" s="115" t="s">
        <v>871</v>
      </c>
    </row>
    <row r="884" spans="1:8" ht="19.899999999999999" customHeight="1">
      <c r="A884" s="121">
        <v>46039</v>
      </c>
      <c r="B884" s="112" t="s">
        <v>48</v>
      </c>
      <c r="C884" s="113" t="s">
        <v>837</v>
      </c>
      <c r="D884" s="112" t="s">
        <v>808</v>
      </c>
      <c r="E884" s="122">
        <v>1.6284722222222221</v>
      </c>
      <c r="F884" s="112" t="s">
        <v>53</v>
      </c>
      <c r="G884" s="114">
        <v>4</v>
      </c>
      <c r="H884" s="115" t="s">
        <v>871</v>
      </c>
    </row>
    <row r="885" spans="1:8" ht="19.899999999999999" customHeight="1">
      <c r="A885" s="123">
        <v>46039</v>
      </c>
      <c r="B885" s="124" t="s">
        <v>48</v>
      </c>
      <c r="C885" s="125" t="s">
        <v>838</v>
      </c>
      <c r="D885" s="124" t="s">
        <v>808</v>
      </c>
      <c r="E885" s="126">
        <v>1.944444444444444</v>
      </c>
      <c r="F885" s="124" t="s">
        <v>53</v>
      </c>
      <c r="G885" s="127">
        <v>4</v>
      </c>
      <c r="H885" s="128" t="s">
        <v>942</v>
      </c>
    </row>
    <row r="886" spans="1:8" ht="19.899999999999999" customHeight="1">
      <c r="A886" s="121">
        <v>46040</v>
      </c>
      <c r="B886" s="112" t="s">
        <v>38</v>
      </c>
      <c r="C886" s="113" t="s">
        <v>809</v>
      </c>
      <c r="D886" s="112" t="s">
        <v>808</v>
      </c>
      <c r="E886" s="122">
        <v>1.5763888888888891</v>
      </c>
      <c r="F886" s="112" t="s">
        <v>40</v>
      </c>
      <c r="G886" s="114">
        <v>20</v>
      </c>
      <c r="H886" s="115" t="s">
        <v>42</v>
      </c>
    </row>
    <row r="887" spans="1:8" ht="19.899999999999999" customHeight="1">
      <c r="A887" s="121">
        <v>46040</v>
      </c>
      <c r="B887" s="112" t="s">
        <v>38</v>
      </c>
      <c r="C887" s="113" t="s">
        <v>811</v>
      </c>
      <c r="D887" s="112" t="s">
        <v>808</v>
      </c>
      <c r="E887" s="122">
        <v>1.6284722222222221</v>
      </c>
      <c r="F887" s="112" t="s">
        <v>40</v>
      </c>
      <c r="G887" s="114">
        <v>18</v>
      </c>
      <c r="H887" s="115" t="s">
        <v>149</v>
      </c>
    </row>
    <row r="888" spans="1:8" ht="19.899999999999999" customHeight="1">
      <c r="A888" s="129">
        <v>46040</v>
      </c>
      <c r="B888" s="117" t="s">
        <v>61</v>
      </c>
      <c r="C888" s="118" t="s">
        <v>816</v>
      </c>
      <c r="D888" s="117" t="s">
        <v>808</v>
      </c>
      <c r="E888" s="130">
        <v>1.427083333333333</v>
      </c>
      <c r="F888" s="117" t="s">
        <v>63</v>
      </c>
      <c r="G888" s="119">
        <v>5</v>
      </c>
      <c r="H888" s="120" t="s">
        <v>121</v>
      </c>
    </row>
    <row r="889" spans="1:8" ht="19.899999999999999" customHeight="1">
      <c r="A889" s="121">
        <v>46040</v>
      </c>
      <c r="B889" s="112" t="s">
        <v>38</v>
      </c>
      <c r="C889" s="113" t="s">
        <v>812</v>
      </c>
      <c r="D889" s="112" t="s">
        <v>808</v>
      </c>
      <c r="E889" s="122">
        <v>1.8888888888888891</v>
      </c>
      <c r="F889" s="112" t="s">
        <v>40</v>
      </c>
      <c r="G889" s="114">
        <v>44</v>
      </c>
      <c r="H889" s="115" t="s">
        <v>83</v>
      </c>
    </row>
    <row r="890" spans="1:8" ht="19.899999999999999" customHeight="1">
      <c r="A890" s="121">
        <v>46040</v>
      </c>
      <c r="B890" s="112" t="s">
        <v>38</v>
      </c>
      <c r="C890" s="113" t="s">
        <v>813</v>
      </c>
      <c r="D890" s="112" t="s">
        <v>808</v>
      </c>
      <c r="E890" s="122">
        <v>1.944444444444444</v>
      </c>
      <c r="F890" s="112" t="s">
        <v>40</v>
      </c>
      <c r="G890" s="114">
        <v>17</v>
      </c>
      <c r="H890" s="115" t="s">
        <v>33</v>
      </c>
    </row>
    <row r="891" spans="1:8" ht="19.899999999999999" customHeight="1">
      <c r="A891" s="121">
        <v>46040</v>
      </c>
      <c r="B891" s="112" t="s">
        <v>359</v>
      </c>
      <c r="C891" s="113" t="s">
        <v>814</v>
      </c>
      <c r="D891" s="112" t="s">
        <v>808</v>
      </c>
      <c r="E891" s="122">
        <v>1.2951388888888891</v>
      </c>
      <c r="F891" s="112" t="s">
        <v>361</v>
      </c>
      <c r="G891" s="114">
        <v>9</v>
      </c>
      <c r="H891" s="115" t="s">
        <v>863</v>
      </c>
    </row>
    <row r="892" spans="1:8" ht="19.899999999999999" customHeight="1">
      <c r="A892" s="121">
        <v>46040</v>
      </c>
      <c r="B892" s="112" t="s">
        <v>38</v>
      </c>
      <c r="C892" s="113" t="s">
        <v>809</v>
      </c>
      <c r="D892" s="112" t="s">
        <v>808</v>
      </c>
      <c r="E892" s="122">
        <v>1.5763888888888891</v>
      </c>
      <c r="F892" s="112" t="s">
        <v>43</v>
      </c>
      <c r="G892" s="114">
        <v>20</v>
      </c>
      <c r="H892" s="115" t="s">
        <v>45</v>
      </c>
    </row>
    <row r="893" spans="1:8" ht="19.899999999999999" customHeight="1">
      <c r="A893" s="121">
        <v>46040</v>
      </c>
      <c r="B893" s="112" t="s">
        <v>38</v>
      </c>
      <c r="C893" s="113" t="s">
        <v>811</v>
      </c>
      <c r="D893" s="112" t="s">
        <v>808</v>
      </c>
      <c r="E893" s="122">
        <v>1.6284722222222221</v>
      </c>
      <c r="F893" s="112" t="s">
        <v>43</v>
      </c>
      <c r="G893" s="114">
        <v>18</v>
      </c>
      <c r="H893" s="115" t="s">
        <v>35</v>
      </c>
    </row>
    <row r="894" spans="1:8" ht="19.899999999999999" customHeight="1">
      <c r="A894" s="121">
        <v>46040</v>
      </c>
      <c r="B894" s="112" t="s">
        <v>38</v>
      </c>
      <c r="C894" s="113" t="s">
        <v>812</v>
      </c>
      <c r="D894" s="112" t="s">
        <v>808</v>
      </c>
      <c r="E894" s="122">
        <v>1.8888888888888891</v>
      </c>
      <c r="F894" s="112" t="s">
        <v>43</v>
      </c>
      <c r="G894" s="114">
        <v>44</v>
      </c>
      <c r="H894" s="115" t="s">
        <v>162</v>
      </c>
    </row>
    <row r="895" spans="1:8" ht="19.899999999999999" customHeight="1">
      <c r="A895" s="121">
        <v>46040</v>
      </c>
      <c r="B895" s="112" t="s">
        <v>38</v>
      </c>
      <c r="C895" s="113" t="s">
        <v>813</v>
      </c>
      <c r="D895" s="112" t="s">
        <v>808</v>
      </c>
      <c r="E895" s="122">
        <v>1.944444444444444</v>
      </c>
      <c r="F895" s="112" t="s">
        <v>43</v>
      </c>
      <c r="G895" s="114">
        <v>17</v>
      </c>
      <c r="H895" s="115" t="s">
        <v>926</v>
      </c>
    </row>
    <row r="896" spans="1:8" ht="19.899999999999999" customHeight="1">
      <c r="A896" s="121">
        <v>46040</v>
      </c>
      <c r="B896" s="112" t="s">
        <v>68</v>
      </c>
      <c r="C896" s="113" t="s">
        <v>842</v>
      </c>
      <c r="D896" s="112" t="s">
        <v>808</v>
      </c>
      <c r="E896" s="122">
        <v>1.9826388888888891</v>
      </c>
      <c r="F896" s="112" t="s">
        <v>70</v>
      </c>
      <c r="G896" s="114">
        <v>9</v>
      </c>
      <c r="H896" s="115" t="s">
        <v>931</v>
      </c>
    </row>
    <row r="897" spans="1:8" ht="19.899999999999999" customHeight="1">
      <c r="A897" s="121">
        <v>46040</v>
      </c>
      <c r="B897" s="112" t="s">
        <v>68</v>
      </c>
      <c r="C897" s="113" t="s">
        <v>843</v>
      </c>
      <c r="D897" s="112" t="s">
        <v>808</v>
      </c>
      <c r="E897" s="122">
        <v>1.354166666666667</v>
      </c>
      <c r="F897" s="112" t="s">
        <v>70</v>
      </c>
      <c r="G897" s="114">
        <v>9</v>
      </c>
      <c r="H897" s="115" t="s">
        <v>931</v>
      </c>
    </row>
    <row r="898" spans="1:8" ht="19.899999999999999" customHeight="1">
      <c r="A898" s="121">
        <v>46040</v>
      </c>
      <c r="B898" s="112" t="s">
        <v>68</v>
      </c>
      <c r="C898" s="113" t="s">
        <v>844</v>
      </c>
      <c r="D898" s="112" t="s">
        <v>808</v>
      </c>
      <c r="E898" s="122">
        <v>1.729166666666667</v>
      </c>
      <c r="F898" s="112" t="s">
        <v>70</v>
      </c>
      <c r="G898" s="114">
        <v>9</v>
      </c>
      <c r="H898" s="115" t="s">
        <v>858</v>
      </c>
    </row>
    <row r="899" spans="1:8" ht="19.899999999999999" customHeight="1">
      <c r="A899" s="121">
        <v>46040</v>
      </c>
      <c r="B899" s="112" t="s">
        <v>402</v>
      </c>
      <c r="C899" s="113" t="s">
        <v>839</v>
      </c>
      <c r="D899" s="112" t="s">
        <v>808</v>
      </c>
      <c r="E899" s="122">
        <v>1.1736111111111109</v>
      </c>
      <c r="F899" s="112" t="s">
        <v>63</v>
      </c>
      <c r="G899" s="114">
        <v>1</v>
      </c>
      <c r="H899" s="115" t="s">
        <v>118</v>
      </c>
    </row>
    <row r="900" spans="1:8" ht="19.899999999999999" customHeight="1">
      <c r="A900" s="121">
        <v>46040</v>
      </c>
      <c r="B900" s="112" t="s">
        <v>26</v>
      </c>
      <c r="C900" s="113" t="s">
        <v>820</v>
      </c>
      <c r="D900" s="112" t="s">
        <v>808</v>
      </c>
      <c r="E900" s="122">
        <v>1.4375</v>
      </c>
      <c r="F900" s="112" t="s">
        <v>28</v>
      </c>
      <c r="G900" s="114">
        <v>9</v>
      </c>
      <c r="H900" s="115" t="s">
        <v>511</v>
      </c>
    </row>
    <row r="901" spans="1:8" ht="19.899999999999999" customHeight="1">
      <c r="A901" s="121">
        <v>46040</v>
      </c>
      <c r="B901" s="112" t="s">
        <v>26</v>
      </c>
      <c r="C901" s="113" t="s">
        <v>826</v>
      </c>
      <c r="D901" s="112" t="s">
        <v>808</v>
      </c>
      <c r="E901" s="122">
        <v>1.958333333333333</v>
      </c>
      <c r="F901" s="112" t="s">
        <v>28</v>
      </c>
      <c r="G901" s="114">
        <v>9</v>
      </c>
      <c r="H901" s="115" t="s">
        <v>511</v>
      </c>
    </row>
    <row r="902" spans="1:8" ht="19.899999999999999" customHeight="1">
      <c r="A902" s="121">
        <v>46040</v>
      </c>
      <c r="B902" s="112" t="s">
        <v>26</v>
      </c>
      <c r="C902" s="113" t="s">
        <v>821</v>
      </c>
      <c r="D902" s="112" t="s">
        <v>808</v>
      </c>
      <c r="E902" s="122">
        <v>1.631944444444444</v>
      </c>
      <c r="F902" s="112" t="s">
        <v>28</v>
      </c>
      <c r="G902" s="114">
        <v>7</v>
      </c>
      <c r="H902" s="115" t="s">
        <v>511</v>
      </c>
    </row>
    <row r="903" spans="1:8" ht="19.899999999999999" customHeight="1">
      <c r="A903" s="121">
        <v>46040</v>
      </c>
      <c r="B903" s="112" t="s">
        <v>26</v>
      </c>
      <c r="C903" s="113" t="s">
        <v>822</v>
      </c>
      <c r="D903" s="112" t="s">
        <v>808</v>
      </c>
      <c r="E903" s="122">
        <v>1.5590277777777779</v>
      </c>
      <c r="F903" s="112" t="s">
        <v>28</v>
      </c>
      <c r="G903" s="114">
        <v>9</v>
      </c>
      <c r="H903" s="115" t="s">
        <v>511</v>
      </c>
    </row>
    <row r="904" spans="1:8" ht="19.899999999999999" customHeight="1">
      <c r="A904" s="121">
        <v>46040</v>
      </c>
      <c r="B904" s="112" t="s">
        <v>26</v>
      </c>
      <c r="C904" s="113" t="s">
        <v>823</v>
      </c>
      <c r="D904" s="112" t="s">
        <v>808</v>
      </c>
      <c r="E904" s="122">
        <v>1.819444444444444</v>
      </c>
      <c r="F904" s="112" t="s">
        <v>28</v>
      </c>
      <c r="G904" s="114">
        <v>9</v>
      </c>
      <c r="H904" s="115" t="s">
        <v>511</v>
      </c>
    </row>
    <row r="905" spans="1:8" ht="19.899999999999999" customHeight="1">
      <c r="A905" s="121">
        <v>46040</v>
      </c>
      <c r="B905" s="112" t="s">
        <v>26</v>
      </c>
      <c r="C905" s="113" t="s">
        <v>824</v>
      </c>
      <c r="D905" s="112" t="s">
        <v>808</v>
      </c>
      <c r="E905" s="122">
        <v>1.506944444444444</v>
      </c>
      <c r="F905" s="112" t="s">
        <v>28</v>
      </c>
      <c r="G905" s="114">
        <v>9</v>
      </c>
      <c r="H905" s="115" t="s">
        <v>511</v>
      </c>
    </row>
    <row r="906" spans="1:8" ht="19.899999999999999" customHeight="1">
      <c r="A906" s="121">
        <v>46040</v>
      </c>
      <c r="B906" s="112" t="s">
        <v>26</v>
      </c>
      <c r="C906" s="113" t="s">
        <v>825</v>
      </c>
      <c r="D906" s="112" t="s">
        <v>808</v>
      </c>
      <c r="E906" s="122">
        <v>1.697916666666667</v>
      </c>
      <c r="F906" s="112" t="s">
        <v>28</v>
      </c>
      <c r="G906" s="114">
        <v>9</v>
      </c>
      <c r="H906" s="115" t="s">
        <v>511</v>
      </c>
    </row>
    <row r="907" spans="1:8" ht="19.899999999999999" customHeight="1">
      <c r="A907" s="121">
        <v>46040</v>
      </c>
      <c r="B907" s="112" t="s">
        <v>359</v>
      </c>
      <c r="C907" s="113" t="s">
        <v>814</v>
      </c>
      <c r="D907" s="112" t="s">
        <v>808</v>
      </c>
      <c r="E907" s="122">
        <v>1.2951388888888891</v>
      </c>
      <c r="F907" s="112" t="s">
        <v>46</v>
      </c>
      <c r="G907" s="114">
        <v>9</v>
      </c>
      <c r="H907" s="115" t="s">
        <v>864</v>
      </c>
    </row>
    <row r="908" spans="1:8" ht="19.899999999999999" customHeight="1">
      <c r="A908" s="121">
        <v>46040</v>
      </c>
      <c r="B908" s="112" t="s">
        <v>26</v>
      </c>
      <c r="C908" s="113" t="s">
        <v>820</v>
      </c>
      <c r="D908" s="112" t="s">
        <v>808</v>
      </c>
      <c r="E908" s="122">
        <v>1.4375</v>
      </c>
      <c r="F908" s="112" t="s">
        <v>31</v>
      </c>
      <c r="G908" s="114">
        <v>9</v>
      </c>
      <c r="H908" s="115" t="s">
        <v>47</v>
      </c>
    </row>
    <row r="909" spans="1:8" ht="19.899999999999999" customHeight="1">
      <c r="A909" s="121">
        <v>46040</v>
      </c>
      <c r="B909" s="112" t="s">
        <v>26</v>
      </c>
      <c r="C909" s="113" t="s">
        <v>826</v>
      </c>
      <c r="D909" s="112" t="s">
        <v>808</v>
      </c>
      <c r="E909" s="122">
        <v>1.958333333333333</v>
      </c>
      <c r="F909" s="112" t="s">
        <v>31</v>
      </c>
      <c r="G909" s="114">
        <v>9</v>
      </c>
      <c r="H909" s="115" t="s">
        <v>47</v>
      </c>
    </row>
    <row r="910" spans="1:8" ht="19.899999999999999" customHeight="1">
      <c r="A910" s="121">
        <v>46040</v>
      </c>
      <c r="B910" s="112" t="s">
        <v>26</v>
      </c>
      <c r="C910" s="113" t="s">
        <v>821</v>
      </c>
      <c r="D910" s="112" t="s">
        <v>808</v>
      </c>
      <c r="E910" s="122">
        <v>1.631944444444444</v>
      </c>
      <c r="F910" s="112" t="s">
        <v>31</v>
      </c>
      <c r="G910" s="114">
        <v>7</v>
      </c>
      <c r="H910" s="115" t="s">
        <v>47</v>
      </c>
    </row>
    <row r="911" spans="1:8" ht="19.899999999999999" customHeight="1">
      <c r="A911" s="121">
        <v>46040</v>
      </c>
      <c r="B911" s="112" t="s">
        <v>26</v>
      </c>
      <c r="C911" s="113" t="s">
        <v>822</v>
      </c>
      <c r="D911" s="112" t="s">
        <v>808</v>
      </c>
      <c r="E911" s="122">
        <v>1.5590277777777779</v>
      </c>
      <c r="F911" s="112" t="s">
        <v>31</v>
      </c>
      <c r="G911" s="114">
        <v>9</v>
      </c>
      <c r="H911" s="115" t="s">
        <v>47</v>
      </c>
    </row>
    <row r="912" spans="1:8" ht="19.899999999999999" customHeight="1">
      <c r="A912" s="121">
        <v>46040</v>
      </c>
      <c r="B912" s="112" t="s">
        <v>26</v>
      </c>
      <c r="C912" s="113" t="s">
        <v>823</v>
      </c>
      <c r="D912" s="112" t="s">
        <v>808</v>
      </c>
      <c r="E912" s="122">
        <v>1.819444444444444</v>
      </c>
      <c r="F912" s="112" t="s">
        <v>31</v>
      </c>
      <c r="G912" s="114">
        <v>9</v>
      </c>
      <c r="H912" s="115" t="s">
        <v>47</v>
      </c>
    </row>
    <row r="913" spans="1:8" ht="19.899999999999999" customHeight="1">
      <c r="A913" s="121">
        <v>46040</v>
      </c>
      <c r="B913" s="112" t="s">
        <v>26</v>
      </c>
      <c r="C913" s="113" t="s">
        <v>824</v>
      </c>
      <c r="D913" s="112" t="s">
        <v>808</v>
      </c>
      <c r="E913" s="122">
        <v>1.506944444444444</v>
      </c>
      <c r="F913" s="112" t="s">
        <v>31</v>
      </c>
      <c r="G913" s="114">
        <v>9</v>
      </c>
      <c r="H913" s="115" t="s">
        <v>47</v>
      </c>
    </row>
    <row r="914" spans="1:8" ht="19.899999999999999" customHeight="1">
      <c r="A914" s="121">
        <v>46040</v>
      </c>
      <c r="B914" s="112" t="s">
        <v>26</v>
      </c>
      <c r="C914" s="113" t="s">
        <v>825</v>
      </c>
      <c r="D914" s="112" t="s">
        <v>808</v>
      </c>
      <c r="E914" s="122">
        <v>1.697916666666667</v>
      </c>
      <c r="F914" s="112" t="s">
        <v>31</v>
      </c>
      <c r="G914" s="114">
        <v>9</v>
      </c>
      <c r="H914" s="115" t="s">
        <v>47</v>
      </c>
    </row>
    <row r="915" spans="1:8" ht="19.899999999999999" customHeight="1">
      <c r="A915" s="121">
        <v>46040</v>
      </c>
      <c r="B915" s="112" t="s">
        <v>26</v>
      </c>
      <c r="C915" s="113" t="s">
        <v>820</v>
      </c>
      <c r="D915" s="112" t="s">
        <v>808</v>
      </c>
      <c r="E915" s="122">
        <v>1.4375</v>
      </c>
      <c r="F915" s="112" t="s">
        <v>34</v>
      </c>
      <c r="G915" s="114">
        <v>9</v>
      </c>
      <c r="H915" s="115" t="s">
        <v>932</v>
      </c>
    </row>
    <row r="916" spans="1:8" ht="19.899999999999999" customHeight="1">
      <c r="A916" s="121">
        <v>46040</v>
      </c>
      <c r="B916" s="112" t="s">
        <v>26</v>
      </c>
      <c r="C916" s="113" t="s">
        <v>826</v>
      </c>
      <c r="D916" s="112" t="s">
        <v>808</v>
      </c>
      <c r="E916" s="122">
        <v>1.958333333333333</v>
      </c>
      <c r="F916" s="112" t="s">
        <v>34</v>
      </c>
      <c r="G916" s="114">
        <v>9</v>
      </c>
      <c r="H916" s="115" t="s">
        <v>932</v>
      </c>
    </row>
    <row r="917" spans="1:8" ht="19.899999999999999" customHeight="1">
      <c r="A917" s="121">
        <v>46040</v>
      </c>
      <c r="B917" s="112" t="s">
        <v>26</v>
      </c>
      <c r="C917" s="113" t="s">
        <v>821</v>
      </c>
      <c r="D917" s="112" t="s">
        <v>808</v>
      </c>
      <c r="E917" s="122">
        <v>1.631944444444444</v>
      </c>
      <c r="F917" s="112" t="s">
        <v>34</v>
      </c>
      <c r="G917" s="114">
        <v>7</v>
      </c>
      <c r="H917" s="115" t="s">
        <v>932</v>
      </c>
    </row>
    <row r="918" spans="1:8" ht="19.899999999999999" customHeight="1">
      <c r="A918" s="121">
        <v>46040</v>
      </c>
      <c r="B918" s="112" t="s">
        <v>26</v>
      </c>
      <c r="C918" s="113" t="s">
        <v>822</v>
      </c>
      <c r="D918" s="112" t="s">
        <v>808</v>
      </c>
      <c r="E918" s="122">
        <v>1.5590277777777779</v>
      </c>
      <c r="F918" s="112" t="s">
        <v>34</v>
      </c>
      <c r="G918" s="114">
        <v>9</v>
      </c>
      <c r="H918" s="115" t="s">
        <v>932</v>
      </c>
    </row>
    <row r="919" spans="1:8" ht="19.899999999999999" customHeight="1">
      <c r="A919" s="121">
        <v>46040</v>
      </c>
      <c r="B919" s="112" t="s">
        <v>26</v>
      </c>
      <c r="C919" s="113" t="s">
        <v>823</v>
      </c>
      <c r="D919" s="112" t="s">
        <v>808</v>
      </c>
      <c r="E919" s="122">
        <v>1.819444444444444</v>
      </c>
      <c r="F919" s="112" t="s">
        <v>34</v>
      </c>
      <c r="G919" s="114">
        <v>9</v>
      </c>
      <c r="H919" s="115" t="s">
        <v>932</v>
      </c>
    </row>
    <row r="920" spans="1:8" ht="19.899999999999999" customHeight="1">
      <c r="A920" s="121">
        <v>46040</v>
      </c>
      <c r="B920" s="112" t="s">
        <v>26</v>
      </c>
      <c r="C920" s="113" t="s">
        <v>824</v>
      </c>
      <c r="D920" s="112" t="s">
        <v>808</v>
      </c>
      <c r="E920" s="122">
        <v>1.506944444444444</v>
      </c>
      <c r="F920" s="112" t="s">
        <v>34</v>
      </c>
      <c r="G920" s="114">
        <v>9</v>
      </c>
      <c r="H920" s="115" t="s">
        <v>932</v>
      </c>
    </row>
    <row r="921" spans="1:8" ht="19.899999999999999" customHeight="1">
      <c r="A921" s="121">
        <v>46040</v>
      </c>
      <c r="B921" s="112" t="s">
        <v>26</v>
      </c>
      <c r="C921" s="113" t="s">
        <v>825</v>
      </c>
      <c r="D921" s="112" t="s">
        <v>808</v>
      </c>
      <c r="E921" s="122">
        <v>1.697916666666667</v>
      </c>
      <c r="F921" s="112" t="s">
        <v>34</v>
      </c>
      <c r="G921" s="114">
        <v>9</v>
      </c>
      <c r="H921" s="115" t="s">
        <v>932</v>
      </c>
    </row>
    <row r="922" spans="1:8" ht="19.899999999999999" customHeight="1">
      <c r="A922" s="121">
        <v>46040</v>
      </c>
      <c r="B922" s="112" t="s">
        <v>38</v>
      </c>
      <c r="C922" s="113" t="s">
        <v>809</v>
      </c>
      <c r="D922" s="112" t="s">
        <v>808</v>
      </c>
      <c r="E922" s="122">
        <v>1.5763888888888891</v>
      </c>
      <c r="F922" s="112" t="s">
        <v>46</v>
      </c>
      <c r="G922" s="114">
        <v>20</v>
      </c>
      <c r="H922" s="115" t="s">
        <v>810</v>
      </c>
    </row>
    <row r="923" spans="1:8" ht="19.899999999999999" customHeight="1">
      <c r="A923" s="121">
        <v>46040</v>
      </c>
      <c r="B923" s="112" t="s">
        <v>38</v>
      </c>
      <c r="C923" s="113" t="s">
        <v>811</v>
      </c>
      <c r="D923" s="112" t="s">
        <v>808</v>
      </c>
      <c r="E923" s="122">
        <v>1.6284722222222221</v>
      </c>
      <c r="F923" s="112" t="s">
        <v>46</v>
      </c>
      <c r="G923" s="114">
        <v>18</v>
      </c>
      <c r="H923" s="115" t="s">
        <v>810</v>
      </c>
    </row>
    <row r="924" spans="1:8" ht="19.899999999999999" customHeight="1">
      <c r="A924" s="121">
        <v>46040</v>
      </c>
      <c r="B924" s="112" t="s">
        <v>38</v>
      </c>
      <c r="C924" s="113" t="s">
        <v>812</v>
      </c>
      <c r="D924" s="112" t="s">
        <v>808</v>
      </c>
      <c r="E924" s="122">
        <v>1.8888888888888891</v>
      </c>
      <c r="F924" s="112" t="s">
        <v>46</v>
      </c>
      <c r="G924" s="114">
        <v>44</v>
      </c>
      <c r="H924" s="115" t="s">
        <v>810</v>
      </c>
    </row>
    <row r="925" spans="1:8" ht="19.899999999999999" customHeight="1">
      <c r="A925" s="121">
        <v>46040</v>
      </c>
      <c r="B925" s="112" t="s">
        <v>38</v>
      </c>
      <c r="C925" s="113" t="s">
        <v>813</v>
      </c>
      <c r="D925" s="112" t="s">
        <v>808</v>
      </c>
      <c r="E925" s="122">
        <v>1.944444444444444</v>
      </c>
      <c r="F925" s="112" t="s">
        <v>46</v>
      </c>
      <c r="G925" s="114">
        <v>17</v>
      </c>
      <c r="H925" s="115" t="s">
        <v>810</v>
      </c>
    </row>
    <row r="926" spans="1:8" ht="19.899999999999999" customHeight="1">
      <c r="A926" s="121">
        <v>46040</v>
      </c>
      <c r="B926" s="112" t="s">
        <v>48</v>
      </c>
      <c r="C926" s="113" t="s">
        <v>837</v>
      </c>
      <c r="D926" s="112" t="s">
        <v>808</v>
      </c>
      <c r="E926" s="122">
        <v>1.6284722222222221</v>
      </c>
      <c r="F926" s="112" t="s">
        <v>53</v>
      </c>
      <c r="G926" s="114">
        <v>4</v>
      </c>
      <c r="H926" s="115" t="s">
        <v>912</v>
      </c>
    </row>
    <row r="927" spans="1:8" ht="19.899999999999999" customHeight="1">
      <c r="A927" s="121">
        <v>46040</v>
      </c>
      <c r="B927" s="112" t="s">
        <v>48</v>
      </c>
      <c r="C927" s="113" t="s">
        <v>835</v>
      </c>
      <c r="D927" s="112" t="s">
        <v>808</v>
      </c>
      <c r="E927" s="122">
        <v>1.8888888888888891</v>
      </c>
      <c r="F927" s="112" t="s">
        <v>53</v>
      </c>
      <c r="G927" s="114">
        <v>4</v>
      </c>
      <c r="H927" s="115" t="s">
        <v>946</v>
      </c>
    </row>
    <row r="928" spans="1:8" ht="19.899999999999999" customHeight="1">
      <c r="A928" s="121">
        <v>46040</v>
      </c>
      <c r="B928" s="112" t="s">
        <v>48</v>
      </c>
      <c r="C928" s="113" t="s">
        <v>833</v>
      </c>
      <c r="D928" s="112" t="s">
        <v>808</v>
      </c>
      <c r="E928" s="122">
        <v>1.444444444444444</v>
      </c>
      <c r="F928" s="112" t="s">
        <v>53</v>
      </c>
      <c r="G928" s="114">
        <v>9</v>
      </c>
      <c r="H928" s="115" t="s">
        <v>860</v>
      </c>
    </row>
    <row r="929" spans="1:8" ht="19.899999999999999" customHeight="1">
      <c r="A929" s="121">
        <v>46040</v>
      </c>
      <c r="B929" s="112" t="s">
        <v>48</v>
      </c>
      <c r="C929" s="113" t="s">
        <v>828</v>
      </c>
      <c r="D929" s="112" t="s">
        <v>808</v>
      </c>
      <c r="E929" s="122">
        <v>1.8298611111111109</v>
      </c>
      <c r="F929" s="112" t="s">
        <v>53</v>
      </c>
      <c r="G929" s="114">
        <v>9</v>
      </c>
      <c r="H929" s="115" t="s">
        <v>860</v>
      </c>
    </row>
    <row r="930" spans="1:8" ht="19.899999999999999" customHeight="1">
      <c r="A930" s="121">
        <v>46040</v>
      </c>
      <c r="B930" s="112" t="s">
        <v>48</v>
      </c>
      <c r="C930" s="113" t="s">
        <v>831</v>
      </c>
      <c r="D930" s="112" t="s">
        <v>808</v>
      </c>
      <c r="E930" s="122">
        <v>1.9826388888888891</v>
      </c>
      <c r="F930" s="112" t="s">
        <v>53</v>
      </c>
      <c r="G930" s="114">
        <v>9</v>
      </c>
      <c r="H930" s="115" t="s">
        <v>860</v>
      </c>
    </row>
    <row r="931" spans="1:8" ht="19.899999999999999" customHeight="1">
      <c r="A931" s="121">
        <v>46040</v>
      </c>
      <c r="B931" s="112" t="s">
        <v>48</v>
      </c>
      <c r="C931" s="113" t="s">
        <v>875</v>
      </c>
      <c r="D931" s="112" t="s">
        <v>808</v>
      </c>
      <c r="E931" s="122">
        <v>1.697916666666667</v>
      </c>
      <c r="F931" s="112" t="s">
        <v>53</v>
      </c>
      <c r="G931" s="114">
        <v>9</v>
      </c>
      <c r="H931" s="115" t="s">
        <v>860</v>
      </c>
    </row>
    <row r="932" spans="1:8" ht="19.899999999999999" customHeight="1">
      <c r="A932" s="121">
        <v>46040</v>
      </c>
      <c r="B932" s="112" t="s">
        <v>48</v>
      </c>
      <c r="C932" s="113" t="s">
        <v>832</v>
      </c>
      <c r="D932" s="112" t="s">
        <v>808</v>
      </c>
      <c r="E932" s="122">
        <v>1.6284722222222221</v>
      </c>
      <c r="F932" s="112" t="s">
        <v>53</v>
      </c>
      <c r="G932" s="114">
        <v>9</v>
      </c>
      <c r="H932" s="115" t="s">
        <v>860</v>
      </c>
    </row>
    <row r="933" spans="1:8" ht="19.899999999999999" customHeight="1">
      <c r="A933" s="123">
        <v>46040</v>
      </c>
      <c r="B933" s="124" t="s">
        <v>48</v>
      </c>
      <c r="C933" s="125" t="s">
        <v>838</v>
      </c>
      <c r="D933" s="124" t="s">
        <v>808</v>
      </c>
      <c r="E933" s="126">
        <v>1.944444444444444</v>
      </c>
      <c r="F933" s="124" t="s">
        <v>53</v>
      </c>
      <c r="G933" s="127">
        <v>4</v>
      </c>
      <c r="H933" s="128" t="s">
        <v>933</v>
      </c>
    </row>
    <row r="934" spans="1:8" ht="19.899999999999999" customHeight="1">
      <c r="A934" s="121">
        <v>46041</v>
      </c>
      <c r="B934" s="112" t="s">
        <v>38</v>
      </c>
      <c r="C934" s="113" t="s">
        <v>809</v>
      </c>
      <c r="D934" s="112" t="s">
        <v>808</v>
      </c>
      <c r="E934" s="122">
        <v>1.5763888888888891</v>
      </c>
      <c r="F934" s="112" t="s">
        <v>40</v>
      </c>
      <c r="G934" s="114">
        <v>19</v>
      </c>
      <c r="H934" s="115" t="s">
        <v>872</v>
      </c>
    </row>
    <row r="935" spans="1:8" ht="19.899999999999999" customHeight="1">
      <c r="A935" s="121">
        <v>46041</v>
      </c>
      <c r="B935" s="112" t="s">
        <v>38</v>
      </c>
      <c r="C935" s="113" t="s">
        <v>811</v>
      </c>
      <c r="D935" s="112" t="s">
        <v>808</v>
      </c>
      <c r="E935" s="122">
        <v>1.6284722222222221</v>
      </c>
      <c r="F935" s="112" t="s">
        <v>40</v>
      </c>
      <c r="G935" s="114">
        <v>20</v>
      </c>
      <c r="H935" s="115" t="s">
        <v>872</v>
      </c>
    </row>
    <row r="936" spans="1:8" ht="19.899999999999999" customHeight="1">
      <c r="A936" s="121">
        <v>46041</v>
      </c>
      <c r="B936" s="112" t="s">
        <v>38</v>
      </c>
      <c r="C936" s="113" t="s">
        <v>812</v>
      </c>
      <c r="D936" s="112" t="s">
        <v>808</v>
      </c>
      <c r="E936" s="122">
        <v>1.8888888888888891</v>
      </c>
      <c r="F936" s="112" t="s">
        <v>40</v>
      </c>
      <c r="G936" s="114">
        <v>1</v>
      </c>
      <c r="H936" s="115" t="s">
        <v>872</v>
      </c>
    </row>
    <row r="937" spans="1:8" ht="19.899999999999999" customHeight="1">
      <c r="A937" s="121">
        <v>46041</v>
      </c>
      <c r="B937" s="112" t="s">
        <v>38</v>
      </c>
      <c r="C937" s="113" t="s">
        <v>813</v>
      </c>
      <c r="D937" s="112" t="s">
        <v>808</v>
      </c>
      <c r="E937" s="122">
        <v>1.944444444444444</v>
      </c>
      <c r="F937" s="112" t="s">
        <v>40</v>
      </c>
      <c r="G937" s="114">
        <v>15</v>
      </c>
      <c r="H937" s="115" t="s">
        <v>872</v>
      </c>
    </row>
    <row r="938" spans="1:8" ht="19.899999999999999" customHeight="1">
      <c r="A938" s="121">
        <v>46041</v>
      </c>
      <c r="B938" s="112" t="s">
        <v>68</v>
      </c>
      <c r="C938" s="113" t="s">
        <v>842</v>
      </c>
      <c r="D938" s="112" t="s">
        <v>808</v>
      </c>
      <c r="E938" s="122">
        <v>1.9826388888888891</v>
      </c>
      <c r="F938" s="112" t="s">
        <v>643</v>
      </c>
      <c r="G938" s="114">
        <v>8</v>
      </c>
      <c r="H938" s="115" t="s">
        <v>891</v>
      </c>
    </row>
    <row r="939" spans="1:8" ht="19.899999999999999" customHeight="1">
      <c r="A939" s="121">
        <v>46041</v>
      </c>
      <c r="B939" s="112" t="s">
        <v>68</v>
      </c>
      <c r="C939" s="113" t="s">
        <v>844</v>
      </c>
      <c r="D939" s="112" t="s">
        <v>808</v>
      </c>
      <c r="E939" s="122">
        <v>1.729166666666667</v>
      </c>
      <c r="F939" s="112" t="s">
        <v>643</v>
      </c>
      <c r="G939" s="114">
        <v>9</v>
      </c>
      <c r="H939" s="115" t="s">
        <v>888</v>
      </c>
    </row>
    <row r="940" spans="1:8" ht="19.899999999999999" customHeight="1">
      <c r="A940" s="121">
        <v>46041</v>
      </c>
      <c r="B940" s="112" t="s">
        <v>26</v>
      </c>
      <c r="C940" s="113" t="s">
        <v>820</v>
      </c>
      <c r="D940" s="112" t="s">
        <v>808</v>
      </c>
      <c r="E940" s="122">
        <v>1.4375</v>
      </c>
      <c r="F940" s="112" t="s">
        <v>28</v>
      </c>
      <c r="G940" s="114">
        <v>9</v>
      </c>
      <c r="H940" s="115" t="s">
        <v>81</v>
      </c>
    </row>
    <row r="941" spans="1:8" ht="19.899999999999999" customHeight="1">
      <c r="A941" s="121">
        <v>46041</v>
      </c>
      <c r="B941" s="112" t="s">
        <v>26</v>
      </c>
      <c r="C941" s="113" t="s">
        <v>826</v>
      </c>
      <c r="D941" s="112" t="s">
        <v>808</v>
      </c>
      <c r="E941" s="122">
        <v>1.958333333333333</v>
      </c>
      <c r="F941" s="112" t="s">
        <v>28</v>
      </c>
      <c r="G941" s="114">
        <v>9</v>
      </c>
      <c r="H941" s="115" t="s">
        <v>81</v>
      </c>
    </row>
    <row r="942" spans="1:8" ht="19.899999999999999" customHeight="1">
      <c r="A942" s="121">
        <v>46041</v>
      </c>
      <c r="B942" s="112" t="s">
        <v>26</v>
      </c>
      <c r="C942" s="113" t="s">
        <v>821</v>
      </c>
      <c r="D942" s="112" t="s">
        <v>808</v>
      </c>
      <c r="E942" s="122">
        <v>1.631944444444444</v>
      </c>
      <c r="F942" s="112" t="s">
        <v>28</v>
      </c>
      <c r="G942" s="114">
        <v>9</v>
      </c>
      <c r="H942" s="115" t="s">
        <v>81</v>
      </c>
    </row>
    <row r="943" spans="1:8" ht="19.899999999999999" customHeight="1">
      <c r="A943" s="121">
        <v>46041</v>
      </c>
      <c r="B943" s="112" t="s">
        <v>26</v>
      </c>
      <c r="C943" s="113" t="s">
        <v>822</v>
      </c>
      <c r="D943" s="112" t="s">
        <v>808</v>
      </c>
      <c r="E943" s="122">
        <v>1.5590277777777779</v>
      </c>
      <c r="F943" s="112" t="s">
        <v>28</v>
      </c>
      <c r="G943" s="114">
        <v>9</v>
      </c>
      <c r="H943" s="115" t="s">
        <v>81</v>
      </c>
    </row>
    <row r="944" spans="1:8" ht="19.899999999999999" customHeight="1">
      <c r="A944" s="121">
        <v>46041</v>
      </c>
      <c r="B944" s="112" t="s">
        <v>26</v>
      </c>
      <c r="C944" s="113" t="s">
        <v>823</v>
      </c>
      <c r="D944" s="112" t="s">
        <v>808</v>
      </c>
      <c r="E944" s="122">
        <v>1.819444444444444</v>
      </c>
      <c r="F944" s="112" t="s">
        <v>28</v>
      </c>
      <c r="G944" s="114">
        <v>9</v>
      </c>
      <c r="H944" s="115" t="s">
        <v>81</v>
      </c>
    </row>
    <row r="945" spans="1:8" ht="19.899999999999999" customHeight="1">
      <c r="A945" s="121">
        <v>46041</v>
      </c>
      <c r="B945" s="112" t="s">
        <v>26</v>
      </c>
      <c r="C945" s="113" t="s">
        <v>824</v>
      </c>
      <c r="D945" s="112" t="s">
        <v>808</v>
      </c>
      <c r="E945" s="122">
        <v>1.506944444444444</v>
      </c>
      <c r="F945" s="112" t="s">
        <v>28</v>
      </c>
      <c r="G945" s="114">
        <v>9</v>
      </c>
      <c r="H945" s="115" t="s">
        <v>81</v>
      </c>
    </row>
    <row r="946" spans="1:8" ht="19.899999999999999" customHeight="1">
      <c r="A946" s="121">
        <v>46041</v>
      </c>
      <c r="B946" s="112" t="s">
        <v>48</v>
      </c>
      <c r="C946" s="113" t="s">
        <v>884</v>
      </c>
      <c r="D946" s="112" t="s">
        <v>808</v>
      </c>
      <c r="E946" s="122">
        <v>1.208333333333333</v>
      </c>
      <c r="F946" s="112" t="s">
        <v>50</v>
      </c>
      <c r="G946" s="114">
        <v>9</v>
      </c>
      <c r="H946" s="115" t="s">
        <v>873</v>
      </c>
    </row>
    <row r="947" spans="1:8" ht="19.899999999999999" customHeight="1">
      <c r="A947" s="121">
        <v>46041</v>
      </c>
      <c r="B947" s="112" t="s">
        <v>48</v>
      </c>
      <c r="C947" s="113" t="s">
        <v>831</v>
      </c>
      <c r="D947" s="112" t="s">
        <v>808</v>
      </c>
      <c r="E947" s="122">
        <v>1.9826388888888891</v>
      </c>
      <c r="F947" s="112" t="s">
        <v>50</v>
      </c>
      <c r="G947" s="114">
        <v>9</v>
      </c>
      <c r="H947" s="115" t="s">
        <v>873</v>
      </c>
    </row>
    <row r="948" spans="1:8" ht="19.899999999999999" customHeight="1">
      <c r="A948" s="129">
        <v>46041</v>
      </c>
      <c r="B948" s="117" t="s">
        <v>61</v>
      </c>
      <c r="C948" s="118" t="s">
        <v>852</v>
      </c>
      <c r="D948" s="117" t="s">
        <v>808</v>
      </c>
      <c r="E948" s="130">
        <v>1.725694444444444</v>
      </c>
      <c r="F948" s="117" t="s">
        <v>63</v>
      </c>
      <c r="G948" s="119">
        <v>9</v>
      </c>
      <c r="H948" s="120" t="s">
        <v>853</v>
      </c>
    </row>
    <row r="949" spans="1:8" ht="19.899999999999999" customHeight="1">
      <c r="A949" s="121">
        <v>46041</v>
      </c>
      <c r="B949" s="112" t="s">
        <v>26</v>
      </c>
      <c r="C949" s="113" t="s">
        <v>825</v>
      </c>
      <c r="D949" s="112" t="s">
        <v>808</v>
      </c>
      <c r="E949" s="122">
        <v>1.697916666666667</v>
      </c>
      <c r="F949" s="112" t="s">
        <v>28</v>
      </c>
      <c r="G949" s="114">
        <v>9</v>
      </c>
      <c r="H949" s="115" t="s">
        <v>827</v>
      </c>
    </row>
    <row r="950" spans="1:8" ht="19.899999999999999" customHeight="1">
      <c r="A950" s="121">
        <v>46041</v>
      </c>
      <c r="B950" s="112" t="s">
        <v>48</v>
      </c>
      <c r="C950" s="113" t="s">
        <v>833</v>
      </c>
      <c r="D950" s="112" t="s">
        <v>808</v>
      </c>
      <c r="E950" s="122">
        <v>1.444444444444444</v>
      </c>
      <c r="F950" s="112" t="s">
        <v>50</v>
      </c>
      <c r="G950" s="114">
        <v>9</v>
      </c>
      <c r="H950" s="115" t="s">
        <v>829</v>
      </c>
    </row>
    <row r="951" spans="1:8" ht="19.899999999999999" customHeight="1">
      <c r="A951" s="121">
        <v>46041</v>
      </c>
      <c r="B951" s="112" t="s">
        <v>48</v>
      </c>
      <c r="C951" s="113" t="s">
        <v>828</v>
      </c>
      <c r="D951" s="112" t="s">
        <v>808</v>
      </c>
      <c r="E951" s="122">
        <v>1.8298611111111109</v>
      </c>
      <c r="F951" s="112" t="s">
        <v>50</v>
      </c>
      <c r="G951" s="114">
        <v>9</v>
      </c>
      <c r="H951" s="115" t="s">
        <v>829</v>
      </c>
    </row>
    <row r="952" spans="1:8" ht="19.899999999999999" customHeight="1">
      <c r="A952" s="121">
        <v>46041</v>
      </c>
      <c r="B952" s="112" t="s">
        <v>48</v>
      </c>
      <c r="C952" s="113" t="s">
        <v>832</v>
      </c>
      <c r="D952" s="112" t="s">
        <v>808</v>
      </c>
      <c r="E952" s="122">
        <v>1.6284722222222221</v>
      </c>
      <c r="F952" s="112" t="s">
        <v>50</v>
      </c>
      <c r="G952" s="114">
        <v>9</v>
      </c>
      <c r="H952" s="115" t="s">
        <v>829</v>
      </c>
    </row>
    <row r="953" spans="1:8" ht="19.899999999999999" customHeight="1">
      <c r="A953" s="121">
        <v>46041</v>
      </c>
      <c r="B953" s="112" t="s">
        <v>26</v>
      </c>
      <c r="C953" s="113" t="s">
        <v>820</v>
      </c>
      <c r="D953" s="112" t="s">
        <v>808</v>
      </c>
      <c r="E953" s="122">
        <v>1.4375</v>
      </c>
      <c r="F953" s="112" t="s">
        <v>31</v>
      </c>
      <c r="G953" s="114">
        <v>9</v>
      </c>
      <c r="H953" s="115" t="s">
        <v>83</v>
      </c>
    </row>
    <row r="954" spans="1:8" ht="19.899999999999999" customHeight="1">
      <c r="A954" s="121">
        <v>46041</v>
      </c>
      <c r="B954" s="112" t="s">
        <v>26</v>
      </c>
      <c r="C954" s="113" t="s">
        <v>826</v>
      </c>
      <c r="D954" s="112" t="s">
        <v>808</v>
      </c>
      <c r="E954" s="122">
        <v>1.958333333333333</v>
      </c>
      <c r="F954" s="112" t="s">
        <v>31</v>
      </c>
      <c r="G954" s="114">
        <v>9</v>
      </c>
      <c r="H954" s="115" t="s">
        <v>83</v>
      </c>
    </row>
    <row r="955" spans="1:8" ht="19.899999999999999" customHeight="1">
      <c r="A955" s="121">
        <v>46041</v>
      </c>
      <c r="B955" s="112" t="s">
        <v>26</v>
      </c>
      <c r="C955" s="113" t="s">
        <v>821</v>
      </c>
      <c r="D955" s="112" t="s">
        <v>808</v>
      </c>
      <c r="E955" s="122">
        <v>1.631944444444444</v>
      </c>
      <c r="F955" s="112" t="s">
        <v>31</v>
      </c>
      <c r="G955" s="114">
        <v>9</v>
      </c>
      <c r="H955" s="115" t="s">
        <v>83</v>
      </c>
    </row>
    <row r="956" spans="1:8" ht="19.899999999999999" customHeight="1">
      <c r="A956" s="121">
        <v>46041</v>
      </c>
      <c r="B956" s="112" t="s">
        <v>26</v>
      </c>
      <c r="C956" s="113" t="s">
        <v>822</v>
      </c>
      <c r="D956" s="112" t="s">
        <v>808</v>
      </c>
      <c r="E956" s="122">
        <v>1.5590277777777779</v>
      </c>
      <c r="F956" s="112" t="s">
        <v>31</v>
      </c>
      <c r="G956" s="114">
        <v>9</v>
      </c>
      <c r="H956" s="115" t="s">
        <v>83</v>
      </c>
    </row>
    <row r="957" spans="1:8" ht="19.899999999999999" customHeight="1">
      <c r="A957" s="121">
        <v>46041</v>
      </c>
      <c r="B957" s="112" t="s">
        <v>26</v>
      </c>
      <c r="C957" s="113" t="s">
        <v>823</v>
      </c>
      <c r="D957" s="112" t="s">
        <v>808</v>
      </c>
      <c r="E957" s="122">
        <v>1.819444444444444</v>
      </c>
      <c r="F957" s="112" t="s">
        <v>31</v>
      </c>
      <c r="G957" s="114">
        <v>9</v>
      </c>
      <c r="H957" s="115" t="s">
        <v>83</v>
      </c>
    </row>
    <row r="958" spans="1:8" ht="19.899999999999999" customHeight="1">
      <c r="A958" s="121">
        <v>46041</v>
      </c>
      <c r="B958" s="112" t="s">
        <v>26</v>
      </c>
      <c r="C958" s="113" t="s">
        <v>824</v>
      </c>
      <c r="D958" s="112" t="s">
        <v>808</v>
      </c>
      <c r="E958" s="122">
        <v>1.506944444444444</v>
      </c>
      <c r="F958" s="112" t="s">
        <v>31</v>
      </c>
      <c r="G958" s="114">
        <v>9</v>
      </c>
      <c r="H958" s="115" t="s">
        <v>83</v>
      </c>
    </row>
    <row r="959" spans="1:8" ht="19.899999999999999" customHeight="1">
      <c r="A959" s="121">
        <v>46041</v>
      </c>
      <c r="B959" s="112" t="s">
        <v>359</v>
      </c>
      <c r="C959" s="113" t="s">
        <v>814</v>
      </c>
      <c r="D959" s="112" t="s">
        <v>808</v>
      </c>
      <c r="E959" s="122">
        <v>1.3298611111111109</v>
      </c>
      <c r="F959" s="112" t="s">
        <v>361</v>
      </c>
      <c r="G959" s="114">
        <v>9</v>
      </c>
      <c r="H959" s="115" t="s">
        <v>919</v>
      </c>
    </row>
    <row r="960" spans="1:8" ht="19.899999999999999" customHeight="1">
      <c r="A960" s="121">
        <v>46041</v>
      </c>
      <c r="B960" s="112" t="s">
        <v>38</v>
      </c>
      <c r="C960" s="113" t="s">
        <v>809</v>
      </c>
      <c r="D960" s="112" t="s">
        <v>808</v>
      </c>
      <c r="E960" s="122">
        <v>1.5763888888888891</v>
      </c>
      <c r="F960" s="112" t="s">
        <v>43</v>
      </c>
      <c r="G960" s="114">
        <v>19</v>
      </c>
      <c r="H960" s="115" t="s">
        <v>349</v>
      </c>
    </row>
    <row r="961" spans="1:8" ht="19.899999999999999" customHeight="1">
      <c r="A961" s="121">
        <v>46041</v>
      </c>
      <c r="B961" s="112" t="s">
        <v>38</v>
      </c>
      <c r="C961" s="113" t="s">
        <v>811</v>
      </c>
      <c r="D961" s="112" t="s">
        <v>808</v>
      </c>
      <c r="E961" s="122">
        <v>1.6284722222222221</v>
      </c>
      <c r="F961" s="112" t="s">
        <v>43</v>
      </c>
      <c r="G961" s="114">
        <v>20</v>
      </c>
      <c r="H961" s="115" t="s">
        <v>349</v>
      </c>
    </row>
    <row r="962" spans="1:8" ht="19.899999999999999" customHeight="1">
      <c r="A962" s="121">
        <v>46041</v>
      </c>
      <c r="B962" s="112" t="s">
        <v>38</v>
      </c>
      <c r="C962" s="113" t="s">
        <v>812</v>
      </c>
      <c r="D962" s="112" t="s">
        <v>808</v>
      </c>
      <c r="E962" s="122">
        <v>1.8888888888888891</v>
      </c>
      <c r="F962" s="112" t="s">
        <v>43</v>
      </c>
      <c r="G962" s="114">
        <v>1</v>
      </c>
      <c r="H962" s="115" t="s">
        <v>349</v>
      </c>
    </row>
    <row r="963" spans="1:8" ht="19.899999999999999" customHeight="1">
      <c r="A963" s="121">
        <v>46041</v>
      </c>
      <c r="B963" s="112" t="s">
        <v>38</v>
      </c>
      <c r="C963" s="113" t="s">
        <v>813</v>
      </c>
      <c r="D963" s="112" t="s">
        <v>808</v>
      </c>
      <c r="E963" s="122">
        <v>1.944444444444444</v>
      </c>
      <c r="F963" s="112" t="s">
        <v>43</v>
      </c>
      <c r="G963" s="114">
        <v>15</v>
      </c>
      <c r="H963" s="115" t="s">
        <v>349</v>
      </c>
    </row>
    <row r="964" spans="1:8" ht="19.899999999999999" customHeight="1">
      <c r="A964" s="121">
        <v>46041</v>
      </c>
      <c r="B964" s="112" t="s">
        <v>68</v>
      </c>
      <c r="C964" s="113" t="s">
        <v>843</v>
      </c>
      <c r="D964" s="112" t="s">
        <v>808</v>
      </c>
      <c r="E964" s="122">
        <v>1.354166666666667</v>
      </c>
      <c r="F964" s="112" t="s">
        <v>70</v>
      </c>
      <c r="G964" s="114">
        <v>9</v>
      </c>
      <c r="H964" s="115" t="s">
        <v>404</v>
      </c>
    </row>
    <row r="965" spans="1:8" ht="19.899999999999999" customHeight="1">
      <c r="A965" s="121">
        <v>46041</v>
      </c>
      <c r="B965" s="112" t="s">
        <v>26</v>
      </c>
      <c r="C965" s="113" t="s">
        <v>825</v>
      </c>
      <c r="D965" s="112" t="s">
        <v>808</v>
      </c>
      <c r="E965" s="122">
        <v>1.697916666666667</v>
      </c>
      <c r="F965" s="112" t="s">
        <v>31</v>
      </c>
      <c r="G965" s="114">
        <v>9</v>
      </c>
      <c r="H965" s="115" t="s">
        <v>161</v>
      </c>
    </row>
    <row r="966" spans="1:8" ht="19.899999999999999" customHeight="1">
      <c r="A966" s="121">
        <v>46041</v>
      </c>
      <c r="B966" s="112" t="s">
        <v>48</v>
      </c>
      <c r="C966" s="113" t="s">
        <v>884</v>
      </c>
      <c r="D966" s="112" t="s">
        <v>808</v>
      </c>
      <c r="E966" s="122">
        <v>1.208333333333333</v>
      </c>
      <c r="F966" s="112" t="s">
        <v>53</v>
      </c>
      <c r="G966" s="114">
        <v>9</v>
      </c>
      <c r="H966" s="115" t="s">
        <v>874</v>
      </c>
    </row>
    <row r="967" spans="1:8" ht="19.899999999999999" customHeight="1">
      <c r="A967" s="121">
        <v>46041</v>
      </c>
      <c r="B967" s="112" t="s">
        <v>48</v>
      </c>
      <c r="C967" s="113" t="s">
        <v>831</v>
      </c>
      <c r="D967" s="112" t="s">
        <v>808</v>
      </c>
      <c r="E967" s="122">
        <v>1.9826388888888891</v>
      </c>
      <c r="F967" s="112" t="s">
        <v>53</v>
      </c>
      <c r="G967" s="114">
        <v>9</v>
      </c>
      <c r="H967" s="115" t="s">
        <v>874</v>
      </c>
    </row>
    <row r="968" spans="1:8" ht="19.899999999999999" customHeight="1">
      <c r="A968" s="121">
        <v>46041</v>
      </c>
      <c r="B968" s="112" t="s">
        <v>26</v>
      </c>
      <c r="C968" s="113" t="s">
        <v>820</v>
      </c>
      <c r="D968" s="112" t="s">
        <v>808</v>
      </c>
      <c r="E968" s="122">
        <v>1.4375</v>
      </c>
      <c r="F968" s="112" t="s">
        <v>34</v>
      </c>
      <c r="G968" s="114">
        <v>9</v>
      </c>
      <c r="H968" s="115" t="s">
        <v>45</v>
      </c>
    </row>
    <row r="969" spans="1:8" ht="19.899999999999999" customHeight="1">
      <c r="A969" s="121">
        <v>46041</v>
      </c>
      <c r="B969" s="112" t="s">
        <v>26</v>
      </c>
      <c r="C969" s="113" t="s">
        <v>826</v>
      </c>
      <c r="D969" s="112" t="s">
        <v>808</v>
      </c>
      <c r="E969" s="122">
        <v>1.958333333333333</v>
      </c>
      <c r="F969" s="112" t="s">
        <v>34</v>
      </c>
      <c r="G969" s="114">
        <v>9</v>
      </c>
      <c r="H969" s="115" t="s">
        <v>45</v>
      </c>
    </row>
    <row r="970" spans="1:8" ht="19.899999999999999" customHeight="1">
      <c r="A970" s="121">
        <v>46041</v>
      </c>
      <c r="B970" s="112" t="s">
        <v>26</v>
      </c>
      <c r="C970" s="113" t="s">
        <v>821</v>
      </c>
      <c r="D970" s="112" t="s">
        <v>808</v>
      </c>
      <c r="E970" s="122">
        <v>1.631944444444444</v>
      </c>
      <c r="F970" s="112" t="s">
        <v>34</v>
      </c>
      <c r="G970" s="114">
        <v>9</v>
      </c>
      <c r="H970" s="115" t="s">
        <v>45</v>
      </c>
    </row>
    <row r="971" spans="1:8" ht="19.899999999999999" customHeight="1">
      <c r="A971" s="121">
        <v>46041</v>
      </c>
      <c r="B971" s="112" t="s">
        <v>26</v>
      </c>
      <c r="C971" s="113" t="s">
        <v>822</v>
      </c>
      <c r="D971" s="112" t="s">
        <v>808</v>
      </c>
      <c r="E971" s="122">
        <v>1.5590277777777779</v>
      </c>
      <c r="F971" s="112" t="s">
        <v>34</v>
      </c>
      <c r="G971" s="114">
        <v>9</v>
      </c>
      <c r="H971" s="115" t="s">
        <v>45</v>
      </c>
    </row>
    <row r="972" spans="1:8" ht="19.899999999999999" customHeight="1">
      <c r="A972" s="121">
        <v>46041</v>
      </c>
      <c r="B972" s="112" t="s">
        <v>26</v>
      </c>
      <c r="C972" s="113" t="s">
        <v>823</v>
      </c>
      <c r="D972" s="112" t="s">
        <v>808</v>
      </c>
      <c r="E972" s="122">
        <v>1.819444444444444</v>
      </c>
      <c r="F972" s="112" t="s">
        <v>34</v>
      </c>
      <c r="G972" s="114">
        <v>9</v>
      </c>
      <c r="H972" s="115" t="s">
        <v>45</v>
      </c>
    </row>
    <row r="973" spans="1:8" ht="19.899999999999999" customHeight="1">
      <c r="A973" s="121">
        <v>46041</v>
      </c>
      <c r="B973" s="112" t="s">
        <v>26</v>
      </c>
      <c r="C973" s="113" t="s">
        <v>824</v>
      </c>
      <c r="D973" s="112" t="s">
        <v>808</v>
      </c>
      <c r="E973" s="122">
        <v>1.506944444444444</v>
      </c>
      <c r="F973" s="112" t="s">
        <v>34</v>
      </c>
      <c r="G973" s="114">
        <v>9</v>
      </c>
      <c r="H973" s="115" t="s">
        <v>45</v>
      </c>
    </row>
    <row r="974" spans="1:8" ht="19.899999999999999" customHeight="1">
      <c r="A974" s="121">
        <v>46041</v>
      </c>
      <c r="B974" s="112" t="s">
        <v>48</v>
      </c>
      <c r="C974" s="113" t="s">
        <v>833</v>
      </c>
      <c r="D974" s="112" t="s">
        <v>808</v>
      </c>
      <c r="E974" s="122">
        <v>1.444444444444444</v>
      </c>
      <c r="F974" s="112" t="s">
        <v>53</v>
      </c>
      <c r="G974" s="114">
        <v>9</v>
      </c>
      <c r="H974" s="115" t="s">
        <v>830</v>
      </c>
    </row>
    <row r="975" spans="1:8" ht="19.899999999999999" customHeight="1">
      <c r="A975" s="121">
        <v>46041</v>
      </c>
      <c r="B975" s="112" t="s">
        <v>48</v>
      </c>
      <c r="C975" s="113" t="s">
        <v>828</v>
      </c>
      <c r="D975" s="112" t="s">
        <v>808</v>
      </c>
      <c r="E975" s="122">
        <v>1.8298611111111109</v>
      </c>
      <c r="F975" s="112" t="s">
        <v>53</v>
      </c>
      <c r="G975" s="114">
        <v>9</v>
      </c>
      <c r="H975" s="115" t="s">
        <v>830</v>
      </c>
    </row>
    <row r="976" spans="1:8" ht="19.899999999999999" customHeight="1">
      <c r="A976" s="121">
        <v>46041</v>
      </c>
      <c r="B976" s="112" t="s">
        <v>48</v>
      </c>
      <c r="C976" s="113" t="s">
        <v>832</v>
      </c>
      <c r="D976" s="112" t="s">
        <v>808</v>
      </c>
      <c r="E976" s="122">
        <v>1.6284722222222221</v>
      </c>
      <c r="F976" s="112" t="s">
        <v>53</v>
      </c>
      <c r="G976" s="114">
        <v>9</v>
      </c>
      <c r="H976" s="115" t="s">
        <v>830</v>
      </c>
    </row>
    <row r="977" spans="1:8" ht="19.899999999999999" customHeight="1">
      <c r="A977" s="121">
        <v>46041</v>
      </c>
      <c r="B977" s="112" t="s">
        <v>402</v>
      </c>
      <c r="C977" s="113" t="s">
        <v>841</v>
      </c>
      <c r="D977" s="112" t="s">
        <v>808</v>
      </c>
      <c r="E977" s="122">
        <v>1.552083333333333</v>
      </c>
      <c r="F977" s="112" t="s">
        <v>63</v>
      </c>
      <c r="G977" s="114">
        <v>6</v>
      </c>
      <c r="H977" s="115" t="s">
        <v>881</v>
      </c>
    </row>
    <row r="978" spans="1:8" ht="19.899999999999999" customHeight="1">
      <c r="A978" s="121">
        <v>46041</v>
      </c>
      <c r="B978" s="112" t="s">
        <v>26</v>
      </c>
      <c r="C978" s="113" t="s">
        <v>825</v>
      </c>
      <c r="D978" s="112" t="s">
        <v>808</v>
      </c>
      <c r="E978" s="122">
        <v>1.697916666666667</v>
      </c>
      <c r="F978" s="112" t="s">
        <v>34</v>
      </c>
      <c r="G978" s="114">
        <v>9</v>
      </c>
      <c r="H978" s="115" t="s">
        <v>123</v>
      </c>
    </row>
    <row r="979" spans="1:8" ht="19.899999999999999" customHeight="1">
      <c r="A979" s="121">
        <v>46041</v>
      </c>
      <c r="B979" s="112" t="s">
        <v>402</v>
      </c>
      <c r="C979" s="113" t="s">
        <v>839</v>
      </c>
      <c r="D979" s="112" t="s">
        <v>808</v>
      </c>
      <c r="E979" s="122">
        <v>1.1701388888888891</v>
      </c>
      <c r="F979" s="112" t="s">
        <v>63</v>
      </c>
      <c r="G979" s="114">
        <v>5</v>
      </c>
      <c r="H979" s="115" t="s">
        <v>948</v>
      </c>
    </row>
    <row r="980" spans="1:8" ht="19.899999999999999" customHeight="1">
      <c r="A980" s="121">
        <v>46041</v>
      </c>
      <c r="B980" s="112" t="s">
        <v>359</v>
      </c>
      <c r="C980" s="113" t="s">
        <v>814</v>
      </c>
      <c r="D980" s="112" t="s">
        <v>808</v>
      </c>
      <c r="E980" s="122">
        <v>1.3298611111111109</v>
      </c>
      <c r="F980" s="112" t="s">
        <v>46</v>
      </c>
      <c r="G980" s="114">
        <v>9</v>
      </c>
      <c r="H980" s="115" t="s">
        <v>607</v>
      </c>
    </row>
    <row r="981" spans="1:8" ht="19.899999999999999" customHeight="1">
      <c r="A981" s="121">
        <v>46041</v>
      </c>
      <c r="B981" s="112" t="s">
        <v>38</v>
      </c>
      <c r="C981" s="113" t="s">
        <v>809</v>
      </c>
      <c r="D981" s="112" t="s">
        <v>808</v>
      </c>
      <c r="E981" s="122">
        <v>1.5763888888888891</v>
      </c>
      <c r="F981" s="112" t="s">
        <v>46</v>
      </c>
      <c r="G981" s="114">
        <v>19</v>
      </c>
      <c r="H981" s="115" t="s">
        <v>810</v>
      </c>
    </row>
    <row r="982" spans="1:8" ht="19.899999999999999" customHeight="1">
      <c r="A982" s="121">
        <v>46041</v>
      </c>
      <c r="B982" s="112" t="s">
        <v>38</v>
      </c>
      <c r="C982" s="113" t="s">
        <v>811</v>
      </c>
      <c r="D982" s="112" t="s">
        <v>808</v>
      </c>
      <c r="E982" s="122">
        <v>1.6284722222222221</v>
      </c>
      <c r="F982" s="112" t="s">
        <v>46</v>
      </c>
      <c r="G982" s="114">
        <v>20</v>
      </c>
      <c r="H982" s="115" t="s">
        <v>810</v>
      </c>
    </row>
    <row r="983" spans="1:8" ht="19.899999999999999" customHeight="1">
      <c r="A983" s="121">
        <v>46041</v>
      </c>
      <c r="B983" s="112" t="s">
        <v>38</v>
      </c>
      <c r="C983" s="113" t="s">
        <v>812</v>
      </c>
      <c r="D983" s="112" t="s">
        <v>808</v>
      </c>
      <c r="E983" s="122">
        <v>1.8888888888888891</v>
      </c>
      <c r="F983" s="112" t="s">
        <v>46</v>
      </c>
      <c r="G983" s="114">
        <v>1</v>
      </c>
      <c r="H983" s="115" t="s">
        <v>810</v>
      </c>
    </row>
    <row r="984" spans="1:8" ht="19.899999999999999" customHeight="1">
      <c r="A984" s="121">
        <v>46041</v>
      </c>
      <c r="B984" s="112" t="s">
        <v>38</v>
      </c>
      <c r="C984" s="113" t="s">
        <v>813</v>
      </c>
      <c r="D984" s="112" t="s">
        <v>808</v>
      </c>
      <c r="E984" s="122">
        <v>1.944444444444444</v>
      </c>
      <c r="F984" s="112" t="s">
        <v>46</v>
      </c>
      <c r="G984" s="114">
        <v>15</v>
      </c>
      <c r="H984" s="115" t="s">
        <v>810</v>
      </c>
    </row>
    <row r="985" spans="1:8" ht="19.899999999999999" customHeight="1">
      <c r="A985" s="121">
        <v>46041</v>
      </c>
      <c r="B985" s="112" t="s">
        <v>48</v>
      </c>
      <c r="C985" s="113" t="s">
        <v>835</v>
      </c>
      <c r="D985" s="112" t="s">
        <v>808</v>
      </c>
      <c r="E985" s="122">
        <v>1.8888888888888891</v>
      </c>
      <c r="F985" s="112" t="s">
        <v>53</v>
      </c>
      <c r="G985" s="114">
        <v>4</v>
      </c>
      <c r="H985" s="115" t="s">
        <v>836</v>
      </c>
    </row>
    <row r="986" spans="1:8" ht="19.899999999999999" customHeight="1">
      <c r="A986" s="121">
        <v>46041</v>
      </c>
      <c r="B986" s="112" t="s">
        <v>48</v>
      </c>
      <c r="C986" s="113" t="s">
        <v>837</v>
      </c>
      <c r="D986" s="112" t="s">
        <v>808</v>
      </c>
      <c r="E986" s="122">
        <v>1.6284722222222221</v>
      </c>
      <c r="F986" s="112" t="s">
        <v>53</v>
      </c>
      <c r="G986" s="114">
        <v>4</v>
      </c>
      <c r="H986" s="115" t="s">
        <v>836</v>
      </c>
    </row>
    <row r="987" spans="1:8" ht="19.899999999999999" customHeight="1">
      <c r="A987" s="123">
        <v>46041</v>
      </c>
      <c r="B987" s="124" t="s">
        <v>48</v>
      </c>
      <c r="C987" s="125" t="s">
        <v>838</v>
      </c>
      <c r="D987" s="124" t="s">
        <v>808</v>
      </c>
      <c r="E987" s="126">
        <v>1.944444444444444</v>
      </c>
      <c r="F987" s="124" t="s">
        <v>53</v>
      </c>
      <c r="G987" s="127">
        <v>4</v>
      </c>
      <c r="H987" s="128" t="s">
        <v>836</v>
      </c>
    </row>
    <row r="988" spans="1:8" ht="19.899999999999999" customHeight="1">
      <c r="A988" s="121">
        <v>46042</v>
      </c>
      <c r="B988" s="112" t="s">
        <v>38</v>
      </c>
      <c r="C988" s="113" t="s">
        <v>809</v>
      </c>
      <c r="D988" s="112" t="s">
        <v>808</v>
      </c>
      <c r="E988" s="122">
        <v>1.5763888888888891</v>
      </c>
      <c r="F988" s="112" t="s">
        <v>40</v>
      </c>
      <c r="G988" s="114">
        <v>12</v>
      </c>
      <c r="H988" s="115" t="s">
        <v>475</v>
      </c>
    </row>
    <row r="989" spans="1:8" ht="19.899999999999999" customHeight="1">
      <c r="A989" s="121">
        <v>46042</v>
      </c>
      <c r="B989" s="112" t="s">
        <v>38</v>
      </c>
      <c r="C989" s="113" t="s">
        <v>811</v>
      </c>
      <c r="D989" s="112" t="s">
        <v>808</v>
      </c>
      <c r="E989" s="122">
        <v>1.6284722222222221</v>
      </c>
      <c r="F989" s="112" t="s">
        <v>40</v>
      </c>
      <c r="G989" s="114">
        <v>18</v>
      </c>
      <c r="H989" s="115" t="s">
        <v>475</v>
      </c>
    </row>
    <row r="990" spans="1:8" ht="19.899999999999999" customHeight="1">
      <c r="A990" s="121">
        <v>46042</v>
      </c>
      <c r="B990" s="112" t="s">
        <v>38</v>
      </c>
      <c r="C990" s="113" t="s">
        <v>812</v>
      </c>
      <c r="D990" s="112" t="s">
        <v>808</v>
      </c>
      <c r="E990" s="122">
        <v>1.8888888888888891</v>
      </c>
      <c r="F990" s="112" t="s">
        <v>40</v>
      </c>
      <c r="G990" s="114">
        <v>20</v>
      </c>
      <c r="H990" s="115" t="s">
        <v>872</v>
      </c>
    </row>
    <row r="991" spans="1:8" ht="19.899999999999999" customHeight="1">
      <c r="A991" s="121">
        <v>46042</v>
      </c>
      <c r="B991" s="112" t="s">
        <v>38</v>
      </c>
      <c r="C991" s="113" t="s">
        <v>813</v>
      </c>
      <c r="D991" s="112" t="s">
        <v>808</v>
      </c>
      <c r="E991" s="122">
        <v>1.944444444444444</v>
      </c>
      <c r="F991" s="112" t="s">
        <v>40</v>
      </c>
      <c r="G991" s="114">
        <v>18</v>
      </c>
      <c r="H991" s="115" t="s">
        <v>872</v>
      </c>
    </row>
    <row r="992" spans="1:8" ht="19.899999999999999" customHeight="1">
      <c r="A992" s="121">
        <v>46042</v>
      </c>
      <c r="B992" s="112" t="s">
        <v>68</v>
      </c>
      <c r="C992" s="113" t="s">
        <v>842</v>
      </c>
      <c r="D992" s="112" t="s">
        <v>808</v>
      </c>
      <c r="E992" s="122">
        <v>1.9826388888888891</v>
      </c>
      <c r="F992" s="112" t="s">
        <v>643</v>
      </c>
      <c r="G992" s="114">
        <v>6</v>
      </c>
      <c r="H992" s="115" t="s">
        <v>891</v>
      </c>
    </row>
    <row r="993" spans="1:8" ht="19.899999999999999" customHeight="1">
      <c r="A993" s="121">
        <v>46042</v>
      </c>
      <c r="B993" s="112" t="s">
        <v>26</v>
      </c>
      <c r="C993" s="113" t="s">
        <v>820</v>
      </c>
      <c r="D993" s="112" t="s">
        <v>808</v>
      </c>
      <c r="E993" s="122">
        <v>1.4375</v>
      </c>
      <c r="F993" s="112" t="s">
        <v>28</v>
      </c>
      <c r="G993" s="114">
        <v>9</v>
      </c>
      <c r="H993" s="115" t="s">
        <v>81</v>
      </c>
    </row>
    <row r="994" spans="1:8" ht="19.899999999999999" customHeight="1">
      <c r="A994" s="121">
        <v>46042</v>
      </c>
      <c r="B994" s="112" t="s">
        <v>26</v>
      </c>
      <c r="C994" s="113" t="s">
        <v>826</v>
      </c>
      <c r="D994" s="112" t="s">
        <v>808</v>
      </c>
      <c r="E994" s="122">
        <v>1.958333333333333</v>
      </c>
      <c r="F994" s="112" t="s">
        <v>28</v>
      </c>
      <c r="G994" s="114">
        <v>9</v>
      </c>
      <c r="H994" s="115" t="s">
        <v>81</v>
      </c>
    </row>
    <row r="995" spans="1:8" ht="19.899999999999999" customHeight="1">
      <c r="A995" s="121">
        <v>46042</v>
      </c>
      <c r="B995" s="112" t="s">
        <v>26</v>
      </c>
      <c r="C995" s="113" t="s">
        <v>821</v>
      </c>
      <c r="D995" s="112" t="s">
        <v>808</v>
      </c>
      <c r="E995" s="122">
        <v>1.631944444444444</v>
      </c>
      <c r="F995" s="112" t="s">
        <v>28</v>
      </c>
      <c r="G995" s="114">
        <v>9</v>
      </c>
      <c r="H995" s="115" t="s">
        <v>81</v>
      </c>
    </row>
    <row r="996" spans="1:8" ht="19.899999999999999" customHeight="1">
      <c r="A996" s="121">
        <v>46042</v>
      </c>
      <c r="B996" s="112" t="s">
        <v>26</v>
      </c>
      <c r="C996" s="113" t="s">
        <v>822</v>
      </c>
      <c r="D996" s="112" t="s">
        <v>808</v>
      </c>
      <c r="E996" s="122">
        <v>1.5590277777777779</v>
      </c>
      <c r="F996" s="112" t="s">
        <v>28</v>
      </c>
      <c r="G996" s="114">
        <v>9</v>
      </c>
      <c r="H996" s="115" t="s">
        <v>81</v>
      </c>
    </row>
    <row r="997" spans="1:8" ht="19.899999999999999" customHeight="1">
      <c r="A997" s="121">
        <v>46042</v>
      </c>
      <c r="B997" s="112" t="s">
        <v>26</v>
      </c>
      <c r="C997" s="113" t="s">
        <v>824</v>
      </c>
      <c r="D997" s="112" t="s">
        <v>808</v>
      </c>
      <c r="E997" s="122">
        <v>1.506944444444444</v>
      </c>
      <c r="F997" s="112" t="s">
        <v>28</v>
      </c>
      <c r="G997" s="114">
        <v>9</v>
      </c>
      <c r="H997" s="115" t="s">
        <v>81</v>
      </c>
    </row>
    <row r="998" spans="1:8" ht="19.899999999999999" customHeight="1">
      <c r="A998" s="121">
        <v>46042</v>
      </c>
      <c r="B998" s="112" t="s">
        <v>26</v>
      </c>
      <c r="C998" s="113" t="s">
        <v>825</v>
      </c>
      <c r="D998" s="112" t="s">
        <v>808</v>
      </c>
      <c r="E998" s="122">
        <v>1.697916666666667</v>
      </c>
      <c r="F998" s="112" t="s">
        <v>28</v>
      </c>
      <c r="G998" s="114">
        <v>9</v>
      </c>
      <c r="H998" s="115" t="s">
        <v>81</v>
      </c>
    </row>
    <row r="999" spans="1:8" ht="19.899999999999999" customHeight="1">
      <c r="A999" s="121">
        <v>46042</v>
      </c>
      <c r="B999" s="112" t="s">
        <v>48</v>
      </c>
      <c r="C999" s="113" t="s">
        <v>833</v>
      </c>
      <c r="D999" s="112" t="s">
        <v>808</v>
      </c>
      <c r="E999" s="122">
        <v>1.444444444444444</v>
      </c>
      <c r="F999" s="112" t="s">
        <v>50</v>
      </c>
      <c r="G999" s="114">
        <v>9</v>
      </c>
      <c r="H999" s="115" t="s">
        <v>873</v>
      </c>
    </row>
    <row r="1000" spans="1:8" ht="19.899999999999999" customHeight="1">
      <c r="A1000" s="121">
        <v>46042</v>
      </c>
      <c r="B1000" s="112" t="s">
        <v>48</v>
      </c>
      <c r="C1000" s="113" t="s">
        <v>828</v>
      </c>
      <c r="D1000" s="112" t="s">
        <v>808</v>
      </c>
      <c r="E1000" s="122">
        <v>1.8298611111111109</v>
      </c>
      <c r="F1000" s="112" t="s">
        <v>50</v>
      </c>
      <c r="G1000" s="114">
        <v>9</v>
      </c>
      <c r="H1000" s="115" t="s">
        <v>873</v>
      </c>
    </row>
    <row r="1001" spans="1:8" ht="19.899999999999999" customHeight="1">
      <c r="A1001" s="121">
        <v>46042</v>
      </c>
      <c r="B1001" s="112" t="s">
        <v>48</v>
      </c>
      <c r="C1001" s="113" t="s">
        <v>831</v>
      </c>
      <c r="D1001" s="112" t="s">
        <v>808</v>
      </c>
      <c r="E1001" s="122">
        <v>1.9826388888888891</v>
      </c>
      <c r="F1001" s="112" t="s">
        <v>50</v>
      </c>
      <c r="G1001" s="114">
        <v>9</v>
      </c>
      <c r="H1001" s="115" t="s">
        <v>873</v>
      </c>
    </row>
    <row r="1002" spans="1:8" ht="19.899999999999999" customHeight="1">
      <c r="A1002" s="121">
        <v>46042</v>
      </c>
      <c r="B1002" s="112" t="s">
        <v>48</v>
      </c>
      <c r="C1002" s="113" t="s">
        <v>875</v>
      </c>
      <c r="D1002" s="112" t="s">
        <v>808</v>
      </c>
      <c r="E1002" s="122">
        <v>1.697916666666667</v>
      </c>
      <c r="F1002" s="112" t="s">
        <v>50</v>
      </c>
      <c r="G1002" s="114">
        <v>9</v>
      </c>
      <c r="H1002" s="115" t="s">
        <v>873</v>
      </c>
    </row>
    <row r="1003" spans="1:8" ht="19.899999999999999" customHeight="1">
      <c r="A1003" s="121">
        <v>46042</v>
      </c>
      <c r="B1003" s="112" t="s">
        <v>48</v>
      </c>
      <c r="C1003" s="113" t="s">
        <v>832</v>
      </c>
      <c r="D1003" s="112" t="s">
        <v>808</v>
      </c>
      <c r="E1003" s="122">
        <v>1.6284722222222221</v>
      </c>
      <c r="F1003" s="112" t="s">
        <v>50</v>
      </c>
      <c r="G1003" s="114">
        <v>8</v>
      </c>
      <c r="H1003" s="115" t="s">
        <v>873</v>
      </c>
    </row>
    <row r="1004" spans="1:8" ht="19.899999999999999" customHeight="1">
      <c r="A1004" s="129">
        <v>46042</v>
      </c>
      <c r="B1004" s="117" t="s">
        <v>61</v>
      </c>
      <c r="C1004" s="118" t="s">
        <v>852</v>
      </c>
      <c r="D1004" s="117" t="s">
        <v>808</v>
      </c>
      <c r="E1004" s="130">
        <v>1.7152777777777779</v>
      </c>
      <c r="F1004" s="117" t="s">
        <v>63</v>
      </c>
      <c r="G1004" s="119">
        <v>9</v>
      </c>
      <c r="H1004" s="120" t="s">
        <v>849</v>
      </c>
    </row>
    <row r="1005" spans="1:8" ht="19.899999999999999" customHeight="1">
      <c r="A1005" s="121">
        <v>46042</v>
      </c>
      <c r="B1005" s="112" t="s">
        <v>359</v>
      </c>
      <c r="C1005" s="113" t="s">
        <v>814</v>
      </c>
      <c r="D1005" s="112" t="s">
        <v>808</v>
      </c>
      <c r="E1005" s="122">
        <v>1.4375</v>
      </c>
      <c r="F1005" s="112" t="s">
        <v>361</v>
      </c>
      <c r="G1005" s="114">
        <v>9</v>
      </c>
      <c r="H1005" s="115" t="s">
        <v>949</v>
      </c>
    </row>
    <row r="1006" spans="1:8" ht="19.899999999999999" customHeight="1">
      <c r="A1006" s="121">
        <v>46042</v>
      </c>
      <c r="B1006" s="112" t="s">
        <v>359</v>
      </c>
      <c r="C1006" s="113" t="s">
        <v>887</v>
      </c>
      <c r="D1006" s="112" t="s">
        <v>808</v>
      </c>
      <c r="E1006" s="122">
        <v>1.052083333333333</v>
      </c>
      <c r="F1006" s="112" t="s">
        <v>361</v>
      </c>
      <c r="G1006" s="114">
        <v>9</v>
      </c>
      <c r="H1006" s="115" t="s">
        <v>949</v>
      </c>
    </row>
    <row r="1007" spans="1:8" ht="19.899999999999999" customHeight="1">
      <c r="A1007" s="121">
        <v>46042</v>
      </c>
      <c r="B1007" s="112" t="s">
        <v>26</v>
      </c>
      <c r="C1007" s="113" t="s">
        <v>823</v>
      </c>
      <c r="D1007" s="112" t="s">
        <v>808</v>
      </c>
      <c r="E1007" s="122">
        <v>1.819444444444444</v>
      </c>
      <c r="F1007" s="112" t="s">
        <v>28</v>
      </c>
      <c r="G1007" s="114">
        <v>9</v>
      </c>
      <c r="H1007" s="115" t="s">
        <v>827</v>
      </c>
    </row>
    <row r="1008" spans="1:8" ht="19.899999999999999" customHeight="1">
      <c r="A1008" s="121">
        <v>46042</v>
      </c>
      <c r="B1008" s="112" t="s">
        <v>38</v>
      </c>
      <c r="C1008" s="113" t="s">
        <v>809</v>
      </c>
      <c r="D1008" s="112" t="s">
        <v>808</v>
      </c>
      <c r="E1008" s="122">
        <v>1.5763888888888891</v>
      </c>
      <c r="F1008" s="112" t="s">
        <v>43</v>
      </c>
      <c r="G1008" s="114">
        <v>12</v>
      </c>
      <c r="H1008" s="115" t="s">
        <v>121</v>
      </c>
    </row>
    <row r="1009" spans="1:8" ht="19.899999999999999" customHeight="1">
      <c r="A1009" s="121">
        <v>46042</v>
      </c>
      <c r="B1009" s="112" t="s">
        <v>38</v>
      </c>
      <c r="C1009" s="113" t="s">
        <v>811</v>
      </c>
      <c r="D1009" s="112" t="s">
        <v>808</v>
      </c>
      <c r="E1009" s="122">
        <v>1.6284722222222221</v>
      </c>
      <c r="F1009" s="112" t="s">
        <v>43</v>
      </c>
      <c r="G1009" s="114">
        <v>18</v>
      </c>
      <c r="H1009" s="115" t="s">
        <v>121</v>
      </c>
    </row>
    <row r="1010" spans="1:8" ht="19.899999999999999" customHeight="1">
      <c r="A1010" s="121">
        <v>46042</v>
      </c>
      <c r="B1010" s="112" t="s">
        <v>26</v>
      </c>
      <c r="C1010" s="113" t="s">
        <v>820</v>
      </c>
      <c r="D1010" s="112" t="s">
        <v>808</v>
      </c>
      <c r="E1010" s="122">
        <v>1.4375</v>
      </c>
      <c r="F1010" s="112" t="s">
        <v>31</v>
      </c>
      <c r="G1010" s="114">
        <v>9</v>
      </c>
      <c r="H1010" s="115" t="s">
        <v>83</v>
      </c>
    </row>
    <row r="1011" spans="1:8" ht="19.899999999999999" customHeight="1">
      <c r="A1011" s="121">
        <v>46042</v>
      </c>
      <c r="B1011" s="112" t="s">
        <v>26</v>
      </c>
      <c r="C1011" s="113" t="s">
        <v>826</v>
      </c>
      <c r="D1011" s="112" t="s">
        <v>808</v>
      </c>
      <c r="E1011" s="122">
        <v>1.958333333333333</v>
      </c>
      <c r="F1011" s="112" t="s">
        <v>31</v>
      </c>
      <c r="G1011" s="114">
        <v>9</v>
      </c>
      <c r="H1011" s="115" t="s">
        <v>83</v>
      </c>
    </row>
    <row r="1012" spans="1:8" ht="19.899999999999999" customHeight="1">
      <c r="A1012" s="121">
        <v>46042</v>
      </c>
      <c r="B1012" s="112" t="s">
        <v>26</v>
      </c>
      <c r="C1012" s="113" t="s">
        <v>821</v>
      </c>
      <c r="D1012" s="112" t="s">
        <v>808</v>
      </c>
      <c r="E1012" s="122">
        <v>1.631944444444444</v>
      </c>
      <c r="F1012" s="112" t="s">
        <v>31</v>
      </c>
      <c r="G1012" s="114">
        <v>9</v>
      </c>
      <c r="H1012" s="115" t="s">
        <v>83</v>
      </c>
    </row>
    <row r="1013" spans="1:8" ht="19.899999999999999" customHeight="1">
      <c r="A1013" s="121">
        <v>46042</v>
      </c>
      <c r="B1013" s="112" t="s">
        <v>26</v>
      </c>
      <c r="C1013" s="113" t="s">
        <v>822</v>
      </c>
      <c r="D1013" s="112" t="s">
        <v>808</v>
      </c>
      <c r="E1013" s="122">
        <v>1.5590277777777779</v>
      </c>
      <c r="F1013" s="112" t="s">
        <v>31</v>
      </c>
      <c r="G1013" s="114">
        <v>9</v>
      </c>
      <c r="H1013" s="115" t="s">
        <v>83</v>
      </c>
    </row>
    <row r="1014" spans="1:8" ht="19.899999999999999" customHeight="1">
      <c r="A1014" s="121">
        <v>46042</v>
      </c>
      <c r="B1014" s="112" t="s">
        <v>26</v>
      </c>
      <c r="C1014" s="113" t="s">
        <v>824</v>
      </c>
      <c r="D1014" s="112" t="s">
        <v>808</v>
      </c>
      <c r="E1014" s="122">
        <v>1.506944444444444</v>
      </c>
      <c r="F1014" s="112" t="s">
        <v>31</v>
      </c>
      <c r="G1014" s="114">
        <v>9</v>
      </c>
      <c r="H1014" s="115" t="s">
        <v>83</v>
      </c>
    </row>
    <row r="1015" spans="1:8" ht="19.899999999999999" customHeight="1">
      <c r="A1015" s="121">
        <v>46042</v>
      </c>
      <c r="B1015" s="112" t="s">
        <v>26</v>
      </c>
      <c r="C1015" s="113" t="s">
        <v>825</v>
      </c>
      <c r="D1015" s="112" t="s">
        <v>808</v>
      </c>
      <c r="E1015" s="122">
        <v>1.697916666666667</v>
      </c>
      <c r="F1015" s="112" t="s">
        <v>31</v>
      </c>
      <c r="G1015" s="114">
        <v>9</v>
      </c>
      <c r="H1015" s="115" t="s">
        <v>83</v>
      </c>
    </row>
    <row r="1016" spans="1:8" ht="19.899999999999999" customHeight="1">
      <c r="A1016" s="121">
        <v>46042</v>
      </c>
      <c r="B1016" s="112" t="s">
        <v>38</v>
      </c>
      <c r="C1016" s="113" t="s">
        <v>812</v>
      </c>
      <c r="D1016" s="112" t="s">
        <v>808</v>
      </c>
      <c r="E1016" s="122">
        <v>1.8888888888888891</v>
      </c>
      <c r="F1016" s="112" t="s">
        <v>43</v>
      </c>
      <c r="G1016" s="114">
        <v>20</v>
      </c>
      <c r="H1016" s="115" t="s">
        <v>349</v>
      </c>
    </row>
    <row r="1017" spans="1:8" ht="19.899999999999999" customHeight="1">
      <c r="A1017" s="121">
        <v>46042</v>
      </c>
      <c r="B1017" s="112" t="s">
        <v>38</v>
      </c>
      <c r="C1017" s="113" t="s">
        <v>813</v>
      </c>
      <c r="D1017" s="112" t="s">
        <v>808</v>
      </c>
      <c r="E1017" s="122">
        <v>1.944444444444444</v>
      </c>
      <c r="F1017" s="112" t="s">
        <v>43</v>
      </c>
      <c r="G1017" s="114">
        <v>18</v>
      </c>
      <c r="H1017" s="115" t="s">
        <v>349</v>
      </c>
    </row>
    <row r="1018" spans="1:8" ht="19.899999999999999" customHeight="1">
      <c r="A1018" s="121">
        <v>46042</v>
      </c>
      <c r="B1018" s="112" t="s">
        <v>68</v>
      </c>
      <c r="C1018" s="113" t="s">
        <v>843</v>
      </c>
      <c r="D1018" s="112" t="s">
        <v>808</v>
      </c>
      <c r="E1018" s="122">
        <v>1.354166666666667</v>
      </c>
      <c r="F1018" s="112" t="s">
        <v>70</v>
      </c>
      <c r="G1018" s="114">
        <v>9</v>
      </c>
      <c r="H1018" s="115" t="s">
        <v>404</v>
      </c>
    </row>
    <row r="1019" spans="1:8" ht="19.899999999999999" customHeight="1">
      <c r="A1019" s="121">
        <v>46042</v>
      </c>
      <c r="B1019" s="112" t="s">
        <v>68</v>
      </c>
      <c r="C1019" s="113" t="s">
        <v>844</v>
      </c>
      <c r="D1019" s="112" t="s">
        <v>808</v>
      </c>
      <c r="E1019" s="122">
        <v>1.729166666666667</v>
      </c>
      <c r="F1019" s="112" t="s">
        <v>70</v>
      </c>
      <c r="G1019" s="114">
        <v>4</v>
      </c>
      <c r="H1019" s="115" t="s">
        <v>892</v>
      </c>
    </row>
    <row r="1020" spans="1:8" ht="19.899999999999999" customHeight="1">
      <c r="A1020" s="121">
        <v>46042</v>
      </c>
      <c r="B1020" s="112" t="s">
        <v>26</v>
      </c>
      <c r="C1020" s="113" t="s">
        <v>823</v>
      </c>
      <c r="D1020" s="112" t="s">
        <v>808</v>
      </c>
      <c r="E1020" s="122">
        <v>1.819444444444444</v>
      </c>
      <c r="F1020" s="112" t="s">
        <v>31</v>
      </c>
      <c r="G1020" s="114">
        <v>9</v>
      </c>
      <c r="H1020" s="115" t="s">
        <v>161</v>
      </c>
    </row>
    <row r="1021" spans="1:8" ht="19.899999999999999" customHeight="1">
      <c r="A1021" s="121">
        <v>46042</v>
      </c>
      <c r="B1021" s="112" t="s">
        <v>48</v>
      </c>
      <c r="C1021" s="113" t="s">
        <v>833</v>
      </c>
      <c r="D1021" s="112" t="s">
        <v>808</v>
      </c>
      <c r="E1021" s="122">
        <v>1.444444444444444</v>
      </c>
      <c r="F1021" s="112" t="s">
        <v>53</v>
      </c>
      <c r="G1021" s="114">
        <v>9</v>
      </c>
      <c r="H1021" s="115" t="s">
        <v>874</v>
      </c>
    </row>
    <row r="1022" spans="1:8" ht="19.899999999999999" customHeight="1">
      <c r="A1022" s="121">
        <v>46042</v>
      </c>
      <c r="B1022" s="112" t="s">
        <v>48</v>
      </c>
      <c r="C1022" s="113" t="s">
        <v>828</v>
      </c>
      <c r="D1022" s="112" t="s">
        <v>808</v>
      </c>
      <c r="E1022" s="122">
        <v>1.8298611111111109</v>
      </c>
      <c r="F1022" s="112" t="s">
        <v>53</v>
      </c>
      <c r="G1022" s="114">
        <v>9</v>
      </c>
      <c r="H1022" s="115" t="s">
        <v>874</v>
      </c>
    </row>
    <row r="1023" spans="1:8" ht="19.899999999999999" customHeight="1">
      <c r="A1023" s="121">
        <v>46042</v>
      </c>
      <c r="B1023" s="112" t="s">
        <v>48</v>
      </c>
      <c r="C1023" s="113" t="s">
        <v>831</v>
      </c>
      <c r="D1023" s="112" t="s">
        <v>808</v>
      </c>
      <c r="E1023" s="122">
        <v>1.9826388888888891</v>
      </c>
      <c r="F1023" s="112" t="s">
        <v>53</v>
      </c>
      <c r="G1023" s="114">
        <v>9</v>
      </c>
      <c r="H1023" s="115" t="s">
        <v>874</v>
      </c>
    </row>
    <row r="1024" spans="1:8" ht="19.899999999999999" customHeight="1">
      <c r="A1024" s="121">
        <v>46042</v>
      </c>
      <c r="B1024" s="112" t="s">
        <v>48</v>
      </c>
      <c r="C1024" s="113" t="s">
        <v>875</v>
      </c>
      <c r="D1024" s="112" t="s">
        <v>808</v>
      </c>
      <c r="E1024" s="122">
        <v>1.697916666666667</v>
      </c>
      <c r="F1024" s="112" t="s">
        <v>53</v>
      </c>
      <c r="G1024" s="114">
        <v>9</v>
      </c>
      <c r="H1024" s="115" t="s">
        <v>874</v>
      </c>
    </row>
    <row r="1025" spans="1:8" ht="19.899999999999999" customHeight="1">
      <c r="A1025" s="121">
        <v>46042</v>
      </c>
      <c r="B1025" s="112" t="s">
        <v>48</v>
      </c>
      <c r="C1025" s="113" t="s">
        <v>832</v>
      </c>
      <c r="D1025" s="112" t="s">
        <v>808</v>
      </c>
      <c r="E1025" s="122">
        <v>1.6284722222222221</v>
      </c>
      <c r="F1025" s="112" t="s">
        <v>53</v>
      </c>
      <c r="G1025" s="114">
        <v>8</v>
      </c>
      <c r="H1025" s="115" t="s">
        <v>874</v>
      </c>
    </row>
    <row r="1026" spans="1:8" ht="19.899999999999999" customHeight="1">
      <c r="A1026" s="121">
        <v>46042</v>
      </c>
      <c r="B1026" s="112" t="s">
        <v>26</v>
      </c>
      <c r="C1026" s="113" t="s">
        <v>820</v>
      </c>
      <c r="D1026" s="112" t="s">
        <v>808</v>
      </c>
      <c r="E1026" s="122">
        <v>1.4375</v>
      </c>
      <c r="F1026" s="112" t="s">
        <v>34</v>
      </c>
      <c r="G1026" s="114">
        <v>9</v>
      </c>
      <c r="H1026" s="115" t="s">
        <v>45</v>
      </c>
    </row>
    <row r="1027" spans="1:8" ht="19.899999999999999" customHeight="1">
      <c r="A1027" s="121">
        <v>46042</v>
      </c>
      <c r="B1027" s="112" t="s">
        <v>26</v>
      </c>
      <c r="C1027" s="113" t="s">
        <v>826</v>
      </c>
      <c r="D1027" s="112" t="s">
        <v>808</v>
      </c>
      <c r="E1027" s="122">
        <v>1.958333333333333</v>
      </c>
      <c r="F1027" s="112" t="s">
        <v>34</v>
      </c>
      <c r="G1027" s="114">
        <v>9</v>
      </c>
      <c r="H1027" s="115" t="s">
        <v>45</v>
      </c>
    </row>
    <row r="1028" spans="1:8" ht="19.899999999999999" customHeight="1">
      <c r="A1028" s="121">
        <v>46042</v>
      </c>
      <c r="B1028" s="112" t="s">
        <v>26</v>
      </c>
      <c r="C1028" s="113" t="s">
        <v>821</v>
      </c>
      <c r="D1028" s="112" t="s">
        <v>808</v>
      </c>
      <c r="E1028" s="122">
        <v>1.631944444444444</v>
      </c>
      <c r="F1028" s="112" t="s">
        <v>34</v>
      </c>
      <c r="G1028" s="114">
        <v>9</v>
      </c>
      <c r="H1028" s="115" t="s">
        <v>45</v>
      </c>
    </row>
    <row r="1029" spans="1:8" ht="19.899999999999999" customHeight="1">
      <c r="A1029" s="121">
        <v>46042</v>
      </c>
      <c r="B1029" s="112" t="s">
        <v>26</v>
      </c>
      <c r="C1029" s="113" t="s">
        <v>822</v>
      </c>
      <c r="D1029" s="112" t="s">
        <v>808</v>
      </c>
      <c r="E1029" s="122">
        <v>1.5590277777777779</v>
      </c>
      <c r="F1029" s="112" t="s">
        <v>34</v>
      </c>
      <c r="G1029" s="114">
        <v>9</v>
      </c>
      <c r="H1029" s="115" t="s">
        <v>45</v>
      </c>
    </row>
    <row r="1030" spans="1:8" ht="19.899999999999999" customHeight="1">
      <c r="A1030" s="121">
        <v>46042</v>
      </c>
      <c r="B1030" s="112" t="s">
        <v>26</v>
      </c>
      <c r="C1030" s="113" t="s">
        <v>824</v>
      </c>
      <c r="D1030" s="112" t="s">
        <v>808</v>
      </c>
      <c r="E1030" s="122">
        <v>1.506944444444444</v>
      </c>
      <c r="F1030" s="112" t="s">
        <v>34</v>
      </c>
      <c r="G1030" s="114">
        <v>9</v>
      </c>
      <c r="H1030" s="115" t="s">
        <v>45</v>
      </c>
    </row>
    <row r="1031" spans="1:8" ht="19.899999999999999" customHeight="1">
      <c r="A1031" s="121">
        <v>46042</v>
      </c>
      <c r="B1031" s="112" t="s">
        <v>26</v>
      </c>
      <c r="C1031" s="113" t="s">
        <v>825</v>
      </c>
      <c r="D1031" s="112" t="s">
        <v>808</v>
      </c>
      <c r="E1031" s="122">
        <v>1.697916666666667</v>
      </c>
      <c r="F1031" s="112" t="s">
        <v>34</v>
      </c>
      <c r="G1031" s="114">
        <v>9</v>
      </c>
      <c r="H1031" s="115" t="s">
        <v>45</v>
      </c>
    </row>
    <row r="1032" spans="1:8" ht="19.899999999999999" customHeight="1">
      <c r="A1032" s="121">
        <v>46042</v>
      </c>
      <c r="B1032" s="112" t="s">
        <v>402</v>
      </c>
      <c r="C1032" s="113" t="s">
        <v>839</v>
      </c>
      <c r="D1032" s="112" t="s">
        <v>808</v>
      </c>
      <c r="E1032" s="122">
        <v>1.1701388888888891</v>
      </c>
      <c r="F1032" s="112" t="s">
        <v>63</v>
      </c>
      <c r="G1032" s="114">
        <v>7</v>
      </c>
      <c r="H1032" s="115" t="s">
        <v>881</v>
      </c>
    </row>
    <row r="1033" spans="1:8" ht="19.899999999999999" customHeight="1">
      <c r="A1033" s="121">
        <v>46042</v>
      </c>
      <c r="B1033" s="112" t="s">
        <v>359</v>
      </c>
      <c r="C1033" s="113" t="s">
        <v>814</v>
      </c>
      <c r="D1033" s="112" t="s">
        <v>808</v>
      </c>
      <c r="E1033" s="122">
        <v>1.4375</v>
      </c>
      <c r="F1033" s="112" t="s">
        <v>46</v>
      </c>
      <c r="G1033" s="114">
        <v>9</v>
      </c>
      <c r="H1033" s="115" t="s">
        <v>950</v>
      </c>
    </row>
    <row r="1034" spans="1:8" ht="19.899999999999999" customHeight="1">
      <c r="A1034" s="121">
        <v>46042</v>
      </c>
      <c r="B1034" s="112" t="s">
        <v>359</v>
      </c>
      <c r="C1034" s="113" t="s">
        <v>887</v>
      </c>
      <c r="D1034" s="112" t="s">
        <v>808</v>
      </c>
      <c r="E1034" s="122">
        <v>1.052083333333333</v>
      </c>
      <c r="F1034" s="112" t="s">
        <v>46</v>
      </c>
      <c r="G1034" s="114">
        <v>9</v>
      </c>
      <c r="H1034" s="115" t="s">
        <v>950</v>
      </c>
    </row>
    <row r="1035" spans="1:8" ht="19.899999999999999" customHeight="1">
      <c r="A1035" s="121">
        <v>46042</v>
      </c>
      <c r="B1035" s="112" t="s">
        <v>26</v>
      </c>
      <c r="C1035" s="113" t="s">
        <v>823</v>
      </c>
      <c r="D1035" s="112" t="s">
        <v>808</v>
      </c>
      <c r="E1035" s="122">
        <v>1.819444444444444</v>
      </c>
      <c r="F1035" s="112" t="s">
        <v>34</v>
      </c>
      <c r="G1035" s="114">
        <v>9</v>
      </c>
      <c r="H1035" s="115" t="s">
        <v>123</v>
      </c>
    </row>
    <row r="1036" spans="1:8" ht="19.899999999999999" customHeight="1">
      <c r="A1036" s="121">
        <v>46042</v>
      </c>
      <c r="B1036" s="112" t="s">
        <v>38</v>
      </c>
      <c r="C1036" s="113" t="s">
        <v>809</v>
      </c>
      <c r="D1036" s="112" t="s">
        <v>808</v>
      </c>
      <c r="E1036" s="122">
        <v>1.5763888888888891</v>
      </c>
      <c r="F1036" s="112" t="s">
        <v>46</v>
      </c>
      <c r="G1036" s="114">
        <v>12</v>
      </c>
      <c r="H1036" s="115" t="s">
        <v>810</v>
      </c>
    </row>
    <row r="1037" spans="1:8" ht="19.899999999999999" customHeight="1">
      <c r="A1037" s="121">
        <v>46042</v>
      </c>
      <c r="B1037" s="112" t="s">
        <v>38</v>
      </c>
      <c r="C1037" s="113" t="s">
        <v>811</v>
      </c>
      <c r="D1037" s="112" t="s">
        <v>808</v>
      </c>
      <c r="E1037" s="122">
        <v>1.6284722222222221</v>
      </c>
      <c r="F1037" s="112" t="s">
        <v>46</v>
      </c>
      <c r="G1037" s="114">
        <v>18</v>
      </c>
      <c r="H1037" s="115" t="s">
        <v>810</v>
      </c>
    </row>
    <row r="1038" spans="1:8" ht="19.899999999999999" customHeight="1">
      <c r="A1038" s="121">
        <v>46042</v>
      </c>
      <c r="B1038" s="112" t="s">
        <v>38</v>
      </c>
      <c r="C1038" s="113" t="s">
        <v>812</v>
      </c>
      <c r="D1038" s="112" t="s">
        <v>808</v>
      </c>
      <c r="E1038" s="122">
        <v>1.8888888888888891</v>
      </c>
      <c r="F1038" s="112" t="s">
        <v>46</v>
      </c>
      <c r="G1038" s="114">
        <v>20</v>
      </c>
      <c r="H1038" s="115" t="s">
        <v>810</v>
      </c>
    </row>
    <row r="1039" spans="1:8" ht="19.899999999999999" customHeight="1">
      <c r="A1039" s="121">
        <v>46042</v>
      </c>
      <c r="B1039" s="112" t="s">
        <v>38</v>
      </c>
      <c r="C1039" s="113" t="s">
        <v>813</v>
      </c>
      <c r="D1039" s="112" t="s">
        <v>808</v>
      </c>
      <c r="E1039" s="122">
        <v>1.944444444444444</v>
      </c>
      <c r="F1039" s="112" t="s">
        <v>46</v>
      </c>
      <c r="G1039" s="114">
        <v>18</v>
      </c>
      <c r="H1039" s="115" t="s">
        <v>810</v>
      </c>
    </row>
    <row r="1040" spans="1:8" ht="19.899999999999999" customHeight="1">
      <c r="A1040" s="121">
        <v>46042</v>
      </c>
      <c r="B1040" s="112" t="s">
        <v>48</v>
      </c>
      <c r="C1040" s="113" t="s">
        <v>835</v>
      </c>
      <c r="D1040" s="112" t="s">
        <v>808</v>
      </c>
      <c r="E1040" s="122">
        <v>1.8888888888888891</v>
      </c>
      <c r="F1040" s="112" t="s">
        <v>53</v>
      </c>
      <c r="G1040" s="114">
        <v>4</v>
      </c>
      <c r="H1040" s="115" t="s">
        <v>836</v>
      </c>
    </row>
    <row r="1041" spans="1:8" ht="19.899999999999999" customHeight="1">
      <c r="A1041" s="121">
        <v>46042</v>
      </c>
      <c r="B1041" s="112" t="s">
        <v>48</v>
      </c>
      <c r="C1041" s="113" t="s">
        <v>837</v>
      </c>
      <c r="D1041" s="112" t="s">
        <v>808</v>
      </c>
      <c r="E1041" s="122">
        <v>1.6284722222222221</v>
      </c>
      <c r="F1041" s="112" t="s">
        <v>53</v>
      </c>
      <c r="G1041" s="114">
        <v>4</v>
      </c>
      <c r="H1041" s="115" t="s">
        <v>836</v>
      </c>
    </row>
    <row r="1042" spans="1:8" ht="19.899999999999999" customHeight="1">
      <c r="A1042" s="123">
        <v>46042</v>
      </c>
      <c r="B1042" s="124" t="s">
        <v>48</v>
      </c>
      <c r="C1042" s="125" t="s">
        <v>838</v>
      </c>
      <c r="D1042" s="124" t="s">
        <v>808</v>
      </c>
      <c r="E1042" s="126">
        <v>1.944444444444444</v>
      </c>
      <c r="F1042" s="124" t="s">
        <v>53</v>
      </c>
      <c r="G1042" s="127">
        <v>4</v>
      </c>
      <c r="H1042" s="128" t="s">
        <v>836</v>
      </c>
    </row>
    <row r="1043" spans="1:8" ht="19.899999999999999" customHeight="1">
      <c r="A1043" s="121">
        <v>46043</v>
      </c>
      <c r="B1043" s="112" t="s">
        <v>38</v>
      </c>
      <c r="C1043" s="113" t="s">
        <v>809</v>
      </c>
      <c r="D1043" s="112" t="s">
        <v>808</v>
      </c>
      <c r="E1043" s="122">
        <v>1.5763888888888891</v>
      </c>
      <c r="F1043" s="112" t="s">
        <v>40</v>
      </c>
      <c r="G1043" s="114">
        <v>15</v>
      </c>
      <c r="H1043" s="115" t="s">
        <v>475</v>
      </c>
    </row>
    <row r="1044" spans="1:8" ht="19.899999999999999" customHeight="1">
      <c r="A1044" s="121">
        <v>46043</v>
      </c>
      <c r="B1044" s="112" t="s">
        <v>38</v>
      </c>
      <c r="C1044" s="113" t="s">
        <v>811</v>
      </c>
      <c r="D1044" s="112" t="s">
        <v>808</v>
      </c>
      <c r="E1044" s="122">
        <v>1.6284722222222221</v>
      </c>
      <c r="F1044" s="112" t="s">
        <v>40</v>
      </c>
      <c r="G1044" s="114">
        <v>17</v>
      </c>
      <c r="H1044" s="115" t="s">
        <v>475</v>
      </c>
    </row>
    <row r="1045" spans="1:8" ht="19.899999999999999" customHeight="1">
      <c r="A1045" s="121">
        <v>46043</v>
      </c>
      <c r="B1045" s="112" t="s">
        <v>38</v>
      </c>
      <c r="C1045" s="113" t="s">
        <v>812</v>
      </c>
      <c r="D1045" s="112" t="s">
        <v>808</v>
      </c>
      <c r="E1045" s="122">
        <v>1.8888888888888891</v>
      </c>
      <c r="F1045" s="112" t="s">
        <v>40</v>
      </c>
      <c r="G1045" s="114">
        <v>18</v>
      </c>
      <c r="H1045" s="115" t="s">
        <v>872</v>
      </c>
    </row>
    <row r="1046" spans="1:8" ht="19.899999999999999" customHeight="1">
      <c r="A1046" s="121">
        <v>46043</v>
      </c>
      <c r="B1046" s="112" t="s">
        <v>38</v>
      </c>
      <c r="C1046" s="113" t="s">
        <v>813</v>
      </c>
      <c r="D1046" s="112" t="s">
        <v>808</v>
      </c>
      <c r="E1046" s="122">
        <v>1.944444444444444</v>
      </c>
      <c r="F1046" s="112" t="s">
        <v>40</v>
      </c>
      <c r="G1046" s="114">
        <v>20</v>
      </c>
      <c r="H1046" s="115" t="s">
        <v>872</v>
      </c>
    </row>
    <row r="1047" spans="1:8" ht="19.899999999999999" customHeight="1">
      <c r="A1047" s="121">
        <v>46043</v>
      </c>
      <c r="B1047" s="112" t="s">
        <v>68</v>
      </c>
      <c r="C1047" s="113" t="s">
        <v>842</v>
      </c>
      <c r="D1047" s="112" t="s">
        <v>808</v>
      </c>
      <c r="E1047" s="122">
        <v>1.9826388888888891</v>
      </c>
      <c r="F1047" s="112" t="s">
        <v>643</v>
      </c>
      <c r="G1047" s="114">
        <v>9</v>
      </c>
      <c r="H1047" s="115" t="s">
        <v>891</v>
      </c>
    </row>
    <row r="1048" spans="1:8" ht="19.899999999999999" customHeight="1">
      <c r="A1048" s="121">
        <v>46043</v>
      </c>
      <c r="B1048" s="112" t="s">
        <v>68</v>
      </c>
      <c r="C1048" s="113" t="s">
        <v>843</v>
      </c>
      <c r="D1048" s="112" t="s">
        <v>808</v>
      </c>
      <c r="E1048" s="122">
        <v>1.354166666666667</v>
      </c>
      <c r="F1048" s="112" t="s">
        <v>643</v>
      </c>
      <c r="G1048" s="114">
        <v>9</v>
      </c>
      <c r="H1048" s="115" t="s">
        <v>891</v>
      </c>
    </row>
    <row r="1049" spans="1:8" ht="19.899999999999999" customHeight="1">
      <c r="A1049" s="121">
        <v>46043</v>
      </c>
      <c r="B1049" s="112" t="s">
        <v>26</v>
      </c>
      <c r="C1049" s="113" t="s">
        <v>820</v>
      </c>
      <c r="D1049" s="112" t="s">
        <v>808</v>
      </c>
      <c r="E1049" s="122">
        <v>1.4375</v>
      </c>
      <c r="F1049" s="112" t="s">
        <v>28</v>
      </c>
      <c r="G1049" s="114">
        <v>9</v>
      </c>
      <c r="H1049" s="115" t="s">
        <v>81</v>
      </c>
    </row>
    <row r="1050" spans="1:8" ht="19.899999999999999" customHeight="1">
      <c r="A1050" s="121">
        <v>46043</v>
      </c>
      <c r="B1050" s="112" t="s">
        <v>26</v>
      </c>
      <c r="C1050" s="113" t="s">
        <v>826</v>
      </c>
      <c r="D1050" s="112" t="s">
        <v>808</v>
      </c>
      <c r="E1050" s="122">
        <v>1.958333333333333</v>
      </c>
      <c r="F1050" s="112" t="s">
        <v>28</v>
      </c>
      <c r="G1050" s="114">
        <v>9</v>
      </c>
      <c r="H1050" s="115" t="s">
        <v>81</v>
      </c>
    </row>
    <row r="1051" spans="1:8" ht="19.899999999999999" customHeight="1">
      <c r="A1051" s="121">
        <v>46043</v>
      </c>
      <c r="B1051" s="112" t="s">
        <v>26</v>
      </c>
      <c r="C1051" s="113" t="s">
        <v>821</v>
      </c>
      <c r="D1051" s="112" t="s">
        <v>808</v>
      </c>
      <c r="E1051" s="122">
        <v>1.631944444444444</v>
      </c>
      <c r="F1051" s="112" t="s">
        <v>28</v>
      </c>
      <c r="G1051" s="114">
        <v>9</v>
      </c>
      <c r="H1051" s="115" t="s">
        <v>81</v>
      </c>
    </row>
    <row r="1052" spans="1:8" ht="19.899999999999999" customHeight="1">
      <c r="A1052" s="121">
        <v>46043</v>
      </c>
      <c r="B1052" s="112" t="s">
        <v>26</v>
      </c>
      <c r="C1052" s="113" t="s">
        <v>822</v>
      </c>
      <c r="D1052" s="112" t="s">
        <v>808</v>
      </c>
      <c r="E1052" s="122">
        <v>1.5590277777777779</v>
      </c>
      <c r="F1052" s="112" t="s">
        <v>28</v>
      </c>
      <c r="G1052" s="114">
        <v>9</v>
      </c>
      <c r="H1052" s="115" t="s">
        <v>81</v>
      </c>
    </row>
    <row r="1053" spans="1:8" ht="19.899999999999999" customHeight="1">
      <c r="A1053" s="121">
        <v>46043</v>
      </c>
      <c r="B1053" s="112" t="s">
        <v>26</v>
      </c>
      <c r="C1053" s="113" t="s">
        <v>823</v>
      </c>
      <c r="D1053" s="112" t="s">
        <v>808</v>
      </c>
      <c r="E1053" s="122">
        <v>1.819444444444444</v>
      </c>
      <c r="F1053" s="112" t="s">
        <v>28</v>
      </c>
      <c r="G1053" s="114">
        <v>9</v>
      </c>
      <c r="H1053" s="115" t="s">
        <v>81</v>
      </c>
    </row>
    <row r="1054" spans="1:8" ht="19.899999999999999" customHeight="1">
      <c r="A1054" s="121">
        <v>46043</v>
      </c>
      <c r="B1054" s="112" t="s">
        <v>26</v>
      </c>
      <c r="C1054" s="113" t="s">
        <v>824</v>
      </c>
      <c r="D1054" s="112" t="s">
        <v>808</v>
      </c>
      <c r="E1054" s="122">
        <v>1.506944444444444</v>
      </c>
      <c r="F1054" s="112" t="s">
        <v>28</v>
      </c>
      <c r="G1054" s="114">
        <v>9</v>
      </c>
      <c r="H1054" s="115" t="s">
        <v>81</v>
      </c>
    </row>
    <row r="1055" spans="1:8" ht="19.899999999999999" customHeight="1">
      <c r="A1055" s="121">
        <v>46043</v>
      </c>
      <c r="B1055" s="112" t="s">
        <v>26</v>
      </c>
      <c r="C1055" s="113" t="s">
        <v>825</v>
      </c>
      <c r="D1055" s="112" t="s">
        <v>808</v>
      </c>
      <c r="E1055" s="122">
        <v>1.697916666666667</v>
      </c>
      <c r="F1055" s="112" t="s">
        <v>28</v>
      </c>
      <c r="G1055" s="114">
        <v>9</v>
      </c>
      <c r="H1055" s="115" t="s">
        <v>81</v>
      </c>
    </row>
    <row r="1056" spans="1:8" ht="19.899999999999999" customHeight="1">
      <c r="A1056" s="121">
        <v>46043</v>
      </c>
      <c r="B1056" s="112" t="s">
        <v>48</v>
      </c>
      <c r="C1056" s="113" t="s">
        <v>833</v>
      </c>
      <c r="D1056" s="112" t="s">
        <v>808</v>
      </c>
      <c r="E1056" s="122">
        <v>1.444444444444444</v>
      </c>
      <c r="F1056" s="112" t="s">
        <v>50</v>
      </c>
      <c r="G1056" s="114">
        <v>9</v>
      </c>
      <c r="H1056" s="115" t="s">
        <v>873</v>
      </c>
    </row>
    <row r="1057" spans="1:8" ht="19.899999999999999" customHeight="1">
      <c r="A1057" s="121">
        <v>46043</v>
      </c>
      <c r="B1057" s="112" t="s">
        <v>48</v>
      </c>
      <c r="C1057" s="113" t="s">
        <v>828</v>
      </c>
      <c r="D1057" s="112" t="s">
        <v>808</v>
      </c>
      <c r="E1057" s="122">
        <v>1.8298611111111109</v>
      </c>
      <c r="F1057" s="112" t="s">
        <v>50</v>
      </c>
      <c r="G1057" s="114">
        <v>9</v>
      </c>
      <c r="H1057" s="115" t="s">
        <v>873</v>
      </c>
    </row>
    <row r="1058" spans="1:8" ht="19.899999999999999" customHeight="1">
      <c r="A1058" s="121">
        <v>46043</v>
      </c>
      <c r="B1058" s="112" t="s">
        <v>48</v>
      </c>
      <c r="C1058" s="113" t="s">
        <v>831</v>
      </c>
      <c r="D1058" s="112" t="s">
        <v>808</v>
      </c>
      <c r="E1058" s="122">
        <v>1.9826388888888891</v>
      </c>
      <c r="F1058" s="112" t="s">
        <v>50</v>
      </c>
      <c r="G1058" s="114">
        <v>9</v>
      </c>
      <c r="H1058" s="115" t="s">
        <v>873</v>
      </c>
    </row>
    <row r="1059" spans="1:8" ht="19.899999999999999" customHeight="1">
      <c r="A1059" s="121">
        <v>46043</v>
      </c>
      <c r="B1059" s="112" t="s">
        <v>48</v>
      </c>
      <c r="C1059" s="113" t="s">
        <v>832</v>
      </c>
      <c r="D1059" s="112" t="s">
        <v>808</v>
      </c>
      <c r="E1059" s="122">
        <v>1.6284722222222221</v>
      </c>
      <c r="F1059" s="112" t="s">
        <v>50</v>
      </c>
      <c r="G1059" s="114">
        <v>2</v>
      </c>
      <c r="H1059" s="115" t="s">
        <v>873</v>
      </c>
    </row>
    <row r="1060" spans="1:8" ht="19.899999999999999" customHeight="1">
      <c r="A1060" s="129">
        <v>46043</v>
      </c>
      <c r="B1060" s="117" t="s">
        <v>61</v>
      </c>
      <c r="C1060" s="118" t="s">
        <v>816</v>
      </c>
      <c r="D1060" s="117" t="s">
        <v>808</v>
      </c>
      <c r="E1060" s="130">
        <v>1.413194444444444</v>
      </c>
      <c r="F1060" s="117" t="s">
        <v>63</v>
      </c>
      <c r="G1060" s="119">
        <v>9</v>
      </c>
      <c r="H1060" s="120" t="s">
        <v>849</v>
      </c>
    </row>
    <row r="1061" spans="1:8" ht="19.899999999999999" customHeight="1">
      <c r="A1061" s="129">
        <v>46043</v>
      </c>
      <c r="B1061" s="117" t="s">
        <v>61</v>
      </c>
      <c r="C1061" s="118" t="s">
        <v>852</v>
      </c>
      <c r="D1061" s="117" t="s">
        <v>808</v>
      </c>
      <c r="E1061" s="130">
        <v>1.725694444444444</v>
      </c>
      <c r="F1061" s="117" t="s">
        <v>63</v>
      </c>
      <c r="G1061" s="119">
        <v>7</v>
      </c>
      <c r="H1061" s="120" t="s">
        <v>849</v>
      </c>
    </row>
    <row r="1062" spans="1:8" ht="19.899999999999999" customHeight="1">
      <c r="A1062" s="121">
        <v>46043</v>
      </c>
      <c r="B1062" s="112" t="s">
        <v>359</v>
      </c>
      <c r="C1062" s="113" t="s">
        <v>887</v>
      </c>
      <c r="D1062" s="112" t="s">
        <v>808</v>
      </c>
      <c r="E1062" s="122">
        <v>1.052083333333333</v>
      </c>
      <c r="F1062" s="112" t="s">
        <v>361</v>
      </c>
      <c r="G1062" s="114">
        <v>9</v>
      </c>
      <c r="H1062" s="115" t="s">
        <v>949</v>
      </c>
    </row>
    <row r="1063" spans="1:8" ht="19.899999999999999" customHeight="1">
      <c r="A1063" s="121">
        <v>46043</v>
      </c>
      <c r="B1063" s="112" t="s">
        <v>38</v>
      </c>
      <c r="C1063" s="113" t="s">
        <v>809</v>
      </c>
      <c r="D1063" s="112" t="s">
        <v>808</v>
      </c>
      <c r="E1063" s="122">
        <v>1.5763888888888891</v>
      </c>
      <c r="F1063" s="112" t="s">
        <v>43</v>
      </c>
      <c r="G1063" s="114">
        <v>15</v>
      </c>
      <c r="H1063" s="115" t="s">
        <v>121</v>
      </c>
    </row>
    <row r="1064" spans="1:8" ht="19.899999999999999" customHeight="1">
      <c r="A1064" s="121">
        <v>46043</v>
      </c>
      <c r="B1064" s="112" t="s">
        <v>38</v>
      </c>
      <c r="C1064" s="113" t="s">
        <v>811</v>
      </c>
      <c r="D1064" s="112" t="s">
        <v>808</v>
      </c>
      <c r="E1064" s="122">
        <v>1.6284722222222221</v>
      </c>
      <c r="F1064" s="112" t="s">
        <v>43</v>
      </c>
      <c r="G1064" s="114">
        <v>17</v>
      </c>
      <c r="H1064" s="115" t="s">
        <v>121</v>
      </c>
    </row>
    <row r="1065" spans="1:8" ht="19.899999999999999" customHeight="1">
      <c r="A1065" s="121">
        <v>46043</v>
      </c>
      <c r="B1065" s="112" t="s">
        <v>26</v>
      </c>
      <c r="C1065" s="113" t="s">
        <v>820</v>
      </c>
      <c r="D1065" s="112" t="s">
        <v>808</v>
      </c>
      <c r="E1065" s="122">
        <v>1.4375</v>
      </c>
      <c r="F1065" s="112" t="s">
        <v>31</v>
      </c>
      <c r="G1065" s="114">
        <v>9</v>
      </c>
      <c r="H1065" s="115" t="s">
        <v>83</v>
      </c>
    </row>
    <row r="1066" spans="1:8" ht="19.899999999999999" customHeight="1">
      <c r="A1066" s="121">
        <v>46043</v>
      </c>
      <c r="B1066" s="112" t="s">
        <v>26</v>
      </c>
      <c r="C1066" s="113" t="s">
        <v>826</v>
      </c>
      <c r="D1066" s="112" t="s">
        <v>808</v>
      </c>
      <c r="E1066" s="122">
        <v>1.958333333333333</v>
      </c>
      <c r="F1066" s="112" t="s">
        <v>31</v>
      </c>
      <c r="G1066" s="114">
        <v>9</v>
      </c>
      <c r="H1066" s="115" t="s">
        <v>83</v>
      </c>
    </row>
    <row r="1067" spans="1:8" ht="19.899999999999999" customHeight="1">
      <c r="A1067" s="121">
        <v>46043</v>
      </c>
      <c r="B1067" s="112" t="s">
        <v>26</v>
      </c>
      <c r="C1067" s="113" t="s">
        <v>821</v>
      </c>
      <c r="D1067" s="112" t="s">
        <v>808</v>
      </c>
      <c r="E1067" s="122">
        <v>1.631944444444444</v>
      </c>
      <c r="F1067" s="112" t="s">
        <v>31</v>
      </c>
      <c r="G1067" s="114">
        <v>9</v>
      </c>
      <c r="H1067" s="115" t="s">
        <v>83</v>
      </c>
    </row>
    <row r="1068" spans="1:8" ht="19.899999999999999" customHeight="1">
      <c r="A1068" s="121">
        <v>46043</v>
      </c>
      <c r="B1068" s="112" t="s">
        <v>26</v>
      </c>
      <c r="C1068" s="113" t="s">
        <v>822</v>
      </c>
      <c r="D1068" s="112" t="s">
        <v>808</v>
      </c>
      <c r="E1068" s="122">
        <v>1.5590277777777779</v>
      </c>
      <c r="F1068" s="112" t="s">
        <v>31</v>
      </c>
      <c r="G1068" s="114">
        <v>9</v>
      </c>
      <c r="H1068" s="115" t="s">
        <v>83</v>
      </c>
    </row>
    <row r="1069" spans="1:8" ht="19.899999999999999" customHeight="1">
      <c r="A1069" s="121">
        <v>46043</v>
      </c>
      <c r="B1069" s="112" t="s">
        <v>26</v>
      </c>
      <c r="C1069" s="113" t="s">
        <v>823</v>
      </c>
      <c r="D1069" s="112" t="s">
        <v>808</v>
      </c>
      <c r="E1069" s="122">
        <v>1.819444444444444</v>
      </c>
      <c r="F1069" s="112" t="s">
        <v>31</v>
      </c>
      <c r="G1069" s="114">
        <v>9</v>
      </c>
      <c r="H1069" s="115" t="s">
        <v>83</v>
      </c>
    </row>
    <row r="1070" spans="1:8" ht="19.899999999999999" customHeight="1">
      <c r="A1070" s="121">
        <v>46043</v>
      </c>
      <c r="B1070" s="112" t="s">
        <v>26</v>
      </c>
      <c r="C1070" s="113" t="s">
        <v>824</v>
      </c>
      <c r="D1070" s="112" t="s">
        <v>808</v>
      </c>
      <c r="E1070" s="122">
        <v>1.506944444444444</v>
      </c>
      <c r="F1070" s="112" t="s">
        <v>31</v>
      </c>
      <c r="G1070" s="114">
        <v>9</v>
      </c>
      <c r="H1070" s="115" t="s">
        <v>83</v>
      </c>
    </row>
    <row r="1071" spans="1:8" ht="19.899999999999999" customHeight="1">
      <c r="A1071" s="121">
        <v>46043</v>
      </c>
      <c r="B1071" s="112" t="s">
        <v>26</v>
      </c>
      <c r="C1071" s="113" t="s">
        <v>825</v>
      </c>
      <c r="D1071" s="112" t="s">
        <v>808</v>
      </c>
      <c r="E1071" s="122">
        <v>1.697916666666667</v>
      </c>
      <c r="F1071" s="112" t="s">
        <v>31</v>
      </c>
      <c r="G1071" s="114">
        <v>9</v>
      </c>
      <c r="H1071" s="115" t="s">
        <v>83</v>
      </c>
    </row>
    <row r="1072" spans="1:8" ht="19.899999999999999" customHeight="1">
      <c r="A1072" s="121">
        <v>46043</v>
      </c>
      <c r="B1072" s="112" t="s">
        <v>38</v>
      </c>
      <c r="C1072" s="113" t="s">
        <v>812</v>
      </c>
      <c r="D1072" s="112" t="s">
        <v>808</v>
      </c>
      <c r="E1072" s="122">
        <v>1.8888888888888891</v>
      </c>
      <c r="F1072" s="112" t="s">
        <v>43</v>
      </c>
      <c r="G1072" s="114">
        <v>18</v>
      </c>
      <c r="H1072" s="115" t="s">
        <v>349</v>
      </c>
    </row>
    <row r="1073" spans="1:8" ht="19.899999999999999" customHeight="1">
      <c r="A1073" s="121">
        <v>46043</v>
      </c>
      <c r="B1073" s="112" t="s">
        <v>38</v>
      </c>
      <c r="C1073" s="113" t="s">
        <v>813</v>
      </c>
      <c r="D1073" s="112" t="s">
        <v>808</v>
      </c>
      <c r="E1073" s="122">
        <v>1.944444444444444</v>
      </c>
      <c r="F1073" s="112" t="s">
        <v>43</v>
      </c>
      <c r="G1073" s="114">
        <v>20</v>
      </c>
      <c r="H1073" s="115" t="s">
        <v>349</v>
      </c>
    </row>
    <row r="1074" spans="1:8" ht="19.899999999999999" customHeight="1">
      <c r="A1074" s="121">
        <v>46043</v>
      </c>
      <c r="B1074" s="112" t="s">
        <v>68</v>
      </c>
      <c r="C1074" s="113" t="s">
        <v>844</v>
      </c>
      <c r="D1074" s="112" t="s">
        <v>808</v>
      </c>
      <c r="E1074" s="122">
        <v>1.729166666666667</v>
      </c>
      <c r="F1074" s="112" t="s">
        <v>70</v>
      </c>
      <c r="G1074" s="114">
        <v>9</v>
      </c>
      <c r="H1074" s="115" t="s">
        <v>892</v>
      </c>
    </row>
    <row r="1075" spans="1:8" ht="19.899999999999999" customHeight="1">
      <c r="A1075" s="121">
        <v>46043</v>
      </c>
      <c r="B1075" s="112" t="s">
        <v>48</v>
      </c>
      <c r="C1075" s="113" t="s">
        <v>833</v>
      </c>
      <c r="D1075" s="112" t="s">
        <v>808</v>
      </c>
      <c r="E1075" s="122">
        <v>1.444444444444444</v>
      </c>
      <c r="F1075" s="112" t="s">
        <v>53</v>
      </c>
      <c r="G1075" s="114">
        <v>9</v>
      </c>
      <c r="H1075" s="115" t="s">
        <v>874</v>
      </c>
    </row>
    <row r="1076" spans="1:8" ht="19.899999999999999" customHeight="1">
      <c r="A1076" s="121">
        <v>46043</v>
      </c>
      <c r="B1076" s="112" t="s">
        <v>48</v>
      </c>
      <c r="C1076" s="113" t="s">
        <v>828</v>
      </c>
      <c r="D1076" s="112" t="s">
        <v>808</v>
      </c>
      <c r="E1076" s="122">
        <v>1.8298611111111109</v>
      </c>
      <c r="F1076" s="112" t="s">
        <v>53</v>
      </c>
      <c r="G1076" s="114">
        <v>9</v>
      </c>
      <c r="H1076" s="115" t="s">
        <v>874</v>
      </c>
    </row>
    <row r="1077" spans="1:8" ht="19.899999999999999" customHeight="1">
      <c r="A1077" s="121">
        <v>46043</v>
      </c>
      <c r="B1077" s="112" t="s">
        <v>48</v>
      </c>
      <c r="C1077" s="113" t="s">
        <v>831</v>
      </c>
      <c r="D1077" s="112" t="s">
        <v>808</v>
      </c>
      <c r="E1077" s="122">
        <v>1.9826388888888891</v>
      </c>
      <c r="F1077" s="112" t="s">
        <v>53</v>
      </c>
      <c r="G1077" s="114">
        <v>9</v>
      </c>
      <c r="H1077" s="115" t="s">
        <v>874</v>
      </c>
    </row>
    <row r="1078" spans="1:8" ht="19.899999999999999" customHeight="1">
      <c r="A1078" s="121">
        <v>46043</v>
      </c>
      <c r="B1078" s="112" t="s">
        <v>48</v>
      </c>
      <c r="C1078" s="113" t="s">
        <v>832</v>
      </c>
      <c r="D1078" s="112" t="s">
        <v>808</v>
      </c>
      <c r="E1078" s="122">
        <v>1.6284722222222221</v>
      </c>
      <c r="F1078" s="112" t="s">
        <v>53</v>
      </c>
      <c r="G1078" s="114">
        <v>2</v>
      </c>
      <c r="H1078" s="115" t="s">
        <v>874</v>
      </c>
    </row>
    <row r="1079" spans="1:8" ht="19.899999999999999" customHeight="1">
      <c r="A1079" s="121">
        <v>46043</v>
      </c>
      <c r="B1079" s="112" t="s">
        <v>26</v>
      </c>
      <c r="C1079" s="113" t="s">
        <v>820</v>
      </c>
      <c r="D1079" s="112" t="s">
        <v>808</v>
      </c>
      <c r="E1079" s="122">
        <v>1.4375</v>
      </c>
      <c r="F1079" s="112" t="s">
        <v>34</v>
      </c>
      <c r="G1079" s="114">
        <v>9</v>
      </c>
      <c r="H1079" s="115" t="s">
        <v>45</v>
      </c>
    </row>
    <row r="1080" spans="1:8" ht="19.899999999999999" customHeight="1">
      <c r="A1080" s="121">
        <v>46043</v>
      </c>
      <c r="B1080" s="112" t="s">
        <v>26</v>
      </c>
      <c r="C1080" s="113" t="s">
        <v>826</v>
      </c>
      <c r="D1080" s="112" t="s">
        <v>808</v>
      </c>
      <c r="E1080" s="122">
        <v>1.958333333333333</v>
      </c>
      <c r="F1080" s="112" t="s">
        <v>34</v>
      </c>
      <c r="G1080" s="114">
        <v>9</v>
      </c>
      <c r="H1080" s="115" t="s">
        <v>45</v>
      </c>
    </row>
    <row r="1081" spans="1:8" ht="19.899999999999999" customHeight="1">
      <c r="A1081" s="121">
        <v>46043</v>
      </c>
      <c r="B1081" s="112" t="s">
        <v>26</v>
      </c>
      <c r="C1081" s="113" t="s">
        <v>821</v>
      </c>
      <c r="D1081" s="112" t="s">
        <v>808</v>
      </c>
      <c r="E1081" s="122">
        <v>1.631944444444444</v>
      </c>
      <c r="F1081" s="112" t="s">
        <v>34</v>
      </c>
      <c r="G1081" s="114">
        <v>9</v>
      </c>
      <c r="H1081" s="115" t="s">
        <v>45</v>
      </c>
    </row>
    <row r="1082" spans="1:8" ht="19.899999999999999" customHeight="1">
      <c r="A1082" s="121">
        <v>46043</v>
      </c>
      <c r="B1082" s="112" t="s">
        <v>26</v>
      </c>
      <c r="C1082" s="113" t="s">
        <v>822</v>
      </c>
      <c r="D1082" s="112" t="s">
        <v>808</v>
      </c>
      <c r="E1082" s="122">
        <v>1.5590277777777779</v>
      </c>
      <c r="F1082" s="112" t="s">
        <v>34</v>
      </c>
      <c r="G1082" s="114">
        <v>9</v>
      </c>
      <c r="H1082" s="115" t="s">
        <v>45</v>
      </c>
    </row>
    <row r="1083" spans="1:8" ht="19.899999999999999" customHeight="1">
      <c r="A1083" s="121">
        <v>46043</v>
      </c>
      <c r="B1083" s="112" t="s">
        <v>26</v>
      </c>
      <c r="C1083" s="113" t="s">
        <v>823</v>
      </c>
      <c r="D1083" s="112" t="s">
        <v>808</v>
      </c>
      <c r="E1083" s="122">
        <v>1.819444444444444</v>
      </c>
      <c r="F1083" s="112" t="s">
        <v>34</v>
      </c>
      <c r="G1083" s="114">
        <v>9</v>
      </c>
      <c r="H1083" s="115" t="s">
        <v>45</v>
      </c>
    </row>
    <row r="1084" spans="1:8" ht="19.899999999999999" customHeight="1">
      <c r="A1084" s="121">
        <v>46043</v>
      </c>
      <c r="B1084" s="112" t="s">
        <v>26</v>
      </c>
      <c r="C1084" s="113" t="s">
        <v>824</v>
      </c>
      <c r="D1084" s="112" t="s">
        <v>808</v>
      </c>
      <c r="E1084" s="122">
        <v>1.506944444444444</v>
      </c>
      <c r="F1084" s="112" t="s">
        <v>34</v>
      </c>
      <c r="G1084" s="114">
        <v>9</v>
      </c>
      <c r="H1084" s="115" t="s">
        <v>45</v>
      </c>
    </row>
    <row r="1085" spans="1:8" ht="19.899999999999999" customHeight="1">
      <c r="A1085" s="121">
        <v>46043</v>
      </c>
      <c r="B1085" s="112" t="s">
        <v>26</v>
      </c>
      <c r="C1085" s="113" t="s">
        <v>825</v>
      </c>
      <c r="D1085" s="112" t="s">
        <v>808</v>
      </c>
      <c r="E1085" s="122">
        <v>1.697916666666667</v>
      </c>
      <c r="F1085" s="112" t="s">
        <v>34</v>
      </c>
      <c r="G1085" s="114">
        <v>9</v>
      </c>
      <c r="H1085" s="115" t="s">
        <v>45</v>
      </c>
    </row>
    <row r="1086" spans="1:8" ht="19.899999999999999" customHeight="1">
      <c r="A1086" s="121">
        <v>46043</v>
      </c>
      <c r="B1086" s="112" t="s">
        <v>402</v>
      </c>
      <c r="C1086" s="113" t="s">
        <v>839</v>
      </c>
      <c r="D1086" s="112" t="s">
        <v>808</v>
      </c>
      <c r="E1086" s="122">
        <v>1.2013888888888891</v>
      </c>
      <c r="F1086" s="112" t="s">
        <v>63</v>
      </c>
      <c r="G1086" s="114">
        <v>7</v>
      </c>
      <c r="H1086" s="115" t="s">
        <v>881</v>
      </c>
    </row>
    <row r="1087" spans="1:8" ht="19.899999999999999" customHeight="1">
      <c r="A1087" s="121">
        <v>46043</v>
      </c>
      <c r="B1087" s="112" t="s">
        <v>402</v>
      </c>
      <c r="C1087" s="113" t="s">
        <v>841</v>
      </c>
      <c r="D1087" s="112" t="s">
        <v>808</v>
      </c>
      <c r="E1087" s="122">
        <v>1.614583333333333</v>
      </c>
      <c r="F1087" s="112" t="s">
        <v>63</v>
      </c>
      <c r="G1087" s="114">
        <v>7</v>
      </c>
      <c r="H1087" s="115" t="s">
        <v>881</v>
      </c>
    </row>
    <row r="1088" spans="1:8" ht="19.899999999999999" customHeight="1">
      <c r="A1088" s="121">
        <v>46043</v>
      </c>
      <c r="B1088" s="112" t="s">
        <v>359</v>
      </c>
      <c r="C1088" s="113" t="s">
        <v>887</v>
      </c>
      <c r="D1088" s="112" t="s">
        <v>808</v>
      </c>
      <c r="E1088" s="122">
        <v>1.052083333333333</v>
      </c>
      <c r="F1088" s="112" t="s">
        <v>46</v>
      </c>
      <c r="G1088" s="114">
        <v>9</v>
      </c>
      <c r="H1088" s="115" t="s">
        <v>950</v>
      </c>
    </row>
    <row r="1089" spans="1:8" ht="19.899999999999999" customHeight="1">
      <c r="A1089" s="121">
        <v>46043</v>
      </c>
      <c r="B1089" s="112" t="s">
        <v>38</v>
      </c>
      <c r="C1089" s="113" t="s">
        <v>809</v>
      </c>
      <c r="D1089" s="112" t="s">
        <v>808</v>
      </c>
      <c r="E1089" s="122">
        <v>1.5763888888888891</v>
      </c>
      <c r="F1089" s="112" t="s">
        <v>46</v>
      </c>
      <c r="G1089" s="114">
        <v>15</v>
      </c>
      <c r="H1089" s="115" t="s">
        <v>810</v>
      </c>
    </row>
    <row r="1090" spans="1:8" ht="19.899999999999999" customHeight="1">
      <c r="A1090" s="121">
        <v>46043</v>
      </c>
      <c r="B1090" s="112" t="s">
        <v>38</v>
      </c>
      <c r="C1090" s="113" t="s">
        <v>811</v>
      </c>
      <c r="D1090" s="112" t="s">
        <v>808</v>
      </c>
      <c r="E1090" s="122">
        <v>1.6284722222222221</v>
      </c>
      <c r="F1090" s="112" t="s">
        <v>46</v>
      </c>
      <c r="G1090" s="114">
        <v>17</v>
      </c>
      <c r="H1090" s="115" t="s">
        <v>810</v>
      </c>
    </row>
    <row r="1091" spans="1:8" ht="19.899999999999999" customHeight="1">
      <c r="A1091" s="121">
        <v>46043</v>
      </c>
      <c r="B1091" s="112" t="s">
        <v>38</v>
      </c>
      <c r="C1091" s="113" t="s">
        <v>812</v>
      </c>
      <c r="D1091" s="112" t="s">
        <v>808</v>
      </c>
      <c r="E1091" s="122">
        <v>1.8888888888888891</v>
      </c>
      <c r="F1091" s="112" t="s">
        <v>46</v>
      </c>
      <c r="G1091" s="114">
        <v>18</v>
      </c>
      <c r="H1091" s="115" t="s">
        <v>810</v>
      </c>
    </row>
    <row r="1092" spans="1:8" ht="19.899999999999999" customHeight="1">
      <c r="A1092" s="121">
        <v>46043</v>
      </c>
      <c r="B1092" s="112" t="s">
        <v>38</v>
      </c>
      <c r="C1092" s="113" t="s">
        <v>813</v>
      </c>
      <c r="D1092" s="112" t="s">
        <v>808</v>
      </c>
      <c r="E1092" s="122">
        <v>1.944444444444444</v>
      </c>
      <c r="F1092" s="112" t="s">
        <v>46</v>
      </c>
      <c r="G1092" s="114">
        <v>20</v>
      </c>
      <c r="H1092" s="115" t="s">
        <v>810</v>
      </c>
    </row>
    <row r="1093" spans="1:8" ht="19.899999999999999" customHeight="1">
      <c r="A1093" s="121">
        <v>46043</v>
      </c>
      <c r="B1093" s="112" t="s">
        <v>48</v>
      </c>
      <c r="C1093" s="113" t="s">
        <v>835</v>
      </c>
      <c r="D1093" s="112" t="s">
        <v>808</v>
      </c>
      <c r="E1093" s="122">
        <v>1.8888888888888891</v>
      </c>
      <c r="F1093" s="112" t="s">
        <v>53</v>
      </c>
      <c r="G1093" s="114">
        <v>4</v>
      </c>
      <c r="H1093" s="115" t="s">
        <v>836</v>
      </c>
    </row>
    <row r="1094" spans="1:8" ht="19.899999999999999" customHeight="1">
      <c r="A1094" s="121">
        <v>46043</v>
      </c>
      <c r="B1094" s="112" t="s">
        <v>48</v>
      </c>
      <c r="C1094" s="113" t="s">
        <v>837</v>
      </c>
      <c r="D1094" s="112" t="s">
        <v>808</v>
      </c>
      <c r="E1094" s="122">
        <v>1.6284722222222221</v>
      </c>
      <c r="F1094" s="112" t="s">
        <v>53</v>
      </c>
      <c r="G1094" s="114">
        <v>4</v>
      </c>
      <c r="H1094" s="115" t="s">
        <v>836</v>
      </c>
    </row>
    <row r="1095" spans="1:8" ht="19.899999999999999" customHeight="1">
      <c r="A1095" s="123">
        <v>46043</v>
      </c>
      <c r="B1095" s="124" t="s">
        <v>48</v>
      </c>
      <c r="C1095" s="125" t="s">
        <v>838</v>
      </c>
      <c r="D1095" s="124" t="s">
        <v>808</v>
      </c>
      <c r="E1095" s="126">
        <v>1.944444444444444</v>
      </c>
      <c r="F1095" s="124" t="s">
        <v>53</v>
      </c>
      <c r="G1095" s="127">
        <v>4</v>
      </c>
      <c r="H1095" s="128" t="s">
        <v>836</v>
      </c>
    </row>
    <row r="1096" spans="1:8" ht="19.899999999999999" customHeight="1">
      <c r="A1096" s="121">
        <v>46044</v>
      </c>
      <c r="B1096" s="112" t="s">
        <v>38</v>
      </c>
      <c r="C1096" s="113" t="s">
        <v>809</v>
      </c>
      <c r="D1096" s="112" t="s">
        <v>808</v>
      </c>
      <c r="E1096" s="122">
        <v>1.5763888888888891</v>
      </c>
      <c r="F1096" s="112" t="s">
        <v>40</v>
      </c>
      <c r="G1096" s="114">
        <v>1</v>
      </c>
      <c r="H1096" s="115" t="s">
        <v>475</v>
      </c>
    </row>
    <row r="1097" spans="1:8" ht="19.899999999999999" customHeight="1">
      <c r="A1097" s="121">
        <v>46044</v>
      </c>
      <c r="B1097" s="112" t="s">
        <v>38</v>
      </c>
      <c r="C1097" s="113" t="s">
        <v>811</v>
      </c>
      <c r="D1097" s="112" t="s">
        <v>808</v>
      </c>
      <c r="E1097" s="122">
        <v>1.6284722222222221</v>
      </c>
      <c r="F1097" s="112" t="s">
        <v>40</v>
      </c>
      <c r="G1097" s="114">
        <v>9</v>
      </c>
      <c r="H1097" s="115" t="s">
        <v>475</v>
      </c>
    </row>
    <row r="1098" spans="1:8" ht="19.899999999999999" customHeight="1">
      <c r="A1098" s="121">
        <v>46044</v>
      </c>
      <c r="B1098" s="112" t="s">
        <v>26</v>
      </c>
      <c r="C1098" s="113" t="s">
        <v>820</v>
      </c>
      <c r="D1098" s="112" t="s">
        <v>808</v>
      </c>
      <c r="E1098" s="122">
        <v>1.4375</v>
      </c>
      <c r="F1098" s="112" t="s">
        <v>28</v>
      </c>
      <c r="G1098" s="114">
        <v>9</v>
      </c>
      <c r="H1098" s="115" t="s">
        <v>81</v>
      </c>
    </row>
    <row r="1099" spans="1:8" ht="19.899999999999999" customHeight="1">
      <c r="A1099" s="121">
        <v>46044</v>
      </c>
      <c r="B1099" s="112" t="s">
        <v>26</v>
      </c>
      <c r="C1099" s="113" t="s">
        <v>821</v>
      </c>
      <c r="D1099" s="112" t="s">
        <v>808</v>
      </c>
      <c r="E1099" s="122">
        <v>1.631944444444444</v>
      </c>
      <c r="F1099" s="112" t="s">
        <v>28</v>
      </c>
      <c r="G1099" s="114">
        <v>9</v>
      </c>
      <c r="H1099" s="115" t="s">
        <v>81</v>
      </c>
    </row>
    <row r="1100" spans="1:8" ht="19.899999999999999" customHeight="1">
      <c r="A1100" s="121">
        <v>46044</v>
      </c>
      <c r="B1100" s="112" t="s">
        <v>26</v>
      </c>
      <c r="C1100" s="113" t="s">
        <v>822</v>
      </c>
      <c r="D1100" s="112" t="s">
        <v>808</v>
      </c>
      <c r="E1100" s="122">
        <v>1.5590277777777779</v>
      </c>
      <c r="F1100" s="112" t="s">
        <v>28</v>
      </c>
      <c r="G1100" s="114">
        <v>8</v>
      </c>
      <c r="H1100" s="115" t="s">
        <v>81</v>
      </c>
    </row>
    <row r="1101" spans="1:8" ht="19.899999999999999" customHeight="1">
      <c r="A1101" s="121">
        <v>46044</v>
      </c>
      <c r="B1101" s="112" t="s">
        <v>26</v>
      </c>
      <c r="C1101" s="113" t="s">
        <v>824</v>
      </c>
      <c r="D1101" s="112" t="s">
        <v>808</v>
      </c>
      <c r="E1101" s="122">
        <v>1.506944444444444</v>
      </c>
      <c r="F1101" s="112" t="s">
        <v>28</v>
      </c>
      <c r="G1101" s="114">
        <v>9</v>
      </c>
      <c r="H1101" s="115" t="s">
        <v>81</v>
      </c>
    </row>
    <row r="1102" spans="1:8" ht="19.899999999999999" customHeight="1">
      <c r="A1102" s="121">
        <v>46044</v>
      </c>
      <c r="B1102" s="112" t="s">
        <v>26</v>
      </c>
      <c r="C1102" s="113" t="s">
        <v>825</v>
      </c>
      <c r="D1102" s="112" t="s">
        <v>808</v>
      </c>
      <c r="E1102" s="122">
        <v>1.697916666666667</v>
      </c>
      <c r="F1102" s="112" t="s">
        <v>28</v>
      </c>
      <c r="G1102" s="114">
        <v>9</v>
      </c>
      <c r="H1102" s="115" t="s">
        <v>81</v>
      </c>
    </row>
    <row r="1103" spans="1:8" ht="19.899999999999999" customHeight="1">
      <c r="A1103" s="121">
        <v>46044</v>
      </c>
      <c r="B1103" s="112" t="s">
        <v>359</v>
      </c>
      <c r="C1103" s="113" t="s">
        <v>814</v>
      </c>
      <c r="D1103" s="112" t="s">
        <v>808</v>
      </c>
      <c r="E1103" s="122">
        <v>1.4375</v>
      </c>
      <c r="F1103" s="112" t="s">
        <v>361</v>
      </c>
      <c r="G1103" s="114">
        <v>9</v>
      </c>
      <c r="H1103" s="115" t="s">
        <v>949</v>
      </c>
    </row>
    <row r="1104" spans="1:8" ht="19.899999999999999" customHeight="1">
      <c r="A1104" s="121">
        <v>46044</v>
      </c>
      <c r="B1104" s="112" t="s">
        <v>26</v>
      </c>
      <c r="C1104" s="113" t="s">
        <v>826</v>
      </c>
      <c r="D1104" s="112" t="s">
        <v>808</v>
      </c>
      <c r="E1104" s="122">
        <v>1.958333333333333</v>
      </c>
      <c r="F1104" s="112" t="s">
        <v>28</v>
      </c>
      <c r="G1104" s="114">
        <v>9</v>
      </c>
      <c r="H1104" s="115" t="s">
        <v>827</v>
      </c>
    </row>
    <row r="1105" spans="1:8" ht="19.899999999999999" customHeight="1">
      <c r="A1105" s="121">
        <v>46044</v>
      </c>
      <c r="B1105" s="112" t="s">
        <v>26</v>
      </c>
      <c r="C1105" s="113" t="s">
        <v>823</v>
      </c>
      <c r="D1105" s="112" t="s">
        <v>808</v>
      </c>
      <c r="E1105" s="122">
        <v>1.819444444444444</v>
      </c>
      <c r="F1105" s="112" t="s">
        <v>28</v>
      </c>
      <c r="G1105" s="114">
        <v>9</v>
      </c>
      <c r="H1105" s="115" t="s">
        <v>827</v>
      </c>
    </row>
    <row r="1106" spans="1:8" ht="19.899999999999999" customHeight="1">
      <c r="A1106" s="121">
        <v>46044</v>
      </c>
      <c r="B1106" s="112" t="s">
        <v>38</v>
      </c>
      <c r="C1106" s="113" t="s">
        <v>809</v>
      </c>
      <c r="D1106" s="112" t="s">
        <v>808</v>
      </c>
      <c r="E1106" s="122">
        <v>1.5763888888888891</v>
      </c>
      <c r="F1106" s="112" t="s">
        <v>43</v>
      </c>
      <c r="G1106" s="114">
        <v>1</v>
      </c>
      <c r="H1106" s="115" t="s">
        <v>121</v>
      </c>
    </row>
    <row r="1107" spans="1:8" ht="19.899999999999999" customHeight="1">
      <c r="A1107" s="121">
        <v>46044</v>
      </c>
      <c r="B1107" s="112" t="s">
        <v>38</v>
      </c>
      <c r="C1107" s="113" t="s">
        <v>811</v>
      </c>
      <c r="D1107" s="112" t="s">
        <v>808</v>
      </c>
      <c r="E1107" s="122">
        <v>1.6284722222222221</v>
      </c>
      <c r="F1107" s="112" t="s">
        <v>43</v>
      </c>
      <c r="G1107" s="114">
        <v>9</v>
      </c>
      <c r="H1107" s="115" t="s">
        <v>121</v>
      </c>
    </row>
    <row r="1108" spans="1:8" ht="19.899999999999999" customHeight="1">
      <c r="A1108" s="121">
        <v>46044</v>
      </c>
      <c r="B1108" s="112" t="s">
        <v>38</v>
      </c>
      <c r="C1108" s="113" t="s">
        <v>812</v>
      </c>
      <c r="D1108" s="112" t="s">
        <v>808</v>
      </c>
      <c r="E1108" s="122">
        <v>1.8888888888888891</v>
      </c>
      <c r="F1108" s="112" t="s">
        <v>40</v>
      </c>
      <c r="G1108" s="114">
        <v>43</v>
      </c>
      <c r="H1108" s="115" t="s">
        <v>83</v>
      </c>
    </row>
    <row r="1109" spans="1:8" ht="19.899999999999999" customHeight="1">
      <c r="A1109" s="121">
        <v>46044</v>
      </c>
      <c r="B1109" s="112" t="s">
        <v>26</v>
      </c>
      <c r="C1109" s="113" t="s">
        <v>820</v>
      </c>
      <c r="D1109" s="112" t="s">
        <v>808</v>
      </c>
      <c r="E1109" s="122">
        <v>1.4375</v>
      </c>
      <c r="F1109" s="112" t="s">
        <v>31</v>
      </c>
      <c r="G1109" s="114">
        <v>9</v>
      </c>
      <c r="H1109" s="115" t="s">
        <v>83</v>
      </c>
    </row>
    <row r="1110" spans="1:8" ht="19.899999999999999" customHeight="1">
      <c r="A1110" s="121">
        <v>46044</v>
      </c>
      <c r="B1110" s="112" t="s">
        <v>26</v>
      </c>
      <c r="C1110" s="113" t="s">
        <v>821</v>
      </c>
      <c r="D1110" s="112" t="s">
        <v>808</v>
      </c>
      <c r="E1110" s="122">
        <v>1.631944444444444</v>
      </c>
      <c r="F1110" s="112" t="s">
        <v>31</v>
      </c>
      <c r="G1110" s="114">
        <v>9</v>
      </c>
      <c r="H1110" s="115" t="s">
        <v>83</v>
      </c>
    </row>
    <row r="1111" spans="1:8" ht="19.899999999999999" customHeight="1">
      <c r="A1111" s="121">
        <v>46044</v>
      </c>
      <c r="B1111" s="112" t="s">
        <v>26</v>
      </c>
      <c r="C1111" s="113" t="s">
        <v>822</v>
      </c>
      <c r="D1111" s="112" t="s">
        <v>808</v>
      </c>
      <c r="E1111" s="122">
        <v>1.5590277777777779</v>
      </c>
      <c r="F1111" s="112" t="s">
        <v>31</v>
      </c>
      <c r="G1111" s="114">
        <v>8</v>
      </c>
      <c r="H1111" s="115" t="s">
        <v>83</v>
      </c>
    </row>
    <row r="1112" spans="1:8" ht="19.899999999999999" customHeight="1">
      <c r="A1112" s="121">
        <v>46044</v>
      </c>
      <c r="B1112" s="112" t="s">
        <v>26</v>
      </c>
      <c r="C1112" s="113" t="s">
        <v>824</v>
      </c>
      <c r="D1112" s="112" t="s">
        <v>808</v>
      </c>
      <c r="E1112" s="122">
        <v>1.506944444444444</v>
      </c>
      <c r="F1112" s="112" t="s">
        <v>31</v>
      </c>
      <c r="G1112" s="114">
        <v>9</v>
      </c>
      <c r="H1112" s="115" t="s">
        <v>83</v>
      </c>
    </row>
    <row r="1113" spans="1:8" ht="19.899999999999999" customHeight="1">
      <c r="A1113" s="121">
        <v>46044</v>
      </c>
      <c r="B1113" s="112" t="s">
        <v>26</v>
      </c>
      <c r="C1113" s="113" t="s">
        <v>825</v>
      </c>
      <c r="D1113" s="112" t="s">
        <v>808</v>
      </c>
      <c r="E1113" s="122">
        <v>1.697916666666667</v>
      </c>
      <c r="F1113" s="112" t="s">
        <v>31</v>
      </c>
      <c r="G1113" s="114">
        <v>9</v>
      </c>
      <c r="H1113" s="115" t="s">
        <v>83</v>
      </c>
    </row>
    <row r="1114" spans="1:8" ht="19.899999999999999" customHeight="1">
      <c r="A1114" s="129">
        <v>46044</v>
      </c>
      <c r="B1114" s="117" t="s">
        <v>61</v>
      </c>
      <c r="C1114" s="118" t="s">
        <v>816</v>
      </c>
      <c r="D1114" s="117" t="s">
        <v>808</v>
      </c>
      <c r="E1114" s="130">
        <v>1.413194444444444</v>
      </c>
      <c r="F1114" s="117" t="s">
        <v>63</v>
      </c>
      <c r="G1114" s="119">
        <v>9</v>
      </c>
      <c r="H1114" s="120" t="s">
        <v>33</v>
      </c>
    </row>
    <row r="1115" spans="1:8" ht="19.899999999999999" customHeight="1">
      <c r="A1115" s="121">
        <v>46044</v>
      </c>
      <c r="B1115" s="112" t="s">
        <v>38</v>
      </c>
      <c r="C1115" s="113" t="s">
        <v>813</v>
      </c>
      <c r="D1115" s="112" t="s">
        <v>808</v>
      </c>
      <c r="E1115" s="122">
        <v>1.944444444444444</v>
      </c>
      <c r="F1115" s="112" t="s">
        <v>40</v>
      </c>
      <c r="G1115" s="114">
        <v>18</v>
      </c>
      <c r="H1115" s="115" t="s">
        <v>33</v>
      </c>
    </row>
    <row r="1116" spans="1:8" ht="19.899999999999999" customHeight="1">
      <c r="A1116" s="121">
        <v>46044</v>
      </c>
      <c r="B1116" s="112" t="s">
        <v>68</v>
      </c>
      <c r="C1116" s="113" t="s">
        <v>843</v>
      </c>
      <c r="D1116" s="112" t="s">
        <v>808</v>
      </c>
      <c r="E1116" s="122">
        <v>1.354166666666667</v>
      </c>
      <c r="F1116" s="112" t="s">
        <v>70</v>
      </c>
      <c r="G1116" s="114">
        <v>9</v>
      </c>
      <c r="H1116" s="115" t="s">
        <v>404</v>
      </c>
    </row>
    <row r="1117" spans="1:8" ht="19.899999999999999" customHeight="1">
      <c r="A1117" s="121">
        <v>46044</v>
      </c>
      <c r="B1117" s="112" t="s">
        <v>68</v>
      </c>
      <c r="C1117" s="113" t="s">
        <v>844</v>
      </c>
      <c r="D1117" s="112" t="s">
        <v>808</v>
      </c>
      <c r="E1117" s="122">
        <v>1.729166666666667</v>
      </c>
      <c r="F1117" s="112" t="s">
        <v>70</v>
      </c>
      <c r="G1117" s="114">
        <v>2</v>
      </c>
      <c r="H1117" s="115" t="s">
        <v>892</v>
      </c>
    </row>
    <row r="1118" spans="1:8" ht="19.899999999999999" customHeight="1">
      <c r="A1118" s="121">
        <v>46044</v>
      </c>
      <c r="B1118" s="112" t="s">
        <v>26</v>
      </c>
      <c r="C1118" s="113" t="s">
        <v>826</v>
      </c>
      <c r="D1118" s="112" t="s">
        <v>808</v>
      </c>
      <c r="E1118" s="122">
        <v>1.958333333333333</v>
      </c>
      <c r="F1118" s="112" t="s">
        <v>31</v>
      </c>
      <c r="G1118" s="114">
        <v>9</v>
      </c>
      <c r="H1118" s="115" t="s">
        <v>161</v>
      </c>
    </row>
    <row r="1119" spans="1:8" ht="19.899999999999999" customHeight="1">
      <c r="A1119" s="121">
        <v>46044</v>
      </c>
      <c r="B1119" s="112" t="s">
        <v>26</v>
      </c>
      <c r="C1119" s="113" t="s">
        <v>823</v>
      </c>
      <c r="D1119" s="112" t="s">
        <v>808</v>
      </c>
      <c r="E1119" s="122">
        <v>1.819444444444444</v>
      </c>
      <c r="F1119" s="112" t="s">
        <v>31</v>
      </c>
      <c r="G1119" s="114">
        <v>9</v>
      </c>
      <c r="H1119" s="115" t="s">
        <v>161</v>
      </c>
    </row>
    <row r="1120" spans="1:8" ht="19.899999999999999" customHeight="1">
      <c r="A1120" s="121">
        <v>46044</v>
      </c>
      <c r="B1120" s="112" t="s">
        <v>68</v>
      </c>
      <c r="C1120" s="113" t="s">
        <v>842</v>
      </c>
      <c r="D1120" s="112" t="s">
        <v>808</v>
      </c>
      <c r="E1120" s="122">
        <v>1.9826388888888891</v>
      </c>
      <c r="F1120" s="112" t="s">
        <v>70</v>
      </c>
      <c r="G1120" s="114">
        <v>9</v>
      </c>
      <c r="H1120" s="115" t="s">
        <v>45</v>
      </c>
    </row>
    <row r="1121" spans="1:8" ht="19.899999999999999" customHeight="1">
      <c r="A1121" s="121">
        <v>46044</v>
      </c>
      <c r="B1121" s="112" t="s">
        <v>26</v>
      </c>
      <c r="C1121" s="113" t="s">
        <v>820</v>
      </c>
      <c r="D1121" s="112" t="s">
        <v>808</v>
      </c>
      <c r="E1121" s="122">
        <v>1.4375</v>
      </c>
      <c r="F1121" s="112" t="s">
        <v>34</v>
      </c>
      <c r="G1121" s="114">
        <v>9</v>
      </c>
      <c r="H1121" s="115" t="s">
        <v>45</v>
      </c>
    </row>
    <row r="1122" spans="1:8" ht="19.899999999999999" customHeight="1">
      <c r="A1122" s="121">
        <v>46044</v>
      </c>
      <c r="B1122" s="112" t="s">
        <v>26</v>
      </c>
      <c r="C1122" s="113" t="s">
        <v>821</v>
      </c>
      <c r="D1122" s="112" t="s">
        <v>808</v>
      </c>
      <c r="E1122" s="122">
        <v>1.631944444444444</v>
      </c>
      <c r="F1122" s="112" t="s">
        <v>34</v>
      </c>
      <c r="G1122" s="114">
        <v>9</v>
      </c>
      <c r="H1122" s="115" t="s">
        <v>45</v>
      </c>
    </row>
    <row r="1123" spans="1:8" ht="19.899999999999999" customHeight="1">
      <c r="A1123" s="121">
        <v>46044</v>
      </c>
      <c r="B1123" s="112" t="s">
        <v>26</v>
      </c>
      <c r="C1123" s="113" t="s">
        <v>822</v>
      </c>
      <c r="D1123" s="112" t="s">
        <v>808</v>
      </c>
      <c r="E1123" s="122">
        <v>1.5590277777777779</v>
      </c>
      <c r="F1123" s="112" t="s">
        <v>34</v>
      </c>
      <c r="G1123" s="114">
        <v>8</v>
      </c>
      <c r="H1123" s="115" t="s">
        <v>45</v>
      </c>
    </row>
    <row r="1124" spans="1:8" ht="19.899999999999999" customHeight="1">
      <c r="A1124" s="121">
        <v>46044</v>
      </c>
      <c r="B1124" s="112" t="s">
        <v>26</v>
      </c>
      <c r="C1124" s="113" t="s">
        <v>824</v>
      </c>
      <c r="D1124" s="112" t="s">
        <v>808</v>
      </c>
      <c r="E1124" s="122">
        <v>1.506944444444444</v>
      </c>
      <c r="F1124" s="112" t="s">
        <v>34</v>
      </c>
      <c r="G1124" s="114">
        <v>9</v>
      </c>
      <c r="H1124" s="115" t="s">
        <v>45</v>
      </c>
    </row>
    <row r="1125" spans="1:8" ht="19.899999999999999" customHeight="1">
      <c r="A1125" s="121">
        <v>46044</v>
      </c>
      <c r="B1125" s="112" t="s">
        <v>26</v>
      </c>
      <c r="C1125" s="113" t="s">
        <v>825</v>
      </c>
      <c r="D1125" s="112" t="s">
        <v>808</v>
      </c>
      <c r="E1125" s="122">
        <v>1.697916666666667</v>
      </c>
      <c r="F1125" s="112" t="s">
        <v>34</v>
      </c>
      <c r="G1125" s="114">
        <v>9</v>
      </c>
      <c r="H1125" s="115" t="s">
        <v>45</v>
      </c>
    </row>
    <row r="1126" spans="1:8" ht="19.899999999999999" customHeight="1">
      <c r="A1126" s="121">
        <v>46044</v>
      </c>
      <c r="B1126" s="112" t="s">
        <v>402</v>
      </c>
      <c r="C1126" s="113" t="s">
        <v>839</v>
      </c>
      <c r="D1126" s="112" t="s">
        <v>808</v>
      </c>
      <c r="E1126" s="122">
        <v>1.1701388888888891</v>
      </c>
      <c r="F1126" s="112" t="s">
        <v>63</v>
      </c>
      <c r="G1126" s="114">
        <v>5</v>
      </c>
      <c r="H1126" s="115" t="s">
        <v>881</v>
      </c>
    </row>
    <row r="1127" spans="1:8" ht="19.899999999999999" customHeight="1">
      <c r="A1127" s="121">
        <v>46044</v>
      </c>
      <c r="B1127" s="112" t="s">
        <v>402</v>
      </c>
      <c r="C1127" s="113" t="s">
        <v>841</v>
      </c>
      <c r="D1127" s="112" t="s">
        <v>808</v>
      </c>
      <c r="E1127" s="122">
        <v>1.614583333333333</v>
      </c>
      <c r="F1127" s="112" t="s">
        <v>63</v>
      </c>
      <c r="G1127" s="114">
        <v>6</v>
      </c>
      <c r="H1127" s="115" t="s">
        <v>881</v>
      </c>
    </row>
    <row r="1128" spans="1:8" ht="19.899999999999999" customHeight="1">
      <c r="A1128" s="121">
        <v>46044</v>
      </c>
      <c r="B1128" s="112" t="s">
        <v>359</v>
      </c>
      <c r="C1128" s="113" t="s">
        <v>814</v>
      </c>
      <c r="D1128" s="112" t="s">
        <v>808</v>
      </c>
      <c r="E1128" s="122">
        <v>1.4375</v>
      </c>
      <c r="F1128" s="112" t="s">
        <v>46</v>
      </c>
      <c r="G1128" s="114">
        <v>9</v>
      </c>
      <c r="H1128" s="115" t="s">
        <v>950</v>
      </c>
    </row>
    <row r="1129" spans="1:8" ht="19.899999999999999" customHeight="1">
      <c r="A1129" s="121">
        <v>46044</v>
      </c>
      <c r="B1129" s="112" t="s">
        <v>26</v>
      </c>
      <c r="C1129" s="113" t="s">
        <v>826</v>
      </c>
      <c r="D1129" s="112" t="s">
        <v>808</v>
      </c>
      <c r="E1129" s="122">
        <v>1.958333333333333</v>
      </c>
      <c r="F1129" s="112" t="s">
        <v>34</v>
      </c>
      <c r="G1129" s="114">
        <v>9</v>
      </c>
      <c r="H1129" s="115" t="s">
        <v>123</v>
      </c>
    </row>
    <row r="1130" spans="1:8" ht="19.899999999999999" customHeight="1">
      <c r="A1130" s="121">
        <v>46044</v>
      </c>
      <c r="B1130" s="112" t="s">
        <v>26</v>
      </c>
      <c r="C1130" s="113" t="s">
        <v>823</v>
      </c>
      <c r="D1130" s="112" t="s">
        <v>808</v>
      </c>
      <c r="E1130" s="122">
        <v>1.819444444444444</v>
      </c>
      <c r="F1130" s="112" t="s">
        <v>34</v>
      </c>
      <c r="G1130" s="114">
        <v>9</v>
      </c>
      <c r="H1130" s="115" t="s">
        <v>123</v>
      </c>
    </row>
    <row r="1131" spans="1:8" ht="19.899999999999999" customHeight="1">
      <c r="A1131" s="121">
        <v>46044</v>
      </c>
      <c r="B1131" s="112" t="s">
        <v>38</v>
      </c>
      <c r="C1131" s="113" t="s">
        <v>812</v>
      </c>
      <c r="D1131" s="112" t="s">
        <v>808</v>
      </c>
      <c r="E1131" s="122">
        <v>1.8888888888888891</v>
      </c>
      <c r="F1131" s="112" t="s">
        <v>43</v>
      </c>
      <c r="G1131" s="114">
        <v>43</v>
      </c>
      <c r="H1131" s="115" t="s">
        <v>162</v>
      </c>
    </row>
    <row r="1132" spans="1:8" ht="19.899999999999999" customHeight="1">
      <c r="A1132" s="121">
        <v>46044</v>
      </c>
      <c r="B1132" s="112" t="s">
        <v>38</v>
      </c>
      <c r="C1132" s="113" t="s">
        <v>813</v>
      </c>
      <c r="D1132" s="112" t="s">
        <v>808</v>
      </c>
      <c r="E1132" s="122">
        <v>1.944444444444444</v>
      </c>
      <c r="F1132" s="112" t="s">
        <v>43</v>
      </c>
      <c r="G1132" s="114">
        <v>18</v>
      </c>
      <c r="H1132" s="115" t="s">
        <v>926</v>
      </c>
    </row>
    <row r="1133" spans="1:8" ht="19.899999999999999" customHeight="1">
      <c r="A1133" s="121">
        <v>46044</v>
      </c>
      <c r="B1133" s="112" t="s">
        <v>38</v>
      </c>
      <c r="C1133" s="113" t="s">
        <v>809</v>
      </c>
      <c r="D1133" s="112" t="s">
        <v>808</v>
      </c>
      <c r="E1133" s="122">
        <v>1.5763888888888891</v>
      </c>
      <c r="F1133" s="112" t="s">
        <v>46</v>
      </c>
      <c r="G1133" s="114">
        <v>1</v>
      </c>
      <c r="H1133" s="115" t="s">
        <v>810</v>
      </c>
    </row>
    <row r="1134" spans="1:8" ht="19.899999999999999" customHeight="1">
      <c r="A1134" s="121">
        <v>46044</v>
      </c>
      <c r="B1134" s="112" t="s">
        <v>38</v>
      </c>
      <c r="C1134" s="113" t="s">
        <v>811</v>
      </c>
      <c r="D1134" s="112" t="s">
        <v>808</v>
      </c>
      <c r="E1134" s="122">
        <v>1.6284722222222221</v>
      </c>
      <c r="F1134" s="112" t="s">
        <v>46</v>
      </c>
      <c r="G1134" s="114">
        <v>9</v>
      </c>
      <c r="H1134" s="115" t="s">
        <v>810</v>
      </c>
    </row>
    <row r="1135" spans="1:8" ht="19.899999999999999" customHeight="1">
      <c r="A1135" s="121">
        <v>46044</v>
      </c>
      <c r="B1135" s="112" t="s">
        <v>38</v>
      </c>
      <c r="C1135" s="113" t="s">
        <v>812</v>
      </c>
      <c r="D1135" s="112" t="s">
        <v>808</v>
      </c>
      <c r="E1135" s="122">
        <v>1.8888888888888891</v>
      </c>
      <c r="F1135" s="112" t="s">
        <v>46</v>
      </c>
      <c r="G1135" s="114">
        <v>43</v>
      </c>
      <c r="H1135" s="115" t="s">
        <v>810</v>
      </c>
    </row>
    <row r="1136" spans="1:8" ht="19.899999999999999" customHeight="1">
      <c r="A1136" s="121">
        <v>46044</v>
      </c>
      <c r="B1136" s="112" t="s">
        <v>38</v>
      </c>
      <c r="C1136" s="113" t="s">
        <v>813</v>
      </c>
      <c r="D1136" s="112" t="s">
        <v>808</v>
      </c>
      <c r="E1136" s="122">
        <v>1.944444444444444</v>
      </c>
      <c r="F1136" s="112" t="s">
        <v>46</v>
      </c>
      <c r="G1136" s="114">
        <v>18</v>
      </c>
      <c r="H1136" s="115" t="s">
        <v>810</v>
      </c>
    </row>
    <row r="1137" spans="1:8" ht="19.899999999999999" customHeight="1">
      <c r="A1137" s="121">
        <v>46044</v>
      </c>
      <c r="B1137" s="112" t="s">
        <v>48</v>
      </c>
      <c r="C1137" s="113" t="s">
        <v>837</v>
      </c>
      <c r="D1137" s="112" t="s">
        <v>808</v>
      </c>
      <c r="E1137" s="122">
        <v>1.6284722222222221</v>
      </c>
      <c r="F1137" s="112" t="s">
        <v>53</v>
      </c>
      <c r="G1137" s="114">
        <v>4</v>
      </c>
      <c r="H1137" s="115" t="s">
        <v>836</v>
      </c>
    </row>
    <row r="1138" spans="1:8" ht="19.899999999999999" customHeight="1">
      <c r="A1138" s="121">
        <v>46044</v>
      </c>
      <c r="B1138" s="112" t="s">
        <v>48</v>
      </c>
      <c r="C1138" s="113" t="s">
        <v>835</v>
      </c>
      <c r="D1138" s="112" t="s">
        <v>808</v>
      </c>
      <c r="E1138" s="122">
        <v>1.8888888888888891</v>
      </c>
      <c r="F1138" s="112" t="s">
        <v>53</v>
      </c>
      <c r="G1138" s="114">
        <v>4</v>
      </c>
      <c r="H1138" s="115" t="s">
        <v>946</v>
      </c>
    </row>
    <row r="1139" spans="1:8" ht="19.899999999999999" customHeight="1">
      <c r="A1139" s="121">
        <v>46044</v>
      </c>
      <c r="B1139" s="112" t="s">
        <v>48</v>
      </c>
      <c r="C1139" s="113" t="s">
        <v>838</v>
      </c>
      <c r="D1139" s="112" t="s">
        <v>808</v>
      </c>
      <c r="E1139" s="122">
        <v>1.944444444444444</v>
      </c>
      <c r="F1139" s="112" t="s">
        <v>53</v>
      </c>
      <c r="G1139" s="114">
        <v>4</v>
      </c>
      <c r="H1139" s="115" t="s">
        <v>933</v>
      </c>
    </row>
    <row r="1140" spans="1:8" ht="19.899999999999999" customHeight="1">
      <c r="A1140" s="121">
        <v>46044</v>
      </c>
      <c r="B1140" s="112" t="s">
        <v>48</v>
      </c>
      <c r="C1140" s="113" t="s">
        <v>833</v>
      </c>
      <c r="D1140" s="112" t="s">
        <v>808</v>
      </c>
      <c r="E1140" s="122">
        <v>1.444444444444444</v>
      </c>
      <c r="F1140" s="112" t="s">
        <v>53</v>
      </c>
      <c r="G1140" s="114">
        <v>9</v>
      </c>
      <c r="H1140" s="115" t="s">
        <v>870</v>
      </c>
    </row>
    <row r="1141" spans="1:8" ht="19.899999999999999" customHeight="1">
      <c r="A1141" s="121">
        <v>46044</v>
      </c>
      <c r="B1141" s="112" t="s">
        <v>48</v>
      </c>
      <c r="C1141" s="113" t="s">
        <v>828</v>
      </c>
      <c r="D1141" s="112" t="s">
        <v>808</v>
      </c>
      <c r="E1141" s="122">
        <v>1.8298611111111109</v>
      </c>
      <c r="F1141" s="112" t="s">
        <v>53</v>
      </c>
      <c r="G1141" s="114">
        <v>9</v>
      </c>
      <c r="H1141" s="115" t="s">
        <v>870</v>
      </c>
    </row>
    <row r="1142" spans="1:8" ht="19.899999999999999" customHeight="1">
      <c r="A1142" s="121">
        <v>46044</v>
      </c>
      <c r="B1142" s="112" t="s">
        <v>48</v>
      </c>
      <c r="C1142" s="113" t="s">
        <v>831</v>
      </c>
      <c r="D1142" s="112" t="s">
        <v>808</v>
      </c>
      <c r="E1142" s="122">
        <v>1.9826388888888891</v>
      </c>
      <c r="F1142" s="112" t="s">
        <v>53</v>
      </c>
      <c r="G1142" s="114">
        <v>9</v>
      </c>
      <c r="H1142" s="115" t="s">
        <v>870</v>
      </c>
    </row>
    <row r="1143" spans="1:8" ht="19.899999999999999" customHeight="1">
      <c r="A1143" s="123">
        <v>46044</v>
      </c>
      <c r="B1143" s="124" t="s">
        <v>48</v>
      </c>
      <c r="C1143" s="125" t="s">
        <v>832</v>
      </c>
      <c r="D1143" s="124" t="s">
        <v>808</v>
      </c>
      <c r="E1143" s="126">
        <v>1.6284722222222221</v>
      </c>
      <c r="F1143" s="124" t="s">
        <v>53</v>
      </c>
      <c r="G1143" s="127">
        <v>9</v>
      </c>
      <c r="H1143" s="128" t="s">
        <v>870</v>
      </c>
    </row>
    <row r="1144" spans="1:8" ht="19.899999999999999" customHeight="1">
      <c r="A1144" s="121">
        <v>46045</v>
      </c>
      <c r="B1144" s="112" t="s">
        <v>26</v>
      </c>
      <c r="C1144" s="113" t="s">
        <v>821</v>
      </c>
      <c r="D1144" s="112" t="s">
        <v>808</v>
      </c>
      <c r="E1144" s="122">
        <v>1.631944444444444</v>
      </c>
      <c r="F1144" s="112" t="s">
        <v>28</v>
      </c>
      <c r="G1144" s="114">
        <v>7</v>
      </c>
      <c r="H1144" s="115" t="s">
        <v>81</v>
      </c>
    </row>
    <row r="1145" spans="1:8" ht="19.899999999999999" customHeight="1">
      <c r="A1145" s="121">
        <v>46045</v>
      </c>
      <c r="B1145" s="112" t="s">
        <v>26</v>
      </c>
      <c r="C1145" s="113" t="s">
        <v>822</v>
      </c>
      <c r="D1145" s="112" t="s">
        <v>808</v>
      </c>
      <c r="E1145" s="122">
        <v>1.5590277777777779</v>
      </c>
      <c r="F1145" s="112" t="s">
        <v>28</v>
      </c>
      <c r="G1145" s="114">
        <v>7</v>
      </c>
      <c r="H1145" s="115" t="s">
        <v>81</v>
      </c>
    </row>
    <row r="1146" spans="1:8" ht="19.899999999999999" customHeight="1">
      <c r="A1146" s="121">
        <v>46045</v>
      </c>
      <c r="B1146" s="112" t="s">
        <v>26</v>
      </c>
      <c r="C1146" s="113" t="s">
        <v>824</v>
      </c>
      <c r="D1146" s="112" t="s">
        <v>808</v>
      </c>
      <c r="E1146" s="122">
        <v>1.506944444444444</v>
      </c>
      <c r="F1146" s="112" t="s">
        <v>28</v>
      </c>
      <c r="G1146" s="114">
        <v>8</v>
      </c>
      <c r="H1146" s="115" t="s">
        <v>81</v>
      </c>
    </row>
    <row r="1147" spans="1:8" ht="19.899999999999999" customHeight="1">
      <c r="A1147" s="121">
        <v>46045</v>
      </c>
      <c r="B1147" s="112" t="s">
        <v>26</v>
      </c>
      <c r="C1147" s="113" t="s">
        <v>825</v>
      </c>
      <c r="D1147" s="112" t="s">
        <v>808</v>
      </c>
      <c r="E1147" s="122">
        <v>1.697916666666667</v>
      </c>
      <c r="F1147" s="112" t="s">
        <v>28</v>
      </c>
      <c r="G1147" s="114">
        <v>7</v>
      </c>
      <c r="H1147" s="115" t="s">
        <v>81</v>
      </c>
    </row>
    <row r="1148" spans="1:8" ht="19.899999999999999" customHeight="1">
      <c r="A1148" s="121">
        <v>46045</v>
      </c>
      <c r="B1148" s="112" t="s">
        <v>38</v>
      </c>
      <c r="C1148" s="113" t="s">
        <v>811</v>
      </c>
      <c r="D1148" s="112" t="s">
        <v>808</v>
      </c>
      <c r="E1148" s="122">
        <v>1.6284722222222221</v>
      </c>
      <c r="F1148" s="112" t="s">
        <v>40</v>
      </c>
      <c r="G1148" s="114">
        <v>5</v>
      </c>
      <c r="H1148" s="115" t="s">
        <v>848</v>
      </c>
    </row>
    <row r="1149" spans="1:8" ht="19.899999999999999" customHeight="1">
      <c r="A1149" s="121">
        <v>46045</v>
      </c>
      <c r="B1149" s="112" t="s">
        <v>359</v>
      </c>
      <c r="C1149" s="113" t="s">
        <v>814</v>
      </c>
      <c r="D1149" s="112" t="s">
        <v>808</v>
      </c>
      <c r="E1149" s="122">
        <v>1.1875</v>
      </c>
      <c r="F1149" s="112" t="s">
        <v>361</v>
      </c>
      <c r="G1149" s="114">
        <v>9</v>
      </c>
      <c r="H1149" s="115" t="s">
        <v>879</v>
      </c>
    </row>
    <row r="1150" spans="1:8" ht="19.899999999999999" customHeight="1">
      <c r="A1150" s="121">
        <v>46045</v>
      </c>
      <c r="B1150" s="112" t="s">
        <v>38</v>
      </c>
      <c r="C1150" s="113" t="s">
        <v>809</v>
      </c>
      <c r="D1150" s="112" t="s">
        <v>808</v>
      </c>
      <c r="E1150" s="122">
        <v>1.5763888888888891</v>
      </c>
      <c r="F1150" s="112" t="s">
        <v>40</v>
      </c>
      <c r="G1150" s="114">
        <v>16</v>
      </c>
      <c r="H1150" s="115" t="s">
        <v>42</v>
      </c>
    </row>
    <row r="1151" spans="1:8" ht="19.899999999999999" customHeight="1">
      <c r="A1151" s="121">
        <v>46045</v>
      </c>
      <c r="B1151" s="112" t="s">
        <v>26</v>
      </c>
      <c r="C1151" s="113" t="s">
        <v>820</v>
      </c>
      <c r="D1151" s="112" t="s">
        <v>808</v>
      </c>
      <c r="E1151" s="122">
        <v>1.4375</v>
      </c>
      <c r="F1151" s="112" t="s">
        <v>28</v>
      </c>
      <c r="G1151" s="114">
        <v>9</v>
      </c>
      <c r="H1151" s="115" t="s">
        <v>827</v>
      </c>
    </row>
    <row r="1152" spans="1:8" ht="19.899999999999999" customHeight="1">
      <c r="A1152" s="121">
        <v>46045</v>
      </c>
      <c r="B1152" s="112" t="s">
        <v>26</v>
      </c>
      <c r="C1152" s="113" t="s">
        <v>826</v>
      </c>
      <c r="D1152" s="112" t="s">
        <v>808</v>
      </c>
      <c r="E1152" s="122">
        <v>1.958333333333333</v>
      </c>
      <c r="F1152" s="112" t="s">
        <v>28</v>
      </c>
      <c r="G1152" s="114">
        <v>9</v>
      </c>
      <c r="H1152" s="115" t="s">
        <v>827</v>
      </c>
    </row>
    <row r="1153" spans="1:8" ht="19.899999999999999" customHeight="1">
      <c r="A1153" s="121">
        <v>46045</v>
      </c>
      <c r="B1153" s="112" t="s">
        <v>26</v>
      </c>
      <c r="C1153" s="113" t="s">
        <v>823</v>
      </c>
      <c r="D1153" s="112" t="s">
        <v>808</v>
      </c>
      <c r="E1153" s="122">
        <v>1.819444444444444</v>
      </c>
      <c r="F1153" s="112" t="s">
        <v>28</v>
      </c>
      <c r="G1153" s="114">
        <v>9</v>
      </c>
      <c r="H1153" s="115" t="s">
        <v>827</v>
      </c>
    </row>
    <row r="1154" spans="1:8" ht="19.899999999999999" customHeight="1">
      <c r="A1154" s="121">
        <v>46045</v>
      </c>
      <c r="B1154" s="112" t="s">
        <v>38</v>
      </c>
      <c r="C1154" s="113" t="s">
        <v>812</v>
      </c>
      <c r="D1154" s="112" t="s">
        <v>808</v>
      </c>
      <c r="E1154" s="122">
        <v>1.8888888888888891</v>
      </c>
      <c r="F1154" s="112" t="s">
        <v>40</v>
      </c>
      <c r="G1154" s="114">
        <v>16</v>
      </c>
      <c r="H1154" s="115" t="s">
        <v>83</v>
      </c>
    </row>
    <row r="1155" spans="1:8" ht="19.899999999999999" customHeight="1">
      <c r="A1155" s="121">
        <v>46045</v>
      </c>
      <c r="B1155" s="112" t="s">
        <v>26</v>
      </c>
      <c r="C1155" s="113" t="s">
        <v>821</v>
      </c>
      <c r="D1155" s="112" t="s">
        <v>808</v>
      </c>
      <c r="E1155" s="122">
        <v>1.631944444444444</v>
      </c>
      <c r="F1155" s="112" t="s">
        <v>31</v>
      </c>
      <c r="G1155" s="114">
        <v>7</v>
      </c>
      <c r="H1155" s="115" t="s">
        <v>83</v>
      </c>
    </row>
    <row r="1156" spans="1:8" ht="19.899999999999999" customHeight="1">
      <c r="A1156" s="121">
        <v>46045</v>
      </c>
      <c r="B1156" s="112" t="s">
        <v>26</v>
      </c>
      <c r="C1156" s="113" t="s">
        <v>822</v>
      </c>
      <c r="D1156" s="112" t="s">
        <v>808</v>
      </c>
      <c r="E1156" s="122">
        <v>1.5590277777777779</v>
      </c>
      <c r="F1156" s="112" t="s">
        <v>31</v>
      </c>
      <c r="G1156" s="114">
        <v>7</v>
      </c>
      <c r="H1156" s="115" t="s">
        <v>83</v>
      </c>
    </row>
    <row r="1157" spans="1:8" ht="19.899999999999999" customHeight="1">
      <c r="A1157" s="121">
        <v>46045</v>
      </c>
      <c r="B1157" s="112" t="s">
        <v>26</v>
      </c>
      <c r="C1157" s="113" t="s">
        <v>824</v>
      </c>
      <c r="D1157" s="112" t="s">
        <v>808</v>
      </c>
      <c r="E1157" s="122">
        <v>1.506944444444444</v>
      </c>
      <c r="F1157" s="112" t="s">
        <v>31</v>
      </c>
      <c r="G1157" s="114">
        <v>8</v>
      </c>
      <c r="H1157" s="115" t="s">
        <v>83</v>
      </c>
    </row>
    <row r="1158" spans="1:8" ht="19.899999999999999" customHeight="1">
      <c r="A1158" s="121">
        <v>46045</v>
      </c>
      <c r="B1158" s="112" t="s">
        <v>26</v>
      </c>
      <c r="C1158" s="113" t="s">
        <v>825</v>
      </c>
      <c r="D1158" s="112" t="s">
        <v>808</v>
      </c>
      <c r="E1158" s="122">
        <v>1.697916666666667</v>
      </c>
      <c r="F1158" s="112" t="s">
        <v>31</v>
      </c>
      <c r="G1158" s="114">
        <v>7</v>
      </c>
      <c r="H1158" s="115" t="s">
        <v>83</v>
      </c>
    </row>
    <row r="1159" spans="1:8" ht="19.899999999999999" customHeight="1">
      <c r="A1159" s="129">
        <v>46045</v>
      </c>
      <c r="B1159" s="117" t="s">
        <v>61</v>
      </c>
      <c r="C1159" s="118" t="s">
        <v>816</v>
      </c>
      <c r="D1159" s="117" t="s">
        <v>808</v>
      </c>
      <c r="E1159" s="130">
        <v>1.40625</v>
      </c>
      <c r="F1159" s="117" t="s">
        <v>63</v>
      </c>
      <c r="G1159" s="119">
        <v>5</v>
      </c>
      <c r="H1159" s="120" t="s">
        <v>33</v>
      </c>
    </row>
    <row r="1160" spans="1:8" ht="19.899999999999999" customHeight="1">
      <c r="A1160" s="129">
        <v>46045</v>
      </c>
      <c r="B1160" s="117" t="s">
        <v>61</v>
      </c>
      <c r="C1160" s="118" t="s">
        <v>852</v>
      </c>
      <c r="D1160" s="117" t="s">
        <v>808</v>
      </c>
      <c r="E1160" s="130">
        <v>1.725694444444444</v>
      </c>
      <c r="F1160" s="117" t="s">
        <v>63</v>
      </c>
      <c r="G1160" s="119">
        <v>4</v>
      </c>
      <c r="H1160" s="120" t="s">
        <v>33</v>
      </c>
    </row>
    <row r="1161" spans="1:8" ht="19.899999999999999" customHeight="1">
      <c r="A1161" s="121">
        <v>46045</v>
      </c>
      <c r="B1161" s="112" t="s">
        <v>38</v>
      </c>
      <c r="C1161" s="113" t="s">
        <v>813</v>
      </c>
      <c r="D1161" s="112" t="s">
        <v>808</v>
      </c>
      <c r="E1161" s="122">
        <v>1.944444444444444</v>
      </c>
      <c r="F1161" s="112" t="s">
        <v>40</v>
      </c>
      <c r="G1161" s="114">
        <v>30</v>
      </c>
      <c r="H1161" s="115" t="s">
        <v>33</v>
      </c>
    </row>
    <row r="1162" spans="1:8" ht="19.899999999999999" customHeight="1">
      <c r="A1162" s="121">
        <v>46045</v>
      </c>
      <c r="B1162" s="112" t="s">
        <v>26</v>
      </c>
      <c r="C1162" s="113" t="s">
        <v>820</v>
      </c>
      <c r="D1162" s="112" t="s">
        <v>808</v>
      </c>
      <c r="E1162" s="122">
        <v>1.4375</v>
      </c>
      <c r="F1162" s="112" t="s">
        <v>31</v>
      </c>
      <c r="G1162" s="114">
        <v>9</v>
      </c>
      <c r="H1162" s="115" t="s">
        <v>161</v>
      </c>
    </row>
    <row r="1163" spans="1:8" ht="19.899999999999999" customHeight="1">
      <c r="A1163" s="121">
        <v>46045</v>
      </c>
      <c r="B1163" s="112" t="s">
        <v>26</v>
      </c>
      <c r="C1163" s="113" t="s">
        <v>826</v>
      </c>
      <c r="D1163" s="112" t="s">
        <v>808</v>
      </c>
      <c r="E1163" s="122">
        <v>1.958333333333333</v>
      </c>
      <c r="F1163" s="112" t="s">
        <v>31</v>
      </c>
      <c r="G1163" s="114">
        <v>9</v>
      </c>
      <c r="H1163" s="115" t="s">
        <v>161</v>
      </c>
    </row>
    <row r="1164" spans="1:8" ht="19.899999999999999" customHeight="1">
      <c r="A1164" s="121">
        <v>46045</v>
      </c>
      <c r="B1164" s="112" t="s">
        <v>26</v>
      </c>
      <c r="C1164" s="113" t="s">
        <v>823</v>
      </c>
      <c r="D1164" s="112" t="s">
        <v>808</v>
      </c>
      <c r="E1164" s="122">
        <v>1.819444444444444</v>
      </c>
      <c r="F1164" s="112" t="s">
        <v>31</v>
      </c>
      <c r="G1164" s="114">
        <v>9</v>
      </c>
      <c r="H1164" s="115" t="s">
        <v>161</v>
      </c>
    </row>
    <row r="1165" spans="1:8" ht="19.899999999999999" customHeight="1">
      <c r="A1165" s="121">
        <v>46045</v>
      </c>
      <c r="B1165" s="112" t="s">
        <v>38</v>
      </c>
      <c r="C1165" s="113" t="s">
        <v>811</v>
      </c>
      <c r="D1165" s="112" t="s">
        <v>808</v>
      </c>
      <c r="E1165" s="122">
        <v>1.6284722222222221</v>
      </c>
      <c r="F1165" s="112" t="s">
        <v>43</v>
      </c>
      <c r="G1165" s="114">
        <v>5</v>
      </c>
      <c r="H1165" s="115" t="s">
        <v>426</v>
      </c>
    </row>
    <row r="1166" spans="1:8" ht="19.899999999999999" customHeight="1">
      <c r="A1166" s="121">
        <v>46045</v>
      </c>
      <c r="B1166" s="112" t="s">
        <v>68</v>
      </c>
      <c r="C1166" s="113" t="s">
        <v>842</v>
      </c>
      <c r="D1166" s="112" t="s">
        <v>808</v>
      </c>
      <c r="E1166" s="122">
        <v>1.9826388888888891</v>
      </c>
      <c r="F1166" s="112" t="s">
        <v>70</v>
      </c>
      <c r="G1166" s="114">
        <v>9</v>
      </c>
      <c r="H1166" s="115" t="s">
        <v>45</v>
      </c>
    </row>
    <row r="1167" spans="1:8" ht="19.899999999999999" customHeight="1">
      <c r="A1167" s="121">
        <v>46045</v>
      </c>
      <c r="B1167" s="112" t="s">
        <v>68</v>
      </c>
      <c r="C1167" s="113" t="s">
        <v>843</v>
      </c>
      <c r="D1167" s="112" t="s">
        <v>808</v>
      </c>
      <c r="E1167" s="122">
        <v>1.354166666666667</v>
      </c>
      <c r="F1167" s="112" t="s">
        <v>70</v>
      </c>
      <c r="G1167" s="114">
        <v>9</v>
      </c>
      <c r="H1167" s="115" t="s">
        <v>45</v>
      </c>
    </row>
    <row r="1168" spans="1:8" ht="19.899999999999999" customHeight="1">
      <c r="A1168" s="121">
        <v>46045</v>
      </c>
      <c r="B1168" s="112" t="s">
        <v>38</v>
      </c>
      <c r="C1168" s="113" t="s">
        <v>809</v>
      </c>
      <c r="D1168" s="112" t="s">
        <v>808</v>
      </c>
      <c r="E1168" s="122">
        <v>1.5763888888888891</v>
      </c>
      <c r="F1168" s="112" t="s">
        <v>43</v>
      </c>
      <c r="G1168" s="114">
        <v>16</v>
      </c>
      <c r="H1168" s="115" t="s">
        <v>45</v>
      </c>
    </row>
    <row r="1169" spans="1:8" ht="19.899999999999999" customHeight="1">
      <c r="A1169" s="121">
        <v>46045</v>
      </c>
      <c r="B1169" s="112" t="s">
        <v>26</v>
      </c>
      <c r="C1169" s="113" t="s">
        <v>821</v>
      </c>
      <c r="D1169" s="112" t="s">
        <v>808</v>
      </c>
      <c r="E1169" s="122">
        <v>1.631944444444444</v>
      </c>
      <c r="F1169" s="112" t="s">
        <v>34</v>
      </c>
      <c r="G1169" s="114">
        <v>7</v>
      </c>
      <c r="H1169" s="115" t="s">
        <v>45</v>
      </c>
    </row>
    <row r="1170" spans="1:8" ht="19.899999999999999" customHeight="1">
      <c r="A1170" s="121">
        <v>46045</v>
      </c>
      <c r="B1170" s="112" t="s">
        <v>26</v>
      </c>
      <c r="C1170" s="113" t="s">
        <v>822</v>
      </c>
      <c r="D1170" s="112" t="s">
        <v>808</v>
      </c>
      <c r="E1170" s="122">
        <v>1.5590277777777779</v>
      </c>
      <c r="F1170" s="112" t="s">
        <v>34</v>
      </c>
      <c r="G1170" s="114">
        <v>7</v>
      </c>
      <c r="H1170" s="115" t="s">
        <v>45</v>
      </c>
    </row>
    <row r="1171" spans="1:8" ht="19.899999999999999" customHeight="1">
      <c r="A1171" s="121">
        <v>46045</v>
      </c>
      <c r="B1171" s="112" t="s">
        <v>26</v>
      </c>
      <c r="C1171" s="113" t="s">
        <v>824</v>
      </c>
      <c r="D1171" s="112" t="s">
        <v>808</v>
      </c>
      <c r="E1171" s="122">
        <v>1.506944444444444</v>
      </c>
      <c r="F1171" s="112" t="s">
        <v>34</v>
      </c>
      <c r="G1171" s="114">
        <v>8</v>
      </c>
      <c r="H1171" s="115" t="s">
        <v>45</v>
      </c>
    </row>
    <row r="1172" spans="1:8" ht="19.899999999999999" customHeight="1">
      <c r="A1172" s="121">
        <v>46045</v>
      </c>
      <c r="B1172" s="112" t="s">
        <v>26</v>
      </c>
      <c r="C1172" s="113" t="s">
        <v>825</v>
      </c>
      <c r="D1172" s="112" t="s">
        <v>808</v>
      </c>
      <c r="E1172" s="122">
        <v>1.697916666666667</v>
      </c>
      <c r="F1172" s="112" t="s">
        <v>34</v>
      </c>
      <c r="G1172" s="114">
        <v>7</v>
      </c>
      <c r="H1172" s="115" t="s">
        <v>45</v>
      </c>
    </row>
    <row r="1173" spans="1:8" ht="19.899999999999999" customHeight="1">
      <c r="A1173" s="121">
        <v>46045</v>
      </c>
      <c r="B1173" s="112" t="s">
        <v>402</v>
      </c>
      <c r="C1173" s="113" t="s">
        <v>839</v>
      </c>
      <c r="D1173" s="112" t="s">
        <v>808</v>
      </c>
      <c r="E1173" s="122">
        <v>1.211805555555556</v>
      </c>
      <c r="F1173" s="112" t="s">
        <v>63</v>
      </c>
      <c r="G1173" s="114">
        <v>7</v>
      </c>
      <c r="H1173" s="115" t="s">
        <v>881</v>
      </c>
    </row>
    <row r="1174" spans="1:8" ht="19.899999999999999" customHeight="1">
      <c r="A1174" s="121">
        <v>46045</v>
      </c>
      <c r="B1174" s="112" t="s">
        <v>26</v>
      </c>
      <c r="C1174" s="113" t="s">
        <v>820</v>
      </c>
      <c r="D1174" s="112" t="s">
        <v>808</v>
      </c>
      <c r="E1174" s="122">
        <v>1.4375</v>
      </c>
      <c r="F1174" s="112" t="s">
        <v>34</v>
      </c>
      <c r="G1174" s="114">
        <v>9</v>
      </c>
      <c r="H1174" s="115" t="s">
        <v>123</v>
      </c>
    </row>
    <row r="1175" spans="1:8" ht="19.899999999999999" customHeight="1">
      <c r="A1175" s="121">
        <v>46045</v>
      </c>
      <c r="B1175" s="112" t="s">
        <v>26</v>
      </c>
      <c r="C1175" s="113" t="s">
        <v>826</v>
      </c>
      <c r="D1175" s="112" t="s">
        <v>808</v>
      </c>
      <c r="E1175" s="122">
        <v>1.958333333333333</v>
      </c>
      <c r="F1175" s="112" t="s">
        <v>34</v>
      </c>
      <c r="G1175" s="114">
        <v>9</v>
      </c>
      <c r="H1175" s="115" t="s">
        <v>123</v>
      </c>
    </row>
    <row r="1176" spans="1:8" ht="19.899999999999999" customHeight="1">
      <c r="A1176" s="121">
        <v>46045</v>
      </c>
      <c r="B1176" s="112" t="s">
        <v>26</v>
      </c>
      <c r="C1176" s="113" t="s">
        <v>823</v>
      </c>
      <c r="D1176" s="112" t="s">
        <v>808</v>
      </c>
      <c r="E1176" s="122">
        <v>1.819444444444444</v>
      </c>
      <c r="F1176" s="112" t="s">
        <v>34</v>
      </c>
      <c r="G1176" s="114">
        <v>9</v>
      </c>
      <c r="H1176" s="115" t="s">
        <v>123</v>
      </c>
    </row>
    <row r="1177" spans="1:8" ht="19.899999999999999" customHeight="1">
      <c r="A1177" s="121">
        <v>46045</v>
      </c>
      <c r="B1177" s="112" t="s">
        <v>68</v>
      </c>
      <c r="C1177" s="113" t="s">
        <v>844</v>
      </c>
      <c r="D1177" s="112" t="s">
        <v>808</v>
      </c>
      <c r="E1177" s="122">
        <v>1.729166666666667</v>
      </c>
      <c r="F1177" s="112" t="s">
        <v>70</v>
      </c>
      <c r="G1177" s="114">
        <v>9</v>
      </c>
      <c r="H1177" s="115" t="s">
        <v>162</v>
      </c>
    </row>
    <row r="1178" spans="1:8" ht="19.899999999999999" customHeight="1">
      <c r="A1178" s="121">
        <v>46045</v>
      </c>
      <c r="B1178" s="112" t="s">
        <v>38</v>
      </c>
      <c r="C1178" s="113" t="s">
        <v>812</v>
      </c>
      <c r="D1178" s="112" t="s">
        <v>808</v>
      </c>
      <c r="E1178" s="122">
        <v>1.8888888888888891</v>
      </c>
      <c r="F1178" s="112" t="s">
        <v>43</v>
      </c>
      <c r="G1178" s="114">
        <v>16</v>
      </c>
      <c r="H1178" s="115" t="s">
        <v>162</v>
      </c>
    </row>
    <row r="1179" spans="1:8" ht="19.899999999999999" customHeight="1">
      <c r="A1179" s="121">
        <v>46045</v>
      </c>
      <c r="B1179" s="112" t="s">
        <v>359</v>
      </c>
      <c r="C1179" s="113" t="s">
        <v>814</v>
      </c>
      <c r="D1179" s="112" t="s">
        <v>808</v>
      </c>
      <c r="E1179" s="122">
        <v>1.1875</v>
      </c>
      <c r="F1179" s="112" t="s">
        <v>46</v>
      </c>
      <c r="G1179" s="114">
        <v>9</v>
      </c>
      <c r="H1179" s="115" t="s">
        <v>880</v>
      </c>
    </row>
    <row r="1180" spans="1:8" ht="19.899999999999999" customHeight="1">
      <c r="A1180" s="121">
        <v>46045</v>
      </c>
      <c r="B1180" s="112" t="s">
        <v>38</v>
      </c>
      <c r="C1180" s="113" t="s">
        <v>813</v>
      </c>
      <c r="D1180" s="112" t="s">
        <v>808</v>
      </c>
      <c r="E1180" s="122">
        <v>1.944444444444444</v>
      </c>
      <c r="F1180" s="112" t="s">
        <v>43</v>
      </c>
      <c r="G1180" s="114">
        <v>30</v>
      </c>
      <c r="H1180" s="115" t="s">
        <v>926</v>
      </c>
    </row>
    <row r="1181" spans="1:8" ht="19.899999999999999" customHeight="1">
      <c r="A1181" s="121">
        <v>46045</v>
      </c>
      <c r="B1181" s="112" t="s">
        <v>38</v>
      </c>
      <c r="C1181" s="113" t="s">
        <v>809</v>
      </c>
      <c r="D1181" s="112" t="s">
        <v>808</v>
      </c>
      <c r="E1181" s="122">
        <v>1.5763888888888891</v>
      </c>
      <c r="F1181" s="112" t="s">
        <v>46</v>
      </c>
      <c r="G1181" s="114">
        <v>16</v>
      </c>
      <c r="H1181" s="115" t="s">
        <v>810</v>
      </c>
    </row>
    <row r="1182" spans="1:8" ht="19.899999999999999" customHeight="1">
      <c r="A1182" s="121">
        <v>46045</v>
      </c>
      <c r="B1182" s="112" t="s">
        <v>38</v>
      </c>
      <c r="C1182" s="113" t="s">
        <v>811</v>
      </c>
      <c r="D1182" s="112" t="s">
        <v>808</v>
      </c>
      <c r="E1182" s="122">
        <v>1.6284722222222221</v>
      </c>
      <c r="F1182" s="112" t="s">
        <v>46</v>
      </c>
      <c r="G1182" s="114">
        <v>5</v>
      </c>
      <c r="H1182" s="115" t="s">
        <v>810</v>
      </c>
    </row>
    <row r="1183" spans="1:8" ht="19.899999999999999" customHeight="1">
      <c r="A1183" s="121">
        <v>46045</v>
      </c>
      <c r="B1183" s="112" t="s">
        <v>38</v>
      </c>
      <c r="C1183" s="113" t="s">
        <v>812</v>
      </c>
      <c r="D1183" s="112" t="s">
        <v>808</v>
      </c>
      <c r="E1183" s="122">
        <v>1.8888888888888891</v>
      </c>
      <c r="F1183" s="112" t="s">
        <v>46</v>
      </c>
      <c r="G1183" s="114">
        <v>16</v>
      </c>
      <c r="H1183" s="115" t="s">
        <v>810</v>
      </c>
    </row>
    <row r="1184" spans="1:8" ht="19.899999999999999" customHeight="1">
      <c r="A1184" s="121">
        <v>46045</v>
      </c>
      <c r="B1184" s="112" t="s">
        <v>38</v>
      </c>
      <c r="C1184" s="113" t="s">
        <v>813</v>
      </c>
      <c r="D1184" s="112" t="s">
        <v>808</v>
      </c>
      <c r="E1184" s="122">
        <v>1.944444444444444</v>
      </c>
      <c r="F1184" s="112" t="s">
        <v>46</v>
      </c>
      <c r="G1184" s="114">
        <v>30</v>
      </c>
      <c r="H1184" s="115" t="s">
        <v>810</v>
      </c>
    </row>
    <row r="1185" spans="1:8" ht="19.899999999999999" customHeight="1">
      <c r="A1185" s="121">
        <v>46045</v>
      </c>
      <c r="B1185" s="112" t="s">
        <v>48</v>
      </c>
      <c r="C1185" s="113" t="s">
        <v>837</v>
      </c>
      <c r="D1185" s="112" t="s">
        <v>808</v>
      </c>
      <c r="E1185" s="122">
        <v>1.6284722222222221</v>
      </c>
      <c r="F1185" s="112" t="s">
        <v>53</v>
      </c>
      <c r="G1185" s="114">
        <v>4</v>
      </c>
      <c r="H1185" s="115" t="s">
        <v>859</v>
      </c>
    </row>
    <row r="1186" spans="1:8" ht="19.899999999999999" customHeight="1">
      <c r="A1186" s="121">
        <v>46045</v>
      </c>
      <c r="B1186" s="112" t="s">
        <v>48</v>
      </c>
      <c r="C1186" s="113" t="s">
        <v>835</v>
      </c>
      <c r="D1186" s="112" t="s">
        <v>808</v>
      </c>
      <c r="E1186" s="122">
        <v>1.8888888888888891</v>
      </c>
      <c r="F1186" s="112" t="s">
        <v>53</v>
      </c>
      <c r="G1186" s="114">
        <v>4</v>
      </c>
      <c r="H1186" s="115" t="s">
        <v>946</v>
      </c>
    </row>
    <row r="1187" spans="1:8" ht="19.899999999999999" customHeight="1">
      <c r="A1187" s="121">
        <v>46045</v>
      </c>
      <c r="B1187" s="112" t="s">
        <v>48</v>
      </c>
      <c r="C1187" s="113" t="s">
        <v>838</v>
      </c>
      <c r="D1187" s="112" t="s">
        <v>808</v>
      </c>
      <c r="E1187" s="122">
        <v>1.944444444444444</v>
      </c>
      <c r="F1187" s="112" t="s">
        <v>53</v>
      </c>
      <c r="G1187" s="114">
        <v>4</v>
      </c>
      <c r="H1187" s="115" t="s">
        <v>933</v>
      </c>
    </row>
    <row r="1188" spans="1:8" ht="19.899999999999999" customHeight="1">
      <c r="A1188" s="121">
        <v>46045</v>
      </c>
      <c r="B1188" s="112" t="s">
        <v>48</v>
      </c>
      <c r="C1188" s="113" t="s">
        <v>833</v>
      </c>
      <c r="D1188" s="112" t="s">
        <v>808</v>
      </c>
      <c r="E1188" s="122">
        <v>1.444444444444444</v>
      </c>
      <c r="F1188" s="112" t="s">
        <v>53</v>
      </c>
      <c r="G1188" s="114">
        <v>9</v>
      </c>
      <c r="H1188" s="115" t="s">
        <v>870</v>
      </c>
    </row>
    <row r="1189" spans="1:8" ht="19.899999999999999" customHeight="1">
      <c r="A1189" s="121">
        <v>46045</v>
      </c>
      <c r="B1189" s="112" t="s">
        <v>48</v>
      </c>
      <c r="C1189" s="113" t="s">
        <v>828</v>
      </c>
      <c r="D1189" s="112" t="s">
        <v>808</v>
      </c>
      <c r="E1189" s="122">
        <v>1.8298611111111109</v>
      </c>
      <c r="F1189" s="112" t="s">
        <v>53</v>
      </c>
      <c r="G1189" s="114">
        <v>9</v>
      </c>
      <c r="H1189" s="115" t="s">
        <v>870</v>
      </c>
    </row>
    <row r="1190" spans="1:8" ht="19.899999999999999" customHeight="1">
      <c r="A1190" s="121">
        <v>46045</v>
      </c>
      <c r="B1190" s="112" t="s">
        <v>48</v>
      </c>
      <c r="C1190" s="113" t="s">
        <v>831</v>
      </c>
      <c r="D1190" s="112" t="s">
        <v>808</v>
      </c>
      <c r="E1190" s="122">
        <v>1.9826388888888891</v>
      </c>
      <c r="F1190" s="112" t="s">
        <v>53</v>
      </c>
      <c r="G1190" s="114">
        <v>9</v>
      </c>
      <c r="H1190" s="115" t="s">
        <v>870</v>
      </c>
    </row>
    <row r="1191" spans="1:8" ht="19.899999999999999" customHeight="1">
      <c r="A1191" s="123">
        <v>46045</v>
      </c>
      <c r="B1191" s="124" t="s">
        <v>48</v>
      </c>
      <c r="C1191" s="125" t="s">
        <v>832</v>
      </c>
      <c r="D1191" s="124" t="s">
        <v>808</v>
      </c>
      <c r="E1191" s="126">
        <v>1.6284722222222221</v>
      </c>
      <c r="F1191" s="124" t="s">
        <v>53</v>
      </c>
      <c r="G1191" s="127">
        <v>9</v>
      </c>
      <c r="H1191" s="128" t="s">
        <v>870</v>
      </c>
    </row>
    <row r="1192" spans="1:8" ht="19.899999999999999" customHeight="1">
      <c r="A1192" s="121">
        <v>46046</v>
      </c>
      <c r="B1192" s="112" t="s">
        <v>26</v>
      </c>
      <c r="C1192" s="113" t="s">
        <v>820</v>
      </c>
      <c r="D1192" s="112" t="s">
        <v>808</v>
      </c>
      <c r="E1192" s="122">
        <v>1.4375</v>
      </c>
      <c r="F1192" s="112" t="s">
        <v>28</v>
      </c>
      <c r="G1192" s="114">
        <v>9</v>
      </c>
      <c r="H1192" s="115" t="s">
        <v>81</v>
      </c>
    </row>
    <row r="1193" spans="1:8" ht="19.899999999999999" customHeight="1">
      <c r="A1193" s="121">
        <v>46046</v>
      </c>
      <c r="B1193" s="112" t="s">
        <v>26</v>
      </c>
      <c r="C1193" s="113" t="s">
        <v>821</v>
      </c>
      <c r="D1193" s="112" t="s">
        <v>808</v>
      </c>
      <c r="E1193" s="122">
        <v>1.631944444444444</v>
      </c>
      <c r="F1193" s="112" t="s">
        <v>28</v>
      </c>
      <c r="G1193" s="114">
        <v>9</v>
      </c>
      <c r="H1193" s="115" t="s">
        <v>81</v>
      </c>
    </row>
    <row r="1194" spans="1:8" ht="19.899999999999999" customHeight="1">
      <c r="A1194" s="121">
        <v>46046</v>
      </c>
      <c r="B1194" s="112" t="s">
        <v>26</v>
      </c>
      <c r="C1194" s="113" t="s">
        <v>824</v>
      </c>
      <c r="D1194" s="112" t="s">
        <v>808</v>
      </c>
      <c r="E1194" s="122">
        <v>1.506944444444444</v>
      </c>
      <c r="F1194" s="112" t="s">
        <v>28</v>
      </c>
      <c r="G1194" s="114">
        <v>9</v>
      </c>
      <c r="H1194" s="115" t="s">
        <v>81</v>
      </c>
    </row>
    <row r="1195" spans="1:8" ht="19.899999999999999" customHeight="1">
      <c r="A1195" s="121">
        <v>46046</v>
      </c>
      <c r="B1195" s="112" t="s">
        <v>26</v>
      </c>
      <c r="C1195" s="113" t="s">
        <v>825</v>
      </c>
      <c r="D1195" s="112" t="s">
        <v>808</v>
      </c>
      <c r="E1195" s="122">
        <v>1.697916666666667</v>
      </c>
      <c r="F1195" s="112" t="s">
        <v>28</v>
      </c>
      <c r="G1195" s="114">
        <v>8</v>
      </c>
      <c r="H1195" s="115" t="s">
        <v>81</v>
      </c>
    </row>
    <row r="1196" spans="1:8" ht="19.899999999999999" customHeight="1">
      <c r="A1196" s="121">
        <v>46046</v>
      </c>
      <c r="B1196" s="112" t="s">
        <v>359</v>
      </c>
      <c r="C1196" s="113" t="s">
        <v>814</v>
      </c>
      <c r="D1196" s="112" t="s">
        <v>808</v>
      </c>
      <c r="E1196" s="122">
        <v>1.4375</v>
      </c>
      <c r="F1196" s="112" t="s">
        <v>361</v>
      </c>
      <c r="G1196" s="114">
        <v>9</v>
      </c>
      <c r="H1196" s="115" t="s">
        <v>879</v>
      </c>
    </row>
    <row r="1197" spans="1:8" ht="19.899999999999999" customHeight="1">
      <c r="A1197" s="121">
        <v>46046</v>
      </c>
      <c r="B1197" s="112" t="s">
        <v>38</v>
      </c>
      <c r="C1197" s="113" t="s">
        <v>809</v>
      </c>
      <c r="D1197" s="112" t="s">
        <v>808</v>
      </c>
      <c r="E1197" s="122">
        <v>1.5763888888888891</v>
      </c>
      <c r="F1197" s="112" t="s">
        <v>40</v>
      </c>
      <c r="G1197" s="114">
        <v>14</v>
      </c>
      <c r="H1197" s="115" t="s">
        <v>42</v>
      </c>
    </row>
    <row r="1198" spans="1:8" ht="19.899999999999999" customHeight="1">
      <c r="A1198" s="121">
        <v>46046</v>
      </c>
      <c r="B1198" s="112" t="s">
        <v>38</v>
      </c>
      <c r="C1198" s="113" t="s">
        <v>811</v>
      </c>
      <c r="D1198" s="112" t="s">
        <v>808</v>
      </c>
      <c r="E1198" s="122">
        <v>1.6284722222222221</v>
      </c>
      <c r="F1198" s="112" t="s">
        <v>40</v>
      </c>
      <c r="G1198" s="114">
        <v>16</v>
      </c>
      <c r="H1198" s="115" t="s">
        <v>42</v>
      </c>
    </row>
    <row r="1199" spans="1:8" ht="19.899999999999999" customHeight="1">
      <c r="A1199" s="121">
        <v>46046</v>
      </c>
      <c r="B1199" s="112" t="s">
        <v>26</v>
      </c>
      <c r="C1199" s="113" t="s">
        <v>826</v>
      </c>
      <c r="D1199" s="112" t="s">
        <v>808</v>
      </c>
      <c r="E1199" s="122">
        <v>1.958333333333333</v>
      </c>
      <c r="F1199" s="112" t="s">
        <v>28</v>
      </c>
      <c r="G1199" s="114">
        <v>9</v>
      </c>
      <c r="H1199" s="115" t="s">
        <v>827</v>
      </c>
    </row>
    <row r="1200" spans="1:8" ht="19.899999999999999" customHeight="1">
      <c r="A1200" s="121">
        <v>46046</v>
      </c>
      <c r="B1200" s="112" t="s">
        <v>26</v>
      </c>
      <c r="C1200" s="113" t="s">
        <v>822</v>
      </c>
      <c r="D1200" s="112" t="s">
        <v>808</v>
      </c>
      <c r="E1200" s="122">
        <v>1.5590277777777779</v>
      </c>
      <c r="F1200" s="112" t="s">
        <v>28</v>
      </c>
      <c r="G1200" s="114">
        <v>9</v>
      </c>
      <c r="H1200" s="115" t="s">
        <v>827</v>
      </c>
    </row>
    <row r="1201" spans="1:8" ht="19.899999999999999" customHeight="1">
      <c r="A1201" s="121">
        <v>46046</v>
      </c>
      <c r="B1201" s="112" t="s">
        <v>26</v>
      </c>
      <c r="C1201" s="113" t="s">
        <v>823</v>
      </c>
      <c r="D1201" s="112" t="s">
        <v>808</v>
      </c>
      <c r="E1201" s="122">
        <v>1.819444444444444</v>
      </c>
      <c r="F1201" s="112" t="s">
        <v>28</v>
      </c>
      <c r="G1201" s="114">
        <v>9</v>
      </c>
      <c r="H1201" s="115" t="s">
        <v>827</v>
      </c>
    </row>
    <row r="1202" spans="1:8" ht="19.899999999999999" customHeight="1">
      <c r="A1202" s="121">
        <v>46046</v>
      </c>
      <c r="B1202" s="112" t="s">
        <v>38</v>
      </c>
      <c r="C1202" s="113" t="s">
        <v>812</v>
      </c>
      <c r="D1202" s="112" t="s">
        <v>808</v>
      </c>
      <c r="E1202" s="122">
        <v>1.8888888888888891</v>
      </c>
      <c r="F1202" s="112" t="s">
        <v>40</v>
      </c>
      <c r="G1202" s="114">
        <v>45</v>
      </c>
      <c r="H1202" s="115" t="s">
        <v>83</v>
      </c>
    </row>
    <row r="1203" spans="1:8" ht="19.899999999999999" customHeight="1">
      <c r="A1203" s="121">
        <v>46046</v>
      </c>
      <c r="B1203" s="112" t="s">
        <v>38</v>
      </c>
      <c r="C1203" s="113" t="s">
        <v>813</v>
      </c>
      <c r="D1203" s="112" t="s">
        <v>808</v>
      </c>
      <c r="E1203" s="122">
        <v>1.944444444444444</v>
      </c>
      <c r="F1203" s="112" t="s">
        <v>40</v>
      </c>
      <c r="G1203" s="114">
        <v>49</v>
      </c>
      <c r="H1203" s="115" t="s">
        <v>83</v>
      </c>
    </row>
    <row r="1204" spans="1:8" ht="19.899999999999999" customHeight="1">
      <c r="A1204" s="121">
        <v>46046</v>
      </c>
      <c r="B1204" s="112" t="s">
        <v>26</v>
      </c>
      <c r="C1204" s="113" t="s">
        <v>820</v>
      </c>
      <c r="D1204" s="112" t="s">
        <v>808</v>
      </c>
      <c r="E1204" s="122">
        <v>1.4375</v>
      </c>
      <c r="F1204" s="112" t="s">
        <v>31</v>
      </c>
      <c r="G1204" s="114">
        <v>9</v>
      </c>
      <c r="H1204" s="115" t="s">
        <v>83</v>
      </c>
    </row>
    <row r="1205" spans="1:8" ht="19.899999999999999" customHeight="1">
      <c r="A1205" s="121">
        <v>46046</v>
      </c>
      <c r="B1205" s="112" t="s">
        <v>26</v>
      </c>
      <c r="C1205" s="113" t="s">
        <v>821</v>
      </c>
      <c r="D1205" s="112" t="s">
        <v>808</v>
      </c>
      <c r="E1205" s="122">
        <v>1.631944444444444</v>
      </c>
      <c r="F1205" s="112" t="s">
        <v>31</v>
      </c>
      <c r="G1205" s="114">
        <v>9</v>
      </c>
      <c r="H1205" s="115" t="s">
        <v>83</v>
      </c>
    </row>
    <row r="1206" spans="1:8" ht="19.899999999999999" customHeight="1">
      <c r="A1206" s="121">
        <v>46046</v>
      </c>
      <c r="B1206" s="112" t="s">
        <v>26</v>
      </c>
      <c r="C1206" s="113" t="s">
        <v>824</v>
      </c>
      <c r="D1206" s="112" t="s">
        <v>808</v>
      </c>
      <c r="E1206" s="122">
        <v>1.506944444444444</v>
      </c>
      <c r="F1206" s="112" t="s">
        <v>31</v>
      </c>
      <c r="G1206" s="114">
        <v>9</v>
      </c>
      <c r="H1206" s="115" t="s">
        <v>83</v>
      </c>
    </row>
    <row r="1207" spans="1:8" ht="19.899999999999999" customHeight="1">
      <c r="A1207" s="121">
        <v>46046</v>
      </c>
      <c r="B1207" s="112" t="s">
        <v>26</v>
      </c>
      <c r="C1207" s="113" t="s">
        <v>825</v>
      </c>
      <c r="D1207" s="112" t="s">
        <v>808</v>
      </c>
      <c r="E1207" s="122">
        <v>1.697916666666667</v>
      </c>
      <c r="F1207" s="112" t="s">
        <v>31</v>
      </c>
      <c r="G1207" s="114">
        <v>8</v>
      </c>
      <c r="H1207" s="115" t="s">
        <v>83</v>
      </c>
    </row>
    <row r="1208" spans="1:8" ht="19.899999999999999" customHeight="1">
      <c r="A1208" s="121">
        <v>46046</v>
      </c>
      <c r="B1208" s="112" t="s">
        <v>26</v>
      </c>
      <c r="C1208" s="113" t="s">
        <v>826</v>
      </c>
      <c r="D1208" s="112" t="s">
        <v>808</v>
      </c>
      <c r="E1208" s="122">
        <v>1.958333333333333</v>
      </c>
      <c r="F1208" s="112" t="s">
        <v>31</v>
      </c>
      <c r="G1208" s="114">
        <v>9</v>
      </c>
      <c r="H1208" s="115" t="s">
        <v>161</v>
      </c>
    </row>
    <row r="1209" spans="1:8" ht="19.899999999999999" customHeight="1">
      <c r="A1209" s="121">
        <v>46046</v>
      </c>
      <c r="B1209" s="112" t="s">
        <v>26</v>
      </c>
      <c r="C1209" s="113" t="s">
        <v>822</v>
      </c>
      <c r="D1209" s="112" t="s">
        <v>808</v>
      </c>
      <c r="E1209" s="122">
        <v>1.5590277777777779</v>
      </c>
      <c r="F1209" s="112" t="s">
        <v>31</v>
      </c>
      <c r="G1209" s="114">
        <v>9</v>
      </c>
      <c r="H1209" s="115" t="s">
        <v>161</v>
      </c>
    </row>
    <row r="1210" spans="1:8" ht="19.899999999999999" customHeight="1">
      <c r="A1210" s="121">
        <v>46046</v>
      </c>
      <c r="B1210" s="112" t="s">
        <v>26</v>
      </c>
      <c r="C1210" s="113" t="s">
        <v>823</v>
      </c>
      <c r="D1210" s="112" t="s">
        <v>808</v>
      </c>
      <c r="E1210" s="122">
        <v>1.819444444444444</v>
      </c>
      <c r="F1210" s="112" t="s">
        <v>31</v>
      </c>
      <c r="G1210" s="114">
        <v>9</v>
      </c>
      <c r="H1210" s="115" t="s">
        <v>161</v>
      </c>
    </row>
    <row r="1211" spans="1:8" ht="19.899999999999999" customHeight="1">
      <c r="A1211" s="129">
        <v>46046</v>
      </c>
      <c r="B1211" s="117" t="s">
        <v>61</v>
      </c>
      <c r="C1211" s="118" t="s">
        <v>816</v>
      </c>
      <c r="D1211" s="117" t="s">
        <v>808</v>
      </c>
      <c r="E1211" s="130">
        <v>1.413194444444444</v>
      </c>
      <c r="F1211" s="117" t="s">
        <v>63</v>
      </c>
      <c r="G1211" s="119">
        <v>8</v>
      </c>
      <c r="H1211" s="120" t="s">
        <v>961</v>
      </c>
    </row>
    <row r="1212" spans="1:8" ht="19.899999999999999" customHeight="1">
      <c r="A1212" s="121">
        <v>46046</v>
      </c>
      <c r="B1212" s="112" t="s">
        <v>68</v>
      </c>
      <c r="C1212" s="113" t="s">
        <v>842</v>
      </c>
      <c r="D1212" s="112" t="s">
        <v>808</v>
      </c>
      <c r="E1212" s="122">
        <v>1.9826388888888891</v>
      </c>
      <c r="F1212" s="112" t="s">
        <v>70</v>
      </c>
      <c r="G1212" s="114">
        <v>9</v>
      </c>
      <c r="H1212" s="115" t="s">
        <v>45</v>
      </c>
    </row>
    <row r="1213" spans="1:8" ht="19.899999999999999" customHeight="1">
      <c r="A1213" s="121">
        <v>46046</v>
      </c>
      <c r="B1213" s="112" t="s">
        <v>38</v>
      </c>
      <c r="C1213" s="113" t="s">
        <v>809</v>
      </c>
      <c r="D1213" s="112" t="s">
        <v>808</v>
      </c>
      <c r="E1213" s="122">
        <v>1.5763888888888891</v>
      </c>
      <c r="F1213" s="112" t="s">
        <v>43</v>
      </c>
      <c r="G1213" s="114">
        <v>14</v>
      </c>
      <c r="H1213" s="115" t="s">
        <v>45</v>
      </c>
    </row>
    <row r="1214" spans="1:8" ht="19.899999999999999" customHeight="1">
      <c r="A1214" s="121">
        <v>46046</v>
      </c>
      <c r="B1214" s="112" t="s">
        <v>38</v>
      </c>
      <c r="C1214" s="113" t="s">
        <v>811</v>
      </c>
      <c r="D1214" s="112" t="s">
        <v>808</v>
      </c>
      <c r="E1214" s="122">
        <v>1.6284722222222221</v>
      </c>
      <c r="F1214" s="112" t="s">
        <v>43</v>
      </c>
      <c r="G1214" s="114">
        <v>16</v>
      </c>
      <c r="H1214" s="115" t="s">
        <v>45</v>
      </c>
    </row>
    <row r="1215" spans="1:8" ht="19.899999999999999" customHeight="1">
      <c r="A1215" s="121">
        <v>46046</v>
      </c>
      <c r="B1215" s="112" t="s">
        <v>26</v>
      </c>
      <c r="C1215" s="113" t="s">
        <v>820</v>
      </c>
      <c r="D1215" s="112" t="s">
        <v>808</v>
      </c>
      <c r="E1215" s="122">
        <v>1.4375</v>
      </c>
      <c r="F1215" s="112" t="s">
        <v>34</v>
      </c>
      <c r="G1215" s="114">
        <v>9</v>
      </c>
      <c r="H1215" s="115" t="s">
        <v>45</v>
      </c>
    </row>
    <row r="1216" spans="1:8" ht="19.899999999999999" customHeight="1">
      <c r="A1216" s="121">
        <v>46046</v>
      </c>
      <c r="B1216" s="112" t="s">
        <v>26</v>
      </c>
      <c r="C1216" s="113" t="s">
        <v>821</v>
      </c>
      <c r="D1216" s="112" t="s">
        <v>808</v>
      </c>
      <c r="E1216" s="122">
        <v>1.631944444444444</v>
      </c>
      <c r="F1216" s="112" t="s">
        <v>34</v>
      </c>
      <c r="G1216" s="114">
        <v>9</v>
      </c>
      <c r="H1216" s="115" t="s">
        <v>45</v>
      </c>
    </row>
    <row r="1217" spans="1:8" ht="19.899999999999999" customHeight="1">
      <c r="A1217" s="121">
        <v>46046</v>
      </c>
      <c r="B1217" s="112" t="s">
        <v>26</v>
      </c>
      <c r="C1217" s="113" t="s">
        <v>824</v>
      </c>
      <c r="D1217" s="112" t="s">
        <v>808</v>
      </c>
      <c r="E1217" s="122">
        <v>1.506944444444444</v>
      </c>
      <c r="F1217" s="112" t="s">
        <v>34</v>
      </c>
      <c r="G1217" s="114">
        <v>9</v>
      </c>
      <c r="H1217" s="115" t="s">
        <v>45</v>
      </c>
    </row>
    <row r="1218" spans="1:8" ht="19.899999999999999" customHeight="1">
      <c r="A1218" s="121">
        <v>46046</v>
      </c>
      <c r="B1218" s="112" t="s">
        <v>26</v>
      </c>
      <c r="C1218" s="113" t="s">
        <v>825</v>
      </c>
      <c r="D1218" s="112" t="s">
        <v>808</v>
      </c>
      <c r="E1218" s="122">
        <v>1.697916666666667</v>
      </c>
      <c r="F1218" s="112" t="s">
        <v>34</v>
      </c>
      <c r="G1218" s="114">
        <v>8</v>
      </c>
      <c r="H1218" s="115" t="s">
        <v>45</v>
      </c>
    </row>
    <row r="1219" spans="1:8" ht="19.899999999999999" customHeight="1">
      <c r="A1219" s="121">
        <v>46046</v>
      </c>
      <c r="B1219" s="112" t="s">
        <v>68</v>
      </c>
      <c r="C1219" s="113" t="s">
        <v>844</v>
      </c>
      <c r="D1219" s="112" t="s">
        <v>808</v>
      </c>
      <c r="E1219" s="122">
        <v>1.729166666666667</v>
      </c>
      <c r="F1219" s="112" t="s">
        <v>70</v>
      </c>
      <c r="G1219" s="114">
        <v>2</v>
      </c>
      <c r="H1219" s="115" t="s">
        <v>845</v>
      </c>
    </row>
    <row r="1220" spans="1:8" ht="19.899999999999999" customHeight="1">
      <c r="A1220" s="121">
        <v>46046</v>
      </c>
      <c r="B1220" s="112" t="s">
        <v>68</v>
      </c>
      <c r="C1220" s="113" t="s">
        <v>843</v>
      </c>
      <c r="D1220" s="112" t="s">
        <v>808</v>
      </c>
      <c r="E1220" s="122">
        <v>1.354166666666667</v>
      </c>
      <c r="F1220" s="112" t="s">
        <v>70</v>
      </c>
      <c r="G1220" s="114">
        <v>9</v>
      </c>
      <c r="H1220" s="115" t="s">
        <v>845</v>
      </c>
    </row>
    <row r="1221" spans="1:8" ht="19.899999999999999" customHeight="1">
      <c r="A1221" s="121">
        <v>46046</v>
      </c>
      <c r="B1221" s="112" t="s">
        <v>402</v>
      </c>
      <c r="C1221" s="113" t="s">
        <v>839</v>
      </c>
      <c r="D1221" s="112" t="s">
        <v>808</v>
      </c>
      <c r="E1221" s="122">
        <v>1.1701388888888891</v>
      </c>
      <c r="F1221" s="112" t="s">
        <v>63</v>
      </c>
      <c r="G1221" s="114">
        <v>2</v>
      </c>
      <c r="H1221" s="115" t="s">
        <v>881</v>
      </c>
    </row>
    <row r="1222" spans="1:8" ht="19.899999999999999" customHeight="1">
      <c r="A1222" s="121">
        <v>46046</v>
      </c>
      <c r="B1222" s="112" t="s">
        <v>26</v>
      </c>
      <c r="C1222" s="113" t="s">
        <v>826</v>
      </c>
      <c r="D1222" s="112" t="s">
        <v>808</v>
      </c>
      <c r="E1222" s="122">
        <v>1.958333333333333</v>
      </c>
      <c r="F1222" s="112" t="s">
        <v>34</v>
      </c>
      <c r="G1222" s="114">
        <v>9</v>
      </c>
      <c r="H1222" s="115" t="s">
        <v>123</v>
      </c>
    </row>
    <row r="1223" spans="1:8" ht="19.899999999999999" customHeight="1">
      <c r="A1223" s="121">
        <v>46046</v>
      </c>
      <c r="B1223" s="112" t="s">
        <v>26</v>
      </c>
      <c r="C1223" s="113" t="s">
        <v>822</v>
      </c>
      <c r="D1223" s="112" t="s">
        <v>808</v>
      </c>
      <c r="E1223" s="122">
        <v>1.5590277777777779</v>
      </c>
      <c r="F1223" s="112" t="s">
        <v>34</v>
      </c>
      <c r="G1223" s="114">
        <v>9</v>
      </c>
      <c r="H1223" s="115" t="s">
        <v>123</v>
      </c>
    </row>
    <row r="1224" spans="1:8" ht="19.899999999999999" customHeight="1">
      <c r="A1224" s="121">
        <v>46046</v>
      </c>
      <c r="B1224" s="112" t="s">
        <v>26</v>
      </c>
      <c r="C1224" s="113" t="s">
        <v>823</v>
      </c>
      <c r="D1224" s="112" t="s">
        <v>808</v>
      </c>
      <c r="E1224" s="122">
        <v>1.819444444444444</v>
      </c>
      <c r="F1224" s="112" t="s">
        <v>34</v>
      </c>
      <c r="G1224" s="114">
        <v>9</v>
      </c>
      <c r="H1224" s="115" t="s">
        <v>123</v>
      </c>
    </row>
    <row r="1225" spans="1:8" ht="19.899999999999999" customHeight="1">
      <c r="A1225" s="121">
        <v>46046</v>
      </c>
      <c r="B1225" s="112" t="s">
        <v>38</v>
      </c>
      <c r="C1225" s="113" t="s">
        <v>812</v>
      </c>
      <c r="D1225" s="112" t="s">
        <v>808</v>
      </c>
      <c r="E1225" s="122">
        <v>1.8888888888888891</v>
      </c>
      <c r="F1225" s="112" t="s">
        <v>43</v>
      </c>
      <c r="G1225" s="114">
        <v>45</v>
      </c>
      <c r="H1225" s="115" t="s">
        <v>162</v>
      </c>
    </row>
    <row r="1226" spans="1:8" ht="19.899999999999999" customHeight="1">
      <c r="A1226" s="121">
        <v>46046</v>
      </c>
      <c r="B1226" s="112" t="s">
        <v>38</v>
      </c>
      <c r="C1226" s="113" t="s">
        <v>813</v>
      </c>
      <c r="D1226" s="112" t="s">
        <v>808</v>
      </c>
      <c r="E1226" s="122">
        <v>1.944444444444444</v>
      </c>
      <c r="F1226" s="112" t="s">
        <v>43</v>
      </c>
      <c r="G1226" s="114">
        <v>49</v>
      </c>
      <c r="H1226" s="115" t="s">
        <v>162</v>
      </c>
    </row>
    <row r="1227" spans="1:8" ht="19.899999999999999" customHeight="1">
      <c r="A1227" s="121">
        <v>46046</v>
      </c>
      <c r="B1227" s="112" t="s">
        <v>359</v>
      </c>
      <c r="C1227" s="113" t="s">
        <v>814</v>
      </c>
      <c r="D1227" s="112" t="s">
        <v>808</v>
      </c>
      <c r="E1227" s="122">
        <v>1.4375</v>
      </c>
      <c r="F1227" s="112" t="s">
        <v>46</v>
      </c>
      <c r="G1227" s="114">
        <v>9</v>
      </c>
      <c r="H1227" s="115" t="s">
        <v>880</v>
      </c>
    </row>
    <row r="1228" spans="1:8" ht="19.899999999999999" customHeight="1">
      <c r="A1228" s="121">
        <v>46046</v>
      </c>
      <c r="B1228" s="112" t="s">
        <v>38</v>
      </c>
      <c r="C1228" s="113" t="s">
        <v>809</v>
      </c>
      <c r="D1228" s="112" t="s">
        <v>808</v>
      </c>
      <c r="E1228" s="122">
        <v>1.5763888888888891</v>
      </c>
      <c r="F1228" s="112" t="s">
        <v>46</v>
      </c>
      <c r="G1228" s="114">
        <v>14</v>
      </c>
      <c r="H1228" s="115" t="s">
        <v>810</v>
      </c>
    </row>
    <row r="1229" spans="1:8" ht="19.899999999999999" customHeight="1">
      <c r="A1229" s="121">
        <v>46046</v>
      </c>
      <c r="B1229" s="112" t="s">
        <v>38</v>
      </c>
      <c r="C1229" s="113" t="s">
        <v>811</v>
      </c>
      <c r="D1229" s="112" t="s">
        <v>808</v>
      </c>
      <c r="E1229" s="122">
        <v>1.6284722222222221</v>
      </c>
      <c r="F1229" s="112" t="s">
        <v>46</v>
      </c>
      <c r="G1229" s="114">
        <v>16</v>
      </c>
      <c r="H1229" s="115" t="s">
        <v>810</v>
      </c>
    </row>
    <row r="1230" spans="1:8" ht="19.899999999999999" customHeight="1">
      <c r="A1230" s="121">
        <v>46046</v>
      </c>
      <c r="B1230" s="112" t="s">
        <v>38</v>
      </c>
      <c r="C1230" s="113" t="s">
        <v>812</v>
      </c>
      <c r="D1230" s="112" t="s">
        <v>808</v>
      </c>
      <c r="E1230" s="122">
        <v>1.8888888888888891</v>
      </c>
      <c r="F1230" s="112" t="s">
        <v>46</v>
      </c>
      <c r="G1230" s="114">
        <v>45</v>
      </c>
      <c r="H1230" s="115" t="s">
        <v>810</v>
      </c>
    </row>
    <row r="1231" spans="1:8" ht="19.899999999999999" customHeight="1">
      <c r="A1231" s="121">
        <v>46046</v>
      </c>
      <c r="B1231" s="112" t="s">
        <v>38</v>
      </c>
      <c r="C1231" s="113" t="s">
        <v>813</v>
      </c>
      <c r="D1231" s="112" t="s">
        <v>808</v>
      </c>
      <c r="E1231" s="122">
        <v>1.944444444444444</v>
      </c>
      <c r="F1231" s="112" t="s">
        <v>46</v>
      </c>
      <c r="G1231" s="114">
        <v>49</v>
      </c>
      <c r="H1231" s="115" t="s">
        <v>810</v>
      </c>
    </row>
    <row r="1232" spans="1:8" ht="19.899999999999999" customHeight="1">
      <c r="A1232" s="121">
        <v>46046</v>
      </c>
      <c r="B1232" s="112" t="s">
        <v>48</v>
      </c>
      <c r="C1232" s="113" t="s">
        <v>837</v>
      </c>
      <c r="D1232" s="112" t="s">
        <v>808</v>
      </c>
      <c r="E1232" s="122">
        <v>1.6284722222222221</v>
      </c>
      <c r="F1232" s="112" t="s">
        <v>53</v>
      </c>
      <c r="G1232" s="114">
        <v>4</v>
      </c>
      <c r="H1232" s="115" t="s">
        <v>859</v>
      </c>
    </row>
    <row r="1233" spans="1:8" ht="19.899999999999999" customHeight="1">
      <c r="A1233" s="121">
        <v>46046</v>
      </c>
      <c r="B1233" s="112" t="s">
        <v>48</v>
      </c>
      <c r="C1233" s="113" t="s">
        <v>835</v>
      </c>
      <c r="D1233" s="112" t="s">
        <v>808</v>
      </c>
      <c r="E1233" s="122">
        <v>1.8888888888888891</v>
      </c>
      <c r="F1233" s="112" t="s">
        <v>53</v>
      </c>
      <c r="G1233" s="114">
        <v>4</v>
      </c>
      <c r="H1233" s="115" t="s">
        <v>946</v>
      </c>
    </row>
    <row r="1234" spans="1:8" ht="19.899999999999999" customHeight="1">
      <c r="A1234" s="121">
        <v>46046</v>
      </c>
      <c r="B1234" s="112" t="s">
        <v>48</v>
      </c>
      <c r="C1234" s="113" t="s">
        <v>838</v>
      </c>
      <c r="D1234" s="112" t="s">
        <v>808</v>
      </c>
      <c r="E1234" s="122">
        <v>1.944444444444444</v>
      </c>
      <c r="F1234" s="112" t="s">
        <v>53</v>
      </c>
      <c r="G1234" s="114">
        <v>4</v>
      </c>
      <c r="H1234" s="115" t="s">
        <v>946</v>
      </c>
    </row>
    <row r="1235" spans="1:8" ht="19.899999999999999" customHeight="1">
      <c r="A1235" s="121">
        <v>46046</v>
      </c>
      <c r="B1235" s="112" t="s">
        <v>48</v>
      </c>
      <c r="C1235" s="113" t="s">
        <v>833</v>
      </c>
      <c r="D1235" s="112" t="s">
        <v>808</v>
      </c>
      <c r="E1235" s="122">
        <v>1.444444444444444</v>
      </c>
      <c r="F1235" s="112" t="s">
        <v>53</v>
      </c>
      <c r="G1235" s="114">
        <v>9</v>
      </c>
      <c r="H1235" s="115" t="s">
        <v>870</v>
      </c>
    </row>
    <row r="1236" spans="1:8" ht="19.899999999999999" customHeight="1">
      <c r="A1236" s="121">
        <v>46046</v>
      </c>
      <c r="B1236" s="112" t="s">
        <v>48</v>
      </c>
      <c r="C1236" s="113" t="s">
        <v>831</v>
      </c>
      <c r="D1236" s="112" t="s">
        <v>808</v>
      </c>
      <c r="E1236" s="122">
        <v>1.9826388888888891</v>
      </c>
      <c r="F1236" s="112" t="s">
        <v>53</v>
      </c>
      <c r="G1236" s="114">
        <v>9</v>
      </c>
      <c r="H1236" s="115" t="s">
        <v>870</v>
      </c>
    </row>
    <row r="1237" spans="1:8" ht="19.899999999999999" customHeight="1">
      <c r="A1237" s="121">
        <v>46046</v>
      </c>
      <c r="B1237" s="112" t="s">
        <v>48</v>
      </c>
      <c r="C1237" s="113" t="s">
        <v>828</v>
      </c>
      <c r="D1237" s="112" t="s">
        <v>808</v>
      </c>
      <c r="E1237" s="122">
        <v>1.8298611111111109</v>
      </c>
      <c r="F1237" s="112" t="s">
        <v>53</v>
      </c>
      <c r="G1237" s="114">
        <v>9</v>
      </c>
      <c r="H1237" s="115" t="s">
        <v>963</v>
      </c>
    </row>
    <row r="1238" spans="1:8" ht="19.899999999999999" customHeight="1">
      <c r="A1238" s="123">
        <v>46046</v>
      </c>
      <c r="B1238" s="124" t="s">
        <v>48</v>
      </c>
      <c r="C1238" s="125" t="s">
        <v>832</v>
      </c>
      <c r="D1238" s="124" t="s">
        <v>808</v>
      </c>
      <c r="E1238" s="126">
        <v>1.6284722222222221</v>
      </c>
      <c r="F1238" s="124" t="s">
        <v>53</v>
      </c>
      <c r="G1238" s="127">
        <v>9</v>
      </c>
      <c r="H1238" s="128" t="s">
        <v>963</v>
      </c>
    </row>
    <row r="1239" spans="1:8" ht="19.899999999999999" customHeight="1">
      <c r="A1239" s="121">
        <v>46047</v>
      </c>
      <c r="B1239" s="112" t="s">
        <v>38</v>
      </c>
      <c r="C1239" s="113" t="s">
        <v>809</v>
      </c>
      <c r="D1239" s="112" t="s">
        <v>808</v>
      </c>
      <c r="E1239" s="122">
        <v>1.5763888888888891</v>
      </c>
      <c r="F1239" s="112" t="s">
        <v>40</v>
      </c>
      <c r="G1239" s="114">
        <v>16</v>
      </c>
      <c r="H1239" s="115" t="s">
        <v>872</v>
      </c>
    </row>
    <row r="1240" spans="1:8" ht="19.899999999999999" customHeight="1">
      <c r="A1240" s="121">
        <v>46047</v>
      </c>
      <c r="B1240" s="112" t="s">
        <v>38</v>
      </c>
      <c r="C1240" s="113" t="s">
        <v>811</v>
      </c>
      <c r="D1240" s="112" t="s">
        <v>808</v>
      </c>
      <c r="E1240" s="122">
        <v>1.6284722222222221</v>
      </c>
      <c r="F1240" s="112" t="s">
        <v>40</v>
      </c>
      <c r="G1240" s="114">
        <v>15</v>
      </c>
      <c r="H1240" s="115" t="s">
        <v>872</v>
      </c>
    </row>
    <row r="1241" spans="1:8" ht="19.899999999999999" customHeight="1">
      <c r="A1241" s="121">
        <v>46047</v>
      </c>
      <c r="B1241" s="112" t="s">
        <v>26</v>
      </c>
      <c r="C1241" s="113" t="s">
        <v>820</v>
      </c>
      <c r="D1241" s="112" t="s">
        <v>808</v>
      </c>
      <c r="E1241" s="122">
        <v>1.4375</v>
      </c>
      <c r="F1241" s="112" t="s">
        <v>28</v>
      </c>
      <c r="G1241" s="114">
        <v>9</v>
      </c>
      <c r="H1241" s="115" t="s">
        <v>81</v>
      </c>
    </row>
    <row r="1242" spans="1:8" ht="19.899999999999999" customHeight="1">
      <c r="A1242" s="121">
        <v>46047</v>
      </c>
      <c r="B1242" s="112" t="s">
        <v>26</v>
      </c>
      <c r="C1242" s="113" t="s">
        <v>821</v>
      </c>
      <c r="D1242" s="112" t="s">
        <v>808</v>
      </c>
      <c r="E1242" s="122">
        <v>1.631944444444444</v>
      </c>
      <c r="F1242" s="112" t="s">
        <v>28</v>
      </c>
      <c r="G1242" s="114">
        <v>9</v>
      </c>
      <c r="H1242" s="115" t="s">
        <v>81</v>
      </c>
    </row>
    <row r="1243" spans="1:8" ht="19.899999999999999" customHeight="1">
      <c r="A1243" s="121">
        <v>46047</v>
      </c>
      <c r="B1243" s="112" t="s">
        <v>26</v>
      </c>
      <c r="C1243" s="113" t="s">
        <v>822</v>
      </c>
      <c r="D1243" s="112" t="s">
        <v>808</v>
      </c>
      <c r="E1243" s="122">
        <v>1.5590277777777779</v>
      </c>
      <c r="F1243" s="112" t="s">
        <v>28</v>
      </c>
      <c r="G1243" s="114">
        <v>9</v>
      </c>
      <c r="H1243" s="115" t="s">
        <v>81</v>
      </c>
    </row>
    <row r="1244" spans="1:8" ht="19.899999999999999" customHeight="1">
      <c r="A1244" s="121">
        <v>46047</v>
      </c>
      <c r="B1244" s="112" t="s">
        <v>26</v>
      </c>
      <c r="C1244" s="113" t="s">
        <v>824</v>
      </c>
      <c r="D1244" s="112" t="s">
        <v>808</v>
      </c>
      <c r="E1244" s="122">
        <v>1.506944444444444</v>
      </c>
      <c r="F1244" s="112" t="s">
        <v>28</v>
      </c>
      <c r="G1244" s="114">
        <v>9</v>
      </c>
      <c r="H1244" s="115" t="s">
        <v>81</v>
      </c>
    </row>
    <row r="1245" spans="1:8" ht="19.899999999999999" customHeight="1">
      <c r="A1245" s="121">
        <v>46047</v>
      </c>
      <c r="B1245" s="112" t="s">
        <v>26</v>
      </c>
      <c r="C1245" s="113" t="s">
        <v>825</v>
      </c>
      <c r="D1245" s="112" t="s">
        <v>808</v>
      </c>
      <c r="E1245" s="122">
        <v>1.697916666666667</v>
      </c>
      <c r="F1245" s="112" t="s">
        <v>28</v>
      </c>
      <c r="G1245" s="114">
        <v>9</v>
      </c>
      <c r="H1245" s="115" t="s">
        <v>81</v>
      </c>
    </row>
    <row r="1246" spans="1:8" ht="19.899999999999999" customHeight="1">
      <c r="A1246" s="121">
        <v>46047</v>
      </c>
      <c r="B1246" s="112" t="s">
        <v>359</v>
      </c>
      <c r="C1246" s="113" t="s">
        <v>814</v>
      </c>
      <c r="D1246" s="112" t="s">
        <v>808</v>
      </c>
      <c r="E1246" s="122">
        <v>1.2951388888888891</v>
      </c>
      <c r="F1246" s="112" t="s">
        <v>361</v>
      </c>
      <c r="G1246" s="114">
        <v>9</v>
      </c>
      <c r="H1246" s="115" t="s">
        <v>879</v>
      </c>
    </row>
    <row r="1247" spans="1:8" ht="19.899999999999999" customHeight="1">
      <c r="A1247" s="121">
        <v>46047</v>
      </c>
      <c r="B1247" s="112" t="s">
        <v>26</v>
      </c>
      <c r="C1247" s="113" t="s">
        <v>826</v>
      </c>
      <c r="D1247" s="112" t="s">
        <v>808</v>
      </c>
      <c r="E1247" s="122">
        <v>1.958333333333333</v>
      </c>
      <c r="F1247" s="112" t="s">
        <v>28</v>
      </c>
      <c r="G1247" s="114">
        <v>9</v>
      </c>
      <c r="H1247" s="115" t="s">
        <v>827</v>
      </c>
    </row>
    <row r="1248" spans="1:8" ht="19.899999999999999" customHeight="1">
      <c r="A1248" s="121">
        <v>46047</v>
      </c>
      <c r="B1248" s="112" t="s">
        <v>26</v>
      </c>
      <c r="C1248" s="113" t="s">
        <v>823</v>
      </c>
      <c r="D1248" s="112" t="s">
        <v>808</v>
      </c>
      <c r="E1248" s="122">
        <v>1.819444444444444</v>
      </c>
      <c r="F1248" s="112" t="s">
        <v>28</v>
      </c>
      <c r="G1248" s="114">
        <v>9</v>
      </c>
      <c r="H1248" s="115" t="s">
        <v>827</v>
      </c>
    </row>
    <row r="1249" spans="1:8" ht="19.899999999999999" customHeight="1">
      <c r="A1249" s="121">
        <v>46047</v>
      </c>
      <c r="B1249" s="112" t="s">
        <v>38</v>
      </c>
      <c r="C1249" s="113" t="s">
        <v>812</v>
      </c>
      <c r="D1249" s="112" t="s">
        <v>808</v>
      </c>
      <c r="E1249" s="122">
        <v>1.8888888888888891</v>
      </c>
      <c r="F1249" s="112" t="s">
        <v>40</v>
      </c>
      <c r="G1249" s="114">
        <v>50</v>
      </c>
      <c r="H1249" s="115" t="s">
        <v>83</v>
      </c>
    </row>
    <row r="1250" spans="1:8" ht="19.899999999999999" customHeight="1">
      <c r="A1250" s="121">
        <v>46047</v>
      </c>
      <c r="B1250" s="112" t="s">
        <v>38</v>
      </c>
      <c r="C1250" s="113" t="s">
        <v>813</v>
      </c>
      <c r="D1250" s="112" t="s">
        <v>808</v>
      </c>
      <c r="E1250" s="122">
        <v>1.944444444444444</v>
      </c>
      <c r="F1250" s="112" t="s">
        <v>40</v>
      </c>
      <c r="G1250" s="114">
        <v>50</v>
      </c>
      <c r="H1250" s="115" t="s">
        <v>83</v>
      </c>
    </row>
    <row r="1251" spans="1:8" ht="19.899999999999999" customHeight="1">
      <c r="A1251" s="121">
        <v>46047</v>
      </c>
      <c r="B1251" s="112" t="s">
        <v>26</v>
      </c>
      <c r="C1251" s="113" t="s">
        <v>820</v>
      </c>
      <c r="D1251" s="112" t="s">
        <v>808</v>
      </c>
      <c r="E1251" s="122">
        <v>1.4375</v>
      </c>
      <c r="F1251" s="112" t="s">
        <v>31</v>
      </c>
      <c r="G1251" s="114">
        <v>9</v>
      </c>
      <c r="H1251" s="115" t="s">
        <v>83</v>
      </c>
    </row>
    <row r="1252" spans="1:8" ht="19.899999999999999" customHeight="1">
      <c r="A1252" s="121">
        <v>46047</v>
      </c>
      <c r="B1252" s="112" t="s">
        <v>26</v>
      </c>
      <c r="C1252" s="113" t="s">
        <v>821</v>
      </c>
      <c r="D1252" s="112" t="s">
        <v>808</v>
      </c>
      <c r="E1252" s="122">
        <v>1.631944444444444</v>
      </c>
      <c r="F1252" s="112" t="s">
        <v>31</v>
      </c>
      <c r="G1252" s="114">
        <v>9</v>
      </c>
      <c r="H1252" s="115" t="s">
        <v>83</v>
      </c>
    </row>
    <row r="1253" spans="1:8" ht="19.899999999999999" customHeight="1">
      <c r="A1253" s="121">
        <v>46047</v>
      </c>
      <c r="B1253" s="112" t="s">
        <v>26</v>
      </c>
      <c r="C1253" s="113" t="s">
        <v>822</v>
      </c>
      <c r="D1253" s="112" t="s">
        <v>808</v>
      </c>
      <c r="E1253" s="122">
        <v>1.5590277777777779</v>
      </c>
      <c r="F1253" s="112" t="s">
        <v>31</v>
      </c>
      <c r="G1253" s="114">
        <v>9</v>
      </c>
      <c r="H1253" s="115" t="s">
        <v>83</v>
      </c>
    </row>
    <row r="1254" spans="1:8" ht="19.899999999999999" customHeight="1">
      <c r="A1254" s="121">
        <v>46047</v>
      </c>
      <c r="B1254" s="112" t="s">
        <v>26</v>
      </c>
      <c r="C1254" s="113" t="s">
        <v>824</v>
      </c>
      <c r="D1254" s="112" t="s">
        <v>808</v>
      </c>
      <c r="E1254" s="122">
        <v>1.506944444444444</v>
      </c>
      <c r="F1254" s="112" t="s">
        <v>31</v>
      </c>
      <c r="G1254" s="114">
        <v>9</v>
      </c>
      <c r="H1254" s="115" t="s">
        <v>83</v>
      </c>
    </row>
    <row r="1255" spans="1:8" ht="19.899999999999999" customHeight="1">
      <c r="A1255" s="121">
        <v>46047</v>
      </c>
      <c r="B1255" s="112" t="s">
        <v>26</v>
      </c>
      <c r="C1255" s="113" t="s">
        <v>825</v>
      </c>
      <c r="D1255" s="112" t="s">
        <v>808</v>
      </c>
      <c r="E1255" s="122">
        <v>1.697916666666667</v>
      </c>
      <c r="F1255" s="112" t="s">
        <v>31</v>
      </c>
      <c r="G1255" s="114">
        <v>9</v>
      </c>
      <c r="H1255" s="115" t="s">
        <v>83</v>
      </c>
    </row>
    <row r="1256" spans="1:8" ht="19.899999999999999" customHeight="1">
      <c r="A1256" s="121">
        <v>46047</v>
      </c>
      <c r="B1256" s="112" t="s">
        <v>38</v>
      </c>
      <c r="C1256" s="113" t="s">
        <v>809</v>
      </c>
      <c r="D1256" s="112" t="s">
        <v>808</v>
      </c>
      <c r="E1256" s="122">
        <v>1.5763888888888891</v>
      </c>
      <c r="F1256" s="112" t="s">
        <v>43</v>
      </c>
      <c r="G1256" s="114">
        <v>16</v>
      </c>
      <c r="H1256" s="115" t="s">
        <v>349</v>
      </c>
    </row>
    <row r="1257" spans="1:8" ht="19.899999999999999" customHeight="1">
      <c r="A1257" s="121">
        <v>46047</v>
      </c>
      <c r="B1257" s="112" t="s">
        <v>38</v>
      </c>
      <c r="C1257" s="113" t="s">
        <v>811</v>
      </c>
      <c r="D1257" s="112" t="s">
        <v>808</v>
      </c>
      <c r="E1257" s="122">
        <v>1.6284722222222221</v>
      </c>
      <c r="F1257" s="112" t="s">
        <v>43</v>
      </c>
      <c r="G1257" s="114">
        <v>15</v>
      </c>
      <c r="H1257" s="115" t="s">
        <v>349</v>
      </c>
    </row>
    <row r="1258" spans="1:8" ht="19.899999999999999" customHeight="1">
      <c r="A1258" s="129">
        <v>46047</v>
      </c>
      <c r="B1258" s="117" t="s">
        <v>61</v>
      </c>
      <c r="C1258" s="118" t="s">
        <v>816</v>
      </c>
      <c r="D1258" s="117" t="s">
        <v>808</v>
      </c>
      <c r="E1258" s="130">
        <v>1.427083333333333</v>
      </c>
      <c r="F1258" s="117" t="s">
        <v>63</v>
      </c>
      <c r="G1258" s="119">
        <v>9</v>
      </c>
      <c r="H1258" s="120" t="s">
        <v>33</v>
      </c>
    </row>
    <row r="1259" spans="1:8" ht="19.899999999999999" customHeight="1">
      <c r="A1259" s="121">
        <v>46047</v>
      </c>
      <c r="B1259" s="112" t="s">
        <v>68</v>
      </c>
      <c r="C1259" s="113" t="s">
        <v>842</v>
      </c>
      <c r="D1259" s="112" t="s">
        <v>808</v>
      </c>
      <c r="E1259" s="122">
        <v>1.9826388888888891</v>
      </c>
      <c r="F1259" s="112" t="s">
        <v>70</v>
      </c>
      <c r="G1259" s="114">
        <v>9</v>
      </c>
      <c r="H1259" s="115" t="s">
        <v>404</v>
      </c>
    </row>
    <row r="1260" spans="1:8" ht="19.899999999999999" customHeight="1">
      <c r="A1260" s="121">
        <v>46047</v>
      </c>
      <c r="B1260" s="112" t="s">
        <v>68</v>
      </c>
      <c r="C1260" s="113" t="s">
        <v>843</v>
      </c>
      <c r="D1260" s="112" t="s">
        <v>808</v>
      </c>
      <c r="E1260" s="122">
        <v>1.354166666666667</v>
      </c>
      <c r="F1260" s="112" t="s">
        <v>70</v>
      </c>
      <c r="G1260" s="114">
        <v>8</v>
      </c>
      <c r="H1260" s="115" t="s">
        <v>404</v>
      </c>
    </row>
    <row r="1261" spans="1:8" ht="19.899999999999999" customHeight="1">
      <c r="A1261" s="121">
        <v>46047</v>
      </c>
      <c r="B1261" s="112" t="s">
        <v>68</v>
      </c>
      <c r="C1261" s="113" t="s">
        <v>844</v>
      </c>
      <c r="D1261" s="112" t="s">
        <v>808</v>
      </c>
      <c r="E1261" s="122">
        <v>1.729166666666667</v>
      </c>
      <c r="F1261" s="112" t="s">
        <v>70</v>
      </c>
      <c r="G1261" s="114">
        <v>9</v>
      </c>
      <c r="H1261" s="115" t="s">
        <v>892</v>
      </c>
    </row>
    <row r="1262" spans="1:8" ht="19.899999999999999" customHeight="1">
      <c r="A1262" s="121">
        <v>46047</v>
      </c>
      <c r="B1262" s="112" t="s">
        <v>26</v>
      </c>
      <c r="C1262" s="113" t="s">
        <v>826</v>
      </c>
      <c r="D1262" s="112" t="s">
        <v>808</v>
      </c>
      <c r="E1262" s="122">
        <v>1.958333333333333</v>
      </c>
      <c r="F1262" s="112" t="s">
        <v>31</v>
      </c>
      <c r="G1262" s="114">
        <v>9</v>
      </c>
      <c r="H1262" s="115" t="s">
        <v>161</v>
      </c>
    </row>
    <row r="1263" spans="1:8" ht="19.899999999999999" customHeight="1">
      <c r="A1263" s="121">
        <v>46047</v>
      </c>
      <c r="B1263" s="112" t="s">
        <v>26</v>
      </c>
      <c r="C1263" s="113" t="s">
        <v>823</v>
      </c>
      <c r="D1263" s="112" t="s">
        <v>808</v>
      </c>
      <c r="E1263" s="122">
        <v>1.819444444444444</v>
      </c>
      <c r="F1263" s="112" t="s">
        <v>31</v>
      </c>
      <c r="G1263" s="114">
        <v>9</v>
      </c>
      <c r="H1263" s="115" t="s">
        <v>161</v>
      </c>
    </row>
    <row r="1264" spans="1:8" ht="19.899999999999999" customHeight="1">
      <c r="A1264" s="121">
        <v>46047</v>
      </c>
      <c r="B1264" s="112" t="s">
        <v>26</v>
      </c>
      <c r="C1264" s="113" t="s">
        <v>820</v>
      </c>
      <c r="D1264" s="112" t="s">
        <v>808</v>
      </c>
      <c r="E1264" s="122">
        <v>1.4375</v>
      </c>
      <c r="F1264" s="112" t="s">
        <v>34</v>
      </c>
      <c r="G1264" s="114">
        <v>9</v>
      </c>
      <c r="H1264" s="115" t="s">
        <v>45</v>
      </c>
    </row>
    <row r="1265" spans="1:8" ht="19.899999999999999" customHeight="1">
      <c r="A1265" s="121">
        <v>46047</v>
      </c>
      <c r="B1265" s="112" t="s">
        <v>26</v>
      </c>
      <c r="C1265" s="113" t="s">
        <v>821</v>
      </c>
      <c r="D1265" s="112" t="s">
        <v>808</v>
      </c>
      <c r="E1265" s="122">
        <v>1.631944444444444</v>
      </c>
      <c r="F1265" s="112" t="s">
        <v>34</v>
      </c>
      <c r="G1265" s="114">
        <v>9</v>
      </c>
      <c r="H1265" s="115" t="s">
        <v>45</v>
      </c>
    </row>
    <row r="1266" spans="1:8" ht="19.899999999999999" customHeight="1">
      <c r="A1266" s="121">
        <v>46047</v>
      </c>
      <c r="B1266" s="112" t="s">
        <v>26</v>
      </c>
      <c r="C1266" s="113" t="s">
        <v>822</v>
      </c>
      <c r="D1266" s="112" t="s">
        <v>808</v>
      </c>
      <c r="E1266" s="122">
        <v>1.5590277777777779</v>
      </c>
      <c r="F1266" s="112" t="s">
        <v>34</v>
      </c>
      <c r="G1266" s="114">
        <v>9</v>
      </c>
      <c r="H1266" s="115" t="s">
        <v>45</v>
      </c>
    </row>
    <row r="1267" spans="1:8" ht="19.899999999999999" customHeight="1">
      <c r="A1267" s="121">
        <v>46047</v>
      </c>
      <c r="B1267" s="112" t="s">
        <v>26</v>
      </c>
      <c r="C1267" s="113" t="s">
        <v>824</v>
      </c>
      <c r="D1267" s="112" t="s">
        <v>808</v>
      </c>
      <c r="E1267" s="122">
        <v>1.506944444444444</v>
      </c>
      <c r="F1267" s="112" t="s">
        <v>34</v>
      </c>
      <c r="G1267" s="114">
        <v>9</v>
      </c>
      <c r="H1267" s="115" t="s">
        <v>45</v>
      </c>
    </row>
    <row r="1268" spans="1:8" ht="19.899999999999999" customHeight="1">
      <c r="A1268" s="121">
        <v>46047</v>
      </c>
      <c r="B1268" s="112" t="s">
        <v>26</v>
      </c>
      <c r="C1268" s="113" t="s">
        <v>825</v>
      </c>
      <c r="D1268" s="112" t="s">
        <v>808</v>
      </c>
      <c r="E1268" s="122">
        <v>1.697916666666667</v>
      </c>
      <c r="F1268" s="112" t="s">
        <v>34</v>
      </c>
      <c r="G1268" s="114">
        <v>9</v>
      </c>
      <c r="H1268" s="115" t="s">
        <v>45</v>
      </c>
    </row>
    <row r="1269" spans="1:8" ht="19.899999999999999" customHeight="1">
      <c r="A1269" s="121">
        <v>46047</v>
      </c>
      <c r="B1269" s="112" t="s">
        <v>402</v>
      </c>
      <c r="C1269" s="113" t="s">
        <v>839</v>
      </c>
      <c r="D1269" s="112" t="s">
        <v>808</v>
      </c>
      <c r="E1269" s="122">
        <v>1.1736111111111109</v>
      </c>
      <c r="F1269" s="112" t="s">
        <v>63</v>
      </c>
      <c r="G1269" s="114">
        <v>1</v>
      </c>
      <c r="H1269" s="115" t="s">
        <v>881</v>
      </c>
    </row>
    <row r="1270" spans="1:8" ht="19.899999999999999" customHeight="1">
      <c r="A1270" s="121">
        <v>46047</v>
      </c>
      <c r="B1270" s="112" t="s">
        <v>26</v>
      </c>
      <c r="C1270" s="113" t="s">
        <v>826</v>
      </c>
      <c r="D1270" s="112" t="s">
        <v>808</v>
      </c>
      <c r="E1270" s="122">
        <v>1.958333333333333</v>
      </c>
      <c r="F1270" s="112" t="s">
        <v>34</v>
      </c>
      <c r="G1270" s="114">
        <v>9</v>
      </c>
      <c r="H1270" s="115" t="s">
        <v>123</v>
      </c>
    </row>
    <row r="1271" spans="1:8" ht="19.899999999999999" customHeight="1">
      <c r="A1271" s="121">
        <v>46047</v>
      </c>
      <c r="B1271" s="112" t="s">
        <v>26</v>
      </c>
      <c r="C1271" s="113" t="s">
        <v>823</v>
      </c>
      <c r="D1271" s="112" t="s">
        <v>808</v>
      </c>
      <c r="E1271" s="122">
        <v>1.819444444444444</v>
      </c>
      <c r="F1271" s="112" t="s">
        <v>34</v>
      </c>
      <c r="G1271" s="114">
        <v>9</v>
      </c>
      <c r="H1271" s="115" t="s">
        <v>123</v>
      </c>
    </row>
    <row r="1272" spans="1:8" ht="19.899999999999999" customHeight="1">
      <c r="A1272" s="121">
        <v>46047</v>
      </c>
      <c r="B1272" s="112" t="s">
        <v>38</v>
      </c>
      <c r="C1272" s="113" t="s">
        <v>812</v>
      </c>
      <c r="D1272" s="112" t="s">
        <v>808</v>
      </c>
      <c r="E1272" s="122">
        <v>1.8888888888888891</v>
      </c>
      <c r="F1272" s="112" t="s">
        <v>43</v>
      </c>
      <c r="G1272" s="114">
        <v>50</v>
      </c>
      <c r="H1272" s="115" t="s">
        <v>162</v>
      </c>
    </row>
    <row r="1273" spans="1:8" ht="19.899999999999999" customHeight="1">
      <c r="A1273" s="121">
        <v>46047</v>
      </c>
      <c r="B1273" s="112" t="s">
        <v>38</v>
      </c>
      <c r="C1273" s="113" t="s">
        <v>813</v>
      </c>
      <c r="D1273" s="112" t="s">
        <v>808</v>
      </c>
      <c r="E1273" s="122">
        <v>1.944444444444444</v>
      </c>
      <c r="F1273" s="112" t="s">
        <v>43</v>
      </c>
      <c r="G1273" s="114">
        <v>50</v>
      </c>
      <c r="H1273" s="115" t="s">
        <v>162</v>
      </c>
    </row>
    <row r="1274" spans="1:8" ht="19.899999999999999" customHeight="1">
      <c r="A1274" s="121">
        <v>46047</v>
      </c>
      <c r="B1274" s="112" t="s">
        <v>359</v>
      </c>
      <c r="C1274" s="113" t="s">
        <v>814</v>
      </c>
      <c r="D1274" s="112" t="s">
        <v>808</v>
      </c>
      <c r="E1274" s="122">
        <v>1.2951388888888891</v>
      </c>
      <c r="F1274" s="112" t="s">
        <v>46</v>
      </c>
      <c r="G1274" s="114">
        <v>9</v>
      </c>
      <c r="H1274" s="115" t="s">
        <v>880</v>
      </c>
    </row>
    <row r="1275" spans="1:8" ht="19.899999999999999" customHeight="1">
      <c r="A1275" s="121">
        <v>46047</v>
      </c>
      <c r="B1275" s="112" t="s">
        <v>38</v>
      </c>
      <c r="C1275" s="113" t="s">
        <v>809</v>
      </c>
      <c r="D1275" s="112" t="s">
        <v>808</v>
      </c>
      <c r="E1275" s="122">
        <v>1.5763888888888891</v>
      </c>
      <c r="F1275" s="112" t="s">
        <v>46</v>
      </c>
      <c r="G1275" s="114">
        <v>16</v>
      </c>
      <c r="H1275" s="115" t="s">
        <v>810</v>
      </c>
    </row>
    <row r="1276" spans="1:8" ht="19.899999999999999" customHeight="1">
      <c r="A1276" s="121">
        <v>46047</v>
      </c>
      <c r="B1276" s="112" t="s">
        <v>38</v>
      </c>
      <c r="C1276" s="113" t="s">
        <v>811</v>
      </c>
      <c r="D1276" s="112" t="s">
        <v>808</v>
      </c>
      <c r="E1276" s="122">
        <v>1.6284722222222221</v>
      </c>
      <c r="F1276" s="112" t="s">
        <v>46</v>
      </c>
      <c r="G1276" s="114">
        <v>15</v>
      </c>
      <c r="H1276" s="115" t="s">
        <v>810</v>
      </c>
    </row>
    <row r="1277" spans="1:8" ht="19.899999999999999" customHeight="1">
      <c r="A1277" s="121">
        <v>46047</v>
      </c>
      <c r="B1277" s="112" t="s">
        <v>38</v>
      </c>
      <c r="C1277" s="113" t="s">
        <v>812</v>
      </c>
      <c r="D1277" s="112" t="s">
        <v>808</v>
      </c>
      <c r="E1277" s="122">
        <v>1.8888888888888891</v>
      </c>
      <c r="F1277" s="112" t="s">
        <v>46</v>
      </c>
      <c r="G1277" s="114">
        <v>50</v>
      </c>
      <c r="H1277" s="115" t="s">
        <v>810</v>
      </c>
    </row>
    <row r="1278" spans="1:8" ht="19.899999999999999" customHeight="1">
      <c r="A1278" s="121">
        <v>46047</v>
      </c>
      <c r="B1278" s="112" t="s">
        <v>38</v>
      </c>
      <c r="C1278" s="113" t="s">
        <v>813</v>
      </c>
      <c r="D1278" s="112" t="s">
        <v>808</v>
      </c>
      <c r="E1278" s="122">
        <v>1.944444444444444</v>
      </c>
      <c r="F1278" s="112" t="s">
        <v>46</v>
      </c>
      <c r="G1278" s="114">
        <v>50</v>
      </c>
      <c r="H1278" s="115" t="s">
        <v>810</v>
      </c>
    </row>
    <row r="1279" spans="1:8" ht="19.899999999999999" customHeight="1">
      <c r="A1279" s="121">
        <v>46047</v>
      </c>
      <c r="B1279" s="112" t="s">
        <v>48</v>
      </c>
      <c r="C1279" s="113" t="s">
        <v>837</v>
      </c>
      <c r="D1279" s="112" t="s">
        <v>808</v>
      </c>
      <c r="E1279" s="122">
        <v>1.6284722222222221</v>
      </c>
      <c r="F1279" s="112" t="s">
        <v>53</v>
      </c>
      <c r="G1279" s="114">
        <v>4</v>
      </c>
      <c r="H1279" s="115" t="s">
        <v>836</v>
      </c>
    </row>
    <row r="1280" spans="1:8" ht="19.899999999999999" customHeight="1">
      <c r="A1280" s="121">
        <v>46047</v>
      </c>
      <c r="B1280" s="112" t="s">
        <v>48</v>
      </c>
      <c r="C1280" s="113" t="s">
        <v>835</v>
      </c>
      <c r="D1280" s="112" t="s">
        <v>808</v>
      </c>
      <c r="E1280" s="122">
        <v>1.8888888888888891</v>
      </c>
      <c r="F1280" s="112" t="s">
        <v>53</v>
      </c>
      <c r="G1280" s="114">
        <v>4</v>
      </c>
      <c r="H1280" s="115" t="s">
        <v>946</v>
      </c>
    </row>
    <row r="1281" spans="1:8" ht="19.899999999999999" customHeight="1">
      <c r="A1281" s="121">
        <v>46047</v>
      </c>
      <c r="B1281" s="112" t="s">
        <v>48</v>
      </c>
      <c r="C1281" s="113" t="s">
        <v>838</v>
      </c>
      <c r="D1281" s="112" t="s">
        <v>808</v>
      </c>
      <c r="E1281" s="122">
        <v>1.944444444444444</v>
      </c>
      <c r="F1281" s="112" t="s">
        <v>53</v>
      </c>
      <c r="G1281" s="114">
        <v>4</v>
      </c>
      <c r="H1281" s="115" t="s">
        <v>946</v>
      </c>
    </row>
    <row r="1282" spans="1:8" ht="19.899999999999999" customHeight="1">
      <c r="A1282" s="121">
        <v>46047</v>
      </c>
      <c r="B1282" s="112" t="s">
        <v>48</v>
      </c>
      <c r="C1282" s="113" t="s">
        <v>833</v>
      </c>
      <c r="D1282" s="112" t="s">
        <v>808</v>
      </c>
      <c r="E1282" s="122">
        <v>1.444444444444444</v>
      </c>
      <c r="F1282" s="112" t="s">
        <v>53</v>
      </c>
      <c r="G1282" s="114">
        <v>9</v>
      </c>
      <c r="H1282" s="115" t="s">
        <v>870</v>
      </c>
    </row>
    <row r="1283" spans="1:8" ht="19.899999999999999" customHeight="1">
      <c r="A1283" s="121">
        <v>46047</v>
      </c>
      <c r="B1283" s="112" t="s">
        <v>48</v>
      </c>
      <c r="C1283" s="113" t="s">
        <v>828</v>
      </c>
      <c r="D1283" s="112" t="s">
        <v>808</v>
      </c>
      <c r="E1283" s="122">
        <v>1.8298611111111109</v>
      </c>
      <c r="F1283" s="112" t="s">
        <v>53</v>
      </c>
      <c r="G1283" s="114">
        <v>9</v>
      </c>
      <c r="H1283" s="115" t="s">
        <v>870</v>
      </c>
    </row>
    <row r="1284" spans="1:8" ht="19.899999999999999" customHeight="1">
      <c r="A1284" s="121">
        <v>46047</v>
      </c>
      <c r="B1284" s="112" t="s">
        <v>48</v>
      </c>
      <c r="C1284" s="113" t="s">
        <v>831</v>
      </c>
      <c r="D1284" s="112" t="s">
        <v>808</v>
      </c>
      <c r="E1284" s="122">
        <v>1.9826388888888891</v>
      </c>
      <c r="F1284" s="112" t="s">
        <v>53</v>
      </c>
      <c r="G1284" s="114">
        <v>9</v>
      </c>
      <c r="H1284" s="115" t="s">
        <v>870</v>
      </c>
    </row>
    <row r="1285" spans="1:8" ht="19.899999999999999" customHeight="1">
      <c r="A1285" s="121">
        <v>46047</v>
      </c>
      <c r="B1285" s="112" t="s">
        <v>48</v>
      </c>
      <c r="C1285" s="113" t="s">
        <v>875</v>
      </c>
      <c r="D1285" s="112" t="s">
        <v>808</v>
      </c>
      <c r="E1285" s="122">
        <v>1.697916666666667</v>
      </c>
      <c r="F1285" s="112" t="s">
        <v>53</v>
      </c>
      <c r="G1285" s="114">
        <v>9</v>
      </c>
      <c r="H1285" s="115" t="s">
        <v>870</v>
      </c>
    </row>
    <row r="1286" spans="1:8" ht="19.899999999999999" customHeight="1">
      <c r="A1286" s="123">
        <v>46047</v>
      </c>
      <c r="B1286" s="124" t="s">
        <v>48</v>
      </c>
      <c r="C1286" s="125" t="s">
        <v>832</v>
      </c>
      <c r="D1286" s="124" t="s">
        <v>808</v>
      </c>
      <c r="E1286" s="126">
        <v>1.6284722222222221</v>
      </c>
      <c r="F1286" s="124" t="s">
        <v>53</v>
      </c>
      <c r="G1286" s="127">
        <v>9</v>
      </c>
      <c r="H1286" s="128" t="s">
        <v>870</v>
      </c>
    </row>
    <row r="1287" spans="1:8" ht="19.899999999999999" customHeight="1">
      <c r="A1287" s="121">
        <v>46048</v>
      </c>
      <c r="B1287" s="112" t="s">
        <v>38</v>
      </c>
      <c r="C1287" s="113" t="s">
        <v>809</v>
      </c>
      <c r="D1287" s="112" t="s">
        <v>808</v>
      </c>
      <c r="E1287" s="122">
        <v>1.5763888888888891</v>
      </c>
      <c r="F1287" s="112" t="s">
        <v>40</v>
      </c>
      <c r="G1287" s="114">
        <v>19</v>
      </c>
      <c r="H1287" s="115" t="s">
        <v>475</v>
      </c>
    </row>
    <row r="1288" spans="1:8" ht="19.899999999999999" customHeight="1">
      <c r="A1288" s="121">
        <v>46048</v>
      </c>
      <c r="B1288" s="112" t="s">
        <v>38</v>
      </c>
      <c r="C1288" s="113" t="s">
        <v>811</v>
      </c>
      <c r="D1288" s="112" t="s">
        <v>808</v>
      </c>
      <c r="E1288" s="122">
        <v>1.6284722222222221</v>
      </c>
      <c r="F1288" s="112" t="s">
        <v>40</v>
      </c>
      <c r="G1288" s="114">
        <v>20</v>
      </c>
      <c r="H1288" s="115" t="s">
        <v>475</v>
      </c>
    </row>
    <row r="1289" spans="1:8" ht="19.899999999999999" customHeight="1">
      <c r="A1289" s="121">
        <v>46048</v>
      </c>
      <c r="B1289" s="112" t="s">
        <v>38</v>
      </c>
      <c r="C1289" s="113" t="s">
        <v>812</v>
      </c>
      <c r="D1289" s="112" t="s">
        <v>808</v>
      </c>
      <c r="E1289" s="122">
        <v>1.8888888888888891</v>
      </c>
      <c r="F1289" s="112" t="s">
        <v>40</v>
      </c>
      <c r="G1289" s="114">
        <v>20</v>
      </c>
      <c r="H1289" s="115" t="s">
        <v>872</v>
      </c>
    </row>
    <row r="1290" spans="1:8" ht="19.899999999999999" customHeight="1">
      <c r="A1290" s="121">
        <v>46048</v>
      </c>
      <c r="B1290" s="112" t="s">
        <v>38</v>
      </c>
      <c r="C1290" s="113" t="s">
        <v>813</v>
      </c>
      <c r="D1290" s="112" t="s">
        <v>808</v>
      </c>
      <c r="E1290" s="122">
        <v>1.944444444444444</v>
      </c>
      <c r="F1290" s="112" t="s">
        <v>40</v>
      </c>
      <c r="G1290" s="114">
        <v>20</v>
      </c>
      <c r="H1290" s="115" t="s">
        <v>872</v>
      </c>
    </row>
    <row r="1291" spans="1:8" ht="19.899999999999999" customHeight="1">
      <c r="A1291" s="121">
        <v>46048</v>
      </c>
      <c r="B1291" s="112" t="s">
        <v>68</v>
      </c>
      <c r="C1291" s="113" t="s">
        <v>844</v>
      </c>
      <c r="D1291" s="112" t="s">
        <v>808</v>
      </c>
      <c r="E1291" s="122">
        <v>1.729166666666667</v>
      </c>
      <c r="F1291" s="112" t="s">
        <v>643</v>
      </c>
      <c r="G1291" s="114">
        <v>1</v>
      </c>
      <c r="H1291" s="115" t="s">
        <v>888</v>
      </c>
    </row>
    <row r="1292" spans="1:8" ht="19.899999999999999" customHeight="1">
      <c r="A1292" s="121">
        <v>46048</v>
      </c>
      <c r="B1292" s="112" t="s">
        <v>26</v>
      </c>
      <c r="C1292" s="113" t="s">
        <v>820</v>
      </c>
      <c r="D1292" s="112" t="s">
        <v>808</v>
      </c>
      <c r="E1292" s="122">
        <v>1.4375</v>
      </c>
      <c r="F1292" s="112" t="s">
        <v>28</v>
      </c>
      <c r="G1292" s="114">
        <v>9</v>
      </c>
      <c r="H1292" s="115" t="s">
        <v>81</v>
      </c>
    </row>
    <row r="1293" spans="1:8" ht="19.899999999999999" customHeight="1">
      <c r="A1293" s="121">
        <v>46048</v>
      </c>
      <c r="B1293" s="112" t="s">
        <v>26</v>
      </c>
      <c r="C1293" s="113" t="s">
        <v>826</v>
      </c>
      <c r="D1293" s="112" t="s">
        <v>808</v>
      </c>
      <c r="E1293" s="122">
        <v>1.958333333333333</v>
      </c>
      <c r="F1293" s="112" t="s">
        <v>28</v>
      </c>
      <c r="G1293" s="114">
        <v>9</v>
      </c>
      <c r="H1293" s="115" t="s">
        <v>81</v>
      </c>
    </row>
    <row r="1294" spans="1:8" ht="19.899999999999999" customHeight="1">
      <c r="A1294" s="121">
        <v>46048</v>
      </c>
      <c r="B1294" s="112" t="s">
        <v>26</v>
      </c>
      <c r="C1294" s="113" t="s">
        <v>821</v>
      </c>
      <c r="D1294" s="112" t="s">
        <v>808</v>
      </c>
      <c r="E1294" s="122">
        <v>1.631944444444444</v>
      </c>
      <c r="F1294" s="112" t="s">
        <v>28</v>
      </c>
      <c r="G1294" s="114">
        <v>9</v>
      </c>
      <c r="H1294" s="115" t="s">
        <v>81</v>
      </c>
    </row>
    <row r="1295" spans="1:8" ht="19.899999999999999" customHeight="1">
      <c r="A1295" s="121">
        <v>46048</v>
      </c>
      <c r="B1295" s="112" t="s">
        <v>26</v>
      </c>
      <c r="C1295" s="113" t="s">
        <v>822</v>
      </c>
      <c r="D1295" s="112" t="s">
        <v>808</v>
      </c>
      <c r="E1295" s="122">
        <v>1.5590277777777779</v>
      </c>
      <c r="F1295" s="112" t="s">
        <v>28</v>
      </c>
      <c r="G1295" s="114">
        <v>9</v>
      </c>
      <c r="H1295" s="115" t="s">
        <v>81</v>
      </c>
    </row>
    <row r="1296" spans="1:8" ht="19.899999999999999" customHeight="1">
      <c r="A1296" s="121">
        <v>46048</v>
      </c>
      <c r="B1296" s="112" t="s">
        <v>26</v>
      </c>
      <c r="C1296" s="113" t="s">
        <v>823</v>
      </c>
      <c r="D1296" s="112" t="s">
        <v>808</v>
      </c>
      <c r="E1296" s="122">
        <v>1.819444444444444</v>
      </c>
      <c r="F1296" s="112" t="s">
        <v>28</v>
      </c>
      <c r="G1296" s="114">
        <v>9</v>
      </c>
      <c r="H1296" s="115" t="s">
        <v>81</v>
      </c>
    </row>
    <row r="1297" spans="1:8" ht="19.899999999999999" customHeight="1">
      <c r="A1297" s="121">
        <v>46048</v>
      </c>
      <c r="B1297" s="112" t="s">
        <v>26</v>
      </c>
      <c r="C1297" s="113" t="s">
        <v>825</v>
      </c>
      <c r="D1297" s="112" t="s">
        <v>808</v>
      </c>
      <c r="E1297" s="122">
        <v>1.697916666666667</v>
      </c>
      <c r="F1297" s="112" t="s">
        <v>28</v>
      </c>
      <c r="G1297" s="114">
        <v>9</v>
      </c>
      <c r="H1297" s="115" t="s">
        <v>81</v>
      </c>
    </row>
    <row r="1298" spans="1:8" ht="19.899999999999999" customHeight="1">
      <c r="A1298" s="129">
        <v>46048</v>
      </c>
      <c r="B1298" s="117" t="s">
        <v>61</v>
      </c>
      <c r="C1298" s="118" t="s">
        <v>852</v>
      </c>
      <c r="D1298" s="117" t="s">
        <v>808</v>
      </c>
      <c r="E1298" s="130">
        <v>1.725694444444444</v>
      </c>
      <c r="F1298" s="117" t="s">
        <v>63</v>
      </c>
      <c r="G1298" s="119">
        <v>3</v>
      </c>
      <c r="H1298" s="120" t="s">
        <v>849</v>
      </c>
    </row>
    <row r="1299" spans="1:8" ht="19.899999999999999" customHeight="1">
      <c r="A1299" s="121">
        <v>46048</v>
      </c>
      <c r="B1299" s="112" t="s">
        <v>359</v>
      </c>
      <c r="C1299" s="113" t="s">
        <v>814</v>
      </c>
      <c r="D1299" s="112" t="s">
        <v>808</v>
      </c>
      <c r="E1299" s="122">
        <v>1.3298611111111109</v>
      </c>
      <c r="F1299" s="112" t="s">
        <v>361</v>
      </c>
      <c r="G1299" s="114">
        <v>9</v>
      </c>
      <c r="H1299" s="115" t="s">
        <v>949</v>
      </c>
    </row>
    <row r="1300" spans="1:8" ht="19.899999999999999" customHeight="1">
      <c r="A1300" s="121">
        <v>46048</v>
      </c>
      <c r="B1300" s="112" t="s">
        <v>26</v>
      </c>
      <c r="C1300" s="113" t="s">
        <v>824</v>
      </c>
      <c r="D1300" s="112" t="s">
        <v>808</v>
      </c>
      <c r="E1300" s="122">
        <v>1.506944444444444</v>
      </c>
      <c r="F1300" s="112" t="s">
        <v>28</v>
      </c>
      <c r="G1300" s="114">
        <v>9</v>
      </c>
      <c r="H1300" s="115" t="s">
        <v>827</v>
      </c>
    </row>
    <row r="1301" spans="1:8" ht="19.899999999999999" customHeight="1">
      <c r="A1301" s="121">
        <v>46048</v>
      </c>
      <c r="B1301" s="112" t="s">
        <v>38</v>
      </c>
      <c r="C1301" s="113" t="s">
        <v>809</v>
      </c>
      <c r="D1301" s="112" t="s">
        <v>808</v>
      </c>
      <c r="E1301" s="122">
        <v>1.5763888888888891</v>
      </c>
      <c r="F1301" s="112" t="s">
        <v>43</v>
      </c>
      <c r="G1301" s="114">
        <v>19</v>
      </c>
      <c r="H1301" s="115" t="s">
        <v>121</v>
      </c>
    </row>
    <row r="1302" spans="1:8" ht="19.899999999999999" customHeight="1">
      <c r="A1302" s="121">
        <v>46048</v>
      </c>
      <c r="B1302" s="112" t="s">
        <v>38</v>
      </c>
      <c r="C1302" s="113" t="s">
        <v>811</v>
      </c>
      <c r="D1302" s="112" t="s">
        <v>808</v>
      </c>
      <c r="E1302" s="122">
        <v>1.6284722222222221</v>
      </c>
      <c r="F1302" s="112" t="s">
        <v>43</v>
      </c>
      <c r="G1302" s="114">
        <v>20</v>
      </c>
      <c r="H1302" s="115" t="s">
        <v>121</v>
      </c>
    </row>
    <row r="1303" spans="1:8" ht="19.899999999999999" customHeight="1">
      <c r="A1303" s="121">
        <v>46048</v>
      </c>
      <c r="B1303" s="112" t="s">
        <v>26</v>
      </c>
      <c r="C1303" s="113" t="s">
        <v>820</v>
      </c>
      <c r="D1303" s="112" t="s">
        <v>808</v>
      </c>
      <c r="E1303" s="122">
        <v>1.4375</v>
      </c>
      <c r="F1303" s="112" t="s">
        <v>31</v>
      </c>
      <c r="G1303" s="114">
        <v>9</v>
      </c>
      <c r="H1303" s="115" t="s">
        <v>83</v>
      </c>
    </row>
    <row r="1304" spans="1:8" ht="19.899999999999999" customHeight="1">
      <c r="A1304" s="121">
        <v>46048</v>
      </c>
      <c r="B1304" s="112" t="s">
        <v>26</v>
      </c>
      <c r="C1304" s="113" t="s">
        <v>826</v>
      </c>
      <c r="D1304" s="112" t="s">
        <v>808</v>
      </c>
      <c r="E1304" s="122">
        <v>1.958333333333333</v>
      </c>
      <c r="F1304" s="112" t="s">
        <v>31</v>
      </c>
      <c r="G1304" s="114">
        <v>9</v>
      </c>
      <c r="H1304" s="115" t="s">
        <v>83</v>
      </c>
    </row>
    <row r="1305" spans="1:8" ht="19.899999999999999" customHeight="1">
      <c r="A1305" s="121">
        <v>46048</v>
      </c>
      <c r="B1305" s="112" t="s">
        <v>26</v>
      </c>
      <c r="C1305" s="113" t="s">
        <v>821</v>
      </c>
      <c r="D1305" s="112" t="s">
        <v>808</v>
      </c>
      <c r="E1305" s="122">
        <v>1.631944444444444</v>
      </c>
      <c r="F1305" s="112" t="s">
        <v>31</v>
      </c>
      <c r="G1305" s="114">
        <v>9</v>
      </c>
      <c r="H1305" s="115" t="s">
        <v>83</v>
      </c>
    </row>
    <row r="1306" spans="1:8" ht="19.899999999999999" customHeight="1">
      <c r="A1306" s="121">
        <v>46048</v>
      </c>
      <c r="B1306" s="112" t="s">
        <v>26</v>
      </c>
      <c r="C1306" s="113" t="s">
        <v>822</v>
      </c>
      <c r="D1306" s="112" t="s">
        <v>808</v>
      </c>
      <c r="E1306" s="122">
        <v>1.5590277777777779</v>
      </c>
      <c r="F1306" s="112" t="s">
        <v>31</v>
      </c>
      <c r="G1306" s="114">
        <v>9</v>
      </c>
      <c r="H1306" s="115" t="s">
        <v>83</v>
      </c>
    </row>
    <row r="1307" spans="1:8" ht="19.899999999999999" customHeight="1">
      <c r="A1307" s="121">
        <v>46048</v>
      </c>
      <c r="B1307" s="112" t="s">
        <v>26</v>
      </c>
      <c r="C1307" s="113" t="s">
        <v>823</v>
      </c>
      <c r="D1307" s="112" t="s">
        <v>808</v>
      </c>
      <c r="E1307" s="122">
        <v>1.819444444444444</v>
      </c>
      <c r="F1307" s="112" t="s">
        <v>31</v>
      </c>
      <c r="G1307" s="114">
        <v>9</v>
      </c>
      <c r="H1307" s="115" t="s">
        <v>83</v>
      </c>
    </row>
    <row r="1308" spans="1:8" ht="19.899999999999999" customHeight="1">
      <c r="A1308" s="121">
        <v>46048</v>
      </c>
      <c r="B1308" s="112" t="s">
        <v>26</v>
      </c>
      <c r="C1308" s="113" t="s">
        <v>825</v>
      </c>
      <c r="D1308" s="112" t="s">
        <v>808</v>
      </c>
      <c r="E1308" s="122">
        <v>1.697916666666667</v>
      </c>
      <c r="F1308" s="112" t="s">
        <v>31</v>
      </c>
      <c r="G1308" s="114">
        <v>9</v>
      </c>
      <c r="H1308" s="115" t="s">
        <v>83</v>
      </c>
    </row>
    <row r="1309" spans="1:8" ht="19.899999999999999" customHeight="1">
      <c r="A1309" s="121">
        <v>46048</v>
      </c>
      <c r="B1309" s="112" t="s">
        <v>38</v>
      </c>
      <c r="C1309" s="113" t="s">
        <v>812</v>
      </c>
      <c r="D1309" s="112" t="s">
        <v>808</v>
      </c>
      <c r="E1309" s="122">
        <v>1.8888888888888891</v>
      </c>
      <c r="F1309" s="112" t="s">
        <v>43</v>
      </c>
      <c r="G1309" s="114">
        <v>20</v>
      </c>
      <c r="H1309" s="115" t="s">
        <v>349</v>
      </c>
    </row>
    <row r="1310" spans="1:8" ht="19.899999999999999" customHeight="1">
      <c r="A1310" s="121">
        <v>46048</v>
      </c>
      <c r="B1310" s="112" t="s">
        <v>38</v>
      </c>
      <c r="C1310" s="113" t="s">
        <v>813</v>
      </c>
      <c r="D1310" s="112" t="s">
        <v>808</v>
      </c>
      <c r="E1310" s="122">
        <v>1.944444444444444</v>
      </c>
      <c r="F1310" s="112" t="s">
        <v>43</v>
      </c>
      <c r="G1310" s="114">
        <v>20</v>
      </c>
      <c r="H1310" s="115" t="s">
        <v>349</v>
      </c>
    </row>
    <row r="1311" spans="1:8" ht="19.899999999999999" customHeight="1">
      <c r="A1311" s="121">
        <v>46048</v>
      </c>
      <c r="B1311" s="112" t="s">
        <v>68</v>
      </c>
      <c r="C1311" s="113" t="s">
        <v>842</v>
      </c>
      <c r="D1311" s="112" t="s">
        <v>808</v>
      </c>
      <c r="E1311" s="122">
        <v>1.9826388888888891</v>
      </c>
      <c r="F1311" s="112" t="s">
        <v>70</v>
      </c>
      <c r="G1311" s="114">
        <v>9</v>
      </c>
      <c r="H1311" s="115" t="s">
        <v>404</v>
      </c>
    </row>
    <row r="1312" spans="1:8" ht="19.899999999999999" customHeight="1">
      <c r="A1312" s="121">
        <v>46048</v>
      </c>
      <c r="B1312" s="112" t="s">
        <v>68</v>
      </c>
      <c r="C1312" s="113" t="s">
        <v>843</v>
      </c>
      <c r="D1312" s="112" t="s">
        <v>808</v>
      </c>
      <c r="E1312" s="122">
        <v>1.354166666666667</v>
      </c>
      <c r="F1312" s="112" t="s">
        <v>70</v>
      </c>
      <c r="G1312" s="114">
        <v>9</v>
      </c>
      <c r="H1312" s="115" t="s">
        <v>404</v>
      </c>
    </row>
    <row r="1313" spans="1:8" ht="19.899999999999999" customHeight="1">
      <c r="A1313" s="121">
        <v>46048</v>
      </c>
      <c r="B1313" s="112" t="s">
        <v>26</v>
      </c>
      <c r="C1313" s="113" t="s">
        <v>824</v>
      </c>
      <c r="D1313" s="112" t="s">
        <v>808</v>
      </c>
      <c r="E1313" s="122">
        <v>1.506944444444444</v>
      </c>
      <c r="F1313" s="112" t="s">
        <v>31</v>
      </c>
      <c r="G1313" s="114">
        <v>9</v>
      </c>
      <c r="H1313" s="115" t="s">
        <v>161</v>
      </c>
    </row>
    <row r="1314" spans="1:8" ht="19.899999999999999" customHeight="1">
      <c r="A1314" s="121">
        <v>46048</v>
      </c>
      <c r="B1314" s="112" t="s">
        <v>26</v>
      </c>
      <c r="C1314" s="113" t="s">
        <v>820</v>
      </c>
      <c r="D1314" s="112" t="s">
        <v>808</v>
      </c>
      <c r="E1314" s="122">
        <v>1.4375</v>
      </c>
      <c r="F1314" s="112" t="s">
        <v>34</v>
      </c>
      <c r="G1314" s="114">
        <v>9</v>
      </c>
      <c r="H1314" s="115" t="s">
        <v>45</v>
      </c>
    </row>
    <row r="1315" spans="1:8" ht="19.899999999999999" customHeight="1">
      <c r="A1315" s="121">
        <v>46048</v>
      </c>
      <c r="B1315" s="112" t="s">
        <v>26</v>
      </c>
      <c r="C1315" s="113" t="s">
        <v>826</v>
      </c>
      <c r="D1315" s="112" t="s">
        <v>808</v>
      </c>
      <c r="E1315" s="122">
        <v>1.958333333333333</v>
      </c>
      <c r="F1315" s="112" t="s">
        <v>34</v>
      </c>
      <c r="G1315" s="114">
        <v>9</v>
      </c>
      <c r="H1315" s="115" t="s">
        <v>45</v>
      </c>
    </row>
    <row r="1316" spans="1:8" ht="19.899999999999999" customHeight="1">
      <c r="A1316" s="121">
        <v>46048</v>
      </c>
      <c r="B1316" s="112" t="s">
        <v>26</v>
      </c>
      <c r="C1316" s="113" t="s">
        <v>821</v>
      </c>
      <c r="D1316" s="112" t="s">
        <v>808</v>
      </c>
      <c r="E1316" s="122">
        <v>1.631944444444444</v>
      </c>
      <c r="F1316" s="112" t="s">
        <v>34</v>
      </c>
      <c r="G1316" s="114">
        <v>9</v>
      </c>
      <c r="H1316" s="115" t="s">
        <v>45</v>
      </c>
    </row>
    <row r="1317" spans="1:8" ht="19.899999999999999" customHeight="1">
      <c r="A1317" s="121">
        <v>46048</v>
      </c>
      <c r="B1317" s="112" t="s">
        <v>26</v>
      </c>
      <c r="C1317" s="113" t="s">
        <v>822</v>
      </c>
      <c r="D1317" s="112" t="s">
        <v>808</v>
      </c>
      <c r="E1317" s="122">
        <v>1.5590277777777779</v>
      </c>
      <c r="F1317" s="112" t="s">
        <v>34</v>
      </c>
      <c r="G1317" s="114">
        <v>9</v>
      </c>
      <c r="H1317" s="115" t="s">
        <v>45</v>
      </c>
    </row>
    <row r="1318" spans="1:8" ht="19.899999999999999" customHeight="1">
      <c r="A1318" s="121">
        <v>46048</v>
      </c>
      <c r="B1318" s="112" t="s">
        <v>26</v>
      </c>
      <c r="C1318" s="113" t="s">
        <v>823</v>
      </c>
      <c r="D1318" s="112" t="s">
        <v>808</v>
      </c>
      <c r="E1318" s="122">
        <v>1.819444444444444</v>
      </c>
      <c r="F1318" s="112" t="s">
        <v>34</v>
      </c>
      <c r="G1318" s="114">
        <v>9</v>
      </c>
      <c r="H1318" s="115" t="s">
        <v>45</v>
      </c>
    </row>
    <row r="1319" spans="1:8" ht="19.899999999999999" customHeight="1">
      <c r="A1319" s="121">
        <v>46048</v>
      </c>
      <c r="B1319" s="112" t="s">
        <v>26</v>
      </c>
      <c r="C1319" s="113" t="s">
        <v>825</v>
      </c>
      <c r="D1319" s="112" t="s">
        <v>808</v>
      </c>
      <c r="E1319" s="122">
        <v>1.697916666666667</v>
      </c>
      <c r="F1319" s="112" t="s">
        <v>34</v>
      </c>
      <c r="G1319" s="114">
        <v>9</v>
      </c>
      <c r="H1319" s="115" t="s">
        <v>45</v>
      </c>
    </row>
    <row r="1320" spans="1:8" ht="19.899999999999999" customHeight="1">
      <c r="A1320" s="121">
        <v>46048</v>
      </c>
      <c r="B1320" s="112" t="s">
        <v>402</v>
      </c>
      <c r="C1320" s="113" t="s">
        <v>839</v>
      </c>
      <c r="D1320" s="112" t="s">
        <v>808</v>
      </c>
      <c r="E1320" s="122">
        <v>1.1701388888888891</v>
      </c>
      <c r="F1320" s="112" t="s">
        <v>63</v>
      </c>
      <c r="G1320" s="114">
        <v>7</v>
      </c>
      <c r="H1320" s="115" t="s">
        <v>881</v>
      </c>
    </row>
    <row r="1321" spans="1:8" ht="19.899999999999999" customHeight="1">
      <c r="A1321" s="121">
        <v>46048</v>
      </c>
      <c r="B1321" s="112" t="s">
        <v>402</v>
      </c>
      <c r="C1321" s="113" t="s">
        <v>841</v>
      </c>
      <c r="D1321" s="112" t="s">
        <v>808</v>
      </c>
      <c r="E1321" s="122">
        <v>1.552083333333333</v>
      </c>
      <c r="F1321" s="112" t="s">
        <v>63</v>
      </c>
      <c r="G1321" s="114">
        <v>2</v>
      </c>
      <c r="H1321" s="115" t="s">
        <v>881</v>
      </c>
    </row>
    <row r="1322" spans="1:8" ht="19.899999999999999" customHeight="1">
      <c r="A1322" s="121">
        <v>46048</v>
      </c>
      <c r="B1322" s="112" t="s">
        <v>359</v>
      </c>
      <c r="C1322" s="113" t="s">
        <v>814</v>
      </c>
      <c r="D1322" s="112" t="s">
        <v>808</v>
      </c>
      <c r="E1322" s="122">
        <v>1.3298611111111109</v>
      </c>
      <c r="F1322" s="112" t="s">
        <v>46</v>
      </c>
      <c r="G1322" s="114">
        <v>9</v>
      </c>
      <c r="H1322" s="115" t="s">
        <v>950</v>
      </c>
    </row>
    <row r="1323" spans="1:8" ht="19.899999999999999" customHeight="1">
      <c r="A1323" s="121">
        <v>46048</v>
      </c>
      <c r="B1323" s="112" t="s">
        <v>26</v>
      </c>
      <c r="C1323" s="113" t="s">
        <v>824</v>
      </c>
      <c r="D1323" s="112" t="s">
        <v>808</v>
      </c>
      <c r="E1323" s="122">
        <v>1.506944444444444</v>
      </c>
      <c r="F1323" s="112" t="s">
        <v>34</v>
      </c>
      <c r="G1323" s="114">
        <v>9</v>
      </c>
      <c r="H1323" s="115" t="s">
        <v>123</v>
      </c>
    </row>
    <row r="1324" spans="1:8" ht="19.899999999999999" customHeight="1">
      <c r="A1324" s="121">
        <v>46048</v>
      </c>
      <c r="B1324" s="112" t="s">
        <v>38</v>
      </c>
      <c r="C1324" s="113" t="s">
        <v>809</v>
      </c>
      <c r="D1324" s="112" t="s">
        <v>808</v>
      </c>
      <c r="E1324" s="122">
        <v>1.5763888888888891</v>
      </c>
      <c r="F1324" s="112" t="s">
        <v>46</v>
      </c>
      <c r="G1324" s="114">
        <v>19</v>
      </c>
      <c r="H1324" s="115" t="s">
        <v>810</v>
      </c>
    </row>
    <row r="1325" spans="1:8" ht="19.899999999999999" customHeight="1">
      <c r="A1325" s="121">
        <v>46048</v>
      </c>
      <c r="B1325" s="112" t="s">
        <v>38</v>
      </c>
      <c r="C1325" s="113" t="s">
        <v>811</v>
      </c>
      <c r="D1325" s="112" t="s">
        <v>808</v>
      </c>
      <c r="E1325" s="122">
        <v>1.6284722222222221</v>
      </c>
      <c r="F1325" s="112" t="s">
        <v>46</v>
      </c>
      <c r="G1325" s="114">
        <v>20</v>
      </c>
      <c r="H1325" s="115" t="s">
        <v>810</v>
      </c>
    </row>
    <row r="1326" spans="1:8" ht="19.899999999999999" customHeight="1">
      <c r="A1326" s="121">
        <v>46048</v>
      </c>
      <c r="B1326" s="112" t="s">
        <v>38</v>
      </c>
      <c r="C1326" s="113" t="s">
        <v>812</v>
      </c>
      <c r="D1326" s="112" t="s">
        <v>808</v>
      </c>
      <c r="E1326" s="122">
        <v>1.8888888888888891</v>
      </c>
      <c r="F1326" s="112" t="s">
        <v>46</v>
      </c>
      <c r="G1326" s="114">
        <v>20</v>
      </c>
      <c r="H1326" s="115" t="s">
        <v>810</v>
      </c>
    </row>
    <row r="1327" spans="1:8" ht="19.899999999999999" customHeight="1">
      <c r="A1327" s="121">
        <v>46048</v>
      </c>
      <c r="B1327" s="112" t="s">
        <v>38</v>
      </c>
      <c r="C1327" s="113" t="s">
        <v>813</v>
      </c>
      <c r="D1327" s="112" t="s">
        <v>808</v>
      </c>
      <c r="E1327" s="122">
        <v>1.944444444444444</v>
      </c>
      <c r="F1327" s="112" t="s">
        <v>46</v>
      </c>
      <c r="G1327" s="114">
        <v>20</v>
      </c>
      <c r="H1327" s="115" t="s">
        <v>810</v>
      </c>
    </row>
    <row r="1328" spans="1:8" ht="19.899999999999999" customHeight="1">
      <c r="A1328" s="121">
        <v>46048</v>
      </c>
      <c r="B1328" s="112" t="s">
        <v>48</v>
      </c>
      <c r="C1328" s="113" t="s">
        <v>835</v>
      </c>
      <c r="D1328" s="112" t="s">
        <v>808</v>
      </c>
      <c r="E1328" s="122">
        <v>1.8888888888888891</v>
      </c>
      <c r="F1328" s="112" t="s">
        <v>53</v>
      </c>
      <c r="G1328" s="114">
        <v>4</v>
      </c>
      <c r="H1328" s="115" t="s">
        <v>836</v>
      </c>
    </row>
    <row r="1329" spans="1:8" ht="19.899999999999999" customHeight="1">
      <c r="A1329" s="121">
        <v>46048</v>
      </c>
      <c r="B1329" s="112" t="s">
        <v>48</v>
      </c>
      <c r="C1329" s="113" t="s">
        <v>837</v>
      </c>
      <c r="D1329" s="112" t="s">
        <v>808</v>
      </c>
      <c r="E1329" s="122">
        <v>1.6284722222222221</v>
      </c>
      <c r="F1329" s="112" t="s">
        <v>53</v>
      </c>
      <c r="G1329" s="114">
        <v>4</v>
      </c>
      <c r="H1329" s="115" t="s">
        <v>836</v>
      </c>
    </row>
    <row r="1330" spans="1:8" ht="19.899999999999999" customHeight="1">
      <c r="A1330" s="121">
        <v>46048</v>
      </c>
      <c r="B1330" s="112" t="s">
        <v>48</v>
      </c>
      <c r="C1330" s="113" t="s">
        <v>838</v>
      </c>
      <c r="D1330" s="112" t="s">
        <v>808</v>
      </c>
      <c r="E1330" s="122">
        <v>1.944444444444444</v>
      </c>
      <c r="F1330" s="112" t="s">
        <v>53</v>
      </c>
      <c r="G1330" s="114">
        <v>4</v>
      </c>
      <c r="H1330" s="115" t="s">
        <v>836</v>
      </c>
    </row>
    <row r="1331" spans="1:8" ht="19.899999999999999" customHeight="1">
      <c r="A1331" s="121">
        <v>46048</v>
      </c>
      <c r="B1331" s="112" t="s">
        <v>48</v>
      </c>
      <c r="C1331" s="113" t="s">
        <v>833</v>
      </c>
      <c r="D1331" s="112" t="s">
        <v>808</v>
      </c>
      <c r="E1331" s="122">
        <v>1.444444444444444</v>
      </c>
      <c r="F1331" s="112" t="s">
        <v>53</v>
      </c>
      <c r="G1331" s="114">
        <v>9</v>
      </c>
      <c r="H1331" s="115" t="s">
        <v>870</v>
      </c>
    </row>
    <row r="1332" spans="1:8" ht="19.899999999999999" customHeight="1">
      <c r="A1332" s="121">
        <v>46048</v>
      </c>
      <c r="B1332" s="112" t="s">
        <v>48</v>
      </c>
      <c r="C1332" s="113" t="s">
        <v>828</v>
      </c>
      <c r="D1332" s="112" t="s">
        <v>808</v>
      </c>
      <c r="E1332" s="122">
        <v>1.8298611111111109</v>
      </c>
      <c r="F1332" s="112" t="s">
        <v>53</v>
      </c>
      <c r="G1332" s="114">
        <v>9</v>
      </c>
      <c r="H1332" s="115" t="s">
        <v>870</v>
      </c>
    </row>
    <row r="1333" spans="1:8" ht="19.899999999999999" customHeight="1">
      <c r="A1333" s="121">
        <v>46048</v>
      </c>
      <c r="B1333" s="112" t="s">
        <v>48</v>
      </c>
      <c r="C1333" s="113" t="s">
        <v>884</v>
      </c>
      <c r="D1333" s="112" t="s">
        <v>808</v>
      </c>
      <c r="E1333" s="122">
        <v>1.208333333333333</v>
      </c>
      <c r="F1333" s="112" t="s">
        <v>53</v>
      </c>
      <c r="G1333" s="114">
        <v>9</v>
      </c>
      <c r="H1333" s="115" t="s">
        <v>870</v>
      </c>
    </row>
    <row r="1334" spans="1:8" ht="19.899999999999999" customHeight="1">
      <c r="A1334" s="121">
        <v>46048</v>
      </c>
      <c r="B1334" s="112" t="s">
        <v>48</v>
      </c>
      <c r="C1334" s="113" t="s">
        <v>831</v>
      </c>
      <c r="D1334" s="112" t="s">
        <v>808</v>
      </c>
      <c r="E1334" s="122">
        <v>1.9826388888888891</v>
      </c>
      <c r="F1334" s="112" t="s">
        <v>53</v>
      </c>
      <c r="G1334" s="114">
        <v>9</v>
      </c>
      <c r="H1334" s="115" t="s">
        <v>870</v>
      </c>
    </row>
    <row r="1335" spans="1:8" ht="19.899999999999999" customHeight="1">
      <c r="A1335" s="123">
        <v>46048</v>
      </c>
      <c r="B1335" s="124" t="s">
        <v>48</v>
      </c>
      <c r="C1335" s="125" t="s">
        <v>832</v>
      </c>
      <c r="D1335" s="124" t="s">
        <v>808</v>
      </c>
      <c r="E1335" s="126">
        <v>1.6284722222222221</v>
      </c>
      <c r="F1335" s="124" t="s">
        <v>53</v>
      </c>
      <c r="G1335" s="127">
        <v>9</v>
      </c>
      <c r="H1335" s="128" t="s">
        <v>870</v>
      </c>
    </row>
    <row r="1336" spans="1:8" ht="19.899999999999999" customHeight="1">
      <c r="A1336" s="121">
        <v>46049</v>
      </c>
      <c r="B1336" s="112" t="s">
        <v>38</v>
      </c>
      <c r="C1336" s="113" t="s">
        <v>809</v>
      </c>
      <c r="D1336" s="112" t="s">
        <v>808</v>
      </c>
      <c r="E1336" s="122">
        <v>1.5763888888888891</v>
      </c>
      <c r="F1336" s="112" t="s">
        <v>40</v>
      </c>
      <c r="G1336" s="114">
        <v>14</v>
      </c>
      <c r="H1336" s="115" t="s">
        <v>475</v>
      </c>
    </row>
    <row r="1337" spans="1:8" ht="19.899999999999999" customHeight="1">
      <c r="A1337" s="121">
        <v>46049</v>
      </c>
      <c r="B1337" s="112" t="s">
        <v>38</v>
      </c>
      <c r="C1337" s="113" t="s">
        <v>811</v>
      </c>
      <c r="D1337" s="112" t="s">
        <v>808</v>
      </c>
      <c r="E1337" s="122">
        <v>1.6284722222222221</v>
      </c>
      <c r="F1337" s="112" t="s">
        <v>40</v>
      </c>
      <c r="G1337" s="114">
        <v>19</v>
      </c>
      <c r="H1337" s="115" t="s">
        <v>475</v>
      </c>
    </row>
    <row r="1338" spans="1:8" ht="19.899999999999999" customHeight="1">
      <c r="A1338" s="121">
        <v>46049</v>
      </c>
      <c r="B1338" s="112" t="s">
        <v>38</v>
      </c>
      <c r="C1338" s="113" t="s">
        <v>812</v>
      </c>
      <c r="D1338" s="112" t="s">
        <v>808</v>
      </c>
      <c r="E1338" s="122">
        <v>1.8888888888888891</v>
      </c>
      <c r="F1338" s="112" t="s">
        <v>40</v>
      </c>
      <c r="G1338" s="114">
        <v>20</v>
      </c>
      <c r="H1338" s="115" t="s">
        <v>872</v>
      </c>
    </row>
    <row r="1339" spans="1:8" ht="19.899999999999999" customHeight="1">
      <c r="A1339" s="121">
        <v>46049</v>
      </c>
      <c r="B1339" s="112" t="s">
        <v>38</v>
      </c>
      <c r="C1339" s="113" t="s">
        <v>813</v>
      </c>
      <c r="D1339" s="112" t="s">
        <v>808</v>
      </c>
      <c r="E1339" s="122">
        <v>1.944444444444444</v>
      </c>
      <c r="F1339" s="112" t="s">
        <v>40</v>
      </c>
      <c r="G1339" s="114">
        <v>20</v>
      </c>
      <c r="H1339" s="115" t="s">
        <v>872</v>
      </c>
    </row>
    <row r="1340" spans="1:8" ht="19.899999999999999" customHeight="1">
      <c r="A1340" s="121">
        <v>46049</v>
      </c>
      <c r="B1340" s="112" t="s">
        <v>68</v>
      </c>
      <c r="C1340" s="113" t="s">
        <v>842</v>
      </c>
      <c r="D1340" s="112" t="s">
        <v>808</v>
      </c>
      <c r="E1340" s="122">
        <v>1.9826388888888891</v>
      </c>
      <c r="F1340" s="112" t="s">
        <v>643</v>
      </c>
      <c r="G1340" s="114">
        <v>4</v>
      </c>
      <c r="H1340" s="115" t="s">
        <v>891</v>
      </c>
    </row>
    <row r="1341" spans="1:8" ht="19.899999999999999" customHeight="1">
      <c r="A1341" s="121">
        <v>46049</v>
      </c>
      <c r="B1341" s="112" t="s">
        <v>26</v>
      </c>
      <c r="C1341" s="113" t="s">
        <v>820</v>
      </c>
      <c r="D1341" s="112" t="s">
        <v>808</v>
      </c>
      <c r="E1341" s="122">
        <v>1.4375</v>
      </c>
      <c r="F1341" s="112" t="s">
        <v>28</v>
      </c>
      <c r="G1341" s="114">
        <v>9</v>
      </c>
      <c r="H1341" s="115" t="s">
        <v>81</v>
      </c>
    </row>
    <row r="1342" spans="1:8" ht="19.899999999999999" customHeight="1">
      <c r="A1342" s="121">
        <v>46049</v>
      </c>
      <c r="B1342" s="112" t="s">
        <v>26</v>
      </c>
      <c r="C1342" s="113" t="s">
        <v>826</v>
      </c>
      <c r="D1342" s="112" t="s">
        <v>808</v>
      </c>
      <c r="E1342" s="122">
        <v>1.958333333333333</v>
      </c>
      <c r="F1342" s="112" t="s">
        <v>28</v>
      </c>
      <c r="G1342" s="114">
        <v>9</v>
      </c>
      <c r="H1342" s="115" t="s">
        <v>81</v>
      </c>
    </row>
    <row r="1343" spans="1:8" ht="19.899999999999999" customHeight="1">
      <c r="A1343" s="121">
        <v>46049</v>
      </c>
      <c r="B1343" s="112" t="s">
        <v>26</v>
      </c>
      <c r="C1343" s="113" t="s">
        <v>821</v>
      </c>
      <c r="D1343" s="112" t="s">
        <v>808</v>
      </c>
      <c r="E1343" s="122">
        <v>1.631944444444444</v>
      </c>
      <c r="F1343" s="112" t="s">
        <v>28</v>
      </c>
      <c r="G1343" s="114">
        <v>9</v>
      </c>
      <c r="H1343" s="115" t="s">
        <v>81</v>
      </c>
    </row>
    <row r="1344" spans="1:8" ht="19.899999999999999" customHeight="1">
      <c r="A1344" s="121">
        <v>46049</v>
      </c>
      <c r="B1344" s="112" t="s">
        <v>26</v>
      </c>
      <c r="C1344" s="113" t="s">
        <v>822</v>
      </c>
      <c r="D1344" s="112" t="s">
        <v>808</v>
      </c>
      <c r="E1344" s="122">
        <v>1.5590277777777779</v>
      </c>
      <c r="F1344" s="112" t="s">
        <v>28</v>
      </c>
      <c r="G1344" s="114">
        <v>9</v>
      </c>
      <c r="H1344" s="115" t="s">
        <v>81</v>
      </c>
    </row>
    <row r="1345" spans="1:8" ht="19.899999999999999" customHeight="1">
      <c r="A1345" s="121">
        <v>46049</v>
      </c>
      <c r="B1345" s="112" t="s">
        <v>26</v>
      </c>
      <c r="C1345" s="113" t="s">
        <v>823</v>
      </c>
      <c r="D1345" s="112" t="s">
        <v>808</v>
      </c>
      <c r="E1345" s="122">
        <v>1.819444444444444</v>
      </c>
      <c r="F1345" s="112" t="s">
        <v>28</v>
      </c>
      <c r="G1345" s="114">
        <v>9</v>
      </c>
      <c r="H1345" s="115" t="s">
        <v>81</v>
      </c>
    </row>
    <row r="1346" spans="1:8" ht="19.899999999999999" customHeight="1">
      <c r="A1346" s="121">
        <v>46049</v>
      </c>
      <c r="B1346" s="112" t="s">
        <v>26</v>
      </c>
      <c r="C1346" s="113" t="s">
        <v>824</v>
      </c>
      <c r="D1346" s="112" t="s">
        <v>808</v>
      </c>
      <c r="E1346" s="122">
        <v>1.506944444444444</v>
      </c>
      <c r="F1346" s="112" t="s">
        <v>28</v>
      </c>
      <c r="G1346" s="114">
        <v>9</v>
      </c>
      <c r="H1346" s="115" t="s">
        <v>81</v>
      </c>
    </row>
    <row r="1347" spans="1:8" ht="19.899999999999999" customHeight="1">
      <c r="A1347" s="121">
        <v>46049</v>
      </c>
      <c r="B1347" s="112" t="s">
        <v>26</v>
      </c>
      <c r="C1347" s="113" t="s">
        <v>825</v>
      </c>
      <c r="D1347" s="112" t="s">
        <v>808</v>
      </c>
      <c r="E1347" s="122">
        <v>1.697916666666667</v>
      </c>
      <c r="F1347" s="112" t="s">
        <v>28</v>
      </c>
      <c r="G1347" s="114">
        <v>9</v>
      </c>
      <c r="H1347" s="115" t="s">
        <v>81</v>
      </c>
    </row>
    <row r="1348" spans="1:8" ht="19.899999999999999" customHeight="1">
      <c r="A1348" s="129">
        <v>46049</v>
      </c>
      <c r="B1348" s="117" t="s">
        <v>61</v>
      </c>
      <c r="C1348" s="118" t="s">
        <v>852</v>
      </c>
      <c r="D1348" s="117" t="s">
        <v>808</v>
      </c>
      <c r="E1348" s="130">
        <v>1.7152777777777779</v>
      </c>
      <c r="F1348" s="117" t="s">
        <v>63</v>
      </c>
      <c r="G1348" s="119">
        <v>5</v>
      </c>
      <c r="H1348" s="120" t="s">
        <v>849</v>
      </c>
    </row>
    <row r="1349" spans="1:8" ht="19.899999999999999" customHeight="1">
      <c r="A1349" s="121">
        <v>46049</v>
      </c>
      <c r="B1349" s="112" t="s">
        <v>359</v>
      </c>
      <c r="C1349" s="113" t="s">
        <v>814</v>
      </c>
      <c r="D1349" s="112" t="s">
        <v>808</v>
      </c>
      <c r="E1349" s="122">
        <v>1.4375</v>
      </c>
      <c r="F1349" s="112" t="s">
        <v>361</v>
      </c>
      <c r="G1349" s="114">
        <v>9</v>
      </c>
      <c r="H1349" s="115" t="s">
        <v>949</v>
      </c>
    </row>
    <row r="1350" spans="1:8" ht="19.899999999999999" customHeight="1">
      <c r="A1350" s="121">
        <v>46049</v>
      </c>
      <c r="B1350" s="112" t="s">
        <v>359</v>
      </c>
      <c r="C1350" s="113" t="s">
        <v>887</v>
      </c>
      <c r="D1350" s="112" t="s">
        <v>808</v>
      </c>
      <c r="E1350" s="122">
        <v>1.052083333333333</v>
      </c>
      <c r="F1350" s="112" t="s">
        <v>361</v>
      </c>
      <c r="G1350" s="114">
        <v>9</v>
      </c>
      <c r="H1350" s="115" t="s">
        <v>949</v>
      </c>
    </row>
    <row r="1351" spans="1:8" ht="19.899999999999999" customHeight="1">
      <c r="A1351" s="121">
        <v>46049</v>
      </c>
      <c r="B1351" s="112" t="s">
        <v>38</v>
      </c>
      <c r="C1351" s="113" t="s">
        <v>809</v>
      </c>
      <c r="D1351" s="112" t="s">
        <v>808</v>
      </c>
      <c r="E1351" s="122">
        <v>1.5763888888888891</v>
      </c>
      <c r="F1351" s="112" t="s">
        <v>43</v>
      </c>
      <c r="G1351" s="114">
        <v>14</v>
      </c>
      <c r="H1351" s="115" t="s">
        <v>121</v>
      </c>
    </row>
    <row r="1352" spans="1:8" ht="19.899999999999999" customHeight="1">
      <c r="A1352" s="121">
        <v>46049</v>
      </c>
      <c r="B1352" s="112" t="s">
        <v>38</v>
      </c>
      <c r="C1352" s="113" t="s">
        <v>811</v>
      </c>
      <c r="D1352" s="112" t="s">
        <v>808</v>
      </c>
      <c r="E1352" s="122">
        <v>1.6284722222222221</v>
      </c>
      <c r="F1352" s="112" t="s">
        <v>43</v>
      </c>
      <c r="G1352" s="114">
        <v>19</v>
      </c>
      <c r="H1352" s="115" t="s">
        <v>121</v>
      </c>
    </row>
    <row r="1353" spans="1:8" ht="19.899999999999999" customHeight="1">
      <c r="A1353" s="121">
        <v>46049</v>
      </c>
      <c r="B1353" s="112" t="s">
        <v>26</v>
      </c>
      <c r="C1353" s="113" t="s">
        <v>820</v>
      </c>
      <c r="D1353" s="112" t="s">
        <v>808</v>
      </c>
      <c r="E1353" s="122">
        <v>1.4375</v>
      </c>
      <c r="F1353" s="112" t="s">
        <v>31</v>
      </c>
      <c r="G1353" s="114">
        <v>9</v>
      </c>
      <c r="H1353" s="115" t="s">
        <v>83</v>
      </c>
    </row>
    <row r="1354" spans="1:8" ht="19.899999999999999" customHeight="1">
      <c r="A1354" s="121">
        <v>46049</v>
      </c>
      <c r="B1354" s="112" t="s">
        <v>26</v>
      </c>
      <c r="C1354" s="113" t="s">
        <v>826</v>
      </c>
      <c r="D1354" s="112" t="s">
        <v>808</v>
      </c>
      <c r="E1354" s="122">
        <v>1.958333333333333</v>
      </c>
      <c r="F1354" s="112" t="s">
        <v>31</v>
      </c>
      <c r="G1354" s="114">
        <v>9</v>
      </c>
      <c r="H1354" s="115" t="s">
        <v>83</v>
      </c>
    </row>
    <row r="1355" spans="1:8" ht="19.899999999999999" customHeight="1">
      <c r="A1355" s="121">
        <v>46049</v>
      </c>
      <c r="B1355" s="112" t="s">
        <v>26</v>
      </c>
      <c r="C1355" s="113" t="s">
        <v>821</v>
      </c>
      <c r="D1355" s="112" t="s">
        <v>808</v>
      </c>
      <c r="E1355" s="122">
        <v>1.631944444444444</v>
      </c>
      <c r="F1355" s="112" t="s">
        <v>31</v>
      </c>
      <c r="G1355" s="114">
        <v>9</v>
      </c>
      <c r="H1355" s="115" t="s">
        <v>83</v>
      </c>
    </row>
    <row r="1356" spans="1:8" ht="19.899999999999999" customHeight="1">
      <c r="A1356" s="121">
        <v>46049</v>
      </c>
      <c r="B1356" s="112" t="s">
        <v>26</v>
      </c>
      <c r="C1356" s="113" t="s">
        <v>822</v>
      </c>
      <c r="D1356" s="112" t="s">
        <v>808</v>
      </c>
      <c r="E1356" s="122">
        <v>1.5590277777777779</v>
      </c>
      <c r="F1356" s="112" t="s">
        <v>31</v>
      </c>
      <c r="G1356" s="114">
        <v>9</v>
      </c>
      <c r="H1356" s="115" t="s">
        <v>83</v>
      </c>
    </row>
    <row r="1357" spans="1:8" ht="19.899999999999999" customHeight="1">
      <c r="A1357" s="121">
        <v>46049</v>
      </c>
      <c r="B1357" s="112" t="s">
        <v>26</v>
      </c>
      <c r="C1357" s="113" t="s">
        <v>823</v>
      </c>
      <c r="D1357" s="112" t="s">
        <v>808</v>
      </c>
      <c r="E1357" s="122">
        <v>1.819444444444444</v>
      </c>
      <c r="F1357" s="112" t="s">
        <v>31</v>
      </c>
      <c r="G1357" s="114">
        <v>9</v>
      </c>
      <c r="H1357" s="115" t="s">
        <v>83</v>
      </c>
    </row>
    <row r="1358" spans="1:8" ht="19.899999999999999" customHeight="1">
      <c r="A1358" s="121">
        <v>46049</v>
      </c>
      <c r="B1358" s="112" t="s">
        <v>26</v>
      </c>
      <c r="C1358" s="113" t="s">
        <v>824</v>
      </c>
      <c r="D1358" s="112" t="s">
        <v>808</v>
      </c>
      <c r="E1358" s="122">
        <v>1.506944444444444</v>
      </c>
      <c r="F1358" s="112" t="s">
        <v>31</v>
      </c>
      <c r="G1358" s="114">
        <v>9</v>
      </c>
      <c r="H1358" s="115" t="s">
        <v>83</v>
      </c>
    </row>
    <row r="1359" spans="1:8" ht="19.899999999999999" customHeight="1">
      <c r="A1359" s="121">
        <v>46049</v>
      </c>
      <c r="B1359" s="112" t="s">
        <v>26</v>
      </c>
      <c r="C1359" s="113" t="s">
        <v>825</v>
      </c>
      <c r="D1359" s="112" t="s">
        <v>808</v>
      </c>
      <c r="E1359" s="122">
        <v>1.697916666666667</v>
      </c>
      <c r="F1359" s="112" t="s">
        <v>31</v>
      </c>
      <c r="G1359" s="114">
        <v>9</v>
      </c>
      <c r="H1359" s="115" t="s">
        <v>83</v>
      </c>
    </row>
    <row r="1360" spans="1:8" ht="19.899999999999999" customHeight="1">
      <c r="A1360" s="121">
        <v>46049</v>
      </c>
      <c r="B1360" s="112" t="s">
        <v>38</v>
      </c>
      <c r="C1360" s="113" t="s">
        <v>812</v>
      </c>
      <c r="D1360" s="112" t="s">
        <v>808</v>
      </c>
      <c r="E1360" s="122">
        <v>1.8888888888888891</v>
      </c>
      <c r="F1360" s="112" t="s">
        <v>43</v>
      </c>
      <c r="G1360" s="114">
        <v>20</v>
      </c>
      <c r="H1360" s="115" t="s">
        <v>349</v>
      </c>
    </row>
    <row r="1361" spans="1:8" ht="19.899999999999999" customHeight="1">
      <c r="A1361" s="121">
        <v>46049</v>
      </c>
      <c r="B1361" s="112" t="s">
        <v>38</v>
      </c>
      <c r="C1361" s="113" t="s">
        <v>813</v>
      </c>
      <c r="D1361" s="112" t="s">
        <v>808</v>
      </c>
      <c r="E1361" s="122">
        <v>1.944444444444444</v>
      </c>
      <c r="F1361" s="112" t="s">
        <v>43</v>
      </c>
      <c r="G1361" s="114">
        <v>20</v>
      </c>
      <c r="H1361" s="115" t="s">
        <v>349</v>
      </c>
    </row>
    <row r="1362" spans="1:8" ht="19.899999999999999" customHeight="1">
      <c r="A1362" s="121">
        <v>46049</v>
      </c>
      <c r="B1362" s="112" t="s">
        <v>68</v>
      </c>
      <c r="C1362" s="113" t="s">
        <v>843</v>
      </c>
      <c r="D1362" s="112" t="s">
        <v>808</v>
      </c>
      <c r="E1362" s="122">
        <v>1.354166666666667</v>
      </c>
      <c r="F1362" s="112" t="s">
        <v>70</v>
      </c>
      <c r="G1362" s="114">
        <v>9</v>
      </c>
      <c r="H1362" s="115" t="s">
        <v>404</v>
      </c>
    </row>
    <row r="1363" spans="1:8" ht="19.899999999999999" customHeight="1">
      <c r="A1363" s="121">
        <v>46049</v>
      </c>
      <c r="B1363" s="112" t="s">
        <v>68</v>
      </c>
      <c r="C1363" s="113" t="s">
        <v>844</v>
      </c>
      <c r="D1363" s="112" t="s">
        <v>808</v>
      </c>
      <c r="E1363" s="122">
        <v>1.729166666666667</v>
      </c>
      <c r="F1363" s="112" t="s">
        <v>70</v>
      </c>
      <c r="G1363" s="114">
        <v>9</v>
      </c>
      <c r="H1363" s="115" t="s">
        <v>892</v>
      </c>
    </row>
    <row r="1364" spans="1:8" ht="19.899999999999999" customHeight="1">
      <c r="A1364" s="121">
        <v>46049</v>
      </c>
      <c r="B1364" s="112" t="s">
        <v>26</v>
      </c>
      <c r="C1364" s="113" t="s">
        <v>820</v>
      </c>
      <c r="D1364" s="112" t="s">
        <v>808</v>
      </c>
      <c r="E1364" s="122">
        <v>1.4375</v>
      </c>
      <c r="F1364" s="112" t="s">
        <v>34</v>
      </c>
      <c r="G1364" s="114">
        <v>9</v>
      </c>
      <c r="H1364" s="115" t="s">
        <v>45</v>
      </c>
    </row>
    <row r="1365" spans="1:8" ht="19.899999999999999" customHeight="1">
      <c r="A1365" s="121">
        <v>46049</v>
      </c>
      <c r="B1365" s="112" t="s">
        <v>26</v>
      </c>
      <c r="C1365" s="113" t="s">
        <v>826</v>
      </c>
      <c r="D1365" s="112" t="s">
        <v>808</v>
      </c>
      <c r="E1365" s="122">
        <v>1.958333333333333</v>
      </c>
      <c r="F1365" s="112" t="s">
        <v>34</v>
      </c>
      <c r="G1365" s="114">
        <v>9</v>
      </c>
      <c r="H1365" s="115" t="s">
        <v>45</v>
      </c>
    </row>
    <row r="1366" spans="1:8" ht="19.899999999999999" customHeight="1">
      <c r="A1366" s="121">
        <v>46049</v>
      </c>
      <c r="B1366" s="112" t="s">
        <v>26</v>
      </c>
      <c r="C1366" s="113" t="s">
        <v>821</v>
      </c>
      <c r="D1366" s="112" t="s">
        <v>808</v>
      </c>
      <c r="E1366" s="122">
        <v>1.631944444444444</v>
      </c>
      <c r="F1366" s="112" t="s">
        <v>34</v>
      </c>
      <c r="G1366" s="114">
        <v>9</v>
      </c>
      <c r="H1366" s="115" t="s">
        <v>45</v>
      </c>
    </row>
    <row r="1367" spans="1:8" ht="19.899999999999999" customHeight="1">
      <c r="A1367" s="121">
        <v>46049</v>
      </c>
      <c r="B1367" s="112" t="s">
        <v>26</v>
      </c>
      <c r="C1367" s="113" t="s">
        <v>822</v>
      </c>
      <c r="D1367" s="112" t="s">
        <v>808</v>
      </c>
      <c r="E1367" s="122">
        <v>1.5590277777777779</v>
      </c>
      <c r="F1367" s="112" t="s">
        <v>34</v>
      </c>
      <c r="G1367" s="114">
        <v>9</v>
      </c>
      <c r="H1367" s="115" t="s">
        <v>45</v>
      </c>
    </row>
    <row r="1368" spans="1:8" ht="19.899999999999999" customHeight="1">
      <c r="A1368" s="121">
        <v>46049</v>
      </c>
      <c r="B1368" s="112" t="s">
        <v>26</v>
      </c>
      <c r="C1368" s="113" t="s">
        <v>823</v>
      </c>
      <c r="D1368" s="112" t="s">
        <v>808</v>
      </c>
      <c r="E1368" s="122">
        <v>1.819444444444444</v>
      </c>
      <c r="F1368" s="112" t="s">
        <v>34</v>
      </c>
      <c r="G1368" s="114">
        <v>9</v>
      </c>
      <c r="H1368" s="115" t="s">
        <v>45</v>
      </c>
    </row>
    <row r="1369" spans="1:8" ht="19.899999999999999" customHeight="1">
      <c r="A1369" s="121">
        <v>46049</v>
      </c>
      <c r="B1369" s="112" t="s">
        <v>26</v>
      </c>
      <c r="C1369" s="113" t="s">
        <v>824</v>
      </c>
      <c r="D1369" s="112" t="s">
        <v>808</v>
      </c>
      <c r="E1369" s="122">
        <v>1.506944444444444</v>
      </c>
      <c r="F1369" s="112" t="s">
        <v>34</v>
      </c>
      <c r="G1369" s="114">
        <v>9</v>
      </c>
      <c r="H1369" s="115" t="s">
        <v>45</v>
      </c>
    </row>
    <row r="1370" spans="1:8" ht="19.899999999999999" customHeight="1">
      <c r="A1370" s="121">
        <v>46049</v>
      </c>
      <c r="B1370" s="112" t="s">
        <v>26</v>
      </c>
      <c r="C1370" s="113" t="s">
        <v>825</v>
      </c>
      <c r="D1370" s="112" t="s">
        <v>808</v>
      </c>
      <c r="E1370" s="122">
        <v>1.697916666666667</v>
      </c>
      <c r="F1370" s="112" t="s">
        <v>34</v>
      </c>
      <c r="G1370" s="114">
        <v>9</v>
      </c>
      <c r="H1370" s="115" t="s">
        <v>45</v>
      </c>
    </row>
    <row r="1371" spans="1:8" ht="19.899999999999999" customHeight="1">
      <c r="A1371" s="121">
        <v>46049</v>
      </c>
      <c r="B1371" s="112" t="s">
        <v>402</v>
      </c>
      <c r="C1371" s="113" t="s">
        <v>839</v>
      </c>
      <c r="D1371" s="112" t="s">
        <v>808</v>
      </c>
      <c r="E1371" s="122">
        <v>1.1701388888888891</v>
      </c>
      <c r="F1371" s="112" t="s">
        <v>63</v>
      </c>
      <c r="G1371" s="114">
        <v>7</v>
      </c>
      <c r="H1371" s="115" t="s">
        <v>881</v>
      </c>
    </row>
    <row r="1372" spans="1:8" ht="19.899999999999999" customHeight="1">
      <c r="A1372" s="121">
        <v>46049</v>
      </c>
      <c r="B1372" s="112" t="s">
        <v>359</v>
      </c>
      <c r="C1372" s="113" t="s">
        <v>814</v>
      </c>
      <c r="D1372" s="112" t="s">
        <v>808</v>
      </c>
      <c r="E1372" s="122">
        <v>1.4375</v>
      </c>
      <c r="F1372" s="112" t="s">
        <v>46</v>
      </c>
      <c r="G1372" s="114">
        <v>9</v>
      </c>
      <c r="H1372" s="115" t="s">
        <v>950</v>
      </c>
    </row>
    <row r="1373" spans="1:8" ht="19.899999999999999" customHeight="1">
      <c r="A1373" s="121">
        <v>46049</v>
      </c>
      <c r="B1373" s="112" t="s">
        <v>359</v>
      </c>
      <c r="C1373" s="113" t="s">
        <v>887</v>
      </c>
      <c r="D1373" s="112" t="s">
        <v>808</v>
      </c>
      <c r="E1373" s="122">
        <v>1.052083333333333</v>
      </c>
      <c r="F1373" s="112" t="s">
        <v>46</v>
      </c>
      <c r="G1373" s="114">
        <v>9</v>
      </c>
      <c r="H1373" s="115" t="s">
        <v>950</v>
      </c>
    </row>
    <row r="1374" spans="1:8" ht="19.899999999999999" customHeight="1">
      <c r="A1374" s="121">
        <v>46049</v>
      </c>
      <c r="B1374" s="112" t="s">
        <v>38</v>
      </c>
      <c r="C1374" s="113" t="s">
        <v>809</v>
      </c>
      <c r="D1374" s="112" t="s">
        <v>808</v>
      </c>
      <c r="E1374" s="122">
        <v>1.5763888888888891</v>
      </c>
      <c r="F1374" s="112" t="s">
        <v>46</v>
      </c>
      <c r="G1374" s="114">
        <v>14</v>
      </c>
      <c r="H1374" s="115" t="s">
        <v>810</v>
      </c>
    </row>
    <row r="1375" spans="1:8" ht="19.899999999999999" customHeight="1">
      <c r="A1375" s="121">
        <v>46049</v>
      </c>
      <c r="B1375" s="112" t="s">
        <v>38</v>
      </c>
      <c r="C1375" s="113" t="s">
        <v>811</v>
      </c>
      <c r="D1375" s="112" t="s">
        <v>808</v>
      </c>
      <c r="E1375" s="122">
        <v>1.6284722222222221</v>
      </c>
      <c r="F1375" s="112" t="s">
        <v>46</v>
      </c>
      <c r="G1375" s="114">
        <v>19</v>
      </c>
      <c r="H1375" s="115" t="s">
        <v>810</v>
      </c>
    </row>
    <row r="1376" spans="1:8" ht="19.899999999999999" customHeight="1">
      <c r="A1376" s="121">
        <v>46049</v>
      </c>
      <c r="B1376" s="112" t="s">
        <v>38</v>
      </c>
      <c r="C1376" s="113" t="s">
        <v>812</v>
      </c>
      <c r="D1376" s="112" t="s">
        <v>808</v>
      </c>
      <c r="E1376" s="122">
        <v>1.8888888888888891</v>
      </c>
      <c r="F1376" s="112" t="s">
        <v>46</v>
      </c>
      <c r="G1376" s="114">
        <v>20</v>
      </c>
      <c r="H1376" s="115" t="s">
        <v>810</v>
      </c>
    </row>
    <row r="1377" spans="1:8" ht="19.899999999999999" customHeight="1">
      <c r="A1377" s="121">
        <v>46049</v>
      </c>
      <c r="B1377" s="112" t="s">
        <v>38</v>
      </c>
      <c r="C1377" s="113" t="s">
        <v>813</v>
      </c>
      <c r="D1377" s="112" t="s">
        <v>808</v>
      </c>
      <c r="E1377" s="122">
        <v>1.944444444444444</v>
      </c>
      <c r="F1377" s="112" t="s">
        <v>46</v>
      </c>
      <c r="G1377" s="114">
        <v>20</v>
      </c>
      <c r="H1377" s="115" t="s">
        <v>810</v>
      </c>
    </row>
    <row r="1378" spans="1:8" ht="19.899999999999999" customHeight="1">
      <c r="A1378" s="121">
        <v>46049</v>
      </c>
      <c r="B1378" s="112" t="s">
        <v>48</v>
      </c>
      <c r="C1378" s="113" t="s">
        <v>835</v>
      </c>
      <c r="D1378" s="112" t="s">
        <v>808</v>
      </c>
      <c r="E1378" s="122">
        <v>1.8888888888888891</v>
      </c>
      <c r="F1378" s="112" t="s">
        <v>53</v>
      </c>
      <c r="G1378" s="114">
        <v>4</v>
      </c>
      <c r="H1378" s="115" t="s">
        <v>836</v>
      </c>
    </row>
    <row r="1379" spans="1:8" ht="19.899999999999999" customHeight="1">
      <c r="A1379" s="121">
        <v>46049</v>
      </c>
      <c r="B1379" s="112" t="s">
        <v>48</v>
      </c>
      <c r="C1379" s="113" t="s">
        <v>837</v>
      </c>
      <c r="D1379" s="112" t="s">
        <v>808</v>
      </c>
      <c r="E1379" s="122">
        <v>1.6284722222222221</v>
      </c>
      <c r="F1379" s="112" t="s">
        <v>53</v>
      </c>
      <c r="G1379" s="114">
        <v>4</v>
      </c>
      <c r="H1379" s="115" t="s">
        <v>836</v>
      </c>
    </row>
    <row r="1380" spans="1:8" ht="19.899999999999999" customHeight="1">
      <c r="A1380" s="121">
        <v>46049</v>
      </c>
      <c r="B1380" s="112" t="s">
        <v>48</v>
      </c>
      <c r="C1380" s="113" t="s">
        <v>838</v>
      </c>
      <c r="D1380" s="112" t="s">
        <v>808</v>
      </c>
      <c r="E1380" s="122">
        <v>1.944444444444444</v>
      </c>
      <c r="F1380" s="112" t="s">
        <v>53</v>
      </c>
      <c r="G1380" s="114">
        <v>4</v>
      </c>
      <c r="H1380" s="115" t="s">
        <v>836</v>
      </c>
    </row>
    <row r="1381" spans="1:8" ht="19.899999999999999" customHeight="1">
      <c r="A1381" s="121">
        <v>46049</v>
      </c>
      <c r="B1381" s="112" t="s">
        <v>48</v>
      </c>
      <c r="C1381" s="113" t="s">
        <v>833</v>
      </c>
      <c r="D1381" s="112" t="s">
        <v>808</v>
      </c>
      <c r="E1381" s="122">
        <v>1.444444444444444</v>
      </c>
      <c r="F1381" s="112" t="s">
        <v>53</v>
      </c>
      <c r="G1381" s="114">
        <v>9</v>
      </c>
      <c r="H1381" s="115" t="s">
        <v>870</v>
      </c>
    </row>
    <row r="1382" spans="1:8" ht="19.899999999999999" customHeight="1">
      <c r="A1382" s="121">
        <v>46049</v>
      </c>
      <c r="B1382" s="112" t="s">
        <v>48</v>
      </c>
      <c r="C1382" s="113" t="s">
        <v>828</v>
      </c>
      <c r="D1382" s="112" t="s">
        <v>808</v>
      </c>
      <c r="E1382" s="122">
        <v>1.8298611111111109</v>
      </c>
      <c r="F1382" s="112" t="s">
        <v>53</v>
      </c>
      <c r="G1382" s="114">
        <v>9</v>
      </c>
      <c r="H1382" s="115" t="s">
        <v>870</v>
      </c>
    </row>
    <row r="1383" spans="1:8" ht="19.899999999999999" customHeight="1">
      <c r="A1383" s="121">
        <v>46049</v>
      </c>
      <c r="B1383" s="112" t="s">
        <v>48</v>
      </c>
      <c r="C1383" s="113" t="s">
        <v>831</v>
      </c>
      <c r="D1383" s="112" t="s">
        <v>808</v>
      </c>
      <c r="E1383" s="122">
        <v>1.9826388888888891</v>
      </c>
      <c r="F1383" s="112" t="s">
        <v>53</v>
      </c>
      <c r="G1383" s="114">
        <v>9</v>
      </c>
      <c r="H1383" s="115" t="s">
        <v>870</v>
      </c>
    </row>
    <row r="1384" spans="1:8" ht="19.899999999999999" customHeight="1">
      <c r="A1384" s="121">
        <v>46049</v>
      </c>
      <c r="B1384" s="112" t="s">
        <v>48</v>
      </c>
      <c r="C1384" s="113" t="s">
        <v>875</v>
      </c>
      <c r="D1384" s="112" t="s">
        <v>808</v>
      </c>
      <c r="E1384" s="122">
        <v>1.697916666666667</v>
      </c>
      <c r="F1384" s="112" t="s">
        <v>53</v>
      </c>
      <c r="G1384" s="114">
        <v>9</v>
      </c>
      <c r="H1384" s="115" t="s">
        <v>870</v>
      </c>
    </row>
    <row r="1385" spans="1:8" ht="19.899999999999999" customHeight="1">
      <c r="A1385" s="123">
        <v>46049</v>
      </c>
      <c r="B1385" s="124" t="s">
        <v>48</v>
      </c>
      <c r="C1385" s="125" t="s">
        <v>832</v>
      </c>
      <c r="D1385" s="124" t="s">
        <v>808</v>
      </c>
      <c r="E1385" s="126">
        <v>1.6284722222222221</v>
      </c>
      <c r="F1385" s="124" t="s">
        <v>53</v>
      </c>
      <c r="G1385" s="127">
        <v>9</v>
      </c>
      <c r="H1385" s="128" t="s">
        <v>870</v>
      </c>
    </row>
    <row r="1386" spans="1:8" ht="19.899999999999999" customHeight="1">
      <c r="A1386" s="121">
        <v>46050</v>
      </c>
      <c r="B1386" s="112" t="s">
        <v>38</v>
      </c>
      <c r="C1386" s="113" t="s">
        <v>809</v>
      </c>
      <c r="D1386" s="112" t="s">
        <v>808</v>
      </c>
      <c r="E1386" s="122">
        <v>1.5763888888888891</v>
      </c>
      <c r="F1386" s="112" t="s">
        <v>40</v>
      </c>
      <c r="G1386" s="114">
        <v>14</v>
      </c>
      <c r="H1386" s="115" t="s">
        <v>475</v>
      </c>
    </row>
    <row r="1387" spans="1:8" ht="19.899999999999999" customHeight="1">
      <c r="A1387" s="121">
        <v>46050</v>
      </c>
      <c r="B1387" s="112" t="s">
        <v>38</v>
      </c>
      <c r="C1387" s="113" t="s">
        <v>811</v>
      </c>
      <c r="D1387" s="112" t="s">
        <v>808</v>
      </c>
      <c r="E1387" s="122">
        <v>1.6284722222222221</v>
      </c>
      <c r="F1387" s="112" t="s">
        <v>40</v>
      </c>
      <c r="G1387" s="114">
        <v>18</v>
      </c>
      <c r="H1387" s="115" t="s">
        <v>475</v>
      </c>
    </row>
    <row r="1388" spans="1:8" ht="19.899999999999999" customHeight="1">
      <c r="A1388" s="121">
        <v>46050</v>
      </c>
      <c r="B1388" s="112" t="s">
        <v>38</v>
      </c>
      <c r="C1388" s="113" t="s">
        <v>812</v>
      </c>
      <c r="D1388" s="112" t="s">
        <v>808</v>
      </c>
      <c r="E1388" s="122">
        <v>1.8888888888888891</v>
      </c>
      <c r="F1388" s="112" t="s">
        <v>40</v>
      </c>
      <c r="G1388" s="114">
        <v>20</v>
      </c>
      <c r="H1388" s="115" t="s">
        <v>872</v>
      </c>
    </row>
    <row r="1389" spans="1:8" ht="19.899999999999999" customHeight="1">
      <c r="A1389" s="121">
        <v>46050</v>
      </c>
      <c r="B1389" s="112" t="s">
        <v>38</v>
      </c>
      <c r="C1389" s="113" t="s">
        <v>813</v>
      </c>
      <c r="D1389" s="112" t="s">
        <v>808</v>
      </c>
      <c r="E1389" s="122">
        <v>1.944444444444444</v>
      </c>
      <c r="F1389" s="112" t="s">
        <v>40</v>
      </c>
      <c r="G1389" s="114">
        <v>20</v>
      </c>
      <c r="H1389" s="115" t="s">
        <v>872</v>
      </c>
    </row>
    <row r="1390" spans="1:8" ht="19.899999999999999" customHeight="1">
      <c r="A1390" s="121">
        <v>46050</v>
      </c>
      <c r="B1390" s="112" t="s">
        <v>68</v>
      </c>
      <c r="C1390" s="113" t="s">
        <v>842</v>
      </c>
      <c r="D1390" s="112" t="s">
        <v>808</v>
      </c>
      <c r="E1390" s="122">
        <v>1.9826388888888891</v>
      </c>
      <c r="F1390" s="112" t="s">
        <v>643</v>
      </c>
      <c r="G1390" s="114">
        <v>7</v>
      </c>
      <c r="H1390" s="115" t="s">
        <v>891</v>
      </c>
    </row>
    <row r="1391" spans="1:8" ht="19.899999999999999" customHeight="1">
      <c r="A1391" s="121">
        <v>46050</v>
      </c>
      <c r="B1391" s="112" t="s">
        <v>68</v>
      </c>
      <c r="C1391" s="113" t="s">
        <v>843</v>
      </c>
      <c r="D1391" s="112" t="s">
        <v>808</v>
      </c>
      <c r="E1391" s="122">
        <v>1.354166666666667</v>
      </c>
      <c r="F1391" s="112" t="s">
        <v>643</v>
      </c>
      <c r="G1391" s="114">
        <v>9</v>
      </c>
      <c r="H1391" s="115" t="s">
        <v>891</v>
      </c>
    </row>
    <row r="1392" spans="1:8" ht="19.899999999999999" customHeight="1">
      <c r="A1392" s="121">
        <v>46050</v>
      </c>
      <c r="B1392" s="112" t="s">
        <v>68</v>
      </c>
      <c r="C1392" s="113" t="s">
        <v>844</v>
      </c>
      <c r="D1392" s="112" t="s">
        <v>808</v>
      </c>
      <c r="E1392" s="122">
        <v>1.729166666666667</v>
      </c>
      <c r="F1392" s="112" t="s">
        <v>643</v>
      </c>
      <c r="G1392" s="114">
        <v>8</v>
      </c>
      <c r="H1392" s="115" t="s">
        <v>888</v>
      </c>
    </row>
    <row r="1393" spans="1:8" ht="19.899999999999999" customHeight="1">
      <c r="A1393" s="121">
        <v>46050</v>
      </c>
      <c r="B1393" s="112" t="s">
        <v>26</v>
      </c>
      <c r="C1393" s="113" t="s">
        <v>820</v>
      </c>
      <c r="D1393" s="112" t="s">
        <v>808</v>
      </c>
      <c r="E1393" s="122">
        <v>1.4375</v>
      </c>
      <c r="F1393" s="112" t="s">
        <v>28</v>
      </c>
      <c r="G1393" s="114">
        <v>9</v>
      </c>
      <c r="H1393" s="115" t="s">
        <v>81</v>
      </c>
    </row>
    <row r="1394" spans="1:8" ht="19.899999999999999" customHeight="1">
      <c r="A1394" s="121">
        <v>46050</v>
      </c>
      <c r="B1394" s="112" t="s">
        <v>26</v>
      </c>
      <c r="C1394" s="113" t="s">
        <v>826</v>
      </c>
      <c r="D1394" s="112" t="s">
        <v>808</v>
      </c>
      <c r="E1394" s="122">
        <v>1.958333333333333</v>
      </c>
      <c r="F1394" s="112" t="s">
        <v>28</v>
      </c>
      <c r="G1394" s="114">
        <v>9</v>
      </c>
      <c r="H1394" s="115" t="s">
        <v>81</v>
      </c>
    </row>
    <row r="1395" spans="1:8" ht="19.899999999999999" customHeight="1">
      <c r="A1395" s="121">
        <v>46050</v>
      </c>
      <c r="B1395" s="112" t="s">
        <v>26</v>
      </c>
      <c r="C1395" s="113" t="s">
        <v>821</v>
      </c>
      <c r="D1395" s="112" t="s">
        <v>808</v>
      </c>
      <c r="E1395" s="122">
        <v>1.631944444444444</v>
      </c>
      <c r="F1395" s="112" t="s">
        <v>28</v>
      </c>
      <c r="G1395" s="114">
        <v>9</v>
      </c>
      <c r="H1395" s="115" t="s">
        <v>81</v>
      </c>
    </row>
    <row r="1396" spans="1:8" ht="19.899999999999999" customHeight="1">
      <c r="A1396" s="121">
        <v>46050</v>
      </c>
      <c r="B1396" s="112" t="s">
        <v>26</v>
      </c>
      <c r="C1396" s="113" t="s">
        <v>822</v>
      </c>
      <c r="D1396" s="112" t="s">
        <v>808</v>
      </c>
      <c r="E1396" s="122">
        <v>1.5590277777777779</v>
      </c>
      <c r="F1396" s="112" t="s">
        <v>28</v>
      </c>
      <c r="G1396" s="114">
        <v>9</v>
      </c>
      <c r="H1396" s="115" t="s">
        <v>81</v>
      </c>
    </row>
    <row r="1397" spans="1:8" ht="19.899999999999999" customHeight="1">
      <c r="A1397" s="121">
        <v>46050</v>
      </c>
      <c r="B1397" s="112" t="s">
        <v>26</v>
      </c>
      <c r="C1397" s="113" t="s">
        <v>823</v>
      </c>
      <c r="D1397" s="112" t="s">
        <v>808</v>
      </c>
      <c r="E1397" s="122">
        <v>1.819444444444444</v>
      </c>
      <c r="F1397" s="112" t="s">
        <v>28</v>
      </c>
      <c r="G1397" s="114">
        <v>9</v>
      </c>
      <c r="H1397" s="115" t="s">
        <v>81</v>
      </c>
    </row>
    <row r="1398" spans="1:8" ht="19.899999999999999" customHeight="1">
      <c r="A1398" s="121">
        <v>46050</v>
      </c>
      <c r="B1398" s="112" t="s">
        <v>26</v>
      </c>
      <c r="C1398" s="113" t="s">
        <v>824</v>
      </c>
      <c r="D1398" s="112" t="s">
        <v>808</v>
      </c>
      <c r="E1398" s="122">
        <v>1.506944444444444</v>
      </c>
      <c r="F1398" s="112" t="s">
        <v>28</v>
      </c>
      <c r="G1398" s="114">
        <v>9</v>
      </c>
      <c r="H1398" s="115" t="s">
        <v>81</v>
      </c>
    </row>
    <row r="1399" spans="1:8" ht="19.899999999999999" customHeight="1">
      <c r="A1399" s="121">
        <v>46050</v>
      </c>
      <c r="B1399" s="112" t="s">
        <v>26</v>
      </c>
      <c r="C1399" s="113" t="s">
        <v>825</v>
      </c>
      <c r="D1399" s="112" t="s">
        <v>808</v>
      </c>
      <c r="E1399" s="122">
        <v>1.697916666666667</v>
      </c>
      <c r="F1399" s="112" t="s">
        <v>28</v>
      </c>
      <c r="G1399" s="114">
        <v>9</v>
      </c>
      <c r="H1399" s="115" t="s">
        <v>81</v>
      </c>
    </row>
    <row r="1400" spans="1:8" ht="19.899999999999999" customHeight="1">
      <c r="A1400" s="129">
        <v>46050</v>
      </c>
      <c r="B1400" s="117" t="s">
        <v>61</v>
      </c>
      <c r="C1400" s="118" t="s">
        <v>816</v>
      </c>
      <c r="D1400" s="117" t="s">
        <v>808</v>
      </c>
      <c r="E1400" s="130">
        <v>1.413194444444444</v>
      </c>
      <c r="F1400" s="117" t="s">
        <v>63</v>
      </c>
      <c r="G1400" s="119">
        <v>6</v>
      </c>
      <c r="H1400" s="120" t="s">
        <v>849</v>
      </c>
    </row>
    <row r="1401" spans="1:8" ht="19.899999999999999" customHeight="1">
      <c r="A1401" s="121">
        <v>46050</v>
      </c>
      <c r="B1401" s="112" t="s">
        <v>359</v>
      </c>
      <c r="C1401" s="113" t="s">
        <v>887</v>
      </c>
      <c r="D1401" s="112" t="s">
        <v>808</v>
      </c>
      <c r="E1401" s="122">
        <v>1.052083333333333</v>
      </c>
      <c r="F1401" s="112" t="s">
        <v>361</v>
      </c>
      <c r="G1401" s="114">
        <v>9</v>
      </c>
      <c r="H1401" s="115" t="s">
        <v>949</v>
      </c>
    </row>
    <row r="1402" spans="1:8" ht="19.899999999999999" customHeight="1">
      <c r="A1402" s="129">
        <v>46050</v>
      </c>
      <c r="B1402" s="117" t="s">
        <v>61</v>
      </c>
      <c r="C1402" s="118" t="s">
        <v>852</v>
      </c>
      <c r="D1402" s="117" t="s">
        <v>808</v>
      </c>
      <c r="E1402" s="130">
        <v>1.725694444444444</v>
      </c>
      <c r="F1402" s="117" t="s">
        <v>63</v>
      </c>
      <c r="G1402" s="119">
        <v>9</v>
      </c>
      <c r="H1402" s="120" t="s">
        <v>853</v>
      </c>
    </row>
    <row r="1403" spans="1:8" ht="19.899999999999999" customHeight="1">
      <c r="A1403" s="121">
        <v>46050</v>
      </c>
      <c r="B1403" s="112" t="s">
        <v>38</v>
      </c>
      <c r="C1403" s="113" t="s">
        <v>809</v>
      </c>
      <c r="D1403" s="112" t="s">
        <v>808</v>
      </c>
      <c r="E1403" s="122">
        <v>1.5763888888888891</v>
      </c>
      <c r="F1403" s="112" t="s">
        <v>43</v>
      </c>
      <c r="G1403" s="114">
        <v>14</v>
      </c>
      <c r="H1403" s="115" t="s">
        <v>121</v>
      </c>
    </row>
    <row r="1404" spans="1:8" ht="19.899999999999999" customHeight="1">
      <c r="A1404" s="121">
        <v>46050</v>
      </c>
      <c r="B1404" s="112" t="s">
        <v>38</v>
      </c>
      <c r="C1404" s="113" t="s">
        <v>811</v>
      </c>
      <c r="D1404" s="112" t="s">
        <v>808</v>
      </c>
      <c r="E1404" s="122">
        <v>1.6284722222222221</v>
      </c>
      <c r="F1404" s="112" t="s">
        <v>43</v>
      </c>
      <c r="G1404" s="114">
        <v>18</v>
      </c>
      <c r="H1404" s="115" t="s">
        <v>121</v>
      </c>
    </row>
    <row r="1405" spans="1:8" ht="19.899999999999999" customHeight="1">
      <c r="A1405" s="121">
        <v>46050</v>
      </c>
      <c r="B1405" s="112" t="s">
        <v>26</v>
      </c>
      <c r="C1405" s="113" t="s">
        <v>820</v>
      </c>
      <c r="D1405" s="112" t="s">
        <v>808</v>
      </c>
      <c r="E1405" s="122">
        <v>1.4375</v>
      </c>
      <c r="F1405" s="112" t="s">
        <v>31</v>
      </c>
      <c r="G1405" s="114">
        <v>9</v>
      </c>
      <c r="H1405" s="115" t="s">
        <v>83</v>
      </c>
    </row>
    <row r="1406" spans="1:8" ht="19.899999999999999" customHeight="1">
      <c r="A1406" s="121">
        <v>46050</v>
      </c>
      <c r="B1406" s="112" t="s">
        <v>26</v>
      </c>
      <c r="C1406" s="113" t="s">
        <v>826</v>
      </c>
      <c r="D1406" s="112" t="s">
        <v>808</v>
      </c>
      <c r="E1406" s="122">
        <v>1.958333333333333</v>
      </c>
      <c r="F1406" s="112" t="s">
        <v>31</v>
      </c>
      <c r="G1406" s="114">
        <v>9</v>
      </c>
      <c r="H1406" s="115" t="s">
        <v>83</v>
      </c>
    </row>
    <row r="1407" spans="1:8" ht="19.899999999999999" customHeight="1">
      <c r="A1407" s="121">
        <v>46050</v>
      </c>
      <c r="B1407" s="112" t="s">
        <v>26</v>
      </c>
      <c r="C1407" s="113" t="s">
        <v>821</v>
      </c>
      <c r="D1407" s="112" t="s">
        <v>808</v>
      </c>
      <c r="E1407" s="122">
        <v>1.631944444444444</v>
      </c>
      <c r="F1407" s="112" t="s">
        <v>31</v>
      </c>
      <c r="G1407" s="114">
        <v>9</v>
      </c>
      <c r="H1407" s="115" t="s">
        <v>83</v>
      </c>
    </row>
    <row r="1408" spans="1:8" ht="19.899999999999999" customHeight="1">
      <c r="A1408" s="121">
        <v>46050</v>
      </c>
      <c r="B1408" s="112" t="s">
        <v>26</v>
      </c>
      <c r="C1408" s="113" t="s">
        <v>822</v>
      </c>
      <c r="D1408" s="112" t="s">
        <v>808</v>
      </c>
      <c r="E1408" s="122">
        <v>1.5590277777777779</v>
      </c>
      <c r="F1408" s="112" t="s">
        <v>31</v>
      </c>
      <c r="G1408" s="114">
        <v>9</v>
      </c>
      <c r="H1408" s="115" t="s">
        <v>83</v>
      </c>
    </row>
    <row r="1409" spans="1:8" ht="19.899999999999999" customHeight="1">
      <c r="A1409" s="121">
        <v>46050</v>
      </c>
      <c r="B1409" s="112" t="s">
        <v>26</v>
      </c>
      <c r="C1409" s="113" t="s">
        <v>823</v>
      </c>
      <c r="D1409" s="112" t="s">
        <v>808</v>
      </c>
      <c r="E1409" s="122">
        <v>1.819444444444444</v>
      </c>
      <c r="F1409" s="112" t="s">
        <v>31</v>
      </c>
      <c r="G1409" s="114">
        <v>9</v>
      </c>
      <c r="H1409" s="115" t="s">
        <v>83</v>
      </c>
    </row>
    <row r="1410" spans="1:8" ht="19.899999999999999" customHeight="1">
      <c r="A1410" s="121">
        <v>46050</v>
      </c>
      <c r="B1410" s="112" t="s">
        <v>26</v>
      </c>
      <c r="C1410" s="113" t="s">
        <v>824</v>
      </c>
      <c r="D1410" s="112" t="s">
        <v>808</v>
      </c>
      <c r="E1410" s="122">
        <v>1.506944444444444</v>
      </c>
      <c r="F1410" s="112" t="s">
        <v>31</v>
      </c>
      <c r="G1410" s="114">
        <v>9</v>
      </c>
      <c r="H1410" s="115" t="s">
        <v>83</v>
      </c>
    </row>
    <row r="1411" spans="1:8" ht="19.899999999999999" customHeight="1">
      <c r="A1411" s="121">
        <v>46050</v>
      </c>
      <c r="B1411" s="112" t="s">
        <v>26</v>
      </c>
      <c r="C1411" s="113" t="s">
        <v>825</v>
      </c>
      <c r="D1411" s="112" t="s">
        <v>808</v>
      </c>
      <c r="E1411" s="122">
        <v>1.697916666666667</v>
      </c>
      <c r="F1411" s="112" t="s">
        <v>31</v>
      </c>
      <c r="G1411" s="114">
        <v>9</v>
      </c>
      <c r="H1411" s="115" t="s">
        <v>83</v>
      </c>
    </row>
    <row r="1412" spans="1:8" ht="19.899999999999999" customHeight="1">
      <c r="A1412" s="121">
        <v>46050</v>
      </c>
      <c r="B1412" s="112" t="s">
        <v>38</v>
      </c>
      <c r="C1412" s="113" t="s">
        <v>812</v>
      </c>
      <c r="D1412" s="112" t="s">
        <v>808</v>
      </c>
      <c r="E1412" s="122">
        <v>1.8888888888888891</v>
      </c>
      <c r="F1412" s="112" t="s">
        <v>43</v>
      </c>
      <c r="G1412" s="114">
        <v>20</v>
      </c>
      <c r="H1412" s="115" t="s">
        <v>349</v>
      </c>
    </row>
    <row r="1413" spans="1:8" ht="19.899999999999999" customHeight="1">
      <c r="A1413" s="121">
        <v>46050</v>
      </c>
      <c r="B1413" s="112" t="s">
        <v>38</v>
      </c>
      <c r="C1413" s="113" t="s">
        <v>813</v>
      </c>
      <c r="D1413" s="112" t="s">
        <v>808</v>
      </c>
      <c r="E1413" s="122">
        <v>1.944444444444444</v>
      </c>
      <c r="F1413" s="112" t="s">
        <v>43</v>
      </c>
      <c r="G1413" s="114">
        <v>20</v>
      </c>
      <c r="H1413" s="115" t="s">
        <v>349</v>
      </c>
    </row>
    <row r="1414" spans="1:8" ht="19.899999999999999" customHeight="1">
      <c r="A1414" s="121">
        <v>46050</v>
      </c>
      <c r="B1414" s="112" t="s">
        <v>26</v>
      </c>
      <c r="C1414" s="113" t="s">
        <v>820</v>
      </c>
      <c r="D1414" s="112" t="s">
        <v>808</v>
      </c>
      <c r="E1414" s="122">
        <v>1.4375</v>
      </c>
      <c r="F1414" s="112" t="s">
        <v>34</v>
      </c>
      <c r="G1414" s="114">
        <v>9</v>
      </c>
      <c r="H1414" s="115" t="s">
        <v>45</v>
      </c>
    </row>
    <row r="1415" spans="1:8" ht="19.899999999999999" customHeight="1">
      <c r="A1415" s="121">
        <v>46050</v>
      </c>
      <c r="B1415" s="112" t="s">
        <v>26</v>
      </c>
      <c r="C1415" s="113" t="s">
        <v>826</v>
      </c>
      <c r="D1415" s="112" t="s">
        <v>808</v>
      </c>
      <c r="E1415" s="122">
        <v>1.958333333333333</v>
      </c>
      <c r="F1415" s="112" t="s">
        <v>34</v>
      </c>
      <c r="G1415" s="114">
        <v>9</v>
      </c>
      <c r="H1415" s="115" t="s">
        <v>45</v>
      </c>
    </row>
    <row r="1416" spans="1:8" ht="19.899999999999999" customHeight="1">
      <c r="A1416" s="121">
        <v>46050</v>
      </c>
      <c r="B1416" s="112" t="s">
        <v>26</v>
      </c>
      <c r="C1416" s="113" t="s">
        <v>821</v>
      </c>
      <c r="D1416" s="112" t="s">
        <v>808</v>
      </c>
      <c r="E1416" s="122">
        <v>1.631944444444444</v>
      </c>
      <c r="F1416" s="112" t="s">
        <v>34</v>
      </c>
      <c r="G1416" s="114">
        <v>9</v>
      </c>
      <c r="H1416" s="115" t="s">
        <v>45</v>
      </c>
    </row>
    <row r="1417" spans="1:8" ht="19.899999999999999" customHeight="1">
      <c r="A1417" s="121">
        <v>46050</v>
      </c>
      <c r="B1417" s="112" t="s">
        <v>26</v>
      </c>
      <c r="C1417" s="113" t="s">
        <v>822</v>
      </c>
      <c r="D1417" s="112" t="s">
        <v>808</v>
      </c>
      <c r="E1417" s="122">
        <v>1.5590277777777779</v>
      </c>
      <c r="F1417" s="112" t="s">
        <v>34</v>
      </c>
      <c r="G1417" s="114">
        <v>9</v>
      </c>
      <c r="H1417" s="115" t="s">
        <v>45</v>
      </c>
    </row>
    <row r="1418" spans="1:8" ht="19.899999999999999" customHeight="1">
      <c r="A1418" s="121">
        <v>46050</v>
      </c>
      <c r="B1418" s="112" t="s">
        <v>26</v>
      </c>
      <c r="C1418" s="113" t="s">
        <v>823</v>
      </c>
      <c r="D1418" s="112" t="s">
        <v>808</v>
      </c>
      <c r="E1418" s="122">
        <v>1.819444444444444</v>
      </c>
      <c r="F1418" s="112" t="s">
        <v>34</v>
      </c>
      <c r="G1418" s="114">
        <v>9</v>
      </c>
      <c r="H1418" s="115" t="s">
        <v>45</v>
      </c>
    </row>
    <row r="1419" spans="1:8" ht="19.899999999999999" customHeight="1">
      <c r="A1419" s="121">
        <v>46050</v>
      </c>
      <c r="B1419" s="112" t="s">
        <v>26</v>
      </c>
      <c r="C1419" s="113" t="s">
        <v>824</v>
      </c>
      <c r="D1419" s="112" t="s">
        <v>808</v>
      </c>
      <c r="E1419" s="122">
        <v>1.506944444444444</v>
      </c>
      <c r="F1419" s="112" t="s">
        <v>34</v>
      </c>
      <c r="G1419" s="114">
        <v>9</v>
      </c>
      <c r="H1419" s="115" t="s">
        <v>45</v>
      </c>
    </row>
    <row r="1420" spans="1:8" ht="19.899999999999999" customHeight="1">
      <c r="A1420" s="121">
        <v>46050</v>
      </c>
      <c r="B1420" s="112" t="s">
        <v>26</v>
      </c>
      <c r="C1420" s="113" t="s">
        <v>825</v>
      </c>
      <c r="D1420" s="112" t="s">
        <v>808</v>
      </c>
      <c r="E1420" s="122">
        <v>1.697916666666667</v>
      </c>
      <c r="F1420" s="112" t="s">
        <v>34</v>
      </c>
      <c r="G1420" s="114">
        <v>9</v>
      </c>
      <c r="H1420" s="115" t="s">
        <v>45</v>
      </c>
    </row>
    <row r="1421" spans="1:8" ht="19.899999999999999" customHeight="1">
      <c r="A1421" s="121">
        <v>46050</v>
      </c>
      <c r="B1421" s="112" t="s">
        <v>402</v>
      </c>
      <c r="C1421" s="113" t="s">
        <v>839</v>
      </c>
      <c r="D1421" s="112" t="s">
        <v>808</v>
      </c>
      <c r="E1421" s="122">
        <v>1.2013888888888891</v>
      </c>
      <c r="F1421" s="112" t="s">
        <v>63</v>
      </c>
      <c r="G1421" s="114">
        <v>6</v>
      </c>
      <c r="H1421" s="115" t="s">
        <v>881</v>
      </c>
    </row>
    <row r="1422" spans="1:8" ht="19.899999999999999" customHeight="1">
      <c r="A1422" s="121">
        <v>46050</v>
      </c>
      <c r="B1422" s="112" t="s">
        <v>402</v>
      </c>
      <c r="C1422" s="113" t="s">
        <v>841</v>
      </c>
      <c r="D1422" s="112" t="s">
        <v>808</v>
      </c>
      <c r="E1422" s="122">
        <v>1.614583333333333</v>
      </c>
      <c r="F1422" s="112" t="s">
        <v>63</v>
      </c>
      <c r="G1422" s="114">
        <v>7</v>
      </c>
      <c r="H1422" s="115" t="s">
        <v>881</v>
      </c>
    </row>
    <row r="1423" spans="1:8" ht="19.899999999999999" customHeight="1">
      <c r="A1423" s="121">
        <v>46050</v>
      </c>
      <c r="B1423" s="112" t="s">
        <v>359</v>
      </c>
      <c r="C1423" s="113" t="s">
        <v>887</v>
      </c>
      <c r="D1423" s="112" t="s">
        <v>808</v>
      </c>
      <c r="E1423" s="122">
        <v>1.052083333333333</v>
      </c>
      <c r="F1423" s="112" t="s">
        <v>46</v>
      </c>
      <c r="G1423" s="114">
        <v>9</v>
      </c>
      <c r="H1423" s="115" t="s">
        <v>950</v>
      </c>
    </row>
    <row r="1424" spans="1:8" ht="19.899999999999999" customHeight="1">
      <c r="A1424" s="121">
        <v>46050</v>
      </c>
      <c r="B1424" s="112" t="s">
        <v>38</v>
      </c>
      <c r="C1424" s="113" t="s">
        <v>809</v>
      </c>
      <c r="D1424" s="112" t="s">
        <v>808</v>
      </c>
      <c r="E1424" s="122">
        <v>1.5763888888888891</v>
      </c>
      <c r="F1424" s="112" t="s">
        <v>46</v>
      </c>
      <c r="G1424" s="114">
        <v>14</v>
      </c>
      <c r="H1424" s="115" t="s">
        <v>810</v>
      </c>
    </row>
    <row r="1425" spans="1:8" ht="19.899999999999999" customHeight="1">
      <c r="A1425" s="121">
        <v>46050</v>
      </c>
      <c r="B1425" s="112" t="s">
        <v>38</v>
      </c>
      <c r="C1425" s="113" t="s">
        <v>811</v>
      </c>
      <c r="D1425" s="112" t="s">
        <v>808</v>
      </c>
      <c r="E1425" s="122">
        <v>1.6284722222222221</v>
      </c>
      <c r="F1425" s="112" t="s">
        <v>46</v>
      </c>
      <c r="G1425" s="114">
        <v>18</v>
      </c>
      <c r="H1425" s="115" t="s">
        <v>810</v>
      </c>
    </row>
    <row r="1426" spans="1:8" ht="19.899999999999999" customHeight="1">
      <c r="A1426" s="121">
        <v>46050</v>
      </c>
      <c r="B1426" s="112" t="s">
        <v>38</v>
      </c>
      <c r="C1426" s="113" t="s">
        <v>812</v>
      </c>
      <c r="D1426" s="112" t="s">
        <v>808</v>
      </c>
      <c r="E1426" s="122">
        <v>1.8888888888888891</v>
      </c>
      <c r="F1426" s="112" t="s">
        <v>46</v>
      </c>
      <c r="G1426" s="114">
        <v>20</v>
      </c>
      <c r="H1426" s="115" t="s">
        <v>810</v>
      </c>
    </row>
    <row r="1427" spans="1:8" ht="19.899999999999999" customHeight="1">
      <c r="A1427" s="121">
        <v>46050</v>
      </c>
      <c r="B1427" s="112" t="s">
        <v>38</v>
      </c>
      <c r="C1427" s="113" t="s">
        <v>813</v>
      </c>
      <c r="D1427" s="112" t="s">
        <v>808</v>
      </c>
      <c r="E1427" s="122">
        <v>1.944444444444444</v>
      </c>
      <c r="F1427" s="112" t="s">
        <v>46</v>
      </c>
      <c r="G1427" s="114">
        <v>20</v>
      </c>
      <c r="H1427" s="115" t="s">
        <v>810</v>
      </c>
    </row>
    <row r="1428" spans="1:8" ht="19.899999999999999" customHeight="1">
      <c r="A1428" s="121">
        <v>46050</v>
      </c>
      <c r="B1428" s="112" t="s">
        <v>48</v>
      </c>
      <c r="C1428" s="113" t="s">
        <v>835</v>
      </c>
      <c r="D1428" s="112" t="s">
        <v>808</v>
      </c>
      <c r="E1428" s="122">
        <v>1.8888888888888891</v>
      </c>
      <c r="F1428" s="112" t="s">
        <v>53</v>
      </c>
      <c r="G1428" s="114">
        <v>4</v>
      </c>
      <c r="H1428" s="115" t="s">
        <v>836</v>
      </c>
    </row>
    <row r="1429" spans="1:8" ht="19.899999999999999" customHeight="1">
      <c r="A1429" s="121">
        <v>46050</v>
      </c>
      <c r="B1429" s="112" t="s">
        <v>48</v>
      </c>
      <c r="C1429" s="113" t="s">
        <v>837</v>
      </c>
      <c r="D1429" s="112" t="s">
        <v>808</v>
      </c>
      <c r="E1429" s="122">
        <v>1.6284722222222221</v>
      </c>
      <c r="F1429" s="112" t="s">
        <v>53</v>
      </c>
      <c r="G1429" s="114">
        <v>4</v>
      </c>
      <c r="H1429" s="115" t="s">
        <v>836</v>
      </c>
    </row>
    <row r="1430" spans="1:8" ht="19.899999999999999" customHeight="1">
      <c r="A1430" s="121">
        <v>46050</v>
      </c>
      <c r="B1430" s="112" t="s">
        <v>48</v>
      </c>
      <c r="C1430" s="113" t="s">
        <v>838</v>
      </c>
      <c r="D1430" s="112" t="s">
        <v>808</v>
      </c>
      <c r="E1430" s="122">
        <v>1.944444444444444</v>
      </c>
      <c r="F1430" s="112" t="s">
        <v>53</v>
      </c>
      <c r="G1430" s="114">
        <v>4</v>
      </c>
      <c r="H1430" s="115" t="s">
        <v>836</v>
      </c>
    </row>
    <row r="1431" spans="1:8" ht="19.899999999999999" customHeight="1">
      <c r="A1431" s="121">
        <v>46050</v>
      </c>
      <c r="B1431" s="112" t="s">
        <v>48</v>
      </c>
      <c r="C1431" s="113" t="s">
        <v>833</v>
      </c>
      <c r="D1431" s="112" t="s">
        <v>808</v>
      </c>
      <c r="E1431" s="122">
        <v>1.444444444444444</v>
      </c>
      <c r="F1431" s="112" t="s">
        <v>53</v>
      </c>
      <c r="G1431" s="114">
        <v>9</v>
      </c>
      <c r="H1431" s="115" t="s">
        <v>870</v>
      </c>
    </row>
    <row r="1432" spans="1:8" ht="19.899999999999999" customHeight="1">
      <c r="A1432" s="121">
        <v>46050</v>
      </c>
      <c r="B1432" s="112" t="s">
        <v>48</v>
      </c>
      <c r="C1432" s="113" t="s">
        <v>828</v>
      </c>
      <c r="D1432" s="112" t="s">
        <v>808</v>
      </c>
      <c r="E1432" s="122">
        <v>1.8298611111111109</v>
      </c>
      <c r="F1432" s="112" t="s">
        <v>53</v>
      </c>
      <c r="G1432" s="114">
        <v>9</v>
      </c>
      <c r="H1432" s="115" t="s">
        <v>870</v>
      </c>
    </row>
    <row r="1433" spans="1:8" ht="19.899999999999999" customHeight="1">
      <c r="A1433" s="121">
        <v>46050</v>
      </c>
      <c r="B1433" s="112" t="s">
        <v>48</v>
      </c>
      <c r="C1433" s="113" t="s">
        <v>831</v>
      </c>
      <c r="D1433" s="112" t="s">
        <v>808</v>
      </c>
      <c r="E1433" s="122">
        <v>1.9826388888888891</v>
      </c>
      <c r="F1433" s="112" t="s">
        <v>53</v>
      </c>
      <c r="G1433" s="114">
        <v>9</v>
      </c>
      <c r="H1433" s="115" t="s">
        <v>870</v>
      </c>
    </row>
    <row r="1434" spans="1:8" ht="19.899999999999999" customHeight="1">
      <c r="A1434" s="123">
        <v>46050</v>
      </c>
      <c r="B1434" s="124" t="s">
        <v>48</v>
      </c>
      <c r="C1434" s="125" t="s">
        <v>832</v>
      </c>
      <c r="D1434" s="124" t="s">
        <v>808</v>
      </c>
      <c r="E1434" s="126">
        <v>1.6284722222222221</v>
      </c>
      <c r="F1434" s="124" t="s">
        <v>53</v>
      </c>
      <c r="G1434" s="127">
        <v>9</v>
      </c>
      <c r="H1434" s="128" t="s">
        <v>870</v>
      </c>
    </row>
    <row r="1435" spans="1:8" ht="19.899999999999999" customHeight="1">
      <c r="A1435" s="121">
        <v>46051</v>
      </c>
      <c r="B1435" s="112" t="s">
        <v>38</v>
      </c>
      <c r="C1435" s="113" t="s">
        <v>809</v>
      </c>
      <c r="D1435" s="112" t="s">
        <v>808</v>
      </c>
      <c r="E1435" s="122">
        <v>1.5763888888888891</v>
      </c>
      <c r="F1435" s="112" t="s">
        <v>40</v>
      </c>
      <c r="G1435" s="114">
        <v>20</v>
      </c>
      <c r="H1435" s="115" t="s">
        <v>475</v>
      </c>
    </row>
    <row r="1436" spans="1:8" ht="19.899999999999999" customHeight="1">
      <c r="A1436" s="121">
        <v>46051</v>
      </c>
      <c r="B1436" s="112" t="s">
        <v>38</v>
      </c>
      <c r="C1436" s="113" t="s">
        <v>811</v>
      </c>
      <c r="D1436" s="112" t="s">
        <v>808</v>
      </c>
      <c r="E1436" s="122">
        <v>1.6284722222222221</v>
      </c>
      <c r="F1436" s="112" t="s">
        <v>40</v>
      </c>
      <c r="G1436" s="114">
        <v>17</v>
      </c>
      <c r="H1436" s="115" t="s">
        <v>475</v>
      </c>
    </row>
    <row r="1437" spans="1:8" ht="19.899999999999999" customHeight="1">
      <c r="A1437" s="121">
        <v>46051</v>
      </c>
      <c r="B1437" s="112" t="s">
        <v>68</v>
      </c>
      <c r="C1437" s="113" t="s">
        <v>842</v>
      </c>
      <c r="D1437" s="112" t="s">
        <v>808</v>
      </c>
      <c r="E1437" s="122">
        <v>1.9826388888888891</v>
      </c>
      <c r="F1437" s="112" t="s">
        <v>643</v>
      </c>
      <c r="G1437" s="114">
        <v>7</v>
      </c>
      <c r="H1437" s="115" t="s">
        <v>891</v>
      </c>
    </row>
    <row r="1438" spans="1:8" ht="19.899999999999999" customHeight="1">
      <c r="A1438" s="121">
        <v>46051</v>
      </c>
      <c r="B1438" s="112" t="s">
        <v>26</v>
      </c>
      <c r="C1438" s="113" t="s">
        <v>820</v>
      </c>
      <c r="D1438" s="112" t="s">
        <v>808</v>
      </c>
      <c r="E1438" s="122">
        <v>1.4375</v>
      </c>
      <c r="F1438" s="112" t="s">
        <v>28</v>
      </c>
      <c r="G1438" s="114">
        <v>9</v>
      </c>
      <c r="H1438" s="115" t="s">
        <v>81</v>
      </c>
    </row>
    <row r="1439" spans="1:8" ht="19.899999999999999" customHeight="1">
      <c r="A1439" s="121">
        <v>46051</v>
      </c>
      <c r="B1439" s="112" t="s">
        <v>26</v>
      </c>
      <c r="C1439" s="113" t="s">
        <v>821</v>
      </c>
      <c r="D1439" s="112" t="s">
        <v>808</v>
      </c>
      <c r="E1439" s="122">
        <v>1.631944444444444</v>
      </c>
      <c r="F1439" s="112" t="s">
        <v>28</v>
      </c>
      <c r="G1439" s="114">
        <v>9</v>
      </c>
      <c r="H1439" s="115" t="s">
        <v>81</v>
      </c>
    </row>
    <row r="1440" spans="1:8" ht="19.899999999999999" customHeight="1">
      <c r="A1440" s="121">
        <v>46051</v>
      </c>
      <c r="B1440" s="112" t="s">
        <v>26</v>
      </c>
      <c r="C1440" s="113" t="s">
        <v>822</v>
      </c>
      <c r="D1440" s="112" t="s">
        <v>808</v>
      </c>
      <c r="E1440" s="122">
        <v>1.5590277777777779</v>
      </c>
      <c r="F1440" s="112" t="s">
        <v>28</v>
      </c>
      <c r="G1440" s="114">
        <v>8</v>
      </c>
      <c r="H1440" s="115" t="s">
        <v>81</v>
      </c>
    </row>
    <row r="1441" spans="1:8" ht="19.899999999999999" customHeight="1">
      <c r="A1441" s="121">
        <v>46051</v>
      </c>
      <c r="B1441" s="112" t="s">
        <v>26</v>
      </c>
      <c r="C1441" s="113" t="s">
        <v>824</v>
      </c>
      <c r="D1441" s="112" t="s">
        <v>808</v>
      </c>
      <c r="E1441" s="122">
        <v>1.506944444444444</v>
      </c>
      <c r="F1441" s="112" t="s">
        <v>28</v>
      </c>
      <c r="G1441" s="114">
        <v>9</v>
      </c>
      <c r="H1441" s="115" t="s">
        <v>81</v>
      </c>
    </row>
    <row r="1442" spans="1:8" ht="19.899999999999999" customHeight="1">
      <c r="A1442" s="121">
        <v>46051</v>
      </c>
      <c r="B1442" s="112" t="s">
        <v>26</v>
      </c>
      <c r="C1442" s="113" t="s">
        <v>825</v>
      </c>
      <c r="D1442" s="112" t="s">
        <v>808</v>
      </c>
      <c r="E1442" s="122">
        <v>1.697916666666667</v>
      </c>
      <c r="F1442" s="112" t="s">
        <v>28</v>
      </c>
      <c r="G1442" s="114">
        <v>9</v>
      </c>
      <c r="H1442" s="115" t="s">
        <v>81</v>
      </c>
    </row>
    <row r="1443" spans="1:8" ht="19.899999999999999" customHeight="1">
      <c r="A1443" s="129">
        <v>46051</v>
      </c>
      <c r="B1443" s="117" t="s">
        <v>61</v>
      </c>
      <c r="C1443" s="118" t="s">
        <v>816</v>
      </c>
      <c r="D1443" s="117" t="s">
        <v>808</v>
      </c>
      <c r="E1443" s="130">
        <v>1.413194444444444</v>
      </c>
      <c r="F1443" s="117" t="s">
        <v>63</v>
      </c>
      <c r="G1443" s="119">
        <v>9</v>
      </c>
      <c r="H1443" s="120" t="s">
        <v>849</v>
      </c>
    </row>
    <row r="1444" spans="1:8" ht="19.899999999999999" customHeight="1">
      <c r="A1444" s="121">
        <v>46051</v>
      </c>
      <c r="B1444" s="112" t="s">
        <v>359</v>
      </c>
      <c r="C1444" s="113" t="s">
        <v>814</v>
      </c>
      <c r="D1444" s="112" t="s">
        <v>808</v>
      </c>
      <c r="E1444" s="122">
        <v>1.4375</v>
      </c>
      <c r="F1444" s="112" t="s">
        <v>361</v>
      </c>
      <c r="G1444" s="114">
        <v>9</v>
      </c>
      <c r="H1444" s="115" t="s">
        <v>949</v>
      </c>
    </row>
    <row r="1445" spans="1:8" ht="19.899999999999999" customHeight="1">
      <c r="A1445" s="121">
        <v>46051</v>
      </c>
      <c r="B1445" s="112" t="s">
        <v>26</v>
      </c>
      <c r="C1445" s="113" t="s">
        <v>826</v>
      </c>
      <c r="D1445" s="112" t="s">
        <v>808</v>
      </c>
      <c r="E1445" s="122">
        <v>1.958333333333333</v>
      </c>
      <c r="F1445" s="112" t="s">
        <v>28</v>
      </c>
      <c r="G1445" s="114">
        <v>9</v>
      </c>
      <c r="H1445" s="115" t="s">
        <v>827</v>
      </c>
    </row>
    <row r="1446" spans="1:8" ht="19.899999999999999" customHeight="1">
      <c r="A1446" s="121">
        <v>46051</v>
      </c>
      <c r="B1446" s="112" t="s">
        <v>26</v>
      </c>
      <c r="C1446" s="113" t="s">
        <v>823</v>
      </c>
      <c r="D1446" s="112" t="s">
        <v>808</v>
      </c>
      <c r="E1446" s="122">
        <v>1.819444444444444</v>
      </c>
      <c r="F1446" s="112" t="s">
        <v>28</v>
      </c>
      <c r="G1446" s="114">
        <v>9</v>
      </c>
      <c r="H1446" s="115" t="s">
        <v>827</v>
      </c>
    </row>
    <row r="1447" spans="1:8" ht="19.899999999999999" customHeight="1">
      <c r="A1447" s="121">
        <v>46051</v>
      </c>
      <c r="B1447" s="112" t="s">
        <v>38</v>
      </c>
      <c r="C1447" s="113" t="s">
        <v>809</v>
      </c>
      <c r="D1447" s="112" t="s">
        <v>808</v>
      </c>
      <c r="E1447" s="122">
        <v>1.5763888888888891</v>
      </c>
      <c r="F1447" s="112" t="s">
        <v>43</v>
      </c>
      <c r="G1447" s="114">
        <v>20</v>
      </c>
      <c r="H1447" s="115" t="s">
        <v>121</v>
      </c>
    </row>
    <row r="1448" spans="1:8" ht="19.899999999999999" customHeight="1">
      <c r="A1448" s="121">
        <v>46051</v>
      </c>
      <c r="B1448" s="112" t="s">
        <v>38</v>
      </c>
      <c r="C1448" s="113" t="s">
        <v>811</v>
      </c>
      <c r="D1448" s="112" t="s">
        <v>808</v>
      </c>
      <c r="E1448" s="122">
        <v>1.6284722222222221</v>
      </c>
      <c r="F1448" s="112" t="s">
        <v>43</v>
      </c>
      <c r="G1448" s="114">
        <v>17</v>
      </c>
      <c r="H1448" s="115" t="s">
        <v>121</v>
      </c>
    </row>
    <row r="1449" spans="1:8" ht="19.899999999999999" customHeight="1">
      <c r="A1449" s="121">
        <v>46051</v>
      </c>
      <c r="B1449" s="112" t="s">
        <v>38</v>
      </c>
      <c r="C1449" s="113" t="s">
        <v>812</v>
      </c>
      <c r="D1449" s="112" t="s">
        <v>808</v>
      </c>
      <c r="E1449" s="122">
        <v>1.8888888888888891</v>
      </c>
      <c r="F1449" s="112" t="s">
        <v>40</v>
      </c>
      <c r="G1449" s="114">
        <v>49</v>
      </c>
      <c r="H1449" s="115" t="s">
        <v>83</v>
      </c>
    </row>
    <row r="1450" spans="1:8" ht="19.899999999999999" customHeight="1">
      <c r="A1450" s="121">
        <v>46051</v>
      </c>
      <c r="B1450" s="112" t="s">
        <v>38</v>
      </c>
      <c r="C1450" s="113" t="s">
        <v>813</v>
      </c>
      <c r="D1450" s="112" t="s">
        <v>808</v>
      </c>
      <c r="E1450" s="122">
        <v>1.944444444444444</v>
      </c>
      <c r="F1450" s="112" t="s">
        <v>40</v>
      </c>
      <c r="G1450" s="114">
        <v>50</v>
      </c>
      <c r="H1450" s="115" t="s">
        <v>83</v>
      </c>
    </row>
    <row r="1451" spans="1:8" ht="19.899999999999999" customHeight="1">
      <c r="A1451" s="121">
        <v>46051</v>
      </c>
      <c r="B1451" s="112" t="s">
        <v>26</v>
      </c>
      <c r="C1451" s="113" t="s">
        <v>820</v>
      </c>
      <c r="D1451" s="112" t="s">
        <v>808</v>
      </c>
      <c r="E1451" s="122">
        <v>1.4375</v>
      </c>
      <c r="F1451" s="112" t="s">
        <v>31</v>
      </c>
      <c r="G1451" s="114">
        <v>9</v>
      </c>
      <c r="H1451" s="115" t="s">
        <v>83</v>
      </c>
    </row>
    <row r="1452" spans="1:8" ht="19.899999999999999" customHeight="1">
      <c r="A1452" s="121">
        <v>46051</v>
      </c>
      <c r="B1452" s="112" t="s">
        <v>26</v>
      </c>
      <c r="C1452" s="113" t="s">
        <v>821</v>
      </c>
      <c r="D1452" s="112" t="s">
        <v>808</v>
      </c>
      <c r="E1452" s="122">
        <v>1.631944444444444</v>
      </c>
      <c r="F1452" s="112" t="s">
        <v>31</v>
      </c>
      <c r="G1452" s="114">
        <v>9</v>
      </c>
      <c r="H1452" s="115" t="s">
        <v>83</v>
      </c>
    </row>
    <row r="1453" spans="1:8" ht="19.899999999999999" customHeight="1">
      <c r="A1453" s="121">
        <v>46051</v>
      </c>
      <c r="B1453" s="112" t="s">
        <v>26</v>
      </c>
      <c r="C1453" s="113" t="s">
        <v>822</v>
      </c>
      <c r="D1453" s="112" t="s">
        <v>808</v>
      </c>
      <c r="E1453" s="122">
        <v>1.5590277777777779</v>
      </c>
      <c r="F1453" s="112" t="s">
        <v>31</v>
      </c>
      <c r="G1453" s="114">
        <v>8</v>
      </c>
      <c r="H1453" s="115" t="s">
        <v>83</v>
      </c>
    </row>
    <row r="1454" spans="1:8" ht="19.899999999999999" customHeight="1">
      <c r="A1454" s="121">
        <v>46051</v>
      </c>
      <c r="B1454" s="112" t="s">
        <v>26</v>
      </c>
      <c r="C1454" s="113" t="s">
        <v>824</v>
      </c>
      <c r="D1454" s="112" t="s">
        <v>808</v>
      </c>
      <c r="E1454" s="122">
        <v>1.506944444444444</v>
      </c>
      <c r="F1454" s="112" t="s">
        <v>31</v>
      </c>
      <c r="G1454" s="114">
        <v>9</v>
      </c>
      <c r="H1454" s="115" t="s">
        <v>83</v>
      </c>
    </row>
    <row r="1455" spans="1:8" ht="19.899999999999999" customHeight="1">
      <c r="A1455" s="121">
        <v>46051</v>
      </c>
      <c r="B1455" s="112" t="s">
        <v>26</v>
      </c>
      <c r="C1455" s="113" t="s">
        <v>825</v>
      </c>
      <c r="D1455" s="112" t="s">
        <v>808</v>
      </c>
      <c r="E1455" s="122">
        <v>1.697916666666667</v>
      </c>
      <c r="F1455" s="112" t="s">
        <v>31</v>
      </c>
      <c r="G1455" s="114">
        <v>9</v>
      </c>
      <c r="H1455" s="115" t="s">
        <v>83</v>
      </c>
    </row>
    <row r="1456" spans="1:8" ht="19.899999999999999" customHeight="1">
      <c r="A1456" s="121">
        <v>46051</v>
      </c>
      <c r="B1456" s="112" t="s">
        <v>68</v>
      </c>
      <c r="C1456" s="113" t="s">
        <v>843</v>
      </c>
      <c r="D1456" s="112" t="s">
        <v>808</v>
      </c>
      <c r="E1456" s="122">
        <v>1.354166666666667</v>
      </c>
      <c r="F1456" s="112" t="s">
        <v>70</v>
      </c>
      <c r="G1456" s="114">
        <v>9</v>
      </c>
      <c r="H1456" s="115" t="s">
        <v>404</v>
      </c>
    </row>
    <row r="1457" spans="1:8" ht="19.899999999999999" customHeight="1">
      <c r="A1457" s="121">
        <v>46051</v>
      </c>
      <c r="B1457" s="112" t="s">
        <v>26</v>
      </c>
      <c r="C1457" s="113" t="s">
        <v>826</v>
      </c>
      <c r="D1457" s="112" t="s">
        <v>808</v>
      </c>
      <c r="E1457" s="122">
        <v>1.958333333333333</v>
      </c>
      <c r="F1457" s="112" t="s">
        <v>31</v>
      </c>
      <c r="G1457" s="114">
        <v>9</v>
      </c>
      <c r="H1457" s="115" t="s">
        <v>161</v>
      </c>
    </row>
    <row r="1458" spans="1:8" ht="19.899999999999999" customHeight="1">
      <c r="A1458" s="121">
        <v>46051</v>
      </c>
      <c r="B1458" s="112" t="s">
        <v>26</v>
      </c>
      <c r="C1458" s="113" t="s">
        <v>823</v>
      </c>
      <c r="D1458" s="112" t="s">
        <v>808</v>
      </c>
      <c r="E1458" s="122">
        <v>1.819444444444444</v>
      </c>
      <c r="F1458" s="112" t="s">
        <v>31</v>
      </c>
      <c r="G1458" s="114">
        <v>9</v>
      </c>
      <c r="H1458" s="115" t="s">
        <v>161</v>
      </c>
    </row>
    <row r="1459" spans="1:8" ht="19.899999999999999" customHeight="1">
      <c r="A1459" s="121">
        <v>46051</v>
      </c>
      <c r="B1459" s="112" t="s">
        <v>26</v>
      </c>
      <c r="C1459" s="113" t="s">
        <v>820</v>
      </c>
      <c r="D1459" s="112" t="s">
        <v>808</v>
      </c>
      <c r="E1459" s="122">
        <v>1.4375</v>
      </c>
      <c r="F1459" s="112" t="s">
        <v>34</v>
      </c>
      <c r="G1459" s="114">
        <v>9</v>
      </c>
      <c r="H1459" s="115" t="s">
        <v>45</v>
      </c>
    </row>
    <row r="1460" spans="1:8" ht="19.899999999999999" customHeight="1">
      <c r="A1460" s="121">
        <v>46051</v>
      </c>
      <c r="B1460" s="112" t="s">
        <v>26</v>
      </c>
      <c r="C1460" s="113" t="s">
        <v>821</v>
      </c>
      <c r="D1460" s="112" t="s">
        <v>808</v>
      </c>
      <c r="E1460" s="122">
        <v>1.631944444444444</v>
      </c>
      <c r="F1460" s="112" t="s">
        <v>34</v>
      </c>
      <c r="G1460" s="114">
        <v>9</v>
      </c>
      <c r="H1460" s="115" t="s">
        <v>45</v>
      </c>
    </row>
    <row r="1461" spans="1:8" ht="19.899999999999999" customHeight="1">
      <c r="A1461" s="121">
        <v>46051</v>
      </c>
      <c r="B1461" s="112" t="s">
        <v>26</v>
      </c>
      <c r="C1461" s="113" t="s">
        <v>822</v>
      </c>
      <c r="D1461" s="112" t="s">
        <v>808</v>
      </c>
      <c r="E1461" s="122">
        <v>1.5590277777777779</v>
      </c>
      <c r="F1461" s="112" t="s">
        <v>34</v>
      </c>
      <c r="G1461" s="114">
        <v>8</v>
      </c>
      <c r="H1461" s="115" t="s">
        <v>45</v>
      </c>
    </row>
    <row r="1462" spans="1:8" ht="19.899999999999999" customHeight="1">
      <c r="A1462" s="121">
        <v>46051</v>
      </c>
      <c r="B1462" s="112" t="s">
        <v>26</v>
      </c>
      <c r="C1462" s="113" t="s">
        <v>824</v>
      </c>
      <c r="D1462" s="112" t="s">
        <v>808</v>
      </c>
      <c r="E1462" s="122">
        <v>1.506944444444444</v>
      </c>
      <c r="F1462" s="112" t="s">
        <v>34</v>
      </c>
      <c r="G1462" s="114">
        <v>9</v>
      </c>
      <c r="H1462" s="115" t="s">
        <v>45</v>
      </c>
    </row>
    <row r="1463" spans="1:8" ht="19.899999999999999" customHeight="1">
      <c r="A1463" s="121">
        <v>46051</v>
      </c>
      <c r="B1463" s="112" t="s">
        <v>26</v>
      </c>
      <c r="C1463" s="113" t="s">
        <v>825</v>
      </c>
      <c r="D1463" s="112" t="s">
        <v>808</v>
      </c>
      <c r="E1463" s="122">
        <v>1.697916666666667</v>
      </c>
      <c r="F1463" s="112" t="s">
        <v>34</v>
      </c>
      <c r="G1463" s="114">
        <v>9</v>
      </c>
      <c r="H1463" s="115" t="s">
        <v>45</v>
      </c>
    </row>
    <row r="1464" spans="1:8" ht="19.899999999999999" customHeight="1">
      <c r="A1464" s="121">
        <v>46051</v>
      </c>
      <c r="B1464" s="112" t="s">
        <v>68</v>
      </c>
      <c r="C1464" s="113" t="s">
        <v>844</v>
      </c>
      <c r="D1464" s="112" t="s">
        <v>808</v>
      </c>
      <c r="E1464" s="122">
        <v>1.729166666666667</v>
      </c>
      <c r="F1464" s="112" t="s">
        <v>70</v>
      </c>
      <c r="G1464" s="114">
        <v>9</v>
      </c>
      <c r="H1464" s="115" t="s">
        <v>845</v>
      </c>
    </row>
    <row r="1465" spans="1:8" ht="19.899999999999999" customHeight="1">
      <c r="A1465" s="121">
        <v>46051</v>
      </c>
      <c r="B1465" s="112" t="s">
        <v>402</v>
      </c>
      <c r="C1465" s="113" t="s">
        <v>839</v>
      </c>
      <c r="D1465" s="112" t="s">
        <v>808</v>
      </c>
      <c r="E1465" s="122">
        <v>1.1701388888888891</v>
      </c>
      <c r="F1465" s="112" t="s">
        <v>63</v>
      </c>
      <c r="G1465" s="114">
        <v>7</v>
      </c>
      <c r="H1465" s="115" t="s">
        <v>881</v>
      </c>
    </row>
    <row r="1466" spans="1:8" ht="19.899999999999999" customHeight="1">
      <c r="A1466" s="121">
        <v>46051</v>
      </c>
      <c r="B1466" s="112" t="s">
        <v>402</v>
      </c>
      <c r="C1466" s="113" t="s">
        <v>841</v>
      </c>
      <c r="D1466" s="112" t="s">
        <v>808</v>
      </c>
      <c r="E1466" s="122">
        <v>1.614583333333333</v>
      </c>
      <c r="F1466" s="112" t="s">
        <v>63</v>
      </c>
      <c r="G1466" s="114">
        <v>7</v>
      </c>
      <c r="H1466" s="115" t="s">
        <v>881</v>
      </c>
    </row>
    <row r="1467" spans="1:8" ht="19.899999999999999" customHeight="1">
      <c r="A1467" s="121">
        <v>46051</v>
      </c>
      <c r="B1467" s="112" t="s">
        <v>359</v>
      </c>
      <c r="C1467" s="113" t="s">
        <v>814</v>
      </c>
      <c r="D1467" s="112" t="s">
        <v>808</v>
      </c>
      <c r="E1467" s="122">
        <v>1.4375</v>
      </c>
      <c r="F1467" s="112" t="s">
        <v>46</v>
      </c>
      <c r="G1467" s="114">
        <v>9</v>
      </c>
      <c r="H1467" s="115" t="s">
        <v>950</v>
      </c>
    </row>
    <row r="1468" spans="1:8" ht="19.899999999999999" customHeight="1">
      <c r="A1468" s="121">
        <v>46051</v>
      </c>
      <c r="B1468" s="112" t="s">
        <v>26</v>
      </c>
      <c r="C1468" s="113" t="s">
        <v>826</v>
      </c>
      <c r="D1468" s="112" t="s">
        <v>808</v>
      </c>
      <c r="E1468" s="122">
        <v>1.958333333333333</v>
      </c>
      <c r="F1468" s="112" t="s">
        <v>34</v>
      </c>
      <c r="G1468" s="114">
        <v>9</v>
      </c>
      <c r="H1468" s="115" t="s">
        <v>123</v>
      </c>
    </row>
    <row r="1469" spans="1:8" ht="19.899999999999999" customHeight="1">
      <c r="A1469" s="121">
        <v>46051</v>
      </c>
      <c r="B1469" s="112" t="s">
        <v>26</v>
      </c>
      <c r="C1469" s="113" t="s">
        <v>823</v>
      </c>
      <c r="D1469" s="112" t="s">
        <v>808</v>
      </c>
      <c r="E1469" s="122">
        <v>1.819444444444444</v>
      </c>
      <c r="F1469" s="112" t="s">
        <v>34</v>
      </c>
      <c r="G1469" s="114">
        <v>9</v>
      </c>
      <c r="H1469" s="115" t="s">
        <v>123</v>
      </c>
    </row>
    <row r="1470" spans="1:8" ht="19.899999999999999" customHeight="1">
      <c r="A1470" s="121">
        <v>46051</v>
      </c>
      <c r="B1470" s="112" t="s">
        <v>38</v>
      </c>
      <c r="C1470" s="113" t="s">
        <v>812</v>
      </c>
      <c r="D1470" s="112" t="s">
        <v>808</v>
      </c>
      <c r="E1470" s="122">
        <v>1.8888888888888891</v>
      </c>
      <c r="F1470" s="112" t="s">
        <v>43</v>
      </c>
      <c r="G1470" s="114">
        <v>49</v>
      </c>
      <c r="H1470" s="115" t="s">
        <v>162</v>
      </c>
    </row>
    <row r="1471" spans="1:8" ht="19.899999999999999" customHeight="1">
      <c r="A1471" s="121">
        <v>46051</v>
      </c>
      <c r="B1471" s="112" t="s">
        <v>38</v>
      </c>
      <c r="C1471" s="113" t="s">
        <v>813</v>
      </c>
      <c r="D1471" s="112" t="s">
        <v>808</v>
      </c>
      <c r="E1471" s="122">
        <v>1.944444444444444</v>
      </c>
      <c r="F1471" s="112" t="s">
        <v>43</v>
      </c>
      <c r="G1471" s="114">
        <v>50</v>
      </c>
      <c r="H1471" s="115" t="s">
        <v>162</v>
      </c>
    </row>
    <row r="1472" spans="1:8" ht="19.899999999999999" customHeight="1">
      <c r="A1472" s="121">
        <v>46051</v>
      </c>
      <c r="B1472" s="112" t="s">
        <v>38</v>
      </c>
      <c r="C1472" s="113" t="s">
        <v>809</v>
      </c>
      <c r="D1472" s="112" t="s">
        <v>808</v>
      </c>
      <c r="E1472" s="122">
        <v>1.5763888888888891</v>
      </c>
      <c r="F1472" s="112" t="s">
        <v>46</v>
      </c>
      <c r="G1472" s="114">
        <v>20</v>
      </c>
      <c r="H1472" s="115" t="s">
        <v>810</v>
      </c>
    </row>
    <row r="1473" spans="1:8" ht="19.899999999999999" customHeight="1">
      <c r="A1473" s="121">
        <v>46051</v>
      </c>
      <c r="B1473" s="112" t="s">
        <v>38</v>
      </c>
      <c r="C1473" s="113" t="s">
        <v>811</v>
      </c>
      <c r="D1473" s="112" t="s">
        <v>808</v>
      </c>
      <c r="E1473" s="122">
        <v>1.6284722222222221</v>
      </c>
      <c r="F1473" s="112" t="s">
        <v>46</v>
      </c>
      <c r="G1473" s="114">
        <v>17</v>
      </c>
      <c r="H1473" s="115" t="s">
        <v>810</v>
      </c>
    </row>
    <row r="1474" spans="1:8" ht="19.899999999999999" customHeight="1">
      <c r="A1474" s="121">
        <v>46051</v>
      </c>
      <c r="B1474" s="112" t="s">
        <v>38</v>
      </c>
      <c r="C1474" s="113" t="s">
        <v>812</v>
      </c>
      <c r="D1474" s="112" t="s">
        <v>808</v>
      </c>
      <c r="E1474" s="122">
        <v>1.8888888888888891</v>
      </c>
      <c r="F1474" s="112" t="s">
        <v>46</v>
      </c>
      <c r="G1474" s="114">
        <v>49</v>
      </c>
      <c r="H1474" s="115" t="s">
        <v>810</v>
      </c>
    </row>
    <row r="1475" spans="1:8" ht="19.899999999999999" customHeight="1">
      <c r="A1475" s="121">
        <v>46051</v>
      </c>
      <c r="B1475" s="112" t="s">
        <v>38</v>
      </c>
      <c r="C1475" s="113" t="s">
        <v>813</v>
      </c>
      <c r="D1475" s="112" t="s">
        <v>808</v>
      </c>
      <c r="E1475" s="122">
        <v>1.944444444444444</v>
      </c>
      <c r="F1475" s="112" t="s">
        <v>46</v>
      </c>
      <c r="G1475" s="114">
        <v>50</v>
      </c>
      <c r="H1475" s="115" t="s">
        <v>810</v>
      </c>
    </row>
    <row r="1476" spans="1:8" ht="19.899999999999999" customHeight="1">
      <c r="A1476" s="121">
        <v>46051</v>
      </c>
      <c r="B1476" s="112" t="s">
        <v>48</v>
      </c>
      <c r="C1476" s="113" t="s">
        <v>837</v>
      </c>
      <c r="D1476" s="112" t="s">
        <v>808</v>
      </c>
      <c r="E1476" s="122">
        <v>1.6284722222222221</v>
      </c>
      <c r="F1476" s="112" t="s">
        <v>53</v>
      </c>
      <c r="G1476" s="114">
        <v>4</v>
      </c>
      <c r="H1476" s="115" t="s">
        <v>836</v>
      </c>
    </row>
    <row r="1477" spans="1:8" ht="19.899999999999999" customHeight="1">
      <c r="A1477" s="121">
        <v>46051</v>
      </c>
      <c r="B1477" s="112" t="s">
        <v>48</v>
      </c>
      <c r="C1477" s="113" t="s">
        <v>835</v>
      </c>
      <c r="D1477" s="112" t="s">
        <v>808</v>
      </c>
      <c r="E1477" s="122">
        <v>1.8888888888888891</v>
      </c>
      <c r="F1477" s="112" t="s">
        <v>53</v>
      </c>
      <c r="G1477" s="114">
        <v>4</v>
      </c>
      <c r="H1477" s="115" t="s">
        <v>946</v>
      </c>
    </row>
    <row r="1478" spans="1:8" ht="19.899999999999999" customHeight="1">
      <c r="A1478" s="121">
        <v>46051</v>
      </c>
      <c r="B1478" s="112" t="s">
        <v>48</v>
      </c>
      <c r="C1478" s="113" t="s">
        <v>838</v>
      </c>
      <c r="D1478" s="112" t="s">
        <v>808</v>
      </c>
      <c r="E1478" s="122">
        <v>1.944444444444444</v>
      </c>
      <c r="F1478" s="112" t="s">
        <v>53</v>
      </c>
      <c r="G1478" s="114">
        <v>4</v>
      </c>
      <c r="H1478" s="115" t="s">
        <v>946</v>
      </c>
    </row>
    <row r="1479" spans="1:8" ht="19.899999999999999" customHeight="1">
      <c r="A1479" s="121">
        <v>46051</v>
      </c>
      <c r="B1479" s="112" t="s">
        <v>48</v>
      </c>
      <c r="C1479" s="113" t="s">
        <v>833</v>
      </c>
      <c r="D1479" s="112" t="s">
        <v>808</v>
      </c>
      <c r="E1479" s="122">
        <v>1.444444444444444</v>
      </c>
      <c r="F1479" s="112" t="s">
        <v>53</v>
      </c>
      <c r="G1479" s="114">
        <v>9</v>
      </c>
      <c r="H1479" s="115" t="s">
        <v>870</v>
      </c>
    </row>
    <row r="1480" spans="1:8" ht="19.899999999999999" customHeight="1">
      <c r="A1480" s="121">
        <v>46051</v>
      </c>
      <c r="B1480" s="112" t="s">
        <v>48</v>
      </c>
      <c r="C1480" s="113" t="s">
        <v>828</v>
      </c>
      <c r="D1480" s="112" t="s">
        <v>808</v>
      </c>
      <c r="E1480" s="122">
        <v>1.8298611111111109</v>
      </c>
      <c r="F1480" s="112" t="s">
        <v>53</v>
      </c>
      <c r="G1480" s="114">
        <v>9</v>
      </c>
      <c r="H1480" s="115" t="s">
        <v>870</v>
      </c>
    </row>
    <row r="1481" spans="1:8" ht="19.899999999999999" customHeight="1">
      <c r="A1481" s="121">
        <v>46051</v>
      </c>
      <c r="B1481" s="112" t="s">
        <v>48</v>
      </c>
      <c r="C1481" s="113" t="s">
        <v>831</v>
      </c>
      <c r="D1481" s="112" t="s">
        <v>808</v>
      </c>
      <c r="E1481" s="122">
        <v>1.9826388888888891</v>
      </c>
      <c r="F1481" s="112" t="s">
        <v>53</v>
      </c>
      <c r="G1481" s="114">
        <v>9</v>
      </c>
      <c r="H1481" s="115" t="s">
        <v>870</v>
      </c>
    </row>
    <row r="1482" spans="1:8" ht="19.899999999999999" customHeight="1">
      <c r="A1482" s="123">
        <v>46051</v>
      </c>
      <c r="B1482" s="124" t="s">
        <v>48</v>
      </c>
      <c r="C1482" s="125" t="s">
        <v>832</v>
      </c>
      <c r="D1482" s="124" t="s">
        <v>808</v>
      </c>
      <c r="E1482" s="126">
        <v>1.6284722222222221</v>
      </c>
      <c r="F1482" s="124" t="s">
        <v>53</v>
      </c>
      <c r="G1482" s="127">
        <v>9</v>
      </c>
      <c r="H1482" s="128" t="s">
        <v>870</v>
      </c>
    </row>
    <row r="1483" spans="1:8" ht="19.899999999999999" customHeight="1">
      <c r="A1483" s="121">
        <v>46052</v>
      </c>
      <c r="B1483" s="112" t="s">
        <v>38</v>
      </c>
      <c r="C1483" s="113" t="s">
        <v>809</v>
      </c>
      <c r="D1483" s="112" t="s">
        <v>808</v>
      </c>
      <c r="E1483" s="122">
        <v>1.5763888888888891</v>
      </c>
      <c r="F1483" s="112" t="s">
        <v>40</v>
      </c>
      <c r="G1483" s="114">
        <v>18</v>
      </c>
      <c r="H1483" s="115" t="s">
        <v>475</v>
      </c>
    </row>
    <row r="1484" spans="1:8" ht="19.899999999999999" customHeight="1">
      <c r="A1484" s="121">
        <v>46052</v>
      </c>
      <c r="B1484" s="112" t="s">
        <v>38</v>
      </c>
      <c r="C1484" s="113" t="s">
        <v>811</v>
      </c>
      <c r="D1484" s="112" t="s">
        <v>808</v>
      </c>
      <c r="E1484" s="122">
        <v>1.6284722222222221</v>
      </c>
      <c r="F1484" s="112" t="s">
        <v>40</v>
      </c>
      <c r="G1484" s="114">
        <v>18</v>
      </c>
      <c r="H1484" s="115" t="s">
        <v>475</v>
      </c>
    </row>
    <row r="1485" spans="1:8" ht="19.899999999999999" customHeight="1">
      <c r="A1485" s="121">
        <v>46052</v>
      </c>
      <c r="B1485" s="112" t="s">
        <v>38</v>
      </c>
      <c r="C1485" s="113" t="s">
        <v>812</v>
      </c>
      <c r="D1485" s="112" t="s">
        <v>808</v>
      </c>
      <c r="E1485" s="122">
        <v>1.8888888888888891</v>
      </c>
      <c r="F1485" s="112" t="s">
        <v>40</v>
      </c>
      <c r="G1485" s="114">
        <v>18</v>
      </c>
      <c r="H1485" s="115" t="s">
        <v>872</v>
      </c>
    </row>
    <row r="1486" spans="1:8" ht="19.899999999999999" customHeight="1">
      <c r="A1486" s="121">
        <v>46052</v>
      </c>
      <c r="B1486" s="112" t="s">
        <v>38</v>
      </c>
      <c r="C1486" s="113" t="s">
        <v>813</v>
      </c>
      <c r="D1486" s="112" t="s">
        <v>808</v>
      </c>
      <c r="E1486" s="122">
        <v>1.944444444444444</v>
      </c>
      <c r="F1486" s="112" t="s">
        <v>40</v>
      </c>
      <c r="G1486" s="114">
        <v>16</v>
      </c>
      <c r="H1486" s="115" t="s">
        <v>872</v>
      </c>
    </row>
    <row r="1487" spans="1:8" ht="19.899999999999999" customHeight="1">
      <c r="A1487" s="121">
        <v>46052</v>
      </c>
      <c r="B1487" s="112" t="s">
        <v>26</v>
      </c>
      <c r="C1487" s="113" t="s">
        <v>820</v>
      </c>
      <c r="D1487" s="112" t="s">
        <v>808</v>
      </c>
      <c r="E1487" s="122">
        <v>1.4375</v>
      </c>
      <c r="F1487" s="112" t="s">
        <v>28</v>
      </c>
      <c r="G1487" s="114">
        <v>9</v>
      </c>
      <c r="H1487" s="115" t="s">
        <v>81</v>
      </c>
    </row>
    <row r="1488" spans="1:8" ht="19.899999999999999" customHeight="1">
      <c r="A1488" s="121">
        <v>46052</v>
      </c>
      <c r="B1488" s="112" t="s">
        <v>26</v>
      </c>
      <c r="C1488" s="113" t="s">
        <v>826</v>
      </c>
      <c r="D1488" s="112" t="s">
        <v>808</v>
      </c>
      <c r="E1488" s="122">
        <v>1.958333333333333</v>
      </c>
      <c r="F1488" s="112" t="s">
        <v>28</v>
      </c>
      <c r="G1488" s="114">
        <v>9</v>
      </c>
      <c r="H1488" s="115" t="s">
        <v>81</v>
      </c>
    </row>
    <row r="1489" spans="1:8" ht="19.899999999999999" customHeight="1">
      <c r="A1489" s="121">
        <v>46052</v>
      </c>
      <c r="B1489" s="112" t="s">
        <v>26</v>
      </c>
      <c r="C1489" s="113" t="s">
        <v>821</v>
      </c>
      <c r="D1489" s="112" t="s">
        <v>808</v>
      </c>
      <c r="E1489" s="122">
        <v>1.631944444444444</v>
      </c>
      <c r="F1489" s="112" t="s">
        <v>28</v>
      </c>
      <c r="G1489" s="114">
        <v>9</v>
      </c>
      <c r="H1489" s="115" t="s">
        <v>81</v>
      </c>
    </row>
    <row r="1490" spans="1:8" ht="19.899999999999999" customHeight="1">
      <c r="A1490" s="121">
        <v>46052</v>
      </c>
      <c r="B1490" s="112" t="s">
        <v>26</v>
      </c>
      <c r="C1490" s="113" t="s">
        <v>822</v>
      </c>
      <c r="D1490" s="112" t="s">
        <v>808</v>
      </c>
      <c r="E1490" s="122">
        <v>1.5590277777777779</v>
      </c>
      <c r="F1490" s="112" t="s">
        <v>28</v>
      </c>
      <c r="G1490" s="114">
        <v>9</v>
      </c>
      <c r="H1490" s="115" t="s">
        <v>81</v>
      </c>
    </row>
    <row r="1491" spans="1:8" ht="19.899999999999999" customHeight="1">
      <c r="A1491" s="121">
        <v>46052</v>
      </c>
      <c r="B1491" s="112" t="s">
        <v>26</v>
      </c>
      <c r="C1491" s="113" t="s">
        <v>823</v>
      </c>
      <c r="D1491" s="112" t="s">
        <v>808</v>
      </c>
      <c r="E1491" s="122">
        <v>1.819444444444444</v>
      </c>
      <c r="F1491" s="112" t="s">
        <v>28</v>
      </c>
      <c r="G1491" s="114">
        <v>9</v>
      </c>
      <c r="H1491" s="115" t="s">
        <v>81</v>
      </c>
    </row>
    <row r="1492" spans="1:8" ht="19.899999999999999" customHeight="1">
      <c r="A1492" s="121">
        <v>46052</v>
      </c>
      <c r="B1492" s="112" t="s">
        <v>26</v>
      </c>
      <c r="C1492" s="113" t="s">
        <v>824</v>
      </c>
      <c r="D1492" s="112" t="s">
        <v>808</v>
      </c>
      <c r="E1492" s="122">
        <v>1.506944444444444</v>
      </c>
      <c r="F1492" s="112" t="s">
        <v>28</v>
      </c>
      <c r="G1492" s="114">
        <v>9</v>
      </c>
      <c r="H1492" s="115" t="s">
        <v>81</v>
      </c>
    </row>
    <row r="1493" spans="1:8" ht="19.899999999999999" customHeight="1">
      <c r="A1493" s="121">
        <v>46052</v>
      </c>
      <c r="B1493" s="112" t="s">
        <v>26</v>
      </c>
      <c r="C1493" s="113" t="s">
        <v>825</v>
      </c>
      <c r="D1493" s="112" t="s">
        <v>808</v>
      </c>
      <c r="E1493" s="122">
        <v>1.697916666666667</v>
      </c>
      <c r="F1493" s="112" t="s">
        <v>28</v>
      </c>
      <c r="G1493" s="114">
        <v>9</v>
      </c>
      <c r="H1493" s="115" t="s">
        <v>81</v>
      </c>
    </row>
    <row r="1494" spans="1:8" ht="19.899999999999999" customHeight="1">
      <c r="A1494" s="129">
        <v>46052</v>
      </c>
      <c r="B1494" s="117" t="s">
        <v>61</v>
      </c>
      <c r="C1494" s="118" t="s">
        <v>816</v>
      </c>
      <c r="D1494" s="117" t="s">
        <v>808</v>
      </c>
      <c r="E1494" s="130">
        <v>1.40625</v>
      </c>
      <c r="F1494" s="117" t="s">
        <v>63</v>
      </c>
      <c r="G1494" s="119">
        <v>4</v>
      </c>
      <c r="H1494" s="120" t="s">
        <v>849</v>
      </c>
    </row>
    <row r="1495" spans="1:8" ht="19.899999999999999" customHeight="1">
      <c r="A1495" s="121">
        <v>46052</v>
      </c>
      <c r="B1495" s="112" t="s">
        <v>359</v>
      </c>
      <c r="C1495" s="113" t="s">
        <v>814</v>
      </c>
      <c r="D1495" s="112" t="s">
        <v>808</v>
      </c>
      <c r="E1495" s="122">
        <v>1.1875</v>
      </c>
      <c r="F1495" s="112" t="s">
        <v>361</v>
      </c>
      <c r="G1495" s="114">
        <v>9</v>
      </c>
      <c r="H1495" s="115" t="s">
        <v>879</v>
      </c>
    </row>
    <row r="1496" spans="1:8" ht="19.899999999999999" customHeight="1">
      <c r="A1496" s="129">
        <v>46052</v>
      </c>
      <c r="B1496" s="117" t="s">
        <v>61</v>
      </c>
      <c r="C1496" s="118" t="s">
        <v>852</v>
      </c>
      <c r="D1496" s="117" t="s">
        <v>808</v>
      </c>
      <c r="E1496" s="130">
        <v>1.725694444444444</v>
      </c>
      <c r="F1496" s="117" t="s">
        <v>63</v>
      </c>
      <c r="G1496" s="119">
        <v>7</v>
      </c>
      <c r="H1496" s="120" t="s">
        <v>853</v>
      </c>
    </row>
    <row r="1497" spans="1:8" ht="19.899999999999999" customHeight="1">
      <c r="A1497" s="121">
        <v>46052</v>
      </c>
      <c r="B1497" s="112" t="s">
        <v>38</v>
      </c>
      <c r="C1497" s="113" t="s">
        <v>809</v>
      </c>
      <c r="D1497" s="112" t="s">
        <v>808</v>
      </c>
      <c r="E1497" s="122">
        <v>1.5763888888888891</v>
      </c>
      <c r="F1497" s="112" t="s">
        <v>43</v>
      </c>
      <c r="G1497" s="114">
        <v>18</v>
      </c>
      <c r="H1497" s="115" t="s">
        <v>121</v>
      </c>
    </row>
    <row r="1498" spans="1:8" ht="19.899999999999999" customHeight="1">
      <c r="A1498" s="121">
        <v>46052</v>
      </c>
      <c r="B1498" s="112" t="s">
        <v>38</v>
      </c>
      <c r="C1498" s="113" t="s">
        <v>811</v>
      </c>
      <c r="D1498" s="112" t="s">
        <v>808</v>
      </c>
      <c r="E1498" s="122">
        <v>1.6284722222222221</v>
      </c>
      <c r="F1498" s="112" t="s">
        <v>43</v>
      </c>
      <c r="G1498" s="114">
        <v>18</v>
      </c>
      <c r="H1498" s="115" t="s">
        <v>121</v>
      </c>
    </row>
    <row r="1499" spans="1:8" ht="19.899999999999999" customHeight="1">
      <c r="A1499" s="121">
        <v>46052</v>
      </c>
      <c r="B1499" s="112" t="s">
        <v>26</v>
      </c>
      <c r="C1499" s="113" t="s">
        <v>820</v>
      </c>
      <c r="D1499" s="112" t="s">
        <v>808</v>
      </c>
      <c r="E1499" s="122">
        <v>1.4375</v>
      </c>
      <c r="F1499" s="112" t="s">
        <v>31</v>
      </c>
      <c r="G1499" s="114">
        <v>9</v>
      </c>
      <c r="H1499" s="115" t="s">
        <v>83</v>
      </c>
    </row>
    <row r="1500" spans="1:8" ht="19.899999999999999" customHeight="1">
      <c r="A1500" s="121">
        <v>46052</v>
      </c>
      <c r="B1500" s="112" t="s">
        <v>26</v>
      </c>
      <c r="C1500" s="113" t="s">
        <v>826</v>
      </c>
      <c r="D1500" s="112" t="s">
        <v>808</v>
      </c>
      <c r="E1500" s="122">
        <v>1.958333333333333</v>
      </c>
      <c r="F1500" s="112" t="s">
        <v>31</v>
      </c>
      <c r="G1500" s="114">
        <v>9</v>
      </c>
      <c r="H1500" s="115" t="s">
        <v>83</v>
      </c>
    </row>
    <row r="1501" spans="1:8" ht="19.899999999999999" customHeight="1">
      <c r="A1501" s="121">
        <v>46052</v>
      </c>
      <c r="B1501" s="112" t="s">
        <v>26</v>
      </c>
      <c r="C1501" s="113" t="s">
        <v>821</v>
      </c>
      <c r="D1501" s="112" t="s">
        <v>808</v>
      </c>
      <c r="E1501" s="122">
        <v>1.631944444444444</v>
      </c>
      <c r="F1501" s="112" t="s">
        <v>31</v>
      </c>
      <c r="G1501" s="114">
        <v>9</v>
      </c>
      <c r="H1501" s="115" t="s">
        <v>83</v>
      </c>
    </row>
    <row r="1502" spans="1:8" ht="19.899999999999999" customHeight="1">
      <c r="A1502" s="121">
        <v>46052</v>
      </c>
      <c r="B1502" s="112" t="s">
        <v>26</v>
      </c>
      <c r="C1502" s="113" t="s">
        <v>822</v>
      </c>
      <c r="D1502" s="112" t="s">
        <v>808</v>
      </c>
      <c r="E1502" s="122">
        <v>1.5590277777777779</v>
      </c>
      <c r="F1502" s="112" t="s">
        <v>31</v>
      </c>
      <c r="G1502" s="114">
        <v>9</v>
      </c>
      <c r="H1502" s="115" t="s">
        <v>83</v>
      </c>
    </row>
    <row r="1503" spans="1:8" ht="19.899999999999999" customHeight="1">
      <c r="A1503" s="121">
        <v>46052</v>
      </c>
      <c r="B1503" s="112" t="s">
        <v>26</v>
      </c>
      <c r="C1503" s="113" t="s">
        <v>823</v>
      </c>
      <c r="D1503" s="112" t="s">
        <v>808</v>
      </c>
      <c r="E1503" s="122">
        <v>1.819444444444444</v>
      </c>
      <c r="F1503" s="112" t="s">
        <v>31</v>
      </c>
      <c r="G1503" s="114">
        <v>9</v>
      </c>
      <c r="H1503" s="115" t="s">
        <v>83</v>
      </c>
    </row>
    <row r="1504" spans="1:8" ht="19.899999999999999" customHeight="1">
      <c r="A1504" s="121">
        <v>46052</v>
      </c>
      <c r="B1504" s="112" t="s">
        <v>26</v>
      </c>
      <c r="C1504" s="113" t="s">
        <v>824</v>
      </c>
      <c r="D1504" s="112" t="s">
        <v>808</v>
      </c>
      <c r="E1504" s="122">
        <v>1.506944444444444</v>
      </c>
      <c r="F1504" s="112" t="s">
        <v>31</v>
      </c>
      <c r="G1504" s="114">
        <v>9</v>
      </c>
      <c r="H1504" s="115" t="s">
        <v>83</v>
      </c>
    </row>
    <row r="1505" spans="1:8" ht="19.899999999999999" customHeight="1">
      <c r="A1505" s="121">
        <v>46052</v>
      </c>
      <c r="B1505" s="112" t="s">
        <v>26</v>
      </c>
      <c r="C1505" s="113" t="s">
        <v>825</v>
      </c>
      <c r="D1505" s="112" t="s">
        <v>808</v>
      </c>
      <c r="E1505" s="122">
        <v>1.697916666666667</v>
      </c>
      <c r="F1505" s="112" t="s">
        <v>31</v>
      </c>
      <c r="G1505" s="114">
        <v>9</v>
      </c>
      <c r="H1505" s="115" t="s">
        <v>83</v>
      </c>
    </row>
    <row r="1506" spans="1:8" ht="19.899999999999999" customHeight="1">
      <c r="A1506" s="121">
        <v>46052</v>
      </c>
      <c r="B1506" s="112" t="s">
        <v>38</v>
      </c>
      <c r="C1506" s="113" t="s">
        <v>812</v>
      </c>
      <c r="D1506" s="112" t="s">
        <v>808</v>
      </c>
      <c r="E1506" s="122">
        <v>1.8888888888888891</v>
      </c>
      <c r="F1506" s="112" t="s">
        <v>43</v>
      </c>
      <c r="G1506" s="114">
        <v>18</v>
      </c>
      <c r="H1506" s="115" t="s">
        <v>349</v>
      </c>
    </row>
    <row r="1507" spans="1:8" ht="19.899999999999999" customHeight="1">
      <c r="A1507" s="121">
        <v>46052</v>
      </c>
      <c r="B1507" s="112" t="s">
        <v>38</v>
      </c>
      <c r="C1507" s="113" t="s">
        <v>813</v>
      </c>
      <c r="D1507" s="112" t="s">
        <v>808</v>
      </c>
      <c r="E1507" s="122">
        <v>1.944444444444444</v>
      </c>
      <c r="F1507" s="112" t="s">
        <v>43</v>
      </c>
      <c r="G1507" s="114">
        <v>16</v>
      </c>
      <c r="H1507" s="115" t="s">
        <v>349</v>
      </c>
    </row>
    <row r="1508" spans="1:8" ht="19.899999999999999" customHeight="1">
      <c r="A1508" s="121">
        <v>46052</v>
      </c>
      <c r="B1508" s="112" t="s">
        <v>68</v>
      </c>
      <c r="C1508" s="113" t="s">
        <v>842</v>
      </c>
      <c r="D1508" s="112" t="s">
        <v>808</v>
      </c>
      <c r="E1508" s="122">
        <v>1.9826388888888891</v>
      </c>
      <c r="F1508" s="112" t="s">
        <v>70</v>
      </c>
      <c r="G1508" s="114">
        <v>9</v>
      </c>
      <c r="H1508" s="115" t="s">
        <v>404</v>
      </c>
    </row>
    <row r="1509" spans="1:8" ht="19.899999999999999" customHeight="1">
      <c r="A1509" s="121">
        <v>46052</v>
      </c>
      <c r="B1509" s="112" t="s">
        <v>68</v>
      </c>
      <c r="C1509" s="113" t="s">
        <v>843</v>
      </c>
      <c r="D1509" s="112" t="s">
        <v>808</v>
      </c>
      <c r="E1509" s="122">
        <v>1.354166666666667</v>
      </c>
      <c r="F1509" s="112" t="s">
        <v>70</v>
      </c>
      <c r="G1509" s="114">
        <v>9</v>
      </c>
      <c r="H1509" s="115" t="s">
        <v>45</v>
      </c>
    </row>
    <row r="1510" spans="1:8" ht="19.899999999999999" customHeight="1">
      <c r="A1510" s="121">
        <v>46052</v>
      </c>
      <c r="B1510" s="112" t="s">
        <v>26</v>
      </c>
      <c r="C1510" s="113" t="s">
        <v>820</v>
      </c>
      <c r="D1510" s="112" t="s">
        <v>808</v>
      </c>
      <c r="E1510" s="122">
        <v>1.4375</v>
      </c>
      <c r="F1510" s="112" t="s">
        <v>34</v>
      </c>
      <c r="G1510" s="114">
        <v>9</v>
      </c>
      <c r="H1510" s="115" t="s">
        <v>45</v>
      </c>
    </row>
    <row r="1511" spans="1:8" ht="19.899999999999999" customHeight="1">
      <c r="A1511" s="121">
        <v>46052</v>
      </c>
      <c r="B1511" s="112" t="s">
        <v>26</v>
      </c>
      <c r="C1511" s="113" t="s">
        <v>826</v>
      </c>
      <c r="D1511" s="112" t="s">
        <v>808</v>
      </c>
      <c r="E1511" s="122">
        <v>1.958333333333333</v>
      </c>
      <c r="F1511" s="112" t="s">
        <v>34</v>
      </c>
      <c r="G1511" s="114">
        <v>9</v>
      </c>
      <c r="H1511" s="115" t="s">
        <v>45</v>
      </c>
    </row>
    <row r="1512" spans="1:8" ht="19.899999999999999" customHeight="1">
      <c r="A1512" s="121">
        <v>46052</v>
      </c>
      <c r="B1512" s="112" t="s">
        <v>26</v>
      </c>
      <c r="C1512" s="113" t="s">
        <v>821</v>
      </c>
      <c r="D1512" s="112" t="s">
        <v>808</v>
      </c>
      <c r="E1512" s="122">
        <v>1.631944444444444</v>
      </c>
      <c r="F1512" s="112" t="s">
        <v>34</v>
      </c>
      <c r="G1512" s="114">
        <v>9</v>
      </c>
      <c r="H1512" s="115" t="s">
        <v>45</v>
      </c>
    </row>
    <row r="1513" spans="1:8" ht="19.899999999999999" customHeight="1">
      <c r="A1513" s="121">
        <v>46052</v>
      </c>
      <c r="B1513" s="112" t="s">
        <v>26</v>
      </c>
      <c r="C1513" s="113" t="s">
        <v>822</v>
      </c>
      <c r="D1513" s="112" t="s">
        <v>808</v>
      </c>
      <c r="E1513" s="122">
        <v>1.5590277777777779</v>
      </c>
      <c r="F1513" s="112" t="s">
        <v>34</v>
      </c>
      <c r="G1513" s="114">
        <v>9</v>
      </c>
      <c r="H1513" s="115" t="s">
        <v>45</v>
      </c>
    </row>
    <row r="1514" spans="1:8" ht="19.899999999999999" customHeight="1">
      <c r="A1514" s="121">
        <v>46052</v>
      </c>
      <c r="B1514" s="112" t="s">
        <v>26</v>
      </c>
      <c r="C1514" s="113" t="s">
        <v>823</v>
      </c>
      <c r="D1514" s="112" t="s">
        <v>808</v>
      </c>
      <c r="E1514" s="122">
        <v>1.819444444444444</v>
      </c>
      <c r="F1514" s="112" t="s">
        <v>34</v>
      </c>
      <c r="G1514" s="114">
        <v>9</v>
      </c>
      <c r="H1514" s="115" t="s">
        <v>45</v>
      </c>
    </row>
    <row r="1515" spans="1:8" ht="19.899999999999999" customHeight="1">
      <c r="A1515" s="121">
        <v>46052</v>
      </c>
      <c r="B1515" s="112" t="s">
        <v>26</v>
      </c>
      <c r="C1515" s="113" t="s">
        <v>824</v>
      </c>
      <c r="D1515" s="112" t="s">
        <v>808</v>
      </c>
      <c r="E1515" s="122">
        <v>1.506944444444444</v>
      </c>
      <c r="F1515" s="112" t="s">
        <v>34</v>
      </c>
      <c r="G1515" s="114">
        <v>9</v>
      </c>
      <c r="H1515" s="115" t="s">
        <v>45</v>
      </c>
    </row>
    <row r="1516" spans="1:8" ht="19.899999999999999" customHeight="1">
      <c r="A1516" s="121">
        <v>46052</v>
      </c>
      <c r="B1516" s="112" t="s">
        <v>26</v>
      </c>
      <c r="C1516" s="113" t="s">
        <v>825</v>
      </c>
      <c r="D1516" s="112" t="s">
        <v>808</v>
      </c>
      <c r="E1516" s="122">
        <v>1.697916666666667</v>
      </c>
      <c r="F1516" s="112" t="s">
        <v>34</v>
      </c>
      <c r="G1516" s="114">
        <v>9</v>
      </c>
      <c r="H1516" s="115" t="s">
        <v>45</v>
      </c>
    </row>
    <row r="1517" spans="1:8" ht="19.899999999999999" customHeight="1">
      <c r="A1517" s="121">
        <v>46052</v>
      </c>
      <c r="B1517" s="112" t="s">
        <v>68</v>
      </c>
      <c r="C1517" s="113" t="s">
        <v>844</v>
      </c>
      <c r="D1517" s="112" t="s">
        <v>808</v>
      </c>
      <c r="E1517" s="122">
        <v>1.729166666666667</v>
      </c>
      <c r="F1517" s="112" t="s">
        <v>70</v>
      </c>
      <c r="G1517" s="114">
        <v>9</v>
      </c>
      <c r="H1517" s="115" t="s">
        <v>845</v>
      </c>
    </row>
    <row r="1518" spans="1:8" ht="19.899999999999999" customHeight="1">
      <c r="A1518" s="121">
        <v>46052</v>
      </c>
      <c r="B1518" s="112" t="s">
        <v>402</v>
      </c>
      <c r="C1518" s="113" t="s">
        <v>839</v>
      </c>
      <c r="D1518" s="112" t="s">
        <v>808</v>
      </c>
      <c r="E1518" s="122">
        <v>1.211805555555556</v>
      </c>
      <c r="F1518" s="112" t="s">
        <v>63</v>
      </c>
      <c r="G1518" s="114">
        <v>7</v>
      </c>
      <c r="H1518" s="115" t="s">
        <v>881</v>
      </c>
    </row>
    <row r="1519" spans="1:8" ht="19.899999999999999" customHeight="1">
      <c r="A1519" s="121">
        <v>46052</v>
      </c>
      <c r="B1519" s="112" t="s">
        <v>359</v>
      </c>
      <c r="C1519" s="113" t="s">
        <v>814</v>
      </c>
      <c r="D1519" s="112" t="s">
        <v>808</v>
      </c>
      <c r="E1519" s="122">
        <v>1.1875</v>
      </c>
      <c r="F1519" s="112" t="s">
        <v>46</v>
      </c>
      <c r="G1519" s="114">
        <v>9</v>
      </c>
      <c r="H1519" s="115" t="s">
        <v>880</v>
      </c>
    </row>
    <row r="1520" spans="1:8" ht="19.899999999999999" customHeight="1">
      <c r="A1520" s="121">
        <v>46052</v>
      </c>
      <c r="B1520" s="112" t="s">
        <v>38</v>
      </c>
      <c r="C1520" s="113" t="s">
        <v>809</v>
      </c>
      <c r="D1520" s="112" t="s">
        <v>808</v>
      </c>
      <c r="E1520" s="122">
        <v>1.5763888888888891</v>
      </c>
      <c r="F1520" s="112" t="s">
        <v>46</v>
      </c>
      <c r="G1520" s="114">
        <v>18</v>
      </c>
      <c r="H1520" s="115" t="s">
        <v>810</v>
      </c>
    </row>
    <row r="1521" spans="1:8" ht="19.899999999999999" customHeight="1">
      <c r="A1521" s="121">
        <v>46052</v>
      </c>
      <c r="B1521" s="112" t="s">
        <v>38</v>
      </c>
      <c r="C1521" s="113" t="s">
        <v>811</v>
      </c>
      <c r="D1521" s="112" t="s">
        <v>808</v>
      </c>
      <c r="E1521" s="122">
        <v>1.6284722222222221</v>
      </c>
      <c r="F1521" s="112" t="s">
        <v>46</v>
      </c>
      <c r="G1521" s="114">
        <v>18</v>
      </c>
      <c r="H1521" s="115" t="s">
        <v>810</v>
      </c>
    </row>
    <row r="1522" spans="1:8" ht="19.899999999999999" customHeight="1">
      <c r="A1522" s="121">
        <v>46052</v>
      </c>
      <c r="B1522" s="112" t="s">
        <v>38</v>
      </c>
      <c r="C1522" s="113" t="s">
        <v>812</v>
      </c>
      <c r="D1522" s="112" t="s">
        <v>808</v>
      </c>
      <c r="E1522" s="122">
        <v>1.8888888888888891</v>
      </c>
      <c r="F1522" s="112" t="s">
        <v>46</v>
      </c>
      <c r="G1522" s="114">
        <v>18</v>
      </c>
      <c r="H1522" s="115" t="s">
        <v>810</v>
      </c>
    </row>
    <row r="1523" spans="1:8" ht="19.899999999999999" customHeight="1">
      <c r="A1523" s="121">
        <v>46052</v>
      </c>
      <c r="B1523" s="112" t="s">
        <v>38</v>
      </c>
      <c r="C1523" s="113" t="s">
        <v>813</v>
      </c>
      <c r="D1523" s="112" t="s">
        <v>808</v>
      </c>
      <c r="E1523" s="122">
        <v>1.944444444444444</v>
      </c>
      <c r="F1523" s="112" t="s">
        <v>46</v>
      </c>
      <c r="G1523" s="114">
        <v>16</v>
      </c>
      <c r="H1523" s="115" t="s">
        <v>810</v>
      </c>
    </row>
    <row r="1524" spans="1:8" ht="19.899999999999999" customHeight="1">
      <c r="A1524" s="121">
        <v>46052</v>
      </c>
      <c r="B1524" s="112" t="s">
        <v>48</v>
      </c>
      <c r="C1524" s="113" t="s">
        <v>835</v>
      </c>
      <c r="D1524" s="112" t="s">
        <v>808</v>
      </c>
      <c r="E1524" s="122">
        <v>1.8888888888888891</v>
      </c>
      <c r="F1524" s="112" t="s">
        <v>53</v>
      </c>
      <c r="G1524" s="114">
        <v>4</v>
      </c>
      <c r="H1524" s="115" t="s">
        <v>836</v>
      </c>
    </row>
    <row r="1525" spans="1:8" ht="19.899999999999999" customHeight="1">
      <c r="A1525" s="121">
        <v>46052</v>
      </c>
      <c r="B1525" s="112" t="s">
        <v>48</v>
      </c>
      <c r="C1525" s="113" t="s">
        <v>837</v>
      </c>
      <c r="D1525" s="112" t="s">
        <v>808</v>
      </c>
      <c r="E1525" s="122">
        <v>1.6284722222222221</v>
      </c>
      <c r="F1525" s="112" t="s">
        <v>53</v>
      </c>
      <c r="G1525" s="114">
        <v>4</v>
      </c>
      <c r="H1525" s="115" t="s">
        <v>836</v>
      </c>
    </row>
    <row r="1526" spans="1:8" ht="19.899999999999999" customHeight="1">
      <c r="A1526" s="121">
        <v>46052</v>
      </c>
      <c r="B1526" s="112" t="s">
        <v>48</v>
      </c>
      <c r="C1526" s="113" t="s">
        <v>838</v>
      </c>
      <c r="D1526" s="112" t="s">
        <v>808</v>
      </c>
      <c r="E1526" s="122">
        <v>1.944444444444444</v>
      </c>
      <c r="F1526" s="112" t="s">
        <v>53</v>
      </c>
      <c r="G1526" s="114">
        <v>4</v>
      </c>
      <c r="H1526" s="115" t="s">
        <v>836</v>
      </c>
    </row>
    <row r="1527" spans="1:8" ht="19.899999999999999" customHeight="1">
      <c r="A1527" s="121">
        <v>46052</v>
      </c>
      <c r="B1527" s="112" t="s">
        <v>48</v>
      </c>
      <c r="C1527" s="113" t="s">
        <v>833</v>
      </c>
      <c r="D1527" s="112" t="s">
        <v>808</v>
      </c>
      <c r="E1527" s="122">
        <v>1.444444444444444</v>
      </c>
      <c r="F1527" s="112" t="s">
        <v>53</v>
      </c>
      <c r="G1527" s="114">
        <v>9</v>
      </c>
      <c r="H1527" s="115" t="s">
        <v>870</v>
      </c>
    </row>
    <row r="1528" spans="1:8" ht="19.899999999999999" customHeight="1">
      <c r="A1528" s="121">
        <v>46052</v>
      </c>
      <c r="B1528" s="112" t="s">
        <v>48</v>
      </c>
      <c r="C1528" s="113" t="s">
        <v>828</v>
      </c>
      <c r="D1528" s="112" t="s">
        <v>808</v>
      </c>
      <c r="E1528" s="122">
        <v>1.8298611111111109</v>
      </c>
      <c r="F1528" s="112" t="s">
        <v>53</v>
      </c>
      <c r="G1528" s="114">
        <v>9</v>
      </c>
      <c r="H1528" s="115" t="s">
        <v>870</v>
      </c>
    </row>
    <row r="1529" spans="1:8" ht="19.899999999999999" customHeight="1">
      <c r="A1529" s="121">
        <v>46052</v>
      </c>
      <c r="B1529" s="112" t="s">
        <v>48</v>
      </c>
      <c r="C1529" s="113" t="s">
        <v>831</v>
      </c>
      <c r="D1529" s="112" t="s">
        <v>808</v>
      </c>
      <c r="E1529" s="122">
        <v>1.9826388888888891</v>
      </c>
      <c r="F1529" s="112" t="s">
        <v>53</v>
      </c>
      <c r="G1529" s="114">
        <v>9</v>
      </c>
      <c r="H1529" s="115" t="s">
        <v>870</v>
      </c>
    </row>
    <row r="1530" spans="1:8" ht="19.899999999999999" customHeight="1">
      <c r="A1530" s="123">
        <v>46052</v>
      </c>
      <c r="B1530" s="124" t="s">
        <v>48</v>
      </c>
      <c r="C1530" s="125" t="s">
        <v>832</v>
      </c>
      <c r="D1530" s="124" t="s">
        <v>808</v>
      </c>
      <c r="E1530" s="126">
        <v>1.6284722222222221</v>
      </c>
      <c r="F1530" s="124" t="s">
        <v>53</v>
      </c>
      <c r="G1530" s="127">
        <v>9</v>
      </c>
      <c r="H1530" s="128" t="s">
        <v>870</v>
      </c>
    </row>
    <row r="1531" spans="1:8" ht="19.899999999999999" customHeight="1">
      <c r="A1531" s="121">
        <v>46053</v>
      </c>
      <c r="B1531" s="112" t="s">
        <v>38</v>
      </c>
      <c r="C1531" s="113" t="s">
        <v>809</v>
      </c>
      <c r="D1531" s="112" t="s">
        <v>808</v>
      </c>
      <c r="E1531" s="122">
        <v>1.5763888888888891</v>
      </c>
      <c r="F1531" s="112" t="s">
        <v>40</v>
      </c>
      <c r="G1531" s="114">
        <v>14</v>
      </c>
      <c r="H1531" s="115" t="s">
        <v>872</v>
      </c>
    </row>
    <row r="1532" spans="1:8" ht="19.899999999999999" customHeight="1">
      <c r="A1532" s="121">
        <v>46053</v>
      </c>
      <c r="B1532" s="112" t="s">
        <v>26</v>
      </c>
      <c r="C1532" s="113" t="s">
        <v>820</v>
      </c>
      <c r="D1532" s="112" t="s">
        <v>808</v>
      </c>
      <c r="E1532" s="122">
        <v>1.4375</v>
      </c>
      <c r="F1532" s="112" t="s">
        <v>28</v>
      </c>
      <c r="G1532" s="114">
        <v>9</v>
      </c>
      <c r="H1532" s="115" t="s">
        <v>81</v>
      </c>
    </row>
    <row r="1533" spans="1:8" ht="19.899999999999999" customHeight="1">
      <c r="A1533" s="121">
        <v>46053</v>
      </c>
      <c r="B1533" s="112" t="s">
        <v>26</v>
      </c>
      <c r="C1533" s="113" t="s">
        <v>821</v>
      </c>
      <c r="D1533" s="112" t="s">
        <v>808</v>
      </c>
      <c r="E1533" s="122">
        <v>1.631944444444444</v>
      </c>
      <c r="F1533" s="112" t="s">
        <v>28</v>
      </c>
      <c r="G1533" s="114">
        <v>9</v>
      </c>
      <c r="H1533" s="115" t="s">
        <v>81</v>
      </c>
    </row>
    <row r="1534" spans="1:8" ht="19.899999999999999" customHeight="1">
      <c r="A1534" s="121">
        <v>46053</v>
      </c>
      <c r="B1534" s="112" t="s">
        <v>26</v>
      </c>
      <c r="C1534" s="113" t="s">
        <v>822</v>
      </c>
      <c r="D1534" s="112" t="s">
        <v>808</v>
      </c>
      <c r="E1534" s="122">
        <v>1.5590277777777779</v>
      </c>
      <c r="F1534" s="112" t="s">
        <v>28</v>
      </c>
      <c r="G1534" s="114">
        <v>9</v>
      </c>
      <c r="H1534" s="115" t="s">
        <v>81</v>
      </c>
    </row>
    <row r="1535" spans="1:8" ht="19.899999999999999" customHeight="1">
      <c r="A1535" s="121">
        <v>46053</v>
      </c>
      <c r="B1535" s="112" t="s">
        <v>26</v>
      </c>
      <c r="C1535" s="113" t="s">
        <v>825</v>
      </c>
      <c r="D1535" s="112" t="s">
        <v>808</v>
      </c>
      <c r="E1535" s="122">
        <v>1.697916666666667</v>
      </c>
      <c r="F1535" s="112" t="s">
        <v>28</v>
      </c>
      <c r="G1535" s="114">
        <v>9</v>
      </c>
      <c r="H1535" s="115" t="s">
        <v>81</v>
      </c>
    </row>
    <row r="1536" spans="1:8" ht="19.899999999999999" customHeight="1">
      <c r="A1536" s="121">
        <v>46053</v>
      </c>
      <c r="B1536" s="112" t="s">
        <v>38</v>
      </c>
      <c r="C1536" s="113" t="s">
        <v>811</v>
      </c>
      <c r="D1536" s="112" t="s">
        <v>808</v>
      </c>
      <c r="E1536" s="122">
        <v>1.6284722222222221</v>
      </c>
      <c r="F1536" s="112" t="s">
        <v>40</v>
      </c>
      <c r="G1536" s="114">
        <v>17</v>
      </c>
      <c r="H1536" s="115" t="s">
        <v>848</v>
      </c>
    </row>
    <row r="1537" spans="1:8" ht="19.899999999999999" customHeight="1">
      <c r="A1537" s="121">
        <v>46053</v>
      </c>
      <c r="B1537" s="112" t="s">
        <v>359</v>
      </c>
      <c r="C1537" s="113" t="s">
        <v>814</v>
      </c>
      <c r="D1537" s="112" t="s">
        <v>808</v>
      </c>
      <c r="E1537" s="122">
        <v>1.4375</v>
      </c>
      <c r="F1537" s="112" t="s">
        <v>361</v>
      </c>
      <c r="G1537" s="114">
        <v>9</v>
      </c>
      <c r="H1537" s="115" t="s">
        <v>879</v>
      </c>
    </row>
    <row r="1538" spans="1:8" ht="19.899999999999999" customHeight="1">
      <c r="A1538" s="129">
        <v>46053</v>
      </c>
      <c r="B1538" s="117" t="s">
        <v>61</v>
      </c>
      <c r="C1538" s="118" t="s">
        <v>816</v>
      </c>
      <c r="D1538" s="117" t="s">
        <v>808</v>
      </c>
      <c r="E1538" s="130">
        <v>1.413194444444444</v>
      </c>
      <c r="F1538" s="117" t="s">
        <v>63</v>
      </c>
      <c r="G1538" s="119">
        <v>4</v>
      </c>
      <c r="H1538" s="120" t="s">
        <v>853</v>
      </c>
    </row>
    <row r="1539" spans="1:8" ht="19.899999999999999" customHeight="1">
      <c r="A1539" s="121">
        <v>46053</v>
      </c>
      <c r="B1539" s="112" t="s">
        <v>26</v>
      </c>
      <c r="C1539" s="113" t="s">
        <v>826</v>
      </c>
      <c r="D1539" s="112" t="s">
        <v>808</v>
      </c>
      <c r="E1539" s="122">
        <v>1.958333333333333</v>
      </c>
      <c r="F1539" s="112" t="s">
        <v>28</v>
      </c>
      <c r="G1539" s="114">
        <v>8</v>
      </c>
      <c r="H1539" s="115" t="s">
        <v>827</v>
      </c>
    </row>
    <row r="1540" spans="1:8" ht="19.899999999999999" customHeight="1">
      <c r="A1540" s="121">
        <v>46053</v>
      </c>
      <c r="B1540" s="112" t="s">
        <v>26</v>
      </c>
      <c r="C1540" s="113" t="s">
        <v>823</v>
      </c>
      <c r="D1540" s="112" t="s">
        <v>808</v>
      </c>
      <c r="E1540" s="122">
        <v>1.819444444444444</v>
      </c>
      <c r="F1540" s="112" t="s">
        <v>28</v>
      </c>
      <c r="G1540" s="114">
        <v>9</v>
      </c>
      <c r="H1540" s="115" t="s">
        <v>827</v>
      </c>
    </row>
    <row r="1541" spans="1:8" ht="19.899999999999999" customHeight="1">
      <c r="A1541" s="121">
        <v>46053</v>
      </c>
      <c r="B1541" s="112" t="s">
        <v>26</v>
      </c>
      <c r="C1541" s="113" t="s">
        <v>824</v>
      </c>
      <c r="D1541" s="112" t="s">
        <v>808</v>
      </c>
      <c r="E1541" s="122">
        <v>1.506944444444444</v>
      </c>
      <c r="F1541" s="112" t="s">
        <v>28</v>
      </c>
      <c r="G1541" s="114">
        <v>9</v>
      </c>
      <c r="H1541" s="115" t="s">
        <v>827</v>
      </c>
    </row>
    <row r="1542" spans="1:8" ht="19.899999999999999" customHeight="1">
      <c r="A1542" s="121">
        <v>46053</v>
      </c>
      <c r="B1542" s="112" t="s">
        <v>38</v>
      </c>
      <c r="C1542" s="113" t="s">
        <v>812</v>
      </c>
      <c r="D1542" s="112" t="s">
        <v>808</v>
      </c>
      <c r="E1542" s="122">
        <v>1.8888888888888891</v>
      </c>
      <c r="F1542" s="112" t="s">
        <v>40</v>
      </c>
      <c r="G1542" s="114">
        <v>41</v>
      </c>
      <c r="H1542" s="115" t="s">
        <v>83</v>
      </c>
    </row>
    <row r="1543" spans="1:8" ht="19.899999999999999" customHeight="1">
      <c r="A1543" s="121">
        <v>46053</v>
      </c>
      <c r="B1543" s="112" t="s">
        <v>26</v>
      </c>
      <c r="C1543" s="113" t="s">
        <v>820</v>
      </c>
      <c r="D1543" s="112" t="s">
        <v>808</v>
      </c>
      <c r="E1543" s="122">
        <v>1.4375</v>
      </c>
      <c r="F1543" s="112" t="s">
        <v>31</v>
      </c>
      <c r="G1543" s="114">
        <v>9</v>
      </c>
      <c r="H1543" s="115" t="s">
        <v>83</v>
      </c>
    </row>
    <row r="1544" spans="1:8" ht="19.899999999999999" customHeight="1">
      <c r="A1544" s="121">
        <v>46053</v>
      </c>
      <c r="B1544" s="112" t="s">
        <v>26</v>
      </c>
      <c r="C1544" s="113" t="s">
        <v>821</v>
      </c>
      <c r="D1544" s="112" t="s">
        <v>808</v>
      </c>
      <c r="E1544" s="122">
        <v>1.631944444444444</v>
      </c>
      <c r="F1544" s="112" t="s">
        <v>31</v>
      </c>
      <c r="G1544" s="114">
        <v>9</v>
      </c>
      <c r="H1544" s="115" t="s">
        <v>83</v>
      </c>
    </row>
    <row r="1545" spans="1:8" ht="19.899999999999999" customHeight="1">
      <c r="A1545" s="121">
        <v>46053</v>
      </c>
      <c r="B1545" s="112" t="s">
        <v>26</v>
      </c>
      <c r="C1545" s="113" t="s">
        <v>822</v>
      </c>
      <c r="D1545" s="112" t="s">
        <v>808</v>
      </c>
      <c r="E1545" s="122">
        <v>1.5590277777777779</v>
      </c>
      <c r="F1545" s="112" t="s">
        <v>31</v>
      </c>
      <c r="G1545" s="114">
        <v>9</v>
      </c>
      <c r="H1545" s="115" t="s">
        <v>83</v>
      </c>
    </row>
    <row r="1546" spans="1:8" ht="19.899999999999999" customHeight="1">
      <c r="A1546" s="121">
        <v>46053</v>
      </c>
      <c r="B1546" s="112" t="s">
        <v>26</v>
      </c>
      <c r="C1546" s="113" t="s">
        <v>825</v>
      </c>
      <c r="D1546" s="112" t="s">
        <v>808</v>
      </c>
      <c r="E1546" s="122">
        <v>1.697916666666667</v>
      </c>
      <c r="F1546" s="112" t="s">
        <v>31</v>
      </c>
      <c r="G1546" s="114">
        <v>9</v>
      </c>
      <c r="H1546" s="115" t="s">
        <v>83</v>
      </c>
    </row>
    <row r="1547" spans="1:8" ht="19.899999999999999" customHeight="1">
      <c r="A1547" s="121">
        <v>46053</v>
      </c>
      <c r="B1547" s="112" t="s">
        <v>38</v>
      </c>
      <c r="C1547" s="113" t="s">
        <v>809</v>
      </c>
      <c r="D1547" s="112" t="s">
        <v>808</v>
      </c>
      <c r="E1547" s="122">
        <v>1.5763888888888891</v>
      </c>
      <c r="F1547" s="112" t="s">
        <v>43</v>
      </c>
      <c r="G1547" s="114">
        <v>14</v>
      </c>
      <c r="H1547" s="115" t="s">
        <v>349</v>
      </c>
    </row>
    <row r="1548" spans="1:8" ht="19.899999999999999" customHeight="1">
      <c r="A1548" s="121">
        <v>46053</v>
      </c>
      <c r="B1548" s="112" t="s">
        <v>38</v>
      </c>
      <c r="C1548" s="113" t="s">
        <v>813</v>
      </c>
      <c r="D1548" s="112" t="s">
        <v>808</v>
      </c>
      <c r="E1548" s="122">
        <v>1.944444444444444</v>
      </c>
      <c r="F1548" s="112" t="s">
        <v>40</v>
      </c>
      <c r="G1548" s="114">
        <v>17</v>
      </c>
      <c r="H1548" s="115" t="s">
        <v>33</v>
      </c>
    </row>
    <row r="1549" spans="1:8" ht="19.899999999999999" customHeight="1">
      <c r="A1549" s="121">
        <v>46053</v>
      </c>
      <c r="B1549" s="112" t="s">
        <v>26</v>
      </c>
      <c r="C1549" s="113" t="s">
        <v>826</v>
      </c>
      <c r="D1549" s="112" t="s">
        <v>808</v>
      </c>
      <c r="E1549" s="122">
        <v>1.958333333333333</v>
      </c>
      <c r="F1549" s="112" t="s">
        <v>31</v>
      </c>
      <c r="G1549" s="114">
        <v>8</v>
      </c>
      <c r="H1549" s="115" t="s">
        <v>161</v>
      </c>
    </row>
    <row r="1550" spans="1:8" ht="19.899999999999999" customHeight="1">
      <c r="A1550" s="121">
        <v>46053</v>
      </c>
      <c r="B1550" s="112" t="s">
        <v>26</v>
      </c>
      <c r="C1550" s="113" t="s">
        <v>823</v>
      </c>
      <c r="D1550" s="112" t="s">
        <v>808</v>
      </c>
      <c r="E1550" s="122">
        <v>1.819444444444444</v>
      </c>
      <c r="F1550" s="112" t="s">
        <v>31</v>
      </c>
      <c r="G1550" s="114">
        <v>9</v>
      </c>
      <c r="H1550" s="115" t="s">
        <v>161</v>
      </c>
    </row>
    <row r="1551" spans="1:8" ht="19.899999999999999" customHeight="1">
      <c r="A1551" s="121">
        <v>46053</v>
      </c>
      <c r="B1551" s="112" t="s">
        <v>26</v>
      </c>
      <c r="C1551" s="113" t="s">
        <v>824</v>
      </c>
      <c r="D1551" s="112" t="s">
        <v>808</v>
      </c>
      <c r="E1551" s="122">
        <v>1.506944444444444</v>
      </c>
      <c r="F1551" s="112" t="s">
        <v>31</v>
      </c>
      <c r="G1551" s="114">
        <v>9</v>
      </c>
      <c r="H1551" s="115" t="s">
        <v>161</v>
      </c>
    </row>
    <row r="1552" spans="1:8" ht="19.899999999999999" customHeight="1">
      <c r="A1552" s="121">
        <v>46053</v>
      </c>
      <c r="B1552" s="112" t="s">
        <v>38</v>
      </c>
      <c r="C1552" s="113" t="s">
        <v>811</v>
      </c>
      <c r="D1552" s="112" t="s">
        <v>808</v>
      </c>
      <c r="E1552" s="122">
        <v>1.6284722222222221</v>
      </c>
      <c r="F1552" s="112" t="s">
        <v>43</v>
      </c>
      <c r="G1552" s="114">
        <v>17</v>
      </c>
      <c r="H1552" s="115" t="s">
        <v>426</v>
      </c>
    </row>
    <row r="1553" spans="1:8" ht="19.899999999999999" customHeight="1">
      <c r="A1553" s="121">
        <v>46053</v>
      </c>
      <c r="B1553" s="112" t="s">
        <v>68</v>
      </c>
      <c r="C1553" s="113" t="s">
        <v>842</v>
      </c>
      <c r="D1553" s="112" t="s">
        <v>808</v>
      </c>
      <c r="E1553" s="122">
        <v>1.9826388888888891</v>
      </c>
      <c r="F1553" s="112" t="s">
        <v>70</v>
      </c>
      <c r="G1553" s="114">
        <v>4</v>
      </c>
      <c r="H1553" s="115" t="s">
        <v>45</v>
      </c>
    </row>
    <row r="1554" spans="1:8" ht="19.899999999999999" customHeight="1">
      <c r="A1554" s="121">
        <v>46053</v>
      </c>
      <c r="B1554" s="112" t="s">
        <v>26</v>
      </c>
      <c r="C1554" s="113" t="s">
        <v>820</v>
      </c>
      <c r="D1554" s="112" t="s">
        <v>808</v>
      </c>
      <c r="E1554" s="122">
        <v>1.4375</v>
      </c>
      <c r="F1554" s="112" t="s">
        <v>34</v>
      </c>
      <c r="G1554" s="114">
        <v>9</v>
      </c>
      <c r="H1554" s="115" t="s">
        <v>45</v>
      </c>
    </row>
    <row r="1555" spans="1:8" ht="19.899999999999999" customHeight="1">
      <c r="A1555" s="121">
        <v>46053</v>
      </c>
      <c r="B1555" s="112" t="s">
        <v>26</v>
      </c>
      <c r="C1555" s="113" t="s">
        <v>821</v>
      </c>
      <c r="D1555" s="112" t="s">
        <v>808</v>
      </c>
      <c r="E1555" s="122">
        <v>1.631944444444444</v>
      </c>
      <c r="F1555" s="112" t="s">
        <v>34</v>
      </c>
      <c r="G1555" s="114">
        <v>9</v>
      </c>
      <c r="H1555" s="115" t="s">
        <v>45</v>
      </c>
    </row>
    <row r="1556" spans="1:8" ht="19.899999999999999" customHeight="1">
      <c r="A1556" s="121">
        <v>46053</v>
      </c>
      <c r="B1556" s="112" t="s">
        <v>26</v>
      </c>
      <c r="C1556" s="113" t="s">
        <v>822</v>
      </c>
      <c r="D1556" s="112" t="s">
        <v>808</v>
      </c>
      <c r="E1556" s="122">
        <v>1.5590277777777779</v>
      </c>
      <c r="F1556" s="112" t="s">
        <v>34</v>
      </c>
      <c r="G1556" s="114">
        <v>9</v>
      </c>
      <c r="H1556" s="115" t="s">
        <v>45</v>
      </c>
    </row>
    <row r="1557" spans="1:8" ht="19.899999999999999" customHeight="1">
      <c r="A1557" s="121">
        <v>46053</v>
      </c>
      <c r="B1557" s="112" t="s">
        <v>26</v>
      </c>
      <c r="C1557" s="113" t="s">
        <v>825</v>
      </c>
      <c r="D1557" s="112" t="s">
        <v>808</v>
      </c>
      <c r="E1557" s="122">
        <v>1.697916666666667</v>
      </c>
      <c r="F1557" s="112" t="s">
        <v>34</v>
      </c>
      <c r="G1557" s="114">
        <v>9</v>
      </c>
      <c r="H1557" s="115" t="s">
        <v>45</v>
      </c>
    </row>
    <row r="1558" spans="1:8" ht="19.899999999999999" customHeight="1">
      <c r="A1558" s="121">
        <v>46053</v>
      </c>
      <c r="B1558" s="112" t="s">
        <v>68</v>
      </c>
      <c r="C1558" s="113" t="s">
        <v>844</v>
      </c>
      <c r="D1558" s="112" t="s">
        <v>808</v>
      </c>
      <c r="E1558" s="122">
        <v>1.729166666666667</v>
      </c>
      <c r="F1558" s="112" t="s">
        <v>70</v>
      </c>
      <c r="G1558" s="114">
        <v>9</v>
      </c>
      <c r="H1558" s="115" t="s">
        <v>845</v>
      </c>
    </row>
    <row r="1559" spans="1:8" ht="19.899999999999999" customHeight="1">
      <c r="A1559" s="121">
        <v>46053</v>
      </c>
      <c r="B1559" s="112" t="s">
        <v>68</v>
      </c>
      <c r="C1559" s="113" t="s">
        <v>843</v>
      </c>
      <c r="D1559" s="112" t="s">
        <v>808</v>
      </c>
      <c r="E1559" s="122">
        <v>1.354166666666667</v>
      </c>
      <c r="F1559" s="112" t="s">
        <v>70</v>
      </c>
      <c r="G1559" s="114">
        <v>9</v>
      </c>
      <c r="H1559" s="115" t="s">
        <v>845</v>
      </c>
    </row>
    <row r="1560" spans="1:8" ht="19.899999999999999" customHeight="1">
      <c r="A1560" s="121">
        <v>46053</v>
      </c>
      <c r="B1560" s="112" t="s">
        <v>402</v>
      </c>
      <c r="C1560" s="113" t="s">
        <v>839</v>
      </c>
      <c r="D1560" s="112" t="s">
        <v>808</v>
      </c>
      <c r="E1560" s="122">
        <v>1.1701388888888891</v>
      </c>
      <c r="F1560" s="112" t="s">
        <v>63</v>
      </c>
      <c r="G1560" s="114">
        <v>7</v>
      </c>
      <c r="H1560" s="115" t="s">
        <v>881</v>
      </c>
    </row>
    <row r="1561" spans="1:8" ht="19.899999999999999" customHeight="1">
      <c r="A1561" s="121">
        <v>46053</v>
      </c>
      <c r="B1561" s="112" t="s">
        <v>26</v>
      </c>
      <c r="C1561" s="113" t="s">
        <v>826</v>
      </c>
      <c r="D1561" s="112" t="s">
        <v>808</v>
      </c>
      <c r="E1561" s="122">
        <v>1.958333333333333</v>
      </c>
      <c r="F1561" s="112" t="s">
        <v>34</v>
      </c>
      <c r="G1561" s="114">
        <v>8</v>
      </c>
      <c r="H1561" s="115" t="s">
        <v>123</v>
      </c>
    </row>
    <row r="1562" spans="1:8" ht="19.899999999999999" customHeight="1">
      <c r="A1562" s="121">
        <v>46053</v>
      </c>
      <c r="B1562" s="112" t="s">
        <v>26</v>
      </c>
      <c r="C1562" s="113" t="s">
        <v>823</v>
      </c>
      <c r="D1562" s="112" t="s">
        <v>808</v>
      </c>
      <c r="E1562" s="122">
        <v>1.819444444444444</v>
      </c>
      <c r="F1562" s="112" t="s">
        <v>34</v>
      </c>
      <c r="G1562" s="114">
        <v>9</v>
      </c>
      <c r="H1562" s="115" t="s">
        <v>123</v>
      </c>
    </row>
    <row r="1563" spans="1:8" ht="19.899999999999999" customHeight="1">
      <c r="A1563" s="121">
        <v>46053</v>
      </c>
      <c r="B1563" s="112" t="s">
        <v>26</v>
      </c>
      <c r="C1563" s="113" t="s">
        <v>824</v>
      </c>
      <c r="D1563" s="112" t="s">
        <v>808</v>
      </c>
      <c r="E1563" s="122">
        <v>1.506944444444444</v>
      </c>
      <c r="F1563" s="112" t="s">
        <v>34</v>
      </c>
      <c r="G1563" s="114">
        <v>9</v>
      </c>
      <c r="H1563" s="115" t="s">
        <v>123</v>
      </c>
    </row>
    <row r="1564" spans="1:8" ht="19.899999999999999" customHeight="1">
      <c r="A1564" s="121">
        <v>46053</v>
      </c>
      <c r="B1564" s="112" t="s">
        <v>38</v>
      </c>
      <c r="C1564" s="113" t="s">
        <v>812</v>
      </c>
      <c r="D1564" s="112" t="s">
        <v>808</v>
      </c>
      <c r="E1564" s="122">
        <v>1.8888888888888891</v>
      </c>
      <c r="F1564" s="112" t="s">
        <v>43</v>
      </c>
      <c r="G1564" s="114">
        <v>41</v>
      </c>
      <c r="H1564" s="115" t="s">
        <v>162</v>
      </c>
    </row>
    <row r="1565" spans="1:8" ht="19.899999999999999" customHeight="1">
      <c r="A1565" s="121">
        <v>46053</v>
      </c>
      <c r="B1565" s="112" t="s">
        <v>359</v>
      </c>
      <c r="C1565" s="113" t="s">
        <v>814</v>
      </c>
      <c r="D1565" s="112" t="s">
        <v>808</v>
      </c>
      <c r="E1565" s="122">
        <v>1.4375</v>
      </c>
      <c r="F1565" s="112" t="s">
        <v>46</v>
      </c>
      <c r="G1565" s="114">
        <v>9</v>
      </c>
      <c r="H1565" s="115" t="s">
        <v>880</v>
      </c>
    </row>
    <row r="1566" spans="1:8" ht="19.899999999999999" customHeight="1">
      <c r="A1566" s="121">
        <v>46053</v>
      </c>
      <c r="B1566" s="112" t="s">
        <v>38</v>
      </c>
      <c r="C1566" s="113" t="s">
        <v>813</v>
      </c>
      <c r="D1566" s="112" t="s">
        <v>808</v>
      </c>
      <c r="E1566" s="122">
        <v>1.944444444444444</v>
      </c>
      <c r="F1566" s="112" t="s">
        <v>43</v>
      </c>
      <c r="G1566" s="114">
        <v>17</v>
      </c>
      <c r="H1566" s="115" t="s">
        <v>926</v>
      </c>
    </row>
    <row r="1567" spans="1:8" ht="19.899999999999999" customHeight="1">
      <c r="A1567" s="121">
        <v>46053</v>
      </c>
      <c r="B1567" s="112" t="s">
        <v>38</v>
      </c>
      <c r="C1567" s="113" t="s">
        <v>809</v>
      </c>
      <c r="D1567" s="112" t="s">
        <v>808</v>
      </c>
      <c r="E1567" s="122">
        <v>1.5763888888888891</v>
      </c>
      <c r="F1567" s="112" t="s">
        <v>46</v>
      </c>
      <c r="G1567" s="114">
        <v>14</v>
      </c>
      <c r="H1567" s="115" t="s">
        <v>810</v>
      </c>
    </row>
    <row r="1568" spans="1:8" ht="19.899999999999999" customHeight="1">
      <c r="A1568" s="121">
        <v>46053</v>
      </c>
      <c r="B1568" s="112" t="s">
        <v>38</v>
      </c>
      <c r="C1568" s="113" t="s">
        <v>811</v>
      </c>
      <c r="D1568" s="112" t="s">
        <v>808</v>
      </c>
      <c r="E1568" s="122">
        <v>1.6284722222222221</v>
      </c>
      <c r="F1568" s="112" t="s">
        <v>46</v>
      </c>
      <c r="G1568" s="114">
        <v>17</v>
      </c>
      <c r="H1568" s="115" t="s">
        <v>810</v>
      </c>
    </row>
    <row r="1569" spans="1:8" ht="19.899999999999999" customHeight="1">
      <c r="A1569" s="121">
        <v>46053</v>
      </c>
      <c r="B1569" s="112" t="s">
        <v>38</v>
      </c>
      <c r="C1569" s="113" t="s">
        <v>812</v>
      </c>
      <c r="D1569" s="112" t="s">
        <v>808</v>
      </c>
      <c r="E1569" s="122">
        <v>1.8888888888888891</v>
      </c>
      <c r="F1569" s="112" t="s">
        <v>46</v>
      </c>
      <c r="G1569" s="114">
        <v>41</v>
      </c>
      <c r="H1569" s="115" t="s">
        <v>810</v>
      </c>
    </row>
    <row r="1570" spans="1:8" ht="19.899999999999999" customHeight="1">
      <c r="A1570" s="121">
        <v>46053</v>
      </c>
      <c r="B1570" s="112" t="s">
        <v>38</v>
      </c>
      <c r="C1570" s="113" t="s">
        <v>813</v>
      </c>
      <c r="D1570" s="112" t="s">
        <v>808</v>
      </c>
      <c r="E1570" s="122">
        <v>1.944444444444444</v>
      </c>
      <c r="F1570" s="112" t="s">
        <v>46</v>
      </c>
      <c r="G1570" s="114">
        <v>17</v>
      </c>
      <c r="H1570" s="115" t="s">
        <v>810</v>
      </c>
    </row>
    <row r="1571" spans="1:8" ht="19.899999999999999" customHeight="1">
      <c r="A1571" s="121">
        <v>46053</v>
      </c>
      <c r="B1571" s="112" t="s">
        <v>48</v>
      </c>
      <c r="C1571" s="113" t="s">
        <v>837</v>
      </c>
      <c r="D1571" s="112" t="s">
        <v>808</v>
      </c>
      <c r="E1571" s="122">
        <v>1.6284722222222221</v>
      </c>
      <c r="F1571" s="112" t="s">
        <v>53</v>
      </c>
      <c r="G1571" s="114">
        <v>4</v>
      </c>
      <c r="H1571" s="115" t="s">
        <v>836</v>
      </c>
    </row>
    <row r="1572" spans="1:8" ht="19.899999999999999" customHeight="1">
      <c r="A1572" s="121">
        <v>46053</v>
      </c>
      <c r="B1572" s="112" t="s">
        <v>48</v>
      </c>
      <c r="C1572" s="113" t="s">
        <v>835</v>
      </c>
      <c r="D1572" s="112" t="s">
        <v>808</v>
      </c>
      <c r="E1572" s="122">
        <v>1.8888888888888891</v>
      </c>
      <c r="F1572" s="112" t="s">
        <v>53</v>
      </c>
      <c r="G1572" s="114">
        <v>4</v>
      </c>
      <c r="H1572" s="115" t="s">
        <v>946</v>
      </c>
    </row>
    <row r="1573" spans="1:8" ht="19.899999999999999" customHeight="1">
      <c r="A1573" s="121">
        <v>46053</v>
      </c>
      <c r="B1573" s="112" t="s">
        <v>48</v>
      </c>
      <c r="C1573" s="113" t="s">
        <v>838</v>
      </c>
      <c r="D1573" s="112" t="s">
        <v>808</v>
      </c>
      <c r="E1573" s="122">
        <v>1.944444444444444</v>
      </c>
      <c r="F1573" s="112" t="s">
        <v>53</v>
      </c>
      <c r="G1573" s="114">
        <v>4</v>
      </c>
      <c r="H1573" s="115" t="s">
        <v>933</v>
      </c>
    </row>
    <row r="1574" spans="1:8" ht="19.899999999999999" customHeight="1">
      <c r="A1574" s="121">
        <v>46053</v>
      </c>
      <c r="B1574" s="112" t="s">
        <v>48</v>
      </c>
      <c r="C1574" s="113" t="s">
        <v>833</v>
      </c>
      <c r="D1574" s="112" t="s">
        <v>808</v>
      </c>
      <c r="E1574" s="122">
        <v>1.444444444444444</v>
      </c>
      <c r="F1574" s="112" t="s">
        <v>53</v>
      </c>
      <c r="G1574" s="114">
        <v>9</v>
      </c>
      <c r="H1574" s="115" t="s">
        <v>870</v>
      </c>
    </row>
    <row r="1575" spans="1:8" ht="19.899999999999999" customHeight="1">
      <c r="A1575" s="121">
        <v>46053</v>
      </c>
      <c r="B1575" s="112" t="s">
        <v>48</v>
      </c>
      <c r="C1575" s="113" t="s">
        <v>831</v>
      </c>
      <c r="D1575" s="112" t="s">
        <v>808</v>
      </c>
      <c r="E1575" s="122">
        <v>1.9826388888888891</v>
      </c>
      <c r="F1575" s="112" t="s">
        <v>53</v>
      </c>
      <c r="G1575" s="114">
        <v>9</v>
      </c>
      <c r="H1575" s="115" t="s">
        <v>870</v>
      </c>
    </row>
    <row r="1576" spans="1:8" ht="19.899999999999999" customHeight="1">
      <c r="A1576" s="121">
        <v>46053</v>
      </c>
      <c r="B1576" s="112" t="s">
        <v>48</v>
      </c>
      <c r="C1576" s="113" t="s">
        <v>828</v>
      </c>
      <c r="D1576" s="112" t="s">
        <v>808</v>
      </c>
      <c r="E1576" s="122">
        <v>1.8298611111111109</v>
      </c>
      <c r="F1576" s="112" t="s">
        <v>53</v>
      </c>
      <c r="G1576" s="114">
        <v>9</v>
      </c>
      <c r="H1576" s="115" t="s">
        <v>963</v>
      </c>
    </row>
    <row r="1577" spans="1:8" ht="19.899999999999999" customHeight="1">
      <c r="A1577" s="123">
        <v>46053</v>
      </c>
      <c r="B1577" s="124" t="s">
        <v>48</v>
      </c>
      <c r="C1577" s="125" t="s">
        <v>832</v>
      </c>
      <c r="D1577" s="124" t="s">
        <v>808</v>
      </c>
      <c r="E1577" s="126">
        <v>1.6284722222222221</v>
      </c>
      <c r="F1577" s="124" t="s">
        <v>53</v>
      </c>
      <c r="G1577" s="127">
        <v>9</v>
      </c>
      <c r="H1577" s="128" t="s">
        <v>963</v>
      </c>
    </row>
  </sheetData>
  <pageMargins left="0.75" right="0.75" top="1" bottom="1" header="0.5" footer="0.5"/>
  <legacyDrawing r:id="rId1"/>
  <tableParts count="1">
    <tablePart r:id="rId2"/>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63"/>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30" bestFit="1" customWidth="1"/>
    <col min="7" max="7" width="20" bestFit="1" customWidth="1"/>
    <col min="8" max="8" width="23.7109375" bestFit="1" customWidth="1"/>
    <col min="9" max="9" width="171.28515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31" t="s">
        <v>254</v>
      </c>
      <c r="B2" s="132" t="s">
        <v>61</v>
      </c>
      <c r="C2" s="133" t="s">
        <v>816</v>
      </c>
      <c r="D2" s="132" t="s">
        <v>808</v>
      </c>
      <c r="E2" s="132" t="s">
        <v>974</v>
      </c>
      <c r="F2" s="132" t="s">
        <v>63</v>
      </c>
      <c r="G2" s="134">
        <v>9</v>
      </c>
      <c r="H2" s="135" t="s">
        <v>817</v>
      </c>
    </row>
    <row r="3" spans="1:8" ht="19.899999999999999" customHeight="1">
      <c r="A3" s="129">
        <v>46024</v>
      </c>
      <c r="B3" s="117" t="s">
        <v>61</v>
      </c>
      <c r="C3" s="118" t="s">
        <v>816</v>
      </c>
      <c r="D3" s="117" t="s">
        <v>808</v>
      </c>
      <c r="E3" s="130">
        <v>1.40625</v>
      </c>
      <c r="F3" s="117" t="s">
        <v>63</v>
      </c>
      <c r="G3" s="119">
        <v>8</v>
      </c>
      <c r="H3" s="120" t="s">
        <v>849</v>
      </c>
    </row>
    <row r="4" spans="1:8" ht="19.899999999999999" customHeight="1">
      <c r="A4" s="136">
        <v>46024</v>
      </c>
      <c r="B4" s="132" t="s">
        <v>61</v>
      </c>
      <c r="C4" s="133" t="s">
        <v>852</v>
      </c>
      <c r="D4" s="132" t="s">
        <v>808</v>
      </c>
      <c r="E4" s="137">
        <v>1.725694444444444</v>
      </c>
      <c r="F4" s="132" t="s">
        <v>63</v>
      </c>
      <c r="G4" s="134">
        <v>7</v>
      </c>
      <c r="H4" s="135" t="s">
        <v>853</v>
      </c>
    </row>
    <row r="5" spans="1:8" ht="19.899999999999999" customHeight="1">
      <c r="A5" s="136">
        <v>46025</v>
      </c>
      <c r="B5" s="132" t="s">
        <v>61</v>
      </c>
      <c r="C5" s="133" t="s">
        <v>816</v>
      </c>
      <c r="D5" s="132" t="s">
        <v>808</v>
      </c>
      <c r="E5" s="137">
        <v>1.413194444444444</v>
      </c>
      <c r="F5" s="132" t="s">
        <v>63</v>
      </c>
      <c r="G5" s="134">
        <v>1</v>
      </c>
      <c r="H5" s="135" t="s">
        <v>121</v>
      </c>
    </row>
    <row r="6" spans="1:8" ht="19.899999999999999" customHeight="1">
      <c r="A6" s="121">
        <v>46026</v>
      </c>
      <c r="B6" s="112" t="s">
        <v>48</v>
      </c>
      <c r="C6" s="113" t="s">
        <v>831</v>
      </c>
      <c r="D6" s="112" t="s">
        <v>808</v>
      </c>
      <c r="E6" s="122">
        <v>1.9826388888888891</v>
      </c>
      <c r="F6" s="112" t="s">
        <v>50</v>
      </c>
      <c r="G6" s="114">
        <v>1</v>
      </c>
      <c r="H6" s="115" t="s">
        <v>873</v>
      </c>
    </row>
    <row r="7" spans="1:8" ht="19.899999999999999" customHeight="1">
      <c r="A7" s="136">
        <v>46026</v>
      </c>
      <c r="B7" s="132" t="s">
        <v>61</v>
      </c>
      <c r="C7" s="133" t="s">
        <v>816</v>
      </c>
      <c r="D7" s="132" t="s">
        <v>808</v>
      </c>
      <c r="E7" s="137">
        <v>1.427083333333333</v>
      </c>
      <c r="F7" s="132" t="s">
        <v>63</v>
      </c>
      <c r="G7" s="134">
        <v>9</v>
      </c>
      <c r="H7" s="135" t="s">
        <v>849</v>
      </c>
    </row>
    <row r="8" spans="1:8" ht="19.899999999999999" customHeight="1">
      <c r="A8" s="121">
        <v>46027</v>
      </c>
      <c r="B8" s="112" t="s">
        <v>48</v>
      </c>
      <c r="C8" s="113" t="s">
        <v>833</v>
      </c>
      <c r="D8" s="112" t="s">
        <v>808</v>
      </c>
      <c r="E8" s="122">
        <v>1.444444444444444</v>
      </c>
      <c r="F8" s="112" t="s">
        <v>643</v>
      </c>
      <c r="G8" s="114">
        <v>9</v>
      </c>
      <c r="H8" s="115" t="s">
        <v>873</v>
      </c>
    </row>
    <row r="9" spans="1:8" ht="19.899999999999999" customHeight="1">
      <c r="A9" s="121">
        <v>46027</v>
      </c>
      <c r="B9" s="112" t="s">
        <v>48</v>
      </c>
      <c r="C9" s="113" t="s">
        <v>884</v>
      </c>
      <c r="D9" s="112" t="s">
        <v>808</v>
      </c>
      <c r="E9" s="122">
        <v>1.208333333333333</v>
      </c>
      <c r="F9" s="112" t="s">
        <v>643</v>
      </c>
      <c r="G9" s="114">
        <v>9</v>
      </c>
      <c r="H9" s="115" t="s">
        <v>873</v>
      </c>
    </row>
    <row r="10" spans="1:8" ht="19.899999999999999" customHeight="1">
      <c r="A10" s="121">
        <v>46027</v>
      </c>
      <c r="B10" s="112" t="s">
        <v>48</v>
      </c>
      <c r="C10" s="113" t="s">
        <v>831</v>
      </c>
      <c r="D10" s="112" t="s">
        <v>808</v>
      </c>
      <c r="E10" s="122">
        <v>1.9826388888888891</v>
      </c>
      <c r="F10" s="112" t="s">
        <v>643</v>
      </c>
      <c r="G10" s="114">
        <v>9</v>
      </c>
      <c r="H10" s="115" t="s">
        <v>873</v>
      </c>
    </row>
    <row r="11" spans="1:8" ht="19.899999999999999" customHeight="1">
      <c r="A11" s="136">
        <v>46027</v>
      </c>
      <c r="B11" s="132" t="s">
        <v>61</v>
      </c>
      <c r="C11" s="133" t="s">
        <v>852</v>
      </c>
      <c r="D11" s="132" t="s">
        <v>808</v>
      </c>
      <c r="E11" s="137">
        <v>1.725694444444444</v>
      </c>
      <c r="F11" s="132" t="s">
        <v>63</v>
      </c>
      <c r="G11" s="134">
        <v>9</v>
      </c>
      <c r="H11" s="135" t="s">
        <v>849</v>
      </c>
    </row>
    <row r="12" spans="1:8" ht="19.899999999999999" customHeight="1">
      <c r="A12" s="121">
        <v>46028</v>
      </c>
      <c r="B12" s="112" t="s">
        <v>68</v>
      </c>
      <c r="C12" s="113" t="s">
        <v>844</v>
      </c>
      <c r="D12" s="112" t="s">
        <v>808</v>
      </c>
      <c r="E12" s="122">
        <v>1.729166666666667</v>
      </c>
      <c r="F12" s="112" t="s">
        <v>643</v>
      </c>
      <c r="G12" s="114">
        <v>9</v>
      </c>
      <c r="H12" s="115" t="s">
        <v>888</v>
      </c>
    </row>
    <row r="13" spans="1:8" ht="19.899999999999999" customHeight="1">
      <c r="A13" s="136">
        <v>46028</v>
      </c>
      <c r="B13" s="132" t="s">
        <v>61</v>
      </c>
      <c r="C13" s="133" t="s">
        <v>852</v>
      </c>
      <c r="D13" s="132" t="s">
        <v>808</v>
      </c>
      <c r="E13" s="137">
        <v>1.7152777777777779</v>
      </c>
      <c r="F13" s="132" t="s">
        <v>63</v>
      </c>
      <c r="G13" s="134">
        <v>9</v>
      </c>
      <c r="H13" s="135" t="s">
        <v>817</v>
      </c>
    </row>
    <row r="14" spans="1:8" ht="19.899999999999999" customHeight="1">
      <c r="A14" s="129">
        <v>46029</v>
      </c>
      <c r="B14" s="117" t="s">
        <v>61</v>
      </c>
      <c r="C14" s="118" t="s">
        <v>816</v>
      </c>
      <c r="D14" s="117" t="s">
        <v>808</v>
      </c>
      <c r="E14" s="130">
        <v>1.413194444444444</v>
      </c>
      <c r="F14" s="117" t="s">
        <v>63</v>
      </c>
      <c r="G14" s="119">
        <v>9</v>
      </c>
      <c r="H14" s="120" t="s">
        <v>817</v>
      </c>
    </row>
    <row r="15" spans="1:8" ht="19.899999999999999" customHeight="1">
      <c r="A15" s="136">
        <v>46029</v>
      </c>
      <c r="B15" s="132" t="s">
        <v>61</v>
      </c>
      <c r="C15" s="133" t="s">
        <v>852</v>
      </c>
      <c r="D15" s="132" t="s">
        <v>808</v>
      </c>
      <c r="E15" s="137">
        <v>1.725694444444444</v>
      </c>
      <c r="F15" s="132" t="s">
        <v>63</v>
      </c>
      <c r="G15" s="134">
        <v>9</v>
      </c>
      <c r="H15" s="135" t="s">
        <v>817</v>
      </c>
    </row>
    <row r="16" spans="1:8" ht="19.899999999999999" customHeight="1">
      <c r="A16" s="121">
        <v>46030</v>
      </c>
      <c r="B16" s="112" t="s">
        <v>68</v>
      </c>
      <c r="C16" s="113" t="s">
        <v>844</v>
      </c>
      <c r="D16" s="112" t="s">
        <v>808</v>
      </c>
      <c r="E16" s="122">
        <v>1.729166666666667</v>
      </c>
      <c r="F16" s="112" t="s">
        <v>643</v>
      </c>
      <c r="G16" s="114">
        <v>3</v>
      </c>
      <c r="H16" s="115" t="s">
        <v>888</v>
      </c>
    </row>
    <row r="17" spans="1:8" ht="19.899999999999999" customHeight="1">
      <c r="A17" s="136">
        <v>46030</v>
      </c>
      <c r="B17" s="132" t="s">
        <v>61</v>
      </c>
      <c r="C17" s="133" t="s">
        <v>816</v>
      </c>
      <c r="D17" s="132" t="s">
        <v>808</v>
      </c>
      <c r="E17" s="137">
        <v>1.413194444444444</v>
      </c>
      <c r="F17" s="132" t="s">
        <v>63</v>
      </c>
      <c r="G17" s="134">
        <v>9</v>
      </c>
      <c r="H17" s="135" t="s">
        <v>817</v>
      </c>
    </row>
    <row r="18" spans="1:8" ht="19.899999999999999" customHeight="1">
      <c r="A18" s="129">
        <v>46031</v>
      </c>
      <c r="B18" s="117" t="s">
        <v>61</v>
      </c>
      <c r="C18" s="118" t="s">
        <v>816</v>
      </c>
      <c r="D18" s="117" t="s">
        <v>808</v>
      </c>
      <c r="E18" s="130">
        <v>1.40625</v>
      </c>
      <c r="F18" s="117" t="s">
        <v>63</v>
      </c>
      <c r="G18" s="119">
        <v>6</v>
      </c>
      <c r="H18" s="120" t="s">
        <v>817</v>
      </c>
    </row>
    <row r="19" spans="1:8" ht="19.899999999999999" customHeight="1">
      <c r="A19" s="136">
        <v>46031</v>
      </c>
      <c r="B19" s="132" t="s">
        <v>61</v>
      </c>
      <c r="C19" s="133" t="s">
        <v>852</v>
      </c>
      <c r="D19" s="132" t="s">
        <v>808</v>
      </c>
      <c r="E19" s="137">
        <v>1.725694444444444</v>
      </c>
      <c r="F19" s="132" t="s">
        <v>63</v>
      </c>
      <c r="G19" s="134">
        <v>4</v>
      </c>
      <c r="H19" s="135" t="s">
        <v>817</v>
      </c>
    </row>
    <row r="20" spans="1:8" ht="19.899999999999999" customHeight="1">
      <c r="A20" s="121">
        <v>46032</v>
      </c>
      <c r="B20" s="112" t="s">
        <v>359</v>
      </c>
      <c r="C20" s="113" t="s">
        <v>814</v>
      </c>
      <c r="D20" s="112" t="s">
        <v>808</v>
      </c>
      <c r="E20" s="122">
        <v>1.4375</v>
      </c>
      <c r="F20" s="112" t="s">
        <v>361</v>
      </c>
      <c r="G20" s="114">
        <v>9</v>
      </c>
      <c r="H20" s="115" t="s">
        <v>903</v>
      </c>
    </row>
    <row r="21" spans="1:8" ht="19.899999999999999" customHeight="1">
      <c r="A21" s="136">
        <v>46032</v>
      </c>
      <c r="B21" s="132" t="s">
        <v>61</v>
      </c>
      <c r="C21" s="133" t="s">
        <v>816</v>
      </c>
      <c r="D21" s="132" t="s">
        <v>808</v>
      </c>
      <c r="E21" s="137">
        <v>1.413194444444444</v>
      </c>
      <c r="F21" s="132" t="s">
        <v>63</v>
      </c>
      <c r="G21" s="134">
        <v>6</v>
      </c>
      <c r="H21" s="135" t="s">
        <v>849</v>
      </c>
    </row>
    <row r="22" spans="1:8" ht="19.899999999999999" customHeight="1">
      <c r="A22" s="136">
        <v>46033</v>
      </c>
      <c r="B22" s="132" t="s">
        <v>61</v>
      </c>
      <c r="C22" s="133" t="s">
        <v>816</v>
      </c>
      <c r="D22" s="132" t="s">
        <v>808</v>
      </c>
      <c r="E22" s="137">
        <v>1.427083333333333</v>
      </c>
      <c r="F22" s="132" t="s">
        <v>63</v>
      </c>
      <c r="G22" s="134">
        <v>9</v>
      </c>
      <c r="H22" s="135" t="s">
        <v>817</v>
      </c>
    </row>
    <row r="23" spans="1:8" ht="19.899999999999999" customHeight="1">
      <c r="A23" s="136">
        <v>46034</v>
      </c>
      <c r="B23" s="132" t="s">
        <v>61</v>
      </c>
      <c r="C23" s="133" t="s">
        <v>852</v>
      </c>
      <c r="D23" s="132" t="s">
        <v>808</v>
      </c>
      <c r="E23" s="137">
        <v>1.725694444444444</v>
      </c>
      <c r="F23" s="132" t="s">
        <v>63</v>
      </c>
      <c r="G23" s="134">
        <v>9</v>
      </c>
      <c r="H23" s="135" t="s">
        <v>817</v>
      </c>
    </row>
    <row r="24" spans="1:8" ht="19.899999999999999" customHeight="1">
      <c r="A24" s="121">
        <v>46035</v>
      </c>
      <c r="B24" s="112" t="s">
        <v>68</v>
      </c>
      <c r="C24" s="113" t="s">
        <v>844</v>
      </c>
      <c r="D24" s="112" t="s">
        <v>808</v>
      </c>
      <c r="E24" s="122">
        <v>1.729166666666667</v>
      </c>
      <c r="F24" s="112" t="s">
        <v>643</v>
      </c>
      <c r="G24" s="114">
        <v>8</v>
      </c>
      <c r="H24" s="115" t="s">
        <v>888</v>
      </c>
    </row>
    <row r="25" spans="1:8" ht="19.899999999999999" customHeight="1">
      <c r="A25" s="136">
        <v>46035</v>
      </c>
      <c r="B25" s="132" t="s">
        <v>61</v>
      </c>
      <c r="C25" s="133" t="s">
        <v>852</v>
      </c>
      <c r="D25" s="132" t="s">
        <v>808</v>
      </c>
      <c r="E25" s="137">
        <v>1.7152777777777779</v>
      </c>
      <c r="F25" s="132" t="s">
        <v>63</v>
      </c>
      <c r="G25" s="134">
        <v>9</v>
      </c>
      <c r="H25" s="135" t="s">
        <v>817</v>
      </c>
    </row>
    <row r="26" spans="1:8" ht="19.899999999999999" customHeight="1">
      <c r="A26" s="129">
        <v>46036</v>
      </c>
      <c r="B26" s="117" t="s">
        <v>61</v>
      </c>
      <c r="C26" s="118" t="s">
        <v>816</v>
      </c>
      <c r="D26" s="117" t="s">
        <v>808</v>
      </c>
      <c r="E26" s="130">
        <v>1.413194444444444</v>
      </c>
      <c r="F26" s="117" t="s">
        <v>63</v>
      </c>
      <c r="G26" s="119">
        <v>9</v>
      </c>
      <c r="H26" s="120" t="s">
        <v>817</v>
      </c>
    </row>
    <row r="27" spans="1:8" ht="19.899999999999999" customHeight="1">
      <c r="A27" s="121">
        <v>46036</v>
      </c>
      <c r="B27" s="112" t="s">
        <v>48</v>
      </c>
      <c r="C27" s="113" t="s">
        <v>833</v>
      </c>
      <c r="D27" s="112" t="s">
        <v>808</v>
      </c>
      <c r="E27" s="122">
        <v>1.444444444444444</v>
      </c>
      <c r="F27" s="112" t="s">
        <v>50</v>
      </c>
      <c r="G27" s="114">
        <v>9</v>
      </c>
      <c r="H27" s="115" t="s">
        <v>873</v>
      </c>
    </row>
    <row r="28" spans="1:8" ht="19.899999999999999" customHeight="1">
      <c r="A28" s="121">
        <v>46036</v>
      </c>
      <c r="B28" s="112" t="s">
        <v>48</v>
      </c>
      <c r="C28" s="113" t="s">
        <v>831</v>
      </c>
      <c r="D28" s="112" t="s">
        <v>808</v>
      </c>
      <c r="E28" s="122">
        <v>1.9826388888888891</v>
      </c>
      <c r="F28" s="112" t="s">
        <v>50</v>
      </c>
      <c r="G28" s="114">
        <v>9</v>
      </c>
      <c r="H28" s="115" t="s">
        <v>873</v>
      </c>
    </row>
    <row r="29" spans="1:8" ht="19.899999999999999" customHeight="1">
      <c r="A29" s="121">
        <v>46036</v>
      </c>
      <c r="B29" s="112" t="s">
        <v>48</v>
      </c>
      <c r="C29" s="113" t="s">
        <v>832</v>
      </c>
      <c r="D29" s="112" t="s">
        <v>808</v>
      </c>
      <c r="E29" s="122">
        <v>1.6284722222222221</v>
      </c>
      <c r="F29" s="112" t="s">
        <v>50</v>
      </c>
      <c r="G29" s="114">
        <v>4</v>
      </c>
      <c r="H29" s="115" t="s">
        <v>873</v>
      </c>
    </row>
    <row r="30" spans="1:8" ht="19.899999999999999" customHeight="1">
      <c r="A30" s="136">
        <v>46036</v>
      </c>
      <c r="B30" s="132" t="s">
        <v>61</v>
      </c>
      <c r="C30" s="133" t="s">
        <v>852</v>
      </c>
      <c r="D30" s="132" t="s">
        <v>808</v>
      </c>
      <c r="E30" s="137">
        <v>1.725694444444444</v>
      </c>
      <c r="F30" s="132" t="s">
        <v>63</v>
      </c>
      <c r="G30" s="134">
        <v>7</v>
      </c>
      <c r="H30" s="135" t="s">
        <v>849</v>
      </c>
    </row>
    <row r="31" spans="1:8" ht="19.899999999999999" customHeight="1">
      <c r="A31" s="136">
        <v>46037</v>
      </c>
      <c r="B31" s="132" t="s">
        <v>61</v>
      </c>
      <c r="C31" s="133" t="s">
        <v>816</v>
      </c>
      <c r="D31" s="132" t="s">
        <v>808</v>
      </c>
      <c r="E31" s="137">
        <v>1.413194444444444</v>
      </c>
      <c r="F31" s="132" t="s">
        <v>63</v>
      </c>
      <c r="G31" s="134">
        <v>7</v>
      </c>
      <c r="H31" s="135" t="s">
        <v>121</v>
      </c>
    </row>
    <row r="32" spans="1:8" ht="19.899999999999999" customHeight="1">
      <c r="A32" s="129">
        <v>46038</v>
      </c>
      <c r="B32" s="117" t="s">
        <v>61</v>
      </c>
      <c r="C32" s="118" t="s">
        <v>816</v>
      </c>
      <c r="D32" s="117" t="s">
        <v>808</v>
      </c>
      <c r="E32" s="130">
        <v>1.40625</v>
      </c>
      <c r="F32" s="117" t="s">
        <v>63</v>
      </c>
      <c r="G32" s="119">
        <v>9</v>
      </c>
      <c r="H32" s="120" t="s">
        <v>33</v>
      </c>
    </row>
    <row r="33" spans="1:8" ht="19.899999999999999" customHeight="1">
      <c r="A33" s="136">
        <v>46038</v>
      </c>
      <c r="B33" s="132" t="s">
        <v>61</v>
      </c>
      <c r="C33" s="133" t="s">
        <v>852</v>
      </c>
      <c r="D33" s="132" t="s">
        <v>808</v>
      </c>
      <c r="E33" s="137">
        <v>1.725694444444444</v>
      </c>
      <c r="F33" s="132" t="s">
        <v>63</v>
      </c>
      <c r="G33" s="134">
        <v>9</v>
      </c>
      <c r="H33" s="135" t="s">
        <v>924</v>
      </c>
    </row>
    <row r="34" spans="1:8" ht="19.899999999999999" customHeight="1">
      <c r="A34" s="136">
        <v>46039</v>
      </c>
      <c r="B34" s="132" t="s">
        <v>61</v>
      </c>
      <c r="C34" s="133" t="s">
        <v>816</v>
      </c>
      <c r="D34" s="132" t="s">
        <v>808</v>
      </c>
      <c r="E34" s="137">
        <v>1.413194444444444</v>
      </c>
      <c r="F34" s="132" t="s">
        <v>63</v>
      </c>
      <c r="G34" s="134">
        <v>9</v>
      </c>
      <c r="H34" s="135" t="s">
        <v>938</v>
      </c>
    </row>
    <row r="35" spans="1:8" ht="19.899999999999999" customHeight="1">
      <c r="A35" s="136">
        <v>46040</v>
      </c>
      <c r="B35" s="132" t="s">
        <v>61</v>
      </c>
      <c r="C35" s="133" t="s">
        <v>816</v>
      </c>
      <c r="D35" s="132" t="s">
        <v>808</v>
      </c>
      <c r="E35" s="137">
        <v>1.427083333333333</v>
      </c>
      <c r="F35" s="132" t="s">
        <v>63</v>
      </c>
      <c r="G35" s="134">
        <v>5</v>
      </c>
      <c r="H35" s="135" t="s">
        <v>121</v>
      </c>
    </row>
    <row r="36" spans="1:8" ht="19.899999999999999" customHeight="1">
      <c r="A36" s="136">
        <v>46041</v>
      </c>
      <c r="B36" s="132" t="s">
        <v>61</v>
      </c>
      <c r="C36" s="133" t="s">
        <v>852</v>
      </c>
      <c r="D36" s="132" t="s">
        <v>808</v>
      </c>
      <c r="E36" s="137">
        <v>1.725694444444444</v>
      </c>
      <c r="F36" s="132" t="s">
        <v>63</v>
      </c>
      <c r="G36" s="134">
        <v>9</v>
      </c>
      <c r="H36" s="135" t="s">
        <v>853</v>
      </c>
    </row>
    <row r="37" spans="1:8" ht="19.899999999999999" customHeight="1">
      <c r="A37" s="121">
        <v>46042</v>
      </c>
      <c r="B37" s="112" t="s">
        <v>48</v>
      </c>
      <c r="C37" s="113" t="s">
        <v>833</v>
      </c>
      <c r="D37" s="112" t="s">
        <v>808</v>
      </c>
      <c r="E37" s="122">
        <v>1.444444444444444</v>
      </c>
      <c r="F37" s="112" t="s">
        <v>50</v>
      </c>
      <c r="G37" s="114">
        <v>9</v>
      </c>
      <c r="H37" s="115" t="s">
        <v>873</v>
      </c>
    </row>
    <row r="38" spans="1:8" ht="19.899999999999999" customHeight="1">
      <c r="A38" s="121">
        <v>46042</v>
      </c>
      <c r="B38" s="112" t="s">
        <v>48</v>
      </c>
      <c r="C38" s="113" t="s">
        <v>828</v>
      </c>
      <c r="D38" s="112" t="s">
        <v>808</v>
      </c>
      <c r="E38" s="122">
        <v>1.8298611111111109</v>
      </c>
      <c r="F38" s="112" t="s">
        <v>50</v>
      </c>
      <c r="G38" s="114">
        <v>9</v>
      </c>
      <c r="H38" s="115" t="s">
        <v>873</v>
      </c>
    </row>
    <row r="39" spans="1:8" ht="19.899999999999999" customHeight="1">
      <c r="A39" s="121">
        <v>46042</v>
      </c>
      <c r="B39" s="112" t="s">
        <v>48</v>
      </c>
      <c r="C39" s="113" t="s">
        <v>831</v>
      </c>
      <c r="D39" s="112" t="s">
        <v>808</v>
      </c>
      <c r="E39" s="122">
        <v>1.9826388888888891</v>
      </c>
      <c r="F39" s="112" t="s">
        <v>50</v>
      </c>
      <c r="G39" s="114">
        <v>9</v>
      </c>
      <c r="H39" s="115" t="s">
        <v>873</v>
      </c>
    </row>
    <row r="40" spans="1:8" ht="19.899999999999999" customHeight="1">
      <c r="A40" s="121">
        <v>46042</v>
      </c>
      <c r="B40" s="112" t="s">
        <v>48</v>
      </c>
      <c r="C40" s="113" t="s">
        <v>875</v>
      </c>
      <c r="D40" s="112" t="s">
        <v>808</v>
      </c>
      <c r="E40" s="122">
        <v>1.697916666666667</v>
      </c>
      <c r="F40" s="112" t="s">
        <v>50</v>
      </c>
      <c r="G40" s="114">
        <v>9</v>
      </c>
      <c r="H40" s="115" t="s">
        <v>873</v>
      </c>
    </row>
    <row r="41" spans="1:8" ht="19.899999999999999" customHeight="1">
      <c r="A41" s="121">
        <v>46042</v>
      </c>
      <c r="B41" s="112" t="s">
        <v>48</v>
      </c>
      <c r="C41" s="113" t="s">
        <v>832</v>
      </c>
      <c r="D41" s="112" t="s">
        <v>808</v>
      </c>
      <c r="E41" s="122">
        <v>1.6284722222222221</v>
      </c>
      <c r="F41" s="112" t="s">
        <v>50</v>
      </c>
      <c r="G41" s="114">
        <v>8</v>
      </c>
      <c r="H41" s="115" t="s">
        <v>873</v>
      </c>
    </row>
    <row r="42" spans="1:8" ht="19.899999999999999" customHeight="1">
      <c r="A42" s="136">
        <v>46042</v>
      </c>
      <c r="B42" s="132" t="s">
        <v>61</v>
      </c>
      <c r="C42" s="133" t="s">
        <v>852</v>
      </c>
      <c r="D42" s="132" t="s">
        <v>808</v>
      </c>
      <c r="E42" s="137">
        <v>1.7152777777777779</v>
      </c>
      <c r="F42" s="132" t="s">
        <v>63</v>
      </c>
      <c r="G42" s="134">
        <v>9</v>
      </c>
      <c r="H42" s="135" t="s">
        <v>849</v>
      </c>
    </row>
    <row r="43" spans="1:8" ht="19.899999999999999" customHeight="1">
      <c r="A43" s="121">
        <v>46043</v>
      </c>
      <c r="B43" s="112" t="s">
        <v>48</v>
      </c>
      <c r="C43" s="113" t="s">
        <v>833</v>
      </c>
      <c r="D43" s="112" t="s">
        <v>808</v>
      </c>
      <c r="E43" s="122">
        <v>1.444444444444444</v>
      </c>
      <c r="F43" s="112" t="s">
        <v>50</v>
      </c>
      <c r="G43" s="114">
        <v>9</v>
      </c>
      <c r="H43" s="115" t="s">
        <v>873</v>
      </c>
    </row>
    <row r="44" spans="1:8" ht="19.899999999999999" customHeight="1">
      <c r="A44" s="121">
        <v>46043</v>
      </c>
      <c r="B44" s="112" t="s">
        <v>48</v>
      </c>
      <c r="C44" s="113" t="s">
        <v>828</v>
      </c>
      <c r="D44" s="112" t="s">
        <v>808</v>
      </c>
      <c r="E44" s="122">
        <v>1.8298611111111109</v>
      </c>
      <c r="F44" s="112" t="s">
        <v>50</v>
      </c>
      <c r="G44" s="114">
        <v>9</v>
      </c>
      <c r="H44" s="115" t="s">
        <v>873</v>
      </c>
    </row>
    <row r="45" spans="1:8" ht="19.899999999999999" customHeight="1">
      <c r="A45" s="121">
        <v>46043</v>
      </c>
      <c r="B45" s="112" t="s">
        <v>48</v>
      </c>
      <c r="C45" s="113" t="s">
        <v>831</v>
      </c>
      <c r="D45" s="112" t="s">
        <v>808</v>
      </c>
      <c r="E45" s="122">
        <v>1.9826388888888891</v>
      </c>
      <c r="F45" s="112" t="s">
        <v>50</v>
      </c>
      <c r="G45" s="114">
        <v>9</v>
      </c>
      <c r="H45" s="115" t="s">
        <v>873</v>
      </c>
    </row>
    <row r="46" spans="1:8" ht="19.899999999999999" customHeight="1">
      <c r="A46" s="121">
        <v>46043</v>
      </c>
      <c r="B46" s="112" t="s">
        <v>48</v>
      </c>
      <c r="C46" s="113" t="s">
        <v>832</v>
      </c>
      <c r="D46" s="112" t="s">
        <v>808</v>
      </c>
      <c r="E46" s="122">
        <v>1.6284722222222221</v>
      </c>
      <c r="F46" s="112" t="s">
        <v>50</v>
      </c>
      <c r="G46" s="114">
        <v>2</v>
      </c>
      <c r="H46" s="115" t="s">
        <v>873</v>
      </c>
    </row>
    <row r="47" spans="1:8" ht="19.899999999999999" customHeight="1">
      <c r="A47" s="129">
        <v>46043</v>
      </c>
      <c r="B47" s="117" t="s">
        <v>61</v>
      </c>
      <c r="C47" s="118" t="s">
        <v>816</v>
      </c>
      <c r="D47" s="117" t="s">
        <v>808</v>
      </c>
      <c r="E47" s="130">
        <v>1.413194444444444</v>
      </c>
      <c r="F47" s="117" t="s">
        <v>63</v>
      </c>
      <c r="G47" s="119">
        <v>9</v>
      </c>
      <c r="H47" s="120" t="s">
        <v>849</v>
      </c>
    </row>
    <row r="48" spans="1:8" ht="19.899999999999999" customHeight="1">
      <c r="A48" s="136">
        <v>46043</v>
      </c>
      <c r="B48" s="132" t="s">
        <v>61</v>
      </c>
      <c r="C48" s="133" t="s">
        <v>852</v>
      </c>
      <c r="D48" s="132" t="s">
        <v>808</v>
      </c>
      <c r="E48" s="137">
        <v>1.725694444444444</v>
      </c>
      <c r="F48" s="132" t="s">
        <v>63</v>
      </c>
      <c r="G48" s="134">
        <v>7</v>
      </c>
      <c r="H48" s="135" t="s">
        <v>849</v>
      </c>
    </row>
    <row r="49" spans="1:8" ht="19.899999999999999" customHeight="1">
      <c r="A49" s="136">
        <v>46044</v>
      </c>
      <c r="B49" s="132" t="s">
        <v>61</v>
      </c>
      <c r="C49" s="133" t="s">
        <v>816</v>
      </c>
      <c r="D49" s="132" t="s">
        <v>808</v>
      </c>
      <c r="E49" s="137">
        <v>1.413194444444444</v>
      </c>
      <c r="F49" s="132" t="s">
        <v>63</v>
      </c>
      <c r="G49" s="134">
        <v>9</v>
      </c>
      <c r="H49" s="135" t="s">
        <v>33</v>
      </c>
    </row>
    <row r="50" spans="1:8" ht="19.899999999999999" customHeight="1">
      <c r="A50" s="129">
        <v>46045</v>
      </c>
      <c r="B50" s="117" t="s">
        <v>61</v>
      </c>
      <c r="C50" s="118" t="s">
        <v>816</v>
      </c>
      <c r="D50" s="117" t="s">
        <v>808</v>
      </c>
      <c r="E50" s="130">
        <v>1.40625</v>
      </c>
      <c r="F50" s="117" t="s">
        <v>63</v>
      </c>
      <c r="G50" s="119">
        <v>5</v>
      </c>
      <c r="H50" s="120" t="s">
        <v>33</v>
      </c>
    </row>
    <row r="51" spans="1:8" ht="19.899999999999999" customHeight="1">
      <c r="A51" s="136">
        <v>46045</v>
      </c>
      <c r="B51" s="132" t="s">
        <v>61</v>
      </c>
      <c r="C51" s="133" t="s">
        <v>852</v>
      </c>
      <c r="D51" s="132" t="s">
        <v>808</v>
      </c>
      <c r="E51" s="137">
        <v>1.725694444444444</v>
      </c>
      <c r="F51" s="132" t="s">
        <v>63</v>
      </c>
      <c r="G51" s="134">
        <v>4</v>
      </c>
      <c r="H51" s="135" t="s">
        <v>33</v>
      </c>
    </row>
    <row r="52" spans="1:8" ht="19.899999999999999" customHeight="1">
      <c r="A52" s="136">
        <v>46046</v>
      </c>
      <c r="B52" s="132" t="s">
        <v>61</v>
      </c>
      <c r="C52" s="133" t="s">
        <v>816</v>
      </c>
      <c r="D52" s="132" t="s">
        <v>808</v>
      </c>
      <c r="E52" s="137">
        <v>1.413194444444444</v>
      </c>
      <c r="F52" s="132" t="s">
        <v>63</v>
      </c>
      <c r="G52" s="134">
        <v>8</v>
      </c>
      <c r="H52" s="135" t="s">
        <v>961</v>
      </c>
    </row>
    <row r="53" spans="1:8" ht="19.899999999999999" customHeight="1">
      <c r="A53" s="136">
        <v>46047</v>
      </c>
      <c r="B53" s="132" t="s">
        <v>61</v>
      </c>
      <c r="C53" s="133" t="s">
        <v>816</v>
      </c>
      <c r="D53" s="132" t="s">
        <v>808</v>
      </c>
      <c r="E53" s="137">
        <v>1.427083333333333</v>
      </c>
      <c r="F53" s="132" t="s">
        <v>63</v>
      </c>
      <c r="G53" s="134">
        <v>9</v>
      </c>
      <c r="H53" s="135" t="s">
        <v>33</v>
      </c>
    </row>
    <row r="54" spans="1:8" ht="19.899999999999999" customHeight="1">
      <c r="A54" s="136">
        <v>46048</v>
      </c>
      <c r="B54" s="132" t="s">
        <v>61</v>
      </c>
      <c r="C54" s="133" t="s">
        <v>852</v>
      </c>
      <c r="D54" s="132" t="s">
        <v>808</v>
      </c>
      <c r="E54" s="137">
        <v>1.725694444444444</v>
      </c>
      <c r="F54" s="132" t="s">
        <v>63</v>
      </c>
      <c r="G54" s="134">
        <v>3</v>
      </c>
      <c r="H54" s="135" t="s">
        <v>849</v>
      </c>
    </row>
    <row r="55" spans="1:8" ht="19.899999999999999" customHeight="1">
      <c r="A55" s="136">
        <v>46049</v>
      </c>
      <c r="B55" s="132" t="s">
        <v>61</v>
      </c>
      <c r="C55" s="133" t="s">
        <v>852</v>
      </c>
      <c r="D55" s="132" t="s">
        <v>808</v>
      </c>
      <c r="E55" s="137">
        <v>1.7152777777777779</v>
      </c>
      <c r="F55" s="132" t="s">
        <v>63</v>
      </c>
      <c r="G55" s="134">
        <v>5</v>
      </c>
      <c r="H55" s="135" t="s">
        <v>849</v>
      </c>
    </row>
    <row r="56" spans="1:8" ht="19.899999999999999" customHeight="1">
      <c r="A56" s="129">
        <v>46050</v>
      </c>
      <c r="B56" s="117" t="s">
        <v>61</v>
      </c>
      <c r="C56" s="118" t="s">
        <v>816</v>
      </c>
      <c r="D56" s="117" t="s">
        <v>808</v>
      </c>
      <c r="E56" s="130">
        <v>1.413194444444444</v>
      </c>
      <c r="F56" s="117" t="s">
        <v>63</v>
      </c>
      <c r="G56" s="119">
        <v>6</v>
      </c>
      <c r="H56" s="120" t="s">
        <v>849</v>
      </c>
    </row>
    <row r="57" spans="1:8" ht="19.899999999999999" customHeight="1">
      <c r="A57" s="136">
        <v>46050</v>
      </c>
      <c r="B57" s="132" t="s">
        <v>61</v>
      </c>
      <c r="C57" s="133" t="s">
        <v>852</v>
      </c>
      <c r="D57" s="132" t="s">
        <v>808</v>
      </c>
      <c r="E57" s="137">
        <v>1.725694444444444</v>
      </c>
      <c r="F57" s="132" t="s">
        <v>63</v>
      </c>
      <c r="G57" s="134">
        <v>9</v>
      </c>
      <c r="H57" s="135" t="s">
        <v>853</v>
      </c>
    </row>
    <row r="58" spans="1:8" ht="19.899999999999999" customHeight="1">
      <c r="A58" s="136">
        <v>46051</v>
      </c>
      <c r="B58" s="132" t="s">
        <v>61</v>
      </c>
      <c r="C58" s="133" t="s">
        <v>816</v>
      </c>
      <c r="D58" s="132" t="s">
        <v>808</v>
      </c>
      <c r="E58" s="137">
        <v>1.413194444444444</v>
      </c>
      <c r="F58" s="132" t="s">
        <v>63</v>
      </c>
      <c r="G58" s="134">
        <v>9</v>
      </c>
      <c r="H58" s="135" t="s">
        <v>849</v>
      </c>
    </row>
    <row r="59" spans="1:8" ht="19.899999999999999" customHeight="1">
      <c r="A59" s="129">
        <v>46052</v>
      </c>
      <c r="B59" s="117" t="s">
        <v>61</v>
      </c>
      <c r="C59" s="118" t="s">
        <v>816</v>
      </c>
      <c r="D59" s="117" t="s">
        <v>808</v>
      </c>
      <c r="E59" s="130">
        <v>1.40625</v>
      </c>
      <c r="F59" s="117" t="s">
        <v>63</v>
      </c>
      <c r="G59" s="119">
        <v>4</v>
      </c>
      <c r="H59" s="120" t="s">
        <v>849</v>
      </c>
    </row>
    <row r="60" spans="1:8" ht="19.899999999999999" customHeight="1">
      <c r="A60" s="121">
        <v>46052</v>
      </c>
      <c r="B60" s="112" t="s">
        <v>359</v>
      </c>
      <c r="C60" s="113" t="s">
        <v>814</v>
      </c>
      <c r="D60" s="112" t="s">
        <v>808</v>
      </c>
      <c r="E60" s="122">
        <v>1.1875</v>
      </c>
      <c r="F60" s="112" t="s">
        <v>361</v>
      </c>
      <c r="G60" s="114">
        <v>9</v>
      </c>
      <c r="H60" s="115" t="s">
        <v>879</v>
      </c>
    </row>
    <row r="61" spans="1:8" ht="19.899999999999999" customHeight="1">
      <c r="A61" s="136">
        <v>46052</v>
      </c>
      <c r="B61" s="132" t="s">
        <v>61</v>
      </c>
      <c r="C61" s="133" t="s">
        <v>852</v>
      </c>
      <c r="D61" s="132" t="s">
        <v>808</v>
      </c>
      <c r="E61" s="137">
        <v>1.725694444444444</v>
      </c>
      <c r="F61" s="132" t="s">
        <v>63</v>
      </c>
      <c r="G61" s="134">
        <v>7</v>
      </c>
      <c r="H61" s="135" t="s">
        <v>853</v>
      </c>
    </row>
    <row r="62" spans="1:8" ht="19.899999999999999" customHeight="1">
      <c r="A62" s="121">
        <v>46053</v>
      </c>
      <c r="B62" s="112" t="s">
        <v>359</v>
      </c>
      <c r="C62" s="113" t="s">
        <v>814</v>
      </c>
      <c r="D62" s="112" t="s">
        <v>808</v>
      </c>
      <c r="E62" s="122">
        <v>1.4375</v>
      </c>
      <c r="F62" s="112" t="s">
        <v>361</v>
      </c>
      <c r="G62" s="114">
        <v>9</v>
      </c>
      <c r="H62" s="115" t="s">
        <v>879</v>
      </c>
    </row>
    <row r="63" spans="1:8" ht="19.899999999999999" customHeight="1">
      <c r="A63" s="136">
        <v>46053</v>
      </c>
      <c r="B63" s="132" t="s">
        <v>61</v>
      </c>
      <c r="C63" s="133" t="s">
        <v>816</v>
      </c>
      <c r="D63" s="132" t="s">
        <v>808</v>
      </c>
      <c r="E63" s="137">
        <v>1.413194444444444</v>
      </c>
      <c r="F63" s="132" t="s">
        <v>63</v>
      </c>
      <c r="G63" s="134">
        <v>4</v>
      </c>
      <c r="H63" s="135" t="s">
        <v>853</v>
      </c>
    </row>
  </sheetData>
  <pageMargins left="0.75" right="0.75" top="1" bottom="1" header="0.5" footer="0.5"/>
  <legacyDrawing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N376"/>
  <sheetViews>
    <sheetView workbookViewId="0"/>
  </sheetViews>
  <sheetFormatPr defaultRowHeight="14.45"/>
  <cols>
    <col min="1" max="1" width="17.28515625" bestFit="1" customWidth="1"/>
    <col min="2" max="2" width="15.7109375" bestFit="1" customWidth="1"/>
    <col min="3" max="3" width="14.7109375" bestFit="1" customWidth="1"/>
    <col min="4" max="4" width="31.7109375" bestFit="1" customWidth="1"/>
    <col min="5" max="5" width="20.140625" bestFit="1" customWidth="1"/>
    <col min="6" max="6" width="23.42578125" bestFit="1" customWidth="1"/>
    <col min="7" max="7" width="45.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28.28515625" bestFit="1" customWidth="1"/>
  </cols>
  <sheetData>
    <row r="1" spans="1:92" ht="28.9" customHeight="1">
      <c r="A1" s="291" t="s">
        <v>0</v>
      </c>
      <c r="B1" s="294"/>
      <c r="C1" s="294"/>
      <c r="D1" s="294"/>
      <c r="E1" s="294"/>
      <c r="F1" s="1" t="s">
        <v>985</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45980.610238577698</v>
      </c>
      <c r="H2" s="294"/>
      <c r="I2" s="294"/>
      <c r="J2" s="294"/>
      <c r="K2" s="287">
        <v>45980.61023857801</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46023</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26</v>
      </c>
      <c r="B6" s="8" t="s">
        <v>986</v>
      </c>
      <c r="C6" s="9">
        <v>0.3611111111111111</v>
      </c>
      <c r="D6" s="8" t="s">
        <v>987</v>
      </c>
      <c r="E6" s="8" t="s">
        <v>100</v>
      </c>
      <c r="F6" s="8" t="s">
        <v>988</v>
      </c>
      <c r="G6" s="297"/>
      <c r="H6" s="10"/>
      <c r="I6" s="11"/>
      <c r="J6" s="11"/>
      <c r="K6" s="11"/>
      <c r="L6" s="11"/>
      <c r="M6" s="11"/>
      <c r="N6" s="11"/>
      <c r="O6" s="12"/>
      <c r="P6" s="11"/>
      <c r="Q6" s="13"/>
      <c r="R6" s="14"/>
    </row>
    <row r="7" spans="1:92" ht="15" customHeight="1">
      <c r="A7" s="15" t="s">
        <v>26</v>
      </c>
      <c r="B7" s="15" t="s">
        <v>986</v>
      </c>
      <c r="C7" s="16">
        <v>0.3611111111111111</v>
      </c>
      <c r="D7" s="15" t="s">
        <v>31</v>
      </c>
      <c r="E7" s="15" t="s">
        <v>115</v>
      </c>
      <c r="F7" s="15" t="s">
        <v>989</v>
      </c>
      <c r="G7" s="298"/>
      <c r="H7" s="10"/>
      <c r="I7" s="11"/>
      <c r="J7" s="11"/>
      <c r="K7" s="11"/>
      <c r="L7" s="11"/>
      <c r="M7" s="11"/>
      <c r="N7" s="11"/>
      <c r="O7" s="12"/>
      <c r="P7" s="11"/>
      <c r="Q7" s="13"/>
      <c r="R7" s="14"/>
    </row>
    <row r="8" spans="1:92" ht="15" customHeight="1">
      <c r="A8" s="15" t="s">
        <v>26</v>
      </c>
      <c r="B8" s="15" t="s">
        <v>986</v>
      </c>
      <c r="C8" s="16">
        <v>0.3611111111111111</v>
      </c>
      <c r="D8" s="15" t="s">
        <v>34</v>
      </c>
      <c r="E8" s="15" t="s">
        <v>115</v>
      </c>
      <c r="F8" s="15" t="s">
        <v>990</v>
      </c>
      <c r="G8" s="298"/>
      <c r="H8" s="10"/>
      <c r="I8" s="11"/>
      <c r="J8" s="11"/>
      <c r="K8" s="11"/>
      <c r="L8" s="11"/>
      <c r="M8" s="11"/>
      <c r="N8" s="11"/>
      <c r="O8" s="12"/>
      <c r="P8" s="11"/>
      <c r="Q8" s="13"/>
      <c r="R8" s="14"/>
    </row>
    <row r="9" spans="1:92" ht="18">
      <c r="A9" s="292" t="s">
        <v>991</v>
      </c>
      <c r="B9" s="303"/>
      <c r="C9" s="303"/>
      <c r="D9" s="303"/>
      <c r="E9" s="303"/>
      <c r="F9" s="304"/>
      <c r="G9" s="298"/>
      <c r="H9" s="138"/>
      <c r="I9" s="138"/>
      <c r="J9" s="138"/>
      <c r="K9" s="138"/>
      <c r="L9" s="138"/>
      <c r="M9" s="138"/>
      <c r="N9" s="138"/>
      <c r="O9" s="139"/>
      <c r="P9" s="138"/>
      <c r="Q9" s="107"/>
      <c r="R9" s="107"/>
    </row>
    <row r="10" spans="1:92" ht="15" customHeight="1">
      <c r="A10" s="17" t="s">
        <v>38</v>
      </c>
      <c r="B10" s="17" t="s">
        <v>809</v>
      </c>
      <c r="C10" s="18" t="s">
        <v>984</v>
      </c>
      <c r="D10" s="17" t="s">
        <v>40</v>
      </c>
      <c r="E10" s="17" t="s">
        <v>278</v>
      </c>
      <c r="F10" s="17" t="s">
        <v>475</v>
      </c>
      <c r="G10" s="298"/>
      <c r="H10" s="138"/>
      <c r="I10" s="138"/>
      <c r="J10" s="138"/>
      <c r="K10" s="138"/>
      <c r="L10" s="138"/>
      <c r="M10" s="138"/>
      <c r="N10" s="138"/>
      <c r="O10" s="139"/>
      <c r="P10" s="138"/>
      <c r="Q10" s="107"/>
      <c r="R10" s="107"/>
    </row>
    <row r="11" spans="1:92" ht="15" customHeight="1">
      <c r="A11" s="17" t="s">
        <v>38</v>
      </c>
      <c r="B11" s="17" t="s">
        <v>811</v>
      </c>
      <c r="C11" s="18" t="s">
        <v>769</v>
      </c>
      <c r="D11" s="17" t="s">
        <v>40</v>
      </c>
      <c r="E11" s="17" t="s">
        <v>287</v>
      </c>
      <c r="F11" s="17" t="s">
        <v>475</v>
      </c>
      <c r="G11" s="298"/>
      <c r="H11" s="138"/>
      <c r="I11" s="138"/>
      <c r="J11" s="138"/>
      <c r="K11" s="138"/>
      <c r="L11" s="138"/>
      <c r="M11" s="138"/>
      <c r="N11" s="138"/>
      <c r="O11" s="139"/>
      <c r="P11" s="138"/>
      <c r="Q11" s="107"/>
      <c r="R11" s="107"/>
    </row>
    <row r="12" spans="1:92" ht="15" customHeight="1">
      <c r="A12" s="17" t="s">
        <v>38</v>
      </c>
      <c r="B12" s="17" t="s">
        <v>812</v>
      </c>
      <c r="C12" s="18" t="s">
        <v>593</v>
      </c>
      <c r="D12" s="17" t="s">
        <v>40</v>
      </c>
      <c r="E12" s="17" t="s">
        <v>293</v>
      </c>
      <c r="F12" s="17" t="s">
        <v>475</v>
      </c>
      <c r="G12" s="298"/>
      <c r="H12" s="138"/>
      <c r="I12" s="138"/>
      <c r="J12" s="138"/>
      <c r="K12" s="138"/>
      <c r="L12" s="138"/>
      <c r="M12" s="138"/>
      <c r="N12" s="138"/>
      <c r="O12" s="139"/>
      <c r="P12" s="138"/>
      <c r="Q12" s="107"/>
      <c r="R12" s="107"/>
    </row>
    <row r="13" spans="1:92" ht="15" customHeight="1">
      <c r="A13" s="17" t="s">
        <v>38</v>
      </c>
      <c r="B13" s="17" t="s">
        <v>813</v>
      </c>
      <c r="C13" s="18" t="s">
        <v>598</v>
      </c>
      <c r="D13" s="17" t="s">
        <v>40</v>
      </c>
      <c r="E13" s="17" t="s">
        <v>284</v>
      </c>
      <c r="F13" s="17" t="s">
        <v>475</v>
      </c>
      <c r="G13" s="298"/>
      <c r="H13" s="138"/>
      <c r="I13" s="138"/>
      <c r="J13" s="138"/>
      <c r="K13" s="138"/>
      <c r="L13" s="138"/>
      <c r="M13" s="138"/>
      <c r="N13" s="138"/>
      <c r="O13" s="139"/>
      <c r="P13" s="138"/>
      <c r="Q13" s="107"/>
      <c r="R13" s="107"/>
    </row>
    <row r="14" spans="1:92" ht="15" customHeight="1">
      <c r="A14" s="17" t="s">
        <v>359</v>
      </c>
      <c r="B14" s="17" t="s">
        <v>814</v>
      </c>
      <c r="C14" s="18" t="s">
        <v>563</v>
      </c>
      <c r="D14" s="17" t="s">
        <v>361</v>
      </c>
      <c r="E14" s="17" t="s">
        <v>270</v>
      </c>
      <c r="F14" s="17" t="s">
        <v>815</v>
      </c>
      <c r="G14" s="298"/>
      <c r="H14" s="138"/>
      <c r="I14" s="138"/>
      <c r="J14" s="138"/>
      <c r="K14" s="138"/>
      <c r="L14" s="138"/>
      <c r="M14" s="138"/>
      <c r="N14" s="138"/>
      <c r="O14" s="139"/>
      <c r="P14" s="138"/>
      <c r="Q14" s="107"/>
      <c r="R14" s="107"/>
    </row>
    <row r="15" spans="1:92" ht="15" customHeight="1">
      <c r="A15" s="17" t="s">
        <v>61</v>
      </c>
      <c r="B15" s="17" t="s">
        <v>816</v>
      </c>
      <c r="C15" s="18" t="s">
        <v>974</v>
      </c>
      <c r="D15" s="17" t="s">
        <v>63</v>
      </c>
      <c r="E15" s="17" t="s">
        <v>269</v>
      </c>
      <c r="F15" s="17" t="s">
        <v>817</v>
      </c>
      <c r="G15" s="298"/>
      <c r="H15" s="138"/>
      <c r="I15" s="138"/>
      <c r="J15" s="138"/>
      <c r="K15" s="138"/>
      <c r="L15" s="138"/>
      <c r="M15" s="138"/>
      <c r="N15" s="138"/>
      <c r="O15" s="139"/>
      <c r="P15" s="138"/>
      <c r="Q15" s="107"/>
      <c r="R15" s="107"/>
    </row>
    <row r="16" spans="1:92" ht="15" customHeight="1">
      <c r="A16" s="17" t="s">
        <v>26</v>
      </c>
      <c r="B16" s="17" t="s">
        <v>820</v>
      </c>
      <c r="C16" s="18" t="s">
        <v>563</v>
      </c>
      <c r="D16" s="17" t="s">
        <v>28</v>
      </c>
      <c r="E16" s="17" t="s">
        <v>270</v>
      </c>
      <c r="F16" s="17" t="s">
        <v>81</v>
      </c>
      <c r="G16" s="298"/>
      <c r="H16" s="138"/>
      <c r="I16" s="138"/>
      <c r="J16" s="138"/>
      <c r="K16" s="138"/>
      <c r="L16" s="138"/>
      <c r="M16" s="138"/>
      <c r="N16" s="138"/>
      <c r="O16" s="139"/>
      <c r="P16" s="138"/>
      <c r="Q16" s="107"/>
      <c r="R16" s="107"/>
    </row>
    <row r="17" spans="1:18" ht="15" customHeight="1">
      <c r="A17" s="17" t="s">
        <v>26</v>
      </c>
      <c r="B17" s="17" t="s">
        <v>821</v>
      </c>
      <c r="C17" s="18" t="s">
        <v>703</v>
      </c>
      <c r="D17" s="17" t="s">
        <v>28</v>
      </c>
      <c r="E17" s="17" t="s">
        <v>270</v>
      </c>
      <c r="F17" s="17" t="s">
        <v>81</v>
      </c>
      <c r="G17" s="298"/>
      <c r="H17" s="138"/>
      <c r="I17" s="138"/>
      <c r="J17" s="138"/>
      <c r="K17" s="138"/>
      <c r="L17" s="138"/>
      <c r="M17" s="138"/>
      <c r="N17" s="138"/>
      <c r="O17" s="139"/>
      <c r="P17" s="138"/>
      <c r="Q17" s="107"/>
      <c r="R17" s="107"/>
    </row>
    <row r="18" spans="1:18" ht="15" customHeight="1">
      <c r="A18" s="17" t="s">
        <v>26</v>
      </c>
      <c r="B18" s="17" t="s">
        <v>822</v>
      </c>
      <c r="C18" s="18" t="s">
        <v>564</v>
      </c>
      <c r="D18" s="17" t="s">
        <v>28</v>
      </c>
      <c r="E18" s="17" t="s">
        <v>270</v>
      </c>
      <c r="F18" s="17" t="s">
        <v>81</v>
      </c>
      <c r="G18" s="298"/>
      <c r="H18" s="138"/>
      <c r="I18" s="138"/>
      <c r="J18" s="138"/>
      <c r="K18" s="138"/>
      <c r="L18" s="138"/>
      <c r="M18" s="138"/>
      <c r="N18" s="138"/>
      <c r="O18" s="139"/>
      <c r="P18" s="138"/>
      <c r="Q18" s="107"/>
      <c r="R18" s="107"/>
    </row>
    <row r="19" spans="1:18" ht="15" customHeight="1" thickBot="1">
      <c r="A19" s="30" t="s">
        <v>26</v>
      </c>
      <c r="B19" s="30" t="s">
        <v>823</v>
      </c>
      <c r="C19" s="31" t="s">
        <v>243</v>
      </c>
      <c r="D19" s="30" t="s">
        <v>28</v>
      </c>
      <c r="E19" s="30" t="s">
        <v>270</v>
      </c>
      <c r="F19" s="30" t="s">
        <v>81</v>
      </c>
      <c r="G19" s="299"/>
      <c r="H19" s="140"/>
      <c r="I19" s="140"/>
      <c r="J19" s="140"/>
      <c r="K19" s="140"/>
      <c r="L19" s="140"/>
      <c r="M19" s="140"/>
      <c r="N19" s="140"/>
      <c r="O19" s="141"/>
      <c r="P19" s="140"/>
      <c r="Q19" s="142"/>
      <c r="R19" s="142"/>
    </row>
    <row r="20" spans="1:18" ht="17.45" customHeight="1" thickBot="1">
      <c r="A20" s="283"/>
      <c r="B20" s="284"/>
      <c r="C20" s="284"/>
      <c r="D20" s="284"/>
      <c r="E20" s="284"/>
      <c r="F20" s="284"/>
      <c r="G20" s="284"/>
      <c r="H20" s="284"/>
      <c r="I20" s="284"/>
      <c r="J20" s="284"/>
      <c r="K20" s="284"/>
      <c r="L20" s="284"/>
      <c r="M20" s="284"/>
      <c r="N20" s="284"/>
      <c r="O20" s="284"/>
      <c r="P20" s="284"/>
      <c r="Q20" s="284"/>
      <c r="R20" s="285"/>
    </row>
    <row r="21" spans="1:18" ht="22.15" customHeight="1" thickTop="1" thickBot="1">
      <c r="A21" s="279" t="s">
        <v>6</v>
      </c>
      <c r="B21" s="295"/>
      <c r="C21" s="295"/>
      <c r="D21" s="295"/>
      <c r="E21" s="295"/>
      <c r="F21" s="296"/>
      <c r="G21" s="32">
        <v>46025</v>
      </c>
      <c r="H21" s="278" t="s">
        <v>7</v>
      </c>
      <c r="I21" s="295"/>
      <c r="J21" s="295"/>
      <c r="K21" s="295"/>
      <c r="L21" s="295"/>
      <c r="M21" s="295"/>
      <c r="N21" s="295"/>
      <c r="O21" s="295"/>
      <c r="P21" s="295"/>
      <c r="Q21" s="295"/>
      <c r="R21" s="296"/>
    </row>
    <row r="22" spans="1:18" ht="24" customHeight="1">
      <c r="A22" s="33" t="s">
        <v>8</v>
      </c>
      <c r="B22" s="33" t="s">
        <v>9</v>
      </c>
      <c r="C22" s="34" t="s">
        <v>10</v>
      </c>
      <c r="D22" s="33" t="s">
        <v>11</v>
      </c>
      <c r="E22" s="33" t="s">
        <v>12</v>
      </c>
      <c r="F22" s="35" t="s">
        <v>13</v>
      </c>
      <c r="G22" s="36" t="s">
        <v>14</v>
      </c>
      <c r="H22" s="33" t="s">
        <v>15</v>
      </c>
      <c r="I22" s="37" t="s">
        <v>16</v>
      </c>
      <c r="J22" s="38" t="s">
        <v>17</v>
      </c>
      <c r="K22" s="39" t="s">
        <v>18</v>
      </c>
      <c r="L22" s="38" t="s">
        <v>19</v>
      </c>
      <c r="M22" s="38" t="s">
        <v>20</v>
      </c>
      <c r="N22" s="38" t="s">
        <v>21</v>
      </c>
      <c r="O22" s="33" t="s">
        <v>22</v>
      </c>
      <c r="P22" s="34" t="s">
        <v>23</v>
      </c>
      <c r="Q22" s="38" t="s">
        <v>24</v>
      </c>
      <c r="R22" s="33" t="s">
        <v>25</v>
      </c>
    </row>
    <row r="23" spans="1:18" ht="15" customHeight="1">
      <c r="A23" s="8" t="s">
        <v>26</v>
      </c>
      <c r="B23" s="8" t="s">
        <v>986</v>
      </c>
      <c r="C23" s="9">
        <v>0.3611111111111111</v>
      </c>
      <c r="D23" s="8" t="s">
        <v>987</v>
      </c>
      <c r="E23" s="8" t="s">
        <v>177</v>
      </c>
      <c r="F23" s="8" t="s">
        <v>992</v>
      </c>
      <c r="G23" s="297"/>
      <c r="H23" s="10"/>
      <c r="I23" s="11"/>
      <c r="J23" s="11"/>
      <c r="K23" s="11"/>
      <c r="L23" s="11"/>
      <c r="M23" s="11"/>
      <c r="N23" s="11"/>
      <c r="O23" s="12"/>
      <c r="P23" s="11"/>
      <c r="Q23" s="13"/>
      <c r="R23" s="14"/>
    </row>
    <row r="24" spans="1:18" ht="15" customHeight="1">
      <c r="A24" s="15" t="s">
        <v>26</v>
      </c>
      <c r="B24" s="15" t="s">
        <v>986</v>
      </c>
      <c r="C24" s="16">
        <v>0.3611111111111111</v>
      </c>
      <c r="D24" s="15" t="s">
        <v>31</v>
      </c>
      <c r="E24" s="15" t="s">
        <v>454</v>
      </c>
      <c r="F24" s="15" t="s">
        <v>993</v>
      </c>
      <c r="G24" s="298"/>
      <c r="H24" s="10"/>
      <c r="I24" s="11"/>
      <c r="J24" s="11"/>
      <c r="K24" s="11"/>
      <c r="L24" s="11"/>
      <c r="M24" s="11"/>
      <c r="N24" s="11"/>
      <c r="O24" s="12"/>
      <c r="P24" s="11"/>
      <c r="Q24" s="13"/>
      <c r="R24" s="14"/>
    </row>
    <row r="25" spans="1:18" ht="15" customHeight="1">
      <c r="A25" s="15" t="s">
        <v>26</v>
      </c>
      <c r="B25" s="15" t="s">
        <v>986</v>
      </c>
      <c r="C25" s="16">
        <v>0.3611111111111111</v>
      </c>
      <c r="D25" s="15" t="s">
        <v>34</v>
      </c>
      <c r="E25" s="15" t="s">
        <v>454</v>
      </c>
      <c r="F25" s="15" t="s">
        <v>994</v>
      </c>
      <c r="G25" s="298"/>
      <c r="H25" s="10"/>
      <c r="I25" s="11"/>
      <c r="J25" s="11"/>
      <c r="K25" s="11"/>
      <c r="L25" s="11"/>
      <c r="M25" s="11"/>
      <c r="N25" s="11"/>
      <c r="O25" s="12"/>
      <c r="P25" s="11"/>
      <c r="Q25" s="13"/>
      <c r="R25" s="14"/>
    </row>
    <row r="26" spans="1:18" ht="18">
      <c r="A26" s="292" t="s">
        <v>991</v>
      </c>
      <c r="B26" s="303"/>
      <c r="C26" s="303"/>
      <c r="D26" s="303"/>
      <c r="E26" s="303"/>
      <c r="F26" s="304"/>
      <c r="G26" s="298"/>
      <c r="H26" s="138"/>
      <c r="I26" s="138"/>
      <c r="J26" s="138"/>
      <c r="K26" s="138"/>
      <c r="L26" s="138"/>
      <c r="M26" s="138"/>
      <c r="N26" s="138"/>
      <c r="O26" s="139"/>
      <c r="P26" s="138"/>
      <c r="Q26" s="107"/>
      <c r="R26" s="107"/>
    </row>
    <row r="27" spans="1:18" ht="15" customHeight="1">
      <c r="A27" s="17" t="s">
        <v>61</v>
      </c>
      <c r="B27" s="17" t="s">
        <v>816</v>
      </c>
      <c r="C27" s="18" t="s">
        <v>974</v>
      </c>
      <c r="D27" s="17" t="s">
        <v>63</v>
      </c>
      <c r="E27" s="17" t="s">
        <v>288</v>
      </c>
      <c r="F27" s="17" t="s">
        <v>121</v>
      </c>
      <c r="G27" s="298"/>
      <c r="H27" s="138"/>
      <c r="I27" s="138"/>
      <c r="J27" s="138"/>
      <c r="K27" s="138"/>
      <c r="L27" s="138"/>
      <c r="M27" s="138"/>
      <c r="N27" s="138"/>
      <c r="O27" s="139"/>
      <c r="P27" s="138"/>
      <c r="Q27" s="107"/>
      <c r="R27" s="107"/>
    </row>
    <row r="28" spans="1:18" ht="15" customHeight="1">
      <c r="A28" s="17" t="s">
        <v>402</v>
      </c>
      <c r="B28" s="17" t="s">
        <v>839</v>
      </c>
      <c r="C28" s="18" t="s">
        <v>599</v>
      </c>
      <c r="D28" s="17" t="s">
        <v>63</v>
      </c>
      <c r="E28" s="17" t="s">
        <v>294</v>
      </c>
      <c r="F28" s="17" t="s">
        <v>404</v>
      </c>
      <c r="G28" s="298"/>
      <c r="H28" s="138"/>
      <c r="I28" s="138"/>
      <c r="J28" s="138"/>
      <c r="K28" s="138"/>
      <c r="L28" s="138"/>
      <c r="M28" s="138"/>
      <c r="N28" s="138"/>
      <c r="O28" s="139"/>
      <c r="P28" s="138"/>
      <c r="Q28" s="107"/>
      <c r="R28" s="107"/>
    </row>
    <row r="29" spans="1:18" ht="15" customHeight="1">
      <c r="A29" s="17" t="s">
        <v>359</v>
      </c>
      <c r="B29" s="17" t="s">
        <v>814</v>
      </c>
      <c r="C29" s="18" t="s">
        <v>563</v>
      </c>
      <c r="D29" s="17" t="s">
        <v>469</v>
      </c>
      <c r="E29" s="17" t="s">
        <v>270</v>
      </c>
      <c r="F29" s="17" t="s">
        <v>863</v>
      </c>
      <c r="G29" s="298"/>
      <c r="H29" s="138"/>
      <c r="I29" s="138"/>
      <c r="J29" s="138"/>
      <c r="K29" s="138"/>
      <c r="L29" s="138"/>
      <c r="M29" s="138"/>
      <c r="N29" s="138"/>
      <c r="O29" s="139"/>
      <c r="P29" s="138"/>
      <c r="Q29" s="107"/>
      <c r="R29" s="107"/>
    </row>
    <row r="30" spans="1:18" ht="15" customHeight="1">
      <c r="A30" s="17" t="s">
        <v>359</v>
      </c>
      <c r="B30" s="17" t="s">
        <v>814</v>
      </c>
      <c r="C30" s="18" t="s">
        <v>563</v>
      </c>
      <c r="D30" s="17" t="s">
        <v>361</v>
      </c>
      <c r="E30" s="17" t="s">
        <v>270</v>
      </c>
      <c r="F30" s="17" t="s">
        <v>863</v>
      </c>
      <c r="G30" s="298"/>
      <c r="H30" s="138"/>
      <c r="I30" s="138"/>
      <c r="J30" s="138"/>
      <c r="K30" s="138"/>
      <c r="L30" s="138"/>
      <c r="M30" s="138"/>
      <c r="N30" s="138"/>
      <c r="O30" s="139"/>
      <c r="P30" s="138"/>
      <c r="Q30" s="107"/>
      <c r="R30" s="107"/>
    </row>
    <row r="31" spans="1:18" ht="15" customHeight="1">
      <c r="A31" s="17" t="s">
        <v>38</v>
      </c>
      <c r="B31" s="17" t="s">
        <v>809</v>
      </c>
      <c r="C31" s="18" t="s">
        <v>984</v>
      </c>
      <c r="D31" s="17" t="s">
        <v>440</v>
      </c>
      <c r="E31" s="17" t="s">
        <v>312</v>
      </c>
      <c r="F31" s="17" t="s">
        <v>45</v>
      </c>
      <c r="G31" s="298"/>
      <c r="H31" s="138"/>
      <c r="I31" s="138"/>
      <c r="J31" s="138"/>
      <c r="K31" s="138"/>
      <c r="L31" s="138"/>
      <c r="M31" s="138"/>
      <c r="N31" s="138"/>
      <c r="O31" s="139"/>
      <c r="P31" s="138"/>
      <c r="Q31" s="107"/>
      <c r="R31" s="107"/>
    </row>
    <row r="32" spans="1:18" ht="15" customHeight="1">
      <c r="A32" s="17" t="s">
        <v>38</v>
      </c>
      <c r="B32" s="17" t="s">
        <v>809</v>
      </c>
      <c r="C32" s="18" t="s">
        <v>984</v>
      </c>
      <c r="D32" s="17" t="s">
        <v>40</v>
      </c>
      <c r="E32" s="17" t="s">
        <v>312</v>
      </c>
      <c r="F32" s="17" t="s">
        <v>45</v>
      </c>
      <c r="G32" s="298"/>
      <c r="H32" s="138"/>
      <c r="I32" s="138"/>
      <c r="J32" s="138"/>
      <c r="K32" s="138"/>
      <c r="L32" s="138"/>
      <c r="M32" s="138"/>
      <c r="N32" s="138"/>
      <c r="O32" s="139"/>
      <c r="P32" s="138"/>
      <c r="Q32" s="107"/>
      <c r="R32" s="107"/>
    </row>
    <row r="33" spans="1:18" ht="15" customHeight="1">
      <c r="A33" s="17" t="s">
        <v>26</v>
      </c>
      <c r="B33" s="17" t="s">
        <v>822</v>
      </c>
      <c r="C33" s="18" t="s">
        <v>564</v>
      </c>
      <c r="D33" s="17" t="s">
        <v>451</v>
      </c>
      <c r="E33" s="17" t="s">
        <v>267</v>
      </c>
      <c r="F33" s="17" t="s">
        <v>35</v>
      </c>
      <c r="G33" s="298"/>
      <c r="H33" s="138"/>
      <c r="I33" s="138"/>
      <c r="J33" s="138"/>
      <c r="K33" s="138"/>
      <c r="L33" s="138"/>
      <c r="M33" s="138"/>
      <c r="N33" s="138"/>
      <c r="O33" s="139"/>
      <c r="P33" s="138"/>
      <c r="Q33" s="107"/>
      <c r="R33" s="107"/>
    </row>
    <row r="34" spans="1:18" ht="15" customHeight="1">
      <c r="A34" s="17" t="s">
        <v>26</v>
      </c>
      <c r="B34" s="17" t="s">
        <v>822</v>
      </c>
      <c r="C34" s="18" t="s">
        <v>564</v>
      </c>
      <c r="D34" s="17" t="s">
        <v>28</v>
      </c>
      <c r="E34" s="17" t="s">
        <v>267</v>
      </c>
      <c r="F34" s="17" t="s">
        <v>35</v>
      </c>
      <c r="G34" s="298"/>
      <c r="H34" s="138"/>
      <c r="I34" s="138"/>
      <c r="J34" s="138"/>
      <c r="K34" s="138"/>
      <c r="L34" s="138"/>
      <c r="M34" s="138"/>
      <c r="N34" s="138"/>
      <c r="O34" s="139"/>
      <c r="P34" s="138"/>
      <c r="Q34" s="107"/>
      <c r="R34" s="107"/>
    </row>
    <row r="35" spans="1:18" ht="15" customHeight="1">
      <c r="A35" s="17" t="s">
        <v>26</v>
      </c>
      <c r="B35" s="17" t="s">
        <v>824</v>
      </c>
      <c r="C35" s="18" t="s">
        <v>995</v>
      </c>
      <c r="D35" s="17" t="s">
        <v>451</v>
      </c>
      <c r="E35" s="17" t="s">
        <v>270</v>
      </c>
      <c r="F35" s="17" t="s">
        <v>35</v>
      </c>
      <c r="G35" s="298"/>
      <c r="H35" s="138"/>
      <c r="I35" s="138"/>
      <c r="J35" s="138"/>
      <c r="K35" s="138"/>
      <c r="L35" s="138"/>
      <c r="M35" s="138"/>
      <c r="N35" s="138"/>
      <c r="O35" s="139"/>
      <c r="P35" s="138"/>
      <c r="Q35" s="107"/>
      <c r="R35" s="107"/>
    </row>
    <row r="36" spans="1:18" ht="15" customHeight="1" thickBot="1">
      <c r="A36" s="30" t="s">
        <v>26</v>
      </c>
      <c r="B36" s="30" t="s">
        <v>824</v>
      </c>
      <c r="C36" s="31" t="s">
        <v>995</v>
      </c>
      <c r="D36" s="30" t="s">
        <v>28</v>
      </c>
      <c r="E36" s="30" t="s">
        <v>270</v>
      </c>
      <c r="F36" s="30" t="s">
        <v>35</v>
      </c>
      <c r="G36" s="299"/>
      <c r="H36" s="140"/>
      <c r="I36" s="140"/>
      <c r="J36" s="140"/>
      <c r="K36" s="140"/>
      <c r="L36" s="140"/>
      <c r="M36" s="140"/>
      <c r="N36" s="140"/>
      <c r="O36" s="141"/>
      <c r="P36" s="140"/>
      <c r="Q36" s="142"/>
      <c r="R36" s="142"/>
    </row>
    <row r="37" spans="1:18" ht="17.45" customHeight="1" thickBot="1">
      <c r="A37" s="283"/>
      <c r="B37" s="284"/>
      <c r="C37" s="284"/>
      <c r="D37" s="284"/>
      <c r="E37" s="284"/>
      <c r="F37" s="284"/>
      <c r="G37" s="284"/>
      <c r="H37" s="284"/>
      <c r="I37" s="284"/>
      <c r="J37" s="284"/>
      <c r="K37" s="284"/>
      <c r="L37" s="284"/>
      <c r="M37" s="284"/>
      <c r="N37" s="284"/>
      <c r="O37" s="284"/>
      <c r="P37" s="284"/>
      <c r="Q37" s="284"/>
      <c r="R37" s="285"/>
    </row>
    <row r="38" spans="1:18" ht="22.15" customHeight="1" thickTop="1" thickBot="1">
      <c r="A38" s="279" t="s">
        <v>6</v>
      </c>
      <c r="B38" s="295"/>
      <c r="C38" s="295"/>
      <c r="D38" s="295"/>
      <c r="E38" s="295"/>
      <c r="F38" s="296"/>
      <c r="G38" s="32">
        <v>46026</v>
      </c>
      <c r="H38" s="278" t="s">
        <v>7</v>
      </c>
      <c r="I38" s="295"/>
      <c r="J38" s="295"/>
      <c r="K38" s="295"/>
      <c r="L38" s="295"/>
      <c r="M38" s="295"/>
      <c r="N38" s="295"/>
      <c r="O38" s="295"/>
      <c r="P38" s="295"/>
      <c r="Q38" s="295"/>
      <c r="R38" s="296"/>
    </row>
    <row r="39" spans="1:18" ht="24" customHeight="1">
      <c r="A39" s="33" t="s">
        <v>8</v>
      </c>
      <c r="B39" s="33" t="s">
        <v>9</v>
      </c>
      <c r="C39" s="34" t="s">
        <v>10</v>
      </c>
      <c r="D39" s="33" t="s">
        <v>11</v>
      </c>
      <c r="E39" s="33" t="s">
        <v>12</v>
      </c>
      <c r="F39" s="35" t="s">
        <v>13</v>
      </c>
      <c r="G39" s="36" t="s">
        <v>14</v>
      </c>
      <c r="H39" s="33" t="s">
        <v>15</v>
      </c>
      <c r="I39" s="37" t="s">
        <v>16</v>
      </c>
      <c r="J39" s="38" t="s">
        <v>17</v>
      </c>
      <c r="K39" s="39" t="s">
        <v>18</v>
      </c>
      <c r="L39" s="38" t="s">
        <v>19</v>
      </c>
      <c r="M39" s="38" t="s">
        <v>20</v>
      </c>
      <c r="N39" s="38" t="s">
        <v>21</v>
      </c>
      <c r="O39" s="33" t="s">
        <v>22</v>
      </c>
      <c r="P39" s="34" t="s">
        <v>23</v>
      </c>
      <c r="Q39" s="38" t="s">
        <v>24</v>
      </c>
      <c r="R39" s="33" t="s">
        <v>25</v>
      </c>
    </row>
    <row r="40" spans="1:18" ht="15" customHeight="1">
      <c r="A40" s="78" t="s">
        <v>61</v>
      </c>
      <c r="B40" s="78" t="s">
        <v>996</v>
      </c>
      <c r="C40" s="79">
        <v>0.42708333333333331</v>
      </c>
      <c r="D40" s="78" t="s">
        <v>63</v>
      </c>
      <c r="E40" s="78" t="s">
        <v>107</v>
      </c>
      <c r="F40" s="78" t="s">
        <v>997</v>
      </c>
      <c r="G40" s="297"/>
      <c r="H40" s="80" t="s">
        <v>998</v>
      </c>
      <c r="I40" s="81">
        <v>0.13969999999999999</v>
      </c>
      <c r="J40" s="82">
        <v>25</v>
      </c>
      <c r="K40" s="83">
        <v>46343</v>
      </c>
      <c r="L40" s="82">
        <v>25</v>
      </c>
      <c r="M40" s="82">
        <v>0</v>
      </c>
      <c r="N40" s="82">
        <v>0</v>
      </c>
      <c r="O40" s="84" t="s">
        <v>299</v>
      </c>
      <c r="P40" s="85">
        <v>0.42708333333333331</v>
      </c>
      <c r="Q40" s="82">
        <v>179</v>
      </c>
      <c r="R40" s="86" t="s">
        <v>999</v>
      </c>
    </row>
    <row r="41" spans="1:18" ht="15" customHeight="1">
      <c r="A41" s="19" t="s">
        <v>68</v>
      </c>
      <c r="B41" s="19" t="s">
        <v>1000</v>
      </c>
      <c r="C41" s="20">
        <v>0.42708333333333331</v>
      </c>
      <c r="D41" s="19" t="s">
        <v>643</v>
      </c>
      <c r="E41" s="19" t="s">
        <v>29</v>
      </c>
      <c r="F41" s="19" t="s">
        <v>1001</v>
      </c>
      <c r="G41" s="298"/>
      <c r="H41" s="10"/>
      <c r="I41" s="11"/>
      <c r="J41" s="11"/>
      <c r="K41" s="11"/>
      <c r="L41" s="11"/>
      <c r="M41" s="11"/>
      <c r="N41" s="11"/>
      <c r="O41" s="12"/>
      <c r="P41" s="11"/>
      <c r="Q41" s="13"/>
      <c r="R41" s="14"/>
    </row>
    <row r="42" spans="1:18" ht="18">
      <c r="A42" s="292" t="s">
        <v>991</v>
      </c>
      <c r="B42" s="303"/>
      <c r="C42" s="303"/>
      <c r="D42" s="303"/>
      <c r="E42" s="303"/>
      <c r="F42" s="304"/>
      <c r="G42" s="298"/>
      <c r="H42" s="138"/>
      <c r="I42" s="138"/>
      <c r="J42" s="138"/>
      <c r="K42" s="138"/>
      <c r="L42" s="138"/>
      <c r="M42" s="138"/>
      <c r="N42" s="138"/>
      <c r="O42" s="139"/>
      <c r="P42" s="138"/>
      <c r="Q42" s="107"/>
      <c r="R42" s="107"/>
    </row>
    <row r="43" spans="1:18" ht="15" customHeight="1">
      <c r="A43" s="17" t="s">
        <v>38</v>
      </c>
      <c r="B43" s="17" t="s">
        <v>812</v>
      </c>
      <c r="C43" s="18" t="s">
        <v>593</v>
      </c>
      <c r="D43" s="17" t="s">
        <v>40</v>
      </c>
      <c r="E43" s="17" t="s">
        <v>332</v>
      </c>
      <c r="F43" s="17" t="s">
        <v>475</v>
      </c>
      <c r="G43" s="298"/>
      <c r="H43" s="138"/>
      <c r="I43" s="138"/>
      <c r="J43" s="138"/>
      <c r="K43" s="138"/>
      <c r="L43" s="138"/>
      <c r="M43" s="138"/>
      <c r="N43" s="138"/>
      <c r="O43" s="139"/>
      <c r="P43" s="138"/>
      <c r="Q43" s="107"/>
      <c r="R43" s="107"/>
    </row>
    <row r="44" spans="1:18" ht="15" customHeight="1">
      <c r="A44" s="17" t="s">
        <v>26</v>
      </c>
      <c r="B44" s="17" t="s">
        <v>820</v>
      </c>
      <c r="C44" s="18" t="s">
        <v>563</v>
      </c>
      <c r="D44" s="17" t="s">
        <v>28</v>
      </c>
      <c r="E44" s="17" t="s">
        <v>278</v>
      </c>
      <c r="F44" s="17" t="s">
        <v>88</v>
      </c>
      <c r="G44" s="298"/>
      <c r="H44" s="138"/>
      <c r="I44" s="138"/>
      <c r="J44" s="138"/>
      <c r="K44" s="138"/>
      <c r="L44" s="138"/>
      <c r="M44" s="138"/>
      <c r="N44" s="138"/>
      <c r="O44" s="139"/>
      <c r="P44" s="138"/>
      <c r="Q44" s="107"/>
      <c r="R44" s="107"/>
    </row>
    <row r="45" spans="1:18" ht="15" customHeight="1">
      <c r="A45" s="17" t="s">
        <v>26</v>
      </c>
      <c r="B45" s="17" t="s">
        <v>821</v>
      </c>
      <c r="C45" s="18" t="s">
        <v>703</v>
      </c>
      <c r="D45" s="17" t="s">
        <v>28</v>
      </c>
      <c r="E45" s="17" t="s">
        <v>267</v>
      </c>
      <c r="F45" s="17" t="s">
        <v>88</v>
      </c>
      <c r="G45" s="298"/>
      <c r="H45" s="138"/>
      <c r="I45" s="138"/>
      <c r="J45" s="138"/>
      <c r="K45" s="138"/>
      <c r="L45" s="138"/>
      <c r="M45" s="138"/>
      <c r="N45" s="138"/>
      <c r="O45" s="139"/>
      <c r="P45" s="138"/>
      <c r="Q45" s="107"/>
      <c r="R45" s="107"/>
    </row>
    <row r="46" spans="1:18" ht="15" customHeight="1">
      <c r="A46" s="17" t="s">
        <v>26</v>
      </c>
      <c r="B46" s="17" t="s">
        <v>822</v>
      </c>
      <c r="C46" s="18" t="s">
        <v>564</v>
      </c>
      <c r="D46" s="17" t="s">
        <v>28</v>
      </c>
      <c r="E46" s="17" t="s">
        <v>270</v>
      </c>
      <c r="F46" s="17" t="s">
        <v>88</v>
      </c>
      <c r="G46" s="298"/>
      <c r="H46" s="138"/>
      <c r="I46" s="138"/>
      <c r="J46" s="138"/>
      <c r="K46" s="138"/>
      <c r="L46" s="138"/>
      <c r="M46" s="138"/>
      <c r="N46" s="138"/>
      <c r="O46" s="139"/>
      <c r="P46" s="138"/>
      <c r="Q46" s="107"/>
      <c r="R46" s="107"/>
    </row>
    <row r="47" spans="1:18" ht="15" customHeight="1">
      <c r="A47" s="17" t="s">
        <v>26</v>
      </c>
      <c r="B47" s="17" t="s">
        <v>823</v>
      </c>
      <c r="C47" s="18" t="s">
        <v>243</v>
      </c>
      <c r="D47" s="17" t="s">
        <v>28</v>
      </c>
      <c r="E47" s="17" t="s">
        <v>270</v>
      </c>
      <c r="F47" s="17" t="s">
        <v>88</v>
      </c>
      <c r="G47" s="298"/>
      <c r="H47" s="138"/>
      <c r="I47" s="138"/>
      <c r="J47" s="138"/>
      <c r="K47" s="138"/>
      <c r="L47" s="138"/>
      <c r="M47" s="138"/>
      <c r="N47" s="138"/>
      <c r="O47" s="139"/>
      <c r="P47" s="138"/>
      <c r="Q47" s="107"/>
      <c r="R47" s="107"/>
    </row>
    <row r="48" spans="1:18" ht="15" customHeight="1">
      <c r="A48" s="17" t="s">
        <v>26</v>
      </c>
      <c r="B48" s="17" t="s">
        <v>824</v>
      </c>
      <c r="C48" s="18" t="s">
        <v>995</v>
      </c>
      <c r="D48" s="17" t="s">
        <v>28</v>
      </c>
      <c r="E48" s="17" t="s">
        <v>270</v>
      </c>
      <c r="F48" s="17" t="s">
        <v>88</v>
      </c>
      <c r="G48" s="298"/>
      <c r="H48" s="138"/>
      <c r="I48" s="138"/>
      <c r="J48" s="138"/>
      <c r="K48" s="138"/>
      <c r="L48" s="138"/>
      <c r="M48" s="138"/>
      <c r="N48" s="138"/>
      <c r="O48" s="139"/>
      <c r="P48" s="138"/>
      <c r="Q48" s="107"/>
      <c r="R48" s="107"/>
    </row>
    <row r="49" spans="1:18" ht="15" customHeight="1">
      <c r="A49" s="17" t="s">
        <v>38</v>
      </c>
      <c r="B49" s="17" t="s">
        <v>813</v>
      </c>
      <c r="C49" s="18" t="s">
        <v>598</v>
      </c>
      <c r="D49" s="17" t="s">
        <v>40</v>
      </c>
      <c r="E49" s="17" t="s">
        <v>295</v>
      </c>
      <c r="F49" s="17" t="s">
        <v>872</v>
      </c>
      <c r="G49" s="298"/>
      <c r="H49" s="138"/>
      <c r="I49" s="138"/>
      <c r="J49" s="138"/>
      <c r="K49" s="138"/>
      <c r="L49" s="138"/>
      <c r="M49" s="138"/>
      <c r="N49" s="138"/>
      <c r="O49" s="139"/>
      <c r="P49" s="138"/>
      <c r="Q49" s="107"/>
      <c r="R49" s="107"/>
    </row>
    <row r="50" spans="1:18" ht="15" customHeight="1">
      <c r="A50" s="17" t="s">
        <v>26</v>
      </c>
      <c r="B50" s="17" t="s">
        <v>826</v>
      </c>
      <c r="C50" s="18" t="s">
        <v>1002</v>
      </c>
      <c r="D50" s="17" t="s">
        <v>28</v>
      </c>
      <c r="E50" s="17" t="s">
        <v>270</v>
      </c>
      <c r="F50" s="17" t="s">
        <v>81</v>
      </c>
      <c r="G50" s="298"/>
      <c r="H50" s="138"/>
      <c r="I50" s="138"/>
      <c r="J50" s="138"/>
      <c r="K50" s="138"/>
      <c r="L50" s="138"/>
      <c r="M50" s="138"/>
      <c r="N50" s="138"/>
      <c r="O50" s="139"/>
      <c r="P50" s="138"/>
      <c r="Q50" s="107"/>
      <c r="R50" s="107"/>
    </row>
    <row r="51" spans="1:18" ht="15" customHeight="1">
      <c r="A51" s="17" t="s">
        <v>26</v>
      </c>
      <c r="B51" s="17" t="s">
        <v>825</v>
      </c>
      <c r="C51" s="18" t="s">
        <v>272</v>
      </c>
      <c r="D51" s="17" t="s">
        <v>28</v>
      </c>
      <c r="E51" s="17" t="s">
        <v>636</v>
      </c>
      <c r="F51" s="17" t="s">
        <v>81</v>
      </c>
      <c r="G51" s="298"/>
      <c r="H51" s="138"/>
      <c r="I51" s="138"/>
      <c r="J51" s="138"/>
      <c r="K51" s="138"/>
      <c r="L51" s="138"/>
      <c r="M51" s="138"/>
      <c r="N51" s="138"/>
      <c r="O51" s="139"/>
      <c r="P51" s="138"/>
      <c r="Q51" s="107"/>
      <c r="R51" s="107"/>
    </row>
    <row r="52" spans="1:18" ht="15" customHeight="1" thickBot="1">
      <c r="A52" s="30" t="s">
        <v>38</v>
      </c>
      <c r="B52" s="30" t="s">
        <v>809</v>
      </c>
      <c r="C52" s="31" t="s">
        <v>984</v>
      </c>
      <c r="D52" s="30" t="s">
        <v>40</v>
      </c>
      <c r="E52" s="30" t="s">
        <v>295</v>
      </c>
      <c r="F52" s="30" t="s">
        <v>848</v>
      </c>
      <c r="G52" s="299"/>
      <c r="H52" s="140"/>
      <c r="I52" s="140"/>
      <c r="J52" s="140"/>
      <c r="K52" s="140"/>
      <c r="L52" s="140"/>
      <c r="M52" s="140"/>
      <c r="N52" s="140"/>
      <c r="O52" s="141"/>
      <c r="P52" s="140"/>
      <c r="Q52" s="142"/>
      <c r="R52" s="142"/>
    </row>
    <row r="53" spans="1:18" ht="17.45" customHeight="1" thickBot="1">
      <c r="A53" s="283"/>
      <c r="B53" s="284"/>
      <c r="C53" s="284"/>
      <c r="D53" s="284"/>
      <c r="E53" s="284"/>
      <c r="F53" s="284"/>
      <c r="G53" s="284"/>
      <c r="H53" s="284"/>
      <c r="I53" s="284"/>
      <c r="J53" s="284"/>
      <c r="K53" s="284"/>
      <c r="L53" s="284"/>
      <c r="M53" s="284"/>
      <c r="N53" s="284"/>
      <c r="O53" s="284"/>
      <c r="P53" s="284"/>
      <c r="Q53" s="284"/>
      <c r="R53" s="285"/>
    </row>
    <row r="54" spans="1:18" ht="22.15" customHeight="1" thickTop="1" thickBot="1">
      <c r="A54" s="279" t="s">
        <v>6</v>
      </c>
      <c r="B54" s="295"/>
      <c r="C54" s="295"/>
      <c r="D54" s="295"/>
      <c r="E54" s="295"/>
      <c r="F54" s="296"/>
      <c r="G54" s="32">
        <v>46028</v>
      </c>
      <c r="H54" s="278" t="s">
        <v>7</v>
      </c>
      <c r="I54" s="295"/>
      <c r="J54" s="295"/>
      <c r="K54" s="295"/>
      <c r="L54" s="295"/>
      <c r="M54" s="295"/>
      <c r="N54" s="295"/>
      <c r="O54" s="295"/>
      <c r="P54" s="295"/>
      <c r="Q54" s="295"/>
      <c r="R54" s="296"/>
    </row>
    <row r="55" spans="1:18" ht="24" customHeight="1">
      <c r="A55" s="33" t="s">
        <v>8</v>
      </c>
      <c r="B55" s="33" t="s">
        <v>9</v>
      </c>
      <c r="C55" s="34" t="s">
        <v>10</v>
      </c>
      <c r="D55" s="33" t="s">
        <v>11</v>
      </c>
      <c r="E55" s="33" t="s">
        <v>12</v>
      </c>
      <c r="F55" s="35" t="s">
        <v>13</v>
      </c>
      <c r="G55" s="36" t="s">
        <v>14</v>
      </c>
      <c r="H55" s="33" t="s">
        <v>15</v>
      </c>
      <c r="I55" s="37" t="s">
        <v>16</v>
      </c>
      <c r="J55" s="38" t="s">
        <v>17</v>
      </c>
      <c r="K55" s="39" t="s">
        <v>18</v>
      </c>
      <c r="L55" s="38" t="s">
        <v>19</v>
      </c>
      <c r="M55" s="38" t="s">
        <v>20</v>
      </c>
      <c r="N55" s="38" t="s">
        <v>21</v>
      </c>
      <c r="O55" s="33" t="s">
        <v>22</v>
      </c>
      <c r="P55" s="34" t="s">
        <v>23</v>
      </c>
      <c r="Q55" s="38" t="s">
        <v>24</v>
      </c>
      <c r="R55" s="33" t="s">
        <v>25</v>
      </c>
    </row>
    <row r="56" spans="1:18" ht="15" customHeight="1">
      <c r="A56" s="58" t="s">
        <v>61</v>
      </c>
      <c r="B56" s="58" t="s">
        <v>996</v>
      </c>
      <c r="C56" s="59">
        <v>0.43055555555555558</v>
      </c>
      <c r="D56" s="58" t="s">
        <v>63</v>
      </c>
      <c r="E56" s="58" t="s">
        <v>100</v>
      </c>
      <c r="F56" s="58" t="s">
        <v>849</v>
      </c>
      <c r="G56" s="297"/>
      <c r="H56" s="60" t="s">
        <v>998</v>
      </c>
      <c r="I56" s="61">
        <v>4.4699999999999997E-2</v>
      </c>
      <c r="J56" s="62">
        <v>8</v>
      </c>
      <c r="K56" s="63">
        <v>46344</v>
      </c>
      <c r="L56" s="62">
        <v>8</v>
      </c>
      <c r="M56" s="62">
        <v>0</v>
      </c>
      <c r="N56" s="62">
        <v>0</v>
      </c>
      <c r="O56" s="64" t="s">
        <v>850</v>
      </c>
      <c r="P56" s="65">
        <v>0.43055555555555558</v>
      </c>
      <c r="Q56" s="62">
        <v>179</v>
      </c>
      <c r="R56" s="66" t="s">
        <v>1003</v>
      </c>
    </row>
    <row r="57" spans="1:18" ht="15" customHeight="1">
      <c r="A57" s="19" t="s">
        <v>26</v>
      </c>
      <c r="B57" s="19" t="s">
        <v>986</v>
      </c>
      <c r="C57" s="20">
        <v>0.3611111111111111</v>
      </c>
      <c r="D57" s="19" t="s">
        <v>987</v>
      </c>
      <c r="E57" s="19" t="s">
        <v>80</v>
      </c>
      <c r="F57" s="19" t="s">
        <v>988</v>
      </c>
      <c r="G57" s="298"/>
      <c r="H57" s="10"/>
      <c r="I57" s="11"/>
      <c r="J57" s="11"/>
      <c r="K57" s="11"/>
      <c r="L57" s="11"/>
      <c r="M57" s="11"/>
      <c r="N57" s="11"/>
      <c r="O57" s="12"/>
      <c r="P57" s="11"/>
      <c r="Q57" s="13"/>
      <c r="R57" s="14"/>
    </row>
    <row r="58" spans="1:18" ht="15" customHeight="1">
      <c r="A58" s="15" t="s">
        <v>26</v>
      </c>
      <c r="B58" s="15" t="s">
        <v>986</v>
      </c>
      <c r="C58" s="16">
        <v>0.3611111111111111</v>
      </c>
      <c r="D58" s="15" t="s">
        <v>31</v>
      </c>
      <c r="E58" s="15" t="s">
        <v>82</v>
      </c>
      <c r="F58" s="15" t="s">
        <v>989</v>
      </c>
      <c r="G58" s="298"/>
      <c r="H58" s="10"/>
      <c r="I58" s="11"/>
      <c r="J58" s="11"/>
      <c r="K58" s="11"/>
      <c r="L58" s="11"/>
      <c r="M58" s="11"/>
      <c r="N58" s="11"/>
      <c r="O58" s="12"/>
      <c r="P58" s="11"/>
      <c r="Q58" s="13"/>
      <c r="R58" s="14"/>
    </row>
    <row r="59" spans="1:18" ht="15" customHeight="1">
      <c r="A59" s="15" t="s">
        <v>26</v>
      </c>
      <c r="B59" s="15" t="s">
        <v>986</v>
      </c>
      <c r="C59" s="16">
        <v>0.3611111111111111</v>
      </c>
      <c r="D59" s="15" t="s">
        <v>34</v>
      </c>
      <c r="E59" s="15" t="s">
        <v>82</v>
      </c>
      <c r="F59" s="15" t="s">
        <v>990</v>
      </c>
      <c r="G59" s="298"/>
      <c r="H59" s="10"/>
      <c r="I59" s="11"/>
      <c r="J59" s="11"/>
      <c r="K59" s="11"/>
      <c r="L59" s="11"/>
      <c r="M59" s="11"/>
      <c r="N59" s="11"/>
      <c r="O59" s="12"/>
      <c r="P59" s="11"/>
      <c r="Q59" s="13"/>
      <c r="R59" s="14"/>
    </row>
    <row r="60" spans="1:18" ht="15" customHeight="1">
      <c r="A60" s="19" t="s">
        <v>68</v>
      </c>
      <c r="B60" s="19" t="s">
        <v>1000</v>
      </c>
      <c r="C60" s="20">
        <v>0.43055555555555558</v>
      </c>
      <c r="D60" s="19" t="s">
        <v>643</v>
      </c>
      <c r="E60" s="19" t="s">
        <v>29</v>
      </c>
      <c r="F60" s="19" t="s">
        <v>1001</v>
      </c>
      <c r="G60" s="298"/>
      <c r="H60" s="10"/>
      <c r="I60" s="11"/>
      <c r="J60" s="11"/>
      <c r="K60" s="11"/>
      <c r="L60" s="11"/>
      <c r="M60" s="11"/>
      <c r="N60" s="11"/>
      <c r="O60" s="12"/>
      <c r="P60" s="11"/>
      <c r="Q60" s="13"/>
      <c r="R60" s="14"/>
    </row>
    <row r="61" spans="1:18" ht="18">
      <c r="A61" s="292" t="s">
        <v>991</v>
      </c>
      <c r="B61" s="303"/>
      <c r="C61" s="303"/>
      <c r="D61" s="303"/>
      <c r="E61" s="303"/>
      <c r="F61" s="304"/>
      <c r="G61" s="298"/>
      <c r="H61" s="138"/>
      <c r="I61" s="138"/>
      <c r="J61" s="138"/>
      <c r="K61" s="138"/>
      <c r="L61" s="138"/>
      <c r="M61" s="138"/>
      <c r="N61" s="138"/>
      <c r="O61" s="139"/>
      <c r="P61" s="138"/>
      <c r="Q61" s="107"/>
      <c r="R61" s="107"/>
    </row>
    <row r="62" spans="1:18" ht="15" customHeight="1">
      <c r="A62" s="17" t="s">
        <v>38</v>
      </c>
      <c r="B62" s="17" t="s">
        <v>809</v>
      </c>
      <c r="C62" s="18" t="s">
        <v>984</v>
      </c>
      <c r="D62" s="17" t="s">
        <v>40</v>
      </c>
      <c r="E62" s="17" t="s">
        <v>281</v>
      </c>
      <c r="F62" s="17" t="s">
        <v>475</v>
      </c>
      <c r="G62" s="298"/>
      <c r="H62" s="138"/>
      <c r="I62" s="138"/>
      <c r="J62" s="138"/>
      <c r="K62" s="138"/>
      <c r="L62" s="138"/>
      <c r="M62" s="138"/>
      <c r="N62" s="138"/>
      <c r="O62" s="139"/>
      <c r="P62" s="138"/>
      <c r="Q62" s="107"/>
      <c r="R62" s="107"/>
    </row>
    <row r="63" spans="1:18" ht="15" customHeight="1">
      <c r="A63" s="17" t="s">
        <v>38</v>
      </c>
      <c r="B63" s="17" t="s">
        <v>811</v>
      </c>
      <c r="C63" s="18" t="s">
        <v>769</v>
      </c>
      <c r="D63" s="17" t="s">
        <v>40</v>
      </c>
      <c r="E63" s="17" t="s">
        <v>312</v>
      </c>
      <c r="F63" s="17" t="s">
        <v>475</v>
      </c>
      <c r="G63" s="298"/>
      <c r="H63" s="138"/>
      <c r="I63" s="138"/>
      <c r="J63" s="138"/>
      <c r="K63" s="138"/>
      <c r="L63" s="138"/>
      <c r="M63" s="138"/>
      <c r="N63" s="138"/>
      <c r="O63" s="139"/>
      <c r="P63" s="138"/>
      <c r="Q63" s="107"/>
      <c r="R63" s="107"/>
    </row>
    <row r="64" spans="1:18" ht="15" customHeight="1">
      <c r="A64" s="17" t="s">
        <v>38</v>
      </c>
      <c r="B64" s="17" t="s">
        <v>812</v>
      </c>
      <c r="C64" s="18" t="s">
        <v>593</v>
      </c>
      <c r="D64" s="17" t="s">
        <v>40</v>
      </c>
      <c r="E64" s="17" t="s">
        <v>293</v>
      </c>
      <c r="F64" s="17" t="s">
        <v>475</v>
      </c>
      <c r="G64" s="298"/>
      <c r="H64" s="138"/>
      <c r="I64" s="138"/>
      <c r="J64" s="138"/>
      <c r="K64" s="138"/>
      <c r="L64" s="138"/>
      <c r="M64" s="138"/>
      <c r="N64" s="138"/>
      <c r="O64" s="139"/>
      <c r="P64" s="138"/>
      <c r="Q64" s="107"/>
      <c r="R64" s="107"/>
    </row>
    <row r="65" spans="1:18" ht="15" customHeight="1">
      <c r="A65" s="17" t="s">
        <v>38</v>
      </c>
      <c r="B65" s="17" t="s">
        <v>813</v>
      </c>
      <c r="C65" s="18" t="s">
        <v>598</v>
      </c>
      <c r="D65" s="17" t="s">
        <v>40</v>
      </c>
      <c r="E65" s="17" t="s">
        <v>295</v>
      </c>
      <c r="F65" s="17" t="s">
        <v>475</v>
      </c>
      <c r="G65" s="298"/>
      <c r="H65" s="138"/>
      <c r="I65" s="138"/>
      <c r="J65" s="138"/>
      <c r="K65" s="138"/>
      <c r="L65" s="138"/>
      <c r="M65" s="138"/>
      <c r="N65" s="138"/>
      <c r="O65" s="139"/>
      <c r="P65" s="138"/>
      <c r="Q65" s="107"/>
      <c r="R65" s="107"/>
    </row>
    <row r="66" spans="1:18" ht="15" customHeight="1">
      <c r="A66" s="17" t="s">
        <v>359</v>
      </c>
      <c r="B66" s="17" t="s">
        <v>814</v>
      </c>
      <c r="C66" s="18" t="s">
        <v>563</v>
      </c>
      <c r="D66" s="17" t="s">
        <v>361</v>
      </c>
      <c r="E66" s="17" t="s">
        <v>270</v>
      </c>
      <c r="F66" s="17" t="s">
        <v>883</v>
      </c>
      <c r="G66" s="298"/>
      <c r="H66" s="138"/>
      <c r="I66" s="138"/>
      <c r="J66" s="138"/>
      <c r="K66" s="138"/>
      <c r="L66" s="138"/>
      <c r="M66" s="138"/>
      <c r="N66" s="138"/>
      <c r="O66" s="139"/>
      <c r="P66" s="138"/>
      <c r="Q66" s="107"/>
      <c r="R66" s="107"/>
    </row>
    <row r="67" spans="1:18" ht="15" customHeight="1">
      <c r="A67" s="17" t="s">
        <v>359</v>
      </c>
      <c r="B67" s="17" t="s">
        <v>887</v>
      </c>
      <c r="C67" s="18" t="s">
        <v>576</v>
      </c>
      <c r="D67" s="17" t="s">
        <v>361</v>
      </c>
      <c r="E67" s="17" t="s">
        <v>270</v>
      </c>
      <c r="F67" s="17" t="s">
        <v>883</v>
      </c>
      <c r="G67" s="298"/>
      <c r="H67" s="138"/>
      <c r="I67" s="138"/>
      <c r="J67" s="138"/>
      <c r="K67" s="138"/>
      <c r="L67" s="138"/>
      <c r="M67" s="138"/>
      <c r="N67" s="138"/>
      <c r="O67" s="139"/>
      <c r="P67" s="138"/>
      <c r="Q67" s="107"/>
      <c r="R67" s="107"/>
    </row>
    <row r="68" spans="1:18" ht="15" customHeight="1">
      <c r="A68" s="17" t="s">
        <v>68</v>
      </c>
      <c r="B68" s="17" t="s">
        <v>844</v>
      </c>
      <c r="C68" s="18" t="s">
        <v>1004</v>
      </c>
      <c r="D68" s="17" t="s">
        <v>643</v>
      </c>
      <c r="E68" s="17" t="s">
        <v>269</v>
      </c>
      <c r="F68" s="17" t="s">
        <v>888</v>
      </c>
      <c r="G68" s="298"/>
      <c r="H68" s="138"/>
      <c r="I68" s="138"/>
      <c r="J68" s="138"/>
      <c r="K68" s="138"/>
      <c r="L68" s="138"/>
      <c r="M68" s="138"/>
      <c r="N68" s="138"/>
      <c r="O68" s="139"/>
      <c r="P68" s="138"/>
      <c r="Q68" s="107"/>
      <c r="R68" s="107"/>
    </row>
    <row r="69" spans="1:18" ht="15" customHeight="1">
      <c r="A69" s="17" t="s">
        <v>61</v>
      </c>
      <c r="B69" s="17" t="s">
        <v>852</v>
      </c>
      <c r="C69" s="18" t="s">
        <v>980</v>
      </c>
      <c r="D69" s="17" t="s">
        <v>63</v>
      </c>
      <c r="E69" s="17" t="s">
        <v>269</v>
      </c>
      <c r="F69" s="17" t="s">
        <v>817</v>
      </c>
      <c r="G69" s="298"/>
      <c r="H69" s="138"/>
      <c r="I69" s="138"/>
      <c r="J69" s="138"/>
      <c r="K69" s="138"/>
      <c r="L69" s="138"/>
      <c r="M69" s="138"/>
      <c r="N69" s="138"/>
      <c r="O69" s="139"/>
      <c r="P69" s="138"/>
      <c r="Q69" s="107"/>
      <c r="R69" s="107"/>
    </row>
    <row r="70" spans="1:18" ht="15" customHeight="1">
      <c r="A70" s="17" t="s">
        <v>26</v>
      </c>
      <c r="B70" s="17" t="s">
        <v>820</v>
      </c>
      <c r="C70" s="18" t="s">
        <v>563</v>
      </c>
      <c r="D70" s="17" t="s">
        <v>28</v>
      </c>
      <c r="E70" s="17" t="s">
        <v>270</v>
      </c>
      <c r="F70" s="17" t="s">
        <v>81</v>
      </c>
      <c r="G70" s="298"/>
      <c r="H70" s="138"/>
      <c r="I70" s="138"/>
      <c r="J70" s="138"/>
      <c r="K70" s="138"/>
      <c r="L70" s="138"/>
      <c r="M70" s="138"/>
      <c r="N70" s="138"/>
      <c r="O70" s="139"/>
      <c r="P70" s="138"/>
      <c r="Q70" s="107"/>
      <c r="R70" s="107"/>
    </row>
    <row r="71" spans="1:18" ht="15" customHeight="1" thickBot="1">
      <c r="A71" s="30" t="s">
        <v>26</v>
      </c>
      <c r="B71" s="30" t="s">
        <v>826</v>
      </c>
      <c r="C71" s="31" t="s">
        <v>1002</v>
      </c>
      <c r="D71" s="30" t="s">
        <v>28</v>
      </c>
      <c r="E71" s="30" t="s">
        <v>270</v>
      </c>
      <c r="F71" s="30" t="s">
        <v>81</v>
      </c>
      <c r="G71" s="299"/>
      <c r="H71" s="140"/>
      <c r="I71" s="140"/>
      <c r="J71" s="140"/>
      <c r="K71" s="140"/>
      <c r="L71" s="140"/>
      <c r="M71" s="140"/>
      <c r="N71" s="140"/>
      <c r="O71" s="141"/>
      <c r="P71" s="140"/>
      <c r="Q71" s="142"/>
      <c r="R71" s="142"/>
    </row>
    <row r="72" spans="1:18" ht="17.45" customHeight="1" thickBot="1">
      <c r="A72" s="283"/>
      <c r="B72" s="284"/>
      <c r="C72" s="284"/>
      <c r="D72" s="284"/>
      <c r="E72" s="284"/>
      <c r="F72" s="284"/>
      <c r="G72" s="284"/>
      <c r="H72" s="284"/>
      <c r="I72" s="284"/>
      <c r="J72" s="284"/>
      <c r="K72" s="284"/>
      <c r="L72" s="284"/>
      <c r="M72" s="284"/>
      <c r="N72" s="284"/>
      <c r="O72" s="284"/>
      <c r="P72" s="284"/>
      <c r="Q72" s="284"/>
      <c r="R72" s="285"/>
    </row>
    <row r="73" spans="1:18" ht="22.15" customHeight="1" thickTop="1" thickBot="1">
      <c r="A73" s="279" t="s">
        <v>6</v>
      </c>
      <c r="B73" s="295"/>
      <c r="C73" s="295"/>
      <c r="D73" s="295"/>
      <c r="E73" s="295"/>
      <c r="F73" s="296"/>
      <c r="G73" s="32">
        <v>46029</v>
      </c>
      <c r="H73" s="278" t="s">
        <v>7</v>
      </c>
      <c r="I73" s="295"/>
      <c r="J73" s="295"/>
      <c r="K73" s="295"/>
      <c r="L73" s="295"/>
      <c r="M73" s="295"/>
      <c r="N73" s="295"/>
      <c r="O73" s="295"/>
      <c r="P73" s="295"/>
      <c r="Q73" s="295"/>
      <c r="R73" s="296"/>
    </row>
    <row r="74" spans="1:18" ht="24" customHeight="1">
      <c r="A74" s="33" t="s">
        <v>8</v>
      </c>
      <c r="B74" s="33" t="s">
        <v>9</v>
      </c>
      <c r="C74" s="34" t="s">
        <v>10</v>
      </c>
      <c r="D74" s="33" t="s">
        <v>11</v>
      </c>
      <c r="E74" s="33" t="s">
        <v>12</v>
      </c>
      <c r="F74" s="35" t="s">
        <v>13</v>
      </c>
      <c r="G74" s="36" t="s">
        <v>14</v>
      </c>
      <c r="H74" s="33" t="s">
        <v>15</v>
      </c>
      <c r="I74" s="37" t="s">
        <v>16</v>
      </c>
      <c r="J74" s="38" t="s">
        <v>17</v>
      </c>
      <c r="K74" s="39" t="s">
        <v>18</v>
      </c>
      <c r="L74" s="38" t="s">
        <v>19</v>
      </c>
      <c r="M74" s="38" t="s">
        <v>20</v>
      </c>
      <c r="N74" s="38" t="s">
        <v>21</v>
      </c>
      <c r="O74" s="33" t="s">
        <v>22</v>
      </c>
      <c r="P74" s="34" t="s">
        <v>23</v>
      </c>
      <c r="Q74" s="38" t="s">
        <v>24</v>
      </c>
      <c r="R74" s="33" t="s">
        <v>25</v>
      </c>
    </row>
    <row r="75" spans="1:18" ht="15" customHeight="1">
      <c r="A75" s="58" t="s">
        <v>61</v>
      </c>
      <c r="B75" s="58" t="s">
        <v>1005</v>
      </c>
      <c r="C75" s="59">
        <v>0.40625</v>
      </c>
      <c r="D75" s="58" t="s">
        <v>63</v>
      </c>
      <c r="E75" s="58" t="s">
        <v>103</v>
      </c>
      <c r="F75" s="58" t="s">
        <v>853</v>
      </c>
      <c r="G75" s="297"/>
      <c r="H75" s="60" t="s">
        <v>1006</v>
      </c>
      <c r="I75" s="61">
        <v>0.10059999999999999</v>
      </c>
      <c r="J75" s="62">
        <v>18</v>
      </c>
      <c r="K75" s="63">
        <v>46342</v>
      </c>
      <c r="L75" s="62">
        <v>18</v>
      </c>
      <c r="M75" s="62">
        <v>0</v>
      </c>
      <c r="N75" s="62">
        <v>0</v>
      </c>
      <c r="O75" s="64" t="s">
        <v>431</v>
      </c>
      <c r="P75" s="65">
        <v>0.40625</v>
      </c>
      <c r="Q75" s="62">
        <v>179</v>
      </c>
      <c r="R75" s="66" t="s">
        <v>1007</v>
      </c>
    </row>
    <row r="76" spans="1:18" ht="15" customHeight="1">
      <c r="A76" s="19" t="s">
        <v>68</v>
      </c>
      <c r="B76" s="19" t="s">
        <v>1008</v>
      </c>
      <c r="C76" s="20">
        <v>0.40625</v>
      </c>
      <c r="D76" s="19" t="s">
        <v>643</v>
      </c>
      <c r="E76" s="19" t="s">
        <v>29</v>
      </c>
      <c r="F76" s="19" t="s">
        <v>1001</v>
      </c>
      <c r="G76" s="298"/>
      <c r="H76" s="10"/>
      <c r="I76" s="11"/>
      <c r="J76" s="11"/>
      <c r="K76" s="11"/>
      <c r="L76" s="11"/>
      <c r="M76" s="11"/>
      <c r="N76" s="11"/>
      <c r="O76" s="12"/>
      <c r="P76" s="11"/>
      <c r="Q76" s="13"/>
      <c r="R76" s="14"/>
    </row>
    <row r="77" spans="1:18" ht="18">
      <c r="A77" s="292" t="s">
        <v>991</v>
      </c>
      <c r="B77" s="303"/>
      <c r="C77" s="303"/>
      <c r="D77" s="303"/>
      <c r="E77" s="303"/>
      <c r="F77" s="304"/>
      <c r="G77" s="298"/>
      <c r="H77" s="138"/>
      <c r="I77" s="138"/>
      <c r="J77" s="138"/>
      <c r="K77" s="138"/>
      <c r="L77" s="138"/>
      <c r="M77" s="138"/>
      <c r="N77" s="138"/>
      <c r="O77" s="139"/>
      <c r="P77" s="138"/>
      <c r="Q77" s="107"/>
      <c r="R77" s="107"/>
    </row>
    <row r="78" spans="1:18" ht="15" customHeight="1">
      <c r="A78" s="17" t="s">
        <v>38</v>
      </c>
      <c r="B78" s="17" t="s">
        <v>809</v>
      </c>
      <c r="C78" s="18" t="s">
        <v>984</v>
      </c>
      <c r="D78" s="17" t="s">
        <v>40</v>
      </c>
      <c r="E78" s="17" t="s">
        <v>312</v>
      </c>
      <c r="F78" s="17" t="s">
        <v>475</v>
      </c>
      <c r="G78" s="298"/>
      <c r="H78" s="138"/>
      <c r="I78" s="138"/>
      <c r="J78" s="138"/>
      <c r="K78" s="138"/>
      <c r="L78" s="138"/>
      <c r="M78" s="138"/>
      <c r="N78" s="138"/>
      <c r="O78" s="139"/>
      <c r="P78" s="138"/>
      <c r="Q78" s="107"/>
      <c r="R78" s="107"/>
    </row>
    <row r="79" spans="1:18" ht="15" customHeight="1">
      <c r="A79" s="17" t="s">
        <v>38</v>
      </c>
      <c r="B79" s="17" t="s">
        <v>811</v>
      </c>
      <c r="C79" s="18" t="s">
        <v>769</v>
      </c>
      <c r="D79" s="17" t="s">
        <v>40</v>
      </c>
      <c r="E79" s="17" t="s">
        <v>268</v>
      </c>
      <c r="F79" s="17" t="s">
        <v>475</v>
      </c>
      <c r="G79" s="298"/>
      <c r="H79" s="138"/>
      <c r="I79" s="138"/>
      <c r="J79" s="138"/>
      <c r="K79" s="138"/>
      <c r="L79" s="138"/>
      <c r="M79" s="138"/>
      <c r="N79" s="138"/>
      <c r="O79" s="139"/>
      <c r="P79" s="138"/>
      <c r="Q79" s="107"/>
      <c r="R79" s="107"/>
    </row>
    <row r="80" spans="1:18" ht="15" customHeight="1">
      <c r="A80" s="17" t="s">
        <v>38</v>
      </c>
      <c r="B80" s="17" t="s">
        <v>812</v>
      </c>
      <c r="C80" s="18" t="s">
        <v>593</v>
      </c>
      <c r="D80" s="17" t="s">
        <v>40</v>
      </c>
      <c r="E80" s="17" t="s">
        <v>293</v>
      </c>
      <c r="F80" s="17" t="s">
        <v>475</v>
      </c>
      <c r="G80" s="298"/>
      <c r="H80" s="138"/>
      <c r="I80" s="138"/>
      <c r="J80" s="138"/>
      <c r="K80" s="138"/>
      <c r="L80" s="138"/>
      <c r="M80" s="138"/>
      <c r="N80" s="138"/>
      <c r="O80" s="139"/>
      <c r="P80" s="138"/>
      <c r="Q80" s="107"/>
      <c r="R80" s="107"/>
    </row>
    <row r="81" spans="1:18" ht="15" customHeight="1">
      <c r="A81" s="17" t="s">
        <v>38</v>
      </c>
      <c r="B81" s="17" t="s">
        <v>813</v>
      </c>
      <c r="C81" s="18" t="s">
        <v>598</v>
      </c>
      <c r="D81" s="17" t="s">
        <v>40</v>
      </c>
      <c r="E81" s="17" t="s">
        <v>331</v>
      </c>
      <c r="F81" s="17" t="s">
        <v>872</v>
      </c>
      <c r="G81" s="298"/>
      <c r="H81" s="138"/>
      <c r="I81" s="138"/>
      <c r="J81" s="138"/>
      <c r="K81" s="138"/>
      <c r="L81" s="138"/>
      <c r="M81" s="138"/>
      <c r="N81" s="138"/>
      <c r="O81" s="139"/>
      <c r="P81" s="138"/>
      <c r="Q81" s="107"/>
      <c r="R81" s="107"/>
    </row>
    <row r="82" spans="1:18" ht="15" customHeight="1">
      <c r="A82" s="17" t="s">
        <v>68</v>
      </c>
      <c r="B82" s="17" t="s">
        <v>842</v>
      </c>
      <c r="C82" s="18" t="s">
        <v>1009</v>
      </c>
      <c r="D82" s="17" t="s">
        <v>643</v>
      </c>
      <c r="E82" s="17" t="s">
        <v>269</v>
      </c>
      <c r="F82" s="17" t="s">
        <v>891</v>
      </c>
      <c r="G82" s="298"/>
      <c r="H82" s="138"/>
      <c r="I82" s="138"/>
      <c r="J82" s="138"/>
      <c r="K82" s="138"/>
      <c r="L82" s="138"/>
      <c r="M82" s="138"/>
      <c r="N82" s="138"/>
      <c r="O82" s="139"/>
      <c r="P82" s="138"/>
      <c r="Q82" s="107"/>
      <c r="R82" s="107"/>
    </row>
    <row r="83" spans="1:18" ht="15" customHeight="1">
      <c r="A83" s="17" t="s">
        <v>68</v>
      </c>
      <c r="B83" s="17" t="s">
        <v>843</v>
      </c>
      <c r="C83" s="18" t="s">
        <v>258</v>
      </c>
      <c r="D83" s="17" t="s">
        <v>643</v>
      </c>
      <c r="E83" s="17" t="s">
        <v>269</v>
      </c>
      <c r="F83" s="17" t="s">
        <v>891</v>
      </c>
      <c r="G83" s="298"/>
      <c r="H83" s="138"/>
      <c r="I83" s="138"/>
      <c r="J83" s="138"/>
      <c r="K83" s="138"/>
      <c r="L83" s="138"/>
      <c r="M83" s="138"/>
      <c r="N83" s="138"/>
      <c r="O83" s="139"/>
      <c r="P83" s="138"/>
      <c r="Q83" s="107"/>
      <c r="R83" s="107"/>
    </row>
    <row r="84" spans="1:18" ht="15" customHeight="1">
      <c r="A84" s="17" t="s">
        <v>61</v>
      </c>
      <c r="B84" s="17" t="s">
        <v>816</v>
      </c>
      <c r="C84" s="18" t="s">
        <v>974</v>
      </c>
      <c r="D84" s="17" t="s">
        <v>63</v>
      </c>
      <c r="E84" s="17" t="s">
        <v>269</v>
      </c>
      <c r="F84" s="17" t="s">
        <v>817</v>
      </c>
      <c r="G84" s="298"/>
      <c r="H84" s="138"/>
      <c r="I84" s="138"/>
      <c r="J84" s="138"/>
      <c r="K84" s="138"/>
      <c r="L84" s="138"/>
      <c r="M84" s="138"/>
      <c r="N84" s="138"/>
      <c r="O84" s="139"/>
      <c r="P84" s="138"/>
      <c r="Q84" s="107"/>
      <c r="R84" s="107"/>
    </row>
    <row r="85" spans="1:18" ht="15" customHeight="1">
      <c r="A85" s="17" t="s">
        <v>61</v>
      </c>
      <c r="B85" s="17" t="s">
        <v>852</v>
      </c>
      <c r="C85" s="18" t="s">
        <v>975</v>
      </c>
      <c r="D85" s="17" t="s">
        <v>63</v>
      </c>
      <c r="E85" s="17" t="s">
        <v>269</v>
      </c>
      <c r="F85" s="17" t="s">
        <v>817</v>
      </c>
      <c r="G85" s="298"/>
      <c r="H85" s="138"/>
      <c r="I85" s="138"/>
      <c r="J85" s="138"/>
      <c r="K85" s="138"/>
      <c r="L85" s="138"/>
      <c r="M85" s="138"/>
      <c r="N85" s="138"/>
      <c r="O85" s="139"/>
      <c r="P85" s="138"/>
      <c r="Q85" s="107"/>
      <c r="R85" s="107"/>
    </row>
    <row r="86" spans="1:18" ht="15" customHeight="1">
      <c r="A86" s="17" t="s">
        <v>26</v>
      </c>
      <c r="B86" s="17" t="s">
        <v>820</v>
      </c>
      <c r="C86" s="18" t="s">
        <v>563</v>
      </c>
      <c r="D86" s="17" t="s">
        <v>28</v>
      </c>
      <c r="E86" s="17" t="s">
        <v>270</v>
      </c>
      <c r="F86" s="17" t="s">
        <v>81</v>
      </c>
      <c r="G86" s="298"/>
      <c r="H86" s="138"/>
      <c r="I86" s="138"/>
      <c r="J86" s="138"/>
      <c r="K86" s="138"/>
      <c r="L86" s="138"/>
      <c r="M86" s="138"/>
      <c r="N86" s="138"/>
      <c r="O86" s="139"/>
      <c r="P86" s="138"/>
      <c r="Q86" s="107"/>
      <c r="R86" s="107"/>
    </row>
    <row r="87" spans="1:18" ht="15" customHeight="1" thickBot="1">
      <c r="A87" s="30" t="s">
        <v>26</v>
      </c>
      <c r="B87" s="30" t="s">
        <v>826</v>
      </c>
      <c r="C87" s="31" t="s">
        <v>1002</v>
      </c>
      <c r="D87" s="30" t="s">
        <v>28</v>
      </c>
      <c r="E87" s="30" t="s">
        <v>270</v>
      </c>
      <c r="F87" s="30" t="s">
        <v>81</v>
      </c>
      <c r="G87" s="299"/>
      <c r="H87" s="140"/>
      <c r="I87" s="140"/>
      <c r="J87" s="140"/>
      <c r="K87" s="140"/>
      <c r="L87" s="140"/>
      <c r="M87" s="140"/>
      <c r="N87" s="140"/>
      <c r="O87" s="141"/>
      <c r="P87" s="140"/>
      <c r="Q87" s="142"/>
      <c r="R87" s="142"/>
    </row>
    <row r="88" spans="1:18" ht="17.45" customHeight="1" thickBot="1">
      <c r="A88" s="283"/>
      <c r="B88" s="284"/>
      <c r="C88" s="284"/>
      <c r="D88" s="284"/>
      <c r="E88" s="284"/>
      <c r="F88" s="284"/>
      <c r="G88" s="284"/>
      <c r="H88" s="284"/>
      <c r="I88" s="284"/>
      <c r="J88" s="284"/>
      <c r="K88" s="284"/>
      <c r="L88" s="284"/>
      <c r="M88" s="284"/>
      <c r="N88" s="284"/>
      <c r="O88" s="284"/>
      <c r="P88" s="284"/>
      <c r="Q88" s="284"/>
      <c r="R88" s="285"/>
    </row>
    <row r="89" spans="1:18" ht="22.15" customHeight="1" thickTop="1" thickBot="1">
      <c r="A89" s="279" t="s">
        <v>6</v>
      </c>
      <c r="B89" s="295"/>
      <c r="C89" s="295"/>
      <c r="D89" s="295"/>
      <c r="E89" s="295"/>
      <c r="F89" s="296"/>
      <c r="G89" s="32">
        <v>46030</v>
      </c>
      <c r="H89" s="278" t="s">
        <v>7</v>
      </c>
      <c r="I89" s="295"/>
      <c r="J89" s="295"/>
      <c r="K89" s="295"/>
      <c r="L89" s="295"/>
      <c r="M89" s="295"/>
      <c r="N89" s="295"/>
      <c r="O89" s="295"/>
      <c r="P89" s="295"/>
      <c r="Q89" s="295"/>
      <c r="R89" s="296"/>
    </row>
    <row r="90" spans="1:18" ht="24" customHeight="1">
      <c r="A90" s="33" t="s">
        <v>8</v>
      </c>
      <c r="B90" s="33" t="s">
        <v>9</v>
      </c>
      <c r="C90" s="34" t="s">
        <v>10</v>
      </c>
      <c r="D90" s="33" t="s">
        <v>11</v>
      </c>
      <c r="E90" s="33" t="s">
        <v>12</v>
      </c>
      <c r="F90" s="35" t="s">
        <v>13</v>
      </c>
      <c r="G90" s="36" t="s">
        <v>14</v>
      </c>
      <c r="H90" s="33" t="s">
        <v>15</v>
      </c>
      <c r="I90" s="37" t="s">
        <v>16</v>
      </c>
      <c r="J90" s="38" t="s">
        <v>17</v>
      </c>
      <c r="K90" s="39" t="s">
        <v>18</v>
      </c>
      <c r="L90" s="38" t="s">
        <v>19</v>
      </c>
      <c r="M90" s="38" t="s">
        <v>20</v>
      </c>
      <c r="N90" s="38" t="s">
        <v>21</v>
      </c>
      <c r="O90" s="33" t="s">
        <v>22</v>
      </c>
      <c r="P90" s="34" t="s">
        <v>23</v>
      </c>
      <c r="Q90" s="38" t="s">
        <v>24</v>
      </c>
      <c r="R90" s="33" t="s">
        <v>25</v>
      </c>
    </row>
    <row r="91" spans="1:18" ht="15" customHeight="1">
      <c r="A91" s="8" t="s">
        <v>26</v>
      </c>
      <c r="B91" s="8" t="s">
        <v>986</v>
      </c>
      <c r="C91" s="9">
        <v>0.3611111111111111</v>
      </c>
      <c r="D91" s="8" t="s">
        <v>987</v>
      </c>
      <c r="E91" s="8" t="s">
        <v>100</v>
      </c>
      <c r="F91" s="8" t="s">
        <v>988</v>
      </c>
      <c r="G91" s="297"/>
      <c r="H91" s="10"/>
      <c r="I91" s="11"/>
      <c r="J91" s="11"/>
      <c r="K91" s="11"/>
      <c r="L91" s="11"/>
      <c r="M91" s="11"/>
      <c r="N91" s="11"/>
      <c r="O91" s="12"/>
      <c r="P91" s="11"/>
      <c r="Q91" s="13"/>
      <c r="R91" s="14"/>
    </row>
    <row r="92" spans="1:18" ht="15" customHeight="1">
      <c r="A92" s="15" t="s">
        <v>26</v>
      </c>
      <c r="B92" s="15" t="s">
        <v>986</v>
      </c>
      <c r="C92" s="16">
        <v>0.3611111111111111</v>
      </c>
      <c r="D92" s="15" t="s">
        <v>31</v>
      </c>
      <c r="E92" s="15" t="s">
        <v>115</v>
      </c>
      <c r="F92" s="15" t="s">
        <v>989</v>
      </c>
      <c r="G92" s="298"/>
      <c r="H92" s="10"/>
      <c r="I92" s="11"/>
      <c r="J92" s="11"/>
      <c r="K92" s="11"/>
      <c r="L92" s="11"/>
      <c r="M92" s="11"/>
      <c r="N92" s="11"/>
      <c r="O92" s="12"/>
      <c r="P92" s="11"/>
      <c r="Q92" s="13"/>
      <c r="R92" s="14"/>
    </row>
    <row r="93" spans="1:18" ht="15" customHeight="1">
      <c r="A93" s="15" t="s">
        <v>26</v>
      </c>
      <c r="B93" s="15" t="s">
        <v>986</v>
      </c>
      <c r="C93" s="16">
        <v>0.3611111111111111</v>
      </c>
      <c r="D93" s="15" t="s">
        <v>34</v>
      </c>
      <c r="E93" s="15" t="s">
        <v>115</v>
      </c>
      <c r="F93" s="15" t="s">
        <v>990</v>
      </c>
      <c r="G93" s="298"/>
      <c r="H93" s="10"/>
      <c r="I93" s="11"/>
      <c r="J93" s="11"/>
      <c r="K93" s="11"/>
      <c r="L93" s="11"/>
      <c r="M93" s="11"/>
      <c r="N93" s="11"/>
      <c r="O93" s="12"/>
      <c r="P93" s="11"/>
      <c r="Q93" s="13"/>
      <c r="R93" s="14"/>
    </row>
    <row r="94" spans="1:18" ht="18">
      <c r="A94" s="292" t="s">
        <v>991</v>
      </c>
      <c r="B94" s="303"/>
      <c r="C94" s="303"/>
      <c r="D94" s="303"/>
      <c r="E94" s="303"/>
      <c r="F94" s="304"/>
      <c r="G94" s="298"/>
      <c r="H94" s="138"/>
      <c r="I94" s="138"/>
      <c r="J94" s="138"/>
      <c r="K94" s="138"/>
      <c r="L94" s="138"/>
      <c r="M94" s="138"/>
      <c r="N94" s="138"/>
      <c r="O94" s="139"/>
      <c r="P94" s="138"/>
      <c r="Q94" s="107"/>
      <c r="R94" s="107"/>
    </row>
    <row r="95" spans="1:18" ht="15" customHeight="1">
      <c r="A95" s="17" t="s">
        <v>38</v>
      </c>
      <c r="B95" s="17" t="s">
        <v>809</v>
      </c>
      <c r="C95" s="18" t="s">
        <v>984</v>
      </c>
      <c r="D95" s="17" t="s">
        <v>40</v>
      </c>
      <c r="E95" s="17" t="s">
        <v>275</v>
      </c>
      <c r="F95" s="17" t="s">
        <v>475</v>
      </c>
      <c r="G95" s="298"/>
      <c r="H95" s="138"/>
      <c r="I95" s="138"/>
      <c r="J95" s="138"/>
      <c r="K95" s="138"/>
      <c r="L95" s="138"/>
      <c r="M95" s="138"/>
      <c r="N95" s="138"/>
      <c r="O95" s="139"/>
      <c r="P95" s="138"/>
      <c r="Q95" s="107"/>
      <c r="R95" s="107"/>
    </row>
    <row r="96" spans="1:18" ht="15" customHeight="1">
      <c r="A96" s="17" t="s">
        <v>38</v>
      </c>
      <c r="B96" s="17" t="s">
        <v>811</v>
      </c>
      <c r="C96" s="18" t="s">
        <v>769</v>
      </c>
      <c r="D96" s="17" t="s">
        <v>40</v>
      </c>
      <c r="E96" s="17" t="s">
        <v>332</v>
      </c>
      <c r="F96" s="17" t="s">
        <v>475</v>
      </c>
      <c r="G96" s="298"/>
      <c r="H96" s="138"/>
      <c r="I96" s="138"/>
      <c r="J96" s="138"/>
      <c r="K96" s="138"/>
      <c r="L96" s="138"/>
      <c r="M96" s="138"/>
      <c r="N96" s="138"/>
      <c r="O96" s="139"/>
      <c r="P96" s="138"/>
      <c r="Q96" s="107"/>
      <c r="R96" s="107"/>
    </row>
    <row r="97" spans="1:18" ht="15" customHeight="1">
      <c r="A97" s="17" t="s">
        <v>38</v>
      </c>
      <c r="B97" s="17" t="s">
        <v>812</v>
      </c>
      <c r="C97" s="18" t="s">
        <v>593</v>
      </c>
      <c r="D97" s="17" t="s">
        <v>40</v>
      </c>
      <c r="E97" s="17" t="s">
        <v>308</v>
      </c>
      <c r="F97" s="17" t="s">
        <v>475</v>
      </c>
      <c r="G97" s="298"/>
      <c r="H97" s="138"/>
      <c r="I97" s="138"/>
      <c r="J97" s="138"/>
      <c r="K97" s="138"/>
      <c r="L97" s="138"/>
      <c r="M97" s="138"/>
      <c r="N97" s="138"/>
      <c r="O97" s="139"/>
      <c r="P97" s="138"/>
      <c r="Q97" s="107"/>
      <c r="R97" s="107"/>
    </row>
    <row r="98" spans="1:18" ht="15" customHeight="1">
      <c r="A98" s="17" t="s">
        <v>38</v>
      </c>
      <c r="B98" s="17" t="s">
        <v>813</v>
      </c>
      <c r="C98" s="18" t="s">
        <v>598</v>
      </c>
      <c r="D98" s="17" t="s">
        <v>40</v>
      </c>
      <c r="E98" s="17" t="s">
        <v>284</v>
      </c>
      <c r="F98" s="17" t="s">
        <v>475</v>
      </c>
      <c r="G98" s="298"/>
      <c r="H98" s="138"/>
      <c r="I98" s="138"/>
      <c r="J98" s="138"/>
      <c r="K98" s="138"/>
      <c r="L98" s="138"/>
      <c r="M98" s="138"/>
      <c r="N98" s="138"/>
      <c r="O98" s="139"/>
      <c r="P98" s="138"/>
      <c r="Q98" s="107"/>
      <c r="R98" s="107"/>
    </row>
    <row r="99" spans="1:18" ht="15" customHeight="1">
      <c r="A99" s="17" t="s">
        <v>359</v>
      </c>
      <c r="B99" s="17" t="s">
        <v>814</v>
      </c>
      <c r="C99" s="18" t="s">
        <v>563</v>
      </c>
      <c r="D99" s="17" t="s">
        <v>361</v>
      </c>
      <c r="E99" s="17" t="s">
        <v>270</v>
      </c>
      <c r="F99" s="17" t="s">
        <v>883</v>
      </c>
      <c r="G99" s="298"/>
      <c r="H99" s="138"/>
      <c r="I99" s="138"/>
      <c r="J99" s="138"/>
      <c r="K99" s="138"/>
      <c r="L99" s="138"/>
      <c r="M99" s="138"/>
      <c r="N99" s="138"/>
      <c r="O99" s="139"/>
      <c r="P99" s="138"/>
      <c r="Q99" s="107"/>
      <c r="R99" s="107"/>
    </row>
    <row r="100" spans="1:18" ht="15" customHeight="1">
      <c r="A100" s="17" t="s">
        <v>68</v>
      </c>
      <c r="B100" s="17" t="s">
        <v>842</v>
      </c>
      <c r="C100" s="18" t="s">
        <v>1009</v>
      </c>
      <c r="D100" s="17" t="s">
        <v>643</v>
      </c>
      <c r="E100" s="17" t="s">
        <v>636</v>
      </c>
      <c r="F100" s="17" t="s">
        <v>891</v>
      </c>
      <c r="G100" s="298"/>
      <c r="H100" s="138"/>
      <c r="I100" s="138"/>
      <c r="J100" s="138"/>
      <c r="K100" s="138"/>
      <c r="L100" s="138"/>
      <c r="M100" s="138"/>
      <c r="N100" s="138"/>
      <c r="O100" s="139"/>
      <c r="P100" s="138"/>
      <c r="Q100" s="107"/>
      <c r="R100" s="107"/>
    </row>
    <row r="101" spans="1:18" ht="15" customHeight="1">
      <c r="A101" s="17" t="s">
        <v>68</v>
      </c>
      <c r="B101" s="17" t="s">
        <v>844</v>
      </c>
      <c r="C101" s="18" t="s">
        <v>1004</v>
      </c>
      <c r="D101" s="17" t="s">
        <v>643</v>
      </c>
      <c r="E101" s="17" t="s">
        <v>286</v>
      </c>
      <c r="F101" s="17" t="s">
        <v>888</v>
      </c>
      <c r="G101" s="298"/>
      <c r="H101" s="138"/>
      <c r="I101" s="138"/>
      <c r="J101" s="138"/>
      <c r="K101" s="138"/>
      <c r="L101" s="138"/>
      <c r="M101" s="138"/>
      <c r="N101" s="138"/>
      <c r="O101" s="139"/>
      <c r="P101" s="138"/>
      <c r="Q101" s="107"/>
      <c r="R101" s="107"/>
    </row>
    <row r="102" spans="1:18" ht="15" customHeight="1">
      <c r="A102" s="17" t="s">
        <v>61</v>
      </c>
      <c r="B102" s="17" t="s">
        <v>816</v>
      </c>
      <c r="C102" s="18" t="s">
        <v>974</v>
      </c>
      <c r="D102" s="17" t="s">
        <v>63</v>
      </c>
      <c r="E102" s="17" t="s">
        <v>269</v>
      </c>
      <c r="F102" s="17" t="s">
        <v>817</v>
      </c>
      <c r="G102" s="298"/>
      <c r="H102" s="138"/>
      <c r="I102" s="138"/>
      <c r="J102" s="138"/>
      <c r="K102" s="138"/>
      <c r="L102" s="138"/>
      <c r="M102" s="138"/>
      <c r="N102" s="138"/>
      <c r="O102" s="139"/>
      <c r="P102" s="138"/>
      <c r="Q102" s="107"/>
      <c r="R102" s="107"/>
    </row>
    <row r="103" spans="1:18" ht="15" customHeight="1">
      <c r="A103" s="17" t="s">
        <v>26</v>
      </c>
      <c r="B103" s="17" t="s">
        <v>820</v>
      </c>
      <c r="C103" s="18" t="s">
        <v>563</v>
      </c>
      <c r="D103" s="17" t="s">
        <v>28</v>
      </c>
      <c r="E103" s="17" t="s">
        <v>270</v>
      </c>
      <c r="F103" s="17" t="s">
        <v>81</v>
      </c>
      <c r="G103" s="298"/>
      <c r="H103" s="138"/>
      <c r="I103" s="138"/>
      <c r="J103" s="138"/>
      <c r="K103" s="138"/>
      <c r="L103" s="138"/>
      <c r="M103" s="138"/>
      <c r="N103" s="138"/>
      <c r="O103" s="139"/>
      <c r="P103" s="138"/>
      <c r="Q103" s="107"/>
      <c r="R103" s="107"/>
    </row>
    <row r="104" spans="1:18" ht="15" customHeight="1" thickBot="1">
      <c r="A104" s="30" t="s">
        <v>26</v>
      </c>
      <c r="B104" s="30" t="s">
        <v>826</v>
      </c>
      <c r="C104" s="31" t="s">
        <v>1002</v>
      </c>
      <c r="D104" s="30" t="s">
        <v>28</v>
      </c>
      <c r="E104" s="30" t="s">
        <v>270</v>
      </c>
      <c r="F104" s="30" t="s">
        <v>81</v>
      </c>
      <c r="G104" s="299"/>
      <c r="H104" s="140"/>
      <c r="I104" s="140"/>
      <c r="J104" s="140"/>
      <c r="K104" s="140"/>
      <c r="L104" s="140"/>
      <c r="M104" s="140"/>
      <c r="N104" s="140"/>
      <c r="O104" s="141"/>
      <c r="P104" s="140"/>
      <c r="Q104" s="142"/>
      <c r="R104" s="142"/>
    </row>
    <row r="105" spans="1:18" ht="17.45" customHeight="1" thickBot="1">
      <c r="A105" s="283"/>
      <c r="B105" s="284"/>
      <c r="C105" s="284"/>
      <c r="D105" s="284"/>
      <c r="E105" s="284"/>
      <c r="F105" s="284"/>
      <c r="G105" s="284"/>
      <c r="H105" s="284"/>
      <c r="I105" s="284"/>
      <c r="J105" s="284"/>
      <c r="K105" s="284"/>
      <c r="L105" s="284"/>
      <c r="M105" s="284"/>
      <c r="N105" s="284"/>
      <c r="O105" s="284"/>
      <c r="P105" s="284"/>
      <c r="Q105" s="284"/>
      <c r="R105" s="285"/>
    </row>
    <row r="106" spans="1:18" ht="22.15" customHeight="1" thickTop="1" thickBot="1">
      <c r="A106" s="279" t="s">
        <v>6</v>
      </c>
      <c r="B106" s="295"/>
      <c r="C106" s="295"/>
      <c r="D106" s="295"/>
      <c r="E106" s="295"/>
      <c r="F106" s="296"/>
      <c r="G106" s="32">
        <v>46032</v>
      </c>
      <c r="H106" s="278" t="s">
        <v>7</v>
      </c>
      <c r="I106" s="295"/>
      <c r="J106" s="295"/>
      <c r="K106" s="295"/>
      <c r="L106" s="295"/>
      <c r="M106" s="295"/>
      <c r="N106" s="295"/>
      <c r="O106" s="295"/>
      <c r="P106" s="295"/>
      <c r="Q106" s="295"/>
      <c r="R106" s="296"/>
    </row>
    <row r="107" spans="1:18" ht="24" customHeight="1">
      <c r="A107" s="33" t="s">
        <v>8</v>
      </c>
      <c r="B107" s="33" t="s">
        <v>9</v>
      </c>
      <c r="C107" s="34" t="s">
        <v>10</v>
      </c>
      <c r="D107" s="33" t="s">
        <v>11</v>
      </c>
      <c r="E107" s="33" t="s">
        <v>12</v>
      </c>
      <c r="F107" s="35" t="s">
        <v>13</v>
      </c>
      <c r="G107" s="36" t="s">
        <v>14</v>
      </c>
      <c r="H107" s="33" t="s">
        <v>15</v>
      </c>
      <c r="I107" s="37" t="s">
        <v>16</v>
      </c>
      <c r="J107" s="38" t="s">
        <v>17</v>
      </c>
      <c r="K107" s="39" t="s">
        <v>18</v>
      </c>
      <c r="L107" s="38" t="s">
        <v>19</v>
      </c>
      <c r="M107" s="38" t="s">
        <v>20</v>
      </c>
      <c r="N107" s="38" t="s">
        <v>21</v>
      </c>
      <c r="O107" s="33" t="s">
        <v>22</v>
      </c>
      <c r="P107" s="34" t="s">
        <v>23</v>
      </c>
      <c r="Q107" s="38" t="s">
        <v>24</v>
      </c>
      <c r="R107" s="33" t="s">
        <v>25</v>
      </c>
    </row>
    <row r="108" spans="1:18" ht="15" customHeight="1">
      <c r="A108" s="8" t="s">
        <v>26</v>
      </c>
      <c r="B108" s="8" t="s">
        <v>986</v>
      </c>
      <c r="C108" s="9">
        <v>0.3611111111111111</v>
      </c>
      <c r="D108" s="8" t="s">
        <v>987</v>
      </c>
      <c r="E108" s="8" t="s">
        <v>100</v>
      </c>
      <c r="F108" s="8" t="s">
        <v>1010</v>
      </c>
      <c r="G108" s="297"/>
      <c r="H108" s="10"/>
      <c r="I108" s="11"/>
      <c r="J108" s="11"/>
      <c r="K108" s="11"/>
      <c r="L108" s="11"/>
      <c r="M108" s="11"/>
      <c r="N108" s="11"/>
      <c r="O108" s="12"/>
      <c r="P108" s="11"/>
      <c r="Q108" s="13"/>
      <c r="R108" s="14"/>
    </row>
    <row r="109" spans="1:18" ht="15" customHeight="1">
      <c r="A109" s="15" t="s">
        <v>26</v>
      </c>
      <c r="B109" s="15" t="s">
        <v>986</v>
      </c>
      <c r="C109" s="16">
        <v>0.3611111111111111</v>
      </c>
      <c r="D109" s="15" t="s">
        <v>31</v>
      </c>
      <c r="E109" s="15" t="s">
        <v>115</v>
      </c>
      <c r="F109" s="15" t="s">
        <v>488</v>
      </c>
      <c r="G109" s="298"/>
      <c r="H109" s="10"/>
      <c r="I109" s="11"/>
      <c r="J109" s="11"/>
      <c r="K109" s="11"/>
      <c r="L109" s="11"/>
      <c r="M109" s="11"/>
      <c r="N109" s="11"/>
      <c r="O109" s="12"/>
      <c r="P109" s="11"/>
      <c r="Q109" s="13"/>
      <c r="R109" s="14"/>
    </row>
    <row r="110" spans="1:18" ht="15" customHeight="1">
      <c r="A110" s="15" t="s">
        <v>26</v>
      </c>
      <c r="B110" s="15" t="s">
        <v>986</v>
      </c>
      <c r="C110" s="16">
        <v>0.3611111111111111</v>
      </c>
      <c r="D110" s="15" t="s">
        <v>34</v>
      </c>
      <c r="E110" s="15" t="s">
        <v>115</v>
      </c>
      <c r="F110" s="15" t="s">
        <v>1011</v>
      </c>
      <c r="G110" s="298"/>
      <c r="H110" s="10"/>
      <c r="I110" s="11"/>
      <c r="J110" s="11"/>
      <c r="K110" s="11"/>
      <c r="L110" s="11"/>
      <c r="M110" s="11"/>
      <c r="N110" s="11"/>
      <c r="O110" s="12"/>
      <c r="P110" s="11"/>
      <c r="Q110" s="13"/>
      <c r="R110" s="14"/>
    </row>
    <row r="111" spans="1:18" ht="18">
      <c r="A111" s="292" t="s">
        <v>991</v>
      </c>
      <c r="B111" s="303"/>
      <c r="C111" s="303"/>
      <c r="D111" s="303"/>
      <c r="E111" s="303"/>
      <c r="F111" s="304"/>
      <c r="G111" s="298"/>
      <c r="H111" s="138"/>
      <c r="I111" s="138"/>
      <c r="J111" s="138"/>
      <c r="K111" s="138"/>
      <c r="L111" s="138"/>
      <c r="M111" s="138"/>
      <c r="N111" s="138"/>
      <c r="O111" s="139"/>
      <c r="P111" s="138"/>
      <c r="Q111" s="107"/>
      <c r="R111" s="107"/>
    </row>
    <row r="112" spans="1:18" ht="15" customHeight="1">
      <c r="A112" s="17" t="s">
        <v>38</v>
      </c>
      <c r="B112" s="17" t="s">
        <v>812</v>
      </c>
      <c r="C112" s="18" t="s">
        <v>593</v>
      </c>
      <c r="D112" s="17" t="s">
        <v>40</v>
      </c>
      <c r="E112" s="17" t="s">
        <v>652</v>
      </c>
      <c r="F112" s="17" t="s">
        <v>475</v>
      </c>
      <c r="G112" s="298"/>
      <c r="H112" s="138"/>
      <c r="I112" s="138"/>
      <c r="J112" s="138"/>
      <c r="K112" s="138"/>
      <c r="L112" s="138"/>
      <c r="M112" s="138"/>
      <c r="N112" s="138"/>
      <c r="O112" s="139"/>
      <c r="P112" s="138"/>
      <c r="Q112" s="107"/>
      <c r="R112" s="107"/>
    </row>
    <row r="113" spans="1:18" ht="15" customHeight="1">
      <c r="A113" s="17" t="s">
        <v>38</v>
      </c>
      <c r="B113" s="17" t="s">
        <v>813</v>
      </c>
      <c r="C113" s="18" t="s">
        <v>598</v>
      </c>
      <c r="D113" s="17" t="s">
        <v>40</v>
      </c>
      <c r="E113" s="17" t="s">
        <v>652</v>
      </c>
      <c r="F113" s="17" t="s">
        <v>475</v>
      </c>
      <c r="G113" s="298"/>
      <c r="H113" s="138"/>
      <c r="I113" s="138"/>
      <c r="J113" s="138"/>
      <c r="K113" s="138"/>
      <c r="L113" s="138"/>
      <c r="M113" s="138"/>
      <c r="N113" s="138"/>
      <c r="O113" s="139"/>
      <c r="P113" s="138"/>
      <c r="Q113" s="107"/>
      <c r="R113" s="107"/>
    </row>
    <row r="114" spans="1:18" ht="15" customHeight="1">
      <c r="A114" s="17" t="s">
        <v>26</v>
      </c>
      <c r="B114" s="17" t="s">
        <v>823</v>
      </c>
      <c r="C114" s="18" t="s">
        <v>243</v>
      </c>
      <c r="D114" s="17" t="s">
        <v>28</v>
      </c>
      <c r="E114" s="17" t="s">
        <v>286</v>
      </c>
      <c r="F114" s="17" t="s">
        <v>88</v>
      </c>
      <c r="G114" s="298"/>
      <c r="H114" s="138"/>
      <c r="I114" s="138"/>
      <c r="J114" s="138"/>
      <c r="K114" s="138"/>
      <c r="L114" s="138"/>
      <c r="M114" s="138"/>
      <c r="N114" s="138"/>
      <c r="O114" s="139"/>
      <c r="P114" s="138"/>
      <c r="Q114" s="107"/>
      <c r="R114" s="107"/>
    </row>
    <row r="115" spans="1:18" ht="15" customHeight="1">
      <c r="A115" s="17" t="s">
        <v>38</v>
      </c>
      <c r="B115" s="17" t="s">
        <v>809</v>
      </c>
      <c r="C115" s="18" t="s">
        <v>984</v>
      </c>
      <c r="D115" s="17" t="s">
        <v>40</v>
      </c>
      <c r="E115" s="17" t="s">
        <v>308</v>
      </c>
      <c r="F115" s="17" t="s">
        <v>872</v>
      </c>
      <c r="G115" s="298"/>
      <c r="H115" s="138"/>
      <c r="I115" s="138"/>
      <c r="J115" s="138"/>
      <c r="K115" s="138"/>
      <c r="L115" s="138"/>
      <c r="M115" s="138"/>
      <c r="N115" s="138"/>
      <c r="O115" s="139"/>
      <c r="P115" s="138"/>
      <c r="Q115" s="107"/>
      <c r="R115" s="107"/>
    </row>
    <row r="116" spans="1:18" ht="15" customHeight="1">
      <c r="A116" s="17" t="s">
        <v>26</v>
      </c>
      <c r="B116" s="17" t="s">
        <v>820</v>
      </c>
      <c r="C116" s="18" t="s">
        <v>563</v>
      </c>
      <c r="D116" s="17" t="s">
        <v>28</v>
      </c>
      <c r="E116" s="17" t="s">
        <v>270</v>
      </c>
      <c r="F116" s="17" t="s">
        <v>81</v>
      </c>
      <c r="G116" s="298"/>
      <c r="H116" s="138"/>
      <c r="I116" s="138"/>
      <c r="J116" s="138"/>
      <c r="K116" s="138"/>
      <c r="L116" s="138"/>
      <c r="M116" s="138"/>
      <c r="N116" s="138"/>
      <c r="O116" s="139"/>
      <c r="P116" s="138"/>
      <c r="Q116" s="107"/>
      <c r="R116" s="107"/>
    </row>
    <row r="117" spans="1:18" ht="15" customHeight="1">
      <c r="A117" s="17" t="s">
        <v>26</v>
      </c>
      <c r="B117" s="17" t="s">
        <v>826</v>
      </c>
      <c r="C117" s="18" t="s">
        <v>1002</v>
      </c>
      <c r="D117" s="17" t="s">
        <v>28</v>
      </c>
      <c r="E117" s="17" t="s">
        <v>270</v>
      </c>
      <c r="F117" s="17" t="s">
        <v>81</v>
      </c>
      <c r="G117" s="298"/>
      <c r="H117" s="138"/>
      <c r="I117" s="138"/>
      <c r="J117" s="138"/>
      <c r="K117" s="138"/>
      <c r="L117" s="138"/>
      <c r="M117" s="138"/>
      <c r="N117" s="138"/>
      <c r="O117" s="139"/>
      <c r="P117" s="138"/>
      <c r="Q117" s="107"/>
      <c r="R117" s="107"/>
    </row>
    <row r="118" spans="1:18" ht="15" customHeight="1">
      <c r="A118" s="17" t="s">
        <v>26</v>
      </c>
      <c r="B118" s="17" t="s">
        <v>821</v>
      </c>
      <c r="C118" s="18" t="s">
        <v>703</v>
      </c>
      <c r="D118" s="17" t="s">
        <v>28</v>
      </c>
      <c r="E118" s="17" t="s">
        <v>270</v>
      </c>
      <c r="F118" s="17" t="s">
        <v>81</v>
      </c>
      <c r="G118" s="298"/>
      <c r="H118" s="138"/>
      <c r="I118" s="138"/>
      <c r="J118" s="138"/>
      <c r="K118" s="138"/>
      <c r="L118" s="138"/>
      <c r="M118" s="138"/>
      <c r="N118" s="138"/>
      <c r="O118" s="139"/>
      <c r="P118" s="138"/>
      <c r="Q118" s="107"/>
      <c r="R118" s="107"/>
    </row>
    <row r="119" spans="1:18" ht="15" customHeight="1">
      <c r="A119" s="17" t="s">
        <v>26</v>
      </c>
      <c r="B119" s="17" t="s">
        <v>822</v>
      </c>
      <c r="C119" s="18" t="s">
        <v>564</v>
      </c>
      <c r="D119" s="17" t="s">
        <v>28</v>
      </c>
      <c r="E119" s="17" t="s">
        <v>270</v>
      </c>
      <c r="F119" s="17" t="s">
        <v>81</v>
      </c>
      <c r="G119" s="298"/>
      <c r="H119" s="138"/>
      <c r="I119" s="138"/>
      <c r="J119" s="138"/>
      <c r="K119" s="138"/>
      <c r="L119" s="138"/>
      <c r="M119" s="138"/>
      <c r="N119" s="138"/>
      <c r="O119" s="139"/>
      <c r="P119" s="138"/>
      <c r="Q119" s="107"/>
      <c r="R119" s="107"/>
    </row>
    <row r="120" spans="1:18" ht="15" customHeight="1">
      <c r="A120" s="17" t="s">
        <v>26</v>
      </c>
      <c r="B120" s="17" t="s">
        <v>824</v>
      </c>
      <c r="C120" s="18" t="s">
        <v>995</v>
      </c>
      <c r="D120" s="17" t="s">
        <v>28</v>
      </c>
      <c r="E120" s="17" t="s">
        <v>270</v>
      </c>
      <c r="F120" s="17" t="s">
        <v>81</v>
      </c>
      <c r="G120" s="298"/>
      <c r="H120" s="138"/>
      <c r="I120" s="138"/>
      <c r="J120" s="138"/>
      <c r="K120" s="138"/>
      <c r="L120" s="138"/>
      <c r="M120" s="138"/>
      <c r="N120" s="138"/>
      <c r="O120" s="139"/>
      <c r="P120" s="138"/>
      <c r="Q120" s="107"/>
      <c r="R120" s="107"/>
    </row>
    <row r="121" spans="1:18" ht="15" customHeight="1" thickBot="1">
      <c r="A121" s="30" t="s">
        <v>26</v>
      </c>
      <c r="B121" s="30" t="s">
        <v>825</v>
      </c>
      <c r="C121" s="31" t="s">
        <v>272</v>
      </c>
      <c r="D121" s="30" t="s">
        <v>28</v>
      </c>
      <c r="E121" s="30" t="s">
        <v>270</v>
      </c>
      <c r="F121" s="30" t="s">
        <v>81</v>
      </c>
      <c r="G121" s="299"/>
      <c r="H121" s="140"/>
      <c r="I121" s="140"/>
      <c r="J121" s="140"/>
      <c r="K121" s="140"/>
      <c r="L121" s="140"/>
      <c r="M121" s="140"/>
      <c r="N121" s="140"/>
      <c r="O121" s="141"/>
      <c r="P121" s="140"/>
      <c r="Q121" s="142"/>
      <c r="R121" s="142"/>
    </row>
    <row r="122" spans="1:18" ht="17.45" customHeight="1" thickBot="1">
      <c r="A122" s="283"/>
      <c r="B122" s="284"/>
      <c r="C122" s="284"/>
      <c r="D122" s="284"/>
      <c r="E122" s="284"/>
      <c r="F122" s="284"/>
      <c r="G122" s="284"/>
      <c r="H122" s="284"/>
      <c r="I122" s="284"/>
      <c r="J122" s="284"/>
      <c r="K122" s="284"/>
      <c r="L122" s="284"/>
      <c r="M122" s="284"/>
      <c r="N122" s="284"/>
      <c r="O122" s="284"/>
      <c r="P122" s="284"/>
      <c r="Q122" s="284"/>
      <c r="R122" s="285"/>
    </row>
    <row r="123" spans="1:18" ht="22.15" customHeight="1" thickTop="1" thickBot="1">
      <c r="A123" s="279" t="s">
        <v>6</v>
      </c>
      <c r="B123" s="295"/>
      <c r="C123" s="295"/>
      <c r="D123" s="295"/>
      <c r="E123" s="295"/>
      <c r="F123" s="296"/>
      <c r="G123" s="32">
        <v>46033</v>
      </c>
      <c r="H123" s="278" t="s">
        <v>7</v>
      </c>
      <c r="I123" s="295"/>
      <c r="J123" s="295"/>
      <c r="K123" s="295"/>
      <c r="L123" s="295"/>
      <c r="M123" s="295"/>
      <c r="N123" s="295"/>
      <c r="O123" s="295"/>
      <c r="P123" s="295"/>
      <c r="Q123" s="295"/>
      <c r="R123" s="296"/>
    </row>
    <row r="124" spans="1:18" ht="24" customHeight="1">
      <c r="A124" s="33" t="s">
        <v>8</v>
      </c>
      <c r="B124" s="33" t="s">
        <v>9</v>
      </c>
      <c r="C124" s="34" t="s">
        <v>10</v>
      </c>
      <c r="D124" s="33" t="s">
        <v>11</v>
      </c>
      <c r="E124" s="33" t="s">
        <v>12</v>
      </c>
      <c r="F124" s="35" t="s">
        <v>13</v>
      </c>
      <c r="G124" s="36" t="s">
        <v>14</v>
      </c>
      <c r="H124" s="33" t="s">
        <v>15</v>
      </c>
      <c r="I124" s="37" t="s">
        <v>16</v>
      </c>
      <c r="J124" s="38" t="s">
        <v>17</v>
      </c>
      <c r="K124" s="39" t="s">
        <v>18</v>
      </c>
      <c r="L124" s="38" t="s">
        <v>19</v>
      </c>
      <c r="M124" s="38" t="s">
        <v>20</v>
      </c>
      <c r="N124" s="38" t="s">
        <v>21</v>
      </c>
      <c r="O124" s="33" t="s">
        <v>22</v>
      </c>
      <c r="P124" s="34" t="s">
        <v>23</v>
      </c>
      <c r="Q124" s="38" t="s">
        <v>24</v>
      </c>
      <c r="R124" s="33" t="s">
        <v>25</v>
      </c>
    </row>
    <row r="125" spans="1:18" ht="15" customHeight="1">
      <c r="A125" s="40" t="s">
        <v>61</v>
      </c>
      <c r="B125" s="40" t="s">
        <v>996</v>
      </c>
      <c r="C125" s="41">
        <v>0.42708333333333331</v>
      </c>
      <c r="D125" s="40" t="s">
        <v>63</v>
      </c>
      <c r="E125" s="40" t="s">
        <v>107</v>
      </c>
      <c r="F125" s="40" t="s">
        <v>853</v>
      </c>
      <c r="G125" s="297"/>
      <c r="H125" s="42" t="s">
        <v>998</v>
      </c>
      <c r="I125" s="43">
        <v>8.9399999999999993E-2</v>
      </c>
      <c r="J125" s="44">
        <v>16</v>
      </c>
      <c r="K125" s="45">
        <v>46342</v>
      </c>
      <c r="L125" s="44">
        <v>16</v>
      </c>
      <c r="M125" s="44">
        <v>0</v>
      </c>
      <c r="N125" s="44">
        <v>0</v>
      </c>
      <c r="O125" s="46" t="s">
        <v>552</v>
      </c>
      <c r="P125" s="47">
        <v>0.42708333333333331</v>
      </c>
      <c r="Q125" s="44">
        <v>179</v>
      </c>
      <c r="R125" s="48" t="s">
        <v>1012</v>
      </c>
    </row>
    <row r="126" spans="1:18" ht="15" customHeight="1">
      <c r="A126" s="19" t="s">
        <v>68</v>
      </c>
      <c r="B126" s="19" t="s">
        <v>1000</v>
      </c>
      <c r="C126" s="20">
        <v>0.42708333333333331</v>
      </c>
      <c r="D126" s="19" t="s">
        <v>643</v>
      </c>
      <c r="E126" s="19" t="s">
        <v>29</v>
      </c>
      <c r="F126" s="19" t="s">
        <v>1001</v>
      </c>
      <c r="G126" s="298"/>
      <c r="H126" s="10"/>
      <c r="I126" s="11"/>
      <c r="J126" s="11"/>
      <c r="K126" s="11"/>
      <c r="L126" s="11"/>
      <c r="M126" s="11"/>
      <c r="N126" s="11"/>
      <c r="O126" s="12"/>
      <c r="P126" s="11"/>
      <c r="Q126" s="13"/>
      <c r="R126" s="14"/>
    </row>
    <row r="127" spans="1:18" ht="18">
      <c r="A127" s="292" t="s">
        <v>991</v>
      </c>
      <c r="B127" s="303"/>
      <c r="C127" s="303"/>
      <c r="D127" s="303"/>
      <c r="E127" s="303"/>
      <c r="F127" s="304"/>
      <c r="G127" s="298"/>
      <c r="H127" s="138"/>
      <c r="I127" s="138"/>
      <c r="J127" s="138"/>
      <c r="K127" s="138"/>
      <c r="L127" s="138"/>
      <c r="M127" s="138"/>
      <c r="N127" s="138"/>
      <c r="O127" s="139"/>
      <c r="P127" s="138"/>
      <c r="Q127" s="107"/>
      <c r="R127" s="107"/>
    </row>
    <row r="128" spans="1:18" ht="15" customHeight="1">
      <c r="A128" s="17" t="s">
        <v>38</v>
      </c>
      <c r="B128" s="17" t="s">
        <v>809</v>
      </c>
      <c r="C128" s="18" t="s">
        <v>984</v>
      </c>
      <c r="D128" s="17" t="s">
        <v>40</v>
      </c>
      <c r="E128" s="17" t="s">
        <v>295</v>
      </c>
      <c r="F128" s="17" t="s">
        <v>475</v>
      </c>
      <c r="G128" s="298"/>
      <c r="H128" s="138"/>
      <c r="I128" s="138"/>
      <c r="J128" s="138"/>
      <c r="K128" s="138"/>
      <c r="L128" s="138"/>
      <c r="M128" s="138"/>
      <c r="N128" s="138"/>
      <c r="O128" s="139"/>
      <c r="P128" s="138"/>
      <c r="Q128" s="107"/>
      <c r="R128" s="107"/>
    </row>
    <row r="129" spans="1:18" ht="15" customHeight="1">
      <c r="A129" s="17" t="s">
        <v>38</v>
      </c>
      <c r="B129" s="17" t="s">
        <v>812</v>
      </c>
      <c r="C129" s="18" t="s">
        <v>593</v>
      </c>
      <c r="D129" s="17" t="s">
        <v>40</v>
      </c>
      <c r="E129" s="17" t="s">
        <v>295</v>
      </c>
      <c r="F129" s="17" t="s">
        <v>475</v>
      </c>
      <c r="G129" s="298"/>
      <c r="H129" s="138"/>
      <c r="I129" s="138"/>
      <c r="J129" s="138"/>
      <c r="K129" s="138"/>
      <c r="L129" s="138"/>
      <c r="M129" s="138"/>
      <c r="N129" s="138"/>
      <c r="O129" s="139"/>
      <c r="P129" s="138"/>
      <c r="Q129" s="107"/>
      <c r="R129" s="107"/>
    </row>
    <row r="130" spans="1:18" ht="15" customHeight="1">
      <c r="A130" s="17" t="s">
        <v>38</v>
      </c>
      <c r="B130" s="17" t="s">
        <v>813</v>
      </c>
      <c r="C130" s="18" t="s">
        <v>598</v>
      </c>
      <c r="D130" s="17" t="s">
        <v>40</v>
      </c>
      <c r="E130" s="17" t="s">
        <v>293</v>
      </c>
      <c r="F130" s="17" t="s">
        <v>475</v>
      </c>
      <c r="G130" s="298"/>
      <c r="H130" s="138"/>
      <c r="I130" s="138"/>
      <c r="J130" s="138"/>
      <c r="K130" s="138"/>
      <c r="L130" s="138"/>
      <c r="M130" s="138"/>
      <c r="N130" s="138"/>
      <c r="O130" s="139"/>
      <c r="P130" s="138"/>
      <c r="Q130" s="107"/>
      <c r="R130" s="107"/>
    </row>
    <row r="131" spans="1:18" ht="15" customHeight="1">
      <c r="A131" s="17" t="s">
        <v>359</v>
      </c>
      <c r="B131" s="17" t="s">
        <v>814</v>
      </c>
      <c r="C131" s="18" t="s">
        <v>1013</v>
      </c>
      <c r="D131" s="17" t="s">
        <v>361</v>
      </c>
      <c r="E131" s="17" t="s">
        <v>270</v>
      </c>
      <c r="F131" s="17" t="s">
        <v>898</v>
      </c>
      <c r="G131" s="298"/>
      <c r="H131" s="138"/>
      <c r="I131" s="138"/>
      <c r="J131" s="138"/>
      <c r="K131" s="138"/>
      <c r="L131" s="138"/>
      <c r="M131" s="138"/>
      <c r="N131" s="138"/>
      <c r="O131" s="139"/>
      <c r="P131" s="138"/>
      <c r="Q131" s="107"/>
      <c r="R131" s="107"/>
    </row>
    <row r="132" spans="1:18" ht="15" customHeight="1">
      <c r="A132" s="17" t="s">
        <v>38</v>
      </c>
      <c r="B132" s="17" t="s">
        <v>811</v>
      </c>
      <c r="C132" s="18" t="s">
        <v>769</v>
      </c>
      <c r="D132" s="17" t="s">
        <v>40</v>
      </c>
      <c r="E132" s="17" t="s">
        <v>312</v>
      </c>
      <c r="F132" s="17" t="s">
        <v>872</v>
      </c>
      <c r="G132" s="298"/>
      <c r="H132" s="138"/>
      <c r="I132" s="138"/>
      <c r="J132" s="138"/>
      <c r="K132" s="138"/>
      <c r="L132" s="138"/>
      <c r="M132" s="138"/>
      <c r="N132" s="138"/>
      <c r="O132" s="139"/>
      <c r="P132" s="138"/>
      <c r="Q132" s="107"/>
      <c r="R132" s="107"/>
    </row>
    <row r="133" spans="1:18" ht="15" customHeight="1">
      <c r="A133" s="17" t="s">
        <v>61</v>
      </c>
      <c r="B133" s="17" t="s">
        <v>816</v>
      </c>
      <c r="C133" s="18" t="s">
        <v>978</v>
      </c>
      <c r="D133" s="17" t="s">
        <v>63</v>
      </c>
      <c r="E133" s="17" t="s">
        <v>269</v>
      </c>
      <c r="F133" s="17" t="s">
        <v>817</v>
      </c>
      <c r="G133" s="298"/>
      <c r="H133" s="138"/>
      <c r="I133" s="138"/>
      <c r="J133" s="138"/>
      <c r="K133" s="138"/>
      <c r="L133" s="138"/>
      <c r="M133" s="138"/>
      <c r="N133" s="138"/>
      <c r="O133" s="139"/>
      <c r="P133" s="138"/>
      <c r="Q133" s="107"/>
      <c r="R133" s="107"/>
    </row>
    <row r="134" spans="1:18" ht="15" customHeight="1">
      <c r="A134" s="17" t="s">
        <v>26</v>
      </c>
      <c r="B134" s="17" t="s">
        <v>820</v>
      </c>
      <c r="C134" s="18" t="s">
        <v>563</v>
      </c>
      <c r="D134" s="17" t="s">
        <v>28</v>
      </c>
      <c r="E134" s="17" t="s">
        <v>270</v>
      </c>
      <c r="F134" s="17" t="s">
        <v>81</v>
      </c>
      <c r="G134" s="298"/>
      <c r="H134" s="138"/>
      <c r="I134" s="138"/>
      <c r="J134" s="138"/>
      <c r="K134" s="138"/>
      <c r="L134" s="138"/>
      <c r="M134" s="138"/>
      <c r="N134" s="138"/>
      <c r="O134" s="139"/>
      <c r="P134" s="138"/>
      <c r="Q134" s="107"/>
      <c r="R134" s="107"/>
    </row>
    <row r="135" spans="1:18" ht="15" customHeight="1">
      <c r="A135" s="17" t="s">
        <v>26</v>
      </c>
      <c r="B135" s="17" t="s">
        <v>826</v>
      </c>
      <c r="C135" s="18" t="s">
        <v>1002</v>
      </c>
      <c r="D135" s="17" t="s">
        <v>28</v>
      </c>
      <c r="E135" s="17" t="s">
        <v>270</v>
      </c>
      <c r="F135" s="17" t="s">
        <v>81</v>
      </c>
      <c r="G135" s="298"/>
      <c r="H135" s="138"/>
      <c r="I135" s="138"/>
      <c r="J135" s="138"/>
      <c r="K135" s="138"/>
      <c r="L135" s="138"/>
      <c r="M135" s="138"/>
      <c r="N135" s="138"/>
      <c r="O135" s="139"/>
      <c r="P135" s="138"/>
      <c r="Q135" s="107"/>
      <c r="R135" s="107"/>
    </row>
    <row r="136" spans="1:18" ht="15" customHeight="1">
      <c r="A136" s="17" t="s">
        <v>26</v>
      </c>
      <c r="B136" s="17" t="s">
        <v>821</v>
      </c>
      <c r="C136" s="18" t="s">
        <v>703</v>
      </c>
      <c r="D136" s="17" t="s">
        <v>28</v>
      </c>
      <c r="E136" s="17" t="s">
        <v>270</v>
      </c>
      <c r="F136" s="17" t="s">
        <v>81</v>
      </c>
      <c r="G136" s="298"/>
      <c r="H136" s="138"/>
      <c r="I136" s="138"/>
      <c r="J136" s="138"/>
      <c r="K136" s="138"/>
      <c r="L136" s="138"/>
      <c r="M136" s="138"/>
      <c r="N136" s="138"/>
      <c r="O136" s="139"/>
      <c r="P136" s="138"/>
      <c r="Q136" s="107"/>
      <c r="R136" s="107"/>
    </row>
    <row r="137" spans="1:18" ht="15" customHeight="1" thickBot="1">
      <c r="A137" s="30" t="s">
        <v>26</v>
      </c>
      <c r="B137" s="30" t="s">
        <v>822</v>
      </c>
      <c r="C137" s="31" t="s">
        <v>564</v>
      </c>
      <c r="D137" s="30" t="s">
        <v>28</v>
      </c>
      <c r="E137" s="30" t="s">
        <v>270</v>
      </c>
      <c r="F137" s="30" t="s">
        <v>81</v>
      </c>
      <c r="G137" s="299"/>
      <c r="H137" s="140"/>
      <c r="I137" s="140"/>
      <c r="J137" s="140"/>
      <c r="K137" s="140"/>
      <c r="L137" s="140"/>
      <c r="M137" s="140"/>
      <c r="N137" s="140"/>
      <c r="O137" s="141"/>
      <c r="P137" s="140"/>
      <c r="Q137" s="142"/>
      <c r="R137" s="142"/>
    </row>
    <row r="138" spans="1:18" ht="17.45" customHeight="1" thickBot="1">
      <c r="A138" s="283"/>
      <c r="B138" s="284"/>
      <c r="C138" s="284"/>
      <c r="D138" s="284"/>
      <c r="E138" s="284"/>
      <c r="F138" s="284"/>
      <c r="G138" s="284"/>
      <c r="H138" s="284"/>
      <c r="I138" s="284"/>
      <c r="J138" s="284"/>
      <c r="K138" s="284"/>
      <c r="L138" s="284"/>
      <c r="M138" s="284"/>
      <c r="N138" s="284"/>
      <c r="O138" s="284"/>
      <c r="P138" s="284"/>
      <c r="Q138" s="284"/>
      <c r="R138" s="285"/>
    </row>
    <row r="139" spans="1:18" ht="22.15" customHeight="1" thickTop="1" thickBot="1">
      <c r="A139" s="279" t="s">
        <v>6</v>
      </c>
      <c r="B139" s="295"/>
      <c r="C139" s="295"/>
      <c r="D139" s="295"/>
      <c r="E139" s="295"/>
      <c r="F139" s="296"/>
      <c r="G139" s="32">
        <v>46035</v>
      </c>
      <c r="H139" s="278" t="s">
        <v>7</v>
      </c>
      <c r="I139" s="295"/>
      <c r="J139" s="295"/>
      <c r="K139" s="295"/>
      <c r="L139" s="295"/>
      <c r="M139" s="295"/>
      <c r="N139" s="295"/>
      <c r="O139" s="295"/>
      <c r="P139" s="295"/>
      <c r="Q139" s="295"/>
      <c r="R139" s="296"/>
    </row>
    <row r="140" spans="1:18" ht="24" customHeight="1">
      <c r="A140" s="33" t="s">
        <v>8</v>
      </c>
      <c r="B140" s="33" t="s">
        <v>9</v>
      </c>
      <c r="C140" s="34" t="s">
        <v>10</v>
      </c>
      <c r="D140" s="33" t="s">
        <v>11</v>
      </c>
      <c r="E140" s="33" t="s">
        <v>12</v>
      </c>
      <c r="F140" s="35" t="s">
        <v>13</v>
      </c>
      <c r="G140" s="36" t="s">
        <v>14</v>
      </c>
      <c r="H140" s="33" t="s">
        <v>15</v>
      </c>
      <c r="I140" s="37" t="s">
        <v>16</v>
      </c>
      <c r="J140" s="38" t="s">
        <v>17</v>
      </c>
      <c r="K140" s="39" t="s">
        <v>18</v>
      </c>
      <c r="L140" s="38" t="s">
        <v>19</v>
      </c>
      <c r="M140" s="38" t="s">
        <v>20</v>
      </c>
      <c r="N140" s="38" t="s">
        <v>21</v>
      </c>
      <c r="O140" s="33" t="s">
        <v>22</v>
      </c>
      <c r="P140" s="34" t="s">
        <v>23</v>
      </c>
      <c r="Q140" s="38" t="s">
        <v>24</v>
      </c>
      <c r="R140" s="33" t="s">
        <v>25</v>
      </c>
    </row>
    <row r="141" spans="1:18" ht="15" customHeight="1">
      <c r="A141" s="40" t="s">
        <v>61</v>
      </c>
      <c r="B141" s="40" t="s">
        <v>996</v>
      </c>
      <c r="C141" s="41">
        <v>0.43055555555555558</v>
      </c>
      <c r="D141" s="40" t="s">
        <v>63</v>
      </c>
      <c r="E141" s="40" t="s">
        <v>107</v>
      </c>
      <c r="F141" s="40" t="s">
        <v>849</v>
      </c>
      <c r="G141" s="297"/>
      <c r="H141" s="42" t="s">
        <v>998</v>
      </c>
      <c r="I141" s="43">
        <v>3.9100000000000003E-2</v>
      </c>
      <c r="J141" s="44">
        <v>7</v>
      </c>
      <c r="K141" s="45">
        <v>46345</v>
      </c>
      <c r="L141" s="44">
        <v>7</v>
      </c>
      <c r="M141" s="44">
        <v>0</v>
      </c>
      <c r="N141" s="44">
        <v>0</v>
      </c>
      <c r="O141" s="46" t="s">
        <v>918</v>
      </c>
      <c r="P141" s="47">
        <v>0.43055555555555558</v>
      </c>
      <c r="Q141" s="44">
        <v>179</v>
      </c>
      <c r="R141" s="48" t="s">
        <v>1014</v>
      </c>
    </row>
    <row r="142" spans="1:18" ht="15" customHeight="1">
      <c r="A142" s="19" t="s">
        <v>26</v>
      </c>
      <c r="B142" s="19" t="s">
        <v>986</v>
      </c>
      <c r="C142" s="20">
        <v>0.3611111111111111</v>
      </c>
      <c r="D142" s="19" t="s">
        <v>987</v>
      </c>
      <c r="E142" s="19" t="s">
        <v>80</v>
      </c>
      <c r="F142" s="19" t="s">
        <v>988</v>
      </c>
      <c r="G142" s="298"/>
      <c r="H142" s="10"/>
      <c r="I142" s="11"/>
      <c r="J142" s="11"/>
      <c r="K142" s="11"/>
      <c r="L142" s="11"/>
      <c r="M142" s="11"/>
      <c r="N142" s="11"/>
      <c r="O142" s="12"/>
      <c r="P142" s="11"/>
      <c r="Q142" s="13"/>
      <c r="R142" s="14"/>
    </row>
    <row r="143" spans="1:18" ht="15" customHeight="1">
      <c r="A143" s="15" t="s">
        <v>26</v>
      </c>
      <c r="B143" s="15" t="s">
        <v>986</v>
      </c>
      <c r="C143" s="16">
        <v>0.3611111111111111</v>
      </c>
      <c r="D143" s="15" t="s">
        <v>31</v>
      </c>
      <c r="E143" s="15" t="s">
        <v>82</v>
      </c>
      <c r="F143" s="15" t="s">
        <v>989</v>
      </c>
      <c r="G143" s="298"/>
      <c r="H143" s="10"/>
      <c r="I143" s="11"/>
      <c r="J143" s="11"/>
      <c r="K143" s="11"/>
      <c r="L143" s="11"/>
      <c r="M143" s="11"/>
      <c r="N143" s="11"/>
      <c r="O143" s="12"/>
      <c r="P143" s="11"/>
      <c r="Q143" s="13"/>
      <c r="R143" s="14"/>
    </row>
    <row r="144" spans="1:18" ht="15" customHeight="1">
      <c r="A144" s="15" t="s">
        <v>26</v>
      </c>
      <c r="B144" s="15" t="s">
        <v>986</v>
      </c>
      <c r="C144" s="16">
        <v>0.3611111111111111</v>
      </c>
      <c r="D144" s="15" t="s">
        <v>34</v>
      </c>
      <c r="E144" s="15" t="s">
        <v>82</v>
      </c>
      <c r="F144" s="15" t="s">
        <v>990</v>
      </c>
      <c r="G144" s="298"/>
      <c r="H144" s="10"/>
      <c r="I144" s="11"/>
      <c r="J144" s="11"/>
      <c r="K144" s="11"/>
      <c r="L144" s="11"/>
      <c r="M144" s="11"/>
      <c r="N144" s="11"/>
      <c r="O144" s="12"/>
      <c r="P144" s="11"/>
      <c r="Q144" s="13"/>
      <c r="R144" s="14"/>
    </row>
    <row r="145" spans="1:18" ht="15" customHeight="1">
      <c r="A145" s="19" t="s">
        <v>68</v>
      </c>
      <c r="B145" s="19" t="s">
        <v>1000</v>
      </c>
      <c r="C145" s="20">
        <v>0.43055555555555558</v>
      </c>
      <c r="D145" s="19" t="s">
        <v>643</v>
      </c>
      <c r="E145" s="19" t="s">
        <v>29</v>
      </c>
      <c r="F145" s="19" t="s">
        <v>1001</v>
      </c>
      <c r="G145" s="298"/>
      <c r="H145" s="10"/>
      <c r="I145" s="11"/>
      <c r="J145" s="11"/>
      <c r="K145" s="11"/>
      <c r="L145" s="11"/>
      <c r="M145" s="11"/>
      <c r="N145" s="11"/>
      <c r="O145" s="12"/>
      <c r="P145" s="11"/>
      <c r="Q145" s="13"/>
      <c r="R145" s="14"/>
    </row>
    <row r="146" spans="1:18" ht="18">
      <c r="A146" s="292" t="s">
        <v>991</v>
      </c>
      <c r="B146" s="303"/>
      <c r="C146" s="303"/>
      <c r="D146" s="303"/>
      <c r="E146" s="303"/>
      <c r="F146" s="304"/>
      <c r="G146" s="298"/>
      <c r="H146" s="138"/>
      <c r="I146" s="138"/>
      <c r="J146" s="138"/>
      <c r="K146" s="138"/>
      <c r="L146" s="138"/>
      <c r="M146" s="138"/>
      <c r="N146" s="138"/>
      <c r="O146" s="139"/>
      <c r="P146" s="138"/>
      <c r="Q146" s="107"/>
      <c r="R146" s="107"/>
    </row>
    <row r="147" spans="1:18" ht="15" customHeight="1">
      <c r="A147" s="17" t="s">
        <v>38</v>
      </c>
      <c r="B147" s="17" t="s">
        <v>809</v>
      </c>
      <c r="C147" s="18" t="s">
        <v>984</v>
      </c>
      <c r="D147" s="17" t="s">
        <v>40</v>
      </c>
      <c r="E147" s="17" t="s">
        <v>308</v>
      </c>
      <c r="F147" s="17" t="s">
        <v>475</v>
      </c>
      <c r="G147" s="298"/>
      <c r="H147" s="138"/>
      <c r="I147" s="138"/>
      <c r="J147" s="138"/>
      <c r="K147" s="138"/>
      <c r="L147" s="138"/>
      <c r="M147" s="138"/>
      <c r="N147" s="138"/>
      <c r="O147" s="139"/>
      <c r="P147" s="138"/>
      <c r="Q147" s="107"/>
      <c r="R147" s="107"/>
    </row>
    <row r="148" spans="1:18" ht="15" customHeight="1">
      <c r="A148" s="17" t="s">
        <v>38</v>
      </c>
      <c r="B148" s="17" t="s">
        <v>811</v>
      </c>
      <c r="C148" s="18" t="s">
        <v>769</v>
      </c>
      <c r="D148" s="17" t="s">
        <v>40</v>
      </c>
      <c r="E148" s="17" t="s">
        <v>308</v>
      </c>
      <c r="F148" s="17" t="s">
        <v>475</v>
      </c>
      <c r="G148" s="298"/>
      <c r="H148" s="138"/>
      <c r="I148" s="138"/>
      <c r="J148" s="138"/>
      <c r="K148" s="138"/>
      <c r="L148" s="138"/>
      <c r="M148" s="138"/>
      <c r="N148" s="138"/>
      <c r="O148" s="139"/>
      <c r="P148" s="138"/>
      <c r="Q148" s="107"/>
      <c r="R148" s="107"/>
    </row>
    <row r="149" spans="1:18" ht="15" customHeight="1">
      <c r="A149" s="17" t="s">
        <v>38</v>
      </c>
      <c r="B149" s="17" t="s">
        <v>813</v>
      </c>
      <c r="C149" s="18" t="s">
        <v>598</v>
      </c>
      <c r="D149" s="17" t="s">
        <v>40</v>
      </c>
      <c r="E149" s="17" t="s">
        <v>293</v>
      </c>
      <c r="F149" s="17" t="s">
        <v>475</v>
      </c>
      <c r="G149" s="298"/>
      <c r="H149" s="138"/>
      <c r="I149" s="138"/>
      <c r="J149" s="138"/>
      <c r="K149" s="138"/>
      <c r="L149" s="138"/>
      <c r="M149" s="138"/>
      <c r="N149" s="138"/>
      <c r="O149" s="139"/>
      <c r="P149" s="138"/>
      <c r="Q149" s="107"/>
      <c r="R149" s="107"/>
    </row>
    <row r="150" spans="1:18" ht="15" customHeight="1">
      <c r="A150" s="17" t="s">
        <v>359</v>
      </c>
      <c r="B150" s="17" t="s">
        <v>887</v>
      </c>
      <c r="C150" s="18" t="s">
        <v>576</v>
      </c>
      <c r="D150" s="17" t="s">
        <v>361</v>
      </c>
      <c r="E150" s="17" t="s">
        <v>270</v>
      </c>
      <c r="F150" s="17" t="s">
        <v>883</v>
      </c>
      <c r="G150" s="298"/>
      <c r="H150" s="138"/>
      <c r="I150" s="138"/>
      <c r="J150" s="138"/>
      <c r="K150" s="138"/>
      <c r="L150" s="138"/>
      <c r="M150" s="138"/>
      <c r="N150" s="138"/>
      <c r="O150" s="139"/>
      <c r="P150" s="138"/>
      <c r="Q150" s="107"/>
      <c r="R150" s="107"/>
    </row>
    <row r="151" spans="1:18" ht="15" customHeight="1">
      <c r="A151" s="17" t="s">
        <v>38</v>
      </c>
      <c r="B151" s="17" t="s">
        <v>812</v>
      </c>
      <c r="C151" s="18" t="s">
        <v>593</v>
      </c>
      <c r="D151" s="17" t="s">
        <v>40</v>
      </c>
      <c r="E151" s="17" t="s">
        <v>1015</v>
      </c>
      <c r="F151" s="17" t="s">
        <v>872</v>
      </c>
      <c r="G151" s="298"/>
      <c r="H151" s="138"/>
      <c r="I151" s="138"/>
      <c r="J151" s="138"/>
      <c r="K151" s="138"/>
      <c r="L151" s="138"/>
      <c r="M151" s="138"/>
      <c r="N151" s="138"/>
      <c r="O151" s="139"/>
      <c r="P151" s="138"/>
      <c r="Q151" s="107"/>
      <c r="R151" s="107"/>
    </row>
    <row r="152" spans="1:18" ht="15" customHeight="1">
      <c r="A152" s="17" t="s">
        <v>359</v>
      </c>
      <c r="B152" s="17" t="s">
        <v>814</v>
      </c>
      <c r="C152" s="18" t="s">
        <v>563</v>
      </c>
      <c r="D152" s="17" t="s">
        <v>361</v>
      </c>
      <c r="E152" s="17" t="s">
        <v>270</v>
      </c>
      <c r="F152" s="17" t="s">
        <v>815</v>
      </c>
      <c r="G152" s="298"/>
      <c r="H152" s="138"/>
      <c r="I152" s="138"/>
      <c r="J152" s="138"/>
      <c r="K152" s="138"/>
      <c r="L152" s="138"/>
      <c r="M152" s="138"/>
      <c r="N152" s="138"/>
      <c r="O152" s="139"/>
      <c r="P152" s="138"/>
      <c r="Q152" s="107"/>
      <c r="R152" s="107"/>
    </row>
    <row r="153" spans="1:18" ht="15" customHeight="1">
      <c r="A153" s="17" t="s">
        <v>68</v>
      </c>
      <c r="B153" s="17" t="s">
        <v>842</v>
      </c>
      <c r="C153" s="18" t="s">
        <v>1009</v>
      </c>
      <c r="D153" s="17" t="s">
        <v>643</v>
      </c>
      <c r="E153" s="17" t="s">
        <v>269</v>
      </c>
      <c r="F153" s="17" t="s">
        <v>891</v>
      </c>
      <c r="G153" s="298"/>
      <c r="H153" s="138"/>
      <c r="I153" s="138"/>
      <c r="J153" s="138"/>
      <c r="K153" s="138"/>
      <c r="L153" s="138"/>
      <c r="M153" s="138"/>
      <c r="N153" s="138"/>
      <c r="O153" s="139"/>
      <c r="P153" s="138"/>
      <c r="Q153" s="107"/>
      <c r="R153" s="107"/>
    </row>
    <row r="154" spans="1:18" ht="15" customHeight="1">
      <c r="A154" s="17" t="s">
        <v>68</v>
      </c>
      <c r="B154" s="17" t="s">
        <v>844</v>
      </c>
      <c r="C154" s="18" t="s">
        <v>1004</v>
      </c>
      <c r="D154" s="17" t="s">
        <v>643</v>
      </c>
      <c r="E154" s="17" t="s">
        <v>278</v>
      </c>
      <c r="F154" s="17" t="s">
        <v>888</v>
      </c>
      <c r="G154" s="298"/>
      <c r="H154" s="138"/>
      <c r="I154" s="138"/>
      <c r="J154" s="138"/>
      <c r="K154" s="138"/>
      <c r="L154" s="138"/>
      <c r="M154" s="138"/>
      <c r="N154" s="138"/>
      <c r="O154" s="139"/>
      <c r="P154" s="138"/>
      <c r="Q154" s="107"/>
      <c r="R154" s="107"/>
    </row>
    <row r="155" spans="1:18" ht="15" customHeight="1">
      <c r="A155" s="17" t="s">
        <v>61</v>
      </c>
      <c r="B155" s="17" t="s">
        <v>852</v>
      </c>
      <c r="C155" s="18" t="s">
        <v>980</v>
      </c>
      <c r="D155" s="17" t="s">
        <v>63</v>
      </c>
      <c r="E155" s="17" t="s">
        <v>269</v>
      </c>
      <c r="F155" s="17" t="s">
        <v>817</v>
      </c>
      <c r="G155" s="298"/>
      <c r="H155" s="138"/>
      <c r="I155" s="138"/>
      <c r="J155" s="138"/>
      <c r="K155" s="138"/>
      <c r="L155" s="138"/>
      <c r="M155" s="138"/>
      <c r="N155" s="138"/>
      <c r="O155" s="139"/>
      <c r="P155" s="138"/>
      <c r="Q155" s="107"/>
      <c r="R155" s="107"/>
    </row>
    <row r="156" spans="1:18" ht="15" customHeight="1" thickBot="1">
      <c r="A156" s="30" t="s">
        <v>26</v>
      </c>
      <c r="B156" s="30" t="s">
        <v>820</v>
      </c>
      <c r="C156" s="31" t="s">
        <v>563</v>
      </c>
      <c r="D156" s="30" t="s">
        <v>28</v>
      </c>
      <c r="E156" s="30" t="s">
        <v>270</v>
      </c>
      <c r="F156" s="30" t="s">
        <v>81</v>
      </c>
      <c r="G156" s="299"/>
      <c r="H156" s="140"/>
      <c r="I156" s="140"/>
      <c r="J156" s="140"/>
      <c r="K156" s="140"/>
      <c r="L156" s="140"/>
      <c r="M156" s="140"/>
      <c r="N156" s="140"/>
      <c r="O156" s="141"/>
      <c r="P156" s="140"/>
      <c r="Q156" s="142"/>
      <c r="R156" s="142"/>
    </row>
    <row r="157" spans="1:18" ht="17.45" customHeight="1" thickBot="1">
      <c r="A157" s="283"/>
      <c r="B157" s="284"/>
      <c r="C157" s="284"/>
      <c r="D157" s="284"/>
      <c r="E157" s="284"/>
      <c r="F157" s="284"/>
      <c r="G157" s="284"/>
      <c r="H157" s="284"/>
      <c r="I157" s="284"/>
      <c r="J157" s="284"/>
      <c r="K157" s="284"/>
      <c r="L157" s="284"/>
      <c r="M157" s="284"/>
      <c r="N157" s="284"/>
      <c r="O157" s="284"/>
      <c r="P157" s="284"/>
      <c r="Q157" s="284"/>
      <c r="R157" s="285"/>
    </row>
    <row r="158" spans="1:18" ht="22.15" customHeight="1" thickTop="1" thickBot="1">
      <c r="A158" s="279" t="s">
        <v>6</v>
      </c>
      <c r="B158" s="295"/>
      <c r="C158" s="295"/>
      <c r="D158" s="295"/>
      <c r="E158" s="295"/>
      <c r="F158" s="296"/>
      <c r="G158" s="32">
        <v>46036</v>
      </c>
      <c r="H158" s="278" t="s">
        <v>7</v>
      </c>
      <c r="I158" s="295"/>
      <c r="J158" s="295"/>
      <c r="K158" s="295"/>
      <c r="L158" s="295"/>
      <c r="M158" s="295"/>
      <c r="N158" s="295"/>
      <c r="O158" s="295"/>
      <c r="P158" s="295"/>
      <c r="Q158" s="295"/>
      <c r="R158" s="296"/>
    </row>
    <row r="159" spans="1:18" ht="24" customHeight="1">
      <c r="A159" s="33" t="s">
        <v>8</v>
      </c>
      <c r="B159" s="33" t="s">
        <v>9</v>
      </c>
      <c r="C159" s="34" t="s">
        <v>10</v>
      </c>
      <c r="D159" s="33" t="s">
        <v>11</v>
      </c>
      <c r="E159" s="33" t="s">
        <v>12</v>
      </c>
      <c r="F159" s="35" t="s">
        <v>13</v>
      </c>
      <c r="G159" s="36" t="s">
        <v>14</v>
      </c>
      <c r="H159" s="33" t="s">
        <v>15</v>
      </c>
      <c r="I159" s="37" t="s">
        <v>16</v>
      </c>
      <c r="J159" s="38" t="s">
        <v>17</v>
      </c>
      <c r="K159" s="39" t="s">
        <v>18</v>
      </c>
      <c r="L159" s="38" t="s">
        <v>19</v>
      </c>
      <c r="M159" s="38" t="s">
        <v>20</v>
      </c>
      <c r="N159" s="38" t="s">
        <v>21</v>
      </c>
      <c r="O159" s="33" t="s">
        <v>22</v>
      </c>
      <c r="P159" s="34" t="s">
        <v>23</v>
      </c>
      <c r="Q159" s="38" t="s">
        <v>24</v>
      </c>
      <c r="R159" s="33" t="s">
        <v>25</v>
      </c>
    </row>
    <row r="160" spans="1:18" ht="15" customHeight="1">
      <c r="A160" s="40" t="s">
        <v>61</v>
      </c>
      <c r="B160" s="40" t="s">
        <v>1005</v>
      </c>
      <c r="C160" s="41">
        <v>0.40625</v>
      </c>
      <c r="D160" s="40" t="s">
        <v>63</v>
      </c>
      <c r="E160" s="40" t="s">
        <v>143</v>
      </c>
      <c r="F160" s="40" t="s">
        <v>849</v>
      </c>
      <c r="G160" s="297"/>
      <c r="H160" s="42" t="s">
        <v>1006</v>
      </c>
      <c r="I160" s="43">
        <v>6.7000000000000004E-2</v>
      </c>
      <c r="J160" s="44">
        <v>12</v>
      </c>
      <c r="K160" s="45">
        <v>46342</v>
      </c>
      <c r="L160" s="44">
        <v>12</v>
      </c>
      <c r="M160" s="44">
        <v>0</v>
      </c>
      <c r="N160" s="44">
        <v>0</v>
      </c>
      <c r="O160" s="46" t="s">
        <v>1016</v>
      </c>
      <c r="P160" s="47">
        <v>0.40625</v>
      </c>
      <c r="Q160" s="44">
        <v>179</v>
      </c>
      <c r="R160" s="48" t="s">
        <v>1017</v>
      </c>
    </row>
    <row r="161" spans="1:18" ht="15" customHeight="1">
      <c r="A161" s="19" t="s">
        <v>68</v>
      </c>
      <c r="B161" s="19" t="s">
        <v>1008</v>
      </c>
      <c r="C161" s="20">
        <v>0.40625</v>
      </c>
      <c r="D161" s="19" t="s">
        <v>643</v>
      </c>
      <c r="E161" s="19" t="s">
        <v>29</v>
      </c>
      <c r="F161" s="19" t="s">
        <v>1001</v>
      </c>
      <c r="G161" s="298"/>
      <c r="H161" s="10"/>
      <c r="I161" s="11"/>
      <c r="J161" s="11"/>
      <c r="K161" s="11"/>
      <c r="L161" s="11"/>
      <c r="M161" s="11"/>
      <c r="N161" s="11"/>
      <c r="O161" s="12"/>
      <c r="P161" s="11"/>
      <c r="Q161" s="13"/>
      <c r="R161" s="14"/>
    </row>
    <row r="162" spans="1:18" ht="18">
      <c r="A162" s="292" t="s">
        <v>991</v>
      </c>
      <c r="B162" s="303"/>
      <c r="C162" s="303"/>
      <c r="D162" s="303"/>
      <c r="E162" s="303"/>
      <c r="F162" s="304"/>
      <c r="G162" s="298"/>
      <c r="H162" s="138"/>
      <c r="I162" s="138"/>
      <c r="J162" s="138"/>
      <c r="K162" s="138"/>
      <c r="L162" s="138"/>
      <c r="M162" s="138"/>
      <c r="N162" s="138"/>
      <c r="O162" s="139"/>
      <c r="P162" s="138"/>
      <c r="Q162" s="107"/>
      <c r="R162" s="107"/>
    </row>
    <row r="163" spans="1:18" ht="15" customHeight="1">
      <c r="A163" s="17" t="s">
        <v>38</v>
      </c>
      <c r="B163" s="17" t="s">
        <v>811</v>
      </c>
      <c r="C163" s="18" t="s">
        <v>769</v>
      </c>
      <c r="D163" s="17" t="s">
        <v>40</v>
      </c>
      <c r="E163" s="17" t="s">
        <v>277</v>
      </c>
      <c r="F163" s="17" t="s">
        <v>475</v>
      </c>
      <c r="G163" s="298"/>
      <c r="H163" s="138"/>
      <c r="I163" s="138"/>
      <c r="J163" s="138"/>
      <c r="K163" s="138"/>
      <c r="L163" s="138"/>
      <c r="M163" s="138"/>
      <c r="N163" s="138"/>
      <c r="O163" s="139"/>
      <c r="P163" s="138"/>
      <c r="Q163" s="107"/>
      <c r="R163" s="107"/>
    </row>
    <row r="164" spans="1:18" ht="15" customHeight="1">
      <c r="A164" s="17" t="s">
        <v>38</v>
      </c>
      <c r="B164" s="17" t="s">
        <v>812</v>
      </c>
      <c r="C164" s="18" t="s">
        <v>593</v>
      </c>
      <c r="D164" s="17" t="s">
        <v>40</v>
      </c>
      <c r="E164" s="17" t="s">
        <v>287</v>
      </c>
      <c r="F164" s="17" t="s">
        <v>475</v>
      </c>
      <c r="G164" s="298"/>
      <c r="H164" s="138"/>
      <c r="I164" s="138"/>
      <c r="J164" s="138"/>
      <c r="K164" s="138"/>
      <c r="L164" s="138"/>
      <c r="M164" s="138"/>
      <c r="N164" s="138"/>
      <c r="O164" s="139"/>
      <c r="P164" s="138"/>
      <c r="Q164" s="107"/>
      <c r="R164" s="107"/>
    </row>
    <row r="165" spans="1:18" ht="15" customHeight="1">
      <c r="A165" s="17" t="s">
        <v>38</v>
      </c>
      <c r="B165" s="17" t="s">
        <v>809</v>
      </c>
      <c r="C165" s="18" t="s">
        <v>984</v>
      </c>
      <c r="D165" s="17" t="s">
        <v>40</v>
      </c>
      <c r="E165" s="17" t="s">
        <v>652</v>
      </c>
      <c r="F165" s="17" t="s">
        <v>872</v>
      </c>
      <c r="G165" s="298"/>
      <c r="H165" s="138"/>
      <c r="I165" s="138"/>
      <c r="J165" s="138"/>
      <c r="K165" s="138"/>
      <c r="L165" s="138"/>
      <c r="M165" s="138"/>
      <c r="N165" s="138"/>
      <c r="O165" s="139"/>
      <c r="P165" s="138"/>
      <c r="Q165" s="107"/>
      <c r="R165" s="107"/>
    </row>
    <row r="166" spans="1:18" ht="15" customHeight="1">
      <c r="A166" s="17" t="s">
        <v>38</v>
      </c>
      <c r="B166" s="17" t="s">
        <v>813</v>
      </c>
      <c r="C166" s="18" t="s">
        <v>598</v>
      </c>
      <c r="D166" s="17" t="s">
        <v>40</v>
      </c>
      <c r="E166" s="17" t="s">
        <v>1018</v>
      </c>
      <c r="F166" s="17" t="s">
        <v>872</v>
      </c>
      <c r="G166" s="298"/>
      <c r="H166" s="138"/>
      <c r="I166" s="138"/>
      <c r="J166" s="138"/>
      <c r="K166" s="138"/>
      <c r="L166" s="138"/>
      <c r="M166" s="138"/>
      <c r="N166" s="138"/>
      <c r="O166" s="139"/>
      <c r="P166" s="138"/>
      <c r="Q166" s="107"/>
      <c r="R166" s="107"/>
    </row>
    <row r="167" spans="1:18" ht="15" customHeight="1">
      <c r="A167" s="17" t="s">
        <v>68</v>
      </c>
      <c r="B167" s="17" t="s">
        <v>843</v>
      </c>
      <c r="C167" s="18" t="s">
        <v>258</v>
      </c>
      <c r="D167" s="17" t="s">
        <v>643</v>
      </c>
      <c r="E167" s="17" t="s">
        <v>269</v>
      </c>
      <c r="F167" s="17" t="s">
        <v>891</v>
      </c>
      <c r="G167" s="298"/>
      <c r="H167" s="138"/>
      <c r="I167" s="138"/>
      <c r="J167" s="138"/>
      <c r="K167" s="138"/>
      <c r="L167" s="138"/>
      <c r="M167" s="138"/>
      <c r="N167" s="138"/>
      <c r="O167" s="139"/>
      <c r="P167" s="138"/>
      <c r="Q167" s="107"/>
      <c r="R167" s="107"/>
    </row>
    <row r="168" spans="1:18" ht="15" customHeight="1">
      <c r="A168" s="17" t="s">
        <v>61</v>
      </c>
      <c r="B168" s="17" t="s">
        <v>816</v>
      </c>
      <c r="C168" s="18" t="s">
        <v>974</v>
      </c>
      <c r="D168" s="17" t="s">
        <v>63</v>
      </c>
      <c r="E168" s="17" t="s">
        <v>269</v>
      </c>
      <c r="F168" s="17" t="s">
        <v>817</v>
      </c>
      <c r="G168" s="298"/>
      <c r="H168" s="138"/>
      <c r="I168" s="138"/>
      <c r="J168" s="138"/>
      <c r="K168" s="138"/>
      <c r="L168" s="138"/>
      <c r="M168" s="138"/>
      <c r="N168" s="138"/>
      <c r="O168" s="139"/>
      <c r="P168" s="138"/>
      <c r="Q168" s="107"/>
      <c r="R168" s="107"/>
    </row>
    <row r="169" spans="1:18" ht="15" customHeight="1">
      <c r="A169" s="17" t="s">
        <v>26</v>
      </c>
      <c r="B169" s="17" t="s">
        <v>820</v>
      </c>
      <c r="C169" s="18" t="s">
        <v>563</v>
      </c>
      <c r="D169" s="17" t="s">
        <v>28</v>
      </c>
      <c r="E169" s="17" t="s">
        <v>270</v>
      </c>
      <c r="F169" s="17" t="s">
        <v>81</v>
      </c>
      <c r="G169" s="298"/>
      <c r="H169" s="138"/>
      <c r="I169" s="138"/>
      <c r="J169" s="138"/>
      <c r="K169" s="138"/>
      <c r="L169" s="138"/>
      <c r="M169" s="138"/>
      <c r="N169" s="138"/>
      <c r="O169" s="139"/>
      <c r="P169" s="138"/>
      <c r="Q169" s="107"/>
      <c r="R169" s="107"/>
    </row>
    <row r="170" spans="1:18" ht="15" customHeight="1">
      <c r="A170" s="17" t="s">
        <v>26</v>
      </c>
      <c r="B170" s="17" t="s">
        <v>826</v>
      </c>
      <c r="C170" s="18" t="s">
        <v>1002</v>
      </c>
      <c r="D170" s="17" t="s">
        <v>28</v>
      </c>
      <c r="E170" s="17" t="s">
        <v>270</v>
      </c>
      <c r="F170" s="17" t="s">
        <v>81</v>
      </c>
      <c r="G170" s="298"/>
      <c r="H170" s="138"/>
      <c r="I170" s="138"/>
      <c r="J170" s="138"/>
      <c r="K170" s="138"/>
      <c r="L170" s="138"/>
      <c r="M170" s="138"/>
      <c r="N170" s="138"/>
      <c r="O170" s="139"/>
      <c r="P170" s="138"/>
      <c r="Q170" s="107"/>
      <c r="R170" s="107"/>
    </row>
    <row r="171" spans="1:18" ht="15" customHeight="1">
      <c r="A171" s="17" t="s">
        <v>26</v>
      </c>
      <c r="B171" s="17" t="s">
        <v>821</v>
      </c>
      <c r="C171" s="18" t="s">
        <v>703</v>
      </c>
      <c r="D171" s="17" t="s">
        <v>28</v>
      </c>
      <c r="E171" s="17" t="s">
        <v>270</v>
      </c>
      <c r="F171" s="17" t="s">
        <v>81</v>
      </c>
      <c r="G171" s="298"/>
      <c r="H171" s="138"/>
      <c r="I171" s="138"/>
      <c r="J171" s="138"/>
      <c r="K171" s="138"/>
      <c r="L171" s="138"/>
      <c r="M171" s="138"/>
      <c r="N171" s="138"/>
      <c r="O171" s="139"/>
      <c r="P171" s="138"/>
      <c r="Q171" s="107"/>
      <c r="R171" s="107"/>
    </row>
    <row r="172" spans="1:18" ht="15" customHeight="1" thickBot="1">
      <c r="A172" s="30" t="s">
        <v>26</v>
      </c>
      <c r="B172" s="30" t="s">
        <v>822</v>
      </c>
      <c r="C172" s="31" t="s">
        <v>564</v>
      </c>
      <c r="D172" s="30" t="s">
        <v>28</v>
      </c>
      <c r="E172" s="30" t="s">
        <v>270</v>
      </c>
      <c r="F172" s="30" t="s">
        <v>81</v>
      </c>
      <c r="G172" s="299"/>
      <c r="H172" s="140"/>
      <c r="I172" s="140"/>
      <c r="J172" s="140"/>
      <c r="K172" s="140"/>
      <c r="L172" s="140"/>
      <c r="M172" s="140"/>
      <c r="N172" s="140"/>
      <c r="O172" s="141"/>
      <c r="P172" s="140"/>
      <c r="Q172" s="142"/>
      <c r="R172" s="142"/>
    </row>
    <row r="173" spans="1:18" ht="17.45" customHeight="1" thickBot="1">
      <c r="A173" s="283"/>
      <c r="B173" s="284"/>
      <c r="C173" s="284"/>
      <c r="D173" s="284"/>
      <c r="E173" s="284"/>
      <c r="F173" s="284"/>
      <c r="G173" s="284"/>
      <c r="H173" s="284"/>
      <c r="I173" s="284"/>
      <c r="J173" s="284"/>
      <c r="K173" s="284"/>
      <c r="L173" s="284"/>
      <c r="M173" s="284"/>
      <c r="N173" s="284"/>
      <c r="O173" s="284"/>
      <c r="P173" s="284"/>
      <c r="Q173" s="284"/>
      <c r="R173" s="285"/>
    </row>
    <row r="174" spans="1:18" ht="22.15" customHeight="1" thickTop="1" thickBot="1">
      <c r="A174" s="279" t="s">
        <v>6</v>
      </c>
      <c r="B174" s="295"/>
      <c r="C174" s="295"/>
      <c r="D174" s="295"/>
      <c r="E174" s="295"/>
      <c r="F174" s="296"/>
      <c r="G174" s="32">
        <v>46037</v>
      </c>
      <c r="H174" s="278" t="s">
        <v>7</v>
      </c>
      <c r="I174" s="295"/>
      <c r="J174" s="295"/>
      <c r="K174" s="295"/>
      <c r="L174" s="295"/>
      <c r="M174" s="295"/>
      <c r="N174" s="295"/>
      <c r="O174" s="295"/>
      <c r="P174" s="295"/>
      <c r="Q174" s="295"/>
      <c r="R174" s="296"/>
    </row>
    <row r="175" spans="1:18" ht="24" customHeight="1">
      <c r="A175" s="33" t="s">
        <v>8</v>
      </c>
      <c r="B175" s="33" t="s">
        <v>9</v>
      </c>
      <c r="C175" s="34" t="s">
        <v>10</v>
      </c>
      <c r="D175" s="33" t="s">
        <v>11</v>
      </c>
      <c r="E175" s="33" t="s">
        <v>12</v>
      </c>
      <c r="F175" s="35" t="s">
        <v>13</v>
      </c>
      <c r="G175" s="36" t="s">
        <v>14</v>
      </c>
      <c r="H175" s="33" t="s">
        <v>15</v>
      </c>
      <c r="I175" s="37" t="s">
        <v>16</v>
      </c>
      <c r="J175" s="38" t="s">
        <v>17</v>
      </c>
      <c r="K175" s="39" t="s">
        <v>18</v>
      </c>
      <c r="L175" s="38" t="s">
        <v>19</v>
      </c>
      <c r="M175" s="38" t="s">
        <v>20</v>
      </c>
      <c r="N175" s="38" t="s">
        <v>21</v>
      </c>
      <c r="O175" s="33" t="s">
        <v>22</v>
      </c>
      <c r="P175" s="34" t="s">
        <v>23</v>
      </c>
      <c r="Q175" s="38" t="s">
        <v>24</v>
      </c>
      <c r="R175" s="33" t="s">
        <v>25</v>
      </c>
    </row>
    <row r="176" spans="1:18" ht="15" customHeight="1">
      <c r="A176" s="8" t="s">
        <v>26</v>
      </c>
      <c r="B176" s="8" t="s">
        <v>986</v>
      </c>
      <c r="C176" s="9">
        <v>0.3611111111111111</v>
      </c>
      <c r="D176" s="8" t="s">
        <v>987</v>
      </c>
      <c r="E176" s="8" t="s">
        <v>100</v>
      </c>
      <c r="F176" s="8" t="s">
        <v>988</v>
      </c>
      <c r="G176" s="297"/>
      <c r="H176" s="10"/>
      <c r="I176" s="11"/>
      <c r="J176" s="11"/>
      <c r="K176" s="11"/>
      <c r="L176" s="11"/>
      <c r="M176" s="11"/>
      <c r="N176" s="11"/>
      <c r="O176" s="12"/>
      <c r="P176" s="11"/>
      <c r="Q176" s="13"/>
      <c r="R176" s="14"/>
    </row>
    <row r="177" spans="1:18" ht="15" customHeight="1">
      <c r="A177" s="15" t="s">
        <v>26</v>
      </c>
      <c r="B177" s="15" t="s">
        <v>986</v>
      </c>
      <c r="C177" s="16">
        <v>0.3611111111111111</v>
      </c>
      <c r="D177" s="15" t="s">
        <v>31</v>
      </c>
      <c r="E177" s="15" t="s">
        <v>115</v>
      </c>
      <c r="F177" s="15" t="s">
        <v>989</v>
      </c>
      <c r="G177" s="298"/>
      <c r="H177" s="10"/>
      <c r="I177" s="11"/>
      <c r="J177" s="11"/>
      <c r="K177" s="11"/>
      <c r="L177" s="11"/>
      <c r="M177" s="11"/>
      <c r="N177" s="11"/>
      <c r="O177" s="12"/>
      <c r="P177" s="11"/>
      <c r="Q177" s="13"/>
      <c r="R177" s="14"/>
    </row>
    <row r="178" spans="1:18" ht="15" customHeight="1">
      <c r="A178" s="15" t="s">
        <v>26</v>
      </c>
      <c r="B178" s="15" t="s">
        <v>986</v>
      </c>
      <c r="C178" s="16">
        <v>0.3611111111111111</v>
      </c>
      <c r="D178" s="15" t="s">
        <v>34</v>
      </c>
      <c r="E178" s="15" t="s">
        <v>115</v>
      </c>
      <c r="F178" s="15" t="s">
        <v>990</v>
      </c>
      <c r="G178" s="298"/>
      <c r="H178" s="10"/>
      <c r="I178" s="11"/>
      <c r="J178" s="11"/>
      <c r="K178" s="11"/>
      <c r="L178" s="11"/>
      <c r="M178" s="11"/>
      <c r="N178" s="11"/>
      <c r="O178" s="12"/>
      <c r="P178" s="11"/>
      <c r="Q178" s="13"/>
      <c r="R178" s="14"/>
    </row>
    <row r="179" spans="1:18" ht="18">
      <c r="A179" s="292" t="s">
        <v>991</v>
      </c>
      <c r="B179" s="303"/>
      <c r="C179" s="303"/>
      <c r="D179" s="303"/>
      <c r="E179" s="303"/>
      <c r="F179" s="304"/>
      <c r="G179" s="298"/>
      <c r="H179" s="138"/>
      <c r="I179" s="138"/>
      <c r="J179" s="138"/>
      <c r="K179" s="138"/>
      <c r="L179" s="138"/>
      <c r="M179" s="138"/>
      <c r="N179" s="138"/>
      <c r="O179" s="139"/>
      <c r="P179" s="138"/>
      <c r="Q179" s="107"/>
      <c r="R179" s="107"/>
    </row>
    <row r="180" spans="1:18" ht="15" customHeight="1">
      <c r="A180" s="17" t="s">
        <v>38</v>
      </c>
      <c r="B180" s="17" t="s">
        <v>809</v>
      </c>
      <c r="C180" s="18" t="s">
        <v>984</v>
      </c>
      <c r="D180" s="17" t="s">
        <v>40</v>
      </c>
      <c r="E180" s="17" t="s">
        <v>652</v>
      </c>
      <c r="F180" s="17" t="s">
        <v>872</v>
      </c>
      <c r="G180" s="298"/>
      <c r="H180" s="138"/>
      <c r="I180" s="138"/>
      <c r="J180" s="138"/>
      <c r="K180" s="138"/>
      <c r="L180" s="138"/>
      <c r="M180" s="138"/>
      <c r="N180" s="138"/>
      <c r="O180" s="139"/>
      <c r="P180" s="138"/>
      <c r="Q180" s="107"/>
      <c r="R180" s="107"/>
    </row>
    <row r="181" spans="1:18" ht="15" customHeight="1">
      <c r="A181" s="17" t="s">
        <v>38</v>
      </c>
      <c r="B181" s="17" t="s">
        <v>811</v>
      </c>
      <c r="C181" s="18" t="s">
        <v>769</v>
      </c>
      <c r="D181" s="17" t="s">
        <v>40</v>
      </c>
      <c r="E181" s="17" t="s">
        <v>652</v>
      </c>
      <c r="F181" s="17" t="s">
        <v>872</v>
      </c>
      <c r="G181" s="298"/>
      <c r="H181" s="138"/>
      <c r="I181" s="138"/>
      <c r="J181" s="138"/>
      <c r="K181" s="138"/>
      <c r="L181" s="138"/>
      <c r="M181" s="138"/>
      <c r="N181" s="138"/>
      <c r="O181" s="139"/>
      <c r="P181" s="138"/>
      <c r="Q181" s="107"/>
      <c r="R181" s="107"/>
    </row>
    <row r="182" spans="1:18" ht="15" customHeight="1">
      <c r="A182" s="17" t="s">
        <v>38</v>
      </c>
      <c r="B182" s="17" t="s">
        <v>812</v>
      </c>
      <c r="C182" s="18" t="s">
        <v>593</v>
      </c>
      <c r="D182" s="17" t="s">
        <v>40</v>
      </c>
      <c r="E182" s="17" t="s">
        <v>295</v>
      </c>
      <c r="F182" s="17" t="s">
        <v>872</v>
      </c>
      <c r="G182" s="298"/>
      <c r="H182" s="138"/>
      <c r="I182" s="138"/>
      <c r="J182" s="138"/>
      <c r="K182" s="138"/>
      <c r="L182" s="138"/>
      <c r="M182" s="138"/>
      <c r="N182" s="138"/>
      <c r="O182" s="139"/>
      <c r="P182" s="138"/>
      <c r="Q182" s="107"/>
      <c r="R182" s="107"/>
    </row>
    <row r="183" spans="1:18" ht="15" customHeight="1">
      <c r="A183" s="17" t="s">
        <v>38</v>
      </c>
      <c r="B183" s="17" t="s">
        <v>813</v>
      </c>
      <c r="C183" s="18" t="s">
        <v>598</v>
      </c>
      <c r="D183" s="17" t="s">
        <v>40</v>
      </c>
      <c r="E183" s="17" t="s">
        <v>652</v>
      </c>
      <c r="F183" s="17" t="s">
        <v>872</v>
      </c>
      <c r="G183" s="298"/>
      <c r="H183" s="138"/>
      <c r="I183" s="138"/>
      <c r="J183" s="138"/>
      <c r="K183" s="138"/>
      <c r="L183" s="138"/>
      <c r="M183" s="138"/>
      <c r="N183" s="138"/>
      <c r="O183" s="139"/>
      <c r="P183" s="138"/>
      <c r="Q183" s="107"/>
      <c r="R183" s="107"/>
    </row>
    <row r="184" spans="1:18" ht="15" customHeight="1">
      <c r="A184" s="17" t="s">
        <v>26</v>
      </c>
      <c r="B184" s="17" t="s">
        <v>820</v>
      </c>
      <c r="C184" s="18" t="s">
        <v>563</v>
      </c>
      <c r="D184" s="17" t="s">
        <v>28</v>
      </c>
      <c r="E184" s="17" t="s">
        <v>270</v>
      </c>
      <c r="F184" s="17" t="s">
        <v>81</v>
      </c>
      <c r="G184" s="298"/>
      <c r="H184" s="138"/>
      <c r="I184" s="138"/>
      <c r="J184" s="138"/>
      <c r="K184" s="138"/>
      <c r="L184" s="138"/>
      <c r="M184" s="138"/>
      <c r="N184" s="138"/>
      <c r="O184" s="139"/>
      <c r="P184" s="138"/>
      <c r="Q184" s="107"/>
      <c r="R184" s="107"/>
    </row>
    <row r="185" spans="1:18" ht="15" customHeight="1">
      <c r="A185" s="17" t="s">
        <v>26</v>
      </c>
      <c r="B185" s="17" t="s">
        <v>821</v>
      </c>
      <c r="C185" s="18" t="s">
        <v>703</v>
      </c>
      <c r="D185" s="17" t="s">
        <v>28</v>
      </c>
      <c r="E185" s="17" t="s">
        <v>270</v>
      </c>
      <c r="F185" s="17" t="s">
        <v>81</v>
      </c>
      <c r="G185" s="298"/>
      <c r="H185" s="138"/>
      <c r="I185" s="138"/>
      <c r="J185" s="138"/>
      <c r="K185" s="138"/>
      <c r="L185" s="138"/>
      <c r="M185" s="138"/>
      <c r="N185" s="138"/>
      <c r="O185" s="139"/>
      <c r="P185" s="138"/>
      <c r="Q185" s="107"/>
      <c r="R185" s="107"/>
    </row>
    <row r="186" spans="1:18" ht="15" customHeight="1">
      <c r="A186" s="17" t="s">
        <v>26</v>
      </c>
      <c r="B186" s="17" t="s">
        <v>822</v>
      </c>
      <c r="C186" s="18" t="s">
        <v>564</v>
      </c>
      <c r="D186" s="17" t="s">
        <v>28</v>
      </c>
      <c r="E186" s="17" t="s">
        <v>270</v>
      </c>
      <c r="F186" s="17" t="s">
        <v>81</v>
      </c>
      <c r="G186" s="298"/>
      <c r="H186" s="138"/>
      <c r="I186" s="138"/>
      <c r="J186" s="138"/>
      <c r="K186" s="138"/>
      <c r="L186" s="138"/>
      <c r="M186" s="138"/>
      <c r="N186" s="138"/>
      <c r="O186" s="139"/>
      <c r="P186" s="138"/>
      <c r="Q186" s="107"/>
      <c r="R186" s="107"/>
    </row>
    <row r="187" spans="1:18" ht="15" customHeight="1">
      <c r="A187" s="17" t="s">
        <v>26</v>
      </c>
      <c r="B187" s="17" t="s">
        <v>824</v>
      </c>
      <c r="C187" s="18" t="s">
        <v>995</v>
      </c>
      <c r="D187" s="17" t="s">
        <v>28</v>
      </c>
      <c r="E187" s="17" t="s">
        <v>270</v>
      </c>
      <c r="F187" s="17" t="s">
        <v>81</v>
      </c>
      <c r="G187" s="298"/>
      <c r="H187" s="138"/>
      <c r="I187" s="138"/>
      <c r="J187" s="138"/>
      <c r="K187" s="138"/>
      <c r="L187" s="138"/>
      <c r="M187" s="138"/>
      <c r="N187" s="138"/>
      <c r="O187" s="139"/>
      <c r="P187" s="138"/>
      <c r="Q187" s="107"/>
      <c r="R187" s="107"/>
    </row>
    <row r="188" spans="1:18" ht="15" customHeight="1">
      <c r="A188" s="17" t="s">
        <v>26</v>
      </c>
      <c r="B188" s="17" t="s">
        <v>825</v>
      </c>
      <c r="C188" s="18" t="s">
        <v>272</v>
      </c>
      <c r="D188" s="17" t="s">
        <v>28</v>
      </c>
      <c r="E188" s="17" t="s">
        <v>267</v>
      </c>
      <c r="F188" s="17" t="s">
        <v>81</v>
      </c>
      <c r="G188" s="298"/>
      <c r="H188" s="138"/>
      <c r="I188" s="138"/>
      <c r="J188" s="138"/>
      <c r="K188" s="138"/>
      <c r="L188" s="138"/>
      <c r="M188" s="138"/>
      <c r="N188" s="138"/>
      <c r="O188" s="139"/>
      <c r="P188" s="138"/>
      <c r="Q188" s="107"/>
      <c r="R188" s="107"/>
    </row>
    <row r="189" spans="1:18" ht="15" customHeight="1" thickBot="1">
      <c r="A189" s="30" t="s">
        <v>26</v>
      </c>
      <c r="B189" s="30" t="s">
        <v>826</v>
      </c>
      <c r="C189" s="31" t="s">
        <v>1002</v>
      </c>
      <c r="D189" s="30" t="s">
        <v>28</v>
      </c>
      <c r="E189" s="30" t="s">
        <v>270</v>
      </c>
      <c r="F189" s="30" t="s">
        <v>827</v>
      </c>
      <c r="G189" s="299"/>
      <c r="H189" s="140"/>
      <c r="I189" s="140"/>
      <c r="J189" s="140"/>
      <c r="K189" s="140"/>
      <c r="L189" s="140"/>
      <c r="M189" s="140"/>
      <c r="N189" s="140"/>
      <c r="O189" s="141"/>
      <c r="P189" s="140"/>
      <c r="Q189" s="142"/>
      <c r="R189" s="142"/>
    </row>
    <row r="190" spans="1:18" ht="17.45" customHeight="1" thickBot="1">
      <c r="A190" s="283"/>
      <c r="B190" s="284"/>
      <c r="C190" s="284"/>
      <c r="D190" s="284"/>
      <c r="E190" s="284"/>
      <c r="F190" s="284"/>
      <c r="G190" s="284"/>
      <c r="H190" s="284"/>
      <c r="I190" s="284"/>
      <c r="J190" s="284"/>
      <c r="K190" s="284"/>
      <c r="L190" s="284"/>
      <c r="M190" s="284"/>
      <c r="N190" s="284"/>
      <c r="O190" s="284"/>
      <c r="P190" s="284"/>
      <c r="Q190" s="284"/>
      <c r="R190" s="285"/>
    </row>
    <row r="191" spans="1:18" ht="22.15" customHeight="1" thickTop="1" thickBot="1">
      <c r="A191" s="279" t="s">
        <v>6</v>
      </c>
      <c r="B191" s="295"/>
      <c r="C191" s="295"/>
      <c r="D191" s="295"/>
      <c r="E191" s="295"/>
      <c r="F191" s="296"/>
      <c r="G191" s="32">
        <v>46039</v>
      </c>
      <c r="H191" s="278" t="s">
        <v>7</v>
      </c>
      <c r="I191" s="295"/>
      <c r="J191" s="295"/>
      <c r="K191" s="295"/>
      <c r="L191" s="295"/>
      <c r="M191" s="295"/>
      <c r="N191" s="295"/>
      <c r="O191" s="295"/>
      <c r="P191" s="295"/>
      <c r="Q191" s="295"/>
      <c r="R191" s="296"/>
    </row>
    <row r="192" spans="1:18" ht="24" customHeight="1">
      <c r="A192" s="33" t="s">
        <v>8</v>
      </c>
      <c r="B192" s="33" t="s">
        <v>9</v>
      </c>
      <c r="C192" s="34" t="s">
        <v>10</v>
      </c>
      <c r="D192" s="33" t="s">
        <v>11</v>
      </c>
      <c r="E192" s="33" t="s">
        <v>12</v>
      </c>
      <c r="F192" s="35" t="s">
        <v>13</v>
      </c>
      <c r="G192" s="36" t="s">
        <v>14</v>
      </c>
      <c r="H192" s="33" t="s">
        <v>15</v>
      </c>
      <c r="I192" s="37" t="s">
        <v>16</v>
      </c>
      <c r="J192" s="38" t="s">
        <v>17</v>
      </c>
      <c r="K192" s="39" t="s">
        <v>18</v>
      </c>
      <c r="L192" s="38" t="s">
        <v>19</v>
      </c>
      <c r="M192" s="38" t="s">
        <v>20</v>
      </c>
      <c r="N192" s="38" t="s">
        <v>21</v>
      </c>
      <c r="O192" s="33" t="s">
        <v>22</v>
      </c>
      <c r="P192" s="34" t="s">
        <v>23</v>
      </c>
      <c r="Q192" s="38" t="s">
        <v>24</v>
      </c>
      <c r="R192" s="33" t="s">
        <v>25</v>
      </c>
    </row>
    <row r="193" spans="1:18" ht="15" customHeight="1">
      <c r="A193" s="8" t="s">
        <v>26</v>
      </c>
      <c r="B193" s="8" t="s">
        <v>986</v>
      </c>
      <c r="C193" s="9">
        <v>0.3611111111111111</v>
      </c>
      <c r="D193" s="8" t="s">
        <v>987</v>
      </c>
      <c r="E193" s="8" t="s">
        <v>80</v>
      </c>
      <c r="F193" s="8" t="s">
        <v>1019</v>
      </c>
      <c r="G193" s="297"/>
      <c r="H193" s="10"/>
      <c r="I193" s="11"/>
      <c r="J193" s="11"/>
      <c r="K193" s="11"/>
      <c r="L193" s="11"/>
      <c r="M193" s="11"/>
      <c r="N193" s="11"/>
      <c r="O193" s="12"/>
      <c r="P193" s="11"/>
      <c r="Q193" s="13"/>
      <c r="R193" s="14"/>
    </row>
    <row r="194" spans="1:18" ht="15" customHeight="1">
      <c r="A194" s="15" t="s">
        <v>26</v>
      </c>
      <c r="B194" s="15" t="s">
        <v>986</v>
      </c>
      <c r="C194" s="16">
        <v>0.3611111111111111</v>
      </c>
      <c r="D194" s="15" t="s">
        <v>31</v>
      </c>
      <c r="E194" s="15" t="s">
        <v>82</v>
      </c>
      <c r="F194" s="15" t="s">
        <v>1020</v>
      </c>
      <c r="G194" s="298"/>
      <c r="H194" s="10"/>
      <c r="I194" s="11"/>
      <c r="J194" s="11"/>
      <c r="K194" s="11"/>
      <c r="L194" s="11"/>
      <c r="M194" s="11"/>
      <c r="N194" s="11"/>
      <c r="O194" s="12"/>
      <c r="P194" s="11"/>
      <c r="Q194" s="13"/>
      <c r="R194" s="14"/>
    </row>
    <row r="195" spans="1:18" ht="15" customHeight="1">
      <c r="A195" s="15" t="s">
        <v>26</v>
      </c>
      <c r="B195" s="15" t="s">
        <v>986</v>
      </c>
      <c r="C195" s="16">
        <v>0.3611111111111111</v>
      </c>
      <c r="D195" s="15" t="s">
        <v>34</v>
      </c>
      <c r="E195" s="15" t="s">
        <v>82</v>
      </c>
      <c r="F195" s="15" t="s">
        <v>1021</v>
      </c>
      <c r="G195" s="298"/>
      <c r="H195" s="10"/>
      <c r="I195" s="11"/>
      <c r="J195" s="11"/>
      <c r="K195" s="11"/>
      <c r="L195" s="11"/>
      <c r="M195" s="11"/>
      <c r="N195" s="11"/>
      <c r="O195" s="12"/>
      <c r="P195" s="11"/>
      <c r="Q195" s="13"/>
      <c r="R195" s="14"/>
    </row>
    <row r="196" spans="1:18" ht="18">
      <c r="A196" s="292" t="s">
        <v>991</v>
      </c>
      <c r="B196" s="303"/>
      <c r="C196" s="303"/>
      <c r="D196" s="303"/>
      <c r="E196" s="303"/>
      <c r="F196" s="304"/>
      <c r="G196" s="298"/>
      <c r="H196" s="138"/>
      <c r="I196" s="138"/>
      <c r="J196" s="138"/>
      <c r="K196" s="138"/>
      <c r="L196" s="138"/>
      <c r="M196" s="138"/>
      <c r="N196" s="138"/>
      <c r="O196" s="139"/>
      <c r="P196" s="138"/>
      <c r="Q196" s="107"/>
      <c r="R196" s="107"/>
    </row>
    <row r="197" spans="1:18" ht="15" customHeight="1">
      <c r="A197" s="17" t="s">
        <v>38</v>
      </c>
      <c r="B197" s="17" t="s">
        <v>809</v>
      </c>
      <c r="C197" s="18" t="s">
        <v>984</v>
      </c>
      <c r="D197" s="17" t="s">
        <v>40</v>
      </c>
      <c r="E197" s="17" t="s">
        <v>652</v>
      </c>
      <c r="F197" s="17" t="s">
        <v>162</v>
      </c>
      <c r="G197" s="298"/>
      <c r="H197" s="138"/>
      <c r="I197" s="138"/>
      <c r="J197" s="138"/>
      <c r="K197" s="138"/>
      <c r="L197" s="138"/>
      <c r="M197" s="138"/>
      <c r="N197" s="138"/>
      <c r="O197" s="139"/>
      <c r="P197" s="138"/>
      <c r="Q197" s="107"/>
      <c r="R197" s="107"/>
    </row>
    <row r="198" spans="1:18" ht="15" customHeight="1">
      <c r="A198" s="17" t="s">
        <v>359</v>
      </c>
      <c r="B198" s="17" t="s">
        <v>814</v>
      </c>
      <c r="C198" s="18" t="s">
        <v>563</v>
      </c>
      <c r="D198" s="17" t="s">
        <v>361</v>
      </c>
      <c r="E198" s="17" t="s">
        <v>270</v>
      </c>
      <c r="F198" s="17" t="s">
        <v>936</v>
      </c>
      <c r="G198" s="298"/>
      <c r="H198" s="138"/>
      <c r="I198" s="138"/>
      <c r="J198" s="138"/>
      <c r="K198" s="138"/>
      <c r="L198" s="138"/>
      <c r="M198" s="138"/>
      <c r="N198" s="138"/>
      <c r="O198" s="139"/>
      <c r="P198" s="138"/>
      <c r="Q198" s="107"/>
      <c r="R198" s="107"/>
    </row>
    <row r="199" spans="1:18" ht="15" customHeight="1">
      <c r="A199" s="17" t="s">
        <v>61</v>
      </c>
      <c r="B199" s="17" t="s">
        <v>816</v>
      </c>
      <c r="C199" s="18" t="s">
        <v>974</v>
      </c>
      <c r="D199" s="17" t="s">
        <v>63</v>
      </c>
      <c r="E199" s="17" t="s">
        <v>269</v>
      </c>
      <c r="F199" s="17" t="s">
        <v>938</v>
      </c>
      <c r="G199" s="298"/>
      <c r="H199" s="138"/>
      <c r="I199" s="138"/>
      <c r="J199" s="138"/>
      <c r="K199" s="138"/>
      <c r="L199" s="138"/>
      <c r="M199" s="138"/>
      <c r="N199" s="138"/>
      <c r="O199" s="139"/>
      <c r="P199" s="138"/>
      <c r="Q199" s="107"/>
      <c r="R199" s="107"/>
    </row>
    <row r="200" spans="1:18" ht="15" customHeight="1">
      <c r="A200" s="17" t="s">
        <v>68</v>
      </c>
      <c r="B200" s="17" t="s">
        <v>843</v>
      </c>
      <c r="C200" s="18" t="s">
        <v>258</v>
      </c>
      <c r="D200" s="17" t="s">
        <v>70</v>
      </c>
      <c r="E200" s="17" t="s">
        <v>269</v>
      </c>
      <c r="F200" s="17" t="s">
        <v>858</v>
      </c>
      <c r="G200" s="298"/>
      <c r="H200" s="138"/>
      <c r="I200" s="138"/>
      <c r="J200" s="138"/>
      <c r="K200" s="138"/>
      <c r="L200" s="138"/>
      <c r="M200" s="138"/>
      <c r="N200" s="138"/>
      <c r="O200" s="139"/>
      <c r="P200" s="138"/>
      <c r="Q200" s="107"/>
      <c r="R200" s="107"/>
    </row>
    <row r="201" spans="1:18" ht="15" customHeight="1">
      <c r="A201" s="17" t="s">
        <v>38</v>
      </c>
      <c r="B201" s="17" t="s">
        <v>811</v>
      </c>
      <c r="C201" s="18" t="s">
        <v>769</v>
      </c>
      <c r="D201" s="17" t="s">
        <v>40</v>
      </c>
      <c r="E201" s="17" t="s">
        <v>331</v>
      </c>
      <c r="F201" s="17" t="s">
        <v>503</v>
      </c>
      <c r="G201" s="298"/>
      <c r="H201" s="138"/>
      <c r="I201" s="138"/>
      <c r="J201" s="138"/>
      <c r="K201" s="138"/>
      <c r="L201" s="138"/>
      <c r="M201" s="138"/>
      <c r="N201" s="138"/>
      <c r="O201" s="139"/>
      <c r="P201" s="138"/>
      <c r="Q201" s="107"/>
      <c r="R201" s="107"/>
    </row>
    <row r="202" spans="1:18" ht="15" customHeight="1">
      <c r="A202" s="17" t="s">
        <v>38</v>
      </c>
      <c r="B202" s="17" t="s">
        <v>812</v>
      </c>
      <c r="C202" s="18" t="s">
        <v>593</v>
      </c>
      <c r="D202" s="17" t="s">
        <v>40</v>
      </c>
      <c r="E202" s="17" t="s">
        <v>312</v>
      </c>
      <c r="F202" s="17" t="s">
        <v>503</v>
      </c>
      <c r="G202" s="298"/>
      <c r="H202" s="138"/>
      <c r="I202" s="138"/>
      <c r="J202" s="138"/>
      <c r="K202" s="138"/>
      <c r="L202" s="138"/>
      <c r="M202" s="138"/>
      <c r="N202" s="138"/>
      <c r="O202" s="139"/>
      <c r="P202" s="138"/>
      <c r="Q202" s="107"/>
      <c r="R202" s="107"/>
    </row>
    <row r="203" spans="1:18" ht="15" customHeight="1">
      <c r="A203" s="17" t="s">
        <v>26</v>
      </c>
      <c r="B203" s="17" t="s">
        <v>820</v>
      </c>
      <c r="C203" s="18" t="s">
        <v>563</v>
      </c>
      <c r="D203" s="17" t="s">
        <v>28</v>
      </c>
      <c r="E203" s="17" t="s">
        <v>270</v>
      </c>
      <c r="F203" s="17" t="s">
        <v>511</v>
      </c>
      <c r="G203" s="298"/>
      <c r="H203" s="138"/>
      <c r="I203" s="138"/>
      <c r="J203" s="138"/>
      <c r="K203" s="138"/>
      <c r="L203" s="138"/>
      <c r="M203" s="138"/>
      <c r="N203" s="138"/>
      <c r="O203" s="139"/>
      <c r="P203" s="138"/>
      <c r="Q203" s="107"/>
      <c r="R203" s="107"/>
    </row>
    <row r="204" spans="1:18" ht="15" customHeight="1">
      <c r="A204" s="17" t="s">
        <v>26</v>
      </c>
      <c r="B204" s="17" t="s">
        <v>826</v>
      </c>
      <c r="C204" s="18" t="s">
        <v>1002</v>
      </c>
      <c r="D204" s="17" t="s">
        <v>28</v>
      </c>
      <c r="E204" s="17" t="s">
        <v>267</v>
      </c>
      <c r="F204" s="17" t="s">
        <v>511</v>
      </c>
      <c r="G204" s="298"/>
      <c r="H204" s="138"/>
      <c r="I204" s="138"/>
      <c r="J204" s="138"/>
      <c r="K204" s="138"/>
      <c r="L204" s="138"/>
      <c r="M204" s="138"/>
      <c r="N204" s="138"/>
      <c r="O204" s="139"/>
      <c r="P204" s="138"/>
      <c r="Q204" s="107"/>
      <c r="R204" s="107"/>
    </row>
    <row r="205" spans="1:18" ht="15" customHeight="1">
      <c r="A205" s="17" t="s">
        <v>26</v>
      </c>
      <c r="B205" s="17" t="s">
        <v>822</v>
      </c>
      <c r="C205" s="18" t="s">
        <v>564</v>
      </c>
      <c r="D205" s="17" t="s">
        <v>28</v>
      </c>
      <c r="E205" s="17" t="s">
        <v>267</v>
      </c>
      <c r="F205" s="17" t="s">
        <v>511</v>
      </c>
      <c r="G205" s="298"/>
      <c r="H205" s="138"/>
      <c r="I205" s="138"/>
      <c r="J205" s="138"/>
      <c r="K205" s="138"/>
      <c r="L205" s="138"/>
      <c r="M205" s="138"/>
      <c r="N205" s="138"/>
      <c r="O205" s="139"/>
      <c r="P205" s="138"/>
      <c r="Q205" s="107"/>
      <c r="R205" s="107"/>
    </row>
    <row r="206" spans="1:18" ht="15" customHeight="1" thickBot="1">
      <c r="A206" s="30" t="s">
        <v>26</v>
      </c>
      <c r="B206" s="30" t="s">
        <v>824</v>
      </c>
      <c r="C206" s="31" t="s">
        <v>995</v>
      </c>
      <c r="D206" s="30" t="s">
        <v>28</v>
      </c>
      <c r="E206" s="30" t="s">
        <v>288</v>
      </c>
      <c r="F206" s="30" t="s">
        <v>511</v>
      </c>
      <c r="G206" s="299"/>
      <c r="H206" s="140"/>
      <c r="I206" s="140"/>
      <c r="J206" s="140"/>
      <c r="K206" s="140"/>
      <c r="L206" s="140"/>
      <c r="M206" s="140"/>
      <c r="N206" s="140"/>
      <c r="O206" s="141"/>
      <c r="P206" s="140"/>
      <c r="Q206" s="142"/>
      <c r="R206" s="142"/>
    </row>
    <row r="207" spans="1:18" ht="17.45" customHeight="1" thickBot="1">
      <c r="A207" s="283"/>
      <c r="B207" s="284"/>
      <c r="C207" s="284"/>
      <c r="D207" s="284"/>
      <c r="E207" s="284"/>
      <c r="F207" s="284"/>
      <c r="G207" s="284"/>
      <c r="H207" s="284"/>
      <c r="I207" s="284"/>
      <c r="J207" s="284"/>
      <c r="K207" s="284"/>
      <c r="L207" s="284"/>
      <c r="M207" s="284"/>
      <c r="N207" s="284"/>
      <c r="O207" s="284"/>
      <c r="P207" s="284"/>
      <c r="Q207" s="284"/>
      <c r="R207" s="285"/>
    </row>
    <row r="208" spans="1:18" ht="22.15" customHeight="1" thickTop="1" thickBot="1">
      <c r="A208" s="279" t="s">
        <v>6</v>
      </c>
      <c r="B208" s="295"/>
      <c r="C208" s="295"/>
      <c r="D208" s="295"/>
      <c r="E208" s="295"/>
      <c r="F208" s="296"/>
      <c r="G208" s="32">
        <v>46040</v>
      </c>
      <c r="H208" s="278" t="s">
        <v>7</v>
      </c>
      <c r="I208" s="295"/>
      <c r="J208" s="295"/>
      <c r="K208" s="295"/>
      <c r="L208" s="295"/>
      <c r="M208" s="295"/>
      <c r="N208" s="295"/>
      <c r="O208" s="295"/>
      <c r="P208" s="295"/>
      <c r="Q208" s="295"/>
      <c r="R208" s="296"/>
    </row>
    <row r="209" spans="1:18" ht="24" customHeight="1">
      <c r="A209" s="33" t="s">
        <v>8</v>
      </c>
      <c r="B209" s="33" t="s">
        <v>9</v>
      </c>
      <c r="C209" s="34" t="s">
        <v>10</v>
      </c>
      <c r="D209" s="33" t="s">
        <v>11</v>
      </c>
      <c r="E209" s="33" t="s">
        <v>12</v>
      </c>
      <c r="F209" s="35" t="s">
        <v>13</v>
      </c>
      <c r="G209" s="36" t="s">
        <v>14</v>
      </c>
      <c r="H209" s="33" t="s">
        <v>15</v>
      </c>
      <c r="I209" s="37" t="s">
        <v>16</v>
      </c>
      <c r="J209" s="38" t="s">
        <v>17</v>
      </c>
      <c r="K209" s="39" t="s">
        <v>18</v>
      </c>
      <c r="L209" s="38" t="s">
        <v>19</v>
      </c>
      <c r="M209" s="38" t="s">
        <v>20</v>
      </c>
      <c r="N209" s="38" t="s">
        <v>21</v>
      </c>
      <c r="O209" s="33" t="s">
        <v>22</v>
      </c>
      <c r="P209" s="34" t="s">
        <v>23</v>
      </c>
      <c r="Q209" s="38" t="s">
        <v>24</v>
      </c>
      <c r="R209" s="33" t="s">
        <v>25</v>
      </c>
    </row>
    <row r="210" spans="1:18" ht="15" customHeight="1">
      <c r="A210" s="21" t="s">
        <v>61</v>
      </c>
      <c r="B210" s="21" t="s">
        <v>996</v>
      </c>
      <c r="C210" s="22">
        <v>0.42708333333333331</v>
      </c>
      <c r="D210" s="21" t="s">
        <v>63</v>
      </c>
      <c r="E210" s="21" t="s">
        <v>156</v>
      </c>
      <c r="F210" s="21" t="s">
        <v>997</v>
      </c>
      <c r="G210" s="297"/>
      <c r="H210" s="23" t="s">
        <v>998</v>
      </c>
      <c r="I210" s="24">
        <v>0.1229</v>
      </c>
      <c r="J210" s="25">
        <v>22</v>
      </c>
      <c r="K210" s="26">
        <v>46343</v>
      </c>
      <c r="L210" s="25">
        <v>22</v>
      </c>
      <c r="M210" s="25">
        <v>0</v>
      </c>
      <c r="N210" s="25">
        <v>0</v>
      </c>
      <c r="O210" s="27" t="s">
        <v>302</v>
      </c>
      <c r="P210" s="28">
        <v>0.42708333333333331</v>
      </c>
      <c r="Q210" s="25">
        <v>179</v>
      </c>
      <c r="R210" s="29" t="s">
        <v>1022</v>
      </c>
    </row>
    <row r="211" spans="1:18" ht="15" customHeight="1">
      <c r="A211" s="19" t="s">
        <v>68</v>
      </c>
      <c r="B211" s="19" t="s">
        <v>1000</v>
      </c>
      <c r="C211" s="20">
        <v>0.42708333333333331</v>
      </c>
      <c r="D211" s="19" t="s">
        <v>643</v>
      </c>
      <c r="E211" s="19" t="s">
        <v>29</v>
      </c>
      <c r="F211" s="19" t="s">
        <v>1001</v>
      </c>
      <c r="G211" s="298"/>
      <c r="H211" s="10"/>
      <c r="I211" s="11"/>
      <c r="J211" s="11"/>
      <c r="K211" s="11"/>
      <c r="L211" s="11"/>
      <c r="M211" s="11"/>
      <c r="N211" s="11"/>
      <c r="O211" s="12"/>
      <c r="P211" s="11"/>
      <c r="Q211" s="13"/>
      <c r="R211" s="14"/>
    </row>
    <row r="212" spans="1:18" ht="18">
      <c r="A212" s="292" t="s">
        <v>991</v>
      </c>
      <c r="B212" s="303"/>
      <c r="C212" s="303"/>
      <c r="D212" s="303"/>
      <c r="E212" s="303"/>
      <c r="F212" s="304"/>
      <c r="G212" s="298"/>
      <c r="H212" s="138"/>
      <c r="I212" s="138"/>
      <c r="J212" s="138"/>
      <c r="K212" s="138"/>
      <c r="L212" s="138"/>
      <c r="M212" s="138"/>
      <c r="N212" s="138"/>
      <c r="O212" s="139"/>
      <c r="P212" s="138"/>
      <c r="Q212" s="107"/>
      <c r="R212" s="107"/>
    </row>
    <row r="213" spans="1:18" ht="15" customHeight="1">
      <c r="A213" s="17" t="s">
        <v>38</v>
      </c>
      <c r="B213" s="17" t="s">
        <v>809</v>
      </c>
      <c r="C213" s="18" t="s">
        <v>984</v>
      </c>
      <c r="D213" s="17" t="s">
        <v>40</v>
      </c>
      <c r="E213" s="17" t="s">
        <v>268</v>
      </c>
      <c r="F213" s="17" t="s">
        <v>42</v>
      </c>
      <c r="G213" s="298"/>
      <c r="H213" s="138"/>
      <c r="I213" s="138"/>
      <c r="J213" s="138"/>
      <c r="K213" s="138"/>
      <c r="L213" s="138"/>
      <c r="M213" s="138"/>
      <c r="N213" s="138"/>
      <c r="O213" s="139"/>
      <c r="P213" s="138"/>
      <c r="Q213" s="107"/>
      <c r="R213" s="107"/>
    </row>
    <row r="214" spans="1:18" ht="15" customHeight="1">
      <c r="A214" s="17" t="s">
        <v>38</v>
      </c>
      <c r="B214" s="17" t="s">
        <v>811</v>
      </c>
      <c r="C214" s="18" t="s">
        <v>769</v>
      </c>
      <c r="D214" s="17" t="s">
        <v>40</v>
      </c>
      <c r="E214" s="17" t="s">
        <v>284</v>
      </c>
      <c r="F214" s="17" t="s">
        <v>149</v>
      </c>
      <c r="G214" s="298"/>
      <c r="H214" s="138"/>
      <c r="I214" s="138"/>
      <c r="J214" s="138"/>
      <c r="K214" s="138"/>
      <c r="L214" s="138"/>
      <c r="M214" s="138"/>
      <c r="N214" s="138"/>
      <c r="O214" s="139"/>
      <c r="P214" s="138"/>
      <c r="Q214" s="107"/>
      <c r="R214" s="107"/>
    </row>
    <row r="215" spans="1:18" ht="15" customHeight="1">
      <c r="A215" s="17" t="s">
        <v>61</v>
      </c>
      <c r="B215" s="17" t="s">
        <v>816</v>
      </c>
      <c r="C215" s="18" t="s">
        <v>978</v>
      </c>
      <c r="D215" s="17" t="s">
        <v>63</v>
      </c>
      <c r="E215" s="17" t="s">
        <v>277</v>
      </c>
      <c r="F215" s="17" t="s">
        <v>121</v>
      </c>
      <c r="G215" s="298"/>
      <c r="H215" s="138"/>
      <c r="I215" s="138"/>
      <c r="J215" s="138"/>
      <c r="K215" s="138"/>
      <c r="L215" s="138"/>
      <c r="M215" s="138"/>
      <c r="N215" s="138"/>
      <c r="O215" s="139"/>
      <c r="P215" s="138"/>
      <c r="Q215" s="107"/>
      <c r="R215" s="107"/>
    </row>
    <row r="216" spans="1:18" ht="15" customHeight="1">
      <c r="A216" s="17" t="s">
        <v>38</v>
      </c>
      <c r="B216" s="17" t="s">
        <v>812</v>
      </c>
      <c r="C216" s="18" t="s">
        <v>593</v>
      </c>
      <c r="D216" s="17" t="s">
        <v>40</v>
      </c>
      <c r="E216" s="17" t="s">
        <v>1023</v>
      </c>
      <c r="F216" s="17" t="s">
        <v>83</v>
      </c>
      <c r="G216" s="298"/>
      <c r="H216" s="138"/>
      <c r="I216" s="138"/>
      <c r="J216" s="138"/>
      <c r="K216" s="138"/>
      <c r="L216" s="138"/>
      <c r="M216" s="138"/>
      <c r="N216" s="138"/>
      <c r="O216" s="139"/>
      <c r="P216" s="138"/>
      <c r="Q216" s="107"/>
      <c r="R216" s="107"/>
    </row>
    <row r="217" spans="1:18" ht="15" customHeight="1">
      <c r="A217" s="17" t="s">
        <v>38</v>
      </c>
      <c r="B217" s="17" t="s">
        <v>813</v>
      </c>
      <c r="C217" s="18" t="s">
        <v>598</v>
      </c>
      <c r="D217" s="17" t="s">
        <v>40</v>
      </c>
      <c r="E217" s="17" t="s">
        <v>312</v>
      </c>
      <c r="F217" s="17" t="s">
        <v>33</v>
      </c>
      <c r="G217" s="298"/>
      <c r="H217" s="138"/>
      <c r="I217" s="138"/>
      <c r="J217" s="138"/>
      <c r="K217" s="138"/>
      <c r="L217" s="138"/>
      <c r="M217" s="138"/>
      <c r="N217" s="138"/>
      <c r="O217" s="139"/>
      <c r="P217" s="138"/>
      <c r="Q217" s="107"/>
      <c r="R217" s="107"/>
    </row>
    <row r="218" spans="1:18" ht="15" customHeight="1">
      <c r="A218" s="17" t="s">
        <v>359</v>
      </c>
      <c r="B218" s="17" t="s">
        <v>814</v>
      </c>
      <c r="C218" s="18" t="s">
        <v>1013</v>
      </c>
      <c r="D218" s="17" t="s">
        <v>361</v>
      </c>
      <c r="E218" s="17" t="s">
        <v>270</v>
      </c>
      <c r="F218" s="17" t="s">
        <v>863</v>
      </c>
      <c r="G218" s="298"/>
      <c r="H218" s="138"/>
      <c r="I218" s="138"/>
      <c r="J218" s="138"/>
      <c r="K218" s="138"/>
      <c r="L218" s="138"/>
      <c r="M218" s="138"/>
      <c r="N218" s="138"/>
      <c r="O218" s="139"/>
      <c r="P218" s="138"/>
      <c r="Q218" s="107"/>
      <c r="R218" s="107"/>
    </row>
    <row r="219" spans="1:18" ht="15" customHeight="1">
      <c r="A219" s="17" t="s">
        <v>38</v>
      </c>
      <c r="B219" s="17" t="s">
        <v>809</v>
      </c>
      <c r="C219" s="18" t="s">
        <v>984</v>
      </c>
      <c r="D219" s="17" t="s">
        <v>43</v>
      </c>
      <c r="E219" s="17" t="s">
        <v>268</v>
      </c>
      <c r="F219" s="17" t="s">
        <v>45</v>
      </c>
      <c r="G219" s="298"/>
      <c r="H219" s="138"/>
      <c r="I219" s="138"/>
      <c r="J219" s="138"/>
      <c r="K219" s="138"/>
      <c r="L219" s="138"/>
      <c r="M219" s="138"/>
      <c r="N219" s="138"/>
      <c r="O219" s="139"/>
      <c r="P219" s="138"/>
      <c r="Q219" s="107"/>
      <c r="R219" s="107"/>
    </row>
    <row r="220" spans="1:18" ht="15" customHeight="1">
      <c r="A220" s="17" t="s">
        <v>38</v>
      </c>
      <c r="B220" s="17" t="s">
        <v>811</v>
      </c>
      <c r="C220" s="18" t="s">
        <v>769</v>
      </c>
      <c r="D220" s="17" t="s">
        <v>43</v>
      </c>
      <c r="E220" s="17" t="s">
        <v>284</v>
      </c>
      <c r="F220" s="17" t="s">
        <v>35</v>
      </c>
      <c r="G220" s="298"/>
      <c r="H220" s="138"/>
      <c r="I220" s="138"/>
      <c r="J220" s="138"/>
      <c r="K220" s="138"/>
      <c r="L220" s="138"/>
      <c r="M220" s="138"/>
      <c r="N220" s="138"/>
      <c r="O220" s="139"/>
      <c r="P220" s="138"/>
      <c r="Q220" s="107"/>
      <c r="R220" s="107"/>
    </row>
    <row r="221" spans="1:18" ht="15" customHeight="1">
      <c r="A221" s="17" t="s">
        <v>38</v>
      </c>
      <c r="B221" s="17" t="s">
        <v>812</v>
      </c>
      <c r="C221" s="18" t="s">
        <v>593</v>
      </c>
      <c r="D221" s="17" t="s">
        <v>43</v>
      </c>
      <c r="E221" s="17" t="s">
        <v>1023</v>
      </c>
      <c r="F221" s="17" t="s">
        <v>162</v>
      </c>
      <c r="G221" s="298"/>
      <c r="H221" s="138"/>
      <c r="I221" s="138"/>
      <c r="J221" s="138"/>
      <c r="K221" s="138"/>
      <c r="L221" s="138"/>
      <c r="M221" s="138"/>
      <c r="N221" s="138"/>
      <c r="O221" s="139"/>
      <c r="P221" s="138"/>
      <c r="Q221" s="107"/>
      <c r="R221" s="107"/>
    </row>
    <row r="222" spans="1:18" ht="15" customHeight="1" thickBot="1">
      <c r="A222" s="30" t="s">
        <v>38</v>
      </c>
      <c r="B222" s="30" t="s">
        <v>813</v>
      </c>
      <c r="C222" s="31" t="s">
        <v>598</v>
      </c>
      <c r="D222" s="30" t="s">
        <v>43</v>
      </c>
      <c r="E222" s="30" t="s">
        <v>312</v>
      </c>
      <c r="F222" s="30" t="s">
        <v>926</v>
      </c>
      <c r="G222" s="299"/>
      <c r="H222" s="140"/>
      <c r="I222" s="140"/>
      <c r="J222" s="140"/>
      <c r="K222" s="140"/>
      <c r="L222" s="140"/>
      <c r="M222" s="140"/>
      <c r="N222" s="140"/>
      <c r="O222" s="141"/>
      <c r="P222" s="140"/>
      <c r="Q222" s="142"/>
      <c r="R222" s="142"/>
    </row>
    <row r="223" spans="1:18" ht="17.45" customHeight="1" thickBot="1">
      <c r="A223" s="283"/>
      <c r="B223" s="284"/>
      <c r="C223" s="284"/>
      <c r="D223" s="284"/>
      <c r="E223" s="284"/>
      <c r="F223" s="284"/>
      <c r="G223" s="284"/>
      <c r="H223" s="284"/>
      <c r="I223" s="284"/>
      <c r="J223" s="284"/>
      <c r="K223" s="284"/>
      <c r="L223" s="284"/>
      <c r="M223" s="284"/>
      <c r="N223" s="284"/>
      <c r="O223" s="284"/>
      <c r="P223" s="284"/>
      <c r="Q223" s="284"/>
      <c r="R223" s="285"/>
    </row>
    <row r="224" spans="1:18" ht="22.15" customHeight="1" thickTop="1" thickBot="1">
      <c r="A224" s="279" t="s">
        <v>6</v>
      </c>
      <c r="B224" s="295"/>
      <c r="C224" s="295"/>
      <c r="D224" s="295"/>
      <c r="E224" s="295"/>
      <c r="F224" s="296"/>
      <c r="G224" s="32">
        <v>46042</v>
      </c>
      <c r="H224" s="278" t="s">
        <v>7</v>
      </c>
      <c r="I224" s="295"/>
      <c r="J224" s="295"/>
      <c r="K224" s="295"/>
      <c r="L224" s="295"/>
      <c r="M224" s="295"/>
      <c r="N224" s="295"/>
      <c r="O224" s="295"/>
      <c r="P224" s="295"/>
      <c r="Q224" s="295"/>
      <c r="R224" s="296"/>
    </row>
    <row r="225" spans="1:18" ht="24" customHeight="1">
      <c r="A225" s="33" t="s">
        <v>8</v>
      </c>
      <c r="B225" s="33" t="s">
        <v>9</v>
      </c>
      <c r="C225" s="34" t="s">
        <v>10</v>
      </c>
      <c r="D225" s="33" t="s">
        <v>11</v>
      </c>
      <c r="E225" s="33" t="s">
        <v>12</v>
      </c>
      <c r="F225" s="35" t="s">
        <v>13</v>
      </c>
      <c r="G225" s="36" t="s">
        <v>14</v>
      </c>
      <c r="H225" s="33" t="s">
        <v>15</v>
      </c>
      <c r="I225" s="37" t="s">
        <v>16</v>
      </c>
      <c r="J225" s="38" t="s">
        <v>17</v>
      </c>
      <c r="K225" s="39" t="s">
        <v>18</v>
      </c>
      <c r="L225" s="38" t="s">
        <v>19</v>
      </c>
      <c r="M225" s="38" t="s">
        <v>20</v>
      </c>
      <c r="N225" s="38" t="s">
        <v>21</v>
      </c>
      <c r="O225" s="33" t="s">
        <v>22</v>
      </c>
      <c r="P225" s="34" t="s">
        <v>23</v>
      </c>
      <c r="Q225" s="38" t="s">
        <v>24</v>
      </c>
      <c r="R225" s="33" t="s">
        <v>25</v>
      </c>
    </row>
    <row r="226" spans="1:18" ht="15" customHeight="1">
      <c r="A226" s="40" t="s">
        <v>61</v>
      </c>
      <c r="B226" s="40" t="s">
        <v>996</v>
      </c>
      <c r="C226" s="41">
        <v>0.43055555555555558</v>
      </c>
      <c r="D226" s="40" t="s">
        <v>63</v>
      </c>
      <c r="E226" s="40" t="s">
        <v>29</v>
      </c>
      <c r="F226" s="40" t="s">
        <v>853</v>
      </c>
      <c r="G226" s="297"/>
      <c r="H226" s="42" t="s">
        <v>998</v>
      </c>
      <c r="I226" s="43">
        <v>5.5899999999999998E-2</v>
      </c>
      <c r="J226" s="44">
        <v>10</v>
      </c>
      <c r="K226" s="45">
        <v>46344</v>
      </c>
      <c r="L226" s="44">
        <v>10</v>
      </c>
      <c r="M226" s="44">
        <v>0</v>
      </c>
      <c r="N226" s="44">
        <v>0</v>
      </c>
      <c r="O226" s="46" t="s">
        <v>368</v>
      </c>
      <c r="P226" s="47">
        <v>0.43055555555555558</v>
      </c>
      <c r="Q226" s="44">
        <v>179</v>
      </c>
      <c r="R226" s="48" t="s">
        <v>1024</v>
      </c>
    </row>
    <row r="227" spans="1:18" ht="15" customHeight="1">
      <c r="A227" s="19" t="s">
        <v>26</v>
      </c>
      <c r="B227" s="19" t="s">
        <v>986</v>
      </c>
      <c r="C227" s="20">
        <v>0.3611111111111111</v>
      </c>
      <c r="D227" s="19" t="s">
        <v>987</v>
      </c>
      <c r="E227" s="19" t="s">
        <v>100</v>
      </c>
      <c r="F227" s="19" t="s">
        <v>1010</v>
      </c>
      <c r="G227" s="298"/>
      <c r="H227" s="10"/>
      <c r="I227" s="11"/>
      <c r="J227" s="11"/>
      <c r="K227" s="11"/>
      <c r="L227" s="11"/>
      <c r="M227" s="11"/>
      <c r="N227" s="11"/>
      <c r="O227" s="12"/>
      <c r="P227" s="11"/>
      <c r="Q227" s="13"/>
      <c r="R227" s="14"/>
    </row>
    <row r="228" spans="1:18" ht="15" customHeight="1">
      <c r="A228" s="15" t="s">
        <v>26</v>
      </c>
      <c r="B228" s="15" t="s">
        <v>986</v>
      </c>
      <c r="C228" s="16">
        <v>0.3611111111111111</v>
      </c>
      <c r="D228" s="15" t="s">
        <v>31</v>
      </c>
      <c r="E228" s="15" t="s">
        <v>115</v>
      </c>
      <c r="F228" s="15" t="s">
        <v>488</v>
      </c>
      <c r="G228" s="298"/>
      <c r="H228" s="10"/>
      <c r="I228" s="11"/>
      <c r="J228" s="11"/>
      <c r="K228" s="11"/>
      <c r="L228" s="11"/>
      <c r="M228" s="11"/>
      <c r="N228" s="11"/>
      <c r="O228" s="12"/>
      <c r="P228" s="11"/>
      <c r="Q228" s="13"/>
      <c r="R228" s="14"/>
    </row>
    <row r="229" spans="1:18" ht="15" customHeight="1">
      <c r="A229" s="15" t="s">
        <v>26</v>
      </c>
      <c r="B229" s="15" t="s">
        <v>986</v>
      </c>
      <c r="C229" s="16">
        <v>0.3611111111111111</v>
      </c>
      <c r="D229" s="15" t="s">
        <v>34</v>
      </c>
      <c r="E229" s="15" t="s">
        <v>115</v>
      </c>
      <c r="F229" s="15" t="s">
        <v>1011</v>
      </c>
      <c r="G229" s="298"/>
      <c r="H229" s="10"/>
      <c r="I229" s="11"/>
      <c r="J229" s="11"/>
      <c r="K229" s="11"/>
      <c r="L229" s="11"/>
      <c r="M229" s="11"/>
      <c r="N229" s="11"/>
      <c r="O229" s="12"/>
      <c r="P229" s="11"/>
      <c r="Q229" s="13"/>
      <c r="R229" s="14"/>
    </row>
    <row r="230" spans="1:18" ht="15" customHeight="1">
      <c r="A230" s="19" t="s">
        <v>68</v>
      </c>
      <c r="B230" s="19" t="s">
        <v>1000</v>
      </c>
      <c r="C230" s="20">
        <v>0.43055555555555558</v>
      </c>
      <c r="D230" s="19" t="s">
        <v>643</v>
      </c>
      <c r="E230" s="19" t="s">
        <v>29</v>
      </c>
      <c r="F230" s="19" t="s">
        <v>1001</v>
      </c>
      <c r="G230" s="298"/>
      <c r="H230" s="10"/>
      <c r="I230" s="11"/>
      <c r="J230" s="11"/>
      <c r="K230" s="11"/>
      <c r="L230" s="11"/>
      <c r="M230" s="11"/>
      <c r="N230" s="11"/>
      <c r="O230" s="12"/>
      <c r="P230" s="11"/>
      <c r="Q230" s="13"/>
      <c r="R230" s="14"/>
    </row>
    <row r="231" spans="1:18" ht="18">
      <c r="A231" s="292" t="s">
        <v>991</v>
      </c>
      <c r="B231" s="303"/>
      <c r="C231" s="303"/>
      <c r="D231" s="303"/>
      <c r="E231" s="303"/>
      <c r="F231" s="304"/>
      <c r="G231" s="298"/>
      <c r="H231" s="138"/>
      <c r="I231" s="138"/>
      <c r="J231" s="138"/>
      <c r="K231" s="138"/>
      <c r="L231" s="138"/>
      <c r="M231" s="138"/>
      <c r="N231" s="138"/>
      <c r="O231" s="139"/>
      <c r="P231" s="138"/>
      <c r="Q231" s="107"/>
      <c r="R231" s="107"/>
    </row>
    <row r="232" spans="1:18" ht="15" customHeight="1">
      <c r="A232" s="17" t="s">
        <v>38</v>
      </c>
      <c r="B232" s="17" t="s">
        <v>809</v>
      </c>
      <c r="C232" s="18" t="s">
        <v>984</v>
      </c>
      <c r="D232" s="17" t="s">
        <v>40</v>
      </c>
      <c r="E232" s="17" t="s">
        <v>332</v>
      </c>
      <c r="F232" s="17" t="s">
        <v>475</v>
      </c>
      <c r="G232" s="298"/>
      <c r="H232" s="138"/>
      <c r="I232" s="138"/>
      <c r="J232" s="138"/>
      <c r="K232" s="138"/>
      <c r="L232" s="138"/>
      <c r="M232" s="138"/>
      <c r="N232" s="138"/>
      <c r="O232" s="139"/>
      <c r="P232" s="138"/>
      <c r="Q232" s="107"/>
      <c r="R232" s="107"/>
    </row>
    <row r="233" spans="1:18" ht="15" customHeight="1">
      <c r="A233" s="17" t="s">
        <v>38</v>
      </c>
      <c r="B233" s="17" t="s">
        <v>811</v>
      </c>
      <c r="C233" s="18" t="s">
        <v>769</v>
      </c>
      <c r="D233" s="17" t="s">
        <v>40</v>
      </c>
      <c r="E233" s="17" t="s">
        <v>284</v>
      </c>
      <c r="F233" s="17" t="s">
        <v>475</v>
      </c>
      <c r="G233" s="298"/>
      <c r="H233" s="138"/>
      <c r="I233" s="138"/>
      <c r="J233" s="138"/>
      <c r="K233" s="138"/>
      <c r="L233" s="138"/>
      <c r="M233" s="138"/>
      <c r="N233" s="138"/>
      <c r="O233" s="139"/>
      <c r="P233" s="138"/>
      <c r="Q233" s="107"/>
      <c r="R233" s="107"/>
    </row>
    <row r="234" spans="1:18" ht="15" customHeight="1">
      <c r="A234" s="17" t="s">
        <v>38</v>
      </c>
      <c r="B234" s="17" t="s">
        <v>812</v>
      </c>
      <c r="C234" s="18" t="s">
        <v>593</v>
      </c>
      <c r="D234" s="17" t="s">
        <v>40</v>
      </c>
      <c r="E234" s="17" t="s">
        <v>268</v>
      </c>
      <c r="F234" s="17" t="s">
        <v>872</v>
      </c>
      <c r="G234" s="298"/>
      <c r="H234" s="138"/>
      <c r="I234" s="138"/>
      <c r="J234" s="138"/>
      <c r="K234" s="138"/>
      <c r="L234" s="138"/>
      <c r="M234" s="138"/>
      <c r="N234" s="138"/>
      <c r="O234" s="139"/>
      <c r="P234" s="138"/>
      <c r="Q234" s="107"/>
      <c r="R234" s="107"/>
    </row>
    <row r="235" spans="1:18" ht="15" customHeight="1">
      <c r="A235" s="17" t="s">
        <v>38</v>
      </c>
      <c r="B235" s="17" t="s">
        <v>813</v>
      </c>
      <c r="C235" s="18" t="s">
        <v>598</v>
      </c>
      <c r="D235" s="17" t="s">
        <v>40</v>
      </c>
      <c r="E235" s="17" t="s">
        <v>284</v>
      </c>
      <c r="F235" s="17" t="s">
        <v>872</v>
      </c>
      <c r="G235" s="298"/>
      <c r="H235" s="138"/>
      <c r="I235" s="138"/>
      <c r="J235" s="138"/>
      <c r="K235" s="138"/>
      <c r="L235" s="138"/>
      <c r="M235" s="138"/>
      <c r="N235" s="138"/>
      <c r="O235" s="139"/>
      <c r="P235" s="138"/>
      <c r="Q235" s="107"/>
      <c r="R235" s="107"/>
    </row>
    <row r="236" spans="1:18" ht="15" customHeight="1">
      <c r="A236" s="17" t="s">
        <v>68</v>
      </c>
      <c r="B236" s="17" t="s">
        <v>842</v>
      </c>
      <c r="C236" s="18" t="s">
        <v>1009</v>
      </c>
      <c r="D236" s="17" t="s">
        <v>643</v>
      </c>
      <c r="E236" s="17" t="s">
        <v>636</v>
      </c>
      <c r="F236" s="17" t="s">
        <v>891</v>
      </c>
      <c r="G236" s="298"/>
      <c r="H236" s="138"/>
      <c r="I236" s="138"/>
      <c r="J236" s="138"/>
      <c r="K236" s="138"/>
      <c r="L236" s="138"/>
      <c r="M236" s="138"/>
      <c r="N236" s="138"/>
      <c r="O236" s="139"/>
      <c r="P236" s="138"/>
      <c r="Q236" s="107"/>
      <c r="R236" s="107"/>
    </row>
    <row r="237" spans="1:18" ht="15" customHeight="1">
      <c r="A237" s="17" t="s">
        <v>26</v>
      </c>
      <c r="B237" s="17" t="s">
        <v>820</v>
      </c>
      <c r="C237" s="18" t="s">
        <v>563</v>
      </c>
      <c r="D237" s="17" t="s">
        <v>28</v>
      </c>
      <c r="E237" s="17" t="s">
        <v>270</v>
      </c>
      <c r="F237" s="17" t="s">
        <v>81</v>
      </c>
      <c r="G237" s="298"/>
      <c r="H237" s="138"/>
      <c r="I237" s="138"/>
      <c r="J237" s="138"/>
      <c r="K237" s="138"/>
      <c r="L237" s="138"/>
      <c r="M237" s="138"/>
      <c r="N237" s="138"/>
      <c r="O237" s="139"/>
      <c r="P237" s="138"/>
      <c r="Q237" s="107"/>
      <c r="R237" s="107"/>
    </row>
    <row r="238" spans="1:18" ht="15" customHeight="1">
      <c r="A238" s="17" t="s">
        <v>26</v>
      </c>
      <c r="B238" s="17" t="s">
        <v>826</v>
      </c>
      <c r="C238" s="18" t="s">
        <v>1002</v>
      </c>
      <c r="D238" s="17" t="s">
        <v>28</v>
      </c>
      <c r="E238" s="17" t="s">
        <v>270</v>
      </c>
      <c r="F238" s="17" t="s">
        <v>81</v>
      </c>
      <c r="G238" s="298"/>
      <c r="H238" s="138"/>
      <c r="I238" s="138"/>
      <c r="J238" s="138"/>
      <c r="K238" s="138"/>
      <c r="L238" s="138"/>
      <c r="M238" s="138"/>
      <c r="N238" s="138"/>
      <c r="O238" s="139"/>
      <c r="P238" s="138"/>
      <c r="Q238" s="107"/>
      <c r="R238" s="107"/>
    </row>
    <row r="239" spans="1:18" ht="15" customHeight="1">
      <c r="A239" s="17" t="s">
        <v>26</v>
      </c>
      <c r="B239" s="17" t="s">
        <v>821</v>
      </c>
      <c r="C239" s="18" t="s">
        <v>703</v>
      </c>
      <c r="D239" s="17" t="s">
        <v>28</v>
      </c>
      <c r="E239" s="17" t="s">
        <v>270</v>
      </c>
      <c r="F239" s="17" t="s">
        <v>81</v>
      </c>
      <c r="G239" s="298"/>
      <c r="H239" s="138"/>
      <c r="I239" s="138"/>
      <c r="J239" s="138"/>
      <c r="K239" s="138"/>
      <c r="L239" s="138"/>
      <c r="M239" s="138"/>
      <c r="N239" s="138"/>
      <c r="O239" s="139"/>
      <c r="P239" s="138"/>
      <c r="Q239" s="107"/>
      <c r="R239" s="107"/>
    </row>
    <row r="240" spans="1:18" ht="15" customHeight="1">
      <c r="A240" s="17" t="s">
        <v>26</v>
      </c>
      <c r="B240" s="17" t="s">
        <v>822</v>
      </c>
      <c r="C240" s="18" t="s">
        <v>564</v>
      </c>
      <c r="D240" s="17" t="s">
        <v>28</v>
      </c>
      <c r="E240" s="17" t="s">
        <v>270</v>
      </c>
      <c r="F240" s="17" t="s">
        <v>81</v>
      </c>
      <c r="G240" s="298"/>
      <c r="H240" s="138"/>
      <c r="I240" s="138"/>
      <c r="J240" s="138"/>
      <c r="K240" s="138"/>
      <c r="L240" s="138"/>
      <c r="M240" s="138"/>
      <c r="N240" s="138"/>
      <c r="O240" s="139"/>
      <c r="P240" s="138"/>
      <c r="Q240" s="107"/>
      <c r="R240" s="107"/>
    </row>
    <row r="241" spans="1:18" ht="15" customHeight="1" thickBot="1">
      <c r="A241" s="30" t="s">
        <v>26</v>
      </c>
      <c r="B241" s="30" t="s">
        <v>824</v>
      </c>
      <c r="C241" s="31" t="s">
        <v>995</v>
      </c>
      <c r="D241" s="30" t="s">
        <v>28</v>
      </c>
      <c r="E241" s="30" t="s">
        <v>270</v>
      </c>
      <c r="F241" s="30" t="s">
        <v>81</v>
      </c>
      <c r="G241" s="299"/>
      <c r="H241" s="140"/>
      <c r="I241" s="140"/>
      <c r="J241" s="140"/>
      <c r="K241" s="140"/>
      <c r="L241" s="140"/>
      <c r="M241" s="140"/>
      <c r="N241" s="140"/>
      <c r="O241" s="141"/>
      <c r="P241" s="140"/>
      <c r="Q241" s="142"/>
      <c r="R241" s="142"/>
    </row>
    <row r="242" spans="1:18" ht="17.45" customHeight="1" thickBot="1">
      <c r="A242" s="283"/>
      <c r="B242" s="284"/>
      <c r="C242" s="284"/>
      <c r="D242" s="284"/>
      <c r="E242" s="284"/>
      <c r="F242" s="284"/>
      <c r="G242" s="284"/>
      <c r="H242" s="284"/>
      <c r="I242" s="284"/>
      <c r="J242" s="284"/>
      <c r="K242" s="284"/>
      <c r="L242" s="284"/>
      <c r="M242" s="284"/>
      <c r="N242" s="284"/>
      <c r="O242" s="284"/>
      <c r="P242" s="284"/>
      <c r="Q242" s="284"/>
      <c r="R242" s="285"/>
    </row>
    <row r="243" spans="1:18" ht="22.15" customHeight="1" thickTop="1" thickBot="1">
      <c r="A243" s="279" t="s">
        <v>6</v>
      </c>
      <c r="B243" s="295"/>
      <c r="C243" s="295"/>
      <c r="D243" s="295"/>
      <c r="E243" s="295"/>
      <c r="F243" s="296"/>
      <c r="G243" s="32">
        <v>46043</v>
      </c>
      <c r="H243" s="278" t="s">
        <v>7</v>
      </c>
      <c r="I243" s="295"/>
      <c r="J243" s="295"/>
      <c r="K243" s="295"/>
      <c r="L243" s="295"/>
      <c r="M243" s="295"/>
      <c r="N243" s="295"/>
      <c r="O243" s="295"/>
      <c r="P243" s="295"/>
      <c r="Q243" s="295"/>
      <c r="R243" s="296"/>
    </row>
    <row r="244" spans="1:18" ht="24" customHeight="1">
      <c r="A244" s="33" t="s">
        <v>8</v>
      </c>
      <c r="B244" s="33" t="s">
        <v>9</v>
      </c>
      <c r="C244" s="34" t="s">
        <v>10</v>
      </c>
      <c r="D244" s="33" t="s">
        <v>11</v>
      </c>
      <c r="E244" s="33" t="s">
        <v>12</v>
      </c>
      <c r="F244" s="35" t="s">
        <v>13</v>
      </c>
      <c r="G244" s="36" t="s">
        <v>14</v>
      </c>
      <c r="H244" s="33" t="s">
        <v>15</v>
      </c>
      <c r="I244" s="37" t="s">
        <v>16</v>
      </c>
      <c r="J244" s="38" t="s">
        <v>17</v>
      </c>
      <c r="K244" s="39" t="s">
        <v>18</v>
      </c>
      <c r="L244" s="38" t="s">
        <v>19</v>
      </c>
      <c r="M244" s="38" t="s">
        <v>20</v>
      </c>
      <c r="N244" s="38" t="s">
        <v>21</v>
      </c>
      <c r="O244" s="33" t="s">
        <v>22</v>
      </c>
      <c r="P244" s="34" t="s">
        <v>23</v>
      </c>
      <c r="Q244" s="38" t="s">
        <v>24</v>
      </c>
      <c r="R244" s="33" t="s">
        <v>25</v>
      </c>
    </row>
    <row r="245" spans="1:18" ht="15" customHeight="1">
      <c r="A245" s="78" t="s">
        <v>61</v>
      </c>
      <c r="B245" s="78" t="s">
        <v>1005</v>
      </c>
      <c r="C245" s="79">
        <v>0.40625</v>
      </c>
      <c r="D245" s="78" t="s">
        <v>63</v>
      </c>
      <c r="E245" s="78" t="s">
        <v>156</v>
      </c>
      <c r="F245" s="78" t="s">
        <v>853</v>
      </c>
      <c r="G245" s="297"/>
      <c r="H245" s="80" t="s">
        <v>1006</v>
      </c>
      <c r="I245" s="81">
        <v>7.2599999999999998E-2</v>
      </c>
      <c r="J245" s="82">
        <v>13</v>
      </c>
      <c r="K245" s="83">
        <v>46341</v>
      </c>
      <c r="L245" s="82">
        <v>13</v>
      </c>
      <c r="M245" s="82">
        <v>0</v>
      </c>
      <c r="N245" s="82">
        <v>0</v>
      </c>
      <c r="O245" s="84" t="s">
        <v>430</v>
      </c>
      <c r="P245" s="85">
        <v>0.40625</v>
      </c>
      <c r="Q245" s="82">
        <v>179</v>
      </c>
      <c r="R245" s="86" t="s">
        <v>1025</v>
      </c>
    </row>
    <row r="246" spans="1:18" ht="15" customHeight="1">
      <c r="A246" s="19" t="s">
        <v>68</v>
      </c>
      <c r="B246" s="19" t="s">
        <v>1008</v>
      </c>
      <c r="C246" s="20">
        <v>0.40625</v>
      </c>
      <c r="D246" s="19" t="s">
        <v>643</v>
      </c>
      <c r="E246" s="19" t="s">
        <v>29</v>
      </c>
      <c r="F246" s="19" t="s">
        <v>1001</v>
      </c>
      <c r="G246" s="298"/>
      <c r="H246" s="10"/>
      <c r="I246" s="11"/>
      <c r="J246" s="11"/>
      <c r="K246" s="11"/>
      <c r="L246" s="11"/>
      <c r="M246" s="11"/>
      <c r="N246" s="11"/>
      <c r="O246" s="12"/>
      <c r="P246" s="11"/>
      <c r="Q246" s="13"/>
      <c r="R246" s="14"/>
    </row>
    <row r="247" spans="1:18" ht="18">
      <c r="A247" s="292" t="s">
        <v>991</v>
      </c>
      <c r="B247" s="303"/>
      <c r="C247" s="303"/>
      <c r="D247" s="303"/>
      <c r="E247" s="303"/>
      <c r="F247" s="304"/>
      <c r="G247" s="298"/>
      <c r="H247" s="138"/>
      <c r="I247" s="138"/>
      <c r="J247" s="138"/>
      <c r="K247" s="138"/>
      <c r="L247" s="138"/>
      <c r="M247" s="138"/>
      <c r="N247" s="138"/>
      <c r="O247" s="139"/>
      <c r="P247" s="138"/>
      <c r="Q247" s="107"/>
      <c r="R247" s="107"/>
    </row>
    <row r="248" spans="1:18" ht="15" customHeight="1">
      <c r="A248" s="17" t="s">
        <v>38</v>
      </c>
      <c r="B248" s="17" t="s">
        <v>809</v>
      </c>
      <c r="C248" s="18" t="s">
        <v>984</v>
      </c>
      <c r="D248" s="17" t="s">
        <v>40</v>
      </c>
      <c r="E248" s="17" t="s">
        <v>295</v>
      </c>
      <c r="F248" s="17" t="s">
        <v>475</v>
      </c>
      <c r="G248" s="298"/>
      <c r="H248" s="138"/>
      <c r="I248" s="138"/>
      <c r="J248" s="138"/>
      <c r="K248" s="138"/>
      <c r="L248" s="138"/>
      <c r="M248" s="138"/>
      <c r="N248" s="138"/>
      <c r="O248" s="139"/>
      <c r="P248" s="138"/>
      <c r="Q248" s="107"/>
      <c r="R248" s="107"/>
    </row>
    <row r="249" spans="1:18" ht="15" customHeight="1">
      <c r="A249" s="17" t="s">
        <v>38</v>
      </c>
      <c r="B249" s="17" t="s">
        <v>811</v>
      </c>
      <c r="C249" s="18" t="s">
        <v>769</v>
      </c>
      <c r="D249" s="17" t="s">
        <v>40</v>
      </c>
      <c r="E249" s="17" t="s">
        <v>312</v>
      </c>
      <c r="F249" s="17" t="s">
        <v>475</v>
      </c>
      <c r="G249" s="298"/>
      <c r="H249" s="138"/>
      <c r="I249" s="138"/>
      <c r="J249" s="138"/>
      <c r="K249" s="138"/>
      <c r="L249" s="138"/>
      <c r="M249" s="138"/>
      <c r="N249" s="138"/>
      <c r="O249" s="139"/>
      <c r="P249" s="138"/>
      <c r="Q249" s="107"/>
      <c r="R249" s="107"/>
    </row>
    <row r="250" spans="1:18" ht="15" customHeight="1">
      <c r="A250" s="17" t="s">
        <v>38</v>
      </c>
      <c r="B250" s="17" t="s">
        <v>812</v>
      </c>
      <c r="C250" s="18" t="s">
        <v>593</v>
      </c>
      <c r="D250" s="17" t="s">
        <v>40</v>
      </c>
      <c r="E250" s="17" t="s">
        <v>284</v>
      </c>
      <c r="F250" s="17" t="s">
        <v>872</v>
      </c>
      <c r="G250" s="298"/>
      <c r="H250" s="138"/>
      <c r="I250" s="138"/>
      <c r="J250" s="138"/>
      <c r="K250" s="138"/>
      <c r="L250" s="138"/>
      <c r="M250" s="138"/>
      <c r="N250" s="138"/>
      <c r="O250" s="139"/>
      <c r="P250" s="138"/>
      <c r="Q250" s="107"/>
      <c r="R250" s="107"/>
    </row>
    <row r="251" spans="1:18" ht="15" customHeight="1">
      <c r="A251" s="17" t="s">
        <v>38</v>
      </c>
      <c r="B251" s="17" t="s">
        <v>813</v>
      </c>
      <c r="C251" s="18" t="s">
        <v>598</v>
      </c>
      <c r="D251" s="17" t="s">
        <v>40</v>
      </c>
      <c r="E251" s="17" t="s">
        <v>268</v>
      </c>
      <c r="F251" s="17" t="s">
        <v>872</v>
      </c>
      <c r="G251" s="298"/>
      <c r="H251" s="138"/>
      <c r="I251" s="138"/>
      <c r="J251" s="138"/>
      <c r="K251" s="138"/>
      <c r="L251" s="138"/>
      <c r="M251" s="138"/>
      <c r="N251" s="138"/>
      <c r="O251" s="139"/>
      <c r="P251" s="138"/>
      <c r="Q251" s="107"/>
      <c r="R251" s="107"/>
    </row>
    <row r="252" spans="1:18" ht="15" customHeight="1">
      <c r="A252" s="17" t="s">
        <v>68</v>
      </c>
      <c r="B252" s="17" t="s">
        <v>842</v>
      </c>
      <c r="C252" s="18" t="s">
        <v>1009</v>
      </c>
      <c r="D252" s="17" t="s">
        <v>643</v>
      </c>
      <c r="E252" s="17" t="s">
        <v>269</v>
      </c>
      <c r="F252" s="17" t="s">
        <v>891</v>
      </c>
      <c r="G252" s="298"/>
      <c r="H252" s="138"/>
      <c r="I252" s="138"/>
      <c r="J252" s="138"/>
      <c r="K252" s="138"/>
      <c r="L252" s="138"/>
      <c r="M252" s="138"/>
      <c r="N252" s="138"/>
      <c r="O252" s="139"/>
      <c r="P252" s="138"/>
      <c r="Q252" s="107"/>
      <c r="R252" s="107"/>
    </row>
    <row r="253" spans="1:18" ht="15" customHeight="1">
      <c r="A253" s="17" t="s">
        <v>68</v>
      </c>
      <c r="B253" s="17" t="s">
        <v>843</v>
      </c>
      <c r="C253" s="18" t="s">
        <v>258</v>
      </c>
      <c r="D253" s="17" t="s">
        <v>643</v>
      </c>
      <c r="E253" s="17" t="s">
        <v>269</v>
      </c>
      <c r="F253" s="17" t="s">
        <v>891</v>
      </c>
      <c r="G253" s="298"/>
      <c r="H253" s="138"/>
      <c r="I253" s="138"/>
      <c r="J253" s="138"/>
      <c r="K253" s="138"/>
      <c r="L253" s="138"/>
      <c r="M253" s="138"/>
      <c r="N253" s="138"/>
      <c r="O253" s="139"/>
      <c r="P253" s="138"/>
      <c r="Q253" s="107"/>
      <c r="R253" s="107"/>
    </row>
    <row r="254" spans="1:18" ht="15" customHeight="1">
      <c r="A254" s="17" t="s">
        <v>26</v>
      </c>
      <c r="B254" s="17" t="s">
        <v>820</v>
      </c>
      <c r="C254" s="18" t="s">
        <v>563</v>
      </c>
      <c r="D254" s="17" t="s">
        <v>28</v>
      </c>
      <c r="E254" s="17" t="s">
        <v>270</v>
      </c>
      <c r="F254" s="17" t="s">
        <v>81</v>
      </c>
      <c r="G254" s="298"/>
      <c r="H254" s="138"/>
      <c r="I254" s="138"/>
      <c r="J254" s="138"/>
      <c r="K254" s="138"/>
      <c r="L254" s="138"/>
      <c r="M254" s="138"/>
      <c r="N254" s="138"/>
      <c r="O254" s="139"/>
      <c r="P254" s="138"/>
      <c r="Q254" s="107"/>
      <c r="R254" s="107"/>
    </row>
    <row r="255" spans="1:18" ht="15" customHeight="1">
      <c r="A255" s="17" t="s">
        <v>26</v>
      </c>
      <c r="B255" s="17" t="s">
        <v>826</v>
      </c>
      <c r="C255" s="18" t="s">
        <v>1002</v>
      </c>
      <c r="D255" s="17" t="s">
        <v>28</v>
      </c>
      <c r="E255" s="17" t="s">
        <v>270</v>
      </c>
      <c r="F255" s="17" t="s">
        <v>81</v>
      </c>
      <c r="G255" s="298"/>
      <c r="H255" s="138"/>
      <c r="I255" s="138"/>
      <c r="J255" s="138"/>
      <c r="K255" s="138"/>
      <c r="L255" s="138"/>
      <c r="M255" s="138"/>
      <c r="N255" s="138"/>
      <c r="O255" s="139"/>
      <c r="P255" s="138"/>
      <c r="Q255" s="107"/>
      <c r="R255" s="107"/>
    </row>
    <row r="256" spans="1:18" ht="15" customHeight="1">
      <c r="A256" s="17" t="s">
        <v>26</v>
      </c>
      <c r="B256" s="17" t="s">
        <v>821</v>
      </c>
      <c r="C256" s="18" t="s">
        <v>703</v>
      </c>
      <c r="D256" s="17" t="s">
        <v>28</v>
      </c>
      <c r="E256" s="17" t="s">
        <v>270</v>
      </c>
      <c r="F256" s="17" t="s">
        <v>81</v>
      </c>
      <c r="G256" s="298"/>
      <c r="H256" s="138"/>
      <c r="I256" s="138"/>
      <c r="J256" s="138"/>
      <c r="K256" s="138"/>
      <c r="L256" s="138"/>
      <c r="M256" s="138"/>
      <c r="N256" s="138"/>
      <c r="O256" s="139"/>
      <c r="P256" s="138"/>
      <c r="Q256" s="107"/>
      <c r="R256" s="107"/>
    </row>
    <row r="257" spans="1:18" ht="15" customHeight="1" thickBot="1">
      <c r="A257" s="30" t="s">
        <v>26</v>
      </c>
      <c r="B257" s="30" t="s">
        <v>822</v>
      </c>
      <c r="C257" s="31" t="s">
        <v>564</v>
      </c>
      <c r="D257" s="30" t="s">
        <v>28</v>
      </c>
      <c r="E257" s="30" t="s">
        <v>270</v>
      </c>
      <c r="F257" s="30" t="s">
        <v>81</v>
      </c>
      <c r="G257" s="299"/>
      <c r="H257" s="140"/>
      <c r="I257" s="140"/>
      <c r="J257" s="140"/>
      <c r="K257" s="140"/>
      <c r="L257" s="140"/>
      <c r="M257" s="140"/>
      <c r="N257" s="140"/>
      <c r="O257" s="141"/>
      <c r="P257" s="140"/>
      <c r="Q257" s="142"/>
      <c r="R257" s="142"/>
    </row>
    <row r="258" spans="1:18" ht="17.45" customHeight="1" thickBot="1">
      <c r="A258" s="283"/>
      <c r="B258" s="284"/>
      <c r="C258" s="284"/>
      <c r="D258" s="284"/>
      <c r="E258" s="284"/>
      <c r="F258" s="284"/>
      <c r="G258" s="284"/>
      <c r="H258" s="284"/>
      <c r="I258" s="284"/>
      <c r="J258" s="284"/>
      <c r="K258" s="284"/>
      <c r="L258" s="284"/>
      <c r="M258" s="284"/>
      <c r="N258" s="284"/>
      <c r="O258" s="284"/>
      <c r="P258" s="284"/>
      <c r="Q258" s="284"/>
      <c r="R258" s="285"/>
    </row>
    <row r="259" spans="1:18" ht="22.15" customHeight="1" thickTop="1" thickBot="1">
      <c r="A259" s="279" t="s">
        <v>6</v>
      </c>
      <c r="B259" s="295"/>
      <c r="C259" s="295"/>
      <c r="D259" s="295"/>
      <c r="E259" s="295"/>
      <c r="F259" s="296"/>
      <c r="G259" s="32">
        <v>46044</v>
      </c>
      <c r="H259" s="278" t="s">
        <v>7</v>
      </c>
      <c r="I259" s="295"/>
      <c r="J259" s="295"/>
      <c r="K259" s="295"/>
      <c r="L259" s="295"/>
      <c r="M259" s="295"/>
      <c r="N259" s="295"/>
      <c r="O259" s="295"/>
      <c r="P259" s="295"/>
      <c r="Q259" s="295"/>
      <c r="R259" s="296"/>
    </row>
    <row r="260" spans="1:18" ht="24" customHeight="1">
      <c r="A260" s="33" t="s">
        <v>8</v>
      </c>
      <c r="B260" s="33" t="s">
        <v>9</v>
      </c>
      <c r="C260" s="34" t="s">
        <v>10</v>
      </c>
      <c r="D260" s="33" t="s">
        <v>11</v>
      </c>
      <c r="E260" s="33" t="s">
        <v>12</v>
      </c>
      <c r="F260" s="35" t="s">
        <v>13</v>
      </c>
      <c r="G260" s="36" t="s">
        <v>14</v>
      </c>
      <c r="H260" s="33" t="s">
        <v>15</v>
      </c>
      <c r="I260" s="37" t="s">
        <v>16</v>
      </c>
      <c r="J260" s="38" t="s">
        <v>17</v>
      </c>
      <c r="K260" s="39" t="s">
        <v>18</v>
      </c>
      <c r="L260" s="38" t="s">
        <v>19</v>
      </c>
      <c r="M260" s="38" t="s">
        <v>20</v>
      </c>
      <c r="N260" s="38" t="s">
        <v>21</v>
      </c>
      <c r="O260" s="33" t="s">
        <v>22</v>
      </c>
      <c r="P260" s="34" t="s">
        <v>23</v>
      </c>
      <c r="Q260" s="38" t="s">
        <v>24</v>
      </c>
      <c r="R260" s="33" t="s">
        <v>25</v>
      </c>
    </row>
    <row r="261" spans="1:18" ht="15" customHeight="1">
      <c r="A261" s="8" t="s">
        <v>26</v>
      </c>
      <c r="B261" s="8" t="s">
        <v>986</v>
      </c>
      <c r="C261" s="9">
        <v>0.3611111111111111</v>
      </c>
      <c r="D261" s="8" t="s">
        <v>987</v>
      </c>
      <c r="E261" s="8" t="s">
        <v>100</v>
      </c>
      <c r="F261" s="8" t="s">
        <v>988</v>
      </c>
      <c r="G261" s="297"/>
      <c r="H261" s="10"/>
      <c r="I261" s="11"/>
      <c r="J261" s="11"/>
      <c r="K261" s="11"/>
      <c r="L261" s="11"/>
      <c r="M261" s="11"/>
      <c r="N261" s="11"/>
      <c r="O261" s="12"/>
      <c r="P261" s="11"/>
      <c r="Q261" s="13"/>
      <c r="R261" s="14"/>
    </row>
    <row r="262" spans="1:18" ht="15" customHeight="1">
      <c r="A262" s="15" t="s">
        <v>26</v>
      </c>
      <c r="B262" s="15" t="s">
        <v>986</v>
      </c>
      <c r="C262" s="16">
        <v>0.3611111111111111</v>
      </c>
      <c r="D262" s="15" t="s">
        <v>31</v>
      </c>
      <c r="E262" s="15" t="s">
        <v>115</v>
      </c>
      <c r="F262" s="15" t="s">
        <v>989</v>
      </c>
      <c r="G262" s="298"/>
      <c r="H262" s="10"/>
      <c r="I262" s="11"/>
      <c r="J262" s="11"/>
      <c r="K262" s="11"/>
      <c r="L262" s="11"/>
      <c r="M262" s="11"/>
      <c r="N262" s="11"/>
      <c r="O262" s="12"/>
      <c r="P262" s="11"/>
      <c r="Q262" s="13"/>
      <c r="R262" s="14"/>
    </row>
    <row r="263" spans="1:18" ht="15" customHeight="1">
      <c r="A263" s="15" t="s">
        <v>26</v>
      </c>
      <c r="B263" s="15" t="s">
        <v>986</v>
      </c>
      <c r="C263" s="16">
        <v>0.3611111111111111</v>
      </c>
      <c r="D263" s="15" t="s">
        <v>34</v>
      </c>
      <c r="E263" s="15" t="s">
        <v>115</v>
      </c>
      <c r="F263" s="15" t="s">
        <v>990</v>
      </c>
      <c r="G263" s="298"/>
      <c r="H263" s="10"/>
      <c r="I263" s="11"/>
      <c r="J263" s="11"/>
      <c r="K263" s="11"/>
      <c r="L263" s="11"/>
      <c r="M263" s="11"/>
      <c r="N263" s="11"/>
      <c r="O263" s="12"/>
      <c r="P263" s="11"/>
      <c r="Q263" s="13"/>
      <c r="R263" s="14"/>
    </row>
    <row r="264" spans="1:18" ht="18">
      <c r="A264" s="292" t="s">
        <v>991</v>
      </c>
      <c r="B264" s="303"/>
      <c r="C264" s="303"/>
      <c r="D264" s="303"/>
      <c r="E264" s="303"/>
      <c r="F264" s="304"/>
      <c r="G264" s="298"/>
      <c r="H264" s="138"/>
      <c r="I264" s="138"/>
      <c r="J264" s="138"/>
      <c r="K264" s="138"/>
      <c r="L264" s="138"/>
      <c r="M264" s="138"/>
      <c r="N264" s="138"/>
      <c r="O264" s="139"/>
      <c r="P264" s="138"/>
      <c r="Q264" s="107"/>
      <c r="R264" s="107"/>
    </row>
    <row r="265" spans="1:18" ht="15" customHeight="1">
      <c r="A265" s="17" t="s">
        <v>38</v>
      </c>
      <c r="B265" s="17" t="s">
        <v>809</v>
      </c>
      <c r="C265" s="18" t="s">
        <v>984</v>
      </c>
      <c r="D265" s="17" t="s">
        <v>40</v>
      </c>
      <c r="E265" s="17" t="s">
        <v>288</v>
      </c>
      <c r="F265" s="17" t="s">
        <v>475</v>
      </c>
      <c r="G265" s="298"/>
      <c r="H265" s="138"/>
      <c r="I265" s="138"/>
      <c r="J265" s="138"/>
      <c r="K265" s="138"/>
      <c r="L265" s="138"/>
      <c r="M265" s="138"/>
      <c r="N265" s="138"/>
      <c r="O265" s="139"/>
      <c r="P265" s="138"/>
      <c r="Q265" s="107"/>
      <c r="R265" s="107"/>
    </row>
    <row r="266" spans="1:18" ht="15" customHeight="1">
      <c r="A266" s="17" t="s">
        <v>38</v>
      </c>
      <c r="B266" s="17" t="s">
        <v>811</v>
      </c>
      <c r="C266" s="18" t="s">
        <v>769</v>
      </c>
      <c r="D266" s="17" t="s">
        <v>40</v>
      </c>
      <c r="E266" s="17" t="s">
        <v>270</v>
      </c>
      <c r="F266" s="17" t="s">
        <v>475</v>
      </c>
      <c r="G266" s="298"/>
      <c r="H266" s="138"/>
      <c r="I266" s="138"/>
      <c r="J266" s="138"/>
      <c r="K266" s="138"/>
      <c r="L266" s="138"/>
      <c r="M266" s="138"/>
      <c r="N266" s="138"/>
      <c r="O266" s="139"/>
      <c r="P266" s="138"/>
      <c r="Q266" s="107"/>
      <c r="R266" s="107"/>
    </row>
    <row r="267" spans="1:18" ht="15" customHeight="1">
      <c r="A267" s="17" t="s">
        <v>26</v>
      </c>
      <c r="B267" s="17" t="s">
        <v>820</v>
      </c>
      <c r="C267" s="18" t="s">
        <v>563</v>
      </c>
      <c r="D267" s="17" t="s">
        <v>28</v>
      </c>
      <c r="E267" s="17" t="s">
        <v>270</v>
      </c>
      <c r="F267" s="17" t="s">
        <v>81</v>
      </c>
      <c r="G267" s="298"/>
      <c r="H267" s="138"/>
      <c r="I267" s="138"/>
      <c r="J267" s="138"/>
      <c r="K267" s="138"/>
      <c r="L267" s="138"/>
      <c r="M267" s="138"/>
      <c r="N267" s="138"/>
      <c r="O267" s="139"/>
      <c r="P267" s="138"/>
      <c r="Q267" s="107"/>
      <c r="R267" s="107"/>
    </row>
    <row r="268" spans="1:18" ht="15" customHeight="1">
      <c r="A268" s="17" t="s">
        <v>26</v>
      </c>
      <c r="B268" s="17" t="s">
        <v>821</v>
      </c>
      <c r="C268" s="18" t="s">
        <v>703</v>
      </c>
      <c r="D268" s="17" t="s">
        <v>28</v>
      </c>
      <c r="E268" s="17" t="s">
        <v>270</v>
      </c>
      <c r="F268" s="17" t="s">
        <v>81</v>
      </c>
      <c r="G268" s="298"/>
      <c r="H268" s="138"/>
      <c r="I268" s="138"/>
      <c r="J268" s="138"/>
      <c r="K268" s="138"/>
      <c r="L268" s="138"/>
      <c r="M268" s="138"/>
      <c r="N268" s="138"/>
      <c r="O268" s="139"/>
      <c r="P268" s="138"/>
      <c r="Q268" s="107"/>
      <c r="R268" s="107"/>
    </row>
    <row r="269" spans="1:18" ht="15" customHeight="1">
      <c r="A269" s="17" t="s">
        <v>26</v>
      </c>
      <c r="B269" s="17" t="s">
        <v>822</v>
      </c>
      <c r="C269" s="18" t="s">
        <v>564</v>
      </c>
      <c r="D269" s="17" t="s">
        <v>28</v>
      </c>
      <c r="E269" s="17" t="s">
        <v>278</v>
      </c>
      <c r="F269" s="17" t="s">
        <v>81</v>
      </c>
      <c r="G269" s="298"/>
      <c r="H269" s="138"/>
      <c r="I269" s="138"/>
      <c r="J269" s="138"/>
      <c r="K269" s="138"/>
      <c r="L269" s="138"/>
      <c r="M269" s="138"/>
      <c r="N269" s="138"/>
      <c r="O269" s="139"/>
      <c r="P269" s="138"/>
      <c r="Q269" s="107"/>
      <c r="R269" s="107"/>
    </row>
    <row r="270" spans="1:18" ht="15" customHeight="1">
      <c r="A270" s="17" t="s">
        <v>26</v>
      </c>
      <c r="B270" s="17" t="s">
        <v>824</v>
      </c>
      <c r="C270" s="18" t="s">
        <v>995</v>
      </c>
      <c r="D270" s="17" t="s">
        <v>28</v>
      </c>
      <c r="E270" s="17" t="s">
        <v>270</v>
      </c>
      <c r="F270" s="17" t="s">
        <v>81</v>
      </c>
      <c r="G270" s="298"/>
      <c r="H270" s="138"/>
      <c r="I270" s="138"/>
      <c r="J270" s="138"/>
      <c r="K270" s="138"/>
      <c r="L270" s="138"/>
      <c r="M270" s="138"/>
      <c r="N270" s="138"/>
      <c r="O270" s="139"/>
      <c r="P270" s="138"/>
      <c r="Q270" s="107"/>
      <c r="R270" s="107"/>
    </row>
    <row r="271" spans="1:18" ht="15" customHeight="1">
      <c r="A271" s="17" t="s">
        <v>26</v>
      </c>
      <c r="B271" s="17" t="s">
        <v>825</v>
      </c>
      <c r="C271" s="18" t="s">
        <v>272</v>
      </c>
      <c r="D271" s="17" t="s">
        <v>28</v>
      </c>
      <c r="E271" s="17" t="s">
        <v>270</v>
      </c>
      <c r="F271" s="17" t="s">
        <v>81</v>
      </c>
      <c r="G271" s="298"/>
      <c r="H271" s="138"/>
      <c r="I271" s="138"/>
      <c r="J271" s="138"/>
      <c r="K271" s="138"/>
      <c r="L271" s="138"/>
      <c r="M271" s="138"/>
      <c r="N271" s="138"/>
      <c r="O271" s="139"/>
      <c r="P271" s="138"/>
      <c r="Q271" s="107"/>
      <c r="R271" s="107"/>
    </row>
    <row r="272" spans="1:18" ht="15" customHeight="1">
      <c r="A272" s="17" t="s">
        <v>359</v>
      </c>
      <c r="B272" s="17" t="s">
        <v>814</v>
      </c>
      <c r="C272" s="18" t="s">
        <v>563</v>
      </c>
      <c r="D272" s="17" t="s">
        <v>361</v>
      </c>
      <c r="E272" s="17" t="s">
        <v>270</v>
      </c>
      <c r="F272" s="17" t="s">
        <v>949</v>
      </c>
      <c r="G272" s="298"/>
      <c r="H272" s="138"/>
      <c r="I272" s="138"/>
      <c r="J272" s="138"/>
      <c r="K272" s="138"/>
      <c r="L272" s="138"/>
      <c r="M272" s="138"/>
      <c r="N272" s="138"/>
      <c r="O272" s="139"/>
      <c r="P272" s="138"/>
      <c r="Q272" s="107"/>
      <c r="R272" s="107"/>
    </row>
    <row r="273" spans="1:18" ht="15" customHeight="1">
      <c r="A273" s="17" t="s">
        <v>26</v>
      </c>
      <c r="B273" s="17" t="s">
        <v>826</v>
      </c>
      <c r="C273" s="18" t="s">
        <v>1002</v>
      </c>
      <c r="D273" s="17" t="s">
        <v>28</v>
      </c>
      <c r="E273" s="17" t="s">
        <v>270</v>
      </c>
      <c r="F273" s="17" t="s">
        <v>827</v>
      </c>
      <c r="G273" s="298"/>
      <c r="H273" s="138"/>
      <c r="I273" s="138"/>
      <c r="J273" s="138"/>
      <c r="K273" s="138"/>
      <c r="L273" s="138"/>
      <c r="M273" s="138"/>
      <c r="N273" s="138"/>
      <c r="O273" s="139"/>
      <c r="P273" s="138"/>
      <c r="Q273" s="107"/>
      <c r="R273" s="107"/>
    </row>
    <row r="274" spans="1:18" ht="15" customHeight="1" thickBot="1">
      <c r="A274" s="30" t="s">
        <v>26</v>
      </c>
      <c r="B274" s="30" t="s">
        <v>823</v>
      </c>
      <c r="C274" s="31" t="s">
        <v>243</v>
      </c>
      <c r="D274" s="30" t="s">
        <v>28</v>
      </c>
      <c r="E274" s="30" t="s">
        <v>270</v>
      </c>
      <c r="F274" s="30" t="s">
        <v>827</v>
      </c>
      <c r="G274" s="299"/>
      <c r="H274" s="140"/>
      <c r="I274" s="140"/>
      <c r="J274" s="140"/>
      <c r="K274" s="140"/>
      <c r="L274" s="140"/>
      <c r="M274" s="140"/>
      <c r="N274" s="140"/>
      <c r="O274" s="141"/>
      <c r="P274" s="140"/>
      <c r="Q274" s="142"/>
      <c r="R274" s="142"/>
    </row>
    <row r="275" spans="1:18" ht="17.45" customHeight="1" thickBot="1">
      <c r="A275" s="283"/>
      <c r="B275" s="284"/>
      <c r="C275" s="284"/>
      <c r="D275" s="284"/>
      <c r="E275" s="284"/>
      <c r="F275" s="284"/>
      <c r="G275" s="284"/>
      <c r="H275" s="284"/>
      <c r="I275" s="284"/>
      <c r="J275" s="284"/>
      <c r="K275" s="284"/>
      <c r="L275" s="284"/>
      <c r="M275" s="284"/>
      <c r="N275" s="284"/>
      <c r="O275" s="284"/>
      <c r="P275" s="284"/>
      <c r="Q275" s="284"/>
      <c r="R275" s="285"/>
    </row>
    <row r="276" spans="1:18" ht="22.15" customHeight="1" thickTop="1" thickBot="1">
      <c r="A276" s="279" t="s">
        <v>6</v>
      </c>
      <c r="B276" s="295"/>
      <c r="C276" s="295"/>
      <c r="D276" s="295"/>
      <c r="E276" s="295"/>
      <c r="F276" s="296"/>
      <c r="G276" s="32">
        <v>46046</v>
      </c>
      <c r="H276" s="278" t="s">
        <v>7</v>
      </c>
      <c r="I276" s="295"/>
      <c r="J276" s="295"/>
      <c r="K276" s="295"/>
      <c r="L276" s="295"/>
      <c r="M276" s="295"/>
      <c r="N276" s="295"/>
      <c r="O276" s="295"/>
      <c r="P276" s="295"/>
      <c r="Q276" s="295"/>
      <c r="R276" s="296"/>
    </row>
    <row r="277" spans="1:18" ht="24" customHeight="1">
      <c r="A277" s="33" t="s">
        <v>8</v>
      </c>
      <c r="B277" s="33" t="s">
        <v>9</v>
      </c>
      <c r="C277" s="34" t="s">
        <v>10</v>
      </c>
      <c r="D277" s="33" t="s">
        <v>11</v>
      </c>
      <c r="E277" s="33" t="s">
        <v>12</v>
      </c>
      <c r="F277" s="35" t="s">
        <v>13</v>
      </c>
      <c r="G277" s="36" t="s">
        <v>14</v>
      </c>
      <c r="H277" s="33" t="s">
        <v>15</v>
      </c>
      <c r="I277" s="37" t="s">
        <v>16</v>
      </c>
      <c r="J277" s="38" t="s">
        <v>17</v>
      </c>
      <c r="K277" s="39" t="s">
        <v>18</v>
      </c>
      <c r="L277" s="38" t="s">
        <v>19</v>
      </c>
      <c r="M277" s="38" t="s">
        <v>20</v>
      </c>
      <c r="N277" s="38" t="s">
        <v>21</v>
      </c>
      <c r="O277" s="33" t="s">
        <v>22</v>
      </c>
      <c r="P277" s="34" t="s">
        <v>23</v>
      </c>
      <c r="Q277" s="38" t="s">
        <v>24</v>
      </c>
      <c r="R277" s="33" t="s">
        <v>25</v>
      </c>
    </row>
    <row r="278" spans="1:18" ht="15" customHeight="1">
      <c r="A278" s="8" t="s">
        <v>26</v>
      </c>
      <c r="B278" s="8" t="s">
        <v>986</v>
      </c>
      <c r="C278" s="9">
        <v>0.3611111111111111</v>
      </c>
      <c r="D278" s="8" t="s">
        <v>987</v>
      </c>
      <c r="E278" s="8" t="s">
        <v>29</v>
      </c>
      <c r="F278" s="8" t="s">
        <v>1026</v>
      </c>
      <c r="G278" s="297"/>
      <c r="H278" s="10"/>
      <c r="I278" s="11"/>
      <c r="J278" s="11"/>
      <c r="K278" s="11"/>
      <c r="L278" s="11"/>
      <c r="M278" s="11"/>
      <c r="N278" s="11"/>
      <c r="O278" s="12"/>
      <c r="P278" s="11"/>
      <c r="Q278" s="13"/>
      <c r="R278" s="14"/>
    </row>
    <row r="279" spans="1:18" ht="15" customHeight="1">
      <c r="A279" s="15" t="s">
        <v>26</v>
      </c>
      <c r="B279" s="15" t="s">
        <v>986</v>
      </c>
      <c r="C279" s="16">
        <v>0.3611111111111111</v>
      </c>
      <c r="D279" s="15" t="s">
        <v>31</v>
      </c>
      <c r="E279" s="15" t="s">
        <v>32</v>
      </c>
      <c r="F279" s="15" t="s">
        <v>1027</v>
      </c>
      <c r="G279" s="298"/>
      <c r="H279" s="10"/>
      <c r="I279" s="11"/>
      <c r="J279" s="11"/>
      <c r="K279" s="11"/>
      <c r="L279" s="11"/>
      <c r="M279" s="11"/>
      <c r="N279" s="11"/>
      <c r="O279" s="12"/>
      <c r="P279" s="11"/>
      <c r="Q279" s="13"/>
      <c r="R279" s="14"/>
    </row>
    <row r="280" spans="1:18" ht="15" customHeight="1">
      <c r="A280" s="15" t="s">
        <v>26</v>
      </c>
      <c r="B280" s="15" t="s">
        <v>986</v>
      </c>
      <c r="C280" s="16">
        <v>0.3611111111111111</v>
      </c>
      <c r="D280" s="15" t="s">
        <v>34</v>
      </c>
      <c r="E280" s="15" t="s">
        <v>32</v>
      </c>
      <c r="F280" s="15" t="s">
        <v>1028</v>
      </c>
      <c r="G280" s="298"/>
      <c r="H280" s="10"/>
      <c r="I280" s="11"/>
      <c r="J280" s="11"/>
      <c r="K280" s="11"/>
      <c r="L280" s="11"/>
      <c r="M280" s="11"/>
      <c r="N280" s="11"/>
      <c r="O280" s="12"/>
      <c r="P280" s="11"/>
      <c r="Q280" s="13"/>
      <c r="R280" s="14"/>
    </row>
    <row r="281" spans="1:18" ht="18">
      <c r="A281" s="292" t="s">
        <v>991</v>
      </c>
      <c r="B281" s="303"/>
      <c r="C281" s="303"/>
      <c r="D281" s="303"/>
      <c r="E281" s="303"/>
      <c r="F281" s="304"/>
      <c r="G281" s="298"/>
      <c r="H281" s="138"/>
      <c r="I281" s="138"/>
      <c r="J281" s="138"/>
      <c r="K281" s="138"/>
      <c r="L281" s="138"/>
      <c r="M281" s="138"/>
      <c r="N281" s="138"/>
      <c r="O281" s="139"/>
      <c r="P281" s="138"/>
      <c r="Q281" s="107"/>
      <c r="R281" s="107"/>
    </row>
    <row r="282" spans="1:18" ht="15" customHeight="1">
      <c r="A282" s="17" t="s">
        <v>26</v>
      </c>
      <c r="B282" s="17" t="s">
        <v>820</v>
      </c>
      <c r="C282" s="18" t="s">
        <v>563</v>
      </c>
      <c r="D282" s="17" t="s">
        <v>28</v>
      </c>
      <c r="E282" s="17" t="s">
        <v>270</v>
      </c>
      <c r="F282" s="17" t="s">
        <v>81</v>
      </c>
      <c r="G282" s="298"/>
      <c r="H282" s="138"/>
      <c r="I282" s="138"/>
      <c r="J282" s="138"/>
      <c r="K282" s="138"/>
      <c r="L282" s="138"/>
      <c r="M282" s="138"/>
      <c r="N282" s="138"/>
      <c r="O282" s="139"/>
      <c r="P282" s="138"/>
      <c r="Q282" s="107"/>
      <c r="R282" s="107"/>
    </row>
    <row r="283" spans="1:18" ht="15" customHeight="1">
      <c r="A283" s="17" t="s">
        <v>26</v>
      </c>
      <c r="B283" s="17" t="s">
        <v>821</v>
      </c>
      <c r="C283" s="18" t="s">
        <v>703</v>
      </c>
      <c r="D283" s="17" t="s">
        <v>28</v>
      </c>
      <c r="E283" s="17" t="s">
        <v>270</v>
      </c>
      <c r="F283" s="17" t="s">
        <v>81</v>
      </c>
      <c r="G283" s="298"/>
      <c r="H283" s="138"/>
      <c r="I283" s="138"/>
      <c r="J283" s="138"/>
      <c r="K283" s="138"/>
      <c r="L283" s="138"/>
      <c r="M283" s="138"/>
      <c r="N283" s="138"/>
      <c r="O283" s="139"/>
      <c r="P283" s="138"/>
      <c r="Q283" s="107"/>
      <c r="R283" s="107"/>
    </row>
    <row r="284" spans="1:18" ht="15" customHeight="1">
      <c r="A284" s="17" t="s">
        <v>26</v>
      </c>
      <c r="B284" s="17" t="s">
        <v>824</v>
      </c>
      <c r="C284" s="18" t="s">
        <v>995</v>
      </c>
      <c r="D284" s="17" t="s">
        <v>28</v>
      </c>
      <c r="E284" s="17" t="s">
        <v>270</v>
      </c>
      <c r="F284" s="17" t="s">
        <v>81</v>
      </c>
      <c r="G284" s="298"/>
      <c r="H284" s="138"/>
      <c r="I284" s="138"/>
      <c r="J284" s="138"/>
      <c r="K284" s="138"/>
      <c r="L284" s="138"/>
      <c r="M284" s="138"/>
      <c r="N284" s="138"/>
      <c r="O284" s="139"/>
      <c r="P284" s="138"/>
      <c r="Q284" s="107"/>
      <c r="R284" s="107"/>
    </row>
    <row r="285" spans="1:18" ht="15" customHeight="1">
      <c r="A285" s="17" t="s">
        <v>26</v>
      </c>
      <c r="B285" s="17" t="s">
        <v>825</v>
      </c>
      <c r="C285" s="18" t="s">
        <v>272</v>
      </c>
      <c r="D285" s="17" t="s">
        <v>28</v>
      </c>
      <c r="E285" s="17" t="s">
        <v>278</v>
      </c>
      <c r="F285" s="17" t="s">
        <v>81</v>
      </c>
      <c r="G285" s="298"/>
      <c r="H285" s="138"/>
      <c r="I285" s="138"/>
      <c r="J285" s="138"/>
      <c r="K285" s="138"/>
      <c r="L285" s="138"/>
      <c r="M285" s="138"/>
      <c r="N285" s="138"/>
      <c r="O285" s="139"/>
      <c r="P285" s="138"/>
      <c r="Q285" s="107"/>
      <c r="R285" s="107"/>
    </row>
    <row r="286" spans="1:18" ht="15" customHeight="1">
      <c r="A286" s="17" t="s">
        <v>359</v>
      </c>
      <c r="B286" s="17" t="s">
        <v>814</v>
      </c>
      <c r="C286" s="18" t="s">
        <v>563</v>
      </c>
      <c r="D286" s="17" t="s">
        <v>361</v>
      </c>
      <c r="E286" s="17" t="s">
        <v>270</v>
      </c>
      <c r="F286" s="17" t="s">
        <v>879</v>
      </c>
      <c r="G286" s="298"/>
      <c r="H286" s="138"/>
      <c r="I286" s="138"/>
      <c r="J286" s="138"/>
      <c r="K286" s="138"/>
      <c r="L286" s="138"/>
      <c r="M286" s="138"/>
      <c r="N286" s="138"/>
      <c r="O286" s="139"/>
      <c r="P286" s="138"/>
      <c r="Q286" s="107"/>
      <c r="R286" s="107"/>
    </row>
    <row r="287" spans="1:18" ht="15" customHeight="1">
      <c r="A287" s="17" t="s">
        <v>38</v>
      </c>
      <c r="B287" s="17" t="s">
        <v>809</v>
      </c>
      <c r="C287" s="18" t="s">
        <v>984</v>
      </c>
      <c r="D287" s="17" t="s">
        <v>40</v>
      </c>
      <c r="E287" s="17" t="s">
        <v>281</v>
      </c>
      <c r="F287" s="17" t="s">
        <v>42</v>
      </c>
      <c r="G287" s="298"/>
      <c r="H287" s="138"/>
      <c r="I287" s="138"/>
      <c r="J287" s="138"/>
      <c r="K287" s="138"/>
      <c r="L287" s="138"/>
      <c r="M287" s="138"/>
      <c r="N287" s="138"/>
      <c r="O287" s="139"/>
      <c r="P287" s="138"/>
      <c r="Q287" s="107"/>
      <c r="R287" s="107"/>
    </row>
    <row r="288" spans="1:18" ht="15" customHeight="1">
      <c r="A288" s="17" t="s">
        <v>38</v>
      </c>
      <c r="B288" s="17" t="s">
        <v>811</v>
      </c>
      <c r="C288" s="18" t="s">
        <v>769</v>
      </c>
      <c r="D288" s="17" t="s">
        <v>40</v>
      </c>
      <c r="E288" s="17" t="s">
        <v>308</v>
      </c>
      <c r="F288" s="17" t="s">
        <v>42</v>
      </c>
      <c r="G288" s="298"/>
      <c r="H288" s="138"/>
      <c r="I288" s="138"/>
      <c r="J288" s="138"/>
      <c r="K288" s="138"/>
      <c r="L288" s="138"/>
      <c r="M288" s="138"/>
      <c r="N288" s="138"/>
      <c r="O288" s="139"/>
      <c r="P288" s="138"/>
      <c r="Q288" s="107"/>
      <c r="R288" s="107"/>
    </row>
    <row r="289" spans="1:18" ht="15" customHeight="1">
      <c r="A289" s="17" t="s">
        <v>26</v>
      </c>
      <c r="B289" s="17" t="s">
        <v>826</v>
      </c>
      <c r="C289" s="18" t="s">
        <v>1002</v>
      </c>
      <c r="D289" s="17" t="s">
        <v>28</v>
      </c>
      <c r="E289" s="17" t="s">
        <v>270</v>
      </c>
      <c r="F289" s="17" t="s">
        <v>827</v>
      </c>
      <c r="G289" s="298"/>
      <c r="H289" s="138"/>
      <c r="I289" s="138"/>
      <c r="J289" s="138"/>
      <c r="K289" s="138"/>
      <c r="L289" s="138"/>
      <c r="M289" s="138"/>
      <c r="N289" s="138"/>
      <c r="O289" s="139"/>
      <c r="P289" s="138"/>
      <c r="Q289" s="107"/>
      <c r="R289" s="107"/>
    </row>
    <row r="290" spans="1:18" ht="15" customHeight="1">
      <c r="A290" s="17" t="s">
        <v>26</v>
      </c>
      <c r="B290" s="17" t="s">
        <v>822</v>
      </c>
      <c r="C290" s="18" t="s">
        <v>564</v>
      </c>
      <c r="D290" s="17" t="s">
        <v>28</v>
      </c>
      <c r="E290" s="17" t="s">
        <v>270</v>
      </c>
      <c r="F290" s="17" t="s">
        <v>827</v>
      </c>
      <c r="G290" s="298"/>
      <c r="H290" s="138"/>
      <c r="I290" s="138"/>
      <c r="J290" s="138"/>
      <c r="K290" s="138"/>
      <c r="L290" s="138"/>
      <c r="M290" s="138"/>
      <c r="N290" s="138"/>
      <c r="O290" s="139"/>
      <c r="P290" s="138"/>
      <c r="Q290" s="107"/>
      <c r="R290" s="107"/>
    </row>
    <row r="291" spans="1:18" ht="15" customHeight="1" thickBot="1">
      <c r="A291" s="30" t="s">
        <v>26</v>
      </c>
      <c r="B291" s="30" t="s">
        <v>823</v>
      </c>
      <c r="C291" s="31" t="s">
        <v>243</v>
      </c>
      <c r="D291" s="30" t="s">
        <v>28</v>
      </c>
      <c r="E291" s="30" t="s">
        <v>270</v>
      </c>
      <c r="F291" s="30" t="s">
        <v>827</v>
      </c>
      <c r="G291" s="299"/>
      <c r="H291" s="140"/>
      <c r="I291" s="140"/>
      <c r="J291" s="140"/>
      <c r="K291" s="140"/>
      <c r="L291" s="140"/>
      <c r="M291" s="140"/>
      <c r="N291" s="140"/>
      <c r="O291" s="141"/>
      <c r="P291" s="140"/>
      <c r="Q291" s="142"/>
      <c r="R291" s="142"/>
    </row>
    <row r="292" spans="1:18" ht="17.45" customHeight="1" thickBot="1">
      <c r="A292" s="283"/>
      <c r="B292" s="284"/>
      <c r="C292" s="284"/>
      <c r="D292" s="284"/>
      <c r="E292" s="284"/>
      <c r="F292" s="284"/>
      <c r="G292" s="284"/>
      <c r="H292" s="284"/>
      <c r="I292" s="284"/>
      <c r="J292" s="284"/>
      <c r="K292" s="284"/>
      <c r="L292" s="284"/>
      <c r="M292" s="284"/>
      <c r="N292" s="284"/>
      <c r="O292" s="284"/>
      <c r="P292" s="284"/>
      <c r="Q292" s="284"/>
      <c r="R292" s="285"/>
    </row>
    <row r="293" spans="1:18" ht="22.15" customHeight="1" thickTop="1" thickBot="1">
      <c r="A293" s="279" t="s">
        <v>6</v>
      </c>
      <c r="B293" s="295"/>
      <c r="C293" s="295"/>
      <c r="D293" s="295"/>
      <c r="E293" s="295"/>
      <c r="F293" s="296"/>
      <c r="G293" s="32">
        <v>46047</v>
      </c>
      <c r="H293" s="278" t="s">
        <v>7</v>
      </c>
      <c r="I293" s="295"/>
      <c r="J293" s="295"/>
      <c r="K293" s="295"/>
      <c r="L293" s="295"/>
      <c r="M293" s="295"/>
      <c r="N293" s="295"/>
      <c r="O293" s="295"/>
      <c r="P293" s="295"/>
      <c r="Q293" s="295"/>
      <c r="R293" s="296"/>
    </row>
    <row r="294" spans="1:18" ht="24" customHeight="1">
      <c r="A294" s="33" t="s">
        <v>8</v>
      </c>
      <c r="B294" s="33" t="s">
        <v>9</v>
      </c>
      <c r="C294" s="34" t="s">
        <v>10</v>
      </c>
      <c r="D294" s="33" t="s">
        <v>11</v>
      </c>
      <c r="E294" s="33" t="s">
        <v>12</v>
      </c>
      <c r="F294" s="35" t="s">
        <v>13</v>
      </c>
      <c r="G294" s="36" t="s">
        <v>14</v>
      </c>
      <c r="H294" s="33" t="s">
        <v>15</v>
      </c>
      <c r="I294" s="37" t="s">
        <v>16</v>
      </c>
      <c r="J294" s="38" t="s">
        <v>17</v>
      </c>
      <c r="K294" s="39" t="s">
        <v>18</v>
      </c>
      <c r="L294" s="38" t="s">
        <v>19</v>
      </c>
      <c r="M294" s="38" t="s">
        <v>20</v>
      </c>
      <c r="N294" s="38" t="s">
        <v>21</v>
      </c>
      <c r="O294" s="33" t="s">
        <v>22</v>
      </c>
      <c r="P294" s="34" t="s">
        <v>23</v>
      </c>
      <c r="Q294" s="38" t="s">
        <v>24</v>
      </c>
      <c r="R294" s="33" t="s">
        <v>25</v>
      </c>
    </row>
    <row r="295" spans="1:18" ht="15" customHeight="1">
      <c r="A295" s="87" t="s">
        <v>61</v>
      </c>
      <c r="B295" s="87" t="s">
        <v>996</v>
      </c>
      <c r="C295" s="88">
        <v>0.42708333333333331</v>
      </c>
      <c r="D295" s="87" t="s">
        <v>63</v>
      </c>
      <c r="E295" s="87" t="s">
        <v>177</v>
      </c>
      <c r="F295" s="87" t="s">
        <v>961</v>
      </c>
      <c r="G295" s="297"/>
      <c r="H295" s="89" t="s">
        <v>998</v>
      </c>
      <c r="I295" s="90">
        <v>4.4699999999999997E-2</v>
      </c>
      <c r="J295" s="91">
        <v>8</v>
      </c>
      <c r="K295" s="92">
        <v>46344</v>
      </c>
      <c r="L295" s="91">
        <v>8</v>
      </c>
      <c r="M295" s="91">
        <v>0</v>
      </c>
      <c r="N295" s="91">
        <v>0</v>
      </c>
      <c r="O295" s="93" t="s">
        <v>1029</v>
      </c>
      <c r="P295" s="94">
        <v>0.42708333333333331</v>
      </c>
      <c r="Q295" s="91">
        <v>179</v>
      </c>
      <c r="R295" s="95" t="s">
        <v>1030</v>
      </c>
    </row>
    <row r="296" spans="1:18" ht="15" customHeight="1">
      <c r="A296" s="19" t="s">
        <v>68</v>
      </c>
      <c r="B296" s="19" t="s">
        <v>1000</v>
      </c>
      <c r="C296" s="20">
        <v>0.42708333333333331</v>
      </c>
      <c r="D296" s="19" t="s">
        <v>70</v>
      </c>
      <c r="E296" s="19" t="s">
        <v>29</v>
      </c>
      <c r="F296" s="19" t="s">
        <v>1031</v>
      </c>
      <c r="G296" s="298"/>
      <c r="H296" s="10"/>
      <c r="I296" s="11"/>
      <c r="J296" s="11"/>
      <c r="K296" s="11"/>
      <c r="L296" s="11"/>
      <c r="M296" s="11"/>
      <c r="N296" s="11"/>
      <c r="O296" s="12"/>
      <c r="P296" s="11"/>
      <c r="Q296" s="13"/>
      <c r="R296" s="14"/>
    </row>
    <row r="297" spans="1:18" ht="18">
      <c r="A297" s="292" t="s">
        <v>991</v>
      </c>
      <c r="B297" s="303"/>
      <c r="C297" s="303"/>
      <c r="D297" s="303"/>
      <c r="E297" s="303"/>
      <c r="F297" s="304"/>
      <c r="G297" s="298"/>
      <c r="H297" s="138"/>
      <c r="I297" s="138"/>
      <c r="J297" s="138"/>
      <c r="K297" s="138"/>
      <c r="L297" s="138"/>
      <c r="M297" s="138"/>
      <c r="N297" s="138"/>
      <c r="O297" s="139"/>
      <c r="P297" s="138"/>
      <c r="Q297" s="107"/>
      <c r="R297" s="107"/>
    </row>
    <row r="298" spans="1:18" ht="15" customHeight="1">
      <c r="A298" s="17" t="s">
        <v>38</v>
      </c>
      <c r="B298" s="17" t="s">
        <v>809</v>
      </c>
      <c r="C298" s="18" t="s">
        <v>984</v>
      </c>
      <c r="D298" s="17" t="s">
        <v>40</v>
      </c>
      <c r="E298" s="17" t="s">
        <v>308</v>
      </c>
      <c r="F298" s="17" t="s">
        <v>872</v>
      </c>
      <c r="G298" s="298"/>
      <c r="H298" s="138"/>
      <c r="I298" s="138"/>
      <c r="J298" s="138"/>
      <c r="K298" s="138"/>
      <c r="L298" s="138"/>
      <c r="M298" s="138"/>
      <c r="N298" s="138"/>
      <c r="O298" s="139"/>
      <c r="P298" s="138"/>
      <c r="Q298" s="107"/>
      <c r="R298" s="107"/>
    </row>
    <row r="299" spans="1:18" ht="15" customHeight="1">
      <c r="A299" s="17" t="s">
        <v>38</v>
      </c>
      <c r="B299" s="17" t="s">
        <v>811</v>
      </c>
      <c r="C299" s="18" t="s">
        <v>769</v>
      </c>
      <c r="D299" s="17" t="s">
        <v>40</v>
      </c>
      <c r="E299" s="17" t="s">
        <v>295</v>
      </c>
      <c r="F299" s="17" t="s">
        <v>872</v>
      </c>
      <c r="G299" s="298"/>
      <c r="H299" s="138"/>
      <c r="I299" s="138"/>
      <c r="J299" s="138"/>
      <c r="K299" s="138"/>
      <c r="L299" s="138"/>
      <c r="M299" s="138"/>
      <c r="N299" s="138"/>
      <c r="O299" s="139"/>
      <c r="P299" s="138"/>
      <c r="Q299" s="107"/>
      <c r="R299" s="107"/>
    </row>
    <row r="300" spans="1:18" ht="15" customHeight="1">
      <c r="A300" s="17" t="s">
        <v>26</v>
      </c>
      <c r="B300" s="17" t="s">
        <v>820</v>
      </c>
      <c r="C300" s="18" t="s">
        <v>563</v>
      </c>
      <c r="D300" s="17" t="s">
        <v>28</v>
      </c>
      <c r="E300" s="17" t="s">
        <v>270</v>
      </c>
      <c r="F300" s="17" t="s">
        <v>81</v>
      </c>
      <c r="G300" s="298"/>
      <c r="H300" s="138"/>
      <c r="I300" s="138"/>
      <c r="J300" s="138"/>
      <c r="K300" s="138"/>
      <c r="L300" s="138"/>
      <c r="M300" s="138"/>
      <c r="N300" s="138"/>
      <c r="O300" s="139"/>
      <c r="P300" s="138"/>
      <c r="Q300" s="107"/>
      <c r="R300" s="107"/>
    </row>
    <row r="301" spans="1:18" ht="15" customHeight="1">
      <c r="A301" s="17" t="s">
        <v>26</v>
      </c>
      <c r="B301" s="17" t="s">
        <v>821</v>
      </c>
      <c r="C301" s="18" t="s">
        <v>703</v>
      </c>
      <c r="D301" s="17" t="s">
        <v>28</v>
      </c>
      <c r="E301" s="17" t="s">
        <v>270</v>
      </c>
      <c r="F301" s="17" t="s">
        <v>81</v>
      </c>
      <c r="G301" s="298"/>
      <c r="H301" s="138"/>
      <c r="I301" s="138"/>
      <c r="J301" s="138"/>
      <c r="K301" s="138"/>
      <c r="L301" s="138"/>
      <c r="M301" s="138"/>
      <c r="N301" s="138"/>
      <c r="O301" s="139"/>
      <c r="P301" s="138"/>
      <c r="Q301" s="107"/>
      <c r="R301" s="107"/>
    </row>
    <row r="302" spans="1:18" ht="15" customHeight="1">
      <c r="A302" s="17" t="s">
        <v>26</v>
      </c>
      <c r="B302" s="17" t="s">
        <v>822</v>
      </c>
      <c r="C302" s="18" t="s">
        <v>564</v>
      </c>
      <c r="D302" s="17" t="s">
        <v>28</v>
      </c>
      <c r="E302" s="17" t="s">
        <v>270</v>
      </c>
      <c r="F302" s="17" t="s">
        <v>81</v>
      </c>
      <c r="G302" s="298"/>
      <c r="H302" s="138"/>
      <c r="I302" s="138"/>
      <c r="J302" s="138"/>
      <c r="K302" s="138"/>
      <c r="L302" s="138"/>
      <c r="M302" s="138"/>
      <c r="N302" s="138"/>
      <c r="O302" s="139"/>
      <c r="P302" s="138"/>
      <c r="Q302" s="107"/>
      <c r="R302" s="107"/>
    </row>
    <row r="303" spans="1:18" ht="15" customHeight="1">
      <c r="A303" s="17" t="s">
        <v>26</v>
      </c>
      <c r="B303" s="17" t="s">
        <v>824</v>
      </c>
      <c r="C303" s="18" t="s">
        <v>995</v>
      </c>
      <c r="D303" s="17" t="s">
        <v>28</v>
      </c>
      <c r="E303" s="17" t="s">
        <v>270</v>
      </c>
      <c r="F303" s="17" t="s">
        <v>81</v>
      </c>
      <c r="G303" s="298"/>
      <c r="H303" s="138"/>
      <c r="I303" s="138"/>
      <c r="J303" s="138"/>
      <c r="K303" s="138"/>
      <c r="L303" s="138"/>
      <c r="M303" s="138"/>
      <c r="N303" s="138"/>
      <c r="O303" s="139"/>
      <c r="P303" s="138"/>
      <c r="Q303" s="107"/>
      <c r="R303" s="107"/>
    </row>
    <row r="304" spans="1:18" ht="15" customHeight="1">
      <c r="A304" s="17" t="s">
        <v>26</v>
      </c>
      <c r="B304" s="17" t="s">
        <v>825</v>
      </c>
      <c r="C304" s="18" t="s">
        <v>272</v>
      </c>
      <c r="D304" s="17" t="s">
        <v>28</v>
      </c>
      <c r="E304" s="17" t="s">
        <v>270</v>
      </c>
      <c r="F304" s="17" t="s">
        <v>81</v>
      </c>
      <c r="G304" s="298"/>
      <c r="H304" s="138"/>
      <c r="I304" s="138"/>
      <c r="J304" s="138"/>
      <c r="K304" s="138"/>
      <c r="L304" s="138"/>
      <c r="M304" s="138"/>
      <c r="N304" s="138"/>
      <c r="O304" s="139"/>
      <c r="P304" s="138"/>
      <c r="Q304" s="107"/>
      <c r="R304" s="107"/>
    </row>
    <row r="305" spans="1:18" ht="15" customHeight="1">
      <c r="A305" s="17" t="s">
        <v>359</v>
      </c>
      <c r="B305" s="17" t="s">
        <v>814</v>
      </c>
      <c r="C305" s="18" t="s">
        <v>1013</v>
      </c>
      <c r="D305" s="17" t="s">
        <v>361</v>
      </c>
      <c r="E305" s="17" t="s">
        <v>270</v>
      </c>
      <c r="F305" s="17" t="s">
        <v>879</v>
      </c>
      <c r="G305" s="298"/>
      <c r="H305" s="138"/>
      <c r="I305" s="138"/>
      <c r="J305" s="138"/>
      <c r="K305" s="138"/>
      <c r="L305" s="138"/>
      <c r="M305" s="138"/>
      <c r="N305" s="138"/>
      <c r="O305" s="139"/>
      <c r="P305" s="138"/>
      <c r="Q305" s="107"/>
      <c r="R305" s="107"/>
    </row>
    <row r="306" spans="1:18" ht="15" customHeight="1">
      <c r="A306" s="17" t="s">
        <v>26</v>
      </c>
      <c r="B306" s="17" t="s">
        <v>826</v>
      </c>
      <c r="C306" s="18" t="s">
        <v>1002</v>
      </c>
      <c r="D306" s="17" t="s">
        <v>28</v>
      </c>
      <c r="E306" s="17" t="s">
        <v>270</v>
      </c>
      <c r="F306" s="17" t="s">
        <v>827</v>
      </c>
      <c r="G306" s="298"/>
      <c r="H306" s="138"/>
      <c r="I306" s="138"/>
      <c r="J306" s="138"/>
      <c r="K306" s="138"/>
      <c r="L306" s="138"/>
      <c r="M306" s="138"/>
      <c r="N306" s="138"/>
      <c r="O306" s="139"/>
      <c r="P306" s="138"/>
      <c r="Q306" s="107"/>
      <c r="R306" s="107"/>
    </row>
    <row r="307" spans="1:18" ht="15" customHeight="1" thickBot="1">
      <c r="A307" s="30" t="s">
        <v>26</v>
      </c>
      <c r="B307" s="30" t="s">
        <v>823</v>
      </c>
      <c r="C307" s="31" t="s">
        <v>243</v>
      </c>
      <c r="D307" s="30" t="s">
        <v>28</v>
      </c>
      <c r="E307" s="30" t="s">
        <v>270</v>
      </c>
      <c r="F307" s="30" t="s">
        <v>827</v>
      </c>
      <c r="G307" s="299"/>
      <c r="H307" s="140"/>
      <c r="I307" s="140"/>
      <c r="J307" s="140"/>
      <c r="K307" s="140"/>
      <c r="L307" s="140"/>
      <c r="M307" s="140"/>
      <c r="N307" s="140"/>
      <c r="O307" s="141"/>
      <c r="P307" s="140"/>
      <c r="Q307" s="142"/>
      <c r="R307" s="142"/>
    </row>
    <row r="308" spans="1:18" ht="17.45" customHeight="1" thickBot="1">
      <c r="A308" s="283"/>
      <c r="B308" s="284"/>
      <c r="C308" s="284"/>
      <c r="D308" s="284"/>
      <c r="E308" s="284"/>
      <c r="F308" s="284"/>
      <c r="G308" s="284"/>
      <c r="H308" s="284"/>
      <c r="I308" s="284"/>
      <c r="J308" s="284"/>
      <c r="K308" s="284"/>
      <c r="L308" s="284"/>
      <c r="M308" s="284"/>
      <c r="N308" s="284"/>
      <c r="O308" s="284"/>
      <c r="P308" s="284"/>
      <c r="Q308" s="284"/>
      <c r="R308" s="285"/>
    </row>
    <row r="309" spans="1:18" ht="22.15" customHeight="1" thickTop="1" thickBot="1">
      <c r="A309" s="279" t="s">
        <v>6</v>
      </c>
      <c r="B309" s="295"/>
      <c r="C309" s="295"/>
      <c r="D309" s="295"/>
      <c r="E309" s="295"/>
      <c r="F309" s="296"/>
      <c r="G309" s="32">
        <v>46049</v>
      </c>
      <c r="H309" s="278" t="s">
        <v>7</v>
      </c>
      <c r="I309" s="295"/>
      <c r="J309" s="295"/>
      <c r="K309" s="295"/>
      <c r="L309" s="295"/>
      <c r="M309" s="295"/>
      <c r="N309" s="295"/>
      <c r="O309" s="295"/>
      <c r="P309" s="295"/>
      <c r="Q309" s="295"/>
      <c r="R309" s="296"/>
    </row>
    <row r="310" spans="1:18" ht="24" customHeight="1">
      <c r="A310" s="33" t="s">
        <v>8</v>
      </c>
      <c r="B310" s="33" t="s">
        <v>9</v>
      </c>
      <c r="C310" s="34" t="s">
        <v>10</v>
      </c>
      <c r="D310" s="33" t="s">
        <v>11</v>
      </c>
      <c r="E310" s="33" t="s">
        <v>12</v>
      </c>
      <c r="F310" s="35" t="s">
        <v>13</v>
      </c>
      <c r="G310" s="36" t="s">
        <v>14</v>
      </c>
      <c r="H310" s="33" t="s">
        <v>15</v>
      </c>
      <c r="I310" s="37" t="s">
        <v>16</v>
      </c>
      <c r="J310" s="38" t="s">
        <v>17</v>
      </c>
      <c r="K310" s="39" t="s">
        <v>18</v>
      </c>
      <c r="L310" s="38" t="s">
        <v>19</v>
      </c>
      <c r="M310" s="38" t="s">
        <v>20</v>
      </c>
      <c r="N310" s="38" t="s">
        <v>21</v>
      </c>
      <c r="O310" s="33" t="s">
        <v>22</v>
      </c>
      <c r="P310" s="34" t="s">
        <v>23</v>
      </c>
      <c r="Q310" s="38" t="s">
        <v>24</v>
      </c>
      <c r="R310" s="33" t="s">
        <v>25</v>
      </c>
    </row>
    <row r="311" spans="1:18" ht="15" customHeight="1">
      <c r="A311" s="98" t="s">
        <v>61</v>
      </c>
      <c r="B311" s="98" t="s">
        <v>996</v>
      </c>
      <c r="C311" s="99">
        <v>0.43055555555555558</v>
      </c>
      <c r="D311" s="98" t="s">
        <v>63</v>
      </c>
      <c r="E311" s="98" t="s">
        <v>177</v>
      </c>
      <c r="F311" s="98" t="s">
        <v>853</v>
      </c>
      <c r="G311" s="297"/>
      <c r="H311" s="100" t="s">
        <v>998</v>
      </c>
      <c r="I311" s="101">
        <v>4.4699999999999997E-2</v>
      </c>
      <c r="J311" s="102">
        <v>8</v>
      </c>
      <c r="K311" s="103">
        <v>46335</v>
      </c>
      <c r="L311" s="102">
        <v>8</v>
      </c>
      <c r="M311" s="102">
        <v>0</v>
      </c>
      <c r="N311" s="102">
        <v>0</v>
      </c>
      <c r="O311" s="104" t="s">
        <v>436</v>
      </c>
      <c r="P311" s="105">
        <v>0.43055555555555558</v>
      </c>
      <c r="Q311" s="102">
        <v>179</v>
      </c>
      <c r="R311" s="106" t="s">
        <v>1032</v>
      </c>
    </row>
    <row r="312" spans="1:18" ht="15" customHeight="1">
      <c r="A312" s="19" t="s">
        <v>26</v>
      </c>
      <c r="B312" s="19" t="s">
        <v>986</v>
      </c>
      <c r="C312" s="20">
        <v>0.3611111111111111</v>
      </c>
      <c r="D312" s="19" t="s">
        <v>987</v>
      </c>
      <c r="E312" s="19" t="s">
        <v>80</v>
      </c>
      <c r="F312" s="19" t="s">
        <v>988</v>
      </c>
      <c r="G312" s="298"/>
      <c r="H312" s="10"/>
      <c r="I312" s="11"/>
      <c r="J312" s="11"/>
      <c r="K312" s="11"/>
      <c r="L312" s="11"/>
      <c r="M312" s="11"/>
      <c r="N312" s="11"/>
      <c r="O312" s="12"/>
      <c r="P312" s="11"/>
      <c r="Q312" s="13"/>
      <c r="R312" s="14"/>
    </row>
    <row r="313" spans="1:18" ht="15" customHeight="1">
      <c r="A313" s="15" t="s">
        <v>26</v>
      </c>
      <c r="B313" s="15" t="s">
        <v>986</v>
      </c>
      <c r="C313" s="16">
        <v>0.3611111111111111</v>
      </c>
      <c r="D313" s="15" t="s">
        <v>31</v>
      </c>
      <c r="E313" s="15" t="s">
        <v>82</v>
      </c>
      <c r="F313" s="15" t="s">
        <v>989</v>
      </c>
      <c r="G313" s="298"/>
      <c r="H313" s="10"/>
      <c r="I313" s="11"/>
      <c r="J313" s="11"/>
      <c r="K313" s="11"/>
      <c r="L313" s="11"/>
      <c r="M313" s="11"/>
      <c r="N313" s="11"/>
      <c r="O313" s="12"/>
      <c r="P313" s="11"/>
      <c r="Q313" s="13"/>
      <c r="R313" s="14"/>
    </row>
    <row r="314" spans="1:18" ht="15" customHeight="1">
      <c r="A314" s="15" t="s">
        <v>26</v>
      </c>
      <c r="B314" s="15" t="s">
        <v>986</v>
      </c>
      <c r="C314" s="16">
        <v>0.3611111111111111</v>
      </c>
      <c r="D314" s="15" t="s">
        <v>34</v>
      </c>
      <c r="E314" s="15" t="s">
        <v>82</v>
      </c>
      <c r="F314" s="15" t="s">
        <v>990</v>
      </c>
      <c r="G314" s="298"/>
      <c r="H314" s="10"/>
      <c r="I314" s="11"/>
      <c r="J314" s="11"/>
      <c r="K314" s="11"/>
      <c r="L314" s="11"/>
      <c r="M314" s="11"/>
      <c r="N314" s="11"/>
      <c r="O314" s="12"/>
      <c r="P314" s="11"/>
      <c r="Q314" s="13"/>
      <c r="R314" s="14"/>
    </row>
    <row r="315" spans="1:18" ht="15" customHeight="1">
      <c r="A315" s="19" t="s">
        <v>68</v>
      </c>
      <c r="B315" s="19" t="s">
        <v>1000</v>
      </c>
      <c r="C315" s="20">
        <v>0.43055555555555558</v>
      </c>
      <c r="D315" s="19" t="s">
        <v>643</v>
      </c>
      <c r="E315" s="19" t="s">
        <v>29</v>
      </c>
      <c r="F315" s="19" t="s">
        <v>1001</v>
      </c>
      <c r="G315" s="298"/>
      <c r="H315" s="10"/>
      <c r="I315" s="11"/>
      <c r="J315" s="11"/>
      <c r="K315" s="11"/>
      <c r="L315" s="11"/>
      <c r="M315" s="11"/>
      <c r="N315" s="11"/>
      <c r="O315" s="12"/>
      <c r="P315" s="11"/>
      <c r="Q315" s="13"/>
      <c r="R315" s="14"/>
    </row>
    <row r="316" spans="1:18" ht="18">
      <c r="A316" s="292" t="s">
        <v>991</v>
      </c>
      <c r="B316" s="303"/>
      <c r="C316" s="303"/>
      <c r="D316" s="303"/>
      <c r="E316" s="303"/>
      <c r="F316" s="304"/>
      <c r="G316" s="298"/>
      <c r="H316" s="138"/>
      <c r="I316" s="138"/>
      <c r="J316" s="138"/>
      <c r="K316" s="138"/>
      <c r="L316" s="138"/>
      <c r="M316" s="138"/>
      <c r="N316" s="138"/>
      <c r="O316" s="139"/>
      <c r="P316" s="138"/>
      <c r="Q316" s="107"/>
      <c r="R316" s="107"/>
    </row>
    <row r="317" spans="1:18" ht="15" customHeight="1">
      <c r="A317" s="17" t="s">
        <v>38</v>
      </c>
      <c r="B317" s="17" t="s">
        <v>809</v>
      </c>
      <c r="C317" s="18" t="s">
        <v>984</v>
      </c>
      <c r="D317" s="17" t="s">
        <v>40</v>
      </c>
      <c r="E317" s="17" t="s">
        <v>281</v>
      </c>
      <c r="F317" s="17" t="s">
        <v>475</v>
      </c>
      <c r="G317" s="298"/>
      <c r="H317" s="138"/>
      <c r="I317" s="138"/>
      <c r="J317" s="138"/>
      <c r="K317" s="138"/>
      <c r="L317" s="138"/>
      <c r="M317" s="138"/>
      <c r="N317" s="138"/>
      <c r="O317" s="139"/>
      <c r="P317" s="138"/>
      <c r="Q317" s="107"/>
      <c r="R317" s="107"/>
    </row>
    <row r="318" spans="1:18" ht="15" customHeight="1">
      <c r="A318" s="17" t="s">
        <v>38</v>
      </c>
      <c r="B318" s="17" t="s">
        <v>811</v>
      </c>
      <c r="C318" s="18" t="s">
        <v>769</v>
      </c>
      <c r="D318" s="17" t="s">
        <v>40</v>
      </c>
      <c r="E318" s="17" t="s">
        <v>293</v>
      </c>
      <c r="F318" s="17" t="s">
        <v>475</v>
      </c>
      <c r="G318" s="298"/>
      <c r="H318" s="138"/>
      <c r="I318" s="138"/>
      <c r="J318" s="138"/>
      <c r="K318" s="138"/>
      <c r="L318" s="138"/>
      <c r="M318" s="138"/>
      <c r="N318" s="138"/>
      <c r="O318" s="139"/>
      <c r="P318" s="138"/>
      <c r="Q318" s="107"/>
      <c r="R318" s="107"/>
    </row>
    <row r="319" spans="1:18" ht="15" customHeight="1">
      <c r="A319" s="17" t="s">
        <v>38</v>
      </c>
      <c r="B319" s="17" t="s">
        <v>812</v>
      </c>
      <c r="C319" s="18" t="s">
        <v>593</v>
      </c>
      <c r="D319" s="17" t="s">
        <v>40</v>
      </c>
      <c r="E319" s="17" t="s">
        <v>268</v>
      </c>
      <c r="F319" s="17" t="s">
        <v>872</v>
      </c>
      <c r="G319" s="298"/>
      <c r="H319" s="138"/>
      <c r="I319" s="138"/>
      <c r="J319" s="138"/>
      <c r="K319" s="138"/>
      <c r="L319" s="138"/>
      <c r="M319" s="138"/>
      <c r="N319" s="138"/>
      <c r="O319" s="139"/>
      <c r="P319" s="138"/>
      <c r="Q319" s="107"/>
      <c r="R319" s="107"/>
    </row>
    <row r="320" spans="1:18" ht="15" customHeight="1">
      <c r="A320" s="17" t="s">
        <v>38</v>
      </c>
      <c r="B320" s="17" t="s">
        <v>813</v>
      </c>
      <c r="C320" s="18" t="s">
        <v>598</v>
      </c>
      <c r="D320" s="17" t="s">
        <v>40</v>
      </c>
      <c r="E320" s="17" t="s">
        <v>268</v>
      </c>
      <c r="F320" s="17" t="s">
        <v>872</v>
      </c>
      <c r="G320" s="298"/>
      <c r="H320" s="138"/>
      <c r="I320" s="138"/>
      <c r="J320" s="138"/>
      <c r="K320" s="138"/>
      <c r="L320" s="138"/>
      <c r="M320" s="138"/>
      <c r="N320" s="138"/>
      <c r="O320" s="139"/>
      <c r="P320" s="138"/>
      <c r="Q320" s="107"/>
      <c r="R320" s="107"/>
    </row>
    <row r="321" spans="1:18" ht="15" customHeight="1">
      <c r="A321" s="17" t="s">
        <v>68</v>
      </c>
      <c r="B321" s="17" t="s">
        <v>842</v>
      </c>
      <c r="C321" s="18" t="s">
        <v>1009</v>
      </c>
      <c r="D321" s="17" t="s">
        <v>643</v>
      </c>
      <c r="E321" s="17" t="s">
        <v>267</v>
      </c>
      <c r="F321" s="17" t="s">
        <v>891</v>
      </c>
      <c r="G321" s="298"/>
      <c r="H321" s="138"/>
      <c r="I321" s="138"/>
      <c r="J321" s="138"/>
      <c r="K321" s="138"/>
      <c r="L321" s="138"/>
      <c r="M321" s="138"/>
      <c r="N321" s="138"/>
      <c r="O321" s="139"/>
      <c r="P321" s="138"/>
      <c r="Q321" s="107"/>
      <c r="R321" s="107"/>
    </row>
    <row r="322" spans="1:18" ht="15" customHeight="1">
      <c r="A322" s="17" t="s">
        <v>26</v>
      </c>
      <c r="B322" s="17" t="s">
        <v>820</v>
      </c>
      <c r="C322" s="18" t="s">
        <v>563</v>
      </c>
      <c r="D322" s="17" t="s">
        <v>28</v>
      </c>
      <c r="E322" s="17" t="s">
        <v>270</v>
      </c>
      <c r="F322" s="17" t="s">
        <v>81</v>
      </c>
      <c r="G322" s="298"/>
      <c r="H322" s="138"/>
      <c r="I322" s="138"/>
      <c r="J322" s="138"/>
      <c r="K322" s="138"/>
      <c r="L322" s="138"/>
      <c r="M322" s="138"/>
      <c r="N322" s="138"/>
      <c r="O322" s="139"/>
      <c r="P322" s="138"/>
      <c r="Q322" s="107"/>
      <c r="R322" s="107"/>
    </row>
    <row r="323" spans="1:18" ht="15" customHeight="1">
      <c r="A323" s="17" t="s">
        <v>26</v>
      </c>
      <c r="B323" s="17" t="s">
        <v>826</v>
      </c>
      <c r="C323" s="18" t="s">
        <v>1002</v>
      </c>
      <c r="D323" s="17" t="s">
        <v>28</v>
      </c>
      <c r="E323" s="17" t="s">
        <v>270</v>
      </c>
      <c r="F323" s="17" t="s">
        <v>81</v>
      </c>
      <c r="G323" s="298"/>
      <c r="H323" s="138"/>
      <c r="I323" s="138"/>
      <c r="J323" s="138"/>
      <c r="K323" s="138"/>
      <c r="L323" s="138"/>
      <c r="M323" s="138"/>
      <c r="N323" s="138"/>
      <c r="O323" s="139"/>
      <c r="P323" s="138"/>
      <c r="Q323" s="107"/>
      <c r="R323" s="107"/>
    </row>
    <row r="324" spans="1:18" ht="15" customHeight="1">
      <c r="A324" s="17" t="s">
        <v>26</v>
      </c>
      <c r="B324" s="17" t="s">
        <v>821</v>
      </c>
      <c r="C324" s="18" t="s">
        <v>703</v>
      </c>
      <c r="D324" s="17" t="s">
        <v>28</v>
      </c>
      <c r="E324" s="17" t="s">
        <v>270</v>
      </c>
      <c r="F324" s="17" t="s">
        <v>81</v>
      </c>
      <c r="G324" s="298"/>
      <c r="H324" s="138"/>
      <c r="I324" s="138"/>
      <c r="J324" s="138"/>
      <c r="K324" s="138"/>
      <c r="L324" s="138"/>
      <c r="M324" s="138"/>
      <c r="N324" s="138"/>
      <c r="O324" s="139"/>
      <c r="P324" s="138"/>
      <c r="Q324" s="107"/>
      <c r="R324" s="107"/>
    </row>
    <row r="325" spans="1:18" ht="15" customHeight="1">
      <c r="A325" s="17" t="s">
        <v>26</v>
      </c>
      <c r="B325" s="17" t="s">
        <v>822</v>
      </c>
      <c r="C325" s="18" t="s">
        <v>564</v>
      </c>
      <c r="D325" s="17" t="s">
        <v>28</v>
      </c>
      <c r="E325" s="17" t="s">
        <v>270</v>
      </c>
      <c r="F325" s="17" t="s">
        <v>81</v>
      </c>
      <c r="G325" s="298"/>
      <c r="H325" s="138"/>
      <c r="I325" s="138"/>
      <c r="J325" s="138"/>
      <c r="K325" s="138"/>
      <c r="L325" s="138"/>
      <c r="M325" s="138"/>
      <c r="N325" s="138"/>
      <c r="O325" s="139"/>
      <c r="P325" s="138"/>
      <c r="Q325" s="107"/>
      <c r="R325" s="107"/>
    </row>
    <row r="326" spans="1:18" ht="15" customHeight="1" thickBot="1">
      <c r="A326" s="30" t="s">
        <v>26</v>
      </c>
      <c r="B326" s="30" t="s">
        <v>823</v>
      </c>
      <c r="C326" s="31" t="s">
        <v>243</v>
      </c>
      <c r="D326" s="30" t="s">
        <v>28</v>
      </c>
      <c r="E326" s="30" t="s">
        <v>270</v>
      </c>
      <c r="F326" s="30" t="s">
        <v>81</v>
      </c>
      <c r="G326" s="299"/>
      <c r="H326" s="140"/>
      <c r="I326" s="140"/>
      <c r="J326" s="140"/>
      <c r="K326" s="140"/>
      <c r="L326" s="140"/>
      <c r="M326" s="140"/>
      <c r="N326" s="140"/>
      <c r="O326" s="141"/>
      <c r="P326" s="140"/>
      <c r="Q326" s="142"/>
      <c r="R326" s="142"/>
    </row>
    <row r="327" spans="1:18" ht="17.45" customHeight="1" thickBot="1">
      <c r="A327" s="283"/>
      <c r="B327" s="284"/>
      <c r="C327" s="284"/>
      <c r="D327" s="284"/>
      <c r="E327" s="284"/>
      <c r="F327" s="284"/>
      <c r="G327" s="284"/>
      <c r="H327" s="284"/>
      <c r="I327" s="284"/>
      <c r="J327" s="284"/>
      <c r="K327" s="284"/>
      <c r="L327" s="284"/>
      <c r="M327" s="284"/>
      <c r="N327" s="284"/>
      <c r="O327" s="284"/>
      <c r="P327" s="284"/>
      <c r="Q327" s="284"/>
      <c r="R327" s="285"/>
    </row>
    <row r="328" spans="1:18" ht="22.15" customHeight="1" thickTop="1" thickBot="1">
      <c r="A328" s="279" t="s">
        <v>6</v>
      </c>
      <c r="B328" s="295"/>
      <c r="C328" s="295"/>
      <c r="D328" s="295"/>
      <c r="E328" s="295"/>
      <c r="F328" s="296"/>
      <c r="G328" s="32">
        <v>46050</v>
      </c>
      <c r="H328" s="278" t="s">
        <v>7</v>
      </c>
      <c r="I328" s="295"/>
      <c r="J328" s="295"/>
      <c r="K328" s="295"/>
      <c r="L328" s="295"/>
      <c r="M328" s="295"/>
      <c r="N328" s="295"/>
      <c r="O328" s="295"/>
      <c r="P328" s="295"/>
      <c r="Q328" s="295"/>
      <c r="R328" s="296"/>
    </row>
    <row r="329" spans="1:18" ht="24" customHeight="1">
      <c r="A329" s="33" t="s">
        <v>8</v>
      </c>
      <c r="B329" s="33" t="s">
        <v>9</v>
      </c>
      <c r="C329" s="34" t="s">
        <v>10</v>
      </c>
      <c r="D329" s="33" t="s">
        <v>11</v>
      </c>
      <c r="E329" s="33" t="s">
        <v>12</v>
      </c>
      <c r="F329" s="35" t="s">
        <v>13</v>
      </c>
      <c r="G329" s="36" t="s">
        <v>14</v>
      </c>
      <c r="H329" s="33" t="s">
        <v>15</v>
      </c>
      <c r="I329" s="37" t="s">
        <v>16</v>
      </c>
      <c r="J329" s="38" t="s">
        <v>17</v>
      </c>
      <c r="K329" s="39" t="s">
        <v>18</v>
      </c>
      <c r="L329" s="38" t="s">
        <v>19</v>
      </c>
      <c r="M329" s="38" t="s">
        <v>20</v>
      </c>
      <c r="N329" s="38" t="s">
        <v>21</v>
      </c>
      <c r="O329" s="33" t="s">
        <v>22</v>
      </c>
      <c r="P329" s="34" t="s">
        <v>23</v>
      </c>
      <c r="Q329" s="38" t="s">
        <v>24</v>
      </c>
      <c r="R329" s="33" t="s">
        <v>25</v>
      </c>
    </row>
    <row r="330" spans="1:18" ht="15" customHeight="1">
      <c r="A330" s="87" t="s">
        <v>61</v>
      </c>
      <c r="B330" s="87" t="s">
        <v>1005</v>
      </c>
      <c r="C330" s="88">
        <v>0.40625</v>
      </c>
      <c r="D330" s="87" t="s">
        <v>63</v>
      </c>
      <c r="E330" s="87" t="s">
        <v>107</v>
      </c>
      <c r="F330" s="87" t="s">
        <v>853</v>
      </c>
      <c r="G330" s="297"/>
      <c r="H330" s="89" t="s">
        <v>1006</v>
      </c>
      <c r="I330" s="90">
        <v>3.9100000000000003E-2</v>
      </c>
      <c r="J330" s="91">
        <v>7</v>
      </c>
      <c r="K330" s="92">
        <v>46335</v>
      </c>
      <c r="L330" s="91">
        <v>7</v>
      </c>
      <c r="M330" s="91">
        <v>0</v>
      </c>
      <c r="N330" s="91">
        <v>0</v>
      </c>
      <c r="O330" s="93" t="s">
        <v>552</v>
      </c>
      <c r="P330" s="94">
        <v>0.40625</v>
      </c>
      <c r="Q330" s="91">
        <v>179</v>
      </c>
      <c r="R330" s="95" t="s">
        <v>1033</v>
      </c>
    </row>
    <row r="331" spans="1:18" ht="15" customHeight="1">
      <c r="A331" s="19" t="s">
        <v>68</v>
      </c>
      <c r="B331" s="19" t="s">
        <v>1008</v>
      </c>
      <c r="C331" s="20">
        <v>0.40625</v>
      </c>
      <c r="D331" s="19" t="s">
        <v>643</v>
      </c>
      <c r="E331" s="19" t="s">
        <v>29</v>
      </c>
      <c r="F331" s="19" t="s">
        <v>1001</v>
      </c>
      <c r="G331" s="298"/>
      <c r="H331" s="10"/>
      <c r="I331" s="11"/>
      <c r="J331" s="11"/>
      <c r="K331" s="11"/>
      <c r="L331" s="11"/>
      <c r="M331" s="11"/>
      <c r="N331" s="11"/>
      <c r="O331" s="12"/>
      <c r="P331" s="11"/>
      <c r="Q331" s="13"/>
      <c r="R331" s="14"/>
    </row>
    <row r="332" spans="1:18" ht="18">
      <c r="A332" s="292" t="s">
        <v>991</v>
      </c>
      <c r="B332" s="303"/>
      <c r="C332" s="303"/>
      <c r="D332" s="303"/>
      <c r="E332" s="303"/>
      <c r="F332" s="304"/>
      <c r="G332" s="298"/>
      <c r="H332" s="138"/>
      <c r="I332" s="138"/>
      <c r="J332" s="138"/>
      <c r="K332" s="138"/>
      <c r="L332" s="138"/>
      <c r="M332" s="138"/>
      <c r="N332" s="138"/>
      <c r="O332" s="139"/>
      <c r="P332" s="138"/>
      <c r="Q332" s="107"/>
      <c r="R332" s="107"/>
    </row>
    <row r="333" spans="1:18" ht="15" customHeight="1">
      <c r="A333" s="17" t="s">
        <v>38</v>
      </c>
      <c r="B333" s="17" t="s">
        <v>809</v>
      </c>
      <c r="C333" s="18" t="s">
        <v>984</v>
      </c>
      <c r="D333" s="17" t="s">
        <v>40</v>
      </c>
      <c r="E333" s="17" t="s">
        <v>281</v>
      </c>
      <c r="F333" s="17" t="s">
        <v>475</v>
      </c>
      <c r="G333" s="298"/>
      <c r="H333" s="138"/>
      <c r="I333" s="138"/>
      <c r="J333" s="138"/>
      <c r="K333" s="138"/>
      <c r="L333" s="138"/>
      <c r="M333" s="138"/>
      <c r="N333" s="138"/>
      <c r="O333" s="139"/>
      <c r="P333" s="138"/>
      <c r="Q333" s="107"/>
      <c r="R333" s="107"/>
    </row>
    <row r="334" spans="1:18" ht="15" customHeight="1">
      <c r="A334" s="17" t="s">
        <v>38</v>
      </c>
      <c r="B334" s="17" t="s">
        <v>811</v>
      </c>
      <c r="C334" s="18" t="s">
        <v>769</v>
      </c>
      <c r="D334" s="17" t="s">
        <v>40</v>
      </c>
      <c r="E334" s="17" t="s">
        <v>284</v>
      </c>
      <c r="F334" s="17" t="s">
        <v>475</v>
      </c>
      <c r="G334" s="298"/>
      <c r="H334" s="138"/>
      <c r="I334" s="138"/>
      <c r="J334" s="138"/>
      <c r="K334" s="138"/>
      <c r="L334" s="138"/>
      <c r="M334" s="138"/>
      <c r="N334" s="138"/>
      <c r="O334" s="139"/>
      <c r="P334" s="138"/>
      <c r="Q334" s="107"/>
      <c r="R334" s="107"/>
    </row>
    <row r="335" spans="1:18" ht="15" customHeight="1">
      <c r="A335" s="17" t="s">
        <v>38</v>
      </c>
      <c r="B335" s="17" t="s">
        <v>812</v>
      </c>
      <c r="C335" s="18" t="s">
        <v>593</v>
      </c>
      <c r="D335" s="17" t="s">
        <v>40</v>
      </c>
      <c r="E335" s="17" t="s">
        <v>268</v>
      </c>
      <c r="F335" s="17" t="s">
        <v>872</v>
      </c>
      <c r="G335" s="298"/>
      <c r="H335" s="138"/>
      <c r="I335" s="138"/>
      <c r="J335" s="138"/>
      <c r="K335" s="138"/>
      <c r="L335" s="138"/>
      <c r="M335" s="138"/>
      <c r="N335" s="138"/>
      <c r="O335" s="139"/>
      <c r="P335" s="138"/>
      <c r="Q335" s="107"/>
      <c r="R335" s="107"/>
    </row>
    <row r="336" spans="1:18" ht="15" customHeight="1">
      <c r="A336" s="17" t="s">
        <v>38</v>
      </c>
      <c r="B336" s="17" t="s">
        <v>813</v>
      </c>
      <c r="C336" s="18" t="s">
        <v>598</v>
      </c>
      <c r="D336" s="17" t="s">
        <v>40</v>
      </c>
      <c r="E336" s="17" t="s">
        <v>268</v>
      </c>
      <c r="F336" s="17" t="s">
        <v>872</v>
      </c>
      <c r="G336" s="298"/>
      <c r="H336" s="138"/>
      <c r="I336" s="138"/>
      <c r="J336" s="138"/>
      <c r="K336" s="138"/>
      <c r="L336" s="138"/>
      <c r="M336" s="138"/>
      <c r="N336" s="138"/>
      <c r="O336" s="139"/>
      <c r="P336" s="138"/>
      <c r="Q336" s="107"/>
      <c r="R336" s="107"/>
    </row>
    <row r="337" spans="1:18" ht="15" customHeight="1">
      <c r="A337" s="17" t="s">
        <v>68</v>
      </c>
      <c r="B337" s="17" t="s">
        <v>842</v>
      </c>
      <c r="C337" s="18" t="s">
        <v>1009</v>
      </c>
      <c r="D337" s="17" t="s">
        <v>643</v>
      </c>
      <c r="E337" s="17" t="s">
        <v>303</v>
      </c>
      <c r="F337" s="17" t="s">
        <v>891</v>
      </c>
      <c r="G337" s="298"/>
      <c r="H337" s="138"/>
      <c r="I337" s="138"/>
      <c r="J337" s="138"/>
      <c r="K337" s="138"/>
      <c r="L337" s="138"/>
      <c r="M337" s="138"/>
      <c r="N337" s="138"/>
      <c r="O337" s="139"/>
      <c r="P337" s="138"/>
      <c r="Q337" s="107"/>
      <c r="R337" s="107"/>
    </row>
    <row r="338" spans="1:18" ht="15" customHeight="1">
      <c r="A338" s="17" t="s">
        <v>68</v>
      </c>
      <c r="B338" s="17" t="s">
        <v>843</v>
      </c>
      <c r="C338" s="18" t="s">
        <v>258</v>
      </c>
      <c r="D338" s="17" t="s">
        <v>643</v>
      </c>
      <c r="E338" s="17" t="s">
        <v>269</v>
      </c>
      <c r="F338" s="17" t="s">
        <v>891</v>
      </c>
      <c r="G338" s="298"/>
      <c r="H338" s="138"/>
      <c r="I338" s="138"/>
      <c r="J338" s="138"/>
      <c r="K338" s="138"/>
      <c r="L338" s="138"/>
      <c r="M338" s="138"/>
      <c r="N338" s="138"/>
      <c r="O338" s="139"/>
      <c r="P338" s="138"/>
      <c r="Q338" s="107"/>
      <c r="R338" s="107"/>
    </row>
    <row r="339" spans="1:18" ht="15" customHeight="1">
      <c r="A339" s="17" t="s">
        <v>68</v>
      </c>
      <c r="B339" s="17" t="s">
        <v>844</v>
      </c>
      <c r="C339" s="18" t="s">
        <v>1004</v>
      </c>
      <c r="D339" s="17" t="s">
        <v>643</v>
      </c>
      <c r="E339" s="17" t="s">
        <v>278</v>
      </c>
      <c r="F339" s="17" t="s">
        <v>888</v>
      </c>
      <c r="G339" s="298"/>
      <c r="H339" s="138"/>
      <c r="I339" s="138"/>
      <c r="J339" s="138"/>
      <c r="K339" s="138"/>
      <c r="L339" s="138"/>
      <c r="M339" s="138"/>
      <c r="N339" s="138"/>
      <c r="O339" s="139"/>
      <c r="P339" s="138"/>
      <c r="Q339" s="107"/>
      <c r="R339" s="107"/>
    </row>
    <row r="340" spans="1:18" ht="15" customHeight="1">
      <c r="A340" s="17" t="s">
        <v>26</v>
      </c>
      <c r="B340" s="17" t="s">
        <v>820</v>
      </c>
      <c r="C340" s="18" t="s">
        <v>563</v>
      </c>
      <c r="D340" s="17" t="s">
        <v>28</v>
      </c>
      <c r="E340" s="17" t="s">
        <v>270</v>
      </c>
      <c r="F340" s="17" t="s">
        <v>81</v>
      </c>
      <c r="G340" s="298"/>
      <c r="H340" s="138"/>
      <c r="I340" s="138"/>
      <c r="J340" s="138"/>
      <c r="K340" s="138"/>
      <c r="L340" s="138"/>
      <c r="M340" s="138"/>
      <c r="N340" s="138"/>
      <c r="O340" s="139"/>
      <c r="P340" s="138"/>
      <c r="Q340" s="107"/>
      <c r="R340" s="107"/>
    </row>
    <row r="341" spans="1:18" ht="15" customHeight="1">
      <c r="A341" s="17" t="s">
        <v>26</v>
      </c>
      <c r="B341" s="17" t="s">
        <v>826</v>
      </c>
      <c r="C341" s="18" t="s">
        <v>1002</v>
      </c>
      <c r="D341" s="17" t="s">
        <v>28</v>
      </c>
      <c r="E341" s="17" t="s">
        <v>270</v>
      </c>
      <c r="F341" s="17" t="s">
        <v>81</v>
      </c>
      <c r="G341" s="298"/>
      <c r="H341" s="138"/>
      <c r="I341" s="138"/>
      <c r="J341" s="138"/>
      <c r="K341" s="138"/>
      <c r="L341" s="138"/>
      <c r="M341" s="138"/>
      <c r="N341" s="138"/>
      <c r="O341" s="139"/>
      <c r="P341" s="138"/>
      <c r="Q341" s="107"/>
      <c r="R341" s="107"/>
    </row>
    <row r="342" spans="1:18" ht="15" customHeight="1" thickBot="1">
      <c r="A342" s="30" t="s">
        <v>26</v>
      </c>
      <c r="B342" s="30" t="s">
        <v>821</v>
      </c>
      <c r="C342" s="31" t="s">
        <v>703</v>
      </c>
      <c r="D342" s="30" t="s">
        <v>28</v>
      </c>
      <c r="E342" s="30" t="s">
        <v>270</v>
      </c>
      <c r="F342" s="30" t="s">
        <v>81</v>
      </c>
      <c r="G342" s="299"/>
      <c r="H342" s="140"/>
      <c r="I342" s="140"/>
      <c r="J342" s="140"/>
      <c r="K342" s="140"/>
      <c r="L342" s="140"/>
      <c r="M342" s="140"/>
      <c r="N342" s="140"/>
      <c r="O342" s="141"/>
      <c r="P342" s="140"/>
      <c r="Q342" s="142"/>
      <c r="R342" s="142"/>
    </row>
    <row r="343" spans="1:18" ht="17.45" customHeight="1" thickBot="1">
      <c r="A343" s="283"/>
      <c r="B343" s="284"/>
      <c r="C343" s="284"/>
      <c r="D343" s="284"/>
      <c r="E343" s="284"/>
      <c r="F343" s="284"/>
      <c r="G343" s="284"/>
      <c r="H343" s="284"/>
      <c r="I343" s="284"/>
      <c r="J343" s="284"/>
      <c r="K343" s="284"/>
      <c r="L343" s="284"/>
      <c r="M343" s="284"/>
      <c r="N343" s="284"/>
      <c r="O343" s="284"/>
      <c r="P343" s="284"/>
      <c r="Q343" s="284"/>
      <c r="R343" s="285"/>
    </row>
    <row r="344" spans="1:18" ht="22.15" customHeight="1" thickTop="1" thickBot="1">
      <c r="A344" s="279" t="s">
        <v>6</v>
      </c>
      <c r="B344" s="295"/>
      <c r="C344" s="295"/>
      <c r="D344" s="295"/>
      <c r="E344" s="295"/>
      <c r="F344" s="296"/>
      <c r="G344" s="32">
        <v>46051</v>
      </c>
      <c r="H344" s="278" t="s">
        <v>7</v>
      </c>
      <c r="I344" s="295"/>
      <c r="J344" s="295"/>
      <c r="K344" s="295"/>
      <c r="L344" s="295"/>
      <c r="M344" s="295"/>
      <c r="N344" s="295"/>
      <c r="O344" s="295"/>
      <c r="P344" s="295"/>
      <c r="Q344" s="295"/>
      <c r="R344" s="296"/>
    </row>
    <row r="345" spans="1:18" ht="24" customHeight="1">
      <c r="A345" s="33" t="s">
        <v>8</v>
      </c>
      <c r="B345" s="33" t="s">
        <v>9</v>
      </c>
      <c r="C345" s="34" t="s">
        <v>10</v>
      </c>
      <c r="D345" s="33" t="s">
        <v>11</v>
      </c>
      <c r="E345" s="33" t="s">
        <v>12</v>
      </c>
      <c r="F345" s="35" t="s">
        <v>13</v>
      </c>
      <c r="G345" s="36" t="s">
        <v>14</v>
      </c>
      <c r="H345" s="33" t="s">
        <v>15</v>
      </c>
      <c r="I345" s="37" t="s">
        <v>16</v>
      </c>
      <c r="J345" s="38" t="s">
        <v>17</v>
      </c>
      <c r="K345" s="39" t="s">
        <v>18</v>
      </c>
      <c r="L345" s="38" t="s">
        <v>19</v>
      </c>
      <c r="M345" s="38" t="s">
        <v>20</v>
      </c>
      <c r="N345" s="38" t="s">
        <v>21</v>
      </c>
      <c r="O345" s="33" t="s">
        <v>22</v>
      </c>
      <c r="P345" s="34" t="s">
        <v>23</v>
      </c>
      <c r="Q345" s="38" t="s">
        <v>24</v>
      </c>
      <c r="R345" s="33" t="s">
        <v>25</v>
      </c>
    </row>
    <row r="346" spans="1:18" ht="15" customHeight="1">
      <c r="A346" s="8" t="s">
        <v>26</v>
      </c>
      <c r="B346" s="8" t="s">
        <v>986</v>
      </c>
      <c r="C346" s="9">
        <v>0.3611111111111111</v>
      </c>
      <c r="D346" s="8" t="s">
        <v>987</v>
      </c>
      <c r="E346" s="8" t="s">
        <v>80</v>
      </c>
      <c r="F346" s="8" t="s">
        <v>988</v>
      </c>
      <c r="G346" s="302"/>
      <c r="H346" s="10"/>
      <c r="I346" s="11"/>
      <c r="J346" s="11"/>
      <c r="K346" s="11"/>
      <c r="L346" s="11"/>
      <c r="M346" s="11"/>
      <c r="N346" s="11"/>
      <c r="O346" s="12"/>
      <c r="P346" s="11"/>
      <c r="Q346" s="13"/>
      <c r="R346" s="14"/>
    </row>
    <row r="347" spans="1:18" ht="15" customHeight="1">
      <c r="A347" s="15" t="s">
        <v>26</v>
      </c>
      <c r="B347" s="15" t="s">
        <v>986</v>
      </c>
      <c r="C347" s="16">
        <v>0.3611111111111111</v>
      </c>
      <c r="D347" s="15" t="s">
        <v>31</v>
      </c>
      <c r="E347" s="15" t="s">
        <v>82</v>
      </c>
      <c r="F347" s="15" t="s">
        <v>989</v>
      </c>
      <c r="G347" s="298"/>
      <c r="H347" s="10"/>
      <c r="I347" s="11"/>
      <c r="J347" s="11"/>
      <c r="K347" s="11"/>
      <c r="L347" s="11"/>
      <c r="M347" s="11"/>
      <c r="N347" s="11"/>
      <c r="O347" s="12"/>
      <c r="P347" s="11"/>
      <c r="Q347" s="13"/>
      <c r="R347" s="14"/>
    </row>
    <row r="348" spans="1:18" ht="15" customHeight="1">
      <c r="A348" s="15" t="s">
        <v>26</v>
      </c>
      <c r="B348" s="15" t="s">
        <v>986</v>
      </c>
      <c r="C348" s="16">
        <v>0.3611111111111111</v>
      </c>
      <c r="D348" s="15" t="s">
        <v>34</v>
      </c>
      <c r="E348" s="15" t="s">
        <v>82</v>
      </c>
      <c r="F348" s="15" t="s">
        <v>990</v>
      </c>
      <c r="G348" s="298"/>
      <c r="H348" s="10"/>
      <c r="I348" s="11"/>
      <c r="J348" s="11"/>
      <c r="K348" s="11"/>
      <c r="L348" s="11"/>
      <c r="M348" s="11"/>
      <c r="N348" s="11"/>
      <c r="O348" s="12"/>
      <c r="P348" s="11"/>
      <c r="Q348" s="13"/>
      <c r="R348" s="14"/>
    </row>
    <row r="349" spans="1:18" ht="18">
      <c r="A349" s="292" t="s">
        <v>991</v>
      </c>
      <c r="B349" s="303"/>
      <c r="C349" s="303"/>
      <c r="D349" s="303"/>
      <c r="E349" s="303"/>
      <c r="F349" s="304"/>
      <c r="G349" s="298"/>
      <c r="H349" s="138"/>
      <c r="I349" s="138"/>
      <c r="J349" s="138"/>
      <c r="K349" s="138"/>
      <c r="L349" s="138"/>
      <c r="M349" s="138"/>
      <c r="N349" s="138"/>
      <c r="O349" s="139"/>
      <c r="P349" s="138"/>
      <c r="Q349" s="107"/>
      <c r="R349" s="107"/>
    </row>
    <row r="350" spans="1:18" ht="15" customHeight="1">
      <c r="A350" s="17" t="s">
        <v>38</v>
      </c>
      <c r="B350" s="17" t="s">
        <v>809</v>
      </c>
      <c r="C350" s="18" t="s">
        <v>984</v>
      </c>
      <c r="D350" s="17" t="s">
        <v>40</v>
      </c>
      <c r="E350" s="17" t="s">
        <v>268</v>
      </c>
      <c r="F350" s="17" t="s">
        <v>475</v>
      </c>
      <c r="G350" s="298"/>
      <c r="H350" s="138"/>
      <c r="I350" s="138"/>
      <c r="J350" s="138"/>
      <c r="K350" s="138"/>
      <c r="L350" s="138"/>
      <c r="M350" s="138"/>
      <c r="N350" s="138"/>
      <c r="O350" s="139"/>
      <c r="P350" s="138"/>
      <c r="Q350" s="107"/>
      <c r="R350" s="107"/>
    </row>
    <row r="351" spans="1:18" ht="15" customHeight="1">
      <c r="A351" s="17" t="s">
        <v>38</v>
      </c>
      <c r="B351" s="17" t="s">
        <v>811</v>
      </c>
      <c r="C351" s="18" t="s">
        <v>769</v>
      </c>
      <c r="D351" s="17" t="s">
        <v>40</v>
      </c>
      <c r="E351" s="17" t="s">
        <v>312</v>
      </c>
      <c r="F351" s="17" t="s">
        <v>475</v>
      </c>
      <c r="G351" s="298"/>
      <c r="H351" s="138"/>
      <c r="I351" s="138"/>
      <c r="J351" s="138"/>
      <c r="K351" s="138"/>
      <c r="L351" s="138"/>
      <c r="M351" s="138"/>
      <c r="N351" s="138"/>
      <c r="O351" s="139"/>
      <c r="P351" s="138"/>
      <c r="Q351" s="107"/>
      <c r="R351" s="107"/>
    </row>
    <row r="352" spans="1:18" ht="15" customHeight="1">
      <c r="A352" s="17" t="s">
        <v>68</v>
      </c>
      <c r="B352" s="17" t="s">
        <v>842</v>
      </c>
      <c r="C352" s="18" t="s">
        <v>1009</v>
      </c>
      <c r="D352" s="17" t="s">
        <v>643</v>
      </c>
      <c r="E352" s="17" t="s">
        <v>303</v>
      </c>
      <c r="F352" s="17" t="s">
        <v>891</v>
      </c>
      <c r="G352" s="298"/>
      <c r="H352" s="138"/>
      <c r="I352" s="138"/>
      <c r="J352" s="138"/>
      <c r="K352" s="138"/>
      <c r="L352" s="138"/>
      <c r="M352" s="138"/>
      <c r="N352" s="138"/>
      <c r="O352" s="139"/>
      <c r="P352" s="138"/>
      <c r="Q352" s="107"/>
      <c r="R352" s="107"/>
    </row>
    <row r="353" spans="1:18" ht="15" customHeight="1">
      <c r="A353" s="17" t="s">
        <v>26</v>
      </c>
      <c r="B353" s="17" t="s">
        <v>820</v>
      </c>
      <c r="C353" s="18" t="s">
        <v>563</v>
      </c>
      <c r="D353" s="17" t="s">
        <v>28</v>
      </c>
      <c r="E353" s="17" t="s">
        <v>270</v>
      </c>
      <c r="F353" s="17" t="s">
        <v>81</v>
      </c>
      <c r="G353" s="298"/>
      <c r="H353" s="138"/>
      <c r="I353" s="138"/>
      <c r="J353" s="138"/>
      <c r="K353" s="138"/>
      <c r="L353" s="138"/>
      <c r="M353" s="138"/>
      <c r="N353" s="138"/>
      <c r="O353" s="139"/>
      <c r="P353" s="138"/>
      <c r="Q353" s="107"/>
      <c r="R353" s="107"/>
    </row>
    <row r="354" spans="1:18" ht="15" customHeight="1">
      <c r="A354" s="17" t="s">
        <v>26</v>
      </c>
      <c r="B354" s="17" t="s">
        <v>821</v>
      </c>
      <c r="C354" s="18" t="s">
        <v>703</v>
      </c>
      <c r="D354" s="17" t="s">
        <v>28</v>
      </c>
      <c r="E354" s="17" t="s">
        <v>270</v>
      </c>
      <c r="F354" s="17" t="s">
        <v>81</v>
      </c>
      <c r="G354" s="298"/>
      <c r="H354" s="138"/>
      <c r="I354" s="138"/>
      <c r="J354" s="138"/>
      <c r="K354" s="138"/>
      <c r="L354" s="138"/>
      <c r="M354" s="138"/>
      <c r="N354" s="138"/>
      <c r="O354" s="139"/>
      <c r="P354" s="138"/>
      <c r="Q354" s="107"/>
      <c r="R354" s="107"/>
    </row>
    <row r="355" spans="1:18" ht="15" customHeight="1">
      <c r="A355" s="17" t="s">
        <v>26</v>
      </c>
      <c r="B355" s="17" t="s">
        <v>822</v>
      </c>
      <c r="C355" s="18" t="s">
        <v>564</v>
      </c>
      <c r="D355" s="17" t="s">
        <v>28</v>
      </c>
      <c r="E355" s="17" t="s">
        <v>278</v>
      </c>
      <c r="F355" s="17" t="s">
        <v>81</v>
      </c>
      <c r="G355" s="298"/>
      <c r="H355" s="138"/>
      <c r="I355" s="138"/>
      <c r="J355" s="138"/>
      <c r="K355" s="138"/>
      <c r="L355" s="138"/>
      <c r="M355" s="138"/>
      <c r="N355" s="138"/>
      <c r="O355" s="139"/>
      <c r="P355" s="138"/>
      <c r="Q355" s="107"/>
      <c r="R355" s="107"/>
    </row>
    <row r="356" spans="1:18" ht="15" customHeight="1">
      <c r="A356" s="17" t="s">
        <v>26</v>
      </c>
      <c r="B356" s="17" t="s">
        <v>824</v>
      </c>
      <c r="C356" s="18" t="s">
        <v>995</v>
      </c>
      <c r="D356" s="17" t="s">
        <v>28</v>
      </c>
      <c r="E356" s="17" t="s">
        <v>270</v>
      </c>
      <c r="F356" s="17" t="s">
        <v>81</v>
      </c>
      <c r="G356" s="298"/>
      <c r="H356" s="138"/>
      <c r="I356" s="138"/>
      <c r="J356" s="138"/>
      <c r="K356" s="138"/>
      <c r="L356" s="138"/>
      <c r="M356" s="138"/>
      <c r="N356" s="138"/>
      <c r="O356" s="139"/>
      <c r="P356" s="138"/>
      <c r="Q356" s="107"/>
      <c r="R356" s="107"/>
    </row>
    <row r="357" spans="1:18" ht="15" customHeight="1">
      <c r="A357" s="17" t="s">
        <v>26</v>
      </c>
      <c r="B357" s="17" t="s">
        <v>825</v>
      </c>
      <c r="C357" s="18" t="s">
        <v>272</v>
      </c>
      <c r="D357" s="17" t="s">
        <v>28</v>
      </c>
      <c r="E357" s="17" t="s">
        <v>270</v>
      </c>
      <c r="F357" s="17" t="s">
        <v>81</v>
      </c>
      <c r="G357" s="298"/>
      <c r="H357" s="138"/>
      <c r="I357" s="138"/>
      <c r="J357" s="138"/>
      <c r="K357" s="138"/>
      <c r="L357" s="138"/>
      <c r="M357" s="138"/>
      <c r="N357" s="138"/>
      <c r="O357" s="139"/>
      <c r="P357" s="138"/>
      <c r="Q357" s="107"/>
      <c r="R357" s="107"/>
    </row>
    <row r="358" spans="1:18" ht="15" customHeight="1">
      <c r="A358" s="17" t="s">
        <v>61</v>
      </c>
      <c r="B358" s="17" t="s">
        <v>816</v>
      </c>
      <c r="C358" s="18" t="s">
        <v>974</v>
      </c>
      <c r="D358" s="17" t="s">
        <v>63</v>
      </c>
      <c r="E358" s="17" t="s">
        <v>269</v>
      </c>
      <c r="F358" s="17" t="s">
        <v>849</v>
      </c>
      <c r="G358" s="298"/>
      <c r="H358" s="138"/>
      <c r="I358" s="138"/>
      <c r="J358" s="138"/>
      <c r="K358" s="138"/>
      <c r="L358" s="138"/>
      <c r="M358" s="138"/>
      <c r="N358" s="138"/>
      <c r="O358" s="139"/>
      <c r="P358" s="138"/>
      <c r="Q358" s="107"/>
      <c r="R358" s="107"/>
    </row>
    <row r="359" spans="1:18" ht="15" customHeight="1" thickBot="1">
      <c r="A359" s="30" t="s">
        <v>359</v>
      </c>
      <c r="B359" s="30" t="s">
        <v>814</v>
      </c>
      <c r="C359" s="31" t="s">
        <v>563</v>
      </c>
      <c r="D359" s="30" t="s">
        <v>361</v>
      </c>
      <c r="E359" s="30" t="s">
        <v>270</v>
      </c>
      <c r="F359" s="30" t="s">
        <v>949</v>
      </c>
      <c r="G359" s="299"/>
      <c r="H359" s="140"/>
      <c r="I359" s="140"/>
      <c r="J359" s="140"/>
      <c r="K359" s="140"/>
      <c r="L359" s="140"/>
      <c r="M359" s="140"/>
      <c r="N359" s="140"/>
      <c r="O359" s="141"/>
      <c r="P359" s="140"/>
      <c r="Q359" s="142"/>
      <c r="R359" s="142"/>
    </row>
    <row r="360" spans="1:18" ht="17.45" customHeight="1" thickBot="1">
      <c r="A360" s="283"/>
      <c r="B360" s="284"/>
      <c r="C360" s="284"/>
      <c r="D360" s="284"/>
      <c r="E360" s="284"/>
      <c r="F360" s="284"/>
      <c r="G360" s="284"/>
      <c r="H360" s="284"/>
      <c r="I360" s="284"/>
      <c r="J360" s="284"/>
      <c r="K360" s="284"/>
      <c r="L360" s="284"/>
      <c r="M360" s="284"/>
      <c r="N360" s="284"/>
      <c r="O360" s="284"/>
      <c r="P360" s="284"/>
      <c r="Q360" s="284"/>
      <c r="R360" s="285"/>
    </row>
    <row r="361" spans="1:18" ht="22.15" customHeight="1" thickTop="1" thickBot="1">
      <c r="A361" s="279" t="s">
        <v>6</v>
      </c>
      <c r="B361" s="295"/>
      <c r="C361" s="295"/>
      <c r="D361" s="295"/>
      <c r="E361" s="295"/>
      <c r="F361" s="296"/>
      <c r="G361" s="32">
        <v>46053</v>
      </c>
      <c r="H361" s="278" t="s">
        <v>7</v>
      </c>
      <c r="I361" s="295"/>
      <c r="J361" s="295"/>
      <c r="K361" s="295"/>
      <c r="L361" s="295"/>
      <c r="M361" s="295"/>
      <c r="N361" s="295"/>
      <c r="O361" s="295"/>
      <c r="P361" s="295"/>
      <c r="Q361" s="295"/>
      <c r="R361" s="296"/>
    </row>
    <row r="362" spans="1:18" ht="24" customHeight="1">
      <c r="A362" s="33" t="s">
        <v>8</v>
      </c>
      <c r="B362" s="33" t="s">
        <v>9</v>
      </c>
      <c r="C362" s="34" t="s">
        <v>10</v>
      </c>
      <c r="D362" s="33" t="s">
        <v>11</v>
      </c>
      <c r="E362" s="33" t="s">
        <v>12</v>
      </c>
      <c r="F362" s="35" t="s">
        <v>13</v>
      </c>
      <c r="G362" s="36" t="s">
        <v>14</v>
      </c>
      <c r="H362" s="33" t="s">
        <v>15</v>
      </c>
      <c r="I362" s="37" t="s">
        <v>16</v>
      </c>
      <c r="J362" s="38" t="s">
        <v>17</v>
      </c>
      <c r="K362" s="39" t="s">
        <v>18</v>
      </c>
      <c r="L362" s="38" t="s">
        <v>19</v>
      </c>
      <c r="M362" s="38" t="s">
        <v>20</v>
      </c>
      <c r="N362" s="38" t="s">
        <v>21</v>
      </c>
      <c r="O362" s="33" t="s">
        <v>22</v>
      </c>
      <c r="P362" s="34" t="s">
        <v>23</v>
      </c>
      <c r="Q362" s="38" t="s">
        <v>24</v>
      </c>
      <c r="R362" s="33" t="s">
        <v>25</v>
      </c>
    </row>
    <row r="363" spans="1:18" ht="15" customHeight="1">
      <c r="A363" s="8" t="s">
        <v>26</v>
      </c>
      <c r="B363" s="8" t="s">
        <v>986</v>
      </c>
      <c r="C363" s="9">
        <v>0.3611111111111111</v>
      </c>
      <c r="D363" s="8" t="s">
        <v>987</v>
      </c>
      <c r="E363" s="8" t="s">
        <v>177</v>
      </c>
      <c r="F363" s="8" t="s">
        <v>988</v>
      </c>
      <c r="G363" s="302"/>
      <c r="H363" s="10"/>
      <c r="I363" s="11"/>
      <c r="J363" s="11"/>
      <c r="K363" s="11"/>
      <c r="L363" s="11"/>
      <c r="M363" s="11"/>
      <c r="N363" s="11"/>
      <c r="O363" s="12"/>
      <c r="P363" s="11"/>
      <c r="Q363" s="13"/>
      <c r="R363" s="14"/>
    </row>
    <row r="364" spans="1:18" ht="15" customHeight="1">
      <c r="A364" s="15" t="s">
        <v>26</v>
      </c>
      <c r="B364" s="15" t="s">
        <v>986</v>
      </c>
      <c r="C364" s="16">
        <v>0.3611111111111111</v>
      </c>
      <c r="D364" s="15" t="s">
        <v>31</v>
      </c>
      <c r="E364" s="15" t="s">
        <v>454</v>
      </c>
      <c r="F364" s="15" t="s">
        <v>989</v>
      </c>
      <c r="G364" s="298"/>
      <c r="H364" s="10"/>
      <c r="I364" s="11"/>
      <c r="J364" s="11"/>
      <c r="K364" s="11"/>
      <c r="L364" s="11"/>
      <c r="M364" s="11"/>
      <c r="N364" s="11"/>
      <c r="O364" s="12"/>
      <c r="P364" s="11"/>
      <c r="Q364" s="13"/>
      <c r="R364" s="14"/>
    </row>
    <row r="365" spans="1:18" ht="15" customHeight="1">
      <c r="A365" s="15" t="s">
        <v>26</v>
      </c>
      <c r="B365" s="15" t="s">
        <v>986</v>
      </c>
      <c r="C365" s="16">
        <v>0.3611111111111111</v>
      </c>
      <c r="D365" s="15" t="s">
        <v>34</v>
      </c>
      <c r="E365" s="15" t="s">
        <v>454</v>
      </c>
      <c r="F365" s="15" t="s">
        <v>990</v>
      </c>
      <c r="G365" s="298"/>
      <c r="H365" s="10"/>
      <c r="I365" s="11"/>
      <c r="J365" s="11"/>
      <c r="K365" s="11"/>
      <c r="L365" s="11"/>
      <c r="M365" s="11"/>
      <c r="N365" s="11"/>
      <c r="O365" s="12"/>
      <c r="P365" s="11"/>
      <c r="Q365" s="13"/>
      <c r="R365" s="14"/>
    </row>
    <row r="366" spans="1:18" ht="18">
      <c r="A366" s="292" t="s">
        <v>991</v>
      </c>
      <c r="B366" s="303"/>
      <c r="C366" s="303"/>
      <c r="D366" s="303"/>
      <c r="E366" s="303"/>
      <c r="F366" s="304"/>
      <c r="G366" s="298"/>
      <c r="H366" s="138"/>
      <c r="I366" s="138"/>
      <c r="J366" s="138"/>
      <c r="K366" s="138"/>
      <c r="L366" s="138"/>
      <c r="M366" s="138"/>
      <c r="N366" s="138"/>
      <c r="O366" s="139"/>
      <c r="P366" s="138"/>
      <c r="Q366" s="107"/>
      <c r="R366" s="107"/>
    </row>
    <row r="367" spans="1:18" ht="15" customHeight="1">
      <c r="A367" s="17" t="s">
        <v>38</v>
      </c>
      <c r="B367" s="17" t="s">
        <v>809</v>
      </c>
      <c r="C367" s="18" t="s">
        <v>984</v>
      </c>
      <c r="D367" s="17" t="s">
        <v>40</v>
      </c>
      <c r="E367" s="17" t="s">
        <v>281</v>
      </c>
      <c r="F367" s="17" t="s">
        <v>872</v>
      </c>
      <c r="G367" s="298"/>
      <c r="H367" s="138"/>
      <c r="I367" s="138"/>
      <c r="J367" s="138"/>
      <c r="K367" s="138"/>
      <c r="L367" s="138"/>
      <c r="M367" s="138"/>
      <c r="N367" s="138"/>
      <c r="O367" s="139"/>
      <c r="P367" s="138"/>
      <c r="Q367" s="107"/>
      <c r="R367" s="107"/>
    </row>
    <row r="368" spans="1:18" ht="15" customHeight="1">
      <c r="A368" s="17" t="s">
        <v>26</v>
      </c>
      <c r="B368" s="17" t="s">
        <v>820</v>
      </c>
      <c r="C368" s="18" t="s">
        <v>563</v>
      </c>
      <c r="D368" s="17" t="s">
        <v>28</v>
      </c>
      <c r="E368" s="17" t="s">
        <v>270</v>
      </c>
      <c r="F368" s="17" t="s">
        <v>81</v>
      </c>
      <c r="G368" s="298"/>
      <c r="H368" s="138"/>
      <c r="I368" s="138"/>
      <c r="J368" s="138"/>
      <c r="K368" s="138"/>
      <c r="L368" s="138"/>
      <c r="M368" s="138"/>
      <c r="N368" s="138"/>
      <c r="O368" s="139"/>
      <c r="P368" s="138"/>
      <c r="Q368" s="107"/>
      <c r="R368" s="107"/>
    </row>
    <row r="369" spans="1:18" ht="15" customHeight="1">
      <c r="A369" s="17" t="s">
        <v>26</v>
      </c>
      <c r="B369" s="17" t="s">
        <v>821</v>
      </c>
      <c r="C369" s="18" t="s">
        <v>703</v>
      </c>
      <c r="D369" s="17" t="s">
        <v>28</v>
      </c>
      <c r="E369" s="17" t="s">
        <v>270</v>
      </c>
      <c r="F369" s="17" t="s">
        <v>81</v>
      </c>
      <c r="G369" s="298"/>
      <c r="H369" s="138"/>
      <c r="I369" s="138"/>
      <c r="J369" s="138"/>
      <c r="K369" s="138"/>
      <c r="L369" s="138"/>
      <c r="M369" s="138"/>
      <c r="N369" s="138"/>
      <c r="O369" s="139"/>
      <c r="P369" s="138"/>
      <c r="Q369" s="107"/>
      <c r="R369" s="107"/>
    </row>
    <row r="370" spans="1:18" ht="15" customHeight="1">
      <c r="A370" s="17" t="s">
        <v>26</v>
      </c>
      <c r="B370" s="17" t="s">
        <v>822</v>
      </c>
      <c r="C370" s="18" t="s">
        <v>564</v>
      </c>
      <c r="D370" s="17" t="s">
        <v>28</v>
      </c>
      <c r="E370" s="17" t="s">
        <v>270</v>
      </c>
      <c r="F370" s="17" t="s">
        <v>81</v>
      </c>
      <c r="G370" s="298"/>
      <c r="H370" s="138"/>
      <c r="I370" s="138"/>
      <c r="J370" s="138"/>
      <c r="K370" s="138"/>
      <c r="L370" s="138"/>
      <c r="M370" s="138"/>
      <c r="N370" s="138"/>
      <c r="O370" s="139"/>
      <c r="P370" s="138"/>
      <c r="Q370" s="107"/>
      <c r="R370" s="107"/>
    </row>
    <row r="371" spans="1:18" ht="15" customHeight="1">
      <c r="A371" s="17" t="s">
        <v>26</v>
      </c>
      <c r="B371" s="17" t="s">
        <v>825</v>
      </c>
      <c r="C371" s="18" t="s">
        <v>272</v>
      </c>
      <c r="D371" s="17" t="s">
        <v>28</v>
      </c>
      <c r="E371" s="17" t="s">
        <v>270</v>
      </c>
      <c r="F371" s="17" t="s">
        <v>81</v>
      </c>
      <c r="G371" s="298"/>
      <c r="H371" s="138"/>
      <c r="I371" s="138"/>
      <c r="J371" s="138"/>
      <c r="K371" s="138"/>
      <c r="L371" s="138"/>
      <c r="M371" s="138"/>
      <c r="N371" s="138"/>
      <c r="O371" s="139"/>
      <c r="P371" s="138"/>
      <c r="Q371" s="107"/>
      <c r="R371" s="107"/>
    </row>
    <row r="372" spans="1:18" ht="15" customHeight="1">
      <c r="A372" s="17" t="s">
        <v>38</v>
      </c>
      <c r="B372" s="17" t="s">
        <v>811</v>
      </c>
      <c r="C372" s="18" t="s">
        <v>769</v>
      </c>
      <c r="D372" s="17" t="s">
        <v>40</v>
      </c>
      <c r="E372" s="17" t="s">
        <v>312</v>
      </c>
      <c r="F372" s="17" t="s">
        <v>848</v>
      </c>
      <c r="G372" s="298"/>
      <c r="H372" s="138"/>
      <c r="I372" s="138"/>
      <c r="J372" s="138"/>
      <c r="K372" s="138"/>
      <c r="L372" s="138"/>
      <c r="M372" s="138"/>
      <c r="N372" s="138"/>
      <c r="O372" s="139"/>
      <c r="P372" s="138"/>
      <c r="Q372" s="107"/>
      <c r="R372" s="107"/>
    </row>
    <row r="373" spans="1:18" ht="15" customHeight="1">
      <c r="A373" s="17" t="s">
        <v>359</v>
      </c>
      <c r="B373" s="17" t="s">
        <v>814</v>
      </c>
      <c r="C373" s="18" t="s">
        <v>563</v>
      </c>
      <c r="D373" s="17" t="s">
        <v>361</v>
      </c>
      <c r="E373" s="17" t="s">
        <v>270</v>
      </c>
      <c r="F373" s="17" t="s">
        <v>879</v>
      </c>
      <c r="G373" s="298"/>
      <c r="H373" s="138"/>
      <c r="I373" s="138"/>
      <c r="J373" s="138"/>
      <c r="K373" s="138"/>
      <c r="L373" s="138"/>
      <c r="M373" s="138"/>
      <c r="N373" s="138"/>
      <c r="O373" s="139"/>
      <c r="P373" s="138"/>
      <c r="Q373" s="107"/>
      <c r="R373" s="107"/>
    </row>
    <row r="374" spans="1:18" ht="15" customHeight="1">
      <c r="A374" s="17" t="s">
        <v>61</v>
      </c>
      <c r="B374" s="17" t="s">
        <v>816</v>
      </c>
      <c r="C374" s="18" t="s">
        <v>974</v>
      </c>
      <c r="D374" s="17" t="s">
        <v>63</v>
      </c>
      <c r="E374" s="17" t="s">
        <v>267</v>
      </c>
      <c r="F374" s="17" t="s">
        <v>853</v>
      </c>
      <c r="G374" s="298"/>
      <c r="H374" s="138"/>
      <c r="I374" s="138"/>
      <c r="J374" s="138"/>
      <c r="K374" s="138"/>
      <c r="L374" s="138"/>
      <c r="M374" s="138"/>
      <c r="N374" s="138"/>
      <c r="O374" s="139"/>
      <c r="P374" s="138"/>
      <c r="Q374" s="107"/>
      <c r="R374" s="107"/>
    </row>
    <row r="375" spans="1:18" ht="15" customHeight="1">
      <c r="A375" s="17" t="s">
        <v>26</v>
      </c>
      <c r="B375" s="17" t="s">
        <v>826</v>
      </c>
      <c r="C375" s="18" t="s">
        <v>1002</v>
      </c>
      <c r="D375" s="17" t="s">
        <v>28</v>
      </c>
      <c r="E375" s="17" t="s">
        <v>278</v>
      </c>
      <c r="F375" s="17" t="s">
        <v>827</v>
      </c>
      <c r="G375" s="298"/>
      <c r="H375" s="138"/>
      <c r="I375" s="138"/>
      <c r="J375" s="138"/>
      <c r="K375" s="138"/>
      <c r="L375" s="138"/>
      <c r="M375" s="138"/>
      <c r="N375" s="138"/>
      <c r="O375" s="139"/>
      <c r="P375" s="138"/>
      <c r="Q375" s="107"/>
      <c r="R375" s="107"/>
    </row>
    <row r="376" spans="1:18" ht="15" customHeight="1">
      <c r="A376" s="30" t="s">
        <v>26</v>
      </c>
      <c r="B376" s="30" t="s">
        <v>823</v>
      </c>
      <c r="C376" s="31" t="s">
        <v>243</v>
      </c>
      <c r="D376" s="30" t="s">
        <v>28</v>
      </c>
      <c r="E376" s="30" t="s">
        <v>270</v>
      </c>
      <c r="F376" s="30" t="s">
        <v>827</v>
      </c>
      <c r="G376" s="299"/>
      <c r="H376" s="140"/>
      <c r="I376" s="140"/>
      <c r="J376" s="140"/>
      <c r="K376" s="140"/>
      <c r="L376" s="140"/>
      <c r="M376" s="140"/>
      <c r="N376" s="140"/>
      <c r="O376" s="141"/>
      <c r="P376" s="140"/>
      <c r="Q376" s="142"/>
      <c r="R376" s="142"/>
    </row>
  </sheetData>
  <mergeCells count="116">
    <mergeCell ref="H1:L1"/>
    <mergeCell ref="A1:E1"/>
    <mergeCell ref="G261:G274"/>
    <mergeCell ref="A223:R223"/>
    <mergeCell ref="G56:G71"/>
    <mergeCell ref="A224:F224"/>
    <mergeCell ref="H89:R89"/>
    <mergeCell ref="A38:F38"/>
    <mergeCell ref="A122:R122"/>
    <mergeCell ref="A190:R190"/>
    <mergeCell ref="H208:R208"/>
    <mergeCell ref="A73:F73"/>
    <mergeCell ref="G141:G156"/>
    <mergeCell ref="H139:R139"/>
    <mergeCell ref="G6:G19"/>
    <mergeCell ref="A2:F2"/>
    <mergeCell ref="A42:F42"/>
    <mergeCell ref="G245:G257"/>
    <mergeCell ref="A242:R242"/>
    <mergeCell ref="G2:J2"/>
    <mergeCell ref="A4:F4"/>
    <mergeCell ref="A258:R258"/>
    <mergeCell ref="A174:F174"/>
    <mergeCell ref="H328:R328"/>
    <mergeCell ref="G160:G172"/>
    <mergeCell ref="A292:R292"/>
    <mergeCell ref="A158:F158"/>
    <mergeCell ref="H309:R309"/>
    <mergeCell ref="A9:F9"/>
    <mergeCell ref="A308:R308"/>
    <mergeCell ref="A127:F127"/>
    <mergeCell ref="A173:R173"/>
    <mergeCell ref="A157:R157"/>
    <mergeCell ref="G75:G87"/>
    <mergeCell ref="A191:F191"/>
    <mergeCell ref="A61:F61"/>
    <mergeCell ref="A207:R207"/>
    <mergeCell ref="G295:G307"/>
    <mergeCell ref="A162:F162"/>
    <mergeCell ref="A54:F54"/>
    <mergeCell ref="H106:R106"/>
    <mergeCell ref="A208:F208"/>
    <mergeCell ref="H38:R38"/>
    <mergeCell ref="H21:R21"/>
    <mergeCell ref="A20:R20"/>
    <mergeCell ref="G108:G121"/>
    <mergeCell ref="A88:R88"/>
    <mergeCell ref="A212:F212"/>
    <mergeCell ref="A243:F243"/>
    <mergeCell ref="H54:R54"/>
    <mergeCell ref="H259:R259"/>
    <mergeCell ref="A105:R105"/>
    <mergeCell ref="H191:R191"/>
    <mergeCell ref="H73:R73"/>
    <mergeCell ref="A72:R72"/>
    <mergeCell ref="G23:G36"/>
    <mergeCell ref="H243:R243"/>
    <mergeCell ref="A77:F77"/>
    <mergeCell ref="H276:R276"/>
    <mergeCell ref="A259:F259"/>
    <mergeCell ref="H361:R361"/>
    <mergeCell ref="A327:R327"/>
    <mergeCell ref="G278:G291"/>
    <mergeCell ref="A53:R53"/>
    <mergeCell ref="A343:R343"/>
    <mergeCell ref="A360:R360"/>
    <mergeCell ref="A332:F332"/>
    <mergeCell ref="A349:F349"/>
    <mergeCell ref="A89:F89"/>
    <mergeCell ref="G91:G104"/>
    <mergeCell ref="A21:F21"/>
    <mergeCell ref="H4:R4"/>
    <mergeCell ref="A297:F297"/>
    <mergeCell ref="A3:R3"/>
    <mergeCell ref="A366:F366"/>
    <mergeCell ref="A37:R37"/>
    <mergeCell ref="A26:F26"/>
    <mergeCell ref="G125:G137"/>
    <mergeCell ref="A139:F139"/>
    <mergeCell ref="A179:F179"/>
    <mergeCell ref="G311:G326"/>
    <mergeCell ref="A309:F309"/>
    <mergeCell ref="G210:G222"/>
    <mergeCell ref="A361:F361"/>
    <mergeCell ref="H344:R344"/>
    <mergeCell ref="H123:R123"/>
    <mergeCell ref="A231:F231"/>
    <mergeCell ref="G226:G241"/>
    <mergeCell ref="G363:G376"/>
    <mergeCell ref="G193:G206"/>
    <mergeCell ref="A247:F247"/>
    <mergeCell ref="A106:F106"/>
    <mergeCell ref="G330:G342"/>
    <mergeCell ref="G40:G52"/>
    <mergeCell ref="G346:G359"/>
    <mergeCell ref="A123:F123"/>
    <mergeCell ref="A146:F146"/>
    <mergeCell ref="A196:F196"/>
    <mergeCell ref="N1:R1"/>
    <mergeCell ref="A293:F293"/>
    <mergeCell ref="A344:F344"/>
    <mergeCell ref="A111:F111"/>
    <mergeCell ref="K2:R2"/>
    <mergeCell ref="H174:R174"/>
    <mergeCell ref="A276:F276"/>
    <mergeCell ref="A328:F328"/>
    <mergeCell ref="G176:G189"/>
    <mergeCell ref="H293:R293"/>
    <mergeCell ref="H158:R158"/>
    <mergeCell ref="A275:R275"/>
    <mergeCell ref="A94:F94"/>
    <mergeCell ref="A281:F281"/>
    <mergeCell ref="A138:R138"/>
    <mergeCell ref="A316:F316"/>
    <mergeCell ref="H224:R224"/>
    <mergeCell ref="A264:F26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J14"/>
  <sheetViews>
    <sheetView workbookViewId="0"/>
  </sheetViews>
  <sheetFormatPr defaultColWidth="8.85546875" defaultRowHeight="15.6" outlineLevelCol="1"/>
  <cols>
    <col min="1" max="1" width="11.5703125" style="266" bestFit="1" customWidth="1"/>
    <col min="2" max="2" width="9.7109375" style="266" bestFit="1" customWidth="1"/>
    <col min="3" max="3" width="6.7109375" style="266" bestFit="1" customWidth="1"/>
    <col min="4" max="4" width="5.5703125" style="266" bestFit="1" customWidth="1"/>
    <col min="5" max="5" width="8.5703125" style="266" bestFit="1" customWidth="1"/>
    <col min="6" max="6" width="4.28515625" style="266" bestFit="1" customWidth="1"/>
    <col min="7" max="7" width="8.42578125" style="266" bestFit="1" customWidth="1"/>
    <col min="8" max="8" width="8.5703125" style="266" bestFit="1" customWidth="1"/>
    <col min="9"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6" width="3.85546875" style="266" bestFit="1" customWidth="1"/>
    <col min="27" max="27" width="4" style="266" bestFit="1" customWidth="1"/>
    <col min="28" max="28" width="3.85546875" style="266" bestFit="1" customWidth="1"/>
    <col min="29" max="29" width="4.28515625" style="266" bestFit="1" customWidth="1"/>
    <col min="30"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236</v>
      </c>
      <c r="B2" s="268">
        <v>46026</v>
      </c>
      <c r="C2" s="269" t="s">
        <v>998</v>
      </c>
      <c r="D2" s="270" t="s">
        <v>978</v>
      </c>
      <c r="E2" s="269" t="s">
        <v>985</v>
      </c>
      <c r="F2" s="269" t="s">
        <v>232</v>
      </c>
      <c r="G2" s="271">
        <v>0.13969999999999999</v>
      </c>
      <c r="H2" s="272">
        <v>179</v>
      </c>
      <c r="I2" s="272">
        <v>25</v>
      </c>
      <c r="J2" s="272">
        <v>0</v>
      </c>
      <c r="K2" s="269" t="s">
        <v>233</v>
      </c>
      <c r="L2" s="273">
        <v>46343</v>
      </c>
      <c r="M2" s="272">
        <v>0</v>
      </c>
      <c r="N2" s="272">
        <v>0</v>
      </c>
      <c r="O2" s="272">
        <v>25</v>
      </c>
      <c r="P2" s="269" t="s">
        <v>299</v>
      </c>
      <c r="Q2" s="265"/>
      <c r="R2" s="265"/>
      <c r="S2" s="265"/>
      <c r="T2" s="265"/>
      <c r="U2" s="265"/>
      <c r="V2" s="265"/>
      <c r="W2" s="265"/>
      <c r="X2" s="265"/>
      <c r="Y2" s="272" t="s">
        <v>1034</v>
      </c>
      <c r="Z2" s="265"/>
      <c r="AA2" s="272" t="s">
        <v>516</v>
      </c>
      <c r="AB2" s="265"/>
      <c r="AC2" s="272" t="s">
        <v>307</v>
      </c>
      <c r="AD2" s="272" t="s">
        <v>508</v>
      </c>
      <c r="AE2" s="272" t="s">
        <v>905</v>
      </c>
      <c r="AF2" s="265"/>
      <c r="AG2" s="265"/>
      <c r="AH2" s="265"/>
      <c r="AI2" s="265"/>
      <c r="AJ2" s="265"/>
    </row>
    <row r="3" spans="1:36">
      <c r="A3" s="267" t="s">
        <v>242</v>
      </c>
      <c r="B3" s="268">
        <v>46028</v>
      </c>
      <c r="C3" s="269" t="s">
        <v>998</v>
      </c>
      <c r="D3" s="270" t="s">
        <v>1035</v>
      </c>
      <c r="E3" s="269" t="s">
        <v>985</v>
      </c>
      <c r="F3" s="269" t="s">
        <v>232</v>
      </c>
      <c r="G3" s="271">
        <v>4.4699999999999997E-2</v>
      </c>
      <c r="H3" s="272">
        <v>179</v>
      </c>
      <c r="I3" s="272">
        <v>8</v>
      </c>
      <c r="J3" s="272">
        <v>0</v>
      </c>
      <c r="K3" s="269" t="s">
        <v>233</v>
      </c>
      <c r="L3" s="273">
        <v>46344</v>
      </c>
      <c r="M3" s="272">
        <v>0</v>
      </c>
      <c r="N3" s="272">
        <v>0</v>
      </c>
      <c r="O3" s="272">
        <v>8</v>
      </c>
      <c r="P3" s="269" t="s">
        <v>850</v>
      </c>
      <c r="Q3" s="265"/>
      <c r="R3" s="265"/>
      <c r="S3" s="265"/>
      <c r="T3" s="265"/>
      <c r="U3" s="265"/>
      <c r="V3" s="265"/>
      <c r="W3" s="265"/>
      <c r="X3" s="265"/>
      <c r="Y3" s="265"/>
      <c r="Z3" s="265"/>
      <c r="AA3" s="272" t="s">
        <v>310</v>
      </c>
      <c r="AB3" s="265"/>
      <c r="AC3" s="265"/>
      <c r="AD3" s="265"/>
      <c r="AE3" s="272" t="s">
        <v>570</v>
      </c>
      <c r="AF3" s="272" t="s">
        <v>901</v>
      </c>
      <c r="AG3" s="265"/>
      <c r="AH3" s="265"/>
      <c r="AI3" s="265"/>
      <c r="AJ3" s="265"/>
    </row>
    <row r="4" spans="1:36">
      <c r="A4" s="267" t="s">
        <v>315</v>
      </c>
      <c r="B4" s="268">
        <v>46029</v>
      </c>
      <c r="C4" s="269" t="s">
        <v>1006</v>
      </c>
      <c r="D4" s="270" t="s">
        <v>555</v>
      </c>
      <c r="E4" s="269" t="s">
        <v>985</v>
      </c>
      <c r="F4" s="269" t="s">
        <v>232</v>
      </c>
      <c r="G4" s="271">
        <v>0.10059999999999999</v>
      </c>
      <c r="H4" s="272">
        <v>179</v>
      </c>
      <c r="I4" s="272">
        <v>18</v>
      </c>
      <c r="J4" s="272">
        <v>0</v>
      </c>
      <c r="K4" s="269" t="s">
        <v>233</v>
      </c>
      <c r="L4" s="273">
        <v>46342</v>
      </c>
      <c r="M4" s="272">
        <v>0</v>
      </c>
      <c r="N4" s="272">
        <v>0</v>
      </c>
      <c r="O4" s="272">
        <v>18</v>
      </c>
      <c r="P4" s="269" t="s">
        <v>431</v>
      </c>
      <c r="Q4" s="272" t="s">
        <v>338</v>
      </c>
      <c r="R4" s="265"/>
      <c r="S4" s="265"/>
      <c r="T4" s="265"/>
      <c r="U4" s="265"/>
      <c r="V4" s="265"/>
      <c r="W4" s="265"/>
      <c r="X4" s="265"/>
      <c r="Y4" s="265"/>
      <c r="Z4" s="265"/>
      <c r="AA4" s="272" t="s">
        <v>587</v>
      </c>
      <c r="AB4" s="265"/>
      <c r="AC4" s="265"/>
      <c r="AD4" s="272" t="s">
        <v>368</v>
      </c>
      <c r="AE4" s="272" t="s">
        <v>918</v>
      </c>
      <c r="AF4" s="272" t="s">
        <v>571</v>
      </c>
      <c r="AG4" s="265"/>
      <c r="AH4" s="265"/>
      <c r="AI4" s="265"/>
      <c r="AJ4" s="265"/>
    </row>
    <row r="5" spans="1:36">
      <c r="A5" s="267" t="s">
        <v>236</v>
      </c>
      <c r="B5" s="268">
        <v>46033</v>
      </c>
      <c r="C5" s="269" t="s">
        <v>998</v>
      </c>
      <c r="D5" s="270" t="s">
        <v>978</v>
      </c>
      <c r="E5" s="269" t="s">
        <v>985</v>
      </c>
      <c r="F5" s="269" t="s">
        <v>232</v>
      </c>
      <c r="G5" s="271">
        <v>8.9399999999999993E-2</v>
      </c>
      <c r="H5" s="272">
        <v>179</v>
      </c>
      <c r="I5" s="272">
        <v>16</v>
      </c>
      <c r="J5" s="272">
        <v>0</v>
      </c>
      <c r="K5" s="269" t="s">
        <v>233</v>
      </c>
      <c r="L5" s="273">
        <v>46342</v>
      </c>
      <c r="M5" s="272">
        <v>0</v>
      </c>
      <c r="N5" s="272">
        <v>0</v>
      </c>
      <c r="O5" s="272">
        <v>16</v>
      </c>
      <c r="P5" s="269" t="s">
        <v>552</v>
      </c>
      <c r="Q5" s="265"/>
      <c r="R5" s="265"/>
      <c r="S5" s="265"/>
      <c r="T5" s="265"/>
      <c r="U5" s="265"/>
      <c r="V5" s="265"/>
      <c r="W5" s="265"/>
      <c r="X5" s="265"/>
      <c r="Y5" s="265"/>
      <c r="Z5" s="265"/>
      <c r="AA5" s="272" t="s">
        <v>587</v>
      </c>
      <c r="AB5" s="265"/>
      <c r="AC5" s="272" t="s">
        <v>306</v>
      </c>
      <c r="AD5" s="272" t="s">
        <v>367</v>
      </c>
      <c r="AE5" s="272" t="s">
        <v>951</v>
      </c>
      <c r="AF5" s="272" t="s">
        <v>244</v>
      </c>
      <c r="AG5" s="265"/>
      <c r="AH5" s="265"/>
      <c r="AI5" s="265"/>
      <c r="AJ5" s="265"/>
    </row>
    <row r="6" spans="1:36">
      <c r="A6" s="267" t="s">
        <v>242</v>
      </c>
      <c r="B6" s="268">
        <v>46035</v>
      </c>
      <c r="C6" s="269" t="s">
        <v>998</v>
      </c>
      <c r="D6" s="270" t="s">
        <v>1035</v>
      </c>
      <c r="E6" s="269" t="s">
        <v>985</v>
      </c>
      <c r="F6" s="269" t="s">
        <v>232</v>
      </c>
      <c r="G6" s="271">
        <v>3.9100000000000003E-2</v>
      </c>
      <c r="H6" s="272">
        <v>179</v>
      </c>
      <c r="I6" s="272">
        <v>7</v>
      </c>
      <c r="J6" s="272">
        <v>0</v>
      </c>
      <c r="K6" s="269" t="s">
        <v>233</v>
      </c>
      <c r="L6" s="273">
        <v>46345</v>
      </c>
      <c r="M6" s="272">
        <v>0</v>
      </c>
      <c r="N6" s="272">
        <v>0</v>
      </c>
      <c r="O6" s="272">
        <v>7</v>
      </c>
      <c r="P6" s="269" t="s">
        <v>918</v>
      </c>
      <c r="Q6" s="265"/>
      <c r="R6" s="265"/>
      <c r="S6" s="265"/>
      <c r="T6" s="265"/>
      <c r="U6" s="265"/>
      <c r="V6" s="265"/>
      <c r="W6" s="265"/>
      <c r="X6" s="265"/>
      <c r="Y6" s="265"/>
      <c r="Z6" s="265"/>
      <c r="AA6" s="265"/>
      <c r="AB6" s="265"/>
      <c r="AC6" s="272" t="s">
        <v>298</v>
      </c>
      <c r="AD6" s="265"/>
      <c r="AE6" s="272" t="s">
        <v>570</v>
      </c>
      <c r="AF6" s="272" t="s">
        <v>901</v>
      </c>
      <c r="AG6" s="265"/>
      <c r="AH6" s="265"/>
      <c r="AI6" s="265"/>
      <c r="AJ6" s="265"/>
    </row>
    <row r="7" spans="1:36">
      <c r="A7" s="267" t="s">
        <v>315</v>
      </c>
      <c r="B7" s="268">
        <v>46036</v>
      </c>
      <c r="C7" s="269" t="s">
        <v>1006</v>
      </c>
      <c r="D7" s="270" t="s">
        <v>555</v>
      </c>
      <c r="E7" s="269" t="s">
        <v>985</v>
      </c>
      <c r="F7" s="269" t="s">
        <v>232</v>
      </c>
      <c r="G7" s="271">
        <v>6.7000000000000004E-2</v>
      </c>
      <c r="H7" s="272">
        <v>179</v>
      </c>
      <c r="I7" s="272">
        <v>12</v>
      </c>
      <c r="J7" s="272">
        <v>0</v>
      </c>
      <c r="K7" s="269" t="s">
        <v>233</v>
      </c>
      <c r="L7" s="273">
        <v>46342</v>
      </c>
      <c r="M7" s="272">
        <v>0</v>
      </c>
      <c r="N7" s="272">
        <v>0</v>
      </c>
      <c r="O7" s="272">
        <v>12</v>
      </c>
      <c r="P7" s="269" t="s">
        <v>1016</v>
      </c>
      <c r="Q7" s="265"/>
      <c r="R7" s="265"/>
      <c r="S7" s="265"/>
      <c r="T7" s="265"/>
      <c r="U7" s="265"/>
      <c r="V7" s="265"/>
      <c r="W7" s="265"/>
      <c r="X7" s="265"/>
      <c r="Y7" s="265"/>
      <c r="Z7" s="265"/>
      <c r="AA7" s="265"/>
      <c r="AB7" s="265"/>
      <c r="AC7" s="272" t="s">
        <v>305</v>
      </c>
      <c r="AD7" s="265"/>
      <c r="AE7" s="272" t="s">
        <v>968</v>
      </c>
      <c r="AF7" s="272" t="s">
        <v>244</v>
      </c>
      <c r="AG7" s="265"/>
      <c r="AH7" s="265"/>
      <c r="AI7" s="265"/>
      <c r="AJ7" s="265"/>
    </row>
    <row r="8" spans="1:36">
      <c r="A8" s="267" t="s">
        <v>236</v>
      </c>
      <c r="B8" s="268">
        <v>46040</v>
      </c>
      <c r="C8" s="269" t="s">
        <v>998</v>
      </c>
      <c r="D8" s="270" t="s">
        <v>978</v>
      </c>
      <c r="E8" s="269" t="s">
        <v>985</v>
      </c>
      <c r="F8" s="269" t="s">
        <v>232</v>
      </c>
      <c r="G8" s="271">
        <v>0.1229</v>
      </c>
      <c r="H8" s="272">
        <v>179</v>
      </c>
      <c r="I8" s="272">
        <v>22</v>
      </c>
      <c r="J8" s="272">
        <v>0</v>
      </c>
      <c r="K8" s="269" t="s">
        <v>233</v>
      </c>
      <c r="L8" s="273">
        <v>46343</v>
      </c>
      <c r="M8" s="272">
        <v>0</v>
      </c>
      <c r="N8" s="272">
        <v>0</v>
      </c>
      <c r="O8" s="272">
        <v>22</v>
      </c>
      <c r="P8" s="269" t="s">
        <v>302</v>
      </c>
      <c r="Q8" s="265"/>
      <c r="R8" s="265"/>
      <c r="S8" s="265"/>
      <c r="T8" s="265"/>
      <c r="U8" s="265"/>
      <c r="V8" s="272" t="s">
        <v>1036</v>
      </c>
      <c r="W8" s="265"/>
      <c r="X8" s="265"/>
      <c r="Y8" s="265"/>
      <c r="Z8" s="265"/>
      <c r="AA8" s="265"/>
      <c r="AB8" s="272" t="s">
        <v>300</v>
      </c>
      <c r="AC8" s="272" t="s">
        <v>1037</v>
      </c>
      <c r="AD8" s="272" t="s">
        <v>430</v>
      </c>
      <c r="AE8" s="265"/>
      <c r="AF8" s="265"/>
      <c r="AG8" s="265"/>
      <c r="AH8" s="265"/>
      <c r="AI8" s="265"/>
      <c r="AJ8" s="265"/>
    </row>
    <row r="9" spans="1:36">
      <c r="A9" s="267" t="s">
        <v>242</v>
      </c>
      <c r="B9" s="268">
        <v>46042</v>
      </c>
      <c r="C9" s="269" t="s">
        <v>998</v>
      </c>
      <c r="D9" s="270" t="s">
        <v>1035</v>
      </c>
      <c r="E9" s="269" t="s">
        <v>985</v>
      </c>
      <c r="F9" s="269" t="s">
        <v>232</v>
      </c>
      <c r="G9" s="271">
        <v>5.5899999999999998E-2</v>
      </c>
      <c r="H9" s="272">
        <v>179</v>
      </c>
      <c r="I9" s="272">
        <v>10</v>
      </c>
      <c r="J9" s="272">
        <v>0</v>
      </c>
      <c r="K9" s="269" t="s">
        <v>233</v>
      </c>
      <c r="L9" s="273">
        <v>46344</v>
      </c>
      <c r="M9" s="272">
        <v>0</v>
      </c>
      <c r="N9" s="272">
        <v>0</v>
      </c>
      <c r="O9" s="272">
        <v>10</v>
      </c>
      <c r="P9" s="269" t="s">
        <v>368</v>
      </c>
      <c r="Q9" s="265"/>
      <c r="R9" s="265"/>
      <c r="S9" s="265"/>
      <c r="T9" s="265"/>
      <c r="U9" s="265"/>
      <c r="V9" s="265"/>
      <c r="W9" s="265"/>
      <c r="X9" s="265"/>
      <c r="Y9" s="265"/>
      <c r="Z9" s="265"/>
      <c r="AA9" s="265"/>
      <c r="AB9" s="265"/>
      <c r="AC9" s="272" t="s">
        <v>302</v>
      </c>
      <c r="AD9" s="272" t="s">
        <v>431</v>
      </c>
      <c r="AE9" s="272" t="s">
        <v>951</v>
      </c>
      <c r="AF9" s="265"/>
      <c r="AG9" s="265"/>
      <c r="AH9" s="265"/>
      <c r="AI9" s="265"/>
      <c r="AJ9" s="265"/>
    </row>
    <row r="10" spans="1:36">
      <c r="A10" s="267" t="s">
        <v>315</v>
      </c>
      <c r="B10" s="268">
        <v>46043</v>
      </c>
      <c r="C10" s="269" t="s">
        <v>1006</v>
      </c>
      <c r="D10" s="270" t="s">
        <v>555</v>
      </c>
      <c r="E10" s="269" t="s">
        <v>985</v>
      </c>
      <c r="F10" s="269" t="s">
        <v>232</v>
      </c>
      <c r="G10" s="271">
        <v>7.2599999999999998E-2</v>
      </c>
      <c r="H10" s="272">
        <v>179</v>
      </c>
      <c r="I10" s="272">
        <v>13</v>
      </c>
      <c r="J10" s="272">
        <v>0</v>
      </c>
      <c r="K10" s="269" t="s">
        <v>233</v>
      </c>
      <c r="L10" s="273">
        <v>46341</v>
      </c>
      <c r="M10" s="272">
        <v>0</v>
      </c>
      <c r="N10" s="272">
        <v>0</v>
      </c>
      <c r="O10" s="272">
        <v>13</v>
      </c>
      <c r="P10" s="269" t="s">
        <v>430</v>
      </c>
      <c r="Q10" s="265"/>
      <c r="R10" s="265"/>
      <c r="S10" s="265"/>
      <c r="T10" s="265"/>
      <c r="U10" s="265"/>
      <c r="V10" s="265"/>
      <c r="W10" s="272" t="s">
        <v>1038</v>
      </c>
      <c r="X10" s="265"/>
      <c r="Y10" s="265"/>
      <c r="Z10" s="265"/>
      <c r="AA10" s="272" t="s">
        <v>686</v>
      </c>
      <c r="AB10" s="265"/>
      <c r="AC10" s="272" t="s">
        <v>306</v>
      </c>
      <c r="AD10" s="272" t="s">
        <v>368</v>
      </c>
      <c r="AE10" s="272" t="s">
        <v>1016</v>
      </c>
      <c r="AF10" s="265"/>
      <c r="AG10" s="265"/>
      <c r="AH10" s="265"/>
      <c r="AI10" s="265"/>
      <c r="AJ10" s="265"/>
    </row>
    <row r="11" spans="1:36">
      <c r="A11" s="267" t="s">
        <v>236</v>
      </c>
      <c r="B11" s="268">
        <v>46047</v>
      </c>
      <c r="C11" s="269" t="s">
        <v>998</v>
      </c>
      <c r="D11" s="270" t="s">
        <v>978</v>
      </c>
      <c r="E11" s="269" t="s">
        <v>985</v>
      </c>
      <c r="F11" s="269" t="s">
        <v>232</v>
      </c>
      <c r="G11" s="271">
        <v>4.4699999999999997E-2</v>
      </c>
      <c r="H11" s="272">
        <v>179</v>
      </c>
      <c r="I11" s="272">
        <v>8</v>
      </c>
      <c r="J11" s="272">
        <v>0</v>
      </c>
      <c r="K11" s="269" t="s">
        <v>233</v>
      </c>
      <c r="L11" s="273">
        <v>46344</v>
      </c>
      <c r="M11" s="272">
        <v>0</v>
      </c>
      <c r="N11" s="272">
        <v>0</v>
      </c>
      <c r="O11" s="272">
        <v>8</v>
      </c>
      <c r="P11" s="269" t="s">
        <v>1029</v>
      </c>
      <c r="Q11" s="265"/>
      <c r="R11" s="265"/>
      <c r="S11" s="265"/>
      <c r="T11" s="265"/>
      <c r="U11" s="265"/>
      <c r="V11" s="265"/>
      <c r="W11" s="265"/>
      <c r="X11" s="265"/>
      <c r="Y11" s="265"/>
      <c r="Z11" s="272" t="s">
        <v>174</v>
      </c>
      <c r="AA11" s="272" t="s">
        <v>318</v>
      </c>
      <c r="AB11" s="265"/>
      <c r="AC11" s="272" t="s">
        <v>306</v>
      </c>
      <c r="AD11" s="265"/>
      <c r="AE11" s="265"/>
      <c r="AF11" s="265"/>
      <c r="AG11" s="265"/>
      <c r="AH11" s="265"/>
      <c r="AI11" s="265"/>
      <c r="AJ11" s="265"/>
    </row>
    <row r="12" spans="1:36">
      <c r="A12" s="267" t="s">
        <v>242</v>
      </c>
      <c r="B12" s="268">
        <v>46049</v>
      </c>
      <c r="C12" s="269" t="s">
        <v>998</v>
      </c>
      <c r="D12" s="270" t="s">
        <v>1035</v>
      </c>
      <c r="E12" s="269" t="s">
        <v>985</v>
      </c>
      <c r="F12" s="269" t="s">
        <v>232</v>
      </c>
      <c r="G12" s="271">
        <v>4.4699999999999997E-2</v>
      </c>
      <c r="H12" s="272">
        <v>179</v>
      </c>
      <c r="I12" s="272">
        <v>8</v>
      </c>
      <c r="J12" s="272">
        <v>0</v>
      </c>
      <c r="K12" s="269" t="s">
        <v>233</v>
      </c>
      <c r="L12" s="273">
        <v>46335</v>
      </c>
      <c r="M12" s="272">
        <v>0</v>
      </c>
      <c r="N12" s="272">
        <v>0</v>
      </c>
      <c r="O12" s="272">
        <v>8</v>
      </c>
      <c r="P12" s="269" t="s">
        <v>436</v>
      </c>
      <c r="Q12" s="265"/>
      <c r="R12" s="265"/>
      <c r="S12" s="265"/>
      <c r="T12" s="265"/>
      <c r="U12" s="265"/>
      <c r="V12" s="265"/>
      <c r="W12" s="265"/>
      <c r="X12" s="265"/>
      <c r="Y12" s="265"/>
      <c r="Z12" s="265"/>
      <c r="AA12" s="272" t="s">
        <v>686</v>
      </c>
      <c r="AB12" s="265"/>
      <c r="AC12" s="272" t="s">
        <v>304</v>
      </c>
      <c r="AD12" s="272" t="s">
        <v>446</v>
      </c>
      <c r="AE12" s="272" t="s">
        <v>570</v>
      </c>
      <c r="AF12" s="265"/>
      <c r="AG12" s="265"/>
      <c r="AH12" s="265"/>
      <c r="AI12" s="265"/>
      <c r="AJ12" s="265"/>
    </row>
    <row r="13" spans="1:36">
      <c r="A13" s="267" t="s">
        <v>315</v>
      </c>
      <c r="B13" s="268">
        <v>46050</v>
      </c>
      <c r="C13" s="269" t="s">
        <v>1006</v>
      </c>
      <c r="D13" s="270" t="s">
        <v>555</v>
      </c>
      <c r="E13" s="269" t="s">
        <v>985</v>
      </c>
      <c r="F13" s="269" t="s">
        <v>232</v>
      </c>
      <c r="G13" s="271">
        <v>3.9100000000000003E-2</v>
      </c>
      <c r="H13" s="272">
        <v>179</v>
      </c>
      <c r="I13" s="272">
        <v>7</v>
      </c>
      <c r="J13" s="272">
        <v>0</v>
      </c>
      <c r="K13" s="269" t="s">
        <v>233</v>
      </c>
      <c r="L13" s="273">
        <v>46335</v>
      </c>
      <c r="M13" s="272">
        <v>0</v>
      </c>
      <c r="N13" s="272">
        <v>0</v>
      </c>
      <c r="O13" s="272">
        <v>7</v>
      </c>
      <c r="P13" s="269" t="s">
        <v>552</v>
      </c>
      <c r="Q13" s="265"/>
      <c r="R13" s="265"/>
      <c r="S13" s="265"/>
      <c r="T13" s="265"/>
      <c r="U13" s="265"/>
      <c r="V13" s="265"/>
      <c r="W13" s="265"/>
      <c r="X13" s="265"/>
      <c r="Y13" s="265"/>
      <c r="Z13" s="265"/>
      <c r="AA13" s="272" t="s">
        <v>686</v>
      </c>
      <c r="AB13" s="265"/>
      <c r="AC13" s="272" t="s">
        <v>304</v>
      </c>
      <c r="AD13" s="265"/>
      <c r="AE13" s="272" t="s">
        <v>967</v>
      </c>
      <c r="AF13" s="265"/>
      <c r="AG13" s="265"/>
      <c r="AH13" s="265"/>
      <c r="AI13" s="265"/>
      <c r="AJ13" s="265"/>
    </row>
    <row r="14" spans="1:36" ht="21">
      <c r="A14" s="274" t="s">
        <v>251</v>
      </c>
      <c r="B14" s="275"/>
      <c r="C14" s="274">
        <f>SUBTOTAL(103,ATZ_RUH_LF_LEGACY[Flt])</f>
        <v>12</v>
      </c>
      <c r="D14" s="274"/>
      <c r="E14" s="274">
        <f>SUBTOTAL(103,ATZ_RUH_LF_LEGACY[Brd-Off])</f>
        <v>12</v>
      </c>
      <c r="F14" s="274"/>
      <c r="G14" s="276">
        <f>SUBTOTAL(101,ATZ_RUH_LF_LEGACY[LF%])</f>
        <v>7.1699999999999986E-2</v>
      </c>
      <c r="H14" s="277">
        <f>SUBTOTAL(109,ATZ_RUH_LF_LEGACY[CAP])</f>
        <v>2148</v>
      </c>
      <c r="I14" s="277">
        <f>SUBTOTAL(109,ATZ_RUH_LF_LEGACY[BKG(Y)])</f>
        <v>154</v>
      </c>
      <c r="J14" s="277">
        <f>SUBTOTAL(109,ATZ_RUH_LF_LEGACY[GRP(Y)])</f>
        <v>0</v>
      </c>
      <c r="K14" s="274"/>
      <c r="L14" s="275"/>
      <c r="M14" s="277">
        <f>SUBTOTAL(109,ATZ_RUH_LF_LEGACY[TO-DAY])</f>
        <v>0</v>
      </c>
      <c r="N14" s="277">
        <f>SUBTOTAL(109,ATZ_RUH_LF_LEGACY[Y-DAY])</f>
        <v>0</v>
      </c>
      <c r="O14" s="277">
        <f>SUBTOTAL(109,ATZ_RUH_LF_LEGACY[WEEKLY])</f>
        <v>154</v>
      </c>
      <c r="P14" s="274"/>
      <c r="Q14" s="277">
        <f>SUBTOTAL(109,ATZ_RUH_LF_LEGACY[Y])</f>
        <v>0</v>
      </c>
      <c r="R14" s="277">
        <f>SUBTOTAL(109,ATZ_RUH_LF_LEGACY[B])</f>
        <v>0</v>
      </c>
      <c r="S14" s="277">
        <f>SUBTOTAL(109,ATZ_RUH_LF_LEGACY[M])</f>
        <v>0</v>
      </c>
      <c r="T14" s="277">
        <f>SUBTOTAL(109,ATZ_RUH_LF_LEGACY[H])</f>
        <v>0</v>
      </c>
      <c r="U14" s="277">
        <f>SUBTOTAL(109,ATZ_RUH_LF_LEGACY[Q])</f>
        <v>0</v>
      </c>
      <c r="V14" s="277">
        <f>SUBTOTAL(109,ATZ_RUH_LF_LEGACY[K])</f>
        <v>0</v>
      </c>
      <c r="W14" s="277">
        <f>SUBTOTAL(109,ATZ_RUH_LF_LEGACY[V])</f>
        <v>0</v>
      </c>
      <c r="X14" s="277">
        <f>SUBTOTAL(109,ATZ_RUH_LF_LEGACY[L])</f>
        <v>0</v>
      </c>
      <c r="Y14" s="277">
        <f>SUBTOTAL(109,ATZ_RUH_LF_LEGACY[G])</f>
        <v>0</v>
      </c>
      <c r="Z14" s="277">
        <f>SUBTOTAL(109,ATZ_RUH_LF_LEGACY[S])</f>
        <v>0</v>
      </c>
      <c r="AA14" s="277">
        <f>SUBTOTAL(109,ATZ_RUH_LF_LEGACY[W])</f>
        <v>0</v>
      </c>
      <c r="AB14" s="277">
        <f>SUBTOTAL(109,ATZ_RUH_LF_LEGACY[T])</f>
        <v>0</v>
      </c>
      <c r="AC14" s="277">
        <f>SUBTOTAL(109,ATZ_RUH_LF_LEGACY[X])</f>
        <v>0</v>
      </c>
      <c r="AD14" s="277">
        <f>SUBTOTAL(109,ATZ_RUH_LF_LEGACY[U])</f>
        <v>0</v>
      </c>
      <c r="AE14" s="277">
        <f>SUBTOTAL(109,ATZ_RUH_LF_LEGACY[O])</f>
        <v>0</v>
      </c>
      <c r="AF14" s="277">
        <f>SUBTOTAL(109,ATZ_RUH_LF_LEGACY[I])</f>
        <v>0</v>
      </c>
      <c r="AG14" s="277">
        <f>SUBTOTAL(109,ATZ_RUH_LF_LEGACY[E])</f>
        <v>0</v>
      </c>
      <c r="AH14" s="277">
        <f>SUBTOTAL(109,ATZ_RUH_LF_LEGACY[A])</f>
        <v>0</v>
      </c>
      <c r="AI14" s="277">
        <f>SUBTOTAL(109,ATZ_RUH_LF_LEGACY[P])</f>
        <v>0</v>
      </c>
      <c r="AJ14" s="277">
        <f>SUBTOTAL(103,ATZ_RUH_LF_LEGACY[N])</f>
        <v>0</v>
      </c>
    </row>
  </sheetData>
  <pageMargins left="0.75" right="0.75" top="1" bottom="1" header="0.5" footer="0.5"/>
  <tableParts count="1">
    <tablePart r:id="rId1"/>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408"/>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67.425781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1" t="s">
        <v>254</v>
      </c>
      <c r="B2" s="112" t="s">
        <v>26</v>
      </c>
      <c r="C2" s="113" t="s">
        <v>986</v>
      </c>
      <c r="D2" s="112" t="s">
        <v>985</v>
      </c>
      <c r="E2" s="112" t="s">
        <v>702</v>
      </c>
      <c r="F2" s="112" t="s">
        <v>987</v>
      </c>
      <c r="G2" s="114">
        <v>8</v>
      </c>
      <c r="H2" s="115" t="s">
        <v>988</v>
      </c>
    </row>
    <row r="3" spans="1:8" ht="19.899999999999999" customHeight="1">
      <c r="A3" s="111" t="s">
        <v>254</v>
      </c>
      <c r="B3" s="112" t="s">
        <v>26</v>
      </c>
      <c r="C3" s="113" t="s">
        <v>986</v>
      </c>
      <c r="D3" s="112" t="s">
        <v>985</v>
      </c>
      <c r="E3" s="112" t="s">
        <v>702</v>
      </c>
      <c r="F3" s="112" t="s">
        <v>31</v>
      </c>
      <c r="G3" s="114">
        <v>8</v>
      </c>
      <c r="H3" s="115" t="s">
        <v>989</v>
      </c>
    </row>
    <row r="4" spans="1:8" ht="19.899999999999999" customHeight="1">
      <c r="A4" s="111" t="s">
        <v>254</v>
      </c>
      <c r="B4" s="112" t="s">
        <v>26</v>
      </c>
      <c r="C4" s="113" t="s">
        <v>986</v>
      </c>
      <c r="D4" s="112" t="s">
        <v>985</v>
      </c>
      <c r="E4" s="112" t="s">
        <v>702</v>
      </c>
      <c r="F4" s="112" t="s">
        <v>34</v>
      </c>
      <c r="G4" s="114">
        <v>8</v>
      </c>
      <c r="H4" s="115" t="s">
        <v>990</v>
      </c>
    </row>
    <row r="5" spans="1:8" ht="19.899999999999999" customHeight="1">
      <c r="A5" s="143"/>
      <c r="B5" s="144"/>
      <c r="C5" s="144"/>
      <c r="D5" s="144"/>
      <c r="E5" s="144"/>
      <c r="F5" s="145" t="s">
        <v>1039</v>
      </c>
      <c r="G5" s="144"/>
      <c r="H5" s="146"/>
    </row>
    <row r="6" spans="1:8" ht="19.899999999999999" customHeight="1">
      <c r="A6" s="111" t="s">
        <v>254</v>
      </c>
      <c r="B6" s="112" t="s">
        <v>38</v>
      </c>
      <c r="C6" s="113" t="s">
        <v>809</v>
      </c>
      <c r="D6" s="112" t="s">
        <v>808</v>
      </c>
      <c r="E6" s="112" t="s">
        <v>984</v>
      </c>
      <c r="F6" s="112" t="s">
        <v>40</v>
      </c>
      <c r="G6" s="114">
        <v>8</v>
      </c>
      <c r="H6" s="115" t="s">
        <v>475</v>
      </c>
    </row>
    <row r="7" spans="1:8" ht="19.899999999999999" customHeight="1">
      <c r="A7" s="111" t="s">
        <v>254</v>
      </c>
      <c r="B7" s="112" t="s">
        <v>38</v>
      </c>
      <c r="C7" s="113" t="s">
        <v>811</v>
      </c>
      <c r="D7" s="112" t="s">
        <v>808</v>
      </c>
      <c r="E7" s="112" t="s">
        <v>769</v>
      </c>
      <c r="F7" s="112" t="s">
        <v>40</v>
      </c>
      <c r="G7" s="114">
        <v>11</v>
      </c>
      <c r="H7" s="115" t="s">
        <v>475</v>
      </c>
    </row>
    <row r="8" spans="1:8" ht="19.899999999999999" customHeight="1">
      <c r="A8" s="111" t="s">
        <v>254</v>
      </c>
      <c r="B8" s="112" t="s">
        <v>38</v>
      </c>
      <c r="C8" s="113" t="s">
        <v>812</v>
      </c>
      <c r="D8" s="112" t="s">
        <v>808</v>
      </c>
      <c r="E8" s="112" t="s">
        <v>593</v>
      </c>
      <c r="F8" s="112" t="s">
        <v>40</v>
      </c>
      <c r="G8" s="114">
        <v>19</v>
      </c>
      <c r="H8" s="115" t="s">
        <v>475</v>
      </c>
    </row>
    <row r="9" spans="1:8" ht="19.899999999999999" customHeight="1">
      <c r="A9" s="111" t="s">
        <v>254</v>
      </c>
      <c r="B9" s="112" t="s">
        <v>38</v>
      </c>
      <c r="C9" s="113" t="s">
        <v>813</v>
      </c>
      <c r="D9" s="112" t="s">
        <v>808</v>
      </c>
      <c r="E9" s="112" t="s">
        <v>598</v>
      </c>
      <c r="F9" s="112" t="s">
        <v>40</v>
      </c>
      <c r="G9" s="114">
        <v>18</v>
      </c>
      <c r="H9" s="115" t="s">
        <v>475</v>
      </c>
    </row>
    <row r="10" spans="1:8" ht="19.899999999999999" customHeight="1">
      <c r="A10" s="111" t="s">
        <v>254</v>
      </c>
      <c r="B10" s="112" t="s">
        <v>359</v>
      </c>
      <c r="C10" s="113" t="s">
        <v>814</v>
      </c>
      <c r="D10" s="112" t="s">
        <v>808</v>
      </c>
      <c r="E10" s="112" t="s">
        <v>563</v>
      </c>
      <c r="F10" s="112" t="s">
        <v>361</v>
      </c>
      <c r="G10" s="114">
        <v>9</v>
      </c>
      <c r="H10" s="115" t="s">
        <v>815</v>
      </c>
    </row>
    <row r="11" spans="1:8" ht="19.899999999999999" customHeight="1">
      <c r="A11" s="111" t="s">
        <v>254</v>
      </c>
      <c r="B11" s="112" t="s">
        <v>61</v>
      </c>
      <c r="C11" s="113" t="s">
        <v>816</v>
      </c>
      <c r="D11" s="112" t="s">
        <v>808</v>
      </c>
      <c r="E11" s="112" t="s">
        <v>974</v>
      </c>
      <c r="F11" s="112" t="s">
        <v>63</v>
      </c>
      <c r="G11" s="114">
        <v>9</v>
      </c>
      <c r="H11" s="115" t="s">
        <v>817</v>
      </c>
    </row>
    <row r="12" spans="1:8" ht="19.899999999999999" customHeight="1">
      <c r="A12" s="111" t="s">
        <v>254</v>
      </c>
      <c r="B12" s="112" t="s">
        <v>26</v>
      </c>
      <c r="C12" s="113" t="s">
        <v>820</v>
      </c>
      <c r="D12" s="112" t="s">
        <v>808</v>
      </c>
      <c r="E12" s="112" t="s">
        <v>563</v>
      </c>
      <c r="F12" s="112" t="s">
        <v>28</v>
      </c>
      <c r="G12" s="114">
        <v>9</v>
      </c>
      <c r="H12" s="115" t="s">
        <v>81</v>
      </c>
    </row>
    <row r="13" spans="1:8" ht="19.899999999999999" customHeight="1">
      <c r="A13" s="111" t="s">
        <v>254</v>
      </c>
      <c r="B13" s="112" t="s">
        <v>26</v>
      </c>
      <c r="C13" s="113" t="s">
        <v>821</v>
      </c>
      <c r="D13" s="112" t="s">
        <v>808</v>
      </c>
      <c r="E13" s="112" t="s">
        <v>703</v>
      </c>
      <c r="F13" s="112" t="s">
        <v>28</v>
      </c>
      <c r="G13" s="114">
        <v>9</v>
      </c>
      <c r="H13" s="115" t="s">
        <v>81</v>
      </c>
    </row>
    <row r="14" spans="1:8" ht="19.899999999999999" customHeight="1">
      <c r="A14" s="111" t="s">
        <v>254</v>
      </c>
      <c r="B14" s="112" t="s">
        <v>26</v>
      </c>
      <c r="C14" s="113" t="s">
        <v>822</v>
      </c>
      <c r="D14" s="112" t="s">
        <v>808</v>
      </c>
      <c r="E14" s="112" t="s">
        <v>564</v>
      </c>
      <c r="F14" s="112" t="s">
        <v>28</v>
      </c>
      <c r="G14" s="114">
        <v>9</v>
      </c>
      <c r="H14" s="115" t="s">
        <v>81</v>
      </c>
    </row>
    <row r="15" spans="1:8" ht="19.899999999999999" customHeight="1">
      <c r="A15" s="147" t="s">
        <v>254</v>
      </c>
      <c r="B15" s="124" t="s">
        <v>26</v>
      </c>
      <c r="C15" s="125" t="s">
        <v>823</v>
      </c>
      <c r="D15" s="124" t="s">
        <v>808</v>
      </c>
      <c r="E15" s="124" t="s">
        <v>243</v>
      </c>
      <c r="F15" s="124" t="s">
        <v>28</v>
      </c>
      <c r="G15" s="127">
        <v>9</v>
      </c>
      <c r="H15" s="128" t="s">
        <v>81</v>
      </c>
    </row>
    <row r="16" spans="1:8" ht="19.899999999999999" customHeight="1">
      <c r="A16" s="143"/>
      <c r="B16" s="144"/>
      <c r="C16" s="144"/>
      <c r="D16" s="144"/>
      <c r="E16" s="144"/>
      <c r="F16" s="145" t="s">
        <v>1039</v>
      </c>
      <c r="G16" s="144"/>
      <c r="H16" s="146"/>
    </row>
    <row r="17" spans="1:8" ht="19.899999999999999" customHeight="1">
      <c r="A17" s="111" t="s">
        <v>339</v>
      </c>
      <c r="B17" s="112" t="s">
        <v>26</v>
      </c>
      <c r="C17" s="113" t="s">
        <v>820</v>
      </c>
      <c r="D17" s="112" t="s">
        <v>808</v>
      </c>
      <c r="E17" s="112" t="s">
        <v>563</v>
      </c>
      <c r="F17" s="112" t="s">
        <v>451</v>
      </c>
      <c r="G17" s="114">
        <v>1</v>
      </c>
      <c r="H17" s="115" t="s">
        <v>88</v>
      </c>
    </row>
    <row r="18" spans="1:8" ht="19.899999999999999" customHeight="1">
      <c r="A18" s="111" t="s">
        <v>339</v>
      </c>
      <c r="B18" s="112" t="s">
        <v>26</v>
      </c>
      <c r="C18" s="113" t="s">
        <v>820</v>
      </c>
      <c r="D18" s="112" t="s">
        <v>808</v>
      </c>
      <c r="E18" s="112" t="s">
        <v>563</v>
      </c>
      <c r="F18" s="112" t="s">
        <v>28</v>
      </c>
      <c r="G18" s="114">
        <v>1</v>
      </c>
      <c r="H18" s="115" t="s">
        <v>88</v>
      </c>
    </row>
    <row r="19" spans="1:8" ht="19.899999999999999" customHeight="1">
      <c r="A19" s="111" t="s">
        <v>339</v>
      </c>
      <c r="B19" s="112" t="s">
        <v>26</v>
      </c>
      <c r="C19" s="113" t="s">
        <v>822</v>
      </c>
      <c r="D19" s="112" t="s">
        <v>808</v>
      </c>
      <c r="E19" s="112" t="s">
        <v>564</v>
      </c>
      <c r="F19" s="112" t="s">
        <v>451</v>
      </c>
      <c r="G19" s="114">
        <v>8</v>
      </c>
      <c r="H19" s="115" t="s">
        <v>88</v>
      </c>
    </row>
    <row r="20" spans="1:8" ht="19.899999999999999" customHeight="1">
      <c r="A20" s="111" t="s">
        <v>339</v>
      </c>
      <c r="B20" s="112" t="s">
        <v>26</v>
      </c>
      <c r="C20" s="113" t="s">
        <v>822</v>
      </c>
      <c r="D20" s="112" t="s">
        <v>808</v>
      </c>
      <c r="E20" s="112" t="s">
        <v>564</v>
      </c>
      <c r="F20" s="112" t="s">
        <v>28</v>
      </c>
      <c r="G20" s="114">
        <v>8</v>
      </c>
      <c r="H20" s="115" t="s">
        <v>88</v>
      </c>
    </row>
    <row r="21" spans="1:8" ht="19.899999999999999" customHeight="1">
      <c r="A21" s="111" t="s">
        <v>339</v>
      </c>
      <c r="B21" s="112" t="s">
        <v>26</v>
      </c>
      <c r="C21" s="113" t="s">
        <v>824</v>
      </c>
      <c r="D21" s="112" t="s">
        <v>808</v>
      </c>
      <c r="E21" s="112" t="s">
        <v>995</v>
      </c>
      <c r="F21" s="112" t="s">
        <v>451</v>
      </c>
      <c r="G21" s="114">
        <v>4</v>
      </c>
      <c r="H21" s="115" t="s">
        <v>88</v>
      </c>
    </row>
    <row r="22" spans="1:8" ht="19.899999999999999" customHeight="1">
      <c r="A22" s="111" t="s">
        <v>339</v>
      </c>
      <c r="B22" s="112" t="s">
        <v>26</v>
      </c>
      <c r="C22" s="113" t="s">
        <v>824</v>
      </c>
      <c r="D22" s="112" t="s">
        <v>808</v>
      </c>
      <c r="E22" s="112" t="s">
        <v>995</v>
      </c>
      <c r="F22" s="112" t="s">
        <v>28</v>
      </c>
      <c r="G22" s="114">
        <v>4</v>
      </c>
      <c r="H22" s="115" t="s">
        <v>88</v>
      </c>
    </row>
    <row r="23" spans="1:8" ht="19.899999999999999" customHeight="1">
      <c r="A23" s="111" t="s">
        <v>339</v>
      </c>
      <c r="B23" s="112" t="s">
        <v>359</v>
      </c>
      <c r="C23" s="113" t="s">
        <v>814</v>
      </c>
      <c r="D23" s="112" t="s">
        <v>808</v>
      </c>
      <c r="E23" s="112" t="s">
        <v>554</v>
      </c>
      <c r="F23" s="112" t="s">
        <v>361</v>
      </c>
      <c r="G23" s="114">
        <v>9</v>
      </c>
      <c r="H23" s="115" t="s">
        <v>846</v>
      </c>
    </row>
    <row r="24" spans="1:8" ht="19.899999999999999" customHeight="1">
      <c r="A24" s="111" t="s">
        <v>339</v>
      </c>
      <c r="B24" s="112" t="s">
        <v>38</v>
      </c>
      <c r="C24" s="113" t="s">
        <v>812</v>
      </c>
      <c r="D24" s="112" t="s">
        <v>808</v>
      </c>
      <c r="E24" s="112" t="s">
        <v>593</v>
      </c>
      <c r="F24" s="112" t="s">
        <v>440</v>
      </c>
      <c r="G24" s="114">
        <v>5</v>
      </c>
      <c r="H24" s="115" t="s">
        <v>848</v>
      </c>
    </row>
    <row r="25" spans="1:8" ht="19.899999999999999" customHeight="1">
      <c r="A25" s="111" t="s">
        <v>339</v>
      </c>
      <c r="B25" s="112" t="s">
        <v>38</v>
      </c>
      <c r="C25" s="113" t="s">
        <v>812</v>
      </c>
      <c r="D25" s="112" t="s">
        <v>808</v>
      </c>
      <c r="E25" s="112" t="s">
        <v>593</v>
      </c>
      <c r="F25" s="112" t="s">
        <v>40</v>
      </c>
      <c r="G25" s="114">
        <v>5</v>
      </c>
      <c r="H25" s="115" t="s">
        <v>848</v>
      </c>
    </row>
    <row r="26" spans="1:8" ht="19.899999999999999" customHeight="1">
      <c r="A26" s="147" t="s">
        <v>339</v>
      </c>
      <c r="B26" s="124" t="s">
        <v>38</v>
      </c>
      <c r="C26" s="125" t="s">
        <v>813</v>
      </c>
      <c r="D26" s="124" t="s">
        <v>808</v>
      </c>
      <c r="E26" s="124" t="s">
        <v>598</v>
      </c>
      <c r="F26" s="124" t="s">
        <v>440</v>
      </c>
      <c r="G26" s="127">
        <v>14</v>
      </c>
      <c r="H26" s="128" t="s">
        <v>848</v>
      </c>
    </row>
    <row r="27" spans="1:8" ht="19.899999999999999" customHeight="1">
      <c r="A27" s="111" t="s">
        <v>340</v>
      </c>
      <c r="B27" s="112" t="s">
        <v>26</v>
      </c>
      <c r="C27" s="113" t="s">
        <v>986</v>
      </c>
      <c r="D27" s="112" t="s">
        <v>985</v>
      </c>
      <c r="E27" s="112" t="s">
        <v>702</v>
      </c>
      <c r="F27" s="112" t="s">
        <v>987</v>
      </c>
      <c r="G27" s="114">
        <v>6</v>
      </c>
      <c r="H27" s="115" t="s">
        <v>992</v>
      </c>
    </row>
    <row r="28" spans="1:8" ht="19.899999999999999" customHeight="1">
      <c r="A28" s="111" t="s">
        <v>340</v>
      </c>
      <c r="B28" s="112" t="s">
        <v>26</v>
      </c>
      <c r="C28" s="113" t="s">
        <v>986</v>
      </c>
      <c r="D28" s="112" t="s">
        <v>985</v>
      </c>
      <c r="E28" s="112" t="s">
        <v>702</v>
      </c>
      <c r="F28" s="112" t="s">
        <v>31</v>
      </c>
      <c r="G28" s="114">
        <v>6</v>
      </c>
      <c r="H28" s="115" t="s">
        <v>993</v>
      </c>
    </row>
    <row r="29" spans="1:8" ht="19.899999999999999" customHeight="1">
      <c r="A29" s="111" t="s">
        <v>340</v>
      </c>
      <c r="B29" s="112" t="s">
        <v>26</v>
      </c>
      <c r="C29" s="113" t="s">
        <v>986</v>
      </c>
      <c r="D29" s="112" t="s">
        <v>985</v>
      </c>
      <c r="E29" s="112" t="s">
        <v>702</v>
      </c>
      <c r="F29" s="112" t="s">
        <v>34</v>
      </c>
      <c r="G29" s="114">
        <v>6</v>
      </c>
      <c r="H29" s="115" t="s">
        <v>994</v>
      </c>
    </row>
    <row r="30" spans="1:8" ht="19.899999999999999" customHeight="1">
      <c r="A30" s="143"/>
      <c r="B30" s="144"/>
      <c r="C30" s="144"/>
      <c r="D30" s="144"/>
      <c r="E30" s="144"/>
      <c r="F30" s="145" t="s">
        <v>1039</v>
      </c>
      <c r="G30" s="144"/>
      <c r="H30" s="146"/>
    </row>
    <row r="31" spans="1:8" ht="19.899999999999999" customHeight="1">
      <c r="A31" s="111" t="s">
        <v>340</v>
      </c>
      <c r="B31" s="112" t="s">
        <v>61</v>
      </c>
      <c r="C31" s="113" t="s">
        <v>816</v>
      </c>
      <c r="D31" s="112" t="s">
        <v>808</v>
      </c>
      <c r="E31" s="112" t="s">
        <v>974</v>
      </c>
      <c r="F31" s="112" t="s">
        <v>63</v>
      </c>
      <c r="G31" s="114">
        <v>1</v>
      </c>
      <c r="H31" s="115" t="s">
        <v>121</v>
      </c>
    </row>
    <row r="32" spans="1:8" ht="19.899999999999999" customHeight="1">
      <c r="A32" s="111" t="s">
        <v>340</v>
      </c>
      <c r="B32" s="112" t="s">
        <v>402</v>
      </c>
      <c r="C32" s="113" t="s">
        <v>839</v>
      </c>
      <c r="D32" s="112" t="s">
        <v>808</v>
      </c>
      <c r="E32" s="112" t="s">
        <v>599</v>
      </c>
      <c r="F32" s="112" t="s">
        <v>63</v>
      </c>
      <c r="G32" s="114">
        <v>2</v>
      </c>
      <c r="H32" s="115" t="s">
        <v>404</v>
      </c>
    </row>
    <row r="33" spans="1:8" ht="19.899999999999999" customHeight="1">
      <c r="A33" s="111" t="s">
        <v>340</v>
      </c>
      <c r="B33" s="112" t="s">
        <v>359</v>
      </c>
      <c r="C33" s="113" t="s">
        <v>814</v>
      </c>
      <c r="D33" s="112" t="s">
        <v>808</v>
      </c>
      <c r="E33" s="112" t="s">
        <v>563</v>
      </c>
      <c r="F33" s="112" t="s">
        <v>469</v>
      </c>
      <c r="G33" s="114">
        <v>9</v>
      </c>
      <c r="H33" s="115" t="s">
        <v>863</v>
      </c>
    </row>
    <row r="34" spans="1:8" ht="19.899999999999999" customHeight="1">
      <c r="A34" s="111" t="s">
        <v>340</v>
      </c>
      <c r="B34" s="112" t="s">
        <v>359</v>
      </c>
      <c r="C34" s="113" t="s">
        <v>814</v>
      </c>
      <c r="D34" s="112" t="s">
        <v>808</v>
      </c>
      <c r="E34" s="112" t="s">
        <v>563</v>
      </c>
      <c r="F34" s="112" t="s">
        <v>361</v>
      </c>
      <c r="G34" s="114">
        <v>9</v>
      </c>
      <c r="H34" s="115" t="s">
        <v>863</v>
      </c>
    </row>
    <row r="35" spans="1:8" ht="19.899999999999999" customHeight="1">
      <c r="A35" s="111" t="s">
        <v>340</v>
      </c>
      <c r="B35" s="112" t="s">
        <v>38</v>
      </c>
      <c r="C35" s="113" t="s">
        <v>809</v>
      </c>
      <c r="D35" s="112" t="s">
        <v>808</v>
      </c>
      <c r="E35" s="112" t="s">
        <v>984</v>
      </c>
      <c r="F35" s="112" t="s">
        <v>440</v>
      </c>
      <c r="G35" s="114">
        <v>17</v>
      </c>
      <c r="H35" s="115" t="s">
        <v>45</v>
      </c>
    </row>
    <row r="36" spans="1:8" ht="19.899999999999999" customHeight="1">
      <c r="A36" s="111" t="s">
        <v>340</v>
      </c>
      <c r="B36" s="112" t="s">
        <v>38</v>
      </c>
      <c r="C36" s="113" t="s">
        <v>809</v>
      </c>
      <c r="D36" s="112" t="s">
        <v>808</v>
      </c>
      <c r="E36" s="112" t="s">
        <v>984</v>
      </c>
      <c r="F36" s="112" t="s">
        <v>40</v>
      </c>
      <c r="G36" s="114">
        <v>17</v>
      </c>
      <c r="H36" s="115" t="s">
        <v>45</v>
      </c>
    </row>
    <row r="37" spans="1:8" ht="19.899999999999999" customHeight="1">
      <c r="A37" s="111" t="s">
        <v>340</v>
      </c>
      <c r="B37" s="112" t="s">
        <v>26</v>
      </c>
      <c r="C37" s="113" t="s">
        <v>822</v>
      </c>
      <c r="D37" s="112" t="s">
        <v>808</v>
      </c>
      <c r="E37" s="112" t="s">
        <v>564</v>
      </c>
      <c r="F37" s="112" t="s">
        <v>451</v>
      </c>
      <c r="G37" s="114">
        <v>4</v>
      </c>
      <c r="H37" s="115" t="s">
        <v>35</v>
      </c>
    </row>
    <row r="38" spans="1:8" ht="19.899999999999999" customHeight="1">
      <c r="A38" s="111" t="s">
        <v>340</v>
      </c>
      <c r="B38" s="112" t="s">
        <v>26</v>
      </c>
      <c r="C38" s="113" t="s">
        <v>822</v>
      </c>
      <c r="D38" s="112" t="s">
        <v>808</v>
      </c>
      <c r="E38" s="112" t="s">
        <v>564</v>
      </c>
      <c r="F38" s="112" t="s">
        <v>28</v>
      </c>
      <c r="G38" s="114">
        <v>4</v>
      </c>
      <c r="H38" s="115" t="s">
        <v>35</v>
      </c>
    </row>
    <row r="39" spans="1:8" ht="19.899999999999999" customHeight="1">
      <c r="A39" s="111" t="s">
        <v>340</v>
      </c>
      <c r="B39" s="112" t="s">
        <v>26</v>
      </c>
      <c r="C39" s="113" t="s">
        <v>824</v>
      </c>
      <c r="D39" s="112" t="s">
        <v>808</v>
      </c>
      <c r="E39" s="112" t="s">
        <v>995</v>
      </c>
      <c r="F39" s="112" t="s">
        <v>451</v>
      </c>
      <c r="G39" s="114">
        <v>9</v>
      </c>
      <c r="H39" s="115" t="s">
        <v>35</v>
      </c>
    </row>
    <row r="40" spans="1:8" ht="19.899999999999999" customHeight="1">
      <c r="A40" s="147" t="s">
        <v>340</v>
      </c>
      <c r="B40" s="124" t="s">
        <v>26</v>
      </c>
      <c r="C40" s="125" t="s">
        <v>824</v>
      </c>
      <c r="D40" s="124" t="s">
        <v>808</v>
      </c>
      <c r="E40" s="124" t="s">
        <v>995</v>
      </c>
      <c r="F40" s="124" t="s">
        <v>28</v>
      </c>
      <c r="G40" s="127">
        <v>9</v>
      </c>
      <c r="H40" s="128" t="s">
        <v>35</v>
      </c>
    </row>
    <row r="41" spans="1:8" ht="19.899999999999999" customHeight="1">
      <c r="A41" s="116" t="s">
        <v>770</v>
      </c>
      <c r="B41" s="117" t="s">
        <v>61</v>
      </c>
      <c r="C41" s="118" t="s">
        <v>996</v>
      </c>
      <c r="D41" s="117" t="s">
        <v>985</v>
      </c>
      <c r="E41" s="117" t="s">
        <v>978</v>
      </c>
      <c r="F41" s="117" t="s">
        <v>63</v>
      </c>
      <c r="G41" s="119">
        <v>7</v>
      </c>
      <c r="H41" s="120" t="s">
        <v>997</v>
      </c>
    </row>
    <row r="42" spans="1:8" ht="19.899999999999999" customHeight="1">
      <c r="A42" s="121">
        <v>46026</v>
      </c>
      <c r="B42" s="112" t="s">
        <v>68</v>
      </c>
      <c r="C42" s="113" t="s">
        <v>1000</v>
      </c>
      <c r="D42" s="112" t="s">
        <v>985</v>
      </c>
      <c r="E42" s="122">
        <v>1.427083333333333</v>
      </c>
      <c r="F42" s="112" t="s">
        <v>643</v>
      </c>
      <c r="G42" s="114">
        <v>4</v>
      </c>
      <c r="H42" s="115" t="s">
        <v>1001</v>
      </c>
    </row>
    <row r="43" spans="1:8" ht="19.899999999999999" customHeight="1">
      <c r="A43" s="143"/>
      <c r="B43" s="144"/>
      <c r="C43" s="144"/>
      <c r="D43" s="144"/>
      <c r="E43" s="144"/>
      <c r="F43" s="145" t="s">
        <v>1039</v>
      </c>
      <c r="G43" s="144"/>
      <c r="H43" s="146"/>
    </row>
    <row r="44" spans="1:8" ht="19.899999999999999" customHeight="1">
      <c r="A44" s="121">
        <v>46026</v>
      </c>
      <c r="B44" s="112" t="s">
        <v>38</v>
      </c>
      <c r="C44" s="113" t="s">
        <v>812</v>
      </c>
      <c r="D44" s="112" t="s">
        <v>808</v>
      </c>
      <c r="E44" s="122">
        <v>1.8888888888888891</v>
      </c>
      <c r="F44" s="112" t="s">
        <v>40</v>
      </c>
      <c r="G44" s="114">
        <v>12</v>
      </c>
      <c r="H44" s="115" t="s">
        <v>475</v>
      </c>
    </row>
    <row r="45" spans="1:8" ht="19.899999999999999" customHeight="1">
      <c r="A45" s="121">
        <v>46026</v>
      </c>
      <c r="B45" s="112" t="s">
        <v>26</v>
      </c>
      <c r="C45" s="113" t="s">
        <v>820</v>
      </c>
      <c r="D45" s="112" t="s">
        <v>808</v>
      </c>
      <c r="E45" s="122">
        <v>1.4375</v>
      </c>
      <c r="F45" s="112" t="s">
        <v>28</v>
      </c>
      <c r="G45" s="114">
        <v>8</v>
      </c>
      <c r="H45" s="115" t="s">
        <v>88</v>
      </c>
    </row>
    <row r="46" spans="1:8" ht="19.899999999999999" customHeight="1">
      <c r="A46" s="121">
        <v>46026</v>
      </c>
      <c r="B46" s="112" t="s">
        <v>26</v>
      </c>
      <c r="C46" s="113" t="s">
        <v>821</v>
      </c>
      <c r="D46" s="112" t="s">
        <v>808</v>
      </c>
      <c r="E46" s="122">
        <v>1.631944444444444</v>
      </c>
      <c r="F46" s="112" t="s">
        <v>28</v>
      </c>
      <c r="G46" s="114">
        <v>4</v>
      </c>
      <c r="H46" s="115" t="s">
        <v>88</v>
      </c>
    </row>
    <row r="47" spans="1:8" ht="19.899999999999999" customHeight="1">
      <c r="A47" s="121">
        <v>46026</v>
      </c>
      <c r="B47" s="112" t="s">
        <v>26</v>
      </c>
      <c r="C47" s="113" t="s">
        <v>822</v>
      </c>
      <c r="D47" s="112" t="s">
        <v>808</v>
      </c>
      <c r="E47" s="122">
        <v>1.5590277777777779</v>
      </c>
      <c r="F47" s="112" t="s">
        <v>28</v>
      </c>
      <c r="G47" s="114">
        <v>9</v>
      </c>
      <c r="H47" s="115" t="s">
        <v>88</v>
      </c>
    </row>
    <row r="48" spans="1:8" ht="19.899999999999999" customHeight="1">
      <c r="A48" s="121">
        <v>46026</v>
      </c>
      <c r="B48" s="112" t="s">
        <v>26</v>
      </c>
      <c r="C48" s="113" t="s">
        <v>823</v>
      </c>
      <c r="D48" s="112" t="s">
        <v>808</v>
      </c>
      <c r="E48" s="122">
        <v>1.819444444444444</v>
      </c>
      <c r="F48" s="112" t="s">
        <v>28</v>
      </c>
      <c r="G48" s="114">
        <v>9</v>
      </c>
      <c r="H48" s="115" t="s">
        <v>88</v>
      </c>
    </row>
    <row r="49" spans="1:8" ht="19.899999999999999" customHeight="1">
      <c r="A49" s="121">
        <v>46026</v>
      </c>
      <c r="B49" s="112" t="s">
        <v>26</v>
      </c>
      <c r="C49" s="113" t="s">
        <v>824</v>
      </c>
      <c r="D49" s="112" t="s">
        <v>808</v>
      </c>
      <c r="E49" s="122">
        <v>1.506944444444444</v>
      </c>
      <c r="F49" s="112" t="s">
        <v>28</v>
      </c>
      <c r="G49" s="114">
        <v>9</v>
      </c>
      <c r="H49" s="115" t="s">
        <v>88</v>
      </c>
    </row>
    <row r="50" spans="1:8" ht="19.899999999999999" customHeight="1">
      <c r="A50" s="121">
        <v>46026</v>
      </c>
      <c r="B50" s="112" t="s">
        <v>38</v>
      </c>
      <c r="C50" s="113" t="s">
        <v>813</v>
      </c>
      <c r="D50" s="112" t="s">
        <v>808</v>
      </c>
      <c r="E50" s="122">
        <v>1.944444444444444</v>
      </c>
      <c r="F50" s="112" t="s">
        <v>40</v>
      </c>
      <c r="G50" s="114">
        <v>15</v>
      </c>
      <c r="H50" s="115" t="s">
        <v>872</v>
      </c>
    </row>
    <row r="51" spans="1:8" ht="19.899999999999999" customHeight="1">
      <c r="A51" s="121">
        <v>46026</v>
      </c>
      <c r="B51" s="112" t="s">
        <v>26</v>
      </c>
      <c r="C51" s="113" t="s">
        <v>826</v>
      </c>
      <c r="D51" s="112" t="s">
        <v>808</v>
      </c>
      <c r="E51" s="122">
        <v>1.958333333333333</v>
      </c>
      <c r="F51" s="112" t="s">
        <v>28</v>
      </c>
      <c r="G51" s="114">
        <v>9</v>
      </c>
      <c r="H51" s="115" t="s">
        <v>81</v>
      </c>
    </row>
    <row r="52" spans="1:8" ht="19.899999999999999" customHeight="1">
      <c r="A52" s="121">
        <v>46026</v>
      </c>
      <c r="B52" s="112" t="s">
        <v>26</v>
      </c>
      <c r="C52" s="113" t="s">
        <v>825</v>
      </c>
      <c r="D52" s="112" t="s">
        <v>808</v>
      </c>
      <c r="E52" s="122">
        <v>1.697916666666667</v>
      </c>
      <c r="F52" s="112" t="s">
        <v>28</v>
      </c>
      <c r="G52" s="114">
        <v>6</v>
      </c>
      <c r="H52" s="115" t="s">
        <v>81</v>
      </c>
    </row>
    <row r="53" spans="1:8" ht="19.899999999999999" customHeight="1">
      <c r="A53" s="123">
        <v>46026</v>
      </c>
      <c r="B53" s="124" t="s">
        <v>38</v>
      </c>
      <c r="C53" s="125" t="s">
        <v>809</v>
      </c>
      <c r="D53" s="124" t="s">
        <v>808</v>
      </c>
      <c r="E53" s="126">
        <v>1.5763888888888891</v>
      </c>
      <c r="F53" s="124" t="s">
        <v>40</v>
      </c>
      <c r="G53" s="127">
        <v>15</v>
      </c>
      <c r="H53" s="128" t="s">
        <v>848</v>
      </c>
    </row>
    <row r="54" spans="1:8" ht="19.899999999999999" customHeight="1">
      <c r="A54" s="143"/>
      <c r="B54" s="144"/>
      <c r="C54" s="144"/>
      <c r="D54" s="144"/>
      <c r="E54" s="144"/>
      <c r="F54" s="145" t="s">
        <v>1039</v>
      </c>
      <c r="G54" s="144"/>
      <c r="H54" s="146"/>
    </row>
    <row r="55" spans="1:8" ht="19.899999999999999" customHeight="1">
      <c r="A55" s="121">
        <v>46027</v>
      </c>
      <c r="B55" s="112" t="s">
        <v>38</v>
      </c>
      <c r="C55" s="113" t="s">
        <v>809</v>
      </c>
      <c r="D55" s="112" t="s">
        <v>808</v>
      </c>
      <c r="E55" s="122">
        <v>1.5763888888888891</v>
      </c>
      <c r="F55" s="112" t="s">
        <v>440</v>
      </c>
      <c r="G55" s="114">
        <v>9</v>
      </c>
      <c r="H55" s="115" t="s">
        <v>475</v>
      </c>
    </row>
    <row r="56" spans="1:8" ht="19.899999999999999" customHeight="1">
      <c r="A56" s="121">
        <v>46027</v>
      </c>
      <c r="B56" s="112" t="s">
        <v>38</v>
      </c>
      <c r="C56" s="113" t="s">
        <v>812</v>
      </c>
      <c r="D56" s="112" t="s">
        <v>808</v>
      </c>
      <c r="E56" s="122">
        <v>1.8888888888888891</v>
      </c>
      <c r="F56" s="112" t="s">
        <v>440</v>
      </c>
      <c r="G56" s="114">
        <v>10</v>
      </c>
      <c r="H56" s="115" t="s">
        <v>475</v>
      </c>
    </row>
    <row r="57" spans="1:8" ht="19.899999999999999" customHeight="1">
      <c r="A57" s="121">
        <v>46027</v>
      </c>
      <c r="B57" s="112" t="s">
        <v>38</v>
      </c>
      <c r="C57" s="113" t="s">
        <v>813</v>
      </c>
      <c r="D57" s="112" t="s">
        <v>808</v>
      </c>
      <c r="E57" s="122">
        <v>1.944444444444444</v>
      </c>
      <c r="F57" s="112" t="s">
        <v>440</v>
      </c>
      <c r="G57" s="114">
        <v>17</v>
      </c>
      <c r="H57" s="115" t="s">
        <v>475</v>
      </c>
    </row>
    <row r="58" spans="1:8" ht="19.899999999999999" customHeight="1">
      <c r="A58" s="121">
        <v>46027</v>
      </c>
      <c r="B58" s="112" t="s">
        <v>359</v>
      </c>
      <c r="C58" s="113" t="s">
        <v>814</v>
      </c>
      <c r="D58" s="112" t="s">
        <v>808</v>
      </c>
      <c r="E58" s="122">
        <v>1.3298611111111109</v>
      </c>
      <c r="F58" s="112" t="s">
        <v>469</v>
      </c>
      <c r="G58" s="114">
        <v>9</v>
      </c>
      <c r="H58" s="115" t="s">
        <v>883</v>
      </c>
    </row>
    <row r="59" spans="1:8" ht="19.899999999999999" customHeight="1">
      <c r="A59" s="121">
        <v>46027</v>
      </c>
      <c r="B59" s="112" t="s">
        <v>38</v>
      </c>
      <c r="C59" s="113" t="s">
        <v>811</v>
      </c>
      <c r="D59" s="112" t="s">
        <v>808</v>
      </c>
      <c r="E59" s="122">
        <v>1.6284722222222221</v>
      </c>
      <c r="F59" s="112" t="s">
        <v>440</v>
      </c>
      <c r="G59" s="114">
        <v>12</v>
      </c>
      <c r="H59" s="115" t="s">
        <v>872</v>
      </c>
    </row>
    <row r="60" spans="1:8" ht="19.899999999999999" customHeight="1">
      <c r="A60" s="121">
        <v>46027</v>
      </c>
      <c r="B60" s="112" t="s">
        <v>26</v>
      </c>
      <c r="C60" s="113" t="s">
        <v>820</v>
      </c>
      <c r="D60" s="112" t="s">
        <v>808</v>
      </c>
      <c r="E60" s="122">
        <v>1.4375</v>
      </c>
      <c r="F60" s="112" t="s">
        <v>451</v>
      </c>
      <c r="G60" s="114">
        <v>9</v>
      </c>
      <c r="H60" s="115" t="s">
        <v>81</v>
      </c>
    </row>
    <row r="61" spans="1:8" ht="19.899999999999999" customHeight="1">
      <c r="A61" s="121">
        <v>46027</v>
      </c>
      <c r="B61" s="112" t="s">
        <v>26</v>
      </c>
      <c r="C61" s="113" t="s">
        <v>826</v>
      </c>
      <c r="D61" s="112" t="s">
        <v>808</v>
      </c>
      <c r="E61" s="122">
        <v>1.958333333333333</v>
      </c>
      <c r="F61" s="112" t="s">
        <v>28</v>
      </c>
      <c r="G61" s="114">
        <v>9</v>
      </c>
      <c r="H61" s="115" t="s">
        <v>81</v>
      </c>
    </row>
    <row r="62" spans="1:8" ht="19.899999999999999" customHeight="1">
      <c r="A62" s="121">
        <v>46027</v>
      </c>
      <c r="B62" s="112" t="s">
        <v>26</v>
      </c>
      <c r="C62" s="113" t="s">
        <v>821</v>
      </c>
      <c r="D62" s="112" t="s">
        <v>808</v>
      </c>
      <c r="E62" s="122">
        <v>1.631944444444444</v>
      </c>
      <c r="F62" s="112" t="s">
        <v>451</v>
      </c>
      <c r="G62" s="114">
        <v>9</v>
      </c>
      <c r="H62" s="115" t="s">
        <v>81</v>
      </c>
    </row>
    <row r="63" spans="1:8" ht="19.899999999999999" customHeight="1">
      <c r="A63" s="121">
        <v>46027</v>
      </c>
      <c r="B63" s="112" t="s">
        <v>26</v>
      </c>
      <c r="C63" s="113" t="s">
        <v>822</v>
      </c>
      <c r="D63" s="112" t="s">
        <v>808</v>
      </c>
      <c r="E63" s="122">
        <v>1.5590277777777779</v>
      </c>
      <c r="F63" s="112" t="s">
        <v>451</v>
      </c>
      <c r="G63" s="114">
        <v>9</v>
      </c>
      <c r="H63" s="115" t="s">
        <v>81</v>
      </c>
    </row>
    <row r="64" spans="1:8" ht="19.899999999999999" customHeight="1">
      <c r="A64" s="123">
        <v>46027</v>
      </c>
      <c r="B64" s="124" t="s">
        <v>26</v>
      </c>
      <c r="C64" s="125" t="s">
        <v>823</v>
      </c>
      <c r="D64" s="124" t="s">
        <v>808</v>
      </c>
      <c r="E64" s="126">
        <v>1.819444444444444</v>
      </c>
      <c r="F64" s="124" t="s">
        <v>451</v>
      </c>
      <c r="G64" s="127">
        <v>9</v>
      </c>
      <c r="H64" s="128" t="s">
        <v>81</v>
      </c>
    </row>
    <row r="65" spans="1:8" ht="19.899999999999999" customHeight="1">
      <c r="A65" s="129">
        <v>46028</v>
      </c>
      <c r="B65" s="117" t="s">
        <v>61</v>
      </c>
      <c r="C65" s="118" t="s">
        <v>996</v>
      </c>
      <c r="D65" s="117" t="s">
        <v>985</v>
      </c>
      <c r="E65" s="130">
        <v>1.430555555555556</v>
      </c>
      <c r="F65" s="117" t="s">
        <v>63</v>
      </c>
      <c r="G65" s="119">
        <v>8</v>
      </c>
      <c r="H65" s="120" t="s">
        <v>849</v>
      </c>
    </row>
    <row r="66" spans="1:8" ht="19.899999999999999" customHeight="1">
      <c r="A66" s="121">
        <v>46028</v>
      </c>
      <c r="B66" s="112" t="s">
        <v>26</v>
      </c>
      <c r="C66" s="113" t="s">
        <v>986</v>
      </c>
      <c r="D66" s="112" t="s">
        <v>985</v>
      </c>
      <c r="E66" s="122">
        <v>1.3611111111111109</v>
      </c>
      <c r="F66" s="112" t="s">
        <v>987</v>
      </c>
      <c r="G66" s="114">
        <v>9</v>
      </c>
      <c r="H66" s="115" t="s">
        <v>988</v>
      </c>
    </row>
    <row r="67" spans="1:8" ht="19.899999999999999" customHeight="1">
      <c r="A67" s="121">
        <v>46028</v>
      </c>
      <c r="B67" s="112" t="s">
        <v>26</v>
      </c>
      <c r="C67" s="113" t="s">
        <v>986</v>
      </c>
      <c r="D67" s="112" t="s">
        <v>985</v>
      </c>
      <c r="E67" s="122">
        <v>1.3611111111111109</v>
      </c>
      <c r="F67" s="112" t="s">
        <v>31</v>
      </c>
      <c r="G67" s="114">
        <v>9</v>
      </c>
      <c r="H67" s="115" t="s">
        <v>989</v>
      </c>
    </row>
    <row r="68" spans="1:8" ht="19.899999999999999" customHeight="1">
      <c r="A68" s="121">
        <v>46028</v>
      </c>
      <c r="B68" s="112" t="s">
        <v>68</v>
      </c>
      <c r="C68" s="113" t="s">
        <v>1000</v>
      </c>
      <c r="D68" s="112" t="s">
        <v>985</v>
      </c>
      <c r="E68" s="122">
        <v>1.430555555555556</v>
      </c>
      <c r="F68" s="112" t="s">
        <v>643</v>
      </c>
      <c r="G68" s="114">
        <v>4</v>
      </c>
      <c r="H68" s="115" t="s">
        <v>1001</v>
      </c>
    </row>
    <row r="69" spans="1:8" ht="19.899999999999999" customHeight="1">
      <c r="A69" s="121">
        <v>46028</v>
      </c>
      <c r="B69" s="112" t="s">
        <v>26</v>
      </c>
      <c r="C69" s="113" t="s">
        <v>986</v>
      </c>
      <c r="D69" s="112" t="s">
        <v>985</v>
      </c>
      <c r="E69" s="122">
        <v>1.3611111111111109</v>
      </c>
      <c r="F69" s="112" t="s">
        <v>34</v>
      </c>
      <c r="G69" s="114">
        <v>9</v>
      </c>
      <c r="H69" s="115" t="s">
        <v>990</v>
      </c>
    </row>
    <row r="70" spans="1:8" ht="19.899999999999999" customHeight="1">
      <c r="A70" s="143"/>
      <c r="B70" s="144"/>
      <c r="C70" s="144"/>
      <c r="D70" s="144"/>
      <c r="E70" s="144"/>
      <c r="F70" s="145" t="s">
        <v>1039</v>
      </c>
      <c r="G70" s="144"/>
      <c r="H70" s="146"/>
    </row>
    <row r="71" spans="1:8" ht="19.899999999999999" customHeight="1">
      <c r="A71" s="121">
        <v>46028</v>
      </c>
      <c r="B71" s="112" t="s">
        <v>38</v>
      </c>
      <c r="C71" s="113" t="s">
        <v>809</v>
      </c>
      <c r="D71" s="112" t="s">
        <v>808</v>
      </c>
      <c r="E71" s="122">
        <v>1.5763888888888891</v>
      </c>
      <c r="F71" s="112" t="s">
        <v>40</v>
      </c>
      <c r="G71" s="114">
        <v>14</v>
      </c>
      <c r="H71" s="115" t="s">
        <v>475</v>
      </c>
    </row>
    <row r="72" spans="1:8" ht="19.899999999999999" customHeight="1">
      <c r="A72" s="121">
        <v>46028</v>
      </c>
      <c r="B72" s="112" t="s">
        <v>38</v>
      </c>
      <c r="C72" s="113" t="s">
        <v>811</v>
      </c>
      <c r="D72" s="112" t="s">
        <v>808</v>
      </c>
      <c r="E72" s="122">
        <v>1.6284722222222221</v>
      </c>
      <c r="F72" s="112" t="s">
        <v>40</v>
      </c>
      <c r="G72" s="114">
        <v>17</v>
      </c>
      <c r="H72" s="115" t="s">
        <v>475</v>
      </c>
    </row>
    <row r="73" spans="1:8" ht="19.899999999999999" customHeight="1">
      <c r="A73" s="121">
        <v>46028</v>
      </c>
      <c r="B73" s="112" t="s">
        <v>38</v>
      </c>
      <c r="C73" s="113" t="s">
        <v>812</v>
      </c>
      <c r="D73" s="112" t="s">
        <v>808</v>
      </c>
      <c r="E73" s="122">
        <v>1.8888888888888891</v>
      </c>
      <c r="F73" s="112" t="s">
        <v>40</v>
      </c>
      <c r="G73" s="114">
        <v>19</v>
      </c>
      <c r="H73" s="115" t="s">
        <v>475</v>
      </c>
    </row>
    <row r="74" spans="1:8" ht="19.899999999999999" customHeight="1">
      <c r="A74" s="121">
        <v>46028</v>
      </c>
      <c r="B74" s="112" t="s">
        <v>38</v>
      </c>
      <c r="C74" s="113" t="s">
        <v>813</v>
      </c>
      <c r="D74" s="112" t="s">
        <v>808</v>
      </c>
      <c r="E74" s="122">
        <v>1.944444444444444</v>
      </c>
      <c r="F74" s="112" t="s">
        <v>40</v>
      </c>
      <c r="G74" s="114">
        <v>15</v>
      </c>
      <c r="H74" s="115" t="s">
        <v>475</v>
      </c>
    </row>
    <row r="75" spans="1:8" ht="19.899999999999999" customHeight="1">
      <c r="A75" s="121">
        <v>46028</v>
      </c>
      <c r="B75" s="112" t="s">
        <v>359</v>
      </c>
      <c r="C75" s="113" t="s">
        <v>814</v>
      </c>
      <c r="D75" s="112" t="s">
        <v>808</v>
      </c>
      <c r="E75" s="122">
        <v>1.4375</v>
      </c>
      <c r="F75" s="112" t="s">
        <v>361</v>
      </c>
      <c r="G75" s="114">
        <v>9</v>
      </c>
      <c r="H75" s="115" t="s">
        <v>883</v>
      </c>
    </row>
    <row r="76" spans="1:8" ht="19.899999999999999" customHeight="1">
      <c r="A76" s="121">
        <v>46028</v>
      </c>
      <c r="B76" s="112" t="s">
        <v>359</v>
      </c>
      <c r="C76" s="113" t="s">
        <v>887</v>
      </c>
      <c r="D76" s="112" t="s">
        <v>808</v>
      </c>
      <c r="E76" s="122">
        <v>1.052083333333333</v>
      </c>
      <c r="F76" s="112" t="s">
        <v>361</v>
      </c>
      <c r="G76" s="114">
        <v>9</v>
      </c>
      <c r="H76" s="115" t="s">
        <v>883</v>
      </c>
    </row>
    <row r="77" spans="1:8" ht="19.899999999999999" customHeight="1">
      <c r="A77" s="121">
        <v>46028</v>
      </c>
      <c r="B77" s="112" t="s">
        <v>68</v>
      </c>
      <c r="C77" s="113" t="s">
        <v>844</v>
      </c>
      <c r="D77" s="112" t="s">
        <v>808</v>
      </c>
      <c r="E77" s="122">
        <v>1.729166666666667</v>
      </c>
      <c r="F77" s="112" t="s">
        <v>643</v>
      </c>
      <c r="G77" s="114">
        <v>9</v>
      </c>
      <c r="H77" s="115" t="s">
        <v>888</v>
      </c>
    </row>
    <row r="78" spans="1:8" ht="19.899999999999999" customHeight="1">
      <c r="A78" s="121">
        <v>46028</v>
      </c>
      <c r="B78" s="112" t="s">
        <v>61</v>
      </c>
      <c r="C78" s="113" t="s">
        <v>852</v>
      </c>
      <c r="D78" s="112" t="s">
        <v>808</v>
      </c>
      <c r="E78" s="122">
        <v>1.7152777777777779</v>
      </c>
      <c r="F78" s="112" t="s">
        <v>63</v>
      </c>
      <c r="G78" s="114">
        <v>9</v>
      </c>
      <c r="H78" s="115" t="s">
        <v>817</v>
      </c>
    </row>
    <row r="79" spans="1:8" ht="19.899999999999999" customHeight="1">
      <c r="A79" s="121">
        <v>46028</v>
      </c>
      <c r="B79" s="112" t="s">
        <v>26</v>
      </c>
      <c r="C79" s="113" t="s">
        <v>820</v>
      </c>
      <c r="D79" s="112" t="s">
        <v>808</v>
      </c>
      <c r="E79" s="122">
        <v>1.4375</v>
      </c>
      <c r="F79" s="112" t="s">
        <v>28</v>
      </c>
      <c r="G79" s="114">
        <v>9</v>
      </c>
      <c r="H79" s="115" t="s">
        <v>81</v>
      </c>
    </row>
    <row r="80" spans="1:8" ht="19.899999999999999" customHeight="1">
      <c r="A80" s="123">
        <v>46028</v>
      </c>
      <c r="B80" s="124" t="s">
        <v>26</v>
      </c>
      <c r="C80" s="125" t="s">
        <v>826</v>
      </c>
      <c r="D80" s="124" t="s">
        <v>808</v>
      </c>
      <c r="E80" s="126">
        <v>1.958333333333333</v>
      </c>
      <c r="F80" s="124" t="s">
        <v>28</v>
      </c>
      <c r="G80" s="127">
        <v>9</v>
      </c>
      <c r="H80" s="128" t="s">
        <v>81</v>
      </c>
    </row>
    <row r="81" spans="1:8" ht="19.899999999999999" customHeight="1">
      <c r="A81" s="129">
        <v>46029</v>
      </c>
      <c r="B81" s="117" t="s">
        <v>61</v>
      </c>
      <c r="C81" s="118" t="s">
        <v>1005</v>
      </c>
      <c r="D81" s="117" t="s">
        <v>985</v>
      </c>
      <c r="E81" s="130">
        <v>1.40625</v>
      </c>
      <c r="F81" s="117" t="s">
        <v>63</v>
      </c>
      <c r="G81" s="119">
        <v>5</v>
      </c>
      <c r="H81" s="120" t="s">
        <v>853</v>
      </c>
    </row>
    <row r="82" spans="1:8" ht="19.899999999999999" customHeight="1">
      <c r="A82" s="121">
        <v>46029</v>
      </c>
      <c r="B82" s="112" t="s">
        <v>68</v>
      </c>
      <c r="C82" s="113" t="s">
        <v>1008</v>
      </c>
      <c r="D82" s="112" t="s">
        <v>985</v>
      </c>
      <c r="E82" s="122">
        <v>1.40625</v>
      </c>
      <c r="F82" s="112" t="s">
        <v>643</v>
      </c>
      <c r="G82" s="114">
        <v>4</v>
      </c>
      <c r="H82" s="115" t="s">
        <v>1001</v>
      </c>
    </row>
    <row r="83" spans="1:8" ht="19.899999999999999" customHeight="1">
      <c r="A83" s="143"/>
      <c r="B83" s="144"/>
      <c r="C83" s="144"/>
      <c r="D83" s="144"/>
      <c r="E83" s="144"/>
      <c r="F83" s="145" t="s">
        <v>1039</v>
      </c>
      <c r="G83" s="144"/>
      <c r="H83" s="146"/>
    </row>
    <row r="84" spans="1:8" ht="19.899999999999999" customHeight="1">
      <c r="A84" s="121">
        <v>46029</v>
      </c>
      <c r="B84" s="112" t="s">
        <v>38</v>
      </c>
      <c r="C84" s="113" t="s">
        <v>809</v>
      </c>
      <c r="D84" s="112" t="s">
        <v>808</v>
      </c>
      <c r="E84" s="122">
        <v>1.5763888888888891</v>
      </c>
      <c r="F84" s="112" t="s">
        <v>40</v>
      </c>
      <c r="G84" s="114">
        <v>17</v>
      </c>
      <c r="H84" s="115" t="s">
        <v>475</v>
      </c>
    </row>
    <row r="85" spans="1:8" ht="19.899999999999999" customHeight="1">
      <c r="A85" s="121">
        <v>46029</v>
      </c>
      <c r="B85" s="112" t="s">
        <v>38</v>
      </c>
      <c r="C85" s="113" t="s">
        <v>811</v>
      </c>
      <c r="D85" s="112" t="s">
        <v>808</v>
      </c>
      <c r="E85" s="122">
        <v>1.6284722222222221</v>
      </c>
      <c r="F85" s="112" t="s">
        <v>40</v>
      </c>
      <c r="G85" s="114">
        <v>20</v>
      </c>
      <c r="H85" s="115" t="s">
        <v>475</v>
      </c>
    </row>
    <row r="86" spans="1:8" ht="19.899999999999999" customHeight="1">
      <c r="A86" s="121">
        <v>46029</v>
      </c>
      <c r="B86" s="112" t="s">
        <v>38</v>
      </c>
      <c r="C86" s="113" t="s">
        <v>812</v>
      </c>
      <c r="D86" s="112" t="s">
        <v>808</v>
      </c>
      <c r="E86" s="122">
        <v>1.8888888888888891</v>
      </c>
      <c r="F86" s="112" t="s">
        <v>40</v>
      </c>
      <c r="G86" s="114">
        <v>19</v>
      </c>
      <c r="H86" s="115" t="s">
        <v>475</v>
      </c>
    </row>
    <row r="87" spans="1:8" ht="19.899999999999999" customHeight="1">
      <c r="A87" s="121">
        <v>46029</v>
      </c>
      <c r="B87" s="112" t="s">
        <v>38</v>
      </c>
      <c r="C87" s="113" t="s">
        <v>813</v>
      </c>
      <c r="D87" s="112" t="s">
        <v>808</v>
      </c>
      <c r="E87" s="122">
        <v>1.944444444444444</v>
      </c>
      <c r="F87" s="112" t="s">
        <v>40</v>
      </c>
      <c r="G87" s="114">
        <v>22</v>
      </c>
      <c r="H87" s="115" t="s">
        <v>872</v>
      </c>
    </row>
    <row r="88" spans="1:8" ht="19.899999999999999" customHeight="1">
      <c r="A88" s="121">
        <v>46029</v>
      </c>
      <c r="B88" s="112" t="s">
        <v>68</v>
      </c>
      <c r="C88" s="113" t="s">
        <v>842</v>
      </c>
      <c r="D88" s="112" t="s">
        <v>808</v>
      </c>
      <c r="E88" s="122">
        <v>1.9826388888888891</v>
      </c>
      <c r="F88" s="112" t="s">
        <v>643</v>
      </c>
      <c r="G88" s="114">
        <v>9</v>
      </c>
      <c r="H88" s="115" t="s">
        <v>891</v>
      </c>
    </row>
    <row r="89" spans="1:8" ht="19.899999999999999" customHeight="1">
      <c r="A89" s="121">
        <v>46029</v>
      </c>
      <c r="B89" s="112" t="s">
        <v>68</v>
      </c>
      <c r="C89" s="113" t="s">
        <v>843</v>
      </c>
      <c r="D89" s="112" t="s">
        <v>808</v>
      </c>
      <c r="E89" s="122">
        <v>1.354166666666667</v>
      </c>
      <c r="F89" s="112" t="s">
        <v>643</v>
      </c>
      <c r="G89" s="114">
        <v>9</v>
      </c>
      <c r="H89" s="115" t="s">
        <v>891</v>
      </c>
    </row>
    <row r="90" spans="1:8" ht="19.899999999999999" customHeight="1">
      <c r="A90" s="121">
        <v>46029</v>
      </c>
      <c r="B90" s="112" t="s">
        <v>61</v>
      </c>
      <c r="C90" s="113" t="s">
        <v>816</v>
      </c>
      <c r="D90" s="112" t="s">
        <v>808</v>
      </c>
      <c r="E90" s="122">
        <v>1.413194444444444</v>
      </c>
      <c r="F90" s="112" t="s">
        <v>63</v>
      </c>
      <c r="G90" s="114">
        <v>9</v>
      </c>
      <c r="H90" s="115" t="s">
        <v>817</v>
      </c>
    </row>
    <row r="91" spans="1:8" ht="19.899999999999999" customHeight="1">
      <c r="A91" s="121">
        <v>46029</v>
      </c>
      <c r="B91" s="112" t="s">
        <v>61</v>
      </c>
      <c r="C91" s="113" t="s">
        <v>852</v>
      </c>
      <c r="D91" s="112" t="s">
        <v>808</v>
      </c>
      <c r="E91" s="122">
        <v>1.725694444444444</v>
      </c>
      <c r="F91" s="112" t="s">
        <v>63</v>
      </c>
      <c r="G91" s="114">
        <v>9</v>
      </c>
      <c r="H91" s="115" t="s">
        <v>817</v>
      </c>
    </row>
    <row r="92" spans="1:8" ht="19.899999999999999" customHeight="1">
      <c r="A92" s="121">
        <v>46029</v>
      </c>
      <c r="B92" s="112" t="s">
        <v>26</v>
      </c>
      <c r="C92" s="113" t="s">
        <v>820</v>
      </c>
      <c r="D92" s="112" t="s">
        <v>808</v>
      </c>
      <c r="E92" s="122">
        <v>1.4375</v>
      </c>
      <c r="F92" s="112" t="s">
        <v>28</v>
      </c>
      <c r="G92" s="114">
        <v>9</v>
      </c>
      <c r="H92" s="115" t="s">
        <v>81</v>
      </c>
    </row>
    <row r="93" spans="1:8" ht="19.899999999999999" customHeight="1">
      <c r="A93" s="123">
        <v>46029</v>
      </c>
      <c r="B93" s="124" t="s">
        <v>26</v>
      </c>
      <c r="C93" s="125" t="s">
        <v>826</v>
      </c>
      <c r="D93" s="124" t="s">
        <v>808</v>
      </c>
      <c r="E93" s="126">
        <v>1.958333333333333</v>
      </c>
      <c r="F93" s="124" t="s">
        <v>28</v>
      </c>
      <c r="G93" s="127">
        <v>9</v>
      </c>
      <c r="H93" s="128" t="s">
        <v>81</v>
      </c>
    </row>
    <row r="94" spans="1:8" ht="19.899999999999999" customHeight="1">
      <c r="A94" s="121">
        <v>46030</v>
      </c>
      <c r="B94" s="112" t="s">
        <v>26</v>
      </c>
      <c r="C94" s="113" t="s">
        <v>986</v>
      </c>
      <c r="D94" s="112" t="s">
        <v>985</v>
      </c>
      <c r="E94" s="122">
        <v>1.3611111111111109</v>
      </c>
      <c r="F94" s="112" t="s">
        <v>987</v>
      </c>
      <c r="G94" s="114">
        <v>8</v>
      </c>
      <c r="H94" s="115" t="s">
        <v>988</v>
      </c>
    </row>
    <row r="95" spans="1:8" ht="19.899999999999999" customHeight="1">
      <c r="A95" s="121">
        <v>46030</v>
      </c>
      <c r="B95" s="112" t="s">
        <v>26</v>
      </c>
      <c r="C95" s="113" t="s">
        <v>986</v>
      </c>
      <c r="D95" s="112" t="s">
        <v>985</v>
      </c>
      <c r="E95" s="122">
        <v>1.3611111111111109</v>
      </c>
      <c r="F95" s="112" t="s">
        <v>31</v>
      </c>
      <c r="G95" s="114">
        <v>8</v>
      </c>
      <c r="H95" s="115" t="s">
        <v>989</v>
      </c>
    </row>
    <row r="96" spans="1:8" ht="19.899999999999999" customHeight="1">
      <c r="A96" s="121">
        <v>46030</v>
      </c>
      <c r="B96" s="112" t="s">
        <v>26</v>
      </c>
      <c r="C96" s="113" t="s">
        <v>986</v>
      </c>
      <c r="D96" s="112" t="s">
        <v>985</v>
      </c>
      <c r="E96" s="122">
        <v>1.3611111111111109</v>
      </c>
      <c r="F96" s="112" t="s">
        <v>34</v>
      </c>
      <c r="G96" s="114">
        <v>8</v>
      </c>
      <c r="H96" s="115" t="s">
        <v>990</v>
      </c>
    </row>
    <row r="97" spans="1:8" ht="19.899999999999999" customHeight="1">
      <c r="A97" s="143"/>
      <c r="B97" s="144"/>
      <c r="C97" s="144"/>
      <c r="D97" s="144"/>
      <c r="E97" s="144"/>
      <c r="F97" s="145" t="s">
        <v>1039</v>
      </c>
      <c r="G97" s="144"/>
      <c r="H97" s="146"/>
    </row>
    <row r="98" spans="1:8" ht="19.899999999999999" customHeight="1">
      <c r="A98" s="121">
        <v>46030</v>
      </c>
      <c r="B98" s="112" t="s">
        <v>38</v>
      </c>
      <c r="C98" s="113" t="s">
        <v>809</v>
      </c>
      <c r="D98" s="112" t="s">
        <v>808</v>
      </c>
      <c r="E98" s="122">
        <v>1.5763888888888891</v>
      </c>
      <c r="F98" s="112" t="s">
        <v>40</v>
      </c>
      <c r="G98" s="114">
        <v>13</v>
      </c>
      <c r="H98" s="115" t="s">
        <v>475</v>
      </c>
    </row>
    <row r="99" spans="1:8" ht="19.899999999999999" customHeight="1">
      <c r="A99" s="121">
        <v>46030</v>
      </c>
      <c r="B99" s="112" t="s">
        <v>38</v>
      </c>
      <c r="C99" s="113" t="s">
        <v>811</v>
      </c>
      <c r="D99" s="112" t="s">
        <v>808</v>
      </c>
      <c r="E99" s="122">
        <v>1.6284722222222221</v>
      </c>
      <c r="F99" s="112" t="s">
        <v>40</v>
      </c>
      <c r="G99" s="114">
        <v>12</v>
      </c>
      <c r="H99" s="115" t="s">
        <v>475</v>
      </c>
    </row>
    <row r="100" spans="1:8" ht="19.899999999999999" customHeight="1">
      <c r="A100" s="121">
        <v>46030</v>
      </c>
      <c r="B100" s="112" t="s">
        <v>38</v>
      </c>
      <c r="C100" s="113" t="s">
        <v>812</v>
      </c>
      <c r="D100" s="112" t="s">
        <v>808</v>
      </c>
      <c r="E100" s="122">
        <v>1.8888888888888891</v>
      </c>
      <c r="F100" s="112" t="s">
        <v>40</v>
      </c>
      <c r="G100" s="114">
        <v>16</v>
      </c>
      <c r="H100" s="115" t="s">
        <v>475</v>
      </c>
    </row>
    <row r="101" spans="1:8" ht="19.899999999999999" customHeight="1">
      <c r="A101" s="121">
        <v>46030</v>
      </c>
      <c r="B101" s="112" t="s">
        <v>38</v>
      </c>
      <c r="C101" s="113" t="s">
        <v>813</v>
      </c>
      <c r="D101" s="112" t="s">
        <v>808</v>
      </c>
      <c r="E101" s="122">
        <v>1.944444444444444</v>
      </c>
      <c r="F101" s="112" t="s">
        <v>40</v>
      </c>
      <c r="G101" s="114">
        <v>18</v>
      </c>
      <c r="H101" s="115" t="s">
        <v>475</v>
      </c>
    </row>
    <row r="102" spans="1:8" ht="19.899999999999999" customHeight="1">
      <c r="A102" s="121">
        <v>46030</v>
      </c>
      <c r="B102" s="112" t="s">
        <v>359</v>
      </c>
      <c r="C102" s="113" t="s">
        <v>814</v>
      </c>
      <c r="D102" s="112" t="s">
        <v>808</v>
      </c>
      <c r="E102" s="122">
        <v>1.4375</v>
      </c>
      <c r="F102" s="112" t="s">
        <v>361</v>
      </c>
      <c r="G102" s="114">
        <v>9</v>
      </c>
      <c r="H102" s="115" t="s">
        <v>883</v>
      </c>
    </row>
    <row r="103" spans="1:8" ht="19.899999999999999" customHeight="1">
      <c r="A103" s="121">
        <v>46030</v>
      </c>
      <c r="B103" s="112" t="s">
        <v>68</v>
      </c>
      <c r="C103" s="113" t="s">
        <v>842</v>
      </c>
      <c r="D103" s="112" t="s">
        <v>808</v>
      </c>
      <c r="E103" s="122">
        <v>1.9826388888888891</v>
      </c>
      <c r="F103" s="112" t="s">
        <v>643</v>
      </c>
      <c r="G103" s="114">
        <v>6</v>
      </c>
      <c r="H103" s="115" t="s">
        <v>891</v>
      </c>
    </row>
    <row r="104" spans="1:8" ht="19.899999999999999" customHeight="1">
      <c r="A104" s="121">
        <v>46030</v>
      </c>
      <c r="B104" s="112" t="s">
        <v>68</v>
      </c>
      <c r="C104" s="113" t="s">
        <v>844</v>
      </c>
      <c r="D104" s="112" t="s">
        <v>808</v>
      </c>
      <c r="E104" s="122">
        <v>1.729166666666667</v>
      </c>
      <c r="F104" s="112" t="s">
        <v>643</v>
      </c>
      <c r="G104" s="114">
        <v>3</v>
      </c>
      <c r="H104" s="115" t="s">
        <v>888</v>
      </c>
    </row>
    <row r="105" spans="1:8" ht="19.899999999999999" customHeight="1">
      <c r="A105" s="121">
        <v>46030</v>
      </c>
      <c r="B105" s="112" t="s">
        <v>61</v>
      </c>
      <c r="C105" s="113" t="s">
        <v>816</v>
      </c>
      <c r="D105" s="112" t="s">
        <v>808</v>
      </c>
      <c r="E105" s="122">
        <v>1.413194444444444</v>
      </c>
      <c r="F105" s="112" t="s">
        <v>63</v>
      </c>
      <c r="G105" s="114">
        <v>9</v>
      </c>
      <c r="H105" s="115" t="s">
        <v>817</v>
      </c>
    </row>
    <row r="106" spans="1:8" ht="19.899999999999999" customHeight="1">
      <c r="A106" s="121">
        <v>46030</v>
      </c>
      <c r="B106" s="112" t="s">
        <v>26</v>
      </c>
      <c r="C106" s="113" t="s">
        <v>820</v>
      </c>
      <c r="D106" s="112" t="s">
        <v>808</v>
      </c>
      <c r="E106" s="122">
        <v>1.4375</v>
      </c>
      <c r="F106" s="112" t="s">
        <v>28</v>
      </c>
      <c r="G106" s="114">
        <v>9</v>
      </c>
      <c r="H106" s="115" t="s">
        <v>81</v>
      </c>
    </row>
    <row r="107" spans="1:8" ht="19.899999999999999" customHeight="1">
      <c r="A107" s="123">
        <v>46030</v>
      </c>
      <c r="B107" s="124" t="s">
        <v>26</v>
      </c>
      <c r="C107" s="125" t="s">
        <v>826</v>
      </c>
      <c r="D107" s="124" t="s">
        <v>808</v>
      </c>
      <c r="E107" s="126">
        <v>1.958333333333333</v>
      </c>
      <c r="F107" s="124" t="s">
        <v>28</v>
      </c>
      <c r="G107" s="127">
        <v>9</v>
      </c>
      <c r="H107" s="128" t="s">
        <v>81</v>
      </c>
    </row>
    <row r="108" spans="1:8" ht="19.899999999999999" customHeight="1">
      <c r="A108" s="143"/>
      <c r="B108" s="144"/>
      <c r="C108" s="144"/>
      <c r="D108" s="144"/>
      <c r="E108" s="144"/>
      <c r="F108" s="145" t="s">
        <v>1039</v>
      </c>
      <c r="G108" s="144"/>
      <c r="H108" s="146"/>
    </row>
    <row r="109" spans="1:8" ht="19.899999999999999" customHeight="1">
      <c r="A109" s="121">
        <v>46031</v>
      </c>
      <c r="B109" s="112" t="s">
        <v>38</v>
      </c>
      <c r="C109" s="113" t="s">
        <v>809</v>
      </c>
      <c r="D109" s="112" t="s">
        <v>808</v>
      </c>
      <c r="E109" s="122">
        <v>1.5763888888888891</v>
      </c>
      <c r="F109" s="112" t="s">
        <v>40</v>
      </c>
      <c r="G109" s="114">
        <v>14</v>
      </c>
      <c r="H109" s="115" t="s">
        <v>475</v>
      </c>
    </row>
    <row r="110" spans="1:8" ht="19.899999999999999" customHeight="1">
      <c r="A110" s="121">
        <v>46031</v>
      </c>
      <c r="B110" s="112" t="s">
        <v>38</v>
      </c>
      <c r="C110" s="113" t="s">
        <v>813</v>
      </c>
      <c r="D110" s="112" t="s">
        <v>808</v>
      </c>
      <c r="E110" s="122">
        <v>1.944444444444444</v>
      </c>
      <c r="F110" s="112" t="s">
        <v>40</v>
      </c>
      <c r="G110" s="114">
        <v>14</v>
      </c>
      <c r="H110" s="115" t="s">
        <v>475</v>
      </c>
    </row>
    <row r="111" spans="1:8" ht="19.899999999999999" customHeight="1">
      <c r="A111" s="121">
        <v>46031</v>
      </c>
      <c r="B111" s="112" t="s">
        <v>359</v>
      </c>
      <c r="C111" s="113" t="s">
        <v>814</v>
      </c>
      <c r="D111" s="112" t="s">
        <v>808</v>
      </c>
      <c r="E111" s="122">
        <v>1.1875</v>
      </c>
      <c r="F111" s="112" t="s">
        <v>361</v>
      </c>
      <c r="G111" s="114">
        <v>9</v>
      </c>
      <c r="H111" s="115" t="s">
        <v>898</v>
      </c>
    </row>
    <row r="112" spans="1:8" ht="19.899999999999999" customHeight="1">
      <c r="A112" s="121">
        <v>46031</v>
      </c>
      <c r="B112" s="112" t="s">
        <v>38</v>
      </c>
      <c r="C112" s="113" t="s">
        <v>811</v>
      </c>
      <c r="D112" s="112" t="s">
        <v>808</v>
      </c>
      <c r="E112" s="122">
        <v>1.6284722222222221</v>
      </c>
      <c r="F112" s="112" t="s">
        <v>40</v>
      </c>
      <c r="G112" s="114">
        <v>11</v>
      </c>
      <c r="H112" s="115" t="s">
        <v>872</v>
      </c>
    </row>
    <row r="113" spans="1:8" ht="19.899999999999999" customHeight="1">
      <c r="A113" s="121">
        <v>46031</v>
      </c>
      <c r="B113" s="112" t="s">
        <v>38</v>
      </c>
      <c r="C113" s="113" t="s">
        <v>812</v>
      </c>
      <c r="D113" s="112" t="s">
        <v>808</v>
      </c>
      <c r="E113" s="122">
        <v>1.8888888888888891</v>
      </c>
      <c r="F113" s="112" t="s">
        <v>40</v>
      </c>
      <c r="G113" s="114">
        <v>35</v>
      </c>
      <c r="H113" s="115" t="s">
        <v>872</v>
      </c>
    </row>
    <row r="114" spans="1:8" ht="19.899999999999999" customHeight="1">
      <c r="A114" s="121">
        <v>46031</v>
      </c>
      <c r="B114" s="112" t="s">
        <v>61</v>
      </c>
      <c r="C114" s="113" t="s">
        <v>816</v>
      </c>
      <c r="D114" s="112" t="s">
        <v>808</v>
      </c>
      <c r="E114" s="122">
        <v>1.40625</v>
      </c>
      <c r="F114" s="112" t="s">
        <v>63</v>
      </c>
      <c r="G114" s="114">
        <v>6</v>
      </c>
      <c r="H114" s="115" t="s">
        <v>817</v>
      </c>
    </row>
    <row r="115" spans="1:8" ht="19.899999999999999" customHeight="1">
      <c r="A115" s="121">
        <v>46031</v>
      </c>
      <c r="B115" s="112" t="s">
        <v>61</v>
      </c>
      <c r="C115" s="113" t="s">
        <v>852</v>
      </c>
      <c r="D115" s="112" t="s">
        <v>808</v>
      </c>
      <c r="E115" s="122">
        <v>1.725694444444444</v>
      </c>
      <c r="F115" s="112" t="s">
        <v>63</v>
      </c>
      <c r="G115" s="114">
        <v>4</v>
      </c>
      <c r="H115" s="115" t="s">
        <v>817</v>
      </c>
    </row>
    <row r="116" spans="1:8" ht="19.899999999999999" customHeight="1">
      <c r="A116" s="121">
        <v>46031</v>
      </c>
      <c r="B116" s="112" t="s">
        <v>26</v>
      </c>
      <c r="C116" s="113" t="s">
        <v>820</v>
      </c>
      <c r="D116" s="112" t="s">
        <v>808</v>
      </c>
      <c r="E116" s="122">
        <v>1.4375</v>
      </c>
      <c r="F116" s="112" t="s">
        <v>28</v>
      </c>
      <c r="G116" s="114">
        <v>9</v>
      </c>
      <c r="H116" s="115" t="s">
        <v>81</v>
      </c>
    </row>
    <row r="117" spans="1:8" ht="19.899999999999999" customHeight="1">
      <c r="A117" s="121">
        <v>46031</v>
      </c>
      <c r="B117" s="112" t="s">
        <v>26</v>
      </c>
      <c r="C117" s="113" t="s">
        <v>826</v>
      </c>
      <c r="D117" s="112" t="s">
        <v>808</v>
      </c>
      <c r="E117" s="122">
        <v>1.958333333333333</v>
      </c>
      <c r="F117" s="112" t="s">
        <v>28</v>
      </c>
      <c r="G117" s="114">
        <v>9</v>
      </c>
      <c r="H117" s="115" t="s">
        <v>81</v>
      </c>
    </row>
    <row r="118" spans="1:8" ht="19.899999999999999" customHeight="1">
      <c r="A118" s="123">
        <v>46031</v>
      </c>
      <c r="B118" s="124" t="s">
        <v>26</v>
      </c>
      <c r="C118" s="125" t="s">
        <v>821</v>
      </c>
      <c r="D118" s="124" t="s">
        <v>808</v>
      </c>
      <c r="E118" s="126">
        <v>1.631944444444444</v>
      </c>
      <c r="F118" s="124" t="s">
        <v>28</v>
      </c>
      <c r="G118" s="127">
        <v>9</v>
      </c>
      <c r="H118" s="128" t="s">
        <v>81</v>
      </c>
    </row>
    <row r="119" spans="1:8" ht="19.899999999999999" customHeight="1">
      <c r="A119" s="121">
        <v>46032</v>
      </c>
      <c r="B119" s="112" t="s">
        <v>26</v>
      </c>
      <c r="C119" s="113" t="s">
        <v>986</v>
      </c>
      <c r="D119" s="112" t="s">
        <v>985</v>
      </c>
      <c r="E119" s="122">
        <v>1.3611111111111109</v>
      </c>
      <c r="F119" s="112" t="s">
        <v>987</v>
      </c>
      <c r="G119" s="114">
        <v>8</v>
      </c>
      <c r="H119" s="115" t="s">
        <v>1010</v>
      </c>
    </row>
    <row r="120" spans="1:8" ht="19.899999999999999" customHeight="1">
      <c r="A120" s="121">
        <v>46032</v>
      </c>
      <c r="B120" s="112" t="s">
        <v>26</v>
      </c>
      <c r="C120" s="113" t="s">
        <v>986</v>
      </c>
      <c r="D120" s="112" t="s">
        <v>985</v>
      </c>
      <c r="E120" s="122">
        <v>1.3611111111111109</v>
      </c>
      <c r="F120" s="112" t="s">
        <v>31</v>
      </c>
      <c r="G120" s="114">
        <v>8</v>
      </c>
      <c r="H120" s="115" t="s">
        <v>488</v>
      </c>
    </row>
    <row r="121" spans="1:8" ht="19.899999999999999" customHeight="1">
      <c r="A121" s="121">
        <v>46032</v>
      </c>
      <c r="B121" s="112" t="s">
        <v>26</v>
      </c>
      <c r="C121" s="113" t="s">
        <v>986</v>
      </c>
      <c r="D121" s="112" t="s">
        <v>985</v>
      </c>
      <c r="E121" s="122">
        <v>1.3611111111111109</v>
      </c>
      <c r="F121" s="112" t="s">
        <v>34</v>
      </c>
      <c r="G121" s="114">
        <v>8</v>
      </c>
      <c r="H121" s="115" t="s">
        <v>1011</v>
      </c>
    </row>
    <row r="122" spans="1:8" ht="19.899999999999999" customHeight="1">
      <c r="A122" s="143"/>
      <c r="B122" s="144"/>
      <c r="C122" s="144"/>
      <c r="D122" s="144"/>
      <c r="E122" s="144"/>
      <c r="F122" s="145" t="s">
        <v>1039</v>
      </c>
      <c r="G122" s="144"/>
      <c r="H122" s="146"/>
    </row>
    <row r="123" spans="1:8" ht="19.899999999999999" customHeight="1">
      <c r="A123" s="121">
        <v>46032</v>
      </c>
      <c r="B123" s="112" t="s">
        <v>38</v>
      </c>
      <c r="C123" s="113" t="s">
        <v>812</v>
      </c>
      <c r="D123" s="112" t="s">
        <v>808</v>
      </c>
      <c r="E123" s="122">
        <v>1.8888888888888891</v>
      </c>
      <c r="F123" s="112" t="s">
        <v>40</v>
      </c>
      <c r="G123" s="114">
        <v>10</v>
      </c>
      <c r="H123" s="115" t="s">
        <v>475</v>
      </c>
    </row>
    <row r="124" spans="1:8" ht="19.899999999999999" customHeight="1">
      <c r="A124" s="121">
        <v>46032</v>
      </c>
      <c r="B124" s="112" t="s">
        <v>38</v>
      </c>
      <c r="C124" s="113" t="s">
        <v>813</v>
      </c>
      <c r="D124" s="112" t="s">
        <v>808</v>
      </c>
      <c r="E124" s="122">
        <v>1.944444444444444</v>
      </c>
      <c r="F124" s="112" t="s">
        <v>40</v>
      </c>
      <c r="G124" s="114">
        <v>10</v>
      </c>
      <c r="H124" s="115" t="s">
        <v>475</v>
      </c>
    </row>
    <row r="125" spans="1:8" ht="19.899999999999999" customHeight="1">
      <c r="A125" s="121">
        <v>46032</v>
      </c>
      <c r="B125" s="112" t="s">
        <v>26</v>
      </c>
      <c r="C125" s="113" t="s">
        <v>823</v>
      </c>
      <c r="D125" s="112" t="s">
        <v>808</v>
      </c>
      <c r="E125" s="122">
        <v>1.819444444444444</v>
      </c>
      <c r="F125" s="112" t="s">
        <v>28</v>
      </c>
      <c r="G125" s="114">
        <v>3</v>
      </c>
      <c r="H125" s="115" t="s">
        <v>88</v>
      </c>
    </row>
    <row r="126" spans="1:8" ht="19.899999999999999" customHeight="1">
      <c r="A126" s="121">
        <v>46032</v>
      </c>
      <c r="B126" s="112" t="s">
        <v>38</v>
      </c>
      <c r="C126" s="113" t="s">
        <v>809</v>
      </c>
      <c r="D126" s="112" t="s">
        <v>808</v>
      </c>
      <c r="E126" s="122">
        <v>1.5763888888888891</v>
      </c>
      <c r="F126" s="112" t="s">
        <v>40</v>
      </c>
      <c r="G126" s="114">
        <v>16</v>
      </c>
      <c r="H126" s="115" t="s">
        <v>872</v>
      </c>
    </row>
    <row r="127" spans="1:8" ht="19.899999999999999" customHeight="1">
      <c r="A127" s="121">
        <v>46032</v>
      </c>
      <c r="B127" s="112" t="s">
        <v>26</v>
      </c>
      <c r="C127" s="113" t="s">
        <v>820</v>
      </c>
      <c r="D127" s="112" t="s">
        <v>808</v>
      </c>
      <c r="E127" s="122">
        <v>1.4375</v>
      </c>
      <c r="F127" s="112" t="s">
        <v>28</v>
      </c>
      <c r="G127" s="114">
        <v>9</v>
      </c>
      <c r="H127" s="115" t="s">
        <v>81</v>
      </c>
    </row>
    <row r="128" spans="1:8" ht="19.899999999999999" customHeight="1">
      <c r="A128" s="121">
        <v>46032</v>
      </c>
      <c r="B128" s="112" t="s">
        <v>26</v>
      </c>
      <c r="C128" s="113" t="s">
        <v>826</v>
      </c>
      <c r="D128" s="112" t="s">
        <v>808</v>
      </c>
      <c r="E128" s="122">
        <v>1.958333333333333</v>
      </c>
      <c r="F128" s="112" t="s">
        <v>28</v>
      </c>
      <c r="G128" s="114">
        <v>9</v>
      </c>
      <c r="H128" s="115" t="s">
        <v>81</v>
      </c>
    </row>
    <row r="129" spans="1:8" ht="19.899999999999999" customHeight="1">
      <c r="A129" s="121">
        <v>46032</v>
      </c>
      <c r="B129" s="112" t="s">
        <v>26</v>
      </c>
      <c r="C129" s="113" t="s">
        <v>821</v>
      </c>
      <c r="D129" s="112" t="s">
        <v>808</v>
      </c>
      <c r="E129" s="122">
        <v>1.631944444444444</v>
      </c>
      <c r="F129" s="112" t="s">
        <v>28</v>
      </c>
      <c r="G129" s="114">
        <v>9</v>
      </c>
      <c r="H129" s="115" t="s">
        <v>81</v>
      </c>
    </row>
    <row r="130" spans="1:8" ht="19.899999999999999" customHeight="1">
      <c r="A130" s="121">
        <v>46032</v>
      </c>
      <c r="B130" s="112" t="s">
        <v>26</v>
      </c>
      <c r="C130" s="113" t="s">
        <v>822</v>
      </c>
      <c r="D130" s="112" t="s">
        <v>808</v>
      </c>
      <c r="E130" s="122">
        <v>1.5590277777777779</v>
      </c>
      <c r="F130" s="112" t="s">
        <v>28</v>
      </c>
      <c r="G130" s="114">
        <v>9</v>
      </c>
      <c r="H130" s="115" t="s">
        <v>81</v>
      </c>
    </row>
    <row r="131" spans="1:8" ht="19.899999999999999" customHeight="1">
      <c r="A131" s="121">
        <v>46032</v>
      </c>
      <c r="B131" s="112" t="s">
        <v>26</v>
      </c>
      <c r="C131" s="113" t="s">
        <v>824</v>
      </c>
      <c r="D131" s="112" t="s">
        <v>808</v>
      </c>
      <c r="E131" s="122">
        <v>1.506944444444444</v>
      </c>
      <c r="F131" s="112" t="s">
        <v>28</v>
      </c>
      <c r="G131" s="114">
        <v>9</v>
      </c>
      <c r="H131" s="115" t="s">
        <v>81</v>
      </c>
    </row>
    <row r="132" spans="1:8" ht="19.899999999999999" customHeight="1">
      <c r="A132" s="123">
        <v>46032</v>
      </c>
      <c r="B132" s="124" t="s">
        <v>26</v>
      </c>
      <c r="C132" s="125" t="s">
        <v>825</v>
      </c>
      <c r="D132" s="124" t="s">
        <v>808</v>
      </c>
      <c r="E132" s="126">
        <v>1.697916666666667</v>
      </c>
      <c r="F132" s="124" t="s">
        <v>28</v>
      </c>
      <c r="G132" s="127">
        <v>9</v>
      </c>
      <c r="H132" s="128" t="s">
        <v>81</v>
      </c>
    </row>
    <row r="133" spans="1:8" ht="19.899999999999999" customHeight="1">
      <c r="A133" s="129">
        <v>46033</v>
      </c>
      <c r="B133" s="117" t="s">
        <v>61</v>
      </c>
      <c r="C133" s="118" t="s">
        <v>996</v>
      </c>
      <c r="D133" s="117" t="s">
        <v>985</v>
      </c>
      <c r="E133" s="130">
        <v>1.427083333333333</v>
      </c>
      <c r="F133" s="117" t="s">
        <v>63</v>
      </c>
      <c r="G133" s="119">
        <v>7</v>
      </c>
      <c r="H133" s="120" t="s">
        <v>853</v>
      </c>
    </row>
    <row r="134" spans="1:8" ht="19.899999999999999" customHeight="1">
      <c r="A134" s="121">
        <v>46033</v>
      </c>
      <c r="B134" s="112" t="s">
        <v>68</v>
      </c>
      <c r="C134" s="113" t="s">
        <v>1000</v>
      </c>
      <c r="D134" s="112" t="s">
        <v>985</v>
      </c>
      <c r="E134" s="122">
        <v>1.427083333333333</v>
      </c>
      <c r="F134" s="112" t="s">
        <v>643</v>
      </c>
      <c r="G134" s="114">
        <v>4</v>
      </c>
      <c r="H134" s="115" t="s">
        <v>1001</v>
      </c>
    </row>
    <row r="135" spans="1:8" ht="19.899999999999999" customHeight="1">
      <c r="A135" s="143"/>
      <c r="B135" s="144"/>
      <c r="C135" s="144"/>
      <c r="D135" s="144"/>
      <c r="E135" s="144"/>
      <c r="F135" s="145" t="s">
        <v>1039</v>
      </c>
      <c r="G135" s="144"/>
      <c r="H135" s="146"/>
    </row>
    <row r="136" spans="1:8" ht="19.899999999999999" customHeight="1">
      <c r="A136" s="121">
        <v>46033</v>
      </c>
      <c r="B136" s="112" t="s">
        <v>38</v>
      </c>
      <c r="C136" s="113" t="s">
        <v>809</v>
      </c>
      <c r="D136" s="112" t="s">
        <v>808</v>
      </c>
      <c r="E136" s="122">
        <v>1.5763888888888891</v>
      </c>
      <c r="F136" s="112" t="s">
        <v>40</v>
      </c>
      <c r="G136" s="114">
        <v>15</v>
      </c>
      <c r="H136" s="115" t="s">
        <v>475</v>
      </c>
    </row>
    <row r="137" spans="1:8" ht="19.899999999999999" customHeight="1">
      <c r="A137" s="121">
        <v>46033</v>
      </c>
      <c r="B137" s="112" t="s">
        <v>38</v>
      </c>
      <c r="C137" s="113" t="s">
        <v>812</v>
      </c>
      <c r="D137" s="112" t="s">
        <v>808</v>
      </c>
      <c r="E137" s="122">
        <v>1.8888888888888891</v>
      </c>
      <c r="F137" s="112" t="s">
        <v>40</v>
      </c>
      <c r="G137" s="114">
        <v>15</v>
      </c>
      <c r="H137" s="115" t="s">
        <v>475</v>
      </c>
    </row>
    <row r="138" spans="1:8" ht="19.899999999999999" customHeight="1">
      <c r="A138" s="121">
        <v>46033</v>
      </c>
      <c r="B138" s="112" t="s">
        <v>38</v>
      </c>
      <c r="C138" s="113" t="s">
        <v>813</v>
      </c>
      <c r="D138" s="112" t="s">
        <v>808</v>
      </c>
      <c r="E138" s="122">
        <v>1.944444444444444</v>
      </c>
      <c r="F138" s="112" t="s">
        <v>40</v>
      </c>
      <c r="G138" s="114">
        <v>19</v>
      </c>
      <c r="H138" s="115" t="s">
        <v>475</v>
      </c>
    </row>
    <row r="139" spans="1:8" ht="19.899999999999999" customHeight="1">
      <c r="A139" s="121">
        <v>46033</v>
      </c>
      <c r="B139" s="112" t="s">
        <v>359</v>
      </c>
      <c r="C139" s="113" t="s">
        <v>814</v>
      </c>
      <c r="D139" s="112" t="s">
        <v>808</v>
      </c>
      <c r="E139" s="122">
        <v>1.2951388888888891</v>
      </c>
      <c r="F139" s="112" t="s">
        <v>361</v>
      </c>
      <c r="G139" s="114">
        <v>9</v>
      </c>
      <c r="H139" s="115" t="s">
        <v>898</v>
      </c>
    </row>
    <row r="140" spans="1:8" ht="19.899999999999999" customHeight="1">
      <c r="A140" s="121">
        <v>46033</v>
      </c>
      <c r="B140" s="112" t="s">
        <v>38</v>
      </c>
      <c r="C140" s="113" t="s">
        <v>811</v>
      </c>
      <c r="D140" s="112" t="s">
        <v>808</v>
      </c>
      <c r="E140" s="122">
        <v>1.6284722222222221</v>
      </c>
      <c r="F140" s="112" t="s">
        <v>40</v>
      </c>
      <c r="G140" s="114">
        <v>17</v>
      </c>
      <c r="H140" s="115" t="s">
        <v>872</v>
      </c>
    </row>
    <row r="141" spans="1:8" ht="19.899999999999999" customHeight="1">
      <c r="A141" s="121">
        <v>46033</v>
      </c>
      <c r="B141" s="112" t="s">
        <v>61</v>
      </c>
      <c r="C141" s="113" t="s">
        <v>816</v>
      </c>
      <c r="D141" s="112" t="s">
        <v>808</v>
      </c>
      <c r="E141" s="122">
        <v>1.427083333333333</v>
      </c>
      <c r="F141" s="112" t="s">
        <v>63</v>
      </c>
      <c r="G141" s="114">
        <v>9</v>
      </c>
      <c r="H141" s="115" t="s">
        <v>817</v>
      </c>
    </row>
    <row r="142" spans="1:8" ht="19.899999999999999" customHeight="1">
      <c r="A142" s="121">
        <v>46033</v>
      </c>
      <c r="B142" s="112" t="s">
        <v>26</v>
      </c>
      <c r="C142" s="113" t="s">
        <v>820</v>
      </c>
      <c r="D142" s="112" t="s">
        <v>808</v>
      </c>
      <c r="E142" s="122">
        <v>1.4375</v>
      </c>
      <c r="F142" s="112" t="s">
        <v>28</v>
      </c>
      <c r="G142" s="114">
        <v>9</v>
      </c>
      <c r="H142" s="115" t="s">
        <v>81</v>
      </c>
    </row>
    <row r="143" spans="1:8" ht="19.899999999999999" customHeight="1">
      <c r="A143" s="121">
        <v>46033</v>
      </c>
      <c r="B143" s="112" t="s">
        <v>26</v>
      </c>
      <c r="C143" s="113" t="s">
        <v>826</v>
      </c>
      <c r="D143" s="112" t="s">
        <v>808</v>
      </c>
      <c r="E143" s="122">
        <v>1.958333333333333</v>
      </c>
      <c r="F143" s="112" t="s">
        <v>28</v>
      </c>
      <c r="G143" s="114">
        <v>9</v>
      </c>
      <c r="H143" s="115" t="s">
        <v>81</v>
      </c>
    </row>
    <row r="144" spans="1:8" ht="19.899999999999999" customHeight="1">
      <c r="A144" s="121">
        <v>46033</v>
      </c>
      <c r="B144" s="112" t="s">
        <v>26</v>
      </c>
      <c r="C144" s="113" t="s">
        <v>821</v>
      </c>
      <c r="D144" s="112" t="s">
        <v>808</v>
      </c>
      <c r="E144" s="122">
        <v>1.631944444444444</v>
      </c>
      <c r="F144" s="112" t="s">
        <v>28</v>
      </c>
      <c r="G144" s="114">
        <v>9</v>
      </c>
      <c r="H144" s="115" t="s">
        <v>81</v>
      </c>
    </row>
    <row r="145" spans="1:8" ht="19.899999999999999" customHeight="1">
      <c r="A145" s="123">
        <v>46033</v>
      </c>
      <c r="B145" s="124" t="s">
        <v>26</v>
      </c>
      <c r="C145" s="125" t="s">
        <v>822</v>
      </c>
      <c r="D145" s="124" t="s">
        <v>808</v>
      </c>
      <c r="E145" s="126">
        <v>1.5590277777777779</v>
      </c>
      <c r="F145" s="124" t="s">
        <v>28</v>
      </c>
      <c r="G145" s="127">
        <v>9</v>
      </c>
      <c r="H145" s="128" t="s">
        <v>81</v>
      </c>
    </row>
    <row r="146" spans="1:8" ht="19.899999999999999" customHeight="1">
      <c r="A146" s="143"/>
      <c r="B146" s="144"/>
      <c r="C146" s="144"/>
      <c r="D146" s="144"/>
      <c r="E146" s="144"/>
      <c r="F146" s="145" t="s">
        <v>1039</v>
      </c>
      <c r="G146" s="144"/>
      <c r="H146" s="146"/>
    </row>
    <row r="147" spans="1:8" ht="19.899999999999999" customHeight="1">
      <c r="A147" s="121">
        <v>46034</v>
      </c>
      <c r="B147" s="112" t="s">
        <v>38</v>
      </c>
      <c r="C147" s="113" t="s">
        <v>809</v>
      </c>
      <c r="D147" s="112" t="s">
        <v>808</v>
      </c>
      <c r="E147" s="122">
        <v>1.5763888888888891</v>
      </c>
      <c r="F147" s="112" t="s">
        <v>40</v>
      </c>
      <c r="G147" s="114">
        <v>15</v>
      </c>
      <c r="H147" s="115" t="s">
        <v>475</v>
      </c>
    </row>
    <row r="148" spans="1:8" ht="19.899999999999999" customHeight="1">
      <c r="A148" s="121">
        <v>46034</v>
      </c>
      <c r="B148" s="112" t="s">
        <v>38</v>
      </c>
      <c r="C148" s="113" t="s">
        <v>812</v>
      </c>
      <c r="D148" s="112" t="s">
        <v>808</v>
      </c>
      <c r="E148" s="122">
        <v>1.8888888888888891</v>
      </c>
      <c r="F148" s="112" t="s">
        <v>40</v>
      </c>
      <c r="G148" s="114">
        <v>10</v>
      </c>
      <c r="H148" s="115" t="s">
        <v>475</v>
      </c>
    </row>
    <row r="149" spans="1:8" ht="19.899999999999999" customHeight="1">
      <c r="A149" s="121">
        <v>46034</v>
      </c>
      <c r="B149" s="112" t="s">
        <v>38</v>
      </c>
      <c r="C149" s="113" t="s">
        <v>813</v>
      </c>
      <c r="D149" s="112" t="s">
        <v>808</v>
      </c>
      <c r="E149" s="122">
        <v>1.944444444444444</v>
      </c>
      <c r="F149" s="112" t="s">
        <v>40</v>
      </c>
      <c r="G149" s="114">
        <v>19</v>
      </c>
      <c r="H149" s="115" t="s">
        <v>475</v>
      </c>
    </row>
    <row r="150" spans="1:8" ht="19.899999999999999" customHeight="1">
      <c r="A150" s="121">
        <v>46034</v>
      </c>
      <c r="B150" s="112" t="s">
        <v>359</v>
      </c>
      <c r="C150" s="113" t="s">
        <v>814</v>
      </c>
      <c r="D150" s="112" t="s">
        <v>808</v>
      </c>
      <c r="E150" s="122">
        <v>1.3298611111111109</v>
      </c>
      <c r="F150" s="112" t="s">
        <v>361</v>
      </c>
      <c r="G150" s="114">
        <v>9</v>
      </c>
      <c r="H150" s="115" t="s">
        <v>883</v>
      </c>
    </row>
    <row r="151" spans="1:8" ht="19.899999999999999" customHeight="1">
      <c r="A151" s="121">
        <v>46034</v>
      </c>
      <c r="B151" s="112" t="s">
        <v>38</v>
      </c>
      <c r="C151" s="113" t="s">
        <v>811</v>
      </c>
      <c r="D151" s="112" t="s">
        <v>808</v>
      </c>
      <c r="E151" s="122">
        <v>1.6284722222222221</v>
      </c>
      <c r="F151" s="112" t="s">
        <v>40</v>
      </c>
      <c r="G151" s="114">
        <v>15</v>
      </c>
      <c r="H151" s="115" t="s">
        <v>872</v>
      </c>
    </row>
    <row r="152" spans="1:8" ht="19.899999999999999" customHeight="1">
      <c r="A152" s="121">
        <v>46034</v>
      </c>
      <c r="B152" s="112" t="s">
        <v>68</v>
      </c>
      <c r="C152" s="113" t="s">
        <v>842</v>
      </c>
      <c r="D152" s="112" t="s">
        <v>808</v>
      </c>
      <c r="E152" s="122">
        <v>1.9826388888888891</v>
      </c>
      <c r="F152" s="112" t="s">
        <v>643</v>
      </c>
      <c r="G152" s="114">
        <v>9</v>
      </c>
      <c r="H152" s="115" t="s">
        <v>891</v>
      </c>
    </row>
    <row r="153" spans="1:8" ht="19.899999999999999" customHeight="1">
      <c r="A153" s="121">
        <v>46034</v>
      </c>
      <c r="B153" s="112" t="s">
        <v>61</v>
      </c>
      <c r="C153" s="113" t="s">
        <v>852</v>
      </c>
      <c r="D153" s="112" t="s">
        <v>808</v>
      </c>
      <c r="E153" s="122">
        <v>1.725694444444444</v>
      </c>
      <c r="F153" s="112" t="s">
        <v>63</v>
      </c>
      <c r="G153" s="114">
        <v>9</v>
      </c>
      <c r="H153" s="115" t="s">
        <v>817</v>
      </c>
    </row>
    <row r="154" spans="1:8" ht="19.899999999999999" customHeight="1">
      <c r="A154" s="121">
        <v>46034</v>
      </c>
      <c r="B154" s="112" t="s">
        <v>26</v>
      </c>
      <c r="C154" s="113" t="s">
        <v>820</v>
      </c>
      <c r="D154" s="112" t="s">
        <v>808</v>
      </c>
      <c r="E154" s="122">
        <v>1.4375</v>
      </c>
      <c r="F154" s="112" t="s">
        <v>28</v>
      </c>
      <c r="G154" s="114">
        <v>9</v>
      </c>
      <c r="H154" s="115" t="s">
        <v>81</v>
      </c>
    </row>
    <row r="155" spans="1:8" ht="19.899999999999999" customHeight="1">
      <c r="A155" s="121">
        <v>46034</v>
      </c>
      <c r="B155" s="112" t="s">
        <v>26</v>
      </c>
      <c r="C155" s="113" t="s">
        <v>826</v>
      </c>
      <c r="D155" s="112" t="s">
        <v>808</v>
      </c>
      <c r="E155" s="122">
        <v>1.958333333333333</v>
      </c>
      <c r="F155" s="112" t="s">
        <v>28</v>
      </c>
      <c r="G155" s="114">
        <v>9</v>
      </c>
      <c r="H155" s="115" t="s">
        <v>81</v>
      </c>
    </row>
    <row r="156" spans="1:8" ht="19.899999999999999" customHeight="1">
      <c r="A156" s="123">
        <v>46034</v>
      </c>
      <c r="B156" s="124" t="s">
        <v>26</v>
      </c>
      <c r="C156" s="125" t="s">
        <v>821</v>
      </c>
      <c r="D156" s="124" t="s">
        <v>808</v>
      </c>
      <c r="E156" s="126">
        <v>1.631944444444444</v>
      </c>
      <c r="F156" s="124" t="s">
        <v>28</v>
      </c>
      <c r="G156" s="127">
        <v>9</v>
      </c>
      <c r="H156" s="128" t="s">
        <v>81</v>
      </c>
    </row>
    <row r="157" spans="1:8" ht="19.899999999999999" customHeight="1">
      <c r="A157" s="129">
        <v>46035</v>
      </c>
      <c r="B157" s="117" t="s">
        <v>61</v>
      </c>
      <c r="C157" s="118" t="s">
        <v>996</v>
      </c>
      <c r="D157" s="117" t="s">
        <v>985</v>
      </c>
      <c r="E157" s="130">
        <v>1.430555555555556</v>
      </c>
      <c r="F157" s="117" t="s">
        <v>63</v>
      </c>
      <c r="G157" s="119">
        <v>7</v>
      </c>
      <c r="H157" s="120" t="s">
        <v>849</v>
      </c>
    </row>
    <row r="158" spans="1:8" ht="19.899999999999999" customHeight="1">
      <c r="A158" s="121">
        <v>46035</v>
      </c>
      <c r="B158" s="112" t="s">
        <v>26</v>
      </c>
      <c r="C158" s="113" t="s">
        <v>986</v>
      </c>
      <c r="D158" s="112" t="s">
        <v>985</v>
      </c>
      <c r="E158" s="122">
        <v>1.3611111111111109</v>
      </c>
      <c r="F158" s="112" t="s">
        <v>987</v>
      </c>
      <c r="G158" s="114">
        <v>9</v>
      </c>
      <c r="H158" s="115" t="s">
        <v>988</v>
      </c>
    </row>
    <row r="159" spans="1:8" ht="19.899999999999999" customHeight="1">
      <c r="A159" s="121">
        <v>46035</v>
      </c>
      <c r="B159" s="112" t="s">
        <v>26</v>
      </c>
      <c r="C159" s="113" t="s">
        <v>986</v>
      </c>
      <c r="D159" s="112" t="s">
        <v>985</v>
      </c>
      <c r="E159" s="122">
        <v>1.3611111111111109</v>
      </c>
      <c r="F159" s="112" t="s">
        <v>31</v>
      </c>
      <c r="G159" s="114">
        <v>9</v>
      </c>
      <c r="H159" s="115" t="s">
        <v>989</v>
      </c>
    </row>
    <row r="160" spans="1:8" ht="19.899999999999999" customHeight="1">
      <c r="A160" s="121">
        <v>46035</v>
      </c>
      <c r="B160" s="112" t="s">
        <v>68</v>
      </c>
      <c r="C160" s="113" t="s">
        <v>1000</v>
      </c>
      <c r="D160" s="112" t="s">
        <v>985</v>
      </c>
      <c r="E160" s="122">
        <v>1.430555555555556</v>
      </c>
      <c r="F160" s="112" t="s">
        <v>643</v>
      </c>
      <c r="G160" s="114">
        <v>4</v>
      </c>
      <c r="H160" s="115" t="s">
        <v>1001</v>
      </c>
    </row>
    <row r="161" spans="1:8" ht="19.899999999999999" customHeight="1">
      <c r="A161" s="121">
        <v>46035</v>
      </c>
      <c r="B161" s="112" t="s">
        <v>26</v>
      </c>
      <c r="C161" s="113" t="s">
        <v>986</v>
      </c>
      <c r="D161" s="112" t="s">
        <v>985</v>
      </c>
      <c r="E161" s="122">
        <v>1.3611111111111109</v>
      </c>
      <c r="F161" s="112" t="s">
        <v>34</v>
      </c>
      <c r="G161" s="114">
        <v>9</v>
      </c>
      <c r="H161" s="115" t="s">
        <v>990</v>
      </c>
    </row>
    <row r="162" spans="1:8" ht="19.899999999999999" customHeight="1">
      <c r="A162" s="143"/>
      <c r="B162" s="144"/>
      <c r="C162" s="144"/>
      <c r="D162" s="144"/>
      <c r="E162" s="144"/>
      <c r="F162" s="145" t="s">
        <v>1039</v>
      </c>
      <c r="G162" s="144"/>
      <c r="H162" s="146"/>
    </row>
    <row r="163" spans="1:8" ht="19.899999999999999" customHeight="1">
      <c r="A163" s="121">
        <v>46035</v>
      </c>
      <c r="B163" s="112" t="s">
        <v>38</v>
      </c>
      <c r="C163" s="113" t="s">
        <v>809</v>
      </c>
      <c r="D163" s="112" t="s">
        <v>808</v>
      </c>
      <c r="E163" s="122">
        <v>1.5763888888888891</v>
      </c>
      <c r="F163" s="112" t="s">
        <v>40</v>
      </c>
      <c r="G163" s="114">
        <v>16</v>
      </c>
      <c r="H163" s="115" t="s">
        <v>475</v>
      </c>
    </row>
    <row r="164" spans="1:8" ht="19.899999999999999" customHeight="1">
      <c r="A164" s="121">
        <v>46035</v>
      </c>
      <c r="B164" s="112" t="s">
        <v>38</v>
      </c>
      <c r="C164" s="113" t="s">
        <v>811</v>
      </c>
      <c r="D164" s="112" t="s">
        <v>808</v>
      </c>
      <c r="E164" s="122">
        <v>1.6284722222222221</v>
      </c>
      <c r="F164" s="112" t="s">
        <v>40</v>
      </c>
      <c r="G164" s="114">
        <v>16</v>
      </c>
      <c r="H164" s="115" t="s">
        <v>475</v>
      </c>
    </row>
    <row r="165" spans="1:8" ht="19.899999999999999" customHeight="1">
      <c r="A165" s="121">
        <v>46035</v>
      </c>
      <c r="B165" s="112" t="s">
        <v>38</v>
      </c>
      <c r="C165" s="113" t="s">
        <v>813</v>
      </c>
      <c r="D165" s="112" t="s">
        <v>808</v>
      </c>
      <c r="E165" s="122">
        <v>1.944444444444444</v>
      </c>
      <c r="F165" s="112" t="s">
        <v>40</v>
      </c>
      <c r="G165" s="114">
        <v>19</v>
      </c>
      <c r="H165" s="115" t="s">
        <v>475</v>
      </c>
    </row>
    <row r="166" spans="1:8" ht="19.899999999999999" customHeight="1">
      <c r="A166" s="121">
        <v>46035</v>
      </c>
      <c r="B166" s="112" t="s">
        <v>359</v>
      </c>
      <c r="C166" s="113" t="s">
        <v>887</v>
      </c>
      <c r="D166" s="112" t="s">
        <v>808</v>
      </c>
      <c r="E166" s="122">
        <v>1.052083333333333</v>
      </c>
      <c r="F166" s="112" t="s">
        <v>361</v>
      </c>
      <c r="G166" s="114">
        <v>9</v>
      </c>
      <c r="H166" s="115" t="s">
        <v>883</v>
      </c>
    </row>
    <row r="167" spans="1:8" ht="19.899999999999999" customHeight="1">
      <c r="A167" s="121">
        <v>46035</v>
      </c>
      <c r="B167" s="112" t="s">
        <v>38</v>
      </c>
      <c r="C167" s="113" t="s">
        <v>812</v>
      </c>
      <c r="D167" s="112" t="s">
        <v>808</v>
      </c>
      <c r="E167" s="122">
        <v>1.8888888888888891</v>
      </c>
      <c r="F167" s="112" t="s">
        <v>40</v>
      </c>
      <c r="G167" s="114">
        <v>46</v>
      </c>
      <c r="H167" s="115" t="s">
        <v>872</v>
      </c>
    </row>
    <row r="168" spans="1:8" ht="19.899999999999999" customHeight="1">
      <c r="A168" s="121">
        <v>46035</v>
      </c>
      <c r="B168" s="112" t="s">
        <v>359</v>
      </c>
      <c r="C168" s="113" t="s">
        <v>814</v>
      </c>
      <c r="D168" s="112" t="s">
        <v>808</v>
      </c>
      <c r="E168" s="122">
        <v>1.4375</v>
      </c>
      <c r="F168" s="112" t="s">
        <v>361</v>
      </c>
      <c r="G168" s="114">
        <v>9</v>
      </c>
      <c r="H168" s="115" t="s">
        <v>815</v>
      </c>
    </row>
    <row r="169" spans="1:8" ht="19.899999999999999" customHeight="1">
      <c r="A169" s="121">
        <v>46035</v>
      </c>
      <c r="B169" s="112" t="s">
        <v>68</v>
      </c>
      <c r="C169" s="113" t="s">
        <v>842</v>
      </c>
      <c r="D169" s="112" t="s">
        <v>808</v>
      </c>
      <c r="E169" s="122">
        <v>1.9826388888888891</v>
      </c>
      <c r="F169" s="112" t="s">
        <v>643</v>
      </c>
      <c r="G169" s="114">
        <v>9</v>
      </c>
      <c r="H169" s="115" t="s">
        <v>891</v>
      </c>
    </row>
    <row r="170" spans="1:8" ht="19.899999999999999" customHeight="1">
      <c r="A170" s="121">
        <v>46035</v>
      </c>
      <c r="B170" s="112" t="s">
        <v>68</v>
      </c>
      <c r="C170" s="113" t="s">
        <v>844</v>
      </c>
      <c r="D170" s="112" t="s">
        <v>808</v>
      </c>
      <c r="E170" s="122">
        <v>1.729166666666667</v>
      </c>
      <c r="F170" s="112" t="s">
        <v>643</v>
      </c>
      <c r="G170" s="114">
        <v>8</v>
      </c>
      <c r="H170" s="115" t="s">
        <v>888</v>
      </c>
    </row>
    <row r="171" spans="1:8" ht="19.899999999999999" customHeight="1">
      <c r="A171" s="121">
        <v>46035</v>
      </c>
      <c r="B171" s="112" t="s">
        <v>61</v>
      </c>
      <c r="C171" s="113" t="s">
        <v>852</v>
      </c>
      <c r="D171" s="112" t="s">
        <v>808</v>
      </c>
      <c r="E171" s="122">
        <v>1.7152777777777779</v>
      </c>
      <c r="F171" s="112" t="s">
        <v>63</v>
      </c>
      <c r="G171" s="114">
        <v>9</v>
      </c>
      <c r="H171" s="115" t="s">
        <v>817</v>
      </c>
    </row>
    <row r="172" spans="1:8" ht="19.899999999999999" customHeight="1">
      <c r="A172" s="123">
        <v>46035</v>
      </c>
      <c r="B172" s="124" t="s">
        <v>26</v>
      </c>
      <c r="C172" s="125" t="s">
        <v>820</v>
      </c>
      <c r="D172" s="124" t="s">
        <v>808</v>
      </c>
      <c r="E172" s="126">
        <v>1.4375</v>
      </c>
      <c r="F172" s="124" t="s">
        <v>28</v>
      </c>
      <c r="G172" s="127">
        <v>9</v>
      </c>
      <c r="H172" s="128" t="s">
        <v>81</v>
      </c>
    </row>
    <row r="173" spans="1:8" ht="19.899999999999999" customHeight="1">
      <c r="A173" s="129">
        <v>46036</v>
      </c>
      <c r="B173" s="117" t="s">
        <v>61</v>
      </c>
      <c r="C173" s="118" t="s">
        <v>1005</v>
      </c>
      <c r="D173" s="117" t="s">
        <v>985</v>
      </c>
      <c r="E173" s="130">
        <v>1.40625</v>
      </c>
      <c r="F173" s="117" t="s">
        <v>63</v>
      </c>
      <c r="G173" s="119">
        <v>2</v>
      </c>
      <c r="H173" s="120" t="s">
        <v>849</v>
      </c>
    </row>
    <row r="174" spans="1:8" ht="19.899999999999999" customHeight="1">
      <c r="A174" s="121">
        <v>46036</v>
      </c>
      <c r="B174" s="112" t="s">
        <v>68</v>
      </c>
      <c r="C174" s="113" t="s">
        <v>1008</v>
      </c>
      <c r="D174" s="112" t="s">
        <v>985</v>
      </c>
      <c r="E174" s="122">
        <v>1.40625</v>
      </c>
      <c r="F174" s="112" t="s">
        <v>643</v>
      </c>
      <c r="G174" s="114">
        <v>4</v>
      </c>
      <c r="H174" s="115" t="s">
        <v>1001</v>
      </c>
    </row>
    <row r="175" spans="1:8" ht="19.899999999999999" customHeight="1">
      <c r="A175" s="143"/>
      <c r="B175" s="144"/>
      <c r="C175" s="144"/>
      <c r="D175" s="144"/>
      <c r="E175" s="144"/>
      <c r="F175" s="145" t="s">
        <v>1039</v>
      </c>
      <c r="G175" s="144"/>
      <c r="H175" s="146"/>
    </row>
    <row r="176" spans="1:8" ht="19.899999999999999" customHeight="1">
      <c r="A176" s="121">
        <v>46036</v>
      </c>
      <c r="B176" s="112" t="s">
        <v>38</v>
      </c>
      <c r="C176" s="113" t="s">
        <v>811</v>
      </c>
      <c r="D176" s="112" t="s">
        <v>808</v>
      </c>
      <c r="E176" s="122">
        <v>1.6284722222222221</v>
      </c>
      <c r="F176" s="112" t="s">
        <v>40</v>
      </c>
      <c r="G176" s="114">
        <v>5</v>
      </c>
      <c r="H176" s="115" t="s">
        <v>475</v>
      </c>
    </row>
    <row r="177" spans="1:8" ht="19.899999999999999" customHeight="1">
      <c r="A177" s="121">
        <v>46036</v>
      </c>
      <c r="B177" s="112" t="s">
        <v>38</v>
      </c>
      <c r="C177" s="113" t="s">
        <v>812</v>
      </c>
      <c r="D177" s="112" t="s">
        <v>808</v>
      </c>
      <c r="E177" s="122">
        <v>1.8888888888888891</v>
      </c>
      <c r="F177" s="112" t="s">
        <v>40</v>
      </c>
      <c r="G177" s="114">
        <v>11</v>
      </c>
      <c r="H177" s="115" t="s">
        <v>475</v>
      </c>
    </row>
    <row r="178" spans="1:8" ht="19.899999999999999" customHeight="1">
      <c r="A178" s="121">
        <v>46036</v>
      </c>
      <c r="B178" s="112" t="s">
        <v>38</v>
      </c>
      <c r="C178" s="113" t="s">
        <v>809</v>
      </c>
      <c r="D178" s="112" t="s">
        <v>808</v>
      </c>
      <c r="E178" s="122">
        <v>1.5763888888888891</v>
      </c>
      <c r="F178" s="112" t="s">
        <v>40</v>
      </c>
      <c r="G178" s="114">
        <v>10</v>
      </c>
      <c r="H178" s="115" t="s">
        <v>872</v>
      </c>
    </row>
    <row r="179" spans="1:8" ht="19.899999999999999" customHeight="1">
      <c r="A179" s="121">
        <v>46036</v>
      </c>
      <c r="B179" s="112" t="s">
        <v>38</v>
      </c>
      <c r="C179" s="113" t="s">
        <v>813</v>
      </c>
      <c r="D179" s="112" t="s">
        <v>808</v>
      </c>
      <c r="E179" s="122">
        <v>1.944444444444444</v>
      </c>
      <c r="F179" s="112" t="s">
        <v>40</v>
      </c>
      <c r="G179" s="114">
        <v>34</v>
      </c>
      <c r="H179" s="115" t="s">
        <v>872</v>
      </c>
    </row>
    <row r="180" spans="1:8" ht="19.899999999999999" customHeight="1">
      <c r="A180" s="121">
        <v>46036</v>
      </c>
      <c r="B180" s="112" t="s">
        <v>68</v>
      </c>
      <c r="C180" s="113" t="s">
        <v>843</v>
      </c>
      <c r="D180" s="112" t="s">
        <v>808</v>
      </c>
      <c r="E180" s="122">
        <v>1.354166666666667</v>
      </c>
      <c r="F180" s="112" t="s">
        <v>643</v>
      </c>
      <c r="G180" s="114">
        <v>9</v>
      </c>
      <c r="H180" s="115" t="s">
        <v>891</v>
      </c>
    </row>
    <row r="181" spans="1:8" ht="19.899999999999999" customHeight="1">
      <c r="A181" s="121">
        <v>46036</v>
      </c>
      <c r="B181" s="112" t="s">
        <v>61</v>
      </c>
      <c r="C181" s="113" t="s">
        <v>816</v>
      </c>
      <c r="D181" s="112" t="s">
        <v>808</v>
      </c>
      <c r="E181" s="122">
        <v>1.413194444444444</v>
      </c>
      <c r="F181" s="112" t="s">
        <v>63</v>
      </c>
      <c r="G181" s="114">
        <v>9</v>
      </c>
      <c r="H181" s="115" t="s">
        <v>817</v>
      </c>
    </row>
    <row r="182" spans="1:8" ht="19.899999999999999" customHeight="1">
      <c r="A182" s="121">
        <v>46036</v>
      </c>
      <c r="B182" s="112" t="s">
        <v>26</v>
      </c>
      <c r="C182" s="113" t="s">
        <v>820</v>
      </c>
      <c r="D182" s="112" t="s">
        <v>808</v>
      </c>
      <c r="E182" s="122">
        <v>1.4375</v>
      </c>
      <c r="F182" s="112" t="s">
        <v>28</v>
      </c>
      <c r="G182" s="114">
        <v>9</v>
      </c>
      <c r="H182" s="115" t="s">
        <v>81</v>
      </c>
    </row>
    <row r="183" spans="1:8" ht="19.899999999999999" customHeight="1">
      <c r="A183" s="121">
        <v>46036</v>
      </c>
      <c r="B183" s="112" t="s">
        <v>26</v>
      </c>
      <c r="C183" s="113" t="s">
        <v>826</v>
      </c>
      <c r="D183" s="112" t="s">
        <v>808</v>
      </c>
      <c r="E183" s="122">
        <v>1.958333333333333</v>
      </c>
      <c r="F183" s="112" t="s">
        <v>28</v>
      </c>
      <c r="G183" s="114">
        <v>9</v>
      </c>
      <c r="H183" s="115" t="s">
        <v>81</v>
      </c>
    </row>
    <row r="184" spans="1:8" ht="19.899999999999999" customHeight="1">
      <c r="A184" s="121">
        <v>46036</v>
      </c>
      <c r="B184" s="112" t="s">
        <v>26</v>
      </c>
      <c r="C184" s="113" t="s">
        <v>821</v>
      </c>
      <c r="D184" s="112" t="s">
        <v>808</v>
      </c>
      <c r="E184" s="122">
        <v>1.631944444444444</v>
      </c>
      <c r="F184" s="112" t="s">
        <v>28</v>
      </c>
      <c r="G184" s="114">
        <v>9</v>
      </c>
      <c r="H184" s="115" t="s">
        <v>81</v>
      </c>
    </row>
    <row r="185" spans="1:8" ht="19.899999999999999" customHeight="1">
      <c r="A185" s="123">
        <v>46036</v>
      </c>
      <c r="B185" s="124" t="s">
        <v>26</v>
      </c>
      <c r="C185" s="125" t="s">
        <v>822</v>
      </c>
      <c r="D185" s="124" t="s">
        <v>808</v>
      </c>
      <c r="E185" s="126">
        <v>1.5590277777777779</v>
      </c>
      <c r="F185" s="124" t="s">
        <v>28</v>
      </c>
      <c r="G185" s="127">
        <v>9</v>
      </c>
      <c r="H185" s="128" t="s">
        <v>81</v>
      </c>
    </row>
    <row r="186" spans="1:8" ht="19.899999999999999" customHeight="1">
      <c r="A186" s="121">
        <v>46037</v>
      </c>
      <c r="B186" s="112" t="s">
        <v>26</v>
      </c>
      <c r="C186" s="113" t="s">
        <v>986</v>
      </c>
      <c r="D186" s="112" t="s">
        <v>985</v>
      </c>
      <c r="E186" s="122">
        <v>1.3611111111111109</v>
      </c>
      <c r="F186" s="112" t="s">
        <v>987</v>
      </c>
      <c r="G186" s="114">
        <v>8</v>
      </c>
      <c r="H186" s="115" t="s">
        <v>988</v>
      </c>
    </row>
    <row r="187" spans="1:8" ht="19.899999999999999" customHeight="1">
      <c r="A187" s="121">
        <v>46037</v>
      </c>
      <c r="B187" s="112" t="s">
        <v>26</v>
      </c>
      <c r="C187" s="113" t="s">
        <v>986</v>
      </c>
      <c r="D187" s="112" t="s">
        <v>985</v>
      </c>
      <c r="E187" s="122">
        <v>1.3611111111111109</v>
      </c>
      <c r="F187" s="112" t="s">
        <v>31</v>
      </c>
      <c r="G187" s="114">
        <v>8</v>
      </c>
      <c r="H187" s="115" t="s">
        <v>989</v>
      </c>
    </row>
    <row r="188" spans="1:8" ht="19.899999999999999" customHeight="1">
      <c r="A188" s="121">
        <v>46037</v>
      </c>
      <c r="B188" s="112" t="s">
        <v>26</v>
      </c>
      <c r="C188" s="113" t="s">
        <v>986</v>
      </c>
      <c r="D188" s="112" t="s">
        <v>985</v>
      </c>
      <c r="E188" s="122">
        <v>1.3611111111111109</v>
      </c>
      <c r="F188" s="112" t="s">
        <v>34</v>
      </c>
      <c r="G188" s="114">
        <v>8</v>
      </c>
      <c r="H188" s="115" t="s">
        <v>990</v>
      </c>
    </row>
    <row r="189" spans="1:8" ht="19.899999999999999" customHeight="1">
      <c r="A189" s="143"/>
      <c r="B189" s="144"/>
      <c r="C189" s="144"/>
      <c r="D189" s="144"/>
      <c r="E189" s="144"/>
      <c r="F189" s="145" t="s">
        <v>1039</v>
      </c>
      <c r="G189" s="144"/>
      <c r="H189" s="146"/>
    </row>
    <row r="190" spans="1:8" ht="19.899999999999999" customHeight="1">
      <c r="A190" s="121">
        <v>46037</v>
      </c>
      <c r="B190" s="112" t="s">
        <v>38</v>
      </c>
      <c r="C190" s="113" t="s">
        <v>809</v>
      </c>
      <c r="D190" s="112" t="s">
        <v>808</v>
      </c>
      <c r="E190" s="122">
        <v>1.5763888888888891</v>
      </c>
      <c r="F190" s="112" t="s">
        <v>40</v>
      </c>
      <c r="G190" s="114">
        <v>10</v>
      </c>
      <c r="H190" s="115" t="s">
        <v>872</v>
      </c>
    </row>
    <row r="191" spans="1:8" ht="19.899999999999999" customHeight="1">
      <c r="A191" s="121">
        <v>46037</v>
      </c>
      <c r="B191" s="112" t="s">
        <v>38</v>
      </c>
      <c r="C191" s="113" t="s">
        <v>811</v>
      </c>
      <c r="D191" s="112" t="s">
        <v>808</v>
      </c>
      <c r="E191" s="122">
        <v>1.6284722222222221</v>
      </c>
      <c r="F191" s="112" t="s">
        <v>40</v>
      </c>
      <c r="G191" s="114">
        <v>10</v>
      </c>
      <c r="H191" s="115" t="s">
        <v>872</v>
      </c>
    </row>
    <row r="192" spans="1:8" ht="19.899999999999999" customHeight="1">
      <c r="A192" s="121">
        <v>46037</v>
      </c>
      <c r="B192" s="112" t="s">
        <v>38</v>
      </c>
      <c r="C192" s="113" t="s">
        <v>812</v>
      </c>
      <c r="D192" s="112" t="s">
        <v>808</v>
      </c>
      <c r="E192" s="122">
        <v>1.8888888888888891</v>
      </c>
      <c r="F192" s="112" t="s">
        <v>40</v>
      </c>
      <c r="G192" s="114">
        <v>15</v>
      </c>
      <c r="H192" s="115" t="s">
        <v>872</v>
      </c>
    </row>
    <row r="193" spans="1:8" ht="19.899999999999999" customHeight="1">
      <c r="A193" s="121">
        <v>46037</v>
      </c>
      <c r="B193" s="112" t="s">
        <v>38</v>
      </c>
      <c r="C193" s="113" t="s">
        <v>813</v>
      </c>
      <c r="D193" s="112" t="s">
        <v>808</v>
      </c>
      <c r="E193" s="122">
        <v>1.944444444444444</v>
      </c>
      <c r="F193" s="112" t="s">
        <v>40</v>
      </c>
      <c r="G193" s="114">
        <v>10</v>
      </c>
      <c r="H193" s="115" t="s">
        <v>872</v>
      </c>
    </row>
    <row r="194" spans="1:8" ht="19.899999999999999" customHeight="1">
      <c r="A194" s="121">
        <v>46037</v>
      </c>
      <c r="B194" s="112" t="s">
        <v>26</v>
      </c>
      <c r="C194" s="113" t="s">
        <v>820</v>
      </c>
      <c r="D194" s="112" t="s">
        <v>808</v>
      </c>
      <c r="E194" s="122">
        <v>1.4375</v>
      </c>
      <c r="F194" s="112" t="s">
        <v>28</v>
      </c>
      <c r="G194" s="114">
        <v>9</v>
      </c>
      <c r="H194" s="115" t="s">
        <v>81</v>
      </c>
    </row>
    <row r="195" spans="1:8" ht="19.899999999999999" customHeight="1">
      <c r="A195" s="121">
        <v>46037</v>
      </c>
      <c r="B195" s="112" t="s">
        <v>26</v>
      </c>
      <c r="C195" s="113" t="s">
        <v>821</v>
      </c>
      <c r="D195" s="112" t="s">
        <v>808</v>
      </c>
      <c r="E195" s="122">
        <v>1.631944444444444</v>
      </c>
      <c r="F195" s="112" t="s">
        <v>28</v>
      </c>
      <c r="G195" s="114">
        <v>9</v>
      </c>
      <c r="H195" s="115" t="s">
        <v>81</v>
      </c>
    </row>
    <row r="196" spans="1:8" ht="19.899999999999999" customHeight="1">
      <c r="A196" s="121">
        <v>46037</v>
      </c>
      <c r="B196" s="112" t="s">
        <v>26</v>
      </c>
      <c r="C196" s="113" t="s">
        <v>822</v>
      </c>
      <c r="D196" s="112" t="s">
        <v>808</v>
      </c>
      <c r="E196" s="122">
        <v>1.5590277777777779</v>
      </c>
      <c r="F196" s="112" t="s">
        <v>28</v>
      </c>
      <c r="G196" s="114">
        <v>9</v>
      </c>
      <c r="H196" s="115" t="s">
        <v>81</v>
      </c>
    </row>
    <row r="197" spans="1:8" ht="19.899999999999999" customHeight="1">
      <c r="A197" s="121">
        <v>46037</v>
      </c>
      <c r="B197" s="112" t="s">
        <v>26</v>
      </c>
      <c r="C197" s="113" t="s">
        <v>824</v>
      </c>
      <c r="D197" s="112" t="s">
        <v>808</v>
      </c>
      <c r="E197" s="122">
        <v>1.506944444444444</v>
      </c>
      <c r="F197" s="112" t="s">
        <v>28</v>
      </c>
      <c r="G197" s="114">
        <v>9</v>
      </c>
      <c r="H197" s="115" t="s">
        <v>81</v>
      </c>
    </row>
    <row r="198" spans="1:8" ht="19.899999999999999" customHeight="1">
      <c r="A198" s="121">
        <v>46037</v>
      </c>
      <c r="B198" s="112" t="s">
        <v>26</v>
      </c>
      <c r="C198" s="113" t="s">
        <v>825</v>
      </c>
      <c r="D198" s="112" t="s">
        <v>808</v>
      </c>
      <c r="E198" s="122">
        <v>1.697916666666667</v>
      </c>
      <c r="F198" s="112" t="s">
        <v>28</v>
      </c>
      <c r="G198" s="114">
        <v>4</v>
      </c>
      <c r="H198" s="115" t="s">
        <v>81</v>
      </c>
    </row>
    <row r="199" spans="1:8" ht="19.899999999999999" customHeight="1">
      <c r="A199" s="123">
        <v>46037</v>
      </c>
      <c r="B199" s="124" t="s">
        <v>26</v>
      </c>
      <c r="C199" s="125" t="s">
        <v>826</v>
      </c>
      <c r="D199" s="124" t="s">
        <v>808</v>
      </c>
      <c r="E199" s="126">
        <v>1.958333333333333</v>
      </c>
      <c r="F199" s="124" t="s">
        <v>28</v>
      </c>
      <c r="G199" s="127">
        <v>9</v>
      </c>
      <c r="H199" s="128" t="s">
        <v>827</v>
      </c>
    </row>
    <row r="200" spans="1:8" ht="19.899999999999999" customHeight="1">
      <c r="A200" s="143"/>
      <c r="B200" s="144"/>
      <c r="C200" s="144"/>
      <c r="D200" s="144"/>
      <c r="E200" s="144"/>
      <c r="F200" s="145" t="s">
        <v>1039</v>
      </c>
      <c r="G200" s="144"/>
      <c r="H200" s="146"/>
    </row>
    <row r="201" spans="1:8" ht="19.899999999999999" customHeight="1">
      <c r="A201" s="121">
        <v>46038</v>
      </c>
      <c r="B201" s="112" t="s">
        <v>359</v>
      </c>
      <c r="C201" s="113" t="s">
        <v>814</v>
      </c>
      <c r="D201" s="112" t="s">
        <v>808</v>
      </c>
      <c r="E201" s="122">
        <v>1.1875</v>
      </c>
      <c r="F201" s="112" t="s">
        <v>361</v>
      </c>
      <c r="G201" s="114">
        <v>9</v>
      </c>
      <c r="H201" s="115" t="s">
        <v>922</v>
      </c>
    </row>
    <row r="202" spans="1:8" ht="19.899999999999999" customHeight="1">
      <c r="A202" s="121">
        <v>46038</v>
      </c>
      <c r="B202" s="112" t="s">
        <v>61</v>
      </c>
      <c r="C202" s="113" t="s">
        <v>816</v>
      </c>
      <c r="D202" s="112" t="s">
        <v>808</v>
      </c>
      <c r="E202" s="122">
        <v>1.40625</v>
      </c>
      <c r="F202" s="112" t="s">
        <v>63</v>
      </c>
      <c r="G202" s="114">
        <v>9</v>
      </c>
      <c r="H202" s="115" t="s">
        <v>33</v>
      </c>
    </row>
    <row r="203" spans="1:8" ht="19.899999999999999" customHeight="1">
      <c r="A203" s="121">
        <v>46038</v>
      </c>
      <c r="B203" s="112" t="s">
        <v>38</v>
      </c>
      <c r="C203" s="113" t="s">
        <v>812</v>
      </c>
      <c r="D203" s="112" t="s">
        <v>808</v>
      </c>
      <c r="E203" s="122">
        <v>1.8888888888888891</v>
      </c>
      <c r="F203" s="112" t="s">
        <v>40</v>
      </c>
      <c r="G203" s="114">
        <v>6</v>
      </c>
      <c r="H203" s="115" t="s">
        <v>33</v>
      </c>
    </row>
    <row r="204" spans="1:8" ht="19.899999999999999" customHeight="1">
      <c r="A204" s="121">
        <v>46038</v>
      </c>
      <c r="B204" s="112" t="s">
        <v>38</v>
      </c>
      <c r="C204" s="113" t="s">
        <v>813</v>
      </c>
      <c r="D204" s="112" t="s">
        <v>808</v>
      </c>
      <c r="E204" s="122">
        <v>1.944444444444444</v>
      </c>
      <c r="F204" s="112" t="s">
        <v>40</v>
      </c>
      <c r="G204" s="114">
        <v>26</v>
      </c>
      <c r="H204" s="115" t="s">
        <v>33</v>
      </c>
    </row>
    <row r="205" spans="1:8" ht="19.899999999999999" customHeight="1">
      <c r="A205" s="121">
        <v>46038</v>
      </c>
      <c r="B205" s="112" t="s">
        <v>38</v>
      </c>
      <c r="C205" s="113" t="s">
        <v>811</v>
      </c>
      <c r="D205" s="112" t="s">
        <v>808</v>
      </c>
      <c r="E205" s="122">
        <v>1.6284722222222221</v>
      </c>
      <c r="F205" s="112" t="s">
        <v>40</v>
      </c>
      <c r="G205" s="114">
        <v>53</v>
      </c>
      <c r="H205" s="115" t="s">
        <v>426</v>
      </c>
    </row>
    <row r="206" spans="1:8" ht="19.899999999999999" customHeight="1">
      <c r="A206" s="121">
        <v>46038</v>
      </c>
      <c r="B206" s="112" t="s">
        <v>38</v>
      </c>
      <c r="C206" s="113" t="s">
        <v>809</v>
      </c>
      <c r="D206" s="112" t="s">
        <v>808</v>
      </c>
      <c r="E206" s="122">
        <v>1.5763888888888891</v>
      </c>
      <c r="F206" s="112" t="s">
        <v>40</v>
      </c>
      <c r="G206" s="114">
        <v>20</v>
      </c>
      <c r="H206" s="115" t="s">
        <v>45</v>
      </c>
    </row>
    <row r="207" spans="1:8" ht="19.899999999999999" customHeight="1">
      <c r="A207" s="121">
        <v>46038</v>
      </c>
      <c r="B207" s="112" t="s">
        <v>61</v>
      </c>
      <c r="C207" s="113" t="s">
        <v>852</v>
      </c>
      <c r="D207" s="112" t="s">
        <v>808</v>
      </c>
      <c r="E207" s="122">
        <v>1.725694444444444</v>
      </c>
      <c r="F207" s="112" t="s">
        <v>63</v>
      </c>
      <c r="G207" s="114">
        <v>9</v>
      </c>
      <c r="H207" s="115" t="s">
        <v>924</v>
      </c>
    </row>
    <row r="208" spans="1:8" ht="19.899999999999999" customHeight="1">
      <c r="A208" s="121">
        <v>46038</v>
      </c>
      <c r="B208" s="112" t="s">
        <v>38</v>
      </c>
      <c r="C208" s="113" t="s">
        <v>812</v>
      </c>
      <c r="D208" s="112" t="s">
        <v>808</v>
      </c>
      <c r="E208" s="122">
        <v>1.8888888888888891</v>
      </c>
      <c r="F208" s="112" t="s">
        <v>43</v>
      </c>
      <c r="G208" s="114">
        <v>6</v>
      </c>
      <c r="H208" s="115" t="s">
        <v>926</v>
      </c>
    </row>
    <row r="209" spans="1:8" ht="19.899999999999999" customHeight="1">
      <c r="A209" s="121">
        <v>46038</v>
      </c>
      <c r="B209" s="112" t="s">
        <v>38</v>
      </c>
      <c r="C209" s="113" t="s">
        <v>813</v>
      </c>
      <c r="D209" s="112" t="s">
        <v>808</v>
      </c>
      <c r="E209" s="122">
        <v>1.944444444444444</v>
      </c>
      <c r="F209" s="112" t="s">
        <v>43</v>
      </c>
      <c r="G209" s="114">
        <v>26</v>
      </c>
      <c r="H209" s="115" t="s">
        <v>926</v>
      </c>
    </row>
    <row r="210" spans="1:8" ht="19.899999999999999" customHeight="1">
      <c r="A210" s="123">
        <v>46038</v>
      </c>
      <c r="B210" s="124" t="s">
        <v>68</v>
      </c>
      <c r="C210" s="125" t="s">
        <v>843</v>
      </c>
      <c r="D210" s="124" t="s">
        <v>808</v>
      </c>
      <c r="E210" s="126">
        <v>1.354166666666667</v>
      </c>
      <c r="F210" s="124" t="s">
        <v>70</v>
      </c>
      <c r="G210" s="127">
        <v>9</v>
      </c>
      <c r="H210" s="128" t="s">
        <v>931</v>
      </c>
    </row>
    <row r="211" spans="1:8" ht="19.899999999999999" customHeight="1">
      <c r="A211" s="121">
        <v>46039</v>
      </c>
      <c r="B211" s="112" t="s">
        <v>26</v>
      </c>
      <c r="C211" s="113" t="s">
        <v>986</v>
      </c>
      <c r="D211" s="112" t="s">
        <v>985</v>
      </c>
      <c r="E211" s="122">
        <v>1.3611111111111109</v>
      </c>
      <c r="F211" s="112" t="s">
        <v>987</v>
      </c>
      <c r="G211" s="114">
        <v>9</v>
      </c>
      <c r="H211" s="115" t="s">
        <v>1019</v>
      </c>
    </row>
    <row r="212" spans="1:8" ht="19.899999999999999" customHeight="1">
      <c r="A212" s="121">
        <v>46039</v>
      </c>
      <c r="B212" s="112" t="s">
        <v>26</v>
      </c>
      <c r="C212" s="113" t="s">
        <v>986</v>
      </c>
      <c r="D212" s="112" t="s">
        <v>985</v>
      </c>
      <c r="E212" s="122">
        <v>1.3611111111111109</v>
      </c>
      <c r="F212" s="112" t="s">
        <v>31</v>
      </c>
      <c r="G212" s="114">
        <v>9</v>
      </c>
      <c r="H212" s="115" t="s">
        <v>1020</v>
      </c>
    </row>
    <row r="213" spans="1:8" ht="19.899999999999999" customHeight="1">
      <c r="A213" s="121">
        <v>46039</v>
      </c>
      <c r="B213" s="112" t="s">
        <v>26</v>
      </c>
      <c r="C213" s="113" t="s">
        <v>986</v>
      </c>
      <c r="D213" s="112" t="s">
        <v>985</v>
      </c>
      <c r="E213" s="122">
        <v>1.3611111111111109</v>
      </c>
      <c r="F213" s="112" t="s">
        <v>34</v>
      </c>
      <c r="G213" s="114">
        <v>9</v>
      </c>
      <c r="H213" s="115" t="s">
        <v>1021</v>
      </c>
    </row>
    <row r="214" spans="1:8" ht="19.899999999999999" customHeight="1">
      <c r="A214" s="143"/>
      <c r="B214" s="144"/>
      <c r="C214" s="144"/>
      <c r="D214" s="144"/>
      <c r="E214" s="144"/>
      <c r="F214" s="145" t="s">
        <v>1039</v>
      </c>
      <c r="G214" s="144"/>
      <c r="H214" s="146"/>
    </row>
    <row r="215" spans="1:8" ht="19.899999999999999" customHeight="1">
      <c r="A215" s="121">
        <v>46039</v>
      </c>
      <c r="B215" s="112" t="s">
        <v>38</v>
      </c>
      <c r="C215" s="113" t="s">
        <v>809</v>
      </c>
      <c r="D215" s="112" t="s">
        <v>808</v>
      </c>
      <c r="E215" s="122">
        <v>1.5763888888888891</v>
      </c>
      <c r="F215" s="112" t="s">
        <v>40</v>
      </c>
      <c r="G215" s="114">
        <v>10</v>
      </c>
      <c r="H215" s="115" t="s">
        <v>162</v>
      </c>
    </row>
    <row r="216" spans="1:8" ht="19.899999999999999" customHeight="1">
      <c r="A216" s="121">
        <v>46039</v>
      </c>
      <c r="B216" s="112" t="s">
        <v>359</v>
      </c>
      <c r="C216" s="113" t="s">
        <v>814</v>
      </c>
      <c r="D216" s="112" t="s">
        <v>808</v>
      </c>
      <c r="E216" s="122">
        <v>1.4375</v>
      </c>
      <c r="F216" s="112" t="s">
        <v>361</v>
      </c>
      <c r="G216" s="114">
        <v>9</v>
      </c>
      <c r="H216" s="115" t="s">
        <v>936</v>
      </c>
    </row>
    <row r="217" spans="1:8" ht="19.899999999999999" customHeight="1">
      <c r="A217" s="121">
        <v>46039</v>
      </c>
      <c r="B217" s="112" t="s">
        <v>61</v>
      </c>
      <c r="C217" s="113" t="s">
        <v>816</v>
      </c>
      <c r="D217" s="112" t="s">
        <v>808</v>
      </c>
      <c r="E217" s="122">
        <v>1.413194444444444</v>
      </c>
      <c r="F217" s="112" t="s">
        <v>63</v>
      </c>
      <c r="G217" s="114">
        <v>9</v>
      </c>
      <c r="H217" s="115" t="s">
        <v>938</v>
      </c>
    </row>
    <row r="218" spans="1:8" ht="19.899999999999999" customHeight="1">
      <c r="A218" s="121">
        <v>46039</v>
      </c>
      <c r="B218" s="112" t="s">
        <v>68</v>
      </c>
      <c r="C218" s="113" t="s">
        <v>843</v>
      </c>
      <c r="D218" s="112" t="s">
        <v>808</v>
      </c>
      <c r="E218" s="122">
        <v>1.354166666666667</v>
      </c>
      <c r="F218" s="112" t="s">
        <v>70</v>
      </c>
      <c r="G218" s="114">
        <v>9</v>
      </c>
      <c r="H218" s="115" t="s">
        <v>858</v>
      </c>
    </row>
    <row r="219" spans="1:8" ht="19.899999999999999" customHeight="1">
      <c r="A219" s="121">
        <v>46039</v>
      </c>
      <c r="B219" s="112" t="s">
        <v>38</v>
      </c>
      <c r="C219" s="113" t="s">
        <v>811</v>
      </c>
      <c r="D219" s="112" t="s">
        <v>808</v>
      </c>
      <c r="E219" s="122">
        <v>1.6284722222222221</v>
      </c>
      <c r="F219" s="112" t="s">
        <v>40</v>
      </c>
      <c r="G219" s="114">
        <v>22</v>
      </c>
      <c r="H219" s="115" t="s">
        <v>503</v>
      </c>
    </row>
    <row r="220" spans="1:8" ht="19.899999999999999" customHeight="1">
      <c r="A220" s="121">
        <v>46039</v>
      </c>
      <c r="B220" s="112" t="s">
        <v>38</v>
      </c>
      <c r="C220" s="113" t="s">
        <v>812</v>
      </c>
      <c r="D220" s="112" t="s">
        <v>808</v>
      </c>
      <c r="E220" s="122">
        <v>1.8888888888888891</v>
      </c>
      <c r="F220" s="112" t="s">
        <v>40</v>
      </c>
      <c r="G220" s="114">
        <v>17</v>
      </c>
      <c r="H220" s="115" t="s">
        <v>503</v>
      </c>
    </row>
    <row r="221" spans="1:8" ht="19.899999999999999" customHeight="1">
      <c r="A221" s="121">
        <v>46039</v>
      </c>
      <c r="B221" s="112" t="s">
        <v>26</v>
      </c>
      <c r="C221" s="113" t="s">
        <v>820</v>
      </c>
      <c r="D221" s="112" t="s">
        <v>808</v>
      </c>
      <c r="E221" s="122">
        <v>1.4375</v>
      </c>
      <c r="F221" s="112" t="s">
        <v>28</v>
      </c>
      <c r="G221" s="114">
        <v>9</v>
      </c>
      <c r="H221" s="115" t="s">
        <v>511</v>
      </c>
    </row>
    <row r="222" spans="1:8" ht="19.899999999999999" customHeight="1">
      <c r="A222" s="121">
        <v>46039</v>
      </c>
      <c r="B222" s="112" t="s">
        <v>26</v>
      </c>
      <c r="C222" s="113" t="s">
        <v>826</v>
      </c>
      <c r="D222" s="112" t="s">
        <v>808</v>
      </c>
      <c r="E222" s="122">
        <v>1.958333333333333</v>
      </c>
      <c r="F222" s="112" t="s">
        <v>28</v>
      </c>
      <c r="G222" s="114">
        <v>4</v>
      </c>
      <c r="H222" s="115" t="s">
        <v>511</v>
      </c>
    </row>
    <row r="223" spans="1:8" ht="19.899999999999999" customHeight="1">
      <c r="A223" s="121">
        <v>46039</v>
      </c>
      <c r="B223" s="112" t="s">
        <v>26</v>
      </c>
      <c r="C223" s="113" t="s">
        <v>822</v>
      </c>
      <c r="D223" s="112" t="s">
        <v>808</v>
      </c>
      <c r="E223" s="122">
        <v>1.5590277777777779</v>
      </c>
      <c r="F223" s="112" t="s">
        <v>28</v>
      </c>
      <c r="G223" s="114">
        <v>4</v>
      </c>
      <c r="H223" s="115" t="s">
        <v>511</v>
      </c>
    </row>
    <row r="224" spans="1:8" ht="19.899999999999999" customHeight="1">
      <c r="A224" s="123">
        <v>46039</v>
      </c>
      <c r="B224" s="124" t="s">
        <v>26</v>
      </c>
      <c r="C224" s="125" t="s">
        <v>824</v>
      </c>
      <c r="D224" s="124" t="s">
        <v>808</v>
      </c>
      <c r="E224" s="126">
        <v>1.506944444444444</v>
      </c>
      <c r="F224" s="124" t="s">
        <v>28</v>
      </c>
      <c r="G224" s="127">
        <v>1</v>
      </c>
      <c r="H224" s="128" t="s">
        <v>511</v>
      </c>
    </row>
    <row r="225" spans="1:8" ht="19.899999999999999" customHeight="1">
      <c r="A225" s="129">
        <v>46040</v>
      </c>
      <c r="B225" s="117" t="s">
        <v>61</v>
      </c>
      <c r="C225" s="118" t="s">
        <v>996</v>
      </c>
      <c r="D225" s="117" t="s">
        <v>985</v>
      </c>
      <c r="E225" s="130">
        <v>1.427083333333333</v>
      </c>
      <c r="F225" s="117" t="s">
        <v>63</v>
      </c>
      <c r="G225" s="119">
        <v>1</v>
      </c>
      <c r="H225" s="120" t="s">
        <v>997</v>
      </c>
    </row>
    <row r="226" spans="1:8" ht="19.899999999999999" customHeight="1">
      <c r="A226" s="121">
        <v>46040</v>
      </c>
      <c r="B226" s="112" t="s">
        <v>68</v>
      </c>
      <c r="C226" s="113" t="s">
        <v>1000</v>
      </c>
      <c r="D226" s="112" t="s">
        <v>985</v>
      </c>
      <c r="E226" s="122">
        <v>1.427083333333333</v>
      </c>
      <c r="F226" s="112" t="s">
        <v>643</v>
      </c>
      <c r="G226" s="114">
        <v>4</v>
      </c>
      <c r="H226" s="115" t="s">
        <v>1001</v>
      </c>
    </row>
    <row r="227" spans="1:8" ht="19.899999999999999" customHeight="1">
      <c r="A227" s="143"/>
      <c r="B227" s="144"/>
      <c r="C227" s="144"/>
      <c r="D227" s="144"/>
      <c r="E227" s="144"/>
      <c r="F227" s="145" t="s">
        <v>1039</v>
      </c>
      <c r="G227" s="144"/>
      <c r="H227" s="146"/>
    </row>
    <row r="228" spans="1:8" ht="19.899999999999999" customHeight="1">
      <c r="A228" s="121">
        <v>46040</v>
      </c>
      <c r="B228" s="112" t="s">
        <v>38</v>
      </c>
      <c r="C228" s="113" t="s">
        <v>809</v>
      </c>
      <c r="D228" s="112" t="s">
        <v>808</v>
      </c>
      <c r="E228" s="122">
        <v>1.5763888888888891</v>
      </c>
      <c r="F228" s="112" t="s">
        <v>40</v>
      </c>
      <c r="G228" s="114">
        <v>20</v>
      </c>
      <c r="H228" s="115" t="s">
        <v>42</v>
      </c>
    </row>
    <row r="229" spans="1:8" ht="19.899999999999999" customHeight="1">
      <c r="A229" s="121">
        <v>46040</v>
      </c>
      <c r="B229" s="112" t="s">
        <v>38</v>
      </c>
      <c r="C229" s="113" t="s">
        <v>811</v>
      </c>
      <c r="D229" s="112" t="s">
        <v>808</v>
      </c>
      <c r="E229" s="122">
        <v>1.6284722222222221</v>
      </c>
      <c r="F229" s="112" t="s">
        <v>40</v>
      </c>
      <c r="G229" s="114">
        <v>18</v>
      </c>
      <c r="H229" s="115" t="s">
        <v>149</v>
      </c>
    </row>
    <row r="230" spans="1:8" ht="19.899999999999999" customHeight="1">
      <c r="A230" s="121">
        <v>46040</v>
      </c>
      <c r="B230" s="112" t="s">
        <v>61</v>
      </c>
      <c r="C230" s="113" t="s">
        <v>816</v>
      </c>
      <c r="D230" s="112" t="s">
        <v>808</v>
      </c>
      <c r="E230" s="122">
        <v>1.427083333333333</v>
      </c>
      <c r="F230" s="112" t="s">
        <v>63</v>
      </c>
      <c r="G230" s="114">
        <v>5</v>
      </c>
      <c r="H230" s="115" t="s">
        <v>121</v>
      </c>
    </row>
    <row r="231" spans="1:8" ht="19.899999999999999" customHeight="1">
      <c r="A231" s="121">
        <v>46040</v>
      </c>
      <c r="B231" s="112" t="s">
        <v>38</v>
      </c>
      <c r="C231" s="113" t="s">
        <v>812</v>
      </c>
      <c r="D231" s="112" t="s">
        <v>808</v>
      </c>
      <c r="E231" s="122">
        <v>1.8888888888888891</v>
      </c>
      <c r="F231" s="112" t="s">
        <v>40</v>
      </c>
      <c r="G231" s="114">
        <v>44</v>
      </c>
      <c r="H231" s="115" t="s">
        <v>83</v>
      </c>
    </row>
    <row r="232" spans="1:8" ht="19.899999999999999" customHeight="1">
      <c r="A232" s="121">
        <v>46040</v>
      </c>
      <c r="B232" s="112" t="s">
        <v>38</v>
      </c>
      <c r="C232" s="113" t="s">
        <v>813</v>
      </c>
      <c r="D232" s="112" t="s">
        <v>808</v>
      </c>
      <c r="E232" s="122">
        <v>1.944444444444444</v>
      </c>
      <c r="F232" s="112" t="s">
        <v>40</v>
      </c>
      <c r="G232" s="114">
        <v>17</v>
      </c>
      <c r="H232" s="115" t="s">
        <v>33</v>
      </c>
    </row>
    <row r="233" spans="1:8" ht="19.899999999999999" customHeight="1">
      <c r="A233" s="121">
        <v>46040</v>
      </c>
      <c r="B233" s="112" t="s">
        <v>359</v>
      </c>
      <c r="C233" s="113" t="s">
        <v>814</v>
      </c>
      <c r="D233" s="112" t="s">
        <v>808</v>
      </c>
      <c r="E233" s="122">
        <v>1.2951388888888891</v>
      </c>
      <c r="F233" s="112" t="s">
        <v>361</v>
      </c>
      <c r="G233" s="114">
        <v>9</v>
      </c>
      <c r="H233" s="115" t="s">
        <v>863</v>
      </c>
    </row>
    <row r="234" spans="1:8" ht="19.899999999999999" customHeight="1">
      <c r="A234" s="121">
        <v>46040</v>
      </c>
      <c r="B234" s="112" t="s">
        <v>38</v>
      </c>
      <c r="C234" s="113" t="s">
        <v>809</v>
      </c>
      <c r="D234" s="112" t="s">
        <v>808</v>
      </c>
      <c r="E234" s="122">
        <v>1.5763888888888891</v>
      </c>
      <c r="F234" s="112" t="s">
        <v>43</v>
      </c>
      <c r="G234" s="114">
        <v>20</v>
      </c>
      <c r="H234" s="115" t="s">
        <v>45</v>
      </c>
    </row>
    <row r="235" spans="1:8" ht="19.899999999999999" customHeight="1">
      <c r="A235" s="121">
        <v>46040</v>
      </c>
      <c r="B235" s="112" t="s">
        <v>38</v>
      </c>
      <c r="C235" s="113" t="s">
        <v>811</v>
      </c>
      <c r="D235" s="112" t="s">
        <v>808</v>
      </c>
      <c r="E235" s="122">
        <v>1.6284722222222221</v>
      </c>
      <c r="F235" s="112" t="s">
        <v>43</v>
      </c>
      <c r="G235" s="114">
        <v>18</v>
      </c>
      <c r="H235" s="115" t="s">
        <v>35</v>
      </c>
    </row>
    <row r="236" spans="1:8" ht="19.899999999999999" customHeight="1">
      <c r="A236" s="121">
        <v>46040</v>
      </c>
      <c r="B236" s="112" t="s">
        <v>38</v>
      </c>
      <c r="C236" s="113" t="s">
        <v>812</v>
      </c>
      <c r="D236" s="112" t="s">
        <v>808</v>
      </c>
      <c r="E236" s="122">
        <v>1.8888888888888891</v>
      </c>
      <c r="F236" s="112" t="s">
        <v>43</v>
      </c>
      <c r="G236" s="114">
        <v>44</v>
      </c>
      <c r="H236" s="115" t="s">
        <v>162</v>
      </c>
    </row>
    <row r="237" spans="1:8" ht="19.899999999999999" customHeight="1">
      <c r="A237" s="123">
        <v>46040</v>
      </c>
      <c r="B237" s="124" t="s">
        <v>38</v>
      </c>
      <c r="C237" s="125" t="s">
        <v>813</v>
      </c>
      <c r="D237" s="124" t="s">
        <v>808</v>
      </c>
      <c r="E237" s="126">
        <v>1.944444444444444</v>
      </c>
      <c r="F237" s="124" t="s">
        <v>43</v>
      </c>
      <c r="G237" s="127">
        <v>17</v>
      </c>
      <c r="H237" s="128" t="s">
        <v>926</v>
      </c>
    </row>
    <row r="238" spans="1:8" ht="19.899999999999999" customHeight="1">
      <c r="A238" s="143"/>
      <c r="B238" s="144"/>
      <c r="C238" s="144"/>
      <c r="D238" s="144"/>
      <c r="E238" s="144"/>
      <c r="F238" s="145" t="s">
        <v>1039</v>
      </c>
      <c r="G238" s="144"/>
      <c r="H238" s="146"/>
    </row>
    <row r="239" spans="1:8" ht="19.899999999999999" customHeight="1">
      <c r="A239" s="121">
        <v>46041</v>
      </c>
      <c r="B239" s="112" t="s">
        <v>38</v>
      </c>
      <c r="C239" s="113" t="s">
        <v>809</v>
      </c>
      <c r="D239" s="112" t="s">
        <v>808</v>
      </c>
      <c r="E239" s="122">
        <v>1.5763888888888891</v>
      </c>
      <c r="F239" s="112" t="s">
        <v>40</v>
      </c>
      <c r="G239" s="114">
        <v>19</v>
      </c>
      <c r="H239" s="115" t="s">
        <v>872</v>
      </c>
    </row>
    <row r="240" spans="1:8" ht="19.899999999999999" customHeight="1">
      <c r="A240" s="121">
        <v>46041</v>
      </c>
      <c r="B240" s="112" t="s">
        <v>38</v>
      </c>
      <c r="C240" s="113" t="s">
        <v>811</v>
      </c>
      <c r="D240" s="112" t="s">
        <v>808</v>
      </c>
      <c r="E240" s="122">
        <v>1.6284722222222221</v>
      </c>
      <c r="F240" s="112" t="s">
        <v>40</v>
      </c>
      <c r="G240" s="114">
        <v>20</v>
      </c>
      <c r="H240" s="115" t="s">
        <v>872</v>
      </c>
    </row>
    <row r="241" spans="1:8" ht="19.899999999999999" customHeight="1">
      <c r="A241" s="121">
        <v>46041</v>
      </c>
      <c r="B241" s="112" t="s">
        <v>38</v>
      </c>
      <c r="C241" s="113" t="s">
        <v>812</v>
      </c>
      <c r="D241" s="112" t="s">
        <v>808</v>
      </c>
      <c r="E241" s="122">
        <v>1.8888888888888891</v>
      </c>
      <c r="F241" s="112" t="s">
        <v>40</v>
      </c>
      <c r="G241" s="114">
        <v>1</v>
      </c>
      <c r="H241" s="115" t="s">
        <v>872</v>
      </c>
    </row>
    <row r="242" spans="1:8" ht="19.899999999999999" customHeight="1">
      <c r="A242" s="121">
        <v>46041</v>
      </c>
      <c r="B242" s="112" t="s">
        <v>38</v>
      </c>
      <c r="C242" s="113" t="s">
        <v>813</v>
      </c>
      <c r="D242" s="112" t="s">
        <v>808</v>
      </c>
      <c r="E242" s="122">
        <v>1.944444444444444</v>
      </c>
      <c r="F242" s="112" t="s">
        <v>40</v>
      </c>
      <c r="G242" s="114">
        <v>15</v>
      </c>
      <c r="H242" s="115" t="s">
        <v>872</v>
      </c>
    </row>
    <row r="243" spans="1:8" ht="19.899999999999999" customHeight="1">
      <c r="A243" s="121">
        <v>46041</v>
      </c>
      <c r="B243" s="112" t="s">
        <v>68</v>
      </c>
      <c r="C243" s="113" t="s">
        <v>842</v>
      </c>
      <c r="D243" s="112" t="s">
        <v>808</v>
      </c>
      <c r="E243" s="122">
        <v>1.9826388888888891</v>
      </c>
      <c r="F243" s="112" t="s">
        <v>643</v>
      </c>
      <c r="G243" s="114">
        <v>8</v>
      </c>
      <c r="H243" s="115" t="s">
        <v>891</v>
      </c>
    </row>
    <row r="244" spans="1:8" ht="19.899999999999999" customHeight="1">
      <c r="A244" s="121">
        <v>46041</v>
      </c>
      <c r="B244" s="112" t="s">
        <v>68</v>
      </c>
      <c r="C244" s="113" t="s">
        <v>844</v>
      </c>
      <c r="D244" s="112" t="s">
        <v>808</v>
      </c>
      <c r="E244" s="122">
        <v>1.729166666666667</v>
      </c>
      <c r="F244" s="112" t="s">
        <v>643</v>
      </c>
      <c r="G244" s="114">
        <v>9</v>
      </c>
      <c r="H244" s="115" t="s">
        <v>888</v>
      </c>
    </row>
    <row r="245" spans="1:8" ht="19.899999999999999" customHeight="1">
      <c r="A245" s="121">
        <v>46041</v>
      </c>
      <c r="B245" s="112" t="s">
        <v>26</v>
      </c>
      <c r="C245" s="113" t="s">
        <v>820</v>
      </c>
      <c r="D245" s="112" t="s">
        <v>808</v>
      </c>
      <c r="E245" s="122">
        <v>1.4375</v>
      </c>
      <c r="F245" s="112" t="s">
        <v>28</v>
      </c>
      <c r="G245" s="114">
        <v>9</v>
      </c>
      <c r="H245" s="115" t="s">
        <v>81</v>
      </c>
    </row>
    <row r="246" spans="1:8" ht="19.899999999999999" customHeight="1">
      <c r="A246" s="121">
        <v>46041</v>
      </c>
      <c r="B246" s="112" t="s">
        <v>26</v>
      </c>
      <c r="C246" s="113" t="s">
        <v>826</v>
      </c>
      <c r="D246" s="112" t="s">
        <v>808</v>
      </c>
      <c r="E246" s="122">
        <v>1.958333333333333</v>
      </c>
      <c r="F246" s="112" t="s">
        <v>28</v>
      </c>
      <c r="G246" s="114">
        <v>9</v>
      </c>
      <c r="H246" s="115" t="s">
        <v>81</v>
      </c>
    </row>
    <row r="247" spans="1:8" ht="19.899999999999999" customHeight="1">
      <c r="A247" s="121">
        <v>46041</v>
      </c>
      <c r="B247" s="112" t="s">
        <v>26</v>
      </c>
      <c r="C247" s="113" t="s">
        <v>821</v>
      </c>
      <c r="D247" s="112" t="s">
        <v>808</v>
      </c>
      <c r="E247" s="122">
        <v>1.631944444444444</v>
      </c>
      <c r="F247" s="112" t="s">
        <v>28</v>
      </c>
      <c r="G247" s="114">
        <v>9</v>
      </c>
      <c r="H247" s="115" t="s">
        <v>81</v>
      </c>
    </row>
    <row r="248" spans="1:8" ht="19.899999999999999" customHeight="1">
      <c r="A248" s="123">
        <v>46041</v>
      </c>
      <c r="B248" s="124" t="s">
        <v>26</v>
      </c>
      <c r="C248" s="125" t="s">
        <v>822</v>
      </c>
      <c r="D248" s="124" t="s">
        <v>808</v>
      </c>
      <c r="E248" s="126">
        <v>1.5590277777777779</v>
      </c>
      <c r="F248" s="124" t="s">
        <v>28</v>
      </c>
      <c r="G248" s="127">
        <v>9</v>
      </c>
      <c r="H248" s="128" t="s">
        <v>81</v>
      </c>
    </row>
    <row r="249" spans="1:8" ht="19.899999999999999" customHeight="1">
      <c r="A249" s="129">
        <v>46042</v>
      </c>
      <c r="B249" s="117" t="s">
        <v>61</v>
      </c>
      <c r="C249" s="118" t="s">
        <v>996</v>
      </c>
      <c r="D249" s="117" t="s">
        <v>985</v>
      </c>
      <c r="E249" s="130">
        <v>1.430555555555556</v>
      </c>
      <c r="F249" s="117" t="s">
        <v>63</v>
      </c>
      <c r="G249" s="119">
        <v>4</v>
      </c>
      <c r="H249" s="120" t="s">
        <v>853</v>
      </c>
    </row>
    <row r="250" spans="1:8" ht="19.899999999999999" customHeight="1">
      <c r="A250" s="121">
        <v>46042</v>
      </c>
      <c r="B250" s="112" t="s">
        <v>26</v>
      </c>
      <c r="C250" s="113" t="s">
        <v>986</v>
      </c>
      <c r="D250" s="112" t="s">
        <v>985</v>
      </c>
      <c r="E250" s="122">
        <v>1.3611111111111109</v>
      </c>
      <c r="F250" s="112" t="s">
        <v>987</v>
      </c>
      <c r="G250" s="114">
        <v>8</v>
      </c>
      <c r="H250" s="115" t="s">
        <v>1010</v>
      </c>
    </row>
    <row r="251" spans="1:8" ht="19.899999999999999" customHeight="1">
      <c r="A251" s="121">
        <v>46042</v>
      </c>
      <c r="B251" s="112" t="s">
        <v>68</v>
      </c>
      <c r="C251" s="113" t="s">
        <v>1000</v>
      </c>
      <c r="D251" s="112" t="s">
        <v>985</v>
      </c>
      <c r="E251" s="122">
        <v>1.430555555555556</v>
      </c>
      <c r="F251" s="112" t="s">
        <v>643</v>
      </c>
      <c r="G251" s="114">
        <v>4</v>
      </c>
      <c r="H251" s="115" t="s">
        <v>1001</v>
      </c>
    </row>
    <row r="252" spans="1:8" ht="19.899999999999999" customHeight="1">
      <c r="A252" s="121">
        <v>46042</v>
      </c>
      <c r="B252" s="112" t="s">
        <v>26</v>
      </c>
      <c r="C252" s="113" t="s">
        <v>986</v>
      </c>
      <c r="D252" s="112" t="s">
        <v>985</v>
      </c>
      <c r="E252" s="122">
        <v>1.3611111111111109</v>
      </c>
      <c r="F252" s="112" t="s">
        <v>31</v>
      </c>
      <c r="G252" s="114">
        <v>8</v>
      </c>
      <c r="H252" s="115" t="s">
        <v>488</v>
      </c>
    </row>
    <row r="253" spans="1:8" ht="19.899999999999999" customHeight="1">
      <c r="A253" s="121">
        <v>46042</v>
      </c>
      <c r="B253" s="112" t="s">
        <v>26</v>
      </c>
      <c r="C253" s="113" t="s">
        <v>986</v>
      </c>
      <c r="D253" s="112" t="s">
        <v>985</v>
      </c>
      <c r="E253" s="122">
        <v>1.3611111111111109</v>
      </c>
      <c r="F253" s="112" t="s">
        <v>34</v>
      </c>
      <c r="G253" s="114">
        <v>8</v>
      </c>
      <c r="H253" s="115" t="s">
        <v>1011</v>
      </c>
    </row>
    <row r="254" spans="1:8" ht="19.899999999999999" customHeight="1">
      <c r="A254" s="143"/>
      <c r="B254" s="144"/>
      <c r="C254" s="144"/>
      <c r="D254" s="144"/>
      <c r="E254" s="144"/>
      <c r="F254" s="145" t="s">
        <v>1039</v>
      </c>
      <c r="G254" s="144"/>
      <c r="H254" s="146"/>
    </row>
    <row r="255" spans="1:8" ht="19.899999999999999" customHeight="1">
      <c r="A255" s="121">
        <v>46042</v>
      </c>
      <c r="B255" s="112" t="s">
        <v>38</v>
      </c>
      <c r="C255" s="113" t="s">
        <v>809</v>
      </c>
      <c r="D255" s="112" t="s">
        <v>808</v>
      </c>
      <c r="E255" s="122">
        <v>1.5763888888888891</v>
      </c>
      <c r="F255" s="112" t="s">
        <v>40</v>
      </c>
      <c r="G255" s="114">
        <v>12</v>
      </c>
      <c r="H255" s="115" t="s">
        <v>475</v>
      </c>
    </row>
    <row r="256" spans="1:8" ht="19.899999999999999" customHeight="1">
      <c r="A256" s="121">
        <v>46042</v>
      </c>
      <c r="B256" s="112" t="s">
        <v>38</v>
      </c>
      <c r="C256" s="113" t="s">
        <v>811</v>
      </c>
      <c r="D256" s="112" t="s">
        <v>808</v>
      </c>
      <c r="E256" s="122">
        <v>1.6284722222222221</v>
      </c>
      <c r="F256" s="112" t="s">
        <v>40</v>
      </c>
      <c r="G256" s="114">
        <v>18</v>
      </c>
      <c r="H256" s="115" t="s">
        <v>475</v>
      </c>
    </row>
    <row r="257" spans="1:8" ht="19.899999999999999" customHeight="1">
      <c r="A257" s="121">
        <v>46042</v>
      </c>
      <c r="B257" s="112" t="s">
        <v>38</v>
      </c>
      <c r="C257" s="113" t="s">
        <v>812</v>
      </c>
      <c r="D257" s="112" t="s">
        <v>808</v>
      </c>
      <c r="E257" s="122">
        <v>1.8888888888888891</v>
      </c>
      <c r="F257" s="112" t="s">
        <v>40</v>
      </c>
      <c r="G257" s="114">
        <v>20</v>
      </c>
      <c r="H257" s="115" t="s">
        <v>872</v>
      </c>
    </row>
    <row r="258" spans="1:8" ht="19.899999999999999" customHeight="1">
      <c r="A258" s="121">
        <v>46042</v>
      </c>
      <c r="B258" s="112" t="s">
        <v>38</v>
      </c>
      <c r="C258" s="113" t="s">
        <v>813</v>
      </c>
      <c r="D258" s="112" t="s">
        <v>808</v>
      </c>
      <c r="E258" s="122">
        <v>1.944444444444444</v>
      </c>
      <c r="F258" s="112" t="s">
        <v>40</v>
      </c>
      <c r="G258" s="114">
        <v>18</v>
      </c>
      <c r="H258" s="115" t="s">
        <v>872</v>
      </c>
    </row>
    <row r="259" spans="1:8" ht="19.899999999999999" customHeight="1">
      <c r="A259" s="121">
        <v>46042</v>
      </c>
      <c r="B259" s="112" t="s">
        <v>68</v>
      </c>
      <c r="C259" s="113" t="s">
        <v>842</v>
      </c>
      <c r="D259" s="112" t="s">
        <v>808</v>
      </c>
      <c r="E259" s="122">
        <v>1.9826388888888891</v>
      </c>
      <c r="F259" s="112" t="s">
        <v>643</v>
      </c>
      <c r="G259" s="114">
        <v>6</v>
      </c>
      <c r="H259" s="115" t="s">
        <v>891</v>
      </c>
    </row>
    <row r="260" spans="1:8" ht="19.899999999999999" customHeight="1">
      <c r="A260" s="121">
        <v>46042</v>
      </c>
      <c r="B260" s="112" t="s">
        <v>26</v>
      </c>
      <c r="C260" s="113" t="s">
        <v>820</v>
      </c>
      <c r="D260" s="112" t="s">
        <v>808</v>
      </c>
      <c r="E260" s="122">
        <v>1.4375</v>
      </c>
      <c r="F260" s="112" t="s">
        <v>28</v>
      </c>
      <c r="G260" s="114">
        <v>9</v>
      </c>
      <c r="H260" s="115" t="s">
        <v>81</v>
      </c>
    </row>
    <row r="261" spans="1:8" ht="19.899999999999999" customHeight="1">
      <c r="A261" s="121">
        <v>46042</v>
      </c>
      <c r="B261" s="112" t="s">
        <v>26</v>
      </c>
      <c r="C261" s="113" t="s">
        <v>826</v>
      </c>
      <c r="D261" s="112" t="s">
        <v>808</v>
      </c>
      <c r="E261" s="122">
        <v>1.958333333333333</v>
      </c>
      <c r="F261" s="112" t="s">
        <v>28</v>
      </c>
      <c r="G261" s="114">
        <v>9</v>
      </c>
      <c r="H261" s="115" t="s">
        <v>81</v>
      </c>
    </row>
    <row r="262" spans="1:8" ht="19.899999999999999" customHeight="1">
      <c r="A262" s="121">
        <v>46042</v>
      </c>
      <c r="B262" s="112" t="s">
        <v>26</v>
      </c>
      <c r="C262" s="113" t="s">
        <v>821</v>
      </c>
      <c r="D262" s="112" t="s">
        <v>808</v>
      </c>
      <c r="E262" s="122">
        <v>1.631944444444444</v>
      </c>
      <c r="F262" s="112" t="s">
        <v>28</v>
      </c>
      <c r="G262" s="114">
        <v>9</v>
      </c>
      <c r="H262" s="115" t="s">
        <v>81</v>
      </c>
    </row>
    <row r="263" spans="1:8" ht="19.899999999999999" customHeight="1">
      <c r="A263" s="121">
        <v>46042</v>
      </c>
      <c r="B263" s="112" t="s">
        <v>26</v>
      </c>
      <c r="C263" s="113" t="s">
        <v>822</v>
      </c>
      <c r="D263" s="112" t="s">
        <v>808</v>
      </c>
      <c r="E263" s="122">
        <v>1.5590277777777779</v>
      </c>
      <c r="F263" s="112" t="s">
        <v>28</v>
      </c>
      <c r="G263" s="114">
        <v>9</v>
      </c>
      <c r="H263" s="115" t="s">
        <v>81</v>
      </c>
    </row>
    <row r="264" spans="1:8" ht="19.899999999999999" customHeight="1">
      <c r="A264" s="123">
        <v>46042</v>
      </c>
      <c r="B264" s="124" t="s">
        <v>26</v>
      </c>
      <c r="C264" s="125" t="s">
        <v>824</v>
      </c>
      <c r="D264" s="124" t="s">
        <v>808</v>
      </c>
      <c r="E264" s="126">
        <v>1.506944444444444</v>
      </c>
      <c r="F264" s="124" t="s">
        <v>28</v>
      </c>
      <c r="G264" s="127">
        <v>9</v>
      </c>
      <c r="H264" s="128" t="s">
        <v>81</v>
      </c>
    </row>
    <row r="265" spans="1:8" ht="19.899999999999999" customHeight="1">
      <c r="A265" s="129">
        <v>46043</v>
      </c>
      <c r="B265" s="117" t="s">
        <v>61</v>
      </c>
      <c r="C265" s="118" t="s">
        <v>1005</v>
      </c>
      <c r="D265" s="117" t="s">
        <v>985</v>
      </c>
      <c r="E265" s="130">
        <v>1.40625</v>
      </c>
      <c r="F265" s="117" t="s">
        <v>63</v>
      </c>
      <c r="G265" s="119">
        <v>1</v>
      </c>
      <c r="H265" s="120" t="s">
        <v>853</v>
      </c>
    </row>
    <row r="266" spans="1:8" ht="19.899999999999999" customHeight="1">
      <c r="A266" s="121">
        <v>46043</v>
      </c>
      <c r="B266" s="112" t="s">
        <v>68</v>
      </c>
      <c r="C266" s="113" t="s">
        <v>1008</v>
      </c>
      <c r="D266" s="112" t="s">
        <v>985</v>
      </c>
      <c r="E266" s="122">
        <v>1.40625</v>
      </c>
      <c r="F266" s="112" t="s">
        <v>643</v>
      </c>
      <c r="G266" s="114">
        <v>4</v>
      </c>
      <c r="H266" s="115" t="s">
        <v>1001</v>
      </c>
    </row>
    <row r="267" spans="1:8" ht="19.899999999999999" customHeight="1">
      <c r="A267" s="143"/>
      <c r="B267" s="144"/>
      <c r="C267" s="144"/>
      <c r="D267" s="144"/>
      <c r="E267" s="144"/>
      <c r="F267" s="145" t="s">
        <v>1039</v>
      </c>
      <c r="G267" s="144"/>
      <c r="H267" s="146"/>
    </row>
    <row r="268" spans="1:8" ht="19.899999999999999" customHeight="1">
      <c r="A268" s="121">
        <v>46043</v>
      </c>
      <c r="B268" s="112" t="s">
        <v>38</v>
      </c>
      <c r="C268" s="113" t="s">
        <v>809</v>
      </c>
      <c r="D268" s="112" t="s">
        <v>808</v>
      </c>
      <c r="E268" s="122">
        <v>1.5763888888888891</v>
      </c>
      <c r="F268" s="112" t="s">
        <v>40</v>
      </c>
      <c r="G268" s="114">
        <v>15</v>
      </c>
      <c r="H268" s="115" t="s">
        <v>475</v>
      </c>
    </row>
    <row r="269" spans="1:8" ht="19.899999999999999" customHeight="1">
      <c r="A269" s="121">
        <v>46043</v>
      </c>
      <c r="B269" s="112" t="s">
        <v>38</v>
      </c>
      <c r="C269" s="113" t="s">
        <v>811</v>
      </c>
      <c r="D269" s="112" t="s">
        <v>808</v>
      </c>
      <c r="E269" s="122">
        <v>1.6284722222222221</v>
      </c>
      <c r="F269" s="112" t="s">
        <v>40</v>
      </c>
      <c r="G269" s="114">
        <v>17</v>
      </c>
      <c r="H269" s="115" t="s">
        <v>475</v>
      </c>
    </row>
    <row r="270" spans="1:8" ht="19.899999999999999" customHeight="1">
      <c r="A270" s="121">
        <v>46043</v>
      </c>
      <c r="B270" s="112" t="s">
        <v>38</v>
      </c>
      <c r="C270" s="113" t="s">
        <v>812</v>
      </c>
      <c r="D270" s="112" t="s">
        <v>808</v>
      </c>
      <c r="E270" s="122">
        <v>1.8888888888888891</v>
      </c>
      <c r="F270" s="112" t="s">
        <v>40</v>
      </c>
      <c r="G270" s="114">
        <v>18</v>
      </c>
      <c r="H270" s="115" t="s">
        <v>872</v>
      </c>
    </row>
    <row r="271" spans="1:8" ht="19.899999999999999" customHeight="1">
      <c r="A271" s="121">
        <v>46043</v>
      </c>
      <c r="B271" s="112" t="s">
        <v>38</v>
      </c>
      <c r="C271" s="113" t="s">
        <v>813</v>
      </c>
      <c r="D271" s="112" t="s">
        <v>808</v>
      </c>
      <c r="E271" s="122">
        <v>1.944444444444444</v>
      </c>
      <c r="F271" s="112" t="s">
        <v>40</v>
      </c>
      <c r="G271" s="114">
        <v>20</v>
      </c>
      <c r="H271" s="115" t="s">
        <v>872</v>
      </c>
    </row>
    <row r="272" spans="1:8" ht="19.899999999999999" customHeight="1">
      <c r="A272" s="121">
        <v>46043</v>
      </c>
      <c r="B272" s="112" t="s">
        <v>68</v>
      </c>
      <c r="C272" s="113" t="s">
        <v>842</v>
      </c>
      <c r="D272" s="112" t="s">
        <v>808</v>
      </c>
      <c r="E272" s="122">
        <v>1.9826388888888891</v>
      </c>
      <c r="F272" s="112" t="s">
        <v>643</v>
      </c>
      <c r="G272" s="114">
        <v>9</v>
      </c>
      <c r="H272" s="115" t="s">
        <v>891</v>
      </c>
    </row>
    <row r="273" spans="1:8" ht="19.899999999999999" customHeight="1">
      <c r="A273" s="121">
        <v>46043</v>
      </c>
      <c r="B273" s="112" t="s">
        <v>68</v>
      </c>
      <c r="C273" s="113" t="s">
        <v>843</v>
      </c>
      <c r="D273" s="112" t="s">
        <v>808</v>
      </c>
      <c r="E273" s="122">
        <v>1.354166666666667</v>
      </c>
      <c r="F273" s="112" t="s">
        <v>643</v>
      </c>
      <c r="G273" s="114">
        <v>9</v>
      </c>
      <c r="H273" s="115" t="s">
        <v>891</v>
      </c>
    </row>
    <row r="274" spans="1:8" ht="19.899999999999999" customHeight="1">
      <c r="A274" s="121">
        <v>46043</v>
      </c>
      <c r="B274" s="112" t="s">
        <v>26</v>
      </c>
      <c r="C274" s="113" t="s">
        <v>820</v>
      </c>
      <c r="D274" s="112" t="s">
        <v>808</v>
      </c>
      <c r="E274" s="122">
        <v>1.4375</v>
      </c>
      <c r="F274" s="112" t="s">
        <v>28</v>
      </c>
      <c r="G274" s="114">
        <v>9</v>
      </c>
      <c r="H274" s="115" t="s">
        <v>81</v>
      </c>
    </row>
    <row r="275" spans="1:8" ht="19.899999999999999" customHeight="1">
      <c r="A275" s="121">
        <v>46043</v>
      </c>
      <c r="B275" s="112" t="s">
        <v>26</v>
      </c>
      <c r="C275" s="113" t="s">
        <v>826</v>
      </c>
      <c r="D275" s="112" t="s">
        <v>808</v>
      </c>
      <c r="E275" s="122">
        <v>1.958333333333333</v>
      </c>
      <c r="F275" s="112" t="s">
        <v>28</v>
      </c>
      <c r="G275" s="114">
        <v>9</v>
      </c>
      <c r="H275" s="115" t="s">
        <v>81</v>
      </c>
    </row>
    <row r="276" spans="1:8" ht="19.899999999999999" customHeight="1">
      <c r="A276" s="121">
        <v>46043</v>
      </c>
      <c r="B276" s="112" t="s">
        <v>26</v>
      </c>
      <c r="C276" s="113" t="s">
        <v>821</v>
      </c>
      <c r="D276" s="112" t="s">
        <v>808</v>
      </c>
      <c r="E276" s="122">
        <v>1.631944444444444</v>
      </c>
      <c r="F276" s="112" t="s">
        <v>28</v>
      </c>
      <c r="G276" s="114">
        <v>9</v>
      </c>
      <c r="H276" s="115" t="s">
        <v>81</v>
      </c>
    </row>
    <row r="277" spans="1:8" ht="19.899999999999999" customHeight="1">
      <c r="A277" s="123">
        <v>46043</v>
      </c>
      <c r="B277" s="124" t="s">
        <v>26</v>
      </c>
      <c r="C277" s="125" t="s">
        <v>822</v>
      </c>
      <c r="D277" s="124" t="s">
        <v>808</v>
      </c>
      <c r="E277" s="126">
        <v>1.5590277777777779</v>
      </c>
      <c r="F277" s="124" t="s">
        <v>28</v>
      </c>
      <c r="G277" s="127">
        <v>9</v>
      </c>
      <c r="H277" s="128" t="s">
        <v>81</v>
      </c>
    </row>
    <row r="278" spans="1:8" ht="19.899999999999999" customHeight="1">
      <c r="A278" s="121">
        <v>46044</v>
      </c>
      <c r="B278" s="112" t="s">
        <v>26</v>
      </c>
      <c r="C278" s="113" t="s">
        <v>986</v>
      </c>
      <c r="D278" s="112" t="s">
        <v>985</v>
      </c>
      <c r="E278" s="122">
        <v>1.3611111111111109</v>
      </c>
      <c r="F278" s="112" t="s">
        <v>987</v>
      </c>
      <c r="G278" s="114">
        <v>8</v>
      </c>
      <c r="H278" s="115" t="s">
        <v>988</v>
      </c>
    </row>
    <row r="279" spans="1:8" ht="19.899999999999999" customHeight="1">
      <c r="A279" s="121">
        <v>46044</v>
      </c>
      <c r="B279" s="112" t="s">
        <v>26</v>
      </c>
      <c r="C279" s="113" t="s">
        <v>986</v>
      </c>
      <c r="D279" s="112" t="s">
        <v>985</v>
      </c>
      <c r="E279" s="122">
        <v>1.3611111111111109</v>
      </c>
      <c r="F279" s="112" t="s">
        <v>31</v>
      </c>
      <c r="G279" s="114">
        <v>8</v>
      </c>
      <c r="H279" s="115" t="s">
        <v>989</v>
      </c>
    </row>
    <row r="280" spans="1:8" ht="19.899999999999999" customHeight="1">
      <c r="A280" s="121">
        <v>46044</v>
      </c>
      <c r="B280" s="112" t="s">
        <v>26</v>
      </c>
      <c r="C280" s="113" t="s">
        <v>986</v>
      </c>
      <c r="D280" s="112" t="s">
        <v>985</v>
      </c>
      <c r="E280" s="122">
        <v>1.3611111111111109</v>
      </c>
      <c r="F280" s="112" t="s">
        <v>34</v>
      </c>
      <c r="G280" s="114">
        <v>8</v>
      </c>
      <c r="H280" s="115" t="s">
        <v>990</v>
      </c>
    </row>
    <row r="281" spans="1:8" ht="19.899999999999999" customHeight="1">
      <c r="A281" s="143"/>
      <c r="B281" s="144"/>
      <c r="C281" s="144"/>
      <c r="D281" s="144"/>
      <c r="E281" s="144"/>
      <c r="F281" s="145" t="s">
        <v>1039</v>
      </c>
      <c r="G281" s="144"/>
      <c r="H281" s="146"/>
    </row>
    <row r="282" spans="1:8" ht="19.899999999999999" customHeight="1">
      <c r="A282" s="121">
        <v>46044</v>
      </c>
      <c r="B282" s="112" t="s">
        <v>38</v>
      </c>
      <c r="C282" s="113" t="s">
        <v>809</v>
      </c>
      <c r="D282" s="112" t="s">
        <v>808</v>
      </c>
      <c r="E282" s="122">
        <v>1.5763888888888891</v>
      </c>
      <c r="F282" s="112" t="s">
        <v>40</v>
      </c>
      <c r="G282" s="114">
        <v>1</v>
      </c>
      <c r="H282" s="115" t="s">
        <v>475</v>
      </c>
    </row>
    <row r="283" spans="1:8" ht="19.899999999999999" customHeight="1">
      <c r="A283" s="121">
        <v>46044</v>
      </c>
      <c r="B283" s="112" t="s">
        <v>38</v>
      </c>
      <c r="C283" s="113" t="s">
        <v>811</v>
      </c>
      <c r="D283" s="112" t="s">
        <v>808</v>
      </c>
      <c r="E283" s="122">
        <v>1.6284722222222221</v>
      </c>
      <c r="F283" s="112" t="s">
        <v>40</v>
      </c>
      <c r="G283" s="114">
        <v>9</v>
      </c>
      <c r="H283" s="115" t="s">
        <v>475</v>
      </c>
    </row>
    <row r="284" spans="1:8" ht="19.899999999999999" customHeight="1">
      <c r="A284" s="121">
        <v>46044</v>
      </c>
      <c r="B284" s="112" t="s">
        <v>26</v>
      </c>
      <c r="C284" s="113" t="s">
        <v>820</v>
      </c>
      <c r="D284" s="112" t="s">
        <v>808</v>
      </c>
      <c r="E284" s="122">
        <v>1.4375</v>
      </c>
      <c r="F284" s="112" t="s">
        <v>28</v>
      </c>
      <c r="G284" s="114">
        <v>9</v>
      </c>
      <c r="H284" s="115" t="s">
        <v>81</v>
      </c>
    </row>
    <row r="285" spans="1:8" ht="19.899999999999999" customHeight="1">
      <c r="A285" s="121">
        <v>46044</v>
      </c>
      <c r="B285" s="112" t="s">
        <v>26</v>
      </c>
      <c r="C285" s="113" t="s">
        <v>821</v>
      </c>
      <c r="D285" s="112" t="s">
        <v>808</v>
      </c>
      <c r="E285" s="122">
        <v>1.631944444444444</v>
      </c>
      <c r="F285" s="112" t="s">
        <v>28</v>
      </c>
      <c r="G285" s="114">
        <v>9</v>
      </c>
      <c r="H285" s="115" t="s">
        <v>81</v>
      </c>
    </row>
    <row r="286" spans="1:8" ht="19.899999999999999" customHeight="1">
      <c r="A286" s="121">
        <v>46044</v>
      </c>
      <c r="B286" s="112" t="s">
        <v>26</v>
      </c>
      <c r="C286" s="113" t="s">
        <v>822</v>
      </c>
      <c r="D286" s="112" t="s">
        <v>808</v>
      </c>
      <c r="E286" s="122">
        <v>1.5590277777777779</v>
      </c>
      <c r="F286" s="112" t="s">
        <v>28</v>
      </c>
      <c r="G286" s="114">
        <v>8</v>
      </c>
      <c r="H286" s="115" t="s">
        <v>81</v>
      </c>
    </row>
    <row r="287" spans="1:8" ht="19.899999999999999" customHeight="1">
      <c r="A287" s="121">
        <v>46044</v>
      </c>
      <c r="B287" s="112" t="s">
        <v>26</v>
      </c>
      <c r="C287" s="113" t="s">
        <v>824</v>
      </c>
      <c r="D287" s="112" t="s">
        <v>808</v>
      </c>
      <c r="E287" s="122">
        <v>1.506944444444444</v>
      </c>
      <c r="F287" s="112" t="s">
        <v>28</v>
      </c>
      <c r="G287" s="114">
        <v>9</v>
      </c>
      <c r="H287" s="115" t="s">
        <v>81</v>
      </c>
    </row>
    <row r="288" spans="1:8" ht="19.899999999999999" customHeight="1">
      <c r="A288" s="121">
        <v>46044</v>
      </c>
      <c r="B288" s="112" t="s">
        <v>26</v>
      </c>
      <c r="C288" s="113" t="s">
        <v>825</v>
      </c>
      <c r="D288" s="112" t="s">
        <v>808</v>
      </c>
      <c r="E288" s="122">
        <v>1.697916666666667</v>
      </c>
      <c r="F288" s="112" t="s">
        <v>28</v>
      </c>
      <c r="G288" s="114">
        <v>9</v>
      </c>
      <c r="H288" s="115" t="s">
        <v>81</v>
      </c>
    </row>
    <row r="289" spans="1:8" ht="19.899999999999999" customHeight="1">
      <c r="A289" s="121">
        <v>46044</v>
      </c>
      <c r="B289" s="112" t="s">
        <v>359</v>
      </c>
      <c r="C289" s="113" t="s">
        <v>814</v>
      </c>
      <c r="D289" s="112" t="s">
        <v>808</v>
      </c>
      <c r="E289" s="122">
        <v>1.4375</v>
      </c>
      <c r="F289" s="112" t="s">
        <v>361</v>
      </c>
      <c r="G289" s="114">
        <v>9</v>
      </c>
      <c r="H289" s="115" t="s">
        <v>949</v>
      </c>
    </row>
    <row r="290" spans="1:8" ht="19.899999999999999" customHeight="1">
      <c r="A290" s="121">
        <v>46044</v>
      </c>
      <c r="B290" s="112" t="s">
        <v>26</v>
      </c>
      <c r="C290" s="113" t="s">
        <v>826</v>
      </c>
      <c r="D290" s="112" t="s">
        <v>808</v>
      </c>
      <c r="E290" s="122">
        <v>1.958333333333333</v>
      </c>
      <c r="F290" s="112" t="s">
        <v>28</v>
      </c>
      <c r="G290" s="114">
        <v>9</v>
      </c>
      <c r="H290" s="115" t="s">
        <v>827</v>
      </c>
    </row>
    <row r="291" spans="1:8" ht="19.899999999999999" customHeight="1">
      <c r="A291" s="123">
        <v>46044</v>
      </c>
      <c r="B291" s="124" t="s">
        <v>26</v>
      </c>
      <c r="C291" s="125" t="s">
        <v>823</v>
      </c>
      <c r="D291" s="124" t="s">
        <v>808</v>
      </c>
      <c r="E291" s="126">
        <v>1.819444444444444</v>
      </c>
      <c r="F291" s="124" t="s">
        <v>28</v>
      </c>
      <c r="G291" s="127">
        <v>9</v>
      </c>
      <c r="H291" s="128" t="s">
        <v>827</v>
      </c>
    </row>
    <row r="292" spans="1:8" ht="19.899999999999999" customHeight="1">
      <c r="A292" s="143"/>
      <c r="B292" s="144"/>
      <c r="C292" s="144"/>
      <c r="D292" s="144"/>
      <c r="E292" s="144"/>
      <c r="F292" s="145" t="s">
        <v>1039</v>
      </c>
      <c r="G292" s="144"/>
      <c r="H292" s="146"/>
    </row>
    <row r="293" spans="1:8" ht="19.899999999999999" customHeight="1">
      <c r="A293" s="121">
        <v>46045</v>
      </c>
      <c r="B293" s="112" t="s">
        <v>26</v>
      </c>
      <c r="C293" s="113" t="s">
        <v>821</v>
      </c>
      <c r="D293" s="112" t="s">
        <v>808</v>
      </c>
      <c r="E293" s="122">
        <v>1.631944444444444</v>
      </c>
      <c r="F293" s="112" t="s">
        <v>28</v>
      </c>
      <c r="G293" s="114">
        <v>7</v>
      </c>
      <c r="H293" s="115" t="s">
        <v>81</v>
      </c>
    </row>
    <row r="294" spans="1:8" ht="19.899999999999999" customHeight="1">
      <c r="A294" s="121">
        <v>46045</v>
      </c>
      <c r="B294" s="112" t="s">
        <v>26</v>
      </c>
      <c r="C294" s="113" t="s">
        <v>822</v>
      </c>
      <c r="D294" s="112" t="s">
        <v>808</v>
      </c>
      <c r="E294" s="122">
        <v>1.5590277777777779</v>
      </c>
      <c r="F294" s="112" t="s">
        <v>28</v>
      </c>
      <c r="G294" s="114">
        <v>7</v>
      </c>
      <c r="H294" s="115" t="s">
        <v>81</v>
      </c>
    </row>
    <row r="295" spans="1:8" ht="19.899999999999999" customHeight="1">
      <c r="A295" s="121">
        <v>46045</v>
      </c>
      <c r="B295" s="112" t="s">
        <v>26</v>
      </c>
      <c r="C295" s="113" t="s">
        <v>824</v>
      </c>
      <c r="D295" s="112" t="s">
        <v>808</v>
      </c>
      <c r="E295" s="122">
        <v>1.506944444444444</v>
      </c>
      <c r="F295" s="112" t="s">
        <v>28</v>
      </c>
      <c r="G295" s="114">
        <v>8</v>
      </c>
      <c r="H295" s="115" t="s">
        <v>81</v>
      </c>
    </row>
    <row r="296" spans="1:8" ht="19.899999999999999" customHeight="1">
      <c r="A296" s="121">
        <v>46045</v>
      </c>
      <c r="B296" s="112" t="s">
        <v>26</v>
      </c>
      <c r="C296" s="113" t="s">
        <v>825</v>
      </c>
      <c r="D296" s="112" t="s">
        <v>808</v>
      </c>
      <c r="E296" s="122">
        <v>1.697916666666667</v>
      </c>
      <c r="F296" s="112" t="s">
        <v>28</v>
      </c>
      <c r="G296" s="114">
        <v>7</v>
      </c>
      <c r="H296" s="115" t="s">
        <v>81</v>
      </c>
    </row>
    <row r="297" spans="1:8" ht="19.899999999999999" customHeight="1">
      <c r="A297" s="121">
        <v>46045</v>
      </c>
      <c r="B297" s="112" t="s">
        <v>38</v>
      </c>
      <c r="C297" s="113" t="s">
        <v>811</v>
      </c>
      <c r="D297" s="112" t="s">
        <v>808</v>
      </c>
      <c r="E297" s="122">
        <v>1.6284722222222221</v>
      </c>
      <c r="F297" s="112" t="s">
        <v>40</v>
      </c>
      <c r="G297" s="114">
        <v>5</v>
      </c>
      <c r="H297" s="115" t="s">
        <v>848</v>
      </c>
    </row>
    <row r="298" spans="1:8" ht="19.899999999999999" customHeight="1">
      <c r="A298" s="121">
        <v>46045</v>
      </c>
      <c r="B298" s="112" t="s">
        <v>359</v>
      </c>
      <c r="C298" s="113" t="s">
        <v>814</v>
      </c>
      <c r="D298" s="112" t="s">
        <v>808</v>
      </c>
      <c r="E298" s="122">
        <v>1.1875</v>
      </c>
      <c r="F298" s="112" t="s">
        <v>361</v>
      </c>
      <c r="G298" s="114">
        <v>9</v>
      </c>
      <c r="H298" s="115" t="s">
        <v>879</v>
      </c>
    </row>
    <row r="299" spans="1:8" ht="19.899999999999999" customHeight="1">
      <c r="A299" s="121">
        <v>46045</v>
      </c>
      <c r="B299" s="112" t="s">
        <v>38</v>
      </c>
      <c r="C299" s="113" t="s">
        <v>809</v>
      </c>
      <c r="D299" s="112" t="s">
        <v>808</v>
      </c>
      <c r="E299" s="122">
        <v>1.5763888888888891</v>
      </c>
      <c r="F299" s="112" t="s">
        <v>40</v>
      </c>
      <c r="G299" s="114">
        <v>16</v>
      </c>
      <c r="H299" s="115" t="s">
        <v>42</v>
      </c>
    </row>
    <row r="300" spans="1:8" ht="19.899999999999999" customHeight="1">
      <c r="A300" s="121">
        <v>46045</v>
      </c>
      <c r="B300" s="112" t="s">
        <v>26</v>
      </c>
      <c r="C300" s="113" t="s">
        <v>820</v>
      </c>
      <c r="D300" s="112" t="s">
        <v>808</v>
      </c>
      <c r="E300" s="122">
        <v>1.4375</v>
      </c>
      <c r="F300" s="112" t="s">
        <v>28</v>
      </c>
      <c r="G300" s="114">
        <v>9</v>
      </c>
      <c r="H300" s="115" t="s">
        <v>827</v>
      </c>
    </row>
    <row r="301" spans="1:8" ht="19.899999999999999" customHeight="1">
      <c r="A301" s="121">
        <v>46045</v>
      </c>
      <c r="B301" s="112" t="s">
        <v>26</v>
      </c>
      <c r="C301" s="113" t="s">
        <v>826</v>
      </c>
      <c r="D301" s="112" t="s">
        <v>808</v>
      </c>
      <c r="E301" s="122">
        <v>1.958333333333333</v>
      </c>
      <c r="F301" s="112" t="s">
        <v>28</v>
      </c>
      <c r="G301" s="114">
        <v>9</v>
      </c>
      <c r="H301" s="115" t="s">
        <v>827</v>
      </c>
    </row>
    <row r="302" spans="1:8" ht="19.899999999999999" customHeight="1">
      <c r="A302" s="123">
        <v>46045</v>
      </c>
      <c r="B302" s="124" t="s">
        <v>26</v>
      </c>
      <c r="C302" s="125" t="s">
        <v>823</v>
      </c>
      <c r="D302" s="124" t="s">
        <v>808</v>
      </c>
      <c r="E302" s="126">
        <v>1.819444444444444</v>
      </c>
      <c r="F302" s="124" t="s">
        <v>28</v>
      </c>
      <c r="G302" s="127">
        <v>9</v>
      </c>
      <c r="H302" s="128" t="s">
        <v>827</v>
      </c>
    </row>
    <row r="303" spans="1:8" ht="19.899999999999999" customHeight="1">
      <c r="A303" s="121">
        <v>46046</v>
      </c>
      <c r="B303" s="112" t="s">
        <v>26</v>
      </c>
      <c r="C303" s="113" t="s">
        <v>986</v>
      </c>
      <c r="D303" s="112" t="s">
        <v>985</v>
      </c>
      <c r="E303" s="122">
        <v>1.3611111111111109</v>
      </c>
      <c r="F303" s="112" t="s">
        <v>987</v>
      </c>
      <c r="G303" s="114">
        <v>4</v>
      </c>
      <c r="H303" s="115" t="s">
        <v>1026</v>
      </c>
    </row>
    <row r="304" spans="1:8" ht="19.899999999999999" customHeight="1">
      <c r="A304" s="121">
        <v>46046</v>
      </c>
      <c r="B304" s="112" t="s">
        <v>26</v>
      </c>
      <c r="C304" s="113" t="s">
        <v>986</v>
      </c>
      <c r="D304" s="112" t="s">
        <v>985</v>
      </c>
      <c r="E304" s="122">
        <v>1.3611111111111109</v>
      </c>
      <c r="F304" s="112" t="s">
        <v>31</v>
      </c>
      <c r="G304" s="114">
        <v>4</v>
      </c>
      <c r="H304" s="115" t="s">
        <v>1027</v>
      </c>
    </row>
    <row r="305" spans="1:8" ht="19.899999999999999" customHeight="1">
      <c r="A305" s="121">
        <v>46046</v>
      </c>
      <c r="B305" s="112" t="s">
        <v>26</v>
      </c>
      <c r="C305" s="113" t="s">
        <v>986</v>
      </c>
      <c r="D305" s="112" t="s">
        <v>985</v>
      </c>
      <c r="E305" s="122">
        <v>1.3611111111111109</v>
      </c>
      <c r="F305" s="112" t="s">
        <v>34</v>
      </c>
      <c r="G305" s="114">
        <v>4</v>
      </c>
      <c r="H305" s="115" t="s">
        <v>1028</v>
      </c>
    </row>
    <row r="306" spans="1:8" ht="19.899999999999999" customHeight="1">
      <c r="A306" s="143"/>
      <c r="B306" s="144"/>
      <c r="C306" s="144"/>
      <c r="D306" s="144"/>
      <c r="E306" s="144"/>
      <c r="F306" s="145" t="s">
        <v>1039</v>
      </c>
      <c r="G306" s="144"/>
      <c r="H306" s="146"/>
    </row>
    <row r="307" spans="1:8" ht="19.899999999999999" customHeight="1">
      <c r="A307" s="121">
        <v>46046</v>
      </c>
      <c r="B307" s="112" t="s">
        <v>26</v>
      </c>
      <c r="C307" s="113" t="s">
        <v>820</v>
      </c>
      <c r="D307" s="112" t="s">
        <v>808</v>
      </c>
      <c r="E307" s="122">
        <v>1.4375</v>
      </c>
      <c r="F307" s="112" t="s">
        <v>28</v>
      </c>
      <c r="G307" s="114">
        <v>9</v>
      </c>
      <c r="H307" s="115" t="s">
        <v>81</v>
      </c>
    </row>
    <row r="308" spans="1:8" ht="19.899999999999999" customHeight="1">
      <c r="A308" s="121">
        <v>46046</v>
      </c>
      <c r="B308" s="112" t="s">
        <v>26</v>
      </c>
      <c r="C308" s="113" t="s">
        <v>821</v>
      </c>
      <c r="D308" s="112" t="s">
        <v>808</v>
      </c>
      <c r="E308" s="122">
        <v>1.631944444444444</v>
      </c>
      <c r="F308" s="112" t="s">
        <v>28</v>
      </c>
      <c r="G308" s="114">
        <v>9</v>
      </c>
      <c r="H308" s="115" t="s">
        <v>81</v>
      </c>
    </row>
    <row r="309" spans="1:8" ht="19.899999999999999" customHeight="1">
      <c r="A309" s="121">
        <v>46046</v>
      </c>
      <c r="B309" s="112" t="s">
        <v>26</v>
      </c>
      <c r="C309" s="113" t="s">
        <v>824</v>
      </c>
      <c r="D309" s="112" t="s">
        <v>808</v>
      </c>
      <c r="E309" s="122">
        <v>1.506944444444444</v>
      </c>
      <c r="F309" s="112" t="s">
        <v>28</v>
      </c>
      <c r="G309" s="114">
        <v>9</v>
      </c>
      <c r="H309" s="115" t="s">
        <v>81</v>
      </c>
    </row>
    <row r="310" spans="1:8" ht="19.899999999999999" customHeight="1">
      <c r="A310" s="121">
        <v>46046</v>
      </c>
      <c r="B310" s="112" t="s">
        <v>26</v>
      </c>
      <c r="C310" s="113" t="s">
        <v>825</v>
      </c>
      <c r="D310" s="112" t="s">
        <v>808</v>
      </c>
      <c r="E310" s="122">
        <v>1.697916666666667</v>
      </c>
      <c r="F310" s="112" t="s">
        <v>28</v>
      </c>
      <c r="G310" s="114">
        <v>8</v>
      </c>
      <c r="H310" s="115" t="s">
        <v>81</v>
      </c>
    </row>
    <row r="311" spans="1:8" ht="19.899999999999999" customHeight="1">
      <c r="A311" s="121">
        <v>46046</v>
      </c>
      <c r="B311" s="112" t="s">
        <v>359</v>
      </c>
      <c r="C311" s="113" t="s">
        <v>814</v>
      </c>
      <c r="D311" s="112" t="s">
        <v>808</v>
      </c>
      <c r="E311" s="122">
        <v>1.4375</v>
      </c>
      <c r="F311" s="112" t="s">
        <v>361</v>
      </c>
      <c r="G311" s="114">
        <v>9</v>
      </c>
      <c r="H311" s="115" t="s">
        <v>879</v>
      </c>
    </row>
    <row r="312" spans="1:8" ht="19.899999999999999" customHeight="1">
      <c r="A312" s="121">
        <v>46046</v>
      </c>
      <c r="B312" s="112" t="s">
        <v>38</v>
      </c>
      <c r="C312" s="113" t="s">
        <v>809</v>
      </c>
      <c r="D312" s="112" t="s">
        <v>808</v>
      </c>
      <c r="E312" s="122">
        <v>1.5763888888888891</v>
      </c>
      <c r="F312" s="112" t="s">
        <v>40</v>
      </c>
      <c r="G312" s="114">
        <v>14</v>
      </c>
      <c r="H312" s="115" t="s">
        <v>42</v>
      </c>
    </row>
    <row r="313" spans="1:8" ht="19.899999999999999" customHeight="1">
      <c r="A313" s="121">
        <v>46046</v>
      </c>
      <c r="B313" s="112" t="s">
        <v>38</v>
      </c>
      <c r="C313" s="113" t="s">
        <v>811</v>
      </c>
      <c r="D313" s="112" t="s">
        <v>808</v>
      </c>
      <c r="E313" s="122">
        <v>1.6284722222222221</v>
      </c>
      <c r="F313" s="112" t="s">
        <v>40</v>
      </c>
      <c r="G313" s="114">
        <v>16</v>
      </c>
      <c r="H313" s="115" t="s">
        <v>42</v>
      </c>
    </row>
    <row r="314" spans="1:8" ht="19.899999999999999" customHeight="1">
      <c r="A314" s="121">
        <v>46046</v>
      </c>
      <c r="B314" s="112" t="s">
        <v>26</v>
      </c>
      <c r="C314" s="113" t="s">
        <v>826</v>
      </c>
      <c r="D314" s="112" t="s">
        <v>808</v>
      </c>
      <c r="E314" s="122">
        <v>1.958333333333333</v>
      </c>
      <c r="F314" s="112" t="s">
        <v>28</v>
      </c>
      <c r="G314" s="114">
        <v>9</v>
      </c>
      <c r="H314" s="115" t="s">
        <v>827</v>
      </c>
    </row>
    <row r="315" spans="1:8" ht="19.899999999999999" customHeight="1">
      <c r="A315" s="121">
        <v>46046</v>
      </c>
      <c r="B315" s="112" t="s">
        <v>26</v>
      </c>
      <c r="C315" s="113" t="s">
        <v>822</v>
      </c>
      <c r="D315" s="112" t="s">
        <v>808</v>
      </c>
      <c r="E315" s="122">
        <v>1.5590277777777779</v>
      </c>
      <c r="F315" s="112" t="s">
        <v>28</v>
      </c>
      <c r="G315" s="114">
        <v>9</v>
      </c>
      <c r="H315" s="115" t="s">
        <v>827</v>
      </c>
    </row>
    <row r="316" spans="1:8" ht="19.899999999999999" customHeight="1">
      <c r="A316" s="123">
        <v>46046</v>
      </c>
      <c r="B316" s="124" t="s">
        <v>26</v>
      </c>
      <c r="C316" s="125" t="s">
        <v>823</v>
      </c>
      <c r="D316" s="124" t="s">
        <v>808</v>
      </c>
      <c r="E316" s="126">
        <v>1.819444444444444</v>
      </c>
      <c r="F316" s="124" t="s">
        <v>28</v>
      </c>
      <c r="G316" s="127">
        <v>9</v>
      </c>
      <c r="H316" s="128" t="s">
        <v>827</v>
      </c>
    </row>
    <row r="317" spans="1:8" ht="19.899999999999999" customHeight="1">
      <c r="A317" s="129">
        <v>46047</v>
      </c>
      <c r="B317" s="117" t="s">
        <v>61</v>
      </c>
      <c r="C317" s="118" t="s">
        <v>996</v>
      </c>
      <c r="D317" s="117" t="s">
        <v>985</v>
      </c>
      <c r="E317" s="130">
        <v>1.427083333333333</v>
      </c>
      <c r="F317" s="117" t="s">
        <v>63</v>
      </c>
      <c r="G317" s="119">
        <v>6</v>
      </c>
      <c r="H317" s="120" t="s">
        <v>961</v>
      </c>
    </row>
    <row r="318" spans="1:8" ht="19.899999999999999" customHeight="1">
      <c r="A318" s="121">
        <v>46047</v>
      </c>
      <c r="B318" s="112" t="s">
        <v>68</v>
      </c>
      <c r="C318" s="113" t="s">
        <v>1000</v>
      </c>
      <c r="D318" s="112" t="s">
        <v>985</v>
      </c>
      <c r="E318" s="122">
        <v>1.427083333333333</v>
      </c>
      <c r="F318" s="112" t="s">
        <v>70</v>
      </c>
      <c r="G318" s="114">
        <v>4</v>
      </c>
      <c r="H318" s="115" t="s">
        <v>1031</v>
      </c>
    </row>
    <row r="319" spans="1:8" ht="19.899999999999999" customHeight="1">
      <c r="A319" s="143"/>
      <c r="B319" s="144"/>
      <c r="C319" s="144"/>
      <c r="D319" s="144"/>
      <c r="E319" s="144"/>
      <c r="F319" s="145" t="s">
        <v>1039</v>
      </c>
      <c r="G319" s="144"/>
      <c r="H319" s="146"/>
    </row>
    <row r="320" spans="1:8" ht="19.899999999999999" customHeight="1">
      <c r="A320" s="121">
        <v>46047</v>
      </c>
      <c r="B320" s="112" t="s">
        <v>38</v>
      </c>
      <c r="C320" s="113" t="s">
        <v>809</v>
      </c>
      <c r="D320" s="112" t="s">
        <v>808</v>
      </c>
      <c r="E320" s="122">
        <v>1.5763888888888891</v>
      </c>
      <c r="F320" s="112" t="s">
        <v>40</v>
      </c>
      <c r="G320" s="114">
        <v>16</v>
      </c>
      <c r="H320" s="115" t="s">
        <v>872</v>
      </c>
    </row>
    <row r="321" spans="1:8" ht="19.899999999999999" customHeight="1">
      <c r="A321" s="121">
        <v>46047</v>
      </c>
      <c r="B321" s="112" t="s">
        <v>38</v>
      </c>
      <c r="C321" s="113" t="s">
        <v>811</v>
      </c>
      <c r="D321" s="112" t="s">
        <v>808</v>
      </c>
      <c r="E321" s="122">
        <v>1.6284722222222221</v>
      </c>
      <c r="F321" s="112" t="s">
        <v>40</v>
      </c>
      <c r="G321" s="114">
        <v>15</v>
      </c>
      <c r="H321" s="115" t="s">
        <v>872</v>
      </c>
    </row>
    <row r="322" spans="1:8" ht="19.899999999999999" customHeight="1">
      <c r="A322" s="121">
        <v>46047</v>
      </c>
      <c r="B322" s="112" t="s">
        <v>26</v>
      </c>
      <c r="C322" s="113" t="s">
        <v>820</v>
      </c>
      <c r="D322" s="112" t="s">
        <v>808</v>
      </c>
      <c r="E322" s="122">
        <v>1.4375</v>
      </c>
      <c r="F322" s="112" t="s">
        <v>28</v>
      </c>
      <c r="G322" s="114">
        <v>9</v>
      </c>
      <c r="H322" s="115" t="s">
        <v>81</v>
      </c>
    </row>
    <row r="323" spans="1:8" ht="19.899999999999999" customHeight="1">
      <c r="A323" s="121">
        <v>46047</v>
      </c>
      <c r="B323" s="112" t="s">
        <v>26</v>
      </c>
      <c r="C323" s="113" t="s">
        <v>821</v>
      </c>
      <c r="D323" s="112" t="s">
        <v>808</v>
      </c>
      <c r="E323" s="122">
        <v>1.631944444444444</v>
      </c>
      <c r="F323" s="112" t="s">
        <v>28</v>
      </c>
      <c r="G323" s="114">
        <v>9</v>
      </c>
      <c r="H323" s="115" t="s">
        <v>81</v>
      </c>
    </row>
    <row r="324" spans="1:8" ht="19.899999999999999" customHeight="1">
      <c r="A324" s="121">
        <v>46047</v>
      </c>
      <c r="B324" s="112" t="s">
        <v>26</v>
      </c>
      <c r="C324" s="113" t="s">
        <v>822</v>
      </c>
      <c r="D324" s="112" t="s">
        <v>808</v>
      </c>
      <c r="E324" s="122">
        <v>1.5590277777777779</v>
      </c>
      <c r="F324" s="112" t="s">
        <v>28</v>
      </c>
      <c r="G324" s="114">
        <v>9</v>
      </c>
      <c r="H324" s="115" t="s">
        <v>81</v>
      </c>
    </row>
    <row r="325" spans="1:8" ht="19.899999999999999" customHeight="1">
      <c r="A325" s="121">
        <v>46047</v>
      </c>
      <c r="B325" s="112" t="s">
        <v>26</v>
      </c>
      <c r="C325" s="113" t="s">
        <v>824</v>
      </c>
      <c r="D325" s="112" t="s">
        <v>808</v>
      </c>
      <c r="E325" s="122">
        <v>1.506944444444444</v>
      </c>
      <c r="F325" s="112" t="s">
        <v>28</v>
      </c>
      <c r="G325" s="114">
        <v>9</v>
      </c>
      <c r="H325" s="115" t="s">
        <v>81</v>
      </c>
    </row>
    <row r="326" spans="1:8" ht="19.899999999999999" customHeight="1">
      <c r="A326" s="121">
        <v>46047</v>
      </c>
      <c r="B326" s="112" t="s">
        <v>26</v>
      </c>
      <c r="C326" s="113" t="s">
        <v>825</v>
      </c>
      <c r="D326" s="112" t="s">
        <v>808</v>
      </c>
      <c r="E326" s="122">
        <v>1.697916666666667</v>
      </c>
      <c r="F326" s="112" t="s">
        <v>28</v>
      </c>
      <c r="G326" s="114">
        <v>9</v>
      </c>
      <c r="H326" s="115" t="s">
        <v>81</v>
      </c>
    </row>
    <row r="327" spans="1:8" ht="19.899999999999999" customHeight="1">
      <c r="A327" s="121">
        <v>46047</v>
      </c>
      <c r="B327" s="112" t="s">
        <v>359</v>
      </c>
      <c r="C327" s="113" t="s">
        <v>814</v>
      </c>
      <c r="D327" s="112" t="s">
        <v>808</v>
      </c>
      <c r="E327" s="122">
        <v>1.2951388888888891</v>
      </c>
      <c r="F327" s="112" t="s">
        <v>361</v>
      </c>
      <c r="G327" s="114">
        <v>9</v>
      </c>
      <c r="H327" s="115" t="s">
        <v>879</v>
      </c>
    </row>
    <row r="328" spans="1:8" ht="19.899999999999999" customHeight="1">
      <c r="A328" s="121">
        <v>46047</v>
      </c>
      <c r="B328" s="112" t="s">
        <v>26</v>
      </c>
      <c r="C328" s="113" t="s">
        <v>826</v>
      </c>
      <c r="D328" s="112" t="s">
        <v>808</v>
      </c>
      <c r="E328" s="122">
        <v>1.958333333333333</v>
      </c>
      <c r="F328" s="112" t="s">
        <v>28</v>
      </c>
      <c r="G328" s="114">
        <v>9</v>
      </c>
      <c r="H328" s="115" t="s">
        <v>827</v>
      </c>
    </row>
    <row r="329" spans="1:8" ht="19.899999999999999" customHeight="1">
      <c r="A329" s="123">
        <v>46047</v>
      </c>
      <c r="B329" s="124" t="s">
        <v>26</v>
      </c>
      <c r="C329" s="125" t="s">
        <v>823</v>
      </c>
      <c r="D329" s="124" t="s">
        <v>808</v>
      </c>
      <c r="E329" s="126">
        <v>1.819444444444444</v>
      </c>
      <c r="F329" s="124" t="s">
        <v>28</v>
      </c>
      <c r="G329" s="127">
        <v>9</v>
      </c>
      <c r="H329" s="128" t="s">
        <v>827</v>
      </c>
    </row>
    <row r="330" spans="1:8" ht="19.899999999999999" customHeight="1">
      <c r="A330" s="143"/>
      <c r="B330" s="144"/>
      <c r="C330" s="144"/>
      <c r="D330" s="144"/>
      <c r="E330" s="144"/>
      <c r="F330" s="145" t="s">
        <v>1039</v>
      </c>
      <c r="G330" s="144"/>
      <c r="H330" s="146"/>
    </row>
    <row r="331" spans="1:8" ht="19.899999999999999" customHeight="1">
      <c r="A331" s="121">
        <v>46048</v>
      </c>
      <c r="B331" s="112" t="s">
        <v>38</v>
      </c>
      <c r="C331" s="113" t="s">
        <v>809</v>
      </c>
      <c r="D331" s="112" t="s">
        <v>808</v>
      </c>
      <c r="E331" s="122">
        <v>1.5763888888888891</v>
      </c>
      <c r="F331" s="112" t="s">
        <v>40</v>
      </c>
      <c r="G331" s="114">
        <v>19</v>
      </c>
      <c r="H331" s="115" t="s">
        <v>475</v>
      </c>
    </row>
    <row r="332" spans="1:8" ht="19.899999999999999" customHeight="1">
      <c r="A332" s="121">
        <v>46048</v>
      </c>
      <c r="B332" s="112" t="s">
        <v>38</v>
      </c>
      <c r="C332" s="113" t="s">
        <v>811</v>
      </c>
      <c r="D332" s="112" t="s">
        <v>808</v>
      </c>
      <c r="E332" s="122">
        <v>1.6284722222222221</v>
      </c>
      <c r="F332" s="112" t="s">
        <v>40</v>
      </c>
      <c r="G332" s="114">
        <v>20</v>
      </c>
      <c r="H332" s="115" t="s">
        <v>475</v>
      </c>
    </row>
    <row r="333" spans="1:8" ht="19.899999999999999" customHeight="1">
      <c r="A333" s="121">
        <v>46048</v>
      </c>
      <c r="B333" s="112" t="s">
        <v>38</v>
      </c>
      <c r="C333" s="113" t="s">
        <v>812</v>
      </c>
      <c r="D333" s="112" t="s">
        <v>808</v>
      </c>
      <c r="E333" s="122">
        <v>1.8888888888888891</v>
      </c>
      <c r="F333" s="112" t="s">
        <v>40</v>
      </c>
      <c r="G333" s="114">
        <v>20</v>
      </c>
      <c r="H333" s="115" t="s">
        <v>872</v>
      </c>
    </row>
    <row r="334" spans="1:8" ht="19.899999999999999" customHeight="1">
      <c r="A334" s="121">
        <v>46048</v>
      </c>
      <c r="B334" s="112" t="s">
        <v>38</v>
      </c>
      <c r="C334" s="113" t="s">
        <v>813</v>
      </c>
      <c r="D334" s="112" t="s">
        <v>808</v>
      </c>
      <c r="E334" s="122">
        <v>1.944444444444444</v>
      </c>
      <c r="F334" s="112" t="s">
        <v>40</v>
      </c>
      <c r="G334" s="114">
        <v>20</v>
      </c>
      <c r="H334" s="115" t="s">
        <v>872</v>
      </c>
    </row>
    <row r="335" spans="1:8" ht="19.899999999999999" customHeight="1">
      <c r="A335" s="121">
        <v>46048</v>
      </c>
      <c r="B335" s="112" t="s">
        <v>68</v>
      </c>
      <c r="C335" s="113" t="s">
        <v>844</v>
      </c>
      <c r="D335" s="112" t="s">
        <v>808</v>
      </c>
      <c r="E335" s="122">
        <v>1.729166666666667</v>
      </c>
      <c r="F335" s="112" t="s">
        <v>643</v>
      </c>
      <c r="G335" s="114">
        <v>1</v>
      </c>
      <c r="H335" s="115" t="s">
        <v>888</v>
      </c>
    </row>
    <row r="336" spans="1:8" ht="19.899999999999999" customHeight="1">
      <c r="A336" s="121">
        <v>46048</v>
      </c>
      <c r="B336" s="112" t="s">
        <v>26</v>
      </c>
      <c r="C336" s="113" t="s">
        <v>820</v>
      </c>
      <c r="D336" s="112" t="s">
        <v>808</v>
      </c>
      <c r="E336" s="122">
        <v>1.4375</v>
      </c>
      <c r="F336" s="112" t="s">
        <v>28</v>
      </c>
      <c r="G336" s="114">
        <v>9</v>
      </c>
      <c r="H336" s="115" t="s">
        <v>81</v>
      </c>
    </row>
    <row r="337" spans="1:8" ht="19.899999999999999" customHeight="1">
      <c r="A337" s="121">
        <v>46048</v>
      </c>
      <c r="B337" s="112" t="s">
        <v>26</v>
      </c>
      <c r="C337" s="113" t="s">
        <v>826</v>
      </c>
      <c r="D337" s="112" t="s">
        <v>808</v>
      </c>
      <c r="E337" s="122">
        <v>1.958333333333333</v>
      </c>
      <c r="F337" s="112" t="s">
        <v>28</v>
      </c>
      <c r="G337" s="114">
        <v>9</v>
      </c>
      <c r="H337" s="115" t="s">
        <v>81</v>
      </c>
    </row>
    <row r="338" spans="1:8" ht="19.899999999999999" customHeight="1">
      <c r="A338" s="121">
        <v>46048</v>
      </c>
      <c r="B338" s="112" t="s">
        <v>26</v>
      </c>
      <c r="C338" s="113" t="s">
        <v>821</v>
      </c>
      <c r="D338" s="112" t="s">
        <v>808</v>
      </c>
      <c r="E338" s="122">
        <v>1.631944444444444</v>
      </c>
      <c r="F338" s="112" t="s">
        <v>28</v>
      </c>
      <c r="G338" s="114">
        <v>9</v>
      </c>
      <c r="H338" s="115" t="s">
        <v>81</v>
      </c>
    </row>
    <row r="339" spans="1:8" ht="19.899999999999999" customHeight="1">
      <c r="A339" s="121">
        <v>46048</v>
      </c>
      <c r="B339" s="112" t="s">
        <v>26</v>
      </c>
      <c r="C339" s="113" t="s">
        <v>822</v>
      </c>
      <c r="D339" s="112" t="s">
        <v>808</v>
      </c>
      <c r="E339" s="122">
        <v>1.5590277777777779</v>
      </c>
      <c r="F339" s="112" t="s">
        <v>28</v>
      </c>
      <c r="G339" s="114">
        <v>9</v>
      </c>
      <c r="H339" s="115" t="s">
        <v>81</v>
      </c>
    </row>
    <row r="340" spans="1:8" ht="19.899999999999999" customHeight="1">
      <c r="A340" s="123">
        <v>46048</v>
      </c>
      <c r="B340" s="124" t="s">
        <v>26</v>
      </c>
      <c r="C340" s="125" t="s">
        <v>823</v>
      </c>
      <c r="D340" s="124" t="s">
        <v>808</v>
      </c>
      <c r="E340" s="126">
        <v>1.819444444444444</v>
      </c>
      <c r="F340" s="124" t="s">
        <v>28</v>
      </c>
      <c r="G340" s="127">
        <v>9</v>
      </c>
      <c r="H340" s="128" t="s">
        <v>81</v>
      </c>
    </row>
    <row r="341" spans="1:8" ht="19.899999999999999" customHeight="1">
      <c r="A341" s="129">
        <v>46049</v>
      </c>
      <c r="B341" s="117" t="s">
        <v>61</v>
      </c>
      <c r="C341" s="118" t="s">
        <v>996</v>
      </c>
      <c r="D341" s="117" t="s">
        <v>985</v>
      </c>
      <c r="E341" s="130">
        <v>1.430555555555556</v>
      </c>
      <c r="F341" s="117" t="s">
        <v>63</v>
      </c>
      <c r="G341" s="119">
        <v>6</v>
      </c>
      <c r="H341" s="120" t="s">
        <v>853</v>
      </c>
    </row>
    <row r="342" spans="1:8" ht="19.899999999999999" customHeight="1">
      <c r="A342" s="121">
        <v>46049</v>
      </c>
      <c r="B342" s="112" t="s">
        <v>26</v>
      </c>
      <c r="C342" s="113" t="s">
        <v>986</v>
      </c>
      <c r="D342" s="112" t="s">
        <v>985</v>
      </c>
      <c r="E342" s="122">
        <v>1.3611111111111109</v>
      </c>
      <c r="F342" s="112" t="s">
        <v>987</v>
      </c>
      <c r="G342" s="114">
        <v>9</v>
      </c>
      <c r="H342" s="115" t="s">
        <v>988</v>
      </c>
    </row>
    <row r="343" spans="1:8" ht="19.899999999999999" customHeight="1">
      <c r="A343" s="121">
        <v>46049</v>
      </c>
      <c r="B343" s="112" t="s">
        <v>26</v>
      </c>
      <c r="C343" s="113" t="s">
        <v>986</v>
      </c>
      <c r="D343" s="112" t="s">
        <v>985</v>
      </c>
      <c r="E343" s="122">
        <v>1.3611111111111109</v>
      </c>
      <c r="F343" s="112" t="s">
        <v>31</v>
      </c>
      <c r="G343" s="114">
        <v>9</v>
      </c>
      <c r="H343" s="115" t="s">
        <v>989</v>
      </c>
    </row>
    <row r="344" spans="1:8" ht="19.899999999999999" customHeight="1">
      <c r="A344" s="121">
        <v>46049</v>
      </c>
      <c r="B344" s="112" t="s">
        <v>68</v>
      </c>
      <c r="C344" s="113" t="s">
        <v>1000</v>
      </c>
      <c r="D344" s="112" t="s">
        <v>985</v>
      </c>
      <c r="E344" s="122">
        <v>1.430555555555556</v>
      </c>
      <c r="F344" s="112" t="s">
        <v>643</v>
      </c>
      <c r="G344" s="114">
        <v>4</v>
      </c>
      <c r="H344" s="115" t="s">
        <v>1001</v>
      </c>
    </row>
    <row r="345" spans="1:8" ht="19.899999999999999" customHeight="1">
      <c r="A345" s="121">
        <v>46049</v>
      </c>
      <c r="B345" s="112" t="s">
        <v>26</v>
      </c>
      <c r="C345" s="113" t="s">
        <v>986</v>
      </c>
      <c r="D345" s="112" t="s">
        <v>985</v>
      </c>
      <c r="E345" s="122">
        <v>1.3611111111111109</v>
      </c>
      <c r="F345" s="112" t="s">
        <v>34</v>
      </c>
      <c r="G345" s="114">
        <v>9</v>
      </c>
      <c r="H345" s="115" t="s">
        <v>990</v>
      </c>
    </row>
    <row r="346" spans="1:8" ht="19.899999999999999" customHeight="1">
      <c r="A346" s="143"/>
      <c r="B346" s="144"/>
      <c r="C346" s="144"/>
      <c r="D346" s="144"/>
      <c r="E346" s="144"/>
      <c r="F346" s="145" t="s">
        <v>1039</v>
      </c>
      <c r="G346" s="144"/>
      <c r="H346" s="146"/>
    </row>
    <row r="347" spans="1:8" ht="19.899999999999999" customHeight="1">
      <c r="A347" s="121">
        <v>46049</v>
      </c>
      <c r="B347" s="112" t="s">
        <v>38</v>
      </c>
      <c r="C347" s="113" t="s">
        <v>809</v>
      </c>
      <c r="D347" s="112" t="s">
        <v>808</v>
      </c>
      <c r="E347" s="122">
        <v>1.5763888888888891</v>
      </c>
      <c r="F347" s="112" t="s">
        <v>40</v>
      </c>
      <c r="G347" s="114">
        <v>14</v>
      </c>
      <c r="H347" s="115" t="s">
        <v>475</v>
      </c>
    </row>
    <row r="348" spans="1:8" ht="19.899999999999999" customHeight="1">
      <c r="A348" s="121">
        <v>46049</v>
      </c>
      <c r="B348" s="112" t="s">
        <v>38</v>
      </c>
      <c r="C348" s="113" t="s">
        <v>811</v>
      </c>
      <c r="D348" s="112" t="s">
        <v>808</v>
      </c>
      <c r="E348" s="122">
        <v>1.6284722222222221</v>
      </c>
      <c r="F348" s="112" t="s">
        <v>40</v>
      </c>
      <c r="G348" s="114">
        <v>19</v>
      </c>
      <c r="H348" s="115" t="s">
        <v>475</v>
      </c>
    </row>
    <row r="349" spans="1:8" ht="19.899999999999999" customHeight="1">
      <c r="A349" s="121">
        <v>46049</v>
      </c>
      <c r="B349" s="112" t="s">
        <v>38</v>
      </c>
      <c r="C349" s="113" t="s">
        <v>812</v>
      </c>
      <c r="D349" s="112" t="s">
        <v>808</v>
      </c>
      <c r="E349" s="122">
        <v>1.8888888888888891</v>
      </c>
      <c r="F349" s="112" t="s">
        <v>40</v>
      </c>
      <c r="G349" s="114">
        <v>20</v>
      </c>
      <c r="H349" s="115" t="s">
        <v>872</v>
      </c>
    </row>
    <row r="350" spans="1:8" ht="19.899999999999999" customHeight="1">
      <c r="A350" s="121">
        <v>46049</v>
      </c>
      <c r="B350" s="112" t="s">
        <v>38</v>
      </c>
      <c r="C350" s="113" t="s">
        <v>813</v>
      </c>
      <c r="D350" s="112" t="s">
        <v>808</v>
      </c>
      <c r="E350" s="122">
        <v>1.944444444444444</v>
      </c>
      <c r="F350" s="112" t="s">
        <v>40</v>
      </c>
      <c r="G350" s="114">
        <v>20</v>
      </c>
      <c r="H350" s="115" t="s">
        <v>872</v>
      </c>
    </row>
    <row r="351" spans="1:8" ht="19.899999999999999" customHeight="1">
      <c r="A351" s="121">
        <v>46049</v>
      </c>
      <c r="B351" s="112" t="s">
        <v>68</v>
      </c>
      <c r="C351" s="113" t="s">
        <v>842</v>
      </c>
      <c r="D351" s="112" t="s">
        <v>808</v>
      </c>
      <c r="E351" s="122">
        <v>1.9826388888888891</v>
      </c>
      <c r="F351" s="112" t="s">
        <v>643</v>
      </c>
      <c r="G351" s="114">
        <v>4</v>
      </c>
      <c r="H351" s="115" t="s">
        <v>891</v>
      </c>
    </row>
    <row r="352" spans="1:8" ht="19.899999999999999" customHeight="1">
      <c r="A352" s="121">
        <v>46049</v>
      </c>
      <c r="B352" s="112" t="s">
        <v>26</v>
      </c>
      <c r="C352" s="113" t="s">
        <v>820</v>
      </c>
      <c r="D352" s="112" t="s">
        <v>808</v>
      </c>
      <c r="E352" s="122">
        <v>1.4375</v>
      </c>
      <c r="F352" s="112" t="s">
        <v>28</v>
      </c>
      <c r="G352" s="114">
        <v>9</v>
      </c>
      <c r="H352" s="115" t="s">
        <v>81</v>
      </c>
    </row>
    <row r="353" spans="1:8" ht="19.899999999999999" customHeight="1">
      <c r="A353" s="121">
        <v>46049</v>
      </c>
      <c r="B353" s="112" t="s">
        <v>26</v>
      </c>
      <c r="C353" s="113" t="s">
        <v>826</v>
      </c>
      <c r="D353" s="112" t="s">
        <v>808</v>
      </c>
      <c r="E353" s="122">
        <v>1.958333333333333</v>
      </c>
      <c r="F353" s="112" t="s">
        <v>28</v>
      </c>
      <c r="G353" s="114">
        <v>9</v>
      </c>
      <c r="H353" s="115" t="s">
        <v>81</v>
      </c>
    </row>
    <row r="354" spans="1:8" ht="19.899999999999999" customHeight="1">
      <c r="A354" s="121">
        <v>46049</v>
      </c>
      <c r="B354" s="112" t="s">
        <v>26</v>
      </c>
      <c r="C354" s="113" t="s">
        <v>821</v>
      </c>
      <c r="D354" s="112" t="s">
        <v>808</v>
      </c>
      <c r="E354" s="122">
        <v>1.631944444444444</v>
      </c>
      <c r="F354" s="112" t="s">
        <v>28</v>
      </c>
      <c r="G354" s="114">
        <v>9</v>
      </c>
      <c r="H354" s="115" t="s">
        <v>81</v>
      </c>
    </row>
    <row r="355" spans="1:8" ht="19.899999999999999" customHeight="1">
      <c r="A355" s="121">
        <v>46049</v>
      </c>
      <c r="B355" s="112" t="s">
        <v>26</v>
      </c>
      <c r="C355" s="113" t="s">
        <v>822</v>
      </c>
      <c r="D355" s="112" t="s">
        <v>808</v>
      </c>
      <c r="E355" s="122">
        <v>1.5590277777777779</v>
      </c>
      <c r="F355" s="112" t="s">
        <v>28</v>
      </c>
      <c r="G355" s="114">
        <v>9</v>
      </c>
      <c r="H355" s="115" t="s">
        <v>81</v>
      </c>
    </row>
    <row r="356" spans="1:8" ht="19.899999999999999" customHeight="1">
      <c r="A356" s="123">
        <v>46049</v>
      </c>
      <c r="B356" s="124" t="s">
        <v>26</v>
      </c>
      <c r="C356" s="125" t="s">
        <v>823</v>
      </c>
      <c r="D356" s="124" t="s">
        <v>808</v>
      </c>
      <c r="E356" s="126">
        <v>1.819444444444444</v>
      </c>
      <c r="F356" s="124" t="s">
        <v>28</v>
      </c>
      <c r="G356" s="127">
        <v>9</v>
      </c>
      <c r="H356" s="128" t="s">
        <v>81</v>
      </c>
    </row>
    <row r="357" spans="1:8" ht="19.899999999999999" customHeight="1">
      <c r="A357" s="129">
        <v>46050</v>
      </c>
      <c r="B357" s="117" t="s">
        <v>61</v>
      </c>
      <c r="C357" s="118" t="s">
        <v>1005</v>
      </c>
      <c r="D357" s="117" t="s">
        <v>985</v>
      </c>
      <c r="E357" s="130">
        <v>1.40625</v>
      </c>
      <c r="F357" s="117" t="s">
        <v>63</v>
      </c>
      <c r="G357" s="119">
        <v>7</v>
      </c>
      <c r="H357" s="120" t="s">
        <v>853</v>
      </c>
    </row>
    <row r="358" spans="1:8" ht="19.899999999999999" customHeight="1">
      <c r="A358" s="121">
        <v>46050</v>
      </c>
      <c r="B358" s="112" t="s">
        <v>68</v>
      </c>
      <c r="C358" s="113" t="s">
        <v>1008</v>
      </c>
      <c r="D358" s="112" t="s">
        <v>985</v>
      </c>
      <c r="E358" s="122">
        <v>1.40625</v>
      </c>
      <c r="F358" s="112" t="s">
        <v>643</v>
      </c>
      <c r="G358" s="114">
        <v>4</v>
      </c>
      <c r="H358" s="115" t="s">
        <v>1001</v>
      </c>
    </row>
    <row r="359" spans="1:8" ht="19.899999999999999" customHeight="1">
      <c r="A359" s="143"/>
      <c r="B359" s="144"/>
      <c r="C359" s="144"/>
      <c r="D359" s="144"/>
      <c r="E359" s="144"/>
      <c r="F359" s="145" t="s">
        <v>1039</v>
      </c>
      <c r="G359" s="144"/>
      <c r="H359" s="146"/>
    </row>
    <row r="360" spans="1:8" ht="19.899999999999999" customHeight="1">
      <c r="A360" s="121">
        <v>46050</v>
      </c>
      <c r="B360" s="112" t="s">
        <v>38</v>
      </c>
      <c r="C360" s="113" t="s">
        <v>809</v>
      </c>
      <c r="D360" s="112" t="s">
        <v>808</v>
      </c>
      <c r="E360" s="122">
        <v>1.5763888888888891</v>
      </c>
      <c r="F360" s="112" t="s">
        <v>40</v>
      </c>
      <c r="G360" s="114">
        <v>14</v>
      </c>
      <c r="H360" s="115" t="s">
        <v>475</v>
      </c>
    </row>
    <row r="361" spans="1:8" ht="19.899999999999999" customHeight="1">
      <c r="A361" s="121">
        <v>46050</v>
      </c>
      <c r="B361" s="112" t="s">
        <v>38</v>
      </c>
      <c r="C361" s="113" t="s">
        <v>811</v>
      </c>
      <c r="D361" s="112" t="s">
        <v>808</v>
      </c>
      <c r="E361" s="122">
        <v>1.6284722222222221</v>
      </c>
      <c r="F361" s="112" t="s">
        <v>40</v>
      </c>
      <c r="G361" s="114">
        <v>18</v>
      </c>
      <c r="H361" s="115" t="s">
        <v>475</v>
      </c>
    </row>
    <row r="362" spans="1:8" ht="19.899999999999999" customHeight="1">
      <c r="A362" s="121">
        <v>46050</v>
      </c>
      <c r="B362" s="112" t="s">
        <v>38</v>
      </c>
      <c r="C362" s="113" t="s">
        <v>812</v>
      </c>
      <c r="D362" s="112" t="s">
        <v>808</v>
      </c>
      <c r="E362" s="122">
        <v>1.8888888888888891</v>
      </c>
      <c r="F362" s="112" t="s">
        <v>40</v>
      </c>
      <c r="G362" s="114">
        <v>20</v>
      </c>
      <c r="H362" s="115" t="s">
        <v>872</v>
      </c>
    </row>
    <row r="363" spans="1:8" ht="19.899999999999999" customHeight="1">
      <c r="A363" s="121">
        <v>46050</v>
      </c>
      <c r="B363" s="112" t="s">
        <v>38</v>
      </c>
      <c r="C363" s="113" t="s">
        <v>813</v>
      </c>
      <c r="D363" s="112" t="s">
        <v>808</v>
      </c>
      <c r="E363" s="122">
        <v>1.944444444444444</v>
      </c>
      <c r="F363" s="112" t="s">
        <v>40</v>
      </c>
      <c r="G363" s="114">
        <v>20</v>
      </c>
      <c r="H363" s="115" t="s">
        <v>872</v>
      </c>
    </row>
    <row r="364" spans="1:8" ht="19.899999999999999" customHeight="1">
      <c r="A364" s="121">
        <v>46050</v>
      </c>
      <c r="B364" s="112" t="s">
        <v>68</v>
      </c>
      <c r="C364" s="113" t="s">
        <v>842</v>
      </c>
      <c r="D364" s="112" t="s">
        <v>808</v>
      </c>
      <c r="E364" s="122">
        <v>1.9826388888888891</v>
      </c>
      <c r="F364" s="112" t="s">
        <v>643</v>
      </c>
      <c r="G364" s="114">
        <v>7</v>
      </c>
      <c r="H364" s="115" t="s">
        <v>891</v>
      </c>
    </row>
    <row r="365" spans="1:8" ht="19.899999999999999" customHeight="1">
      <c r="A365" s="121">
        <v>46050</v>
      </c>
      <c r="B365" s="112" t="s">
        <v>68</v>
      </c>
      <c r="C365" s="113" t="s">
        <v>843</v>
      </c>
      <c r="D365" s="112" t="s">
        <v>808</v>
      </c>
      <c r="E365" s="122">
        <v>1.354166666666667</v>
      </c>
      <c r="F365" s="112" t="s">
        <v>643</v>
      </c>
      <c r="G365" s="114">
        <v>9</v>
      </c>
      <c r="H365" s="115" t="s">
        <v>891</v>
      </c>
    </row>
    <row r="366" spans="1:8" ht="19.899999999999999" customHeight="1">
      <c r="A366" s="121">
        <v>46050</v>
      </c>
      <c r="B366" s="112" t="s">
        <v>68</v>
      </c>
      <c r="C366" s="113" t="s">
        <v>844</v>
      </c>
      <c r="D366" s="112" t="s">
        <v>808</v>
      </c>
      <c r="E366" s="122">
        <v>1.729166666666667</v>
      </c>
      <c r="F366" s="112" t="s">
        <v>643</v>
      </c>
      <c r="G366" s="114">
        <v>8</v>
      </c>
      <c r="H366" s="115" t="s">
        <v>888</v>
      </c>
    </row>
    <row r="367" spans="1:8" ht="19.899999999999999" customHeight="1">
      <c r="A367" s="121">
        <v>46050</v>
      </c>
      <c r="B367" s="112" t="s">
        <v>26</v>
      </c>
      <c r="C367" s="113" t="s">
        <v>820</v>
      </c>
      <c r="D367" s="112" t="s">
        <v>808</v>
      </c>
      <c r="E367" s="122">
        <v>1.4375</v>
      </c>
      <c r="F367" s="112" t="s">
        <v>28</v>
      </c>
      <c r="G367" s="114">
        <v>9</v>
      </c>
      <c r="H367" s="115" t="s">
        <v>81</v>
      </c>
    </row>
    <row r="368" spans="1:8" ht="19.899999999999999" customHeight="1">
      <c r="A368" s="121">
        <v>46050</v>
      </c>
      <c r="B368" s="112" t="s">
        <v>26</v>
      </c>
      <c r="C368" s="113" t="s">
        <v>826</v>
      </c>
      <c r="D368" s="112" t="s">
        <v>808</v>
      </c>
      <c r="E368" s="122">
        <v>1.958333333333333</v>
      </c>
      <c r="F368" s="112" t="s">
        <v>28</v>
      </c>
      <c r="G368" s="114">
        <v>9</v>
      </c>
      <c r="H368" s="115" t="s">
        <v>81</v>
      </c>
    </row>
    <row r="369" spans="1:8" ht="19.899999999999999" customHeight="1">
      <c r="A369" s="123">
        <v>46050</v>
      </c>
      <c r="B369" s="124" t="s">
        <v>26</v>
      </c>
      <c r="C369" s="125" t="s">
        <v>821</v>
      </c>
      <c r="D369" s="124" t="s">
        <v>808</v>
      </c>
      <c r="E369" s="126">
        <v>1.631944444444444</v>
      </c>
      <c r="F369" s="124" t="s">
        <v>28</v>
      </c>
      <c r="G369" s="127">
        <v>9</v>
      </c>
      <c r="H369" s="128" t="s">
        <v>81</v>
      </c>
    </row>
    <row r="370" spans="1:8" ht="19.899999999999999" customHeight="1">
      <c r="A370" s="121">
        <v>46051</v>
      </c>
      <c r="B370" s="112" t="s">
        <v>26</v>
      </c>
      <c r="C370" s="113" t="s">
        <v>986</v>
      </c>
      <c r="D370" s="112" t="s">
        <v>985</v>
      </c>
      <c r="E370" s="122">
        <v>1.3611111111111109</v>
      </c>
      <c r="F370" s="112" t="s">
        <v>987</v>
      </c>
      <c r="G370" s="114">
        <v>9</v>
      </c>
      <c r="H370" s="115" t="s">
        <v>988</v>
      </c>
    </row>
    <row r="371" spans="1:8" ht="19.899999999999999" customHeight="1">
      <c r="A371" s="121">
        <v>46051</v>
      </c>
      <c r="B371" s="112" t="s">
        <v>26</v>
      </c>
      <c r="C371" s="113" t="s">
        <v>986</v>
      </c>
      <c r="D371" s="112" t="s">
        <v>985</v>
      </c>
      <c r="E371" s="122">
        <v>1.3611111111111109</v>
      </c>
      <c r="F371" s="112" t="s">
        <v>31</v>
      </c>
      <c r="G371" s="114">
        <v>9</v>
      </c>
      <c r="H371" s="115" t="s">
        <v>989</v>
      </c>
    </row>
    <row r="372" spans="1:8" ht="19.899999999999999" customHeight="1">
      <c r="A372" s="121">
        <v>46051</v>
      </c>
      <c r="B372" s="112" t="s">
        <v>26</v>
      </c>
      <c r="C372" s="113" t="s">
        <v>986</v>
      </c>
      <c r="D372" s="112" t="s">
        <v>985</v>
      </c>
      <c r="E372" s="122">
        <v>1.3611111111111109</v>
      </c>
      <c r="F372" s="112" t="s">
        <v>34</v>
      </c>
      <c r="G372" s="114">
        <v>9</v>
      </c>
      <c r="H372" s="115" t="s">
        <v>990</v>
      </c>
    </row>
    <row r="373" spans="1:8" ht="19.899999999999999" customHeight="1">
      <c r="A373" s="143"/>
      <c r="B373" s="144"/>
      <c r="C373" s="144"/>
      <c r="D373" s="144"/>
      <c r="E373" s="144"/>
      <c r="F373" s="145" t="s">
        <v>1039</v>
      </c>
      <c r="G373" s="144"/>
      <c r="H373" s="146"/>
    </row>
    <row r="374" spans="1:8" ht="19.899999999999999" customHeight="1">
      <c r="A374" s="121">
        <v>46051</v>
      </c>
      <c r="B374" s="112" t="s">
        <v>38</v>
      </c>
      <c r="C374" s="113" t="s">
        <v>809</v>
      </c>
      <c r="D374" s="112" t="s">
        <v>808</v>
      </c>
      <c r="E374" s="122">
        <v>1.5763888888888891</v>
      </c>
      <c r="F374" s="112" t="s">
        <v>40</v>
      </c>
      <c r="G374" s="114">
        <v>20</v>
      </c>
      <c r="H374" s="115" t="s">
        <v>475</v>
      </c>
    </row>
    <row r="375" spans="1:8" ht="19.899999999999999" customHeight="1">
      <c r="A375" s="121">
        <v>46051</v>
      </c>
      <c r="B375" s="112" t="s">
        <v>38</v>
      </c>
      <c r="C375" s="113" t="s">
        <v>811</v>
      </c>
      <c r="D375" s="112" t="s">
        <v>808</v>
      </c>
      <c r="E375" s="122">
        <v>1.6284722222222221</v>
      </c>
      <c r="F375" s="112" t="s">
        <v>40</v>
      </c>
      <c r="G375" s="114">
        <v>17</v>
      </c>
      <c r="H375" s="115" t="s">
        <v>475</v>
      </c>
    </row>
    <row r="376" spans="1:8" ht="19.899999999999999" customHeight="1">
      <c r="A376" s="121">
        <v>46051</v>
      </c>
      <c r="B376" s="112" t="s">
        <v>68</v>
      </c>
      <c r="C376" s="113" t="s">
        <v>842</v>
      </c>
      <c r="D376" s="112" t="s">
        <v>808</v>
      </c>
      <c r="E376" s="122">
        <v>1.9826388888888891</v>
      </c>
      <c r="F376" s="112" t="s">
        <v>643</v>
      </c>
      <c r="G376" s="114">
        <v>7</v>
      </c>
      <c r="H376" s="115" t="s">
        <v>891</v>
      </c>
    </row>
    <row r="377" spans="1:8" ht="19.899999999999999" customHeight="1">
      <c r="A377" s="121">
        <v>46051</v>
      </c>
      <c r="B377" s="112" t="s">
        <v>26</v>
      </c>
      <c r="C377" s="113" t="s">
        <v>820</v>
      </c>
      <c r="D377" s="112" t="s">
        <v>808</v>
      </c>
      <c r="E377" s="122">
        <v>1.4375</v>
      </c>
      <c r="F377" s="112" t="s">
        <v>28</v>
      </c>
      <c r="G377" s="114">
        <v>9</v>
      </c>
      <c r="H377" s="115" t="s">
        <v>81</v>
      </c>
    </row>
    <row r="378" spans="1:8" ht="19.899999999999999" customHeight="1">
      <c r="A378" s="121">
        <v>46051</v>
      </c>
      <c r="B378" s="112" t="s">
        <v>26</v>
      </c>
      <c r="C378" s="113" t="s">
        <v>821</v>
      </c>
      <c r="D378" s="112" t="s">
        <v>808</v>
      </c>
      <c r="E378" s="122">
        <v>1.631944444444444</v>
      </c>
      <c r="F378" s="112" t="s">
        <v>28</v>
      </c>
      <c r="G378" s="114">
        <v>9</v>
      </c>
      <c r="H378" s="115" t="s">
        <v>81</v>
      </c>
    </row>
    <row r="379" spans="1:8" ht="19.899999999999999" customHeight="1">
      <c r="A379" s="121">
        <v>46051</v>
      </c>
      <c r="B379" s="112" t="s">
        <v>26</v>
      </c>
      <c r="C379" s="113" t="s">
        <v>822</v>
      </c>
      <c r="D379" s="112" t="s">
        <v>808</v>
      </c>
      <c r="E379" s="122">
        <v>1.5590277777777779</v>
      </c>
      <c r="F379" s="112" t="s">
        <v>28</v>
      </c>
      <c r="G379" s="114">
        <v>8</v>
      </c>
      <c r="H379" s="115" t="s">
        <v>81</v>
      </c>
    </row>
    <row r="380" spans="1:8" ht="19.899999999999999" customHeight="1">
      <c r="A380" s="121">
        <v>46051</v>
      </c>
      <c r="B380" s="112" t="s">
        <v>26</v>
      </c>
      <c r="C380" s="113" t="s">
        <v>824</v>
      </c>
      <c r="D380" s="112" t="s">
        <v>808</v>
      </c>
      <c r="E380" s="122">
        <v>1.506944444444444</v>
      </c>
      <c r="F380" s="112" t="s">
        <v>28</v>
      </c>
      <c r="G380" s="114">
        <v>9</v>
      </c>
      <c r="H380" s="115" t="s">
        <v>81</v>
      </c>
    </row>
    <row r="381" spans="1:8" ht="19.899999999999999" customHeight="1">
      <c r="A381" s="121">
        <v>46051</v>
      </c>
      <c r="B381" s="112" t="s">
        <v>26</v>
      </c>
      <c r="C381" s="113" t="s">
        <v>825</v>
      </c>
      <c r="D381" s="112" t="s">
        <v>808</v>
      </c>
      <c r="E381" s="122">
        <v>1.697916666666667</v>
      </c>
      <c r="F381" s="112" t="s">
        <v>28</v>
      </c>
      <c r="G381" s="114">
        <v>9</v>
      </c>
      <c r="H381" s="115" t="s">
        <v>81</v>
      </c>
    </row>
    <row r="382" spans="1:8" ht="19.899999999999999" customHeight="1">
      <c r="A382" s="121">
        <v>46051</v>
      </c>
      <c r="B382" s="112" t="s">
        <v>61</v>
      </c>
      <c r="C382" s="113" t="s">
        <v>816</v>
      </c>
      <c r="D382" s="112" t="s">
        <v>808</v>
      </c>
      <c r="E382" s="122">
        <v>1.413194444444444</v>
      </c>
      <c r="F382" s="112" t="s">
        <v>63</v>
      </c>
      <c r="G382" s="114">
        <v>9</v>
      </c>
      <c r="H382" s="115" t="s">
        <v>849</v>
      </c>
    </row>
    <row r="383" spans="1:8" ht="19.899999999999999" customHeight="1">
      <c r="A383" s="123">
        <v>46051</v>
      </c>
      <c r="B383" s="124" t="s">
        <v>359</v>
      </c>
      <c r="C383" s="125" t="s">
        <v>814</v>
      </c>
      <c r="D383" s="124" t="s">
        <v>808</v>
      </c>
      <c r="E383" s="126">
        <v>1.4375</v>
      </c>
      <c r="F383" s="124" t="s">
        <v>361</v>
      </c>
      <c r="G383" s="127">
        <v>9</v>
      </c>
      <c r="H383" s="128" t="s">
        <v>949</v>
      </c>
    </row>
    <row r="384" spans="1:8" ht="19.899999999999999" customHeight="1">
      <c r="A384" s="143"/>
      <c r="B384" s="144"/>
      <c r="C384" s="144"/>
      <c r="D384" s="144"/>
      <c r="E384" s="144"/>
      <c r="F384" s="145" t="s">
        <v>1039</v>
      </c>
      <c r="G384" s="144"/>
      <c r="H384" s="146"/>
    </row>
    <row r="385" spans="1:8" ht="19.899999999999999" customHeight="1">
      <c r="A385" s="121">
        <v>46052</v>
      </c>
      <c r="B385" s="112" t="s">
        <v>38</v>
      </c>
      <c r="C385" s="113" t="s">
        <v>809</v>
      </c>
      <c r="D385" s="112" t="s">
        <v>808</v>
      </c>
      <c r="E385" s="122">
        <v>1.5763888888888891</v>
      </c>
      <c r="F385" s="112" t="s">
        <v>40</v>
      </c>
      <c r="G385" s="114">
        <v>18</v>
      </c>
      <c r="H385" s="115" t="s">
        <v>475</v>
      </c>
    </row>
    <row r="386" spans="1:8" ht="19.899999999999999" customHeight="1">
      <c r="A386" s="121">
        <v>46052</v>
      </c>
      <c r="B386" s="112" t="s">
        <v>38</v>
      </c>
      <c r="C386" s="113" t="s">
        <v>811</v>
      </c>
      <c r="D386" s="112" t="s">
        <v>808</v>
      </c>
      <c r="E386" s="122">
        <v>1.6284722222222221</v>
      </c>
      <c r="F386" s="112" t="s">
        <v>40</v>
      </c>
      <c r="G386" s="114">
        <v>18</v>
      </c>
      <c r="H386" s="115" t="s">
        <v>475</v>
      </c>
    </row>
    <row r="387" spans="1:8" ht="19.899999999999999" customHeight="1">
      <c r="A387" s="121">
        <v>46052</v>
      </c>
      <c r="B387" s="112" t="s">
        <v>38</v>
      </c>
      <c r="C387" s="113" t="s">
        <v>812</v>
      </c>
      <c r="D387" s="112" t="s">
        <v>808</v>
      </c>
      <c r="E387" s="122">
        <v>1.8888888888888891</v>
      </c>
      <c r="F387" s="112" t="s">
        <v>40</v>
      </c>
      <c r="G387" s="114">
        <v>18</v>
      </c>
      <c r="H387" s="115" t="s">
        <v>872</v>
      </c>
    </row>
    <row r="388" spans="1:8" ht="19.899999999999999" customHeight="1">
      <c r="A388" s="121">
        <v>46052</v>
      </c>
      <c r="B388" s="112" t="s">
        <v>38</v>
      </c>
      <c r="C388" s="113" t="s">
        <v>813</v>
      </c>
      <c r="D388" s="112" t="s">
        <v>808</v>
      </c>
      <c r="E388" s="122">
        <v>1.944444444444444</v>
      </c>
      <c r="F388" s="112" t="s">
        <v>40</v>
      </c>
      <c r="G388" s="114">
        <v>16</v>
      </c>
      <c r="H388" s="115" t="s">
        <v>872</v>
      </c>
    </row>
    <row r="389" spans="1:8" ht="19.899999999999999" customHeight="1">
      <c r="A389" s="121">
        <v>46052</v>
      </c>
      <c r="B389" s="112" t="s">
        <v>26</v>
      </c>
      <c r="C389" s="113" t="s">
        <v>820</v>
      </c>
      <c r="D389" s="112" t="s">
        <v>808</v>
      </c>
      <c r="E389" s="122">
        <v>1.4375</v>
      </c>
      <c r="F389" s="112" t="s">
        <v>28</v>
      </c>
      <c r="G389" s="114">
        <v>9</v>
      </c>
      <c r="H389" s="115" t="s">
        <v>81</v>
      </c>
    </row>
    <row r="390" spans="1:8" ht="19.899999999999999" customHeight="1">
      <c r="A390" s="121">
        <v>46052</v>
      </c>
      <c r="B390" s="112" t="s">
        <v>26</v>
      </c>
      <c r="C390" s="113" t="s">
        <v>826</v>
      </c>
      <c r="D390" s="112" t="s">
        <v>808</v>
      </c>
      <c r="E390" s="122">
        <v>1.958333333333333</v>
      </c>
      <c r="F390" s="112" t="s">
        <v>28</v>
      </c>
      <c r="G390" s="114">
        <v>9</v>
      </c>
      <c r="H390" s="115" t="s">
        <v>81</v>
      </c>
    </row>
    <row r="391" spans="1:8" ht="19.899999999999999" customHeight="1">
      <c r="A391" s="121">
        <v>46052</v>
      </c>
      <c r="B391" s="112" t="s">
        <v>26</v>
      </c>
      <c r="C391" s="113" t="s">
        <v>821</v>
      </c>
      <c r="D391" s="112" t="s">
        <v>808</v>
      </c>
      <c r="E391" s="122">
        <v>1.631944444444444</v>
      </c>
      <c r="F391" s="112" t="s">
        <v>28</v>
      </c>
      <c r="G391" s="114">
        <v>9</v>
      </c>
      <c r="H391" s="115" t="s">
        <v>81</v>
      </c>
    </row>
    <row r="392" spans="1:8" ht="19.899999999999999" customHeight="1">
      <c r="A392" s="121">
        <v>46052</v>
      </c>
      <c r="B392" s="112" t="s">
        <v>26</v>
      </c>
      <c r="C392" s="113" t="s">
        <v>822</v>
      </c>
      <c r="D392" s="112" t="s">
        <v>808</v>
      </c>
      <c r="E392" s="122">
        <v>1.5590277777777779</v>
      </c>
      <c r="F392" s="112" t="s">
        <v>28</v>
      </c>
      <c r="G392" s="114">
        <v>9</v>
      </c>
      <c r="H392" s="115" t="s">
        <v>81</v>
      </c>
    </row>
    <row r="393" spans="1:8" ht="19.899999999999999" customHeight="1">
      <c r="A393" s="121">
        <v>46052</v>
      </c>
      <c r="B393" s="112" t="s">
        <v>26</v>
      </c>
      <c r="C393" s="113" t="s">
        <v>823</v>
      </c>
      <c r="D393" s="112" t="s">
        <v>808</v>
      </c>
      <c r="E393" s="122">
        <v>1.819444444444444</v>
      </c>
      <c r="F393" s="112" t="s">
        <v>28</v>
      </c>
      <c r="G393" s="114">
        <v>9</v>
      </c>
      <c r="H393" s="115" t="s">
        <v>81</v>
      </c>
    </row>
    <row r="394" spans="1:8" ht="19.899999999999999" customHeight="1">
      <c r="A394" s="123">
        <v>46052</v>
      </c>
      <c r="B394" s="124" t="s">
        <v>26</v>
      </c>
      <c r="C394" s="125" t="s">
        <v>824</v>
      </c>
      <c r="D394" s="124" t="s">
        <v>808</v>
      </c>
      <c r="E394" s="126">
        <v>1.506944444444444</v>
      </c>
      <c r="F394" s="124" t="s">
        <v>28</v>
      </c>
      <c r="G394" s="127">
        <v>9</v>
      </c>
      <c r="H394" s="128" t="s">
        <v>81</v>
      </c>
    </row>
    <row r="395" spans="1:8" ht="19.899999999999999" customHeight="1">
      <c r="A395" s="121">
        <v>46053</v>
      </c>
      <c r="B395" s="112" t="s">
        <v>26</v>
      </c>
      <c r="C395" s="113" t="s">
        <v>986</v>
      </c>
      <c r="D395" s="112" t="s">
        <v>985</v>
      </c>
      <c r="E395" s="122">
        <v>1.3611111111111109</v>
      </c>
      <c r="F395" s="112" t="s">
        <v>987</v>
      </c>
      <c r="G395" s="114">
        <v>6</v>
      </c>
      <c r="H395" s="115" t="s">
        <v>988</v>
      </c>
    </row>
    <row r="396" spans="1:8" ht="19.899999999999999" customHeight="1">
      <c r="A396" s="121">
        <v>46053</v>
      </c>
      <c r="B396" s="112" t="s">
        <v>26</v>
      </c>
      <c r="C396" s="113" t="s">
        <v>986</v>
      </c>
      <c r="D396" s="112" t="s">
        <v>985</v>
      </c>
      <c r="E396" s="122">
        <v>1.3611111111111109</v>
      </c>
      <c r="F396" s="112" t="s">
        <v>31</v>
      </c>
      <c r="G396" s="114">
        <v>6</v>
      </c>
      <c r="H396" s="115" t="s">
        <v>989</v>
      </c>
    </row>
    <row r="397" spans="1:8" ht="19.899999999999999" customHeight="1">
      <c r="A397" s="121">
        <v>46053</v>
      </c>
      <c r="B397" s="112" t="s">
        <v>26</v>
      </c>
      <c r="C397" s="113" t="s">
        <v>986</v>
      </c>
      <c r="D397" s="112" t="s">
        <v>985</v>
      </c>
      <c r="E397" s="122">
        <v>1.3611111111111109</v>
      </c>
      <c r="F397" s="112" t="s">
        <v>34</v>
      </c>
      <c r="G397" s="114">
        <v>6</v>
      </c>
      <c r="H397" s="115" t="s">
        <v>990</v>
      </c>
    </row>
    <row r="398" spans="1:8" ht="19.899999999999999" customHeight="1">
      <c r="A398" s="143"/>
      <c r="B398" s="144"/>
      <c r="C398" s="144"/>
      <c r="D398" s="144"/>
      <c r="E398" s="144"/>
      <c r="F398" s="145" t="s">
        <v>1039</v>
      </c>
      <c r="G398" s="144"/>
      <c r="H398" s="146"/>
    </row>
    <row r="399" spans="1:8" ht="19.899999999999999" customHeight="1">
      <c r="A399" s="121">
        <v>46053</v>
      </c>
      <c r="B399" s="112" t="s">
        <v>38</v>
      </c>
      <c r="C399" s="113" t="s">
        <v>809</v>
      </c>
      <c r="D399" s="112" t="s">
        <v>808</v>
      </c>
      <c r="E399" s="122">
        <v>1.5763888888888891</v>
      </c>
      <c r="F399" s="112" t="s">
        <v>40</v>
      </c>
      <c r="G399" s="114">
        <v>14</v>
      </c>
      <c r="H399" s="115" t="s">
        <v>872</v>
      </c>
    </row>
    <row r="400" spans="1:8" ht="19.899999999999999" customHeight="1">
      <c r="A400" s="121">
        <v>46053</v>
      </c>
      <c r="B400" s="112" t="s">
        <v>26</v>
      </c>
      <c r="C400" s="113" t="s">
        <v>820</v>
      </c>
      <c r="D400" s="112" t="s">
        <v>808</v>
      </c>
      <c r="E400" s="122">
        <v>1.4375</v>
      </c>
      <c r="F400" s="112" t="s">
        <v>28</v>
      </c>
      <c r="G400" s="114">
        <v>9</v>
      </c>
      <c r="H400" s="115" t="s">
        <v>81</v>
      </c>
    </row>
    <row r="401" spans="1:8" ht="19.899999999999999" customHeight="1">
      <c r="A401" s="121">
        <v>46053</v>
      </c>
      <c r="B401" s="112" t="s">
        <v>26</v>
      </c>
      <c r="C401" s="113" t="s">
        <v>821</v>
      </c>
      <c r="D401" s="112" t="s">
        <v>808</v>
      </c>
      <c r="E401" s="122">
        <v>1.631944444444444</v>
      </c>
      <c r="F401" s="112" t="s">
        <v>28</v>
      </c>
      <c r="G401" s="114">
        <v>9</v>
      </c>
      <c r="H401" s="115" t="s">
        <v>81</v>
      </c>
    </row>
    <row r="402" spans="1:8" ht="19.899999999999999" customHeight="1">
      <c r="A402" s="121">
        <v>46053</v>
      </c>
      <c r="B402" s="112" t="s">
        <v>26</v>
      </c>
      <c r="C402" s="113" t="s">
        <v>822</v>
      </c>
      <c r="D402" s="112" t="s">
        <v>808</v>
      </c>
      <c r="E402" s="122">
        <v>1.5590277777777779</v>
      </c>
      <c r="F402" s="112" t="s">
        <v>28</v>
      </c>
      <c r="G402" s="114">
        <v>9</v>
      </c>
      <c r="H402" s="115" t="s">
        <v>81</v>
      </c>
    </row>
    <row r="403" spans="1:8" ht="19.899999999999999" customHeight="1">
      <c r="A403" s="121">
        <v>46053</v>
      </c>
      <c r="B403" s="112" t="s">
        <v>26</v>
      </c>
      <c r="C403" s="113" t="s">
        <v>825</v>
      </c>
      <c r="D403" s="112" t="s">
        <v>808</v>
      </c>
      <c r="E403" s="122">
        <v>1.697916666666667</v>
      </c>
      <c r="F403" s="112" t="s">
        <v>28</v>
      </c>
      <c r="G403" s="114">
        <v>9</v>
      </c>
      <c r="H403" s="115" t="s">
        <v>81</v>
      </c>
    </row>
    <row r="404" spans="1:8" ht="19.899999999999999" customHeight="1">
      <c r="A404" s="121">
        <v>46053</v>
      </c>
      <c r="B404" s="112" t="s">
        <v>38</v>
      </c>
      <c r="C404" s="113" t="s">
        <v>811</v>
      </c>
      <c r="D404" s="112" t="s">
        <v>808</v>
      </c>
      <c r="E404" s="122">
        <v>1.6284722222222221</v>
      </c>
      <c r="F404" s="112" t="s">
        <v>40</v>
      </c>
      <c r="G404" s="114">
        <v>17</v>
      </c>
      <c r="H404" s="115" t="s">
        <v>848</v>
      </c>
    </row>
    <row r="405" spans="1:8" ht="19.899999999999999" customHeight="1">
      <c r="A405" s="121">
        <v>46053</v>
      </c>
      <c r="B405" s="112" t="s">
        <v>359</v>
      </c>
      <c r="C405" s="113" t="s">
        <v>814</v>
      </c>
      <c r="D405" s="112" t="s">
        <v>808</v>
      </c>
      <c r="E405" s="122">
        <v>1.4375</v>
      </c>
      <c r="F405" s="112" t="s">
        <v>361</v>
      </c>
      <c r="G405" s="114">
        <v>9</v>
      </c>
      <c r="H405" s="115" t="s">
        <v>879</v>
      </c>
    </row>
    <row r="406" spans="1:8" ht="19.899999999999999" customHeight="1">
      <c r="A406" s="121">
        <v>46053</v>
      </c>
      <c r="B406" s="112" t="s">
        <v>61</v>
      </c>
      <c r="C406" s="113" t="s">
        <v>816</v>
      </c>
      <c r="D406" s="112" t="s">
        <v>808</v>
      </c>
      <c r="E406" s="122">
        <v>1.413194444444444</v>
      </c>
      <c r="F406" s="112" t="s">
        <v>63</v>
      </c>
      <c r="G406" s="114">
        <v>4</v>
      </c>
      <c r="H406" s="115" t="s">
        <v>853</v>
      </c>
    </row>
    <row r="407" spans="1:8" ht="19.899999999999999" customHeight="1">
      <c r="A407" s="121">
        <v>46053</v>
      </c>
      <c r="B407" s="112" t="s">
        <v>26</v>
      </c>
      <c r="C407" s="113" t="s">
        <v>826</v>
      </c>
      <c r="D407" s="112" t="s">
        <v>808</v>
      </c>
      <c r="E407" s="122">
        <v>1.958333333333333</v>
      </c>
      <c r="F407" s="112" t="s">
        <v>28</v>
      </c>
      <c r="G407" s="114">
        <v>8</v>
      </c>
      <c r="H407" s="115" t="s">
        <v>827</v>
      </c>
    </row>
    <row r="408" spans="1:8" ht="19.899999999999999" customHeight="1">
      <c r="A408" s="123">
        <v>46053</v>
      </c>
      <c r="B408" s="124" t="s">
        <v>26</v>
      </c>
      <c r="C408" s="125" t="s">
        <v>823</v>
      </c>
      <c r="D408" s="124" t="s">
        <v>808</v>
      </c>
      <c r="E408" s="126">
        <v>1.819444444444444</v>
      </c>
      <c r="F408" s="124" t="s">
        <v>28</v>
      </c>
      <c r="G408" s="127">
        <v>9</v>
      </c>
      <c r="H408" s="128" t="s">
        <v>827</v>
      </c>
    </row>
  </sheetData>
  <pageMargins left="0.75" right="0.75" top="1" bottom="1" header="0.5" footer="0.5"/>
  <legacyDrawing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N555"/>
  <sheetViews>
    <sheetView workbookViewId="0"/>
  </sheetViews>
  <sheetFormatPr defaultRowHeight="14.45"/>
  <cols>
    <col min="1" max="1" width="17.28515625" bestFit="1" customWidth="1"/>
    <col min="2" max="2" width="15.7109375" bestFit="1" customWidth="1"/>
    <col min="3" max="3" width="14.7109375" bestFit="1" customWidth="1"/>
    <col min="4" max="4" width="33" bestFit="1" customWidth="1"/>
    <col min="5" max="5" width="18.5703125" bestFit="1" customWidth="1"/>
    <col min="6" max="6" width="23.42578125" bestFit="1" customWidth="1"/>
    <col min="7" max="7" width="45.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36.7109375" bestFit="1" customWidth="1"/>
  </cols>
  <sheetData>
    <row r="1" spans="1:92" ht="28.9" customHeight="1">
      <c r="A1" s="291" t="s">
        <v>0</v>
      </c>
      <c r="B1" s="294"/>
      <c r="C1" s="294"/>
      <c r="D1" s="294"/>
      <c r="E1" s="294"/>
      <c r="F1" s="1" t="s">
        <v>1040</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45980.610309137403</v>
      </c>
      <c r="H2" s="294"/>
      <c r="I2" s="294"/>
      <c r="J2" s="294"/>
      <c r="K2" s="287">
        <v>45980.61030913773</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46023</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38</v>
      </c>
      <c r="B6" s="8" t="s">
        <v>1041</v>
      </c>
      <c r="C6" s="9">
        <v>0.44791666666666669</v>
      </c>
      <c r="D6" s="8" t="s">
        <v>440</v>
      </c>
      <c r="E6" s="8" t="s">
        <v>100</v>
      </c>
      <c r="F6" s="8" t="s">
        <v>1042</v>
      </c>
      <c r="G6" s="297"/>
      <c r="H6" s="10"/>
      <c r="I6" s="11"/>
      <c r="J6" s="11"/>
      <c r="K6" s="11"/>
      <c r="L6" s="11"/>
      <c r="M6" s="11"/>
      <c r="N6" s="11"/>
      <c r="O6" s="12"/>
      <c r="P6" s="11"/>
      <c r="Q6" s="13"/>
      <c r="R6" s="14"/>
    </row>
    <row r="7" spans="1:92" ht="15" customHeight="1">
      <c r="A7" s="67" t="s">
        <v>61</v>
      </c>
      <c r="B7" s="67" t="s">
        <v>1043</v>
      </c>
      <c r="C7" s="68">
        <v>0.72222222222222221</v>
      </c>
      <c r="D7" s="67" t="s">
        <v>63</v>
      </c>
      <c r="E7" s="67" t="s">
        <v>156</v>
      </c>
      <c r="F7" s="67" t="s">
        <v>1044</v>
      </c>
      <c r="G7" s="298"/>
      <c r="H7" s="69" t="s">
        <v>1045</v>
      </c>
      <c r="I7" s="70">
        <v>0.17219999999999999</v>
      </c>
      <c r="J7" s="71">
        <v>31</v>
      </c>
      <c r="K7" s="72">
        <v>46344</v>
      </c>
      <c r="L7" s="71">
        <v>31</v>
      </c>
      <c r="M7" s="71">
        <v>0</v>
      </c>
      <c r="N7" s="71">
        <v>0</v>
      </c>
      <c r="O7" s="73" t="s">
        <v>302</v>
      </c>
      <c r="P7" s="74">
        <v>0.72222222222222221</v>
      </c>
      <c r="Q7" s="71">
        <v>180</v>
      </c>
      <c r="R7" s="75" t="s">
        <v>1046</v>
      </c>
    </row>
    <row r="8" spans="1:92" ht="15" customHeight="1">
      <c r="A8" s="19" t="s">
        <v>26</v>
      </c>
      <c r="B8" s="19" t="s">
        <v>1047</v>
      </c>
      <c r="C8" s="20">
        <v>0.33680555555555558</v>
      </c>
      <c r="D8" s="19" t="s">
        <v>451</v>
      </c>
      <c r="E8" s="19" t="s">
        <v>103</v>
      </c>
      <c r="F8" s="19" t="s">
        <v>1048</v>
      </c>
      <c r="G8" s="298"/>
      <c r="H8" s="10"/>
      <c r="I8" s="11"/>
      <c r="J8" s="11"/>
      <c r="K8" s="11"/>
      <c r="L8" s="11"/>
      <c r="M8" s="11"/>
      <c r="N8" s="11"/>
      <c r="O8" s="12"/>
      <c r="P8" s="11"/>
      <c r="Q8" s="13"/>
      <c r="R8" s="14"/>
    </row>
    <row r="9" spans="1:92" ht="15" customHeight="1">
      <c r="A9" s="17" t="s">
        <v>26</v>
      </c>
      <c r="B9" s="17" t="s">
        <v>1049</v>
      </c>
      <c r="C9" s="18">
        <v>0.97222222222222221</v>
      </c>
      <c r="D9" s="17" t="s">
        <v>28</v>
      </c>
      <c r="E9" s="17" t="s">
        <v>98</v>
      </c>
      <c r="F9" s="17" t="s">
        <v>1048</v>
      </c>
      <c r="G9" s="298"/>
      <c r="H9" s="10"/>
      <c r="I9" s="11"/>
      <c r="J9" s="11"/>
      <c r="K9" s="11"/>
      <c r="L9" s="11"/>
      <c r="M9" s="11"/>
      <c r="N9" s="11"/>
      <c r="O9" s="12"/>
      <c r="P9" s="11"/>
      <c r="Q9" s="13"/>
      <c r="R9" s="14"/>
    </row>
    <row r="10" spans="1:92" ht="15" customHeight="1">
      <c r="A10" s="15" t="s">
        <v>26</v>
      </c>
      <c r="B10" s="15" t="s">
        <v>1049</v>
      </c>
      <c r="C10" s="16">
        <v>0.97222222222222221</v>
      </c>
      <c r="D10" s="15" t="s">
        <v>31</v>
      </c>
      <c r="E10" s="15" t="s">
        <v>99</v>
      </c>
      <c r="F10" s="15" t="s">
        <v>420</v>
      </c>
      <c r="G10" s="298"/>
      <c r="H10" s="10"/>
      <c r="I10" s="11"/>
      <c r="J10" s="11"/>
      <c r="K10" s="11"/>
      <c r="L10" s="11"/>
      <c r="M10" s="11"/>
      <c r="N10" s="11"/>
      <c r="O10" s="12"/>
      <c r="P10" s="11"/>
      <c r="Q10" s="13"/>
      <c r="R10" s="14"/>
    </row>
    <row r="11" spans="1:92" ht="15" customHeight="1">
      <c r="A11" s="15" t="s">
        <v>26</v>
      </c>
      <c r="B11" s="15" t="s">
        <v>1049</v>
      </c>
      <c r="C11" s="16">
        <v>0.97222222222222221</v>
      </c>
      <c r="D11" s="15" t="s">
        <v>34</v>
      </c>
      <c r="E11" s="15" t="s">
        <v>99</v>
      </c>
      <c r="F11" s="15" t="s">
        <v>443</v>
      </c>
      <c r="G11" s="298"/>
      <c r="H11" s="10"/>
      <c r="I11" s="11"/>
      <c r="J11" s="11"/>
      <c r="K11" s="11"/>
      <c r="L11" s="11"/>
      <c r="M11" s="11"/>
      <c r="N11" s="11"/>
      <c r="O11" s="12"/>
      <c r="P11" s="11"/>
      <c r="Q11" s="13"/>
      <c r="R11" s="14"/>
    </row>
    <row r="12" spans="1:92" ht="15" customHeight="1">
      <c r="A12" s="19" t="s">
        <v>415</v>
      </c>
      <c r="B12" s="19" t="s">
        <v>1050</v>
      </c>
      <c r="C12" s="20">
        <v>0.6875</v>
      </c>
      <c r="D12" s="19" t="s">
        <v>63</v>
      </c>
      <c r="E12" s="19" t="s">
        <v>107</v>
      </c>
      <c r="F12" s="19" t="s">
        <v>1051</v>
      </c>
      <c r="G12" s="298"/>
      <c r="H12" s="10"/>
      <c r="I12" s="11"/>
      <c r="J12" s="11"/>
      <c r="K12" s="11"/>
      <c r="L12" s="11"/>
      <c r="M12" s="11"/>
      <c r="N12" s="11"/>
      <c r="O12" s="12"/>
      <c r="P12" s="11"/>
      <c r="Q12" s="13"/>
      <c r="R12" s="14"/>
    </row>
    <row r="13" spans="1:92" ht="15" customHeight="1">
      <c r="A13" s="19" t="s">
        <v>68</v>
      </c>
      <c r="B13" s="19" t="s">
        <v>1052</v>
      </c>
      <c r="C13" s="20">
        <v>0.33680555555555558</v>
      </c>
      <c r="D13" s="19" t="s">
        <v>643</v>
      </c>
      <c r="E13" s="19" t="s">
        <v>51</v>
      </c>
      <c r="F13" s="19" t="s">
        <v>1053</v>
      </c>
      <c r="G13" s="298"/>
      <c r="H13" s="10"/>
      <c r="I13" s="11"/>
      <c r="J13" s="11"/>
      <c r="K13" s="11"/>
      <c r="L13" s="11"/>
      <c r="M13" s="11"/>
      <c r="N13" s="11"/>
      <c r="O13" s="12"/>
      <c r="P13" s="11"/>
      <c r="Q13" s="13"/>
      <c r="R13" s="14"/>
    </row>
    <row r="14" spans="1:92" ht="15" customHeight="1">
      <c r="A14" s="17" t="s">
        <v>68</v>
      </c>
      <c r="B14" s="17" t="s">
        <v>1054</v>
      </c>
      <c r="C14" s="18">
        <v>0.97916666666666663</v>
      </c>
      <c r="D14" s="17" t="s">
        <v>70</v>
      </c>
      <c r="E14" s="17" t="s">
        <v>57</v>
      </c>
      <c r="F14" s="17" t="s">
        <v>1055</v>
      </c>
      <c r="G14" s="298"/>
      <c r="H14" s="10"/>
      <c r="I14" s="11"/>
      <c r="J14" s="11"/>
      <c r="K14" s="11"/>
      <c r="L14" s="11"/>
      <c r="M14" s="11"/>
      <c r="N14" s="11"/>
      <c r="O14" s="12"/>
      <c r="P14" s="11"/>
      <c r="Q14" s="13"/>
      <c r="R14" s="14"/>
    </row>
    <row r="15" spans="1:92" ht="15" customHeight="1">
      <c r="A15" s="17" t="s">
        <v>68</v>
      </c>
      <c r="B15" s="17" t="s">
        <v>1056</v>
      </c>
      <c r="C15" s="18">
        <v>0.67361111111111116</v>
      </c>
      <c r="D15" s="17" t="s">
        <v>70</v>
      </c>
      <c r="E15" s="17" t="s">
        <v>57</v>
      </c>
      <c r="F15" s="17" t="s">
        <v>1001</v>
      </c>
      <c r="G15" s="298"/>
      <c r="H15" s="10"/>
      <c r="I15" s="11"/>
      <c r="J15" s="11"/>
      <c r="K15" s="11"/>
      <c r="L15" s="11"/>
      <c r="M15" s="11"/>
      <c r="N15" s="11"/>
      <c r="O15" s="12"/>
      <c r="P15" s="11"/>
      <c r="Q15" s="13"/>
      <c r="R15" s="14"/>
    </row>
    <row r="16" spans="1:92" ht="15" customHeight="1">
      <c r="A16" s="19" t="s">
        <v>402</v>
      </c>
      <c r="B16" s="19" t="s">
        <v>1057</v>
      </c>
      <c r="C16" s="20">
        <v>0.75694444444444453</v>
      </c>
      <c r="D16" s="19" t="s">
        <v>63</v>
      </c>
      <c r="E16" s="19" t="s">
        <v>143</v>
      </c>
      <c r="F16" s="19" t="s">
        <v>1058</v>
      </c>
      <c r="G16" s="298"/>
      <c r="H16" s="10"/>
      <c r="I16" s="11"/>
      <c r="J16" s="11"/>
      <c r="K16" s="11"/>
      <c r="L16" s="11"/>
      <c r="M16" s="11"/>
      <c r="N16" s="11"/>
      <c r="O16" s="12"/>
      <c r="P16" s="11"/>
      <c r="Q16" s="13"/>
      <c r="R16" s="14"/>
    </row>
    <row r="17" spans="1:18" ht="15" customHeight="1">
      <c r="A17" s="17" t="s">
        <v>402</v>
      </c>
      <c r="B17" s="17" t="s">
        <v>1059</v>
      </c>
      <c r="C17" s="18">
        <v>0.3611111111111111</v>
      </c>
      <c r="D17" s="17" t="s">
        <v>63</v>
      </c>
      <c r="E17" s="17" t="s">
        <v>435</v>
      </c>
      <c r="F17" s="17" t="s">
        <v>1058</v>
      </c>
      <c r="G17" s="298"/>
      <c r="H17" s="10"/>
      <c r="I17" s="11"/>
      <c r="J17" s="11"/>
      <c r="K17" s="11"/>
      <c r="L17" s="11"/>
      <c r="M17" s="11"/>
      <c r="N17" s="11"/>
      <c r="O17" s="12"/>
      <c r="P17" s="11"/>
      <c r="Q17" s="13"/>
      <c r="R17" s="14"/>
    </row>
    <row r="18" spans="1:18" ht="15" customHeight="1" thickBot="1">
      <c r="A18" s="96" t="s">
        <v>48</v>
      </c>
      <c r="B18" s="96" t="s">
        <v>1060</v>
      </c>
      <c r="C18" s="97">
        <v>0.44791666666666669</v>
      </c>
      <c r="D18" s="96" t="s">
        <v>70</v>
      </c>
      <c r="E18" s="96" t="s">
        <v>29</v>
      </c>
      <c r="F18" s="96" t="s">
        <v>836</v>
      </c>
      <c r="G18" s="299"/>
      <c r="H18" s="300"/>
      <c r="I18" s="140"/>
      <c r="J18" s="140"/>
      <c r="K18" s="140"/>
      <c r="L18" s="140"/>
      <c r="M18" s="140"/>
      <c r="N18" s="140"/>
      <c r="O18" s="141"/>
      <c r="P18" s="140"/>
      <c r="Q18" s="142"/>
      <c r="R18" s="301"/>
    </row>
    <row r="19" spans="1:18" ht="17.45" customHeight="1" thickBot="1">
      <c r="A19" s="283"/>
      <c r="B19" s="284"/>
      <c r="C19" s="284"/>
      <c r="D19" s="284"/>
      <c r="E19" s="284"/>
      <c r="F19" s="284"/>
      <c r="G19" s="284"/>
      <c r="H19" s="284"/>
      <c r="I19" s="284"/>
      <c r="J19" s="284"/>
      <c r="K19" s="284"/>
      <c r="L19" s="284"/>
      <c r="M19" s="284"/>
      <c r="N19" s="284"/>
      <c r="O19" s="284"/>
      <c r="P19" s="284"/>
      <c r="Q19" s="284"/>
      <c r="R19" s="285"/>
    </row>
    <row r="20" spans="1:18" ht="22.15" customHeight="1" thickTop="1" thickBot="1">
      <c r="A20" s="279" t="s">
        <v>6</v>
      </c>
      <c r="B20" s="295"/>
      <c r="C20" s="295"/>
      <c r="D20" s="295"/>
      <c r="E20" s="295"/>
      <c r="F20" s="296"/>
      <c r="G20" s="32">
        <v>46024</v>
      </c>
      <c r="H20" s="278" t="s">
        <v>7</v>
      </c>
      <c r="I20" s="295"/>
      <c r="J20" s="295"/>
      <c r="K20" s="295"/>
      <c r="L20" s="295"/>
      <c r="M20" s="295"/>
      <c r="N20" s="295"/>
      <c r="O20" s="295"/>
      <c r="P20" s="295"/>
      <c r="Q20" s="295"/>
      <c r="R20" s="296"/>
    </row>
    <row r="21" spans="1:18" ht="24" customHeight="1">
      <c r="A21" s="33" t="s">
        <v>8</v>
      </c>
      <c r="B21" s="33" t="s">
        <v>9</v>
      </c>
      <c r="C21" s="34" t="s">
        <v>10</v>
      </c>
      <c r="D21" s="33" t="s">
        <v>11</v>
      </c>
      <c r="E21" s="33" t="s">
        <v>12</v>
      </c>
      <c r="F21" s="35" t="s">
        <v>13</v>
      </c>
      <c r="G21" s="36" t="s">
        <v>14</v>
      </c>
      <c r="H21" s="33" t="s">
        <v>15</v>
      </c>
      <c r="I21" s="37" t="s">
        <v>16</v>
      </c>
      <c r="J21" s="38" t="s">
        <v>17</v>
      </c>
      <c r="K21" s="39" t="s">
        <v>18</v>
      </c>
      <c r="L21" s="38" t="s">
        <v>19</v>
      </c>
      <c r="M21" s="38" t="s">
        <v>20</v>
      </c>
      <c r="N21" s="38" t="s">
        <v>21</v>
      </c>
      <c r="O21" s="33" t="s">
        <v>22</v>
      </c>
      <c r="P21" s="34" t="s">
        <v>23</v>
      </c>
      <c r="Q21" s="38" t="s">
        <v>24</v>
      </c>
      <c r="R21" s="33" t="s">
        <v>25</v>
      </c>
    </row>
    <row r="22" spans="1:18" ht="15" customHeight="1">
      <c r="A22" s="8" t="s">
        <v>38</v>
      </c>
      <c r="B22" s="8" t="s">
        <v>1041</v>
      </c>
      <c r="C22" s="9">
        <v>0.44791666666666669</v>
      </c>
      <c r="D22" s="8" t="s">
        <v>40</v>
      </c>
      <c r="E22" s="8" t="s">
        <v>482</v>
      </c>
      <c r="F22" s="8" t="s">
        <v>149</v>
      </c>
      <c r="G22" s="297"/>
      <c r="H22" s="10"/>
      <c r="I22" s="11"/>
      <c r="J22" s="11"/>
      <c r="K22" s="11"/>
      <c r="L22" s="11"/>
      <c r="M22" s="11"/>
      <c r="N22" s="11"/>
      <c r="O22" s="12"/>
      <c r="P22" s="11"/>
      <c r="Q22" s="13"/>
      <c r="R22" s="14"/>
    </row>
    <row r="23" spans="1:18" ht="15" customHeight="1">
      <c r="A23" s="15" t="s">
        <v>38</v>
      </c>
      <c r="B23" s="15" t="s">
        <v>1041</v>
      </c>
      <c r="C23" s="16">
        <v>0.44791666666666669</v>
      </c>
      <c r="D23" s="15" t="s">
        <v>43</v>
      </c>
      <c r="E23" s="15" t="s">
        <v>483</v>
      </c>
      <c r="F23" s="15" t="s">
        <v>35</v>
      </c>
      <c r="G23" s="298"/>
      <c r="H23" s="10"/>
      <c r="I23" s="11"/>
      <c r="J23" s="11"/>
      <c r="K23" s="11"/>
      <c r="L23" s="11"/>
      <c r="M23" s="11"/>
      <c r="N23" s="11"/>
      <c r="O23" s="12"/>
      <c r="P23" s="11"/>
      <c r="Q23" s="13"/>
      <c r="R23" s="14"/>
    </row>
    <row r="24" spans="1:18" ht="15" customHeight="1">
      <c r="A24" s="15" t="s">
        <v>38</v>
      </c>
      <c r="B24" s="15" t="s">
        <v>1041</v>
      </c>
      <c r="C24" s="16">
        <v>0.44791666666666669</v>
      </c>
      <c r="D24" s="15" t="s">
        <v>46</v>
      </c>
      <c r="E24" s="15" t="s">
        <v>483</v>
      </c>
      <c r="F24" s="15" t="s">
        <v>106</v>
      </c>
      <c r="G24" s="298"/>
      <c r="H24" s="10"/>
      <c r="I24" s="11"/>
      <c r="J24" s="11"/>
      <c r="K24" s="11"/>
      <c r="L24" s="11"/>
      <c r="M24" s="11"/>
      <c r="N24" s="11"/>
      <c r="O24" s="12"/>
      <c r="P24" s="11"/>
      <c r="Q24" s="13"/>
      <c r="R24" s="14"/>
    </row>
    <row r="25" spans="1:18" ht="15" customHeight="1">
      <c r="A25" s="67" t="s">
        <v>61</v>
      </c>
      <c r="B25" s="67" t="s">
        <v>1043</v>
      </c>
      <c r="C25" s="68">
        <v>0.38194444444444442</v>
      </c>
      <c r="D25" s="67" t="s">
        <v>63</v>
      </c>
      <c r="E25" s="67" t="s">
        <v>177</v>
      </c>
      <c r="F25" s="67" t="s">
        <v>1044</v>
      </c>
      <c r="G25" s="298"/>
      <c r="H25" s="69" t="s">
        <v>1045</v>
      </c>
      <c r="I25" s="70">
        <v>0.1444</v>
      </c>
      <c r="J25" s="71">
        <v>26</v>
      </c>
      <c r="K25" s="72">
        <v>46343</v>
      </c>
      <c r="L25" s="71">
        <v>26</v>
      </c>
      <c r="M25" s="71">
        <v>0</v>
      </c>
      <c r="N25" s="71">
        <v>0</v>
      </c>
      <c r="O25" s="73" t="s">
        <v>305</v>
      </c>
      <c r="P25" s="74">
        <v>0.38194444444444442</v>
      </c>
      <c r="Q25" s="71">
        <v>180</v>
      </c>
      <c r="R25" s="75" t="s">
        <v>1061</v>
      </c>
    </row>
    <row r="26" spans="1:18" ht="15" customHeight="1">
      <c r="A26" s="19" t="s">
        <v>26</v>
      </c>
      <c r="B26" s="19" t="s">
        <v>1049</v>
      </c>
      <c r="C26" s="20">
        <v>0.97222222222222221</v>
      </c>
      <c r="D26" s="19" t="s">
        <v>28</v>
      </c>
      <c r="E26" s="19" t="s">
        <v>126</v>
      </c>
      <c r="F26" s="19" t="s">
        <v>349</v>
      </c>
      <c r="G26" s="298"/>
      <c r="H26" s="10"/>
      <c r="I26" s="11"/>
      <c r="J26" s="11"/>
      <c r="K26" s="11"/>
      <c r="L26" s="11"/>
      <c r="M26" s="11"/>
      <c r="N26" s="11"/>
      <c r="O26" s="12"/>
      <c r="P26" s="11"/>
      <c r="Q26" s="13"/>
      <c r="R26" s="14"/>
    </row>
    <row r="27" spans="1:18" ht="15" customHeight="1">
      <c r="A27" s="15" t="s">
        <v>26</v>
      </c>
      <c r="B27" s="15" t="s">
        <v>1049</v>
      </c>
      <c r="C27" s="16">
        <v>0.97222222222222221</v>
      </c>
      <c r="D27" s="15" t="s">
        <v>31</v>
      </c>
      <c r="E27" s="15" t="s">
        <v>127</v>
      </c>
      <c r="F27" s="15" t="s">
        <v>35</v>
      </c>
      <c r="G27" s="298"/>
      <c r="H27" s="10"/>
      <c r="I27" s="11"/>
      <c r="J27" s="11"/>
      <c r="K27" s="11"/>
      <c r="L27" s="11"/>
      <c r="M27" s="11"/>
      <c r="N27" s="11"/>
      <c r="O27" s="12"/>
      <c r="P27" s="11"/>
      <c r="Q27" s="13"/>
      <c r="R27" s="14"/>
    </row>
    <row r="28" spans="1:18" ht="15" customHeight="1">
      <c r="A28" s="15" t="s">
        <v>26</v>
      </c>
      <c r="B28" s="15" t="s">
        <v>1049</v>
      </c>
      <c r="C28" s="16">
        <v>0.97222222222222221</v>
      </c>
      <c r="D28" s="15" t="s">
        <v>34</v>
      </c>
      <c r="E28" s="15" t="s">
        <v>127</v>
      </c>
      <c r="F28" s="15" t="s">
        <v>503</v>
      </c>
      <c r="G28" s="298"/>
      <c r="H28" s="10"/>
      <c r="I28" s="11"/>
      <c r="J28" s="11"/>
      <c r="K28" s="11"/>
      <c r="L28" s="11"/>
      <c r="M28" s="11"/>
      <c r="N28" s="11"/>
      <c r="O28" s="12"/>
      <c r="P28" s="11"/>
      <c r="Q28" s="13"/>
      <c r="R28" s="14"/>
    </row>
    <row r="29" spans="1:18" ht="15" customHeight="1">
      <c r="A29" s="19" t="s">
        <v>415</v>
      </c>
      <c r="B29" s="19" t="s">
        <v>1062</v>
      </c>
      <c r="C29" s="20">
        <v>6.9444444444444441E-3</v>
      </c>
      <c r="D29" s="19" t="s">
        <v>63</v>
      </c>
      <c r="E29" s="19" t="s">
        <v>177</v>
      </c>
      <c r="F29" s="19" t="s">
        <v>1051</v>
      </c>
      <c r="G29" s="298"/>
      <c r="H29" s="10"/>
      <c r="I29" s="11"/>
      <c r="J29" s="11"/>
      <c r="K29" s="11"/>
      <c r="L29" s="11"/>
      <c r="M29" s="11"/>
      <c r="N29" s="11"/>
      <c r="O29" s="12"/>
      <c r="P29" s="11"/>
      <c r="Q29" s="13"/>
      <c r="R29" s="14"/>
    </row>
    <row r="30" spans="1:18" ht="15" customHeight="1">
      <c r="A30" s="19" t="s">
        <v>68</v>
      </c>
      <c r="B30" s="19" t="s">
        <v>1052</v>
      </c>
      <c r="C30" s="20">
        <v>0.33680555555555558</v>
      </c>
      <c r="D30" s="19" t="s">
        <v>643</v>
      </c>
      <c r="E30" s="19" t="s">
        <v>51</v>
      </c>
      <c r="F30" s="19" t="s">
        <v>830</v>
      </c>
      <c r="G30" s="298"/>
      <c r="H30" s="10"/>
      <c r="I30" s="11"/>
      <c r="J30" s="11"/>
      <c r="K30" s="11"/>
      <c r="L30" s="11"/>
      <c r="M30" s="11"/>
      <c r="N30" s="11"/>
      <c r="O30" s="12"/>
      <c r="P30" s="11"/>
      <c r="Q30" s="13"/>
      <c r="R30" s="14"/>
    </row>
    <row r="31" spans="1:18" ht="15" customHeight="1">
      <c r="A31" s="17" t="s">
        <v>68</v>
      </c>
      <c r="B31" s="17" t="s">
        <v>1054</v>
      </c>
      <c r="C31" s="18">
        <v>0.97916666666666663</v>
      </c>
      <c r="D31" s="17" t="s">
        <v>70</v>
      </c>
      <c r="E31" s="17" t="s">
        <v>57</v>
      </c>
      <c r="F31" s="17" t="s">
        <v>858</v>
      </c>
      <c r="G31" s="298"/>
      <c r="H31" s="10"/>
      <c r="I31" s="11"/>
      <c r="J31" s="11"/>
      <c r="K31" s="11"/>
      <c r="L31" s="11"/>
      <c r="M31" s="11"/>
      <c r="N31" s="11"/>
      <c r="O31" s="12"/>
      <c r="P31" s="11"/>
      <c r="Q31" s="13"/>
      <c r="R31" s="14"/>
    </row>
    <row r="32" spans="1:18" ht="15" customHeight="1">
      <c r="A32" s="17" t="s">
        <v>68</v>
      </c>
      <c r="B32" s="17" t="s">
        <v>1056</v>
      </c>
      <c r="C32" s="18">
        <v>0.67361111111111116</v>
      </c>
      <c r="D32" s="17" t="s">
        <v>70</v>
      </c>
      <c r="E32" s="17" t="s">
        <v>57</v>
      </c>
      <c r="F32" s="17" t="s">
        <v>1063</v>
      </c>
      <c r="G32" s="298"/>
      <c r="H32" s="10"/>
      <c r="I32" s="11"/>
      <c r="J32" s="11"/>
      <c r="K32" s="11"/>
      <c r="L32" s="11"/>
      <c r="M32" s="11"/>
      <c r="N32" s="11"/>
      <c r="O32" s="12"/>
      <c r="P32" s="11"/>
      <c r="Q32" s="13"/>
      <c r="R32" s="14"/>
    </row>
    <row r="33" spans="1:18" ht="15" customHeight="1">
      <c r="A33" s="19" t="s">
        <v>402</v>
      </c>
      <c r="B33" s="19" t="s">
        <v>1064</v>
      </c>
      <c r="C33" s="20">
        <v>0.75694444444444453</v>
      </c>
      <c r="D33" s="19" t="s">
        <v>63</v>
      </c>
      <c r="E33" s="19" t="s">
        <v>126</v>
      </c>
      <c r="F33" s="19" t="s">
        <v>1058</v>
      </c>
      <c r="G33" s="298"/>
      <c r="H33" s="10"/>
      <c r="I33" s="11"/>
      <c r="J33" s="11"/>
      <c r="K33" s="11"/>
      <c r="L33" s="11"/>
      <c r="M33" s="11"/>
      <c r="N33" s="11"/>
      <c r="O33" s="12"/>
      <c r="P33" s="11"/>
      <c r="Q33" s="13"/>
      <c r="R33" s="14"/>
    </row>
    <row r="34" spans="1:18" ht="15" customHeight="1" thickBot="1">
      <c r="A34" s="96" t="s">
        <v>48</v>
      </c>
      <c r="B34" s="96" t="s">
        <v>1060</v>
      </c>
      <c r="C34" s="97">
        <v>0.44791666666666669</v>
      </c>
      <c r="D34" s="96" t="s">
        <v>53</v>
      </c>
      <c r="E34" s="96" t="s">
        <v>29</v>
      </c>
      <c r="F34" s="96" t="s">
        <v>912</v>
      </c>
      <c r="G34" s="299"/>
      <c r="H34" s="300"/>
      <c r="I34" s="140"/>
      <c r="J34" s="140"/>
      <c r="K34" s="140"/>
      <c r="L34" s="140"/>
      <c r="M34" s="140"/>
      <c r="N34" s="140"/>
      <c r="O34" s="141"/>
      <c r="P34" s="140"/>
      <c r="Q34" s="142"/>
      <c r="R34" s="301"/>
    </row>
    <row r="35" spans="1:18" ht="17.45" customHeight="1" thickBot="1">
      <c r="A35" s="283"/>
      <c r="B35" s="284"/>
      <c r="C35" s="284"/>
      <c r="D35" s="284"/>
      <c r="E35" s="284"/>
      <c r="F35" s="284"/>
      <c r="G35" s="284"/>
      <c r="H35" s="284"/>
      <c r="I35" s="284"/>
      <c r="J35" s="284"/>
      <c r="K35" s="284"/>
      <c r="L35" s="284"/>
      <c r="M35" s="284"/>
      <c r="N35" s="284"/>
      <c r="O35" s="284"/>
      <c r="P35" s="284"/>
      <c r="Q35" s="284"/>
      <c r="R35" s="285"/>
    </row>
    <row r="36" spans="1:18" ht="22.15" customHeight="1" thickTop="1" thickBot="1">
      <c r="A36" s="279" t="s">
        <v>6</v>
      </c>
      <c r="B36" s="295"/>
      <c r="C36" s="295"/>
      <c r="D36" s="295"/>
      <c r="E36" s="295"/>
      <c r="F36" s="296"/>
      <c r="G36" s="32">
        <v>46025</v>
      </c>
      <c r="H36" s="278" t="s">
        <v>7</v>
      </c>
      <c r="I36" s="295"/>
      <c r="J36" s="295"/>
      <c r="K36" s="295"/>
      <c r="L36" s="295"/>
      <c r="M36" s="295"/>
      <c r="N36" s="295"/>
      <c r="O36" s="295"/>
      <c r="P36" s="295"/>
      <c r="Q36" s="295"/>
      <c r="R36" s="296"/>
    </row>
    <row r="37" spans="1:18" ht="24" customHeight="1">
      <c r="A37" s="33" t="s">
        <v>8</v>
      </c>
      <c r="B37" s="33" t="s">
        <v>9</v>
      </c>
      <c r="C37" s="34" t="s">
        <v>10</v>
      </c>
      <c r="D37" s="33" t="s">
        <v>11</v>
      </c>
      <c r="E37" s="33" t="s">
        <v>12</v>
      </c>
      <c r="F37" s="35" t="s">
        <v>13</v>
      </c>
      <c r="G37" s="36" t="s">
        <v>14</v>
      </c>
      <c r="H37" s="33" t="s">
        <v>15</v>
      </c>
      <c r="I37" s="37" t="s">
        <v>16</v>
      </c>
      <c r="J37" s="38" t="s">
        <v>17</v>
      </c>
      <c r="K37" s="39" t="s">
        <v>18</v>
      </c>
      <c r="L37" s="38" t="s">
        <v>19</v>
      </c>
      <c r="M37" s="38" t="s">
        <v>20</v>
      </c>
      <c r="N37" s="38" t="s">
        <v>21</v>
      </c>
      <c r="O37" s="33" t="s">
        <v>22</v>
      </c>
      <c r="P37" s="34" t="s">
        <v>23</v>
      </c>
      <c r="Q37" s="38" t="s">
        <v>24</v>
      </c>
      <c r="R37" s="33" t="s">
        <v>25</v>
      </c>
    </row>
    <row r="38" spans="1:18" ht="15" customHeight="1">
      <c r="A38" s="8" t="s">
        <v>359</v>
      </c>
      <c r="B38" s="8" t="s">
        <v>1065</v>
      </c>
      <c r="C38" s="9">
        <v>0.78472222222222221</v>
      </c>
      <c r="D38" s="8" t="s">
        <v>361</v>
      </c>
      <c r="E38" s="8" t="s">
        <v>80</v>
      </c>
      <c r="F38" s="8" t="s">
        <v>1066</v>
      </c>
      <c r="G38" s="297"/>
      <c r="H38" s="10"/>
      <c r="I38" s="11"/>
      <c r="J38" s="11"/>
      <c r="K38" s="11"/>
      <c r="L38" s="11"/>
      <c r="M38" s="11"/>
      <c r="N38" s="11"/>
      <c r="O38" s="12"/>
      <c r="P38" s="11"/>
      <c r="Q38" s="13"/>
      <c r="R38" s="14"/>
    </row>
    <row r="39" spans="1:18" ht="15" customHeight="1">
      <c r="A39" s="15" t="s">
        <v>359</v>
      </c>
      <c r="B39" s="15" t="s">
        <v>1065</v>
      </c>
      <c r="C39" s="16">
        <v>0.78472222222222221</v>
      </c>
      <c r="D39" s="15" t="s">
        <v>46</v>
      </c>
      <c r="E39" s="15" t="s">
        <v>82</v>
      </c>
      <c r="F39" s="15" t="s">
        <v>1067</v>
      </c>
      <c r="G39" s="298"/>
      <c r="H39" s="10"/>
      <c r="I39" s="11"/>
      <c r="J39" s="11"/>
      <c r="K39" s="11"/>
      <c r="L39" s="11"/>
      <c r="M39" s="11"/>
      <c r="N39" s="11"/>
      <c r="O39" s="12"/>
      <c r="P39" s="11"/>
      <c r="Q39" s="13"/>
      <c r="R39" s="14"/>
    </row>
    <row r="40" spans="1:18" ht="15" customHeight="1">
      <c r="A40" s="19" t="s">
        <v>38</v>
      </c>
      <c r="B40" s="19" t="s">
        <v>1041</v>
      </c>
      <c r="C40" s="20">
        <v>0.44791666666666669</v>
      </c>
      <c r="D40" s="19" t="s">
        <v>40</v>
      </c>
      <c r="E40" s="19" t="s">
        <v>192</v>
      </c>
      <c r="F40" s="19" t="s">
        <v>83</v>
      </c>
      <c r="G40" s="298"/>
      <c r="H40" s="10"/>
      <c r="I40" s="11"/>
      <c r="J40" s="11"/>
      <c r="K40" s="11"/>
      <c r="L40" s="11"/>
      <c r="M40" s="11"/>
      <c r="N40" s="11"/>
      <c r="O40" s="12"/>
      <c r="P40" s="11"/>
      <c r="Q40" s="13"/>
      <c r="R40" s="14"/>
    </row>
    <row r="41" spans="1:18" ht="15" customHeight="1">
      <c r="A41" s="15" t="s">
        <v>38</v>
      </c>
      <c r="B41" s="15" t="s">
        <v>1041</v>
      </c>
      <c r="C41" s="16">
        <v>0.44791666666666669</v>
      </c>
      <c r="D41" s="15" t="s">
        <v>43</v>
      </c>
      <c r="E41" s="15" t="s">
        <v>193</v>
      </c>
      <c r="F41" s="15" t="s">
        <v>162</v>
      </c>
      <c r="G41" s="298"/>
      <c r="H41" s="10"/>
      <c r="I41" s="11"/>
      <c r="J41" s="11"/>
      <c r="K41" s="11"/>
      <c r="L41" s="11"/>
      <c r="M41" s="11"/>
      <c r="N41" s="11"/>
      <c r="O41" s="12"/>
      <c r="P41" s="11"/>
      <c r="Q41" s="13"/>
      <c r="R41" s="14"/>
    </row>
    <row r="42" spans="1:18" ht="15" customHeight="1">
      <c r="A42" s="15" t="s">
        <v>38</v>
      </c>
      <c r="B42" s="15" t="s">
        <v>1041</v>
      </c>
      <c r="C42" s="16">
        <v>0.44791666666666669</v>
      </c>
      <c r="D42" s="15" t="s">
        <v>46</v>
      </c>
      <c r="E42" s="15" t="s">
        <v>193</v>
      </c>
      <c r="F42" s="15" t="s">
        <v>106</v>
      </c>
      <c r="G42" s="298"/>
      <c r="H42" s="10"/>
      <c r="I42" s="11"/>
      <c r="J42" s="11"/>
      <c r="K42" s="11"/>
      <c r="L42" s="11"/>
      <c r="M42" s="11"/>
      <c r="N42" s="11"/>
      <c r="O42" s="12"/>
      <c r="P42" s="11"/>
      <c r="Q42" s="13"/>
      <c r="R42" s="14"/>
    </row>
    <row r="43" spans="1:18" ht="15" customHeight="1">
      <c r="A43" s="19" t="s">
        <v>26</v>
      </c>
      <c r="B43" s="19" t="s">
        <v>1047</v>
      </c>
      <c r="C43" s="20">
        <v>0.33680555555555558</v>
      </c>
      <c r="D43" s="19" t="s">
        <v>451</v>
      </c>
      <c r="E43" s="19" t="s">
        <v>177</v>
      </c>
      <c r="F43" s="19" t="s">
        <v>349</v>
      </c>
      <c r="G43" s="298"/>
      <c r="H43" s="10"/>
      <c r="I43" s="11"/>
      <c r="J43" s="11"/>
      <c r="K43" s="11"/>
      <c r="L43" s="11"/>
      <c r="M43" s="11"/>
      <c r="N43" s="11"/>
      <c r="O43" s="12"/>
      <c r="P43" s="11"/>
      <c r="Q43" s="13"/>
      <c r="R43" s="14"/>
    </row>
    <row r="44" spans="1:18" ht="15" customHeight="1">
      <c r="A44" s="17" t="s">
        <v>26</v>
      </c>
      <c r="B44" s="17" t="s">
        <v>1049</v>
      </c>
      <c r="C44" s="18">
        <v>0.97222222222222221</v>
      </c>
      <c r="D44" s="17" t="s">
        <v>451</v>
      </c>
      <c r="E44" s="17" t="s">
        <v>200</v>
      </c>
      <c r="F44" s="17" t="s">
        <v>426</v>
      </c>
      <c r="G44" s="298"/>
      <c r="H44" s="10"/>
      <c r="I44" s="11"/>
      <c r="J44" s="11"/>
      <c r="K44" s="11"/>
      <c r="L44" s="11"/>
      <c r="M44" s="11"/>
      <c r="N44" s="11"/>
      <c r="O44" s="12"/>
      <c r="P44" s="11"/>
      <c r="Q44" s="13"/>
      <c r="R44" s="14"/>
    </row>
    <row r="45" spans="1:18" ht="15" customHeight="1">
      <c r="A45" s="98" t="s">
        <v>61</v>
      </c>
      <c r="B45" s="98" t="s">
        <v>1043</v>
      </c>
      <c r="C45" s="99">
        <v>0.72222222222222221</v>
      </c>
      <c r="D45" s="98" t="s">
        <v>63</v>
      </c>
      <c r="E45" s="98" t="s">
        <v>107</v>
      </c>
      <c r="F45" s="98" t="s">
        <v>1068</v>
      </c>
      <c r="G45" s="298"/>
      <c r="H45" s="100" t="s">
        <v>1045</v>
      </c>
      <c r="I45" s="101">
        <v>0.27779999999999999</v>
      </c>
      <c r="J45" s="102">
        <v>50</v>
      </c>
      <c r="K45" s="103">
        <v>46345</v>
      </c>
      <c r="L45" s="102">
        <v>50</v>
      </c>
      <c r="M45" s="102">
        <v>0</v>
      </c>
      <c r="N45" s="102">
        <v>0</v>
      </c>
      <c r="O45" s="104" t="s">
        <v>1069</v>
      </c>
      <c r="P45" s="105">
        <v>0.72222222222222221</v>
      </c>
      <c r="Q45" s="102">
        <v>180</v>
      </c>
      <c r="R45" s="106" t="s">
        <v>1070</v>
      </c>
    </row>
    <row r="46" spans="1:18" ht="15" customHeight="1">
      <c r="A46" s="19" t="s">
        <v>402</v>
      </c>
      <c r="B46" s="19" t="s">
        <v>1057</v>
      </c>
      <c r="C46" s="20">
        <v>0.69444444444444453</v>
      </c>
      <c r="D46" s="19" t="s">
        <v>63</v>
      </c>
      <c r="E46" s="19" t="s">
        <v>107</v>
      </c>
      <c r="F46" s="19" t="s">
        <v>1058</v>
      </c>
      <c r="G46" s="298"/>
      <c r="H46" s="10"/>
      <c r="I46" s="11"/>
      <c r="J46" s="11"/>
      <c r="K46" s="11"/>
      <c r="L46" s="11"/>
      <c r="M46" s="11"/>
      <c r="N46" s="11"/>
      <c r="O46" s="12"/>
      <c r="P46" s="11"/>
      <c r="Q46" s="13"/>
      <c r="R46" s="14"/>
    </row>
    <row r="47" spans="1:18" ht="15" customHeight="1">
      <c r="A47" s="19" t="s">
        <v>68</v>
      </c>
      <c r="B47" s="19" t="s">
        <v>1052</v>
      </c>
      <c r="C47" s="20">
        <v>0.33680555555555558</v>
      </c>
      <c r="D47" s="19" t="s">
        <v>70</v>
      </c>
      <c r="E47" s="19" t="s">
        <v>51</v>
      </c>
      <c r="F47" s="19" t="s">
        <v>1055</v>
      </c>
      <c r="G47" s="298"/>
      <c r="H47" s="10"/>
      <c r="I47" s="11"/>
      <c r="J47" s="11"/>
      <c r="K47" s="11"/>
      <c r="L47" s="11"/>
      <c r="M47" s="11"/>
      <c r="N47" s="11"/>
      <c r="O47" s="12"/>
      <c r="P47" s="11"/>
      <c r="Q47" s="13"/>
      <c r="R47" s="14"/>
    </row>
    <row r="48" spans="1:18" ht="15" customHeight="1">
      <c r="A48" s="17" t="s">
        <v>68</v>
      </c>
      <c r="B48" s="17" t="s">
        <v>1054</v>
      </c>
      <c r="C48" s="18">
        <v>0.97916666666666663</v>
      </c>
      <c r="D48" s="17" t="s">
        <v>70</v>
      </c>
      <c r="E48" s="17" t="s">
        <v>57</v>
      </c>
      <c r="F48" s="17" t="s">
        <v>1063</v>
      </c>
      <c r="G48" s="298"/>
      <c r="H48" s="10"/>
      <c r="I48" s="11"/>
      <c r="J48" s="11"/>
      <c r="K48" s="11"/>
      <c r="L48" s="11"/>
      <c r="M48" s="11"/>
      <c r="N48" s="11"/>
      <c r="O48" s="12"/>
      <c r="P48" s="11"/>
      <c r="Q48" s="13"/>
      <c r="R48" s="14"/>
    </row>
    <row r="49" spans="1:18" ht="15" customHeight="1">
      <c r="A49" s="17" t="s">
        <v>68</v>
      </c>
      <c r="B49" s="17" t="s">
        <v>1056</v>
      </c>
      <c r="C49" s="18">
        <v>0.67361111111111116</v>
      </c>
      <c r="D49" s="17" t="s">
        <v>70</v>
      </c>
      <c r="E49" s="17" t="s">
        <v>435</v>
      </c>
      <c r="F49" s="17" t="s">
        <v>1063</v>
      </c>
      <c r="G49" s="298"/>
      <c r="H49" s="10"/>
      <c r="I49" s="11"/>
      <c r="J49" s="11"/>
      <c r="K49" s="11"/>
      <c r="L49" s="11"/>
      <c r="M49" s="11"/>
      <c r="N49" s="11"/>
      <c r="O49" s="12"/>
      <c r="P49" s="11"/>
      <c r="Q49" s="13"/>
      <c r="R49" s="14"/>
    </row>
    <row r="50" spans="1:18" ht="15" customHeight="1">
      <c r="A50" s="19" t="s">
        <v>48</v>
      </c>
      <c r="B50" s="19" t="s">
        <v>1060</v>
      </c>
      <c r="C50" s="20">
        <v>0.44791666666666669</v>
      </c>
      <c r="D50" s="19" t="s">
        <v>53</v>
      </c>
      <c r="E50" s="19" t="s">
        <v>29</v>
      </c>
      <c r="F50" s="19" t="s">
        <v>946</v>
      </c>
      <c r="G50" s="298"/>
      <c r="H50" s="10"/>
      <c r="I50" s="11"/>
      <c r="J50" s="11"/>
      <c r="K50" s="11"/>
      <c r="L50" s="11"/>
      <c r="M50" s="11"/>
      <c r="N50" s="11"/>
      <c r="O50" s="12"/>
      <c r="P50" s="11"/>
      <c r="Q50" s="13"/>
      <c r="R50" s="14"/>
    </row>
    <row r="51" spans="1:18" ht="15" customHeight="1" thickBot="1">
      <c r="A51" s="76" t="s">
        <v>48</v>
      </c>
      <c r="B51" s="76" t="s">
        <v>1060</v>
      </c>
      <c r="C51" s="77">
        <v>0.44791666666666669</v>
      </c>
      <c r="D51" s="76" t="s">
        <v>70</v>
      </c>
      <c r="E51" s="76" t="s">
        <v>32</v>
      </c>
      <c r="F51" s="76" t="s">
        <v>946</v>
      </c>
      <c r="G51" s="299"/>
      <c r="H51" s="300"/>
      <c r="I51" s="140"/>
      <c r="J51" s="140"/>
      <c r="K51" s="140"/>
      <c r="L51" s="140"/>
      <c r="M51" s="140"/>
      <c r="N51" s="140"/>
      <c r="O51" s="141"/>
      <c r="P51" s="140"/>
      <c r="Q51" s="142"/>
      <c r="R51" s="301"/>
    </row>
    <row r="52" spans="1:18" ht="17.45" customHeight="1" thickBot="1">
      <c r="A52" s="283"/>
      <c r="B52" s="284"/>
      <c r="C52" s="284"/>
      <c r="D52" s="284"/>
      <c r="E52" s="284"/>
      <c r="F52" s="284"/>
      <c r="G52" s="284"/>
      <c r="H52" s="284"/>
      <c r="I52" s="284"/>
      <c r="J52" s="284"/>
      <c r="K52" s="284"/>
      <c r="L52" s="284"/>
      <c r="M52" s="284"/>
      <c r="N52" s="284"/>
      <c r="O52" s="284"/>
      <c r="P52" s="284"/>
      <c r="Q52" s="284"/>
      <c r="R52" s="285"/>
    </row>
    <row r="53" spans="1:18" ht="22.15" customHeight="1" thickTop="1" thickBot="1">
      <c r="A53" s="279" t="s">
        <v>6</v>
      </c>
      <c r="B53" s="295"/>
      <c r="C53" s="295"/>
      <c r="D53" s="295"/>
      <c r="E53" s="295"/>
      <c r="F53" s="296"/>
      <c r="G53" s="32">
        <v>46026</v>
      </c>
      <c r="H53" s="278" t="s">
        <v>7</v>
      </c>
      <c r="I53" s="295"/>
      <c r="J53" s="295"/>
      <c r="K53" s="295"/>
      <c r="L53" s="295"/>
      <c r="M53" s="295"/>
      <c r="N53" s="295"/>
      <c r="O53" s="295"/>
      <c r="P53" s="295"/>
      <c r="Q53" s="295"/>
      <c r="R53" s="296"/>
    </row>
    <row r="54" spans="1:18" ht="24" customHeight="1">
      <c r="A54" s="33" t="s">
        <v>8</v>
      </c>
      <c r="B54" s="33" t="s">
        <v>9</v>
      </c>
      <c r="C54" s="34" t="s">
        <v>10</v>
      </c>
      <c r="D54" s="33" t="s">
        <v>11</v>
      </c>
      <c r="E54" s="33" t="s">
        <v>12</v>
      </c>
      <c r="F54" s="35" t="s">
        <v>13</v>
      </c>
      <c r="G54" s="36" t="s">
        <v>14</v>
      </c>
      <c r="H54" s="33" t="s">
        <v>15</v>
      </c>
      <c r="I54" s="37" t="s">
        <v>16</v>
      </c>
      <c r="J54" s="38" t="s">
        <v>17</v>
      </c>
      <c r="K54" s="39" t="s">
        <v>18</v>
      </c>
      <c r="L54" s="38" t="s">
        <v>19</v>
      </c>
      <c r="M54" s="38" t="s">
        <v>20</v>
      </c>
      <c r="N54" s="38" t="s">
        <v>21</v>
      </c>
      <c r="O54" s="33" t="s">
        <v>22</v>
      </c>
      <c r="P54" s="34" t="s">
        <v>23</v>
      </c>
      <c r="Q54" s="38" t="s">
        <v>24</v>
      </c>
      <c r="R54" s="33" t="s">
        <v>25</v>
      </c>
    </row>
    <row r="55" spans="1:18" ht="15" customHeight="1">
      <c r="A55" s="8" t="s">
        <v>38</v>
      </c>
      <c r="B55" s="8" t="s">
        <v>1041</v>
      </c>
      <c r="C55" s="9">
        <v>0.44791666666666669</v>
      </c>
      <c r="D55" s="8" t="s">
        <v>40</v>
      </c>
      <c r="E55" s="8" t="s">
        <v>192</v>
      </c>
      <c r="F55" s="8" t="s">
        <v>149</v>
      </c>
      <c r="G55" s="297"/>
      <c r="H55" s="10"/>
      <c r="I55" s="11"/>
      <c r="J55" s="11"/>
      <c r="K55" s="11"/>
      <c r="L55" s="11"/>
      <c r="M55" s="11"/>
      <c r="N55" s="11"/>
      <c r="O55" s="12"/>
      <c r="P55" s="11"/>
      <c r="Q55" s="13"/>
      <c r="R55" s="14"/>
    </row>
    <row r="56" spans="1:18" ht="15" customHeight="1">
      <c r="A56" s="15" t="s">
        <v>38</v>
      </c>
      <c r="B56" s="15" t="s">
        <v>1041</v>
      </c>
      <c r="C56" s="16">
        <v>0.44791666666666669</v>
      </c>
      <c r="D56" s="15" t="s">
        <v>43</v>
      </c>
      <c r="E56" s="15" t="s">
        <v>193</v>
      </c>
      <c r="F56" s="15" t="s">
        <v>35</v>
      </c>
      <c r="G56" s="298"/>
      <c r="H56" s="10"/>
      <c r="I56" s="11"/>
      <c r="J56" s="11"/>
      <c r="K56" s="11"/>
      <c r="L56" s="11"/>
      <c r="M56" s="11"/>
      <c r="N56" s="11"/>
      <c r="O56" s="12"/>
      <c r="P56" s="11"/>
      <c r="Q56" s="13"/>
      <c r="R56" s="14"/>
    </row>
    <row r="57" spans="1:18" ht="15" customHeight="1">
      <c r="A57" s="15" t="s">
        <v>38</v>
      </c>
      <c r="B57" s="15" t="s">
        <v>1041</v>
      </c>
      <c r="C57" s="16">
        <v>0.44791666666666669</v>
      </c>
      <c r="D57" s="15" t="s">
        <v>46</v>
      </c>
      <c r="E57" s="15" t="s">
        <v>193</v>
      </c>
      <c r="F57" s="15" t="s">
        <v>106</v>
      </c>
      <c r="G57" s="298"/>
      <c r="H57" s="10"/>
      <c r="I57" s="11"/>
      <c r="J57" s="11"/>
      <c r="K57" s="11"/>
      <c r="L57" s="11"/>
      <c r="M57" s="11"/>
      <c r="N57" s="11"/>
      <c r="O57" s="12"/>
      <c r="P57" s="11"/>
      <c r="Q57" s="13"/>
      <c r="R57" s="14"/>
    </row>
    <row r="58" spans="1:18" ht="15" customHeight="1">
      <c r="A58" s="19" t="s">
        <v>26</v>
      </c>
      <c r="B58" s="19" t="s">
        <v>1049</v>
      </c>
      <c r="C58" s="20">
        <v>0.97222222222222221</v>
      </c>
      <c r="D58" s="19" t="s">
        <v>28</v>
      </c>
      <c r="E58" s="19" t="s">
        <v>107</v>
      </c>
      <c r="F58" s="19" t="s">
        <v>349</v>
      </c>
      <c r="G58" s="298"/>
      <c r="H58" s="10"/>
      <c r="I58" s="11"/>
      <c r="J58" s="11"/>
      <c r="K58" s="11"/>
      <c r="L58" s="11"/>
      <c r="M58" s="11"/>
      <c r="N58" s="11"/>
      <c r="O58" s="12"/>
      <c r="P58" s="11"/>
      <c r="Q58" s="13"/>
      <c r="R58" s="14"/>
    </row>
    <row r="59" spans="1:18" ht="15" customHeight="1">
      <c r="A59" s="15" t="s">
        <v>26</v>
      </c>
      <c r="B59" s="15" t="s">
        <v>1049</v>
      </c>
      <c r="C59" s="16">
        <v>0.97222222222222221</v>
      </c>
      <c r="D59" s="15" t="s">
        <v>31</v>
      </c>
      <c r="E59" s="15" t="s">
        <v>108</v>
      </c>
      <c r="F59" s="15" t="s">
        <v>35</v>
      </c>
      <c r="G59" s="298"/>
      <c r="H59" s="10"/>
      <c r="I59" s="11"/>
      <c r="J59" s="11"/>
      <c r="K59" s="11"/>
      <c r="L59" s="11"/>
      <c r="M59" s="11"/>
      <c r="N59" s="11"/>
      <c r="O59" s="12"/>
      <c r="P59" s="11"/>
      <c r="Q59" s="13"/>
      <c r="R59" s="14"/>
    </row>
    <row r="60" spans="1:18" ht="15" customHeight="1">
      <c r="A60" s="15" t="s">
        <v>26</v>
      </c>
      <c r="B60" s="15" t="s">
        <v>1049</v>
      </c>
      <c r="C60" s="16">
        <v>0.97222222222222221</v>
      </c>
      <c r="D60" s="15" t="s">
        <v>34</v>
      </c>
      <c r="E60" s="15" t="s">
        <v>108</v>
      </c>
      <c r="F60" s="15" t="s">
        <v>503</v>
      </c>
      <c r="G60" s="298"/>
      <c r="H60" s="10"/>
      <c r="I60" s="11"/>
      <c r="J60" s="11"/>
      <c r="K60" s="11"/>
      <c r="L60" s="11"/>
      <c r="M60" s="11"/>
      <c r="N60" s="11"/>
      <c r="O60" s="12"/>
      <c r="P60" s="11"/>
      <c r="Q60" s="13"/>
      <c r="R60" s="14"/>
    </row>
    <row r="61" spans="1:18" ht="15" customHeight="1">
      <c r="A61" s="19" t="s">
        <v>415</v>
      </c>
      <c r="B61" s="19" t="s">
        <v>1062</v>
      </c>
      <c r="C61" s="20">
        <v>6.9444444444444441E-3</v>
      </c>
      <c r="D61" s="19" t="s">
        <v>63</v>
      </c>
      <c r="E61" s="19" t="s">
        <v>107</v>
      </c>
      <c r="F61" s="19" t="s">
        <v>1051</v>
      </c>
      <c r="G61" s="298"/>
      <c r="H61" s="10"/>
      <c r="I61" s="11"/>
      <c r="J61" s="11"/>
      <c r="K61" s="11"/>
      <c r="L61" s="11"/>
      <c r="M61" s="11"/>
      <c r="N61" s="11"/>
      <c r="O61" s="12"/>
      <c r="P61" s="11"/>
      <c r="Q61" s="13"/>
      <c r="R61" s="14"/>
    </row>
    <row r="62" spans="1:18" ht="15" customHeight="1">
      <c r="A62" s="17" t="s">
        <v>415</v>
      </c>
      <c r="B62" s="17" t="s">
        <v>1071</v>
      </c>
      <c r="C62" s="18">
        <v>0.92013888888888884</v>
      </c>
      <c r="D62" s="17" t="s">
        <v>63</v>
      </c>
      <c r="E62" s="17" t="s">
        <v>98</v>
      </c>
      <c r="F62" s="17" t="s">
        <v>1051</v>
      </c>
      <c r="G62" s="298"/>
      <c r="H62" s="10"/>
      <c r="I62" s="11"/>
      <c r="J62" s="11"/>
      <c r="K62" s="11"/>
      <c r="L62" s="11"/>
      <c r="M62" s="11"/>
      <c r="N62" s="11"/>
      <c r="O62" s="12"/>
      <c r="P62" s="11"/>
      <c r="Q62" s="13"/>
      <c r="R62" s="14"/>
    </row>
    <row r="63" spans="1:18" ht="15" customHeight="1">
      <c r="A63" s="19" t="s">
        <v>402</v>
      </c>
      <c r="B63" s="19" t="s">
        <v>1059</v>
      </c>
      <c r="C63" s="20">
        <v>0.75694444444444453</v>
      </c>
      <c r="D63" s="19" t="s">
        <v>63</v>
      </c>
      <c r="E63" s="19" t="s">
        <v>126</v>
      </c>
      <c r="F63" s="19" t="s">
        <v>1058</v>
      </c>
      <c r="G63" s="298"/>
      <c r="H63" s="10"/>
      <c r="I63" s="11"/>
      <c r="J63" s="11"/>
      <c r="K63" s="11"/>
      <c r="L63" s="11"/>
      <c r="M63" s="11"/>
      <c r="N63" s="11"/>
      <c r="O63" s="12"/>
      <c r="P63" s="11"/>
      <c r="Q63" s="13"/>
      <c r="R63" s="14"/>
    </row>
    <row r="64" spans="1:18" ht="15" customHeight="1">
      <c r="A64" s="19" t="s">
        <v>68</v>
      </c>
      <c r="B64" s="19" t="s">
        <v>1052</v>
      </c>
      <c r="C64" s="20">
        <v>0.33680555555555558</v>
      </c>
      <c r="D64" s="19" t="s">
        <v>70</v>
      </c>
      <c r="E64" s="19" t="s">
        <v>51</v>
      </c>
      <c r="F64" s="19" t="s">
        <v>1055</v>
      </c>
      <c r="G64" s="298"/>
      <c r="H64" s="10"/>
      <c r="I64" s="11"/>
      <c r="J64" s="11"/>
      <c r="K64" s="11"/>
      <c r="L64" s="11"/>
      <c r="M64" s="11"/>
      <c r="N64" s="11"/>
      <c r="O64" s="12"/>
      <c r="P64" s="11"/>
      <c r="Q64" s="13"/>
      <c r="R64" s="14"/>
    </row>
    <row r="65" spans="1:18" ht="15" customHeight="1">
      <c r="A65" s="17" t="s">
        <v>68</v>
      </c>
      <c r="B65" s="17" t="s">
        <v>1054</v>
      </c>
      <c r="C65" s="18">
        <v>0.97916666666666663</v>
      </c>
      <c r="D65" s="17" t="s">
        <v>70</v>
      </c>
      <c r="E65" s="17" t="s">
        <v>57</v>
      </c>
      <c r="F65" s="17" t="s">
        <v>1001</v>
      </c>
      <c r="G65" s="298"/>
      <c r="H65" s="10"/>
      <c r="I65" s="11"/>
      <c r="J65" s="11"/>
      <c r="K65" s="11"/>
      <c r="L65" s="11"/>
      <c r="M65" s="11"/>
      <c r="N65" s="11"/>
      <c r="O65" s="12"/>
      <c r="P65" s="11"/>
      <c r="Q65" s="13"/>
      <c r="R65" s="14"/>
    </row>
    <row r="66" spans="1:18" ht="15" customHeight="1">
      <c r="A66" s="17" t="s">
        <v>68</v>
      </c>
      <c r="B66" s="17" t="s">
        <v>1056</v>
      </c>
      <c r="C66" s="18">
        <v>0.67361111111111116</v>
      </c>
      <c r="D66" s="17" t="s">
        <v>70</v>
      </c>
      <c r="E66" s="17" t="s">
        <v>57</v>
      </c>
      <c r="F66" s="17" t="s">
        <v>1063</v>
      </c>
      <c r="G66" s="298"/>
      <c r="H66" s="10"/>
      <c r="I66" s="11"/>
      <c r="J66" s="11"/>
      <c r="K66" s="11"/>
      <c r="L66" s="11"/>
      <c r="M66" s="11"/>
      <c r="N66" s="11"/>
      <c r="O66" s="12"/>
      <c r="P66" s="11"/>
      <c r="Q66" s="13"/>
      <c r="R66" s="14"/>
    </row>
    <row r="67" spans="1:18" ht="15" customHeight="1">
      <c r="A67" s="19" t="s">
        <v>48</v>
      </c>
      <c r="B67" s="19" t="s">
        <v>1060</v>
      </c>
      <c r="C67" s="20">
        <v>0.44791666666666669</v>
      </c>
      <c r="D67" s="19" t="s">
        <v>53</v>
      </c>
      <c r="E67" s="19" t="s">
        <v>29</v>
      </c>
      <c r="F67" s="19" t="s">
        <v>912</v>
      </c>
      <c r="G67" s="298"/>
      <c r="H67" s="10"/>
      <c r="I67" s="11"/>
      <c r="J67" s="11"/>
      <c r="K67" s="11"/>
      <c r="L67" s="11"/>
      <c r="M67" s="11"/>
      <c r="N67" s="11"/>
      <c r="O67" s="12"/>
      <c r="P67" s="11"/>
      <c r="Q67" s="13"/>
      <c r="R67" s="14"/>
    </row>
    <row r="68" spans="1:18" ht="15" customHeight="1" thickBot="1">
      <c r="A68" s="76" t="s">
        <v>48</v>
      </c>
      <c r="B68" s="76" t="s">
        <v>1060</v>
      </c>
      <c r="C68" s="77">
        <v>0.44791666666666669</v>
      </c>
      <c r="D68" s="76" t="s">
        <v>70</v>
      </c>
      <c r="E68" s="76" t="s">
        <v>32</v>
      </c>
      <c r="F68" s="76" t="s">
        <v>912</v>
      </c>
      <c r="G68" s="299"/>
      <c r="H68" s="300"/>
      <c r="I68" s="140"/>
      <c r="J68" s="140"/>
      <c r="K68" s="140"/>
      <c r="L68" s="140"/>
      <c r="M68" s="140"/>
      <c r="N68" s="140"/>
      <c r="O68" s="141"/>
      <c r="P68" s="140"/>
      <c r="Q68" s="142"/>
      <c r="R68" s="301"/>
    </row>
    <row r="69" spans="1:18" ht="17.45" customHeight="1" thickBot="1">
      <c r="A69" s="283"/>
      <c r="B69" s="284"/>
      <c r="C69" s="284"/>
      <c r="D69" s="284"/>
      <c r="E69" s="284"/>
      <c r="F69" s="284"/>
      <c r="G69" s="284"/>
      <c r="H69" s="284"/>
      <c r="I69" s="284"/>
      <c r="J69" s="284"/>
      <c r="K69" s="284"/>
      <c r="L69" s="284"/>
      <c r="M69" s="284"/>
      <c r="N69" s="284"/>
      <c r="O69" s="284"/>
      <c r="P69" s="284"/>
      <c r="Q69" s="284"/>
      <c r="R69" s="285"/>
    </row>
    <row r="70" spans="1:18" ht="22.15" customHeight="1" thickTop="1" thickBot="1">
      <c r="A70" s="279" t="s">
        <v>6</v>
      </c>
      <c r="B70" s="295"/>
      <c r="C70" s="295"/>
      <c r="D70" s="295"/>
      <c r="E70" s="295"/>
      <c r="F70" s="296"/>
      <c r="G70" s="32">
        <v>46027</v>
      </c>
      <c r="H70" s="278" t="s">
        <v>7</v>
      </c>
      <c r="I70" s="295"/>
      <c r="J70" s="295"/>
      <c r="K70" s="295"/>
      <c r="L70" s="295"/>
      <c r="M70" s="295"/>
      <c r="N70" s="295"/>
      <c r="O70" s="295"/>
      <c r="P70" s="295"/>
      <c r="Q70" s="295"/>
      <c r="R70" s="296"/>
    </row>
    <row r="71" spans="1:18" ht="24" customHeight="1">
      <c r="A71" s="33" t="s">
        <v>8</v>
      </c>
      <c r="B71" s="33" t="s">
        <v>9</v>
      </c>
      <c r="C71" s="34" t="s">
        <v>10</v>
      </c>
      <c r="D71" s="33" t="s">
        <v>11</v>
      </c>
      <c r="E71" s="33" t="s">
        <v>12</v>
      </c>
      <c r="F71" s="35" t="s">
        <v>13</v>
      </c>
      <c r="G71" s="36" t="s">
        <v>14</v>
      </c>
      <c r="H71" s="33" t="s">
        <v>15</v>
      </c>
      <c r="I71" s="37" t="s">
        <v>16</v>
      </c>
      <c r="J71" s="38" t="s">
        <v>17</v>
      </c>
      <c r="K71" s="39" t="s">
        <v>18</v>
      </c>
      <c r="L71" s="38" t="s">
        <v>19</v>
      </c>
      <c r="M71" s="38" t="s">
        <v>20</v>
      </c>
      <c r="N71" s="38" t="s">
        <v>21</v>
      </c>
      <c r="O71" s="33" t="s">
        <v>22</v>
      </c>
      <c r="P71" s="34" t="s">
        <v>23</v>
      </c>
      <c r="Q71" s="38" t="s">
        <v>24</v>
      </c>
      <c r="R71" s="33" t="s">
        <v>25</v>
      </c>
    </row>
    <row r="72" spans="1:18" ht="15" customHeight="1">
      <c r="A72" s="8" t="s">
        <v>38</v>
      </c>
      <c r="B72" s="8" t="s">
        <v>1041</v>
      </c>
      <c r="C72" s="9">
        <v>0.44791666666666669</v>
      </c>
      <c r="D72" s="8" t="s">
        <v>40</v>
      </c>
      <c r="E72" s="8" t="s">
        <v>482</v>
      </c>
      <c r="F72" s="8" t="s">
        <v>30</v>
      </c>
      <c r="G72" s="297"/>
      <c r="H72" s="10"/>
      <c r="I72" s="11"/>
      <c r="J72" s="11"/>
      <c r="K72" s="11"/>
      <c r="L72" s="11"/>
      <c r="M72" s="11"/>
      <c r="N72" s="11"/>
      <c r="O72" s="12"/>
      <c r="P72" s="11"/>
      <c r="Q72" s="13"/>
      <c r="R72" s="14"/>
    </row>
    <row r="73" spans="1:18" ht="15" customHeight="1">
      <c r="A73" s="15" t="s">
        <v>38</v>
      </c>
      <c r="B73" s="15" t="s">
        <v>1041</v>
      </c>
      <c r="C73" s="16">
        <v>0.44791666666666669</v>
      </c>
      <c r="D73" s="15" t="s">
        <v>43</v>
      </c>
      <c r="E73" s="15" t="s">
        <v>483</v>
      </c>
      <c r="F73" s="15" t="s">
        <v>420</v>
      </c>
      <c r="G73" s="298"/>
      <c r="H73" s="10"/>
      <c r="I73" s="11"/>
      <c r="J73" s="11"/>
      <c r="K73" s="11"/>
      <c r="L73" s="11"/>
      <c r="M73" s="11"/>
      <c r="N73" s="11"/>
      <c r="O73" s="12"/>
      <c r="P73" s="11"/>
      <c r="Q73" s="13"/>
      <c r="R73" s="14"/>
    </row>
    <row r="74" spans="1:18" ht="15" customHeight="1">
      <c r="A74" s="15" t="s">
        <v>38</v>
      </c>
      <c r="B74" s="15" t="s">
        <v>1041</v>
      </c>
      <c r="C74" s="16">
        <v>0.44791666666666669</v>
      </c>
      <c r="D74" s="15" t="s">
        <v>46</v>
      </c>
      <c r="E74" s="15" t="s">
        <v>483</v>
      </c>
      <c r="F74" s="15" t="s">
        <v>106</v>
      </c>
      <c r="G74" s="298"/>
      <c r="H74" s="10"/>
      <c r="I74" s="11"/>
      <c r="J74" s="11"/>
      <c r="K74" s="11"/>
      <c r="L74" s="11"/>
      <c r="M74" s="11"/>
      <c r="N74" s="11"/>
      <c r="O74" s="12"/>
      <c r="P74" s="11"/>
      <c r="Q74" s="13"/>
      <c r="R74" s="14"/>
    </row>
    <row r="75" spans="1:18" ht="15" customHeight="1">
      <c r="A75" s="19" t="s">
        <v>26</v>
      </c>
      <c r="B75" s="19" t="s">
        <v>1047</v>
      </c>
      <c r="C75" s="20">
        <v>0.33680555555555558</v>
      </c>
      <c r="D75" s="19" t="s">
        <v>28</v>
      </c>
      <c r="E75" s="19" t="s">
        <v>177</v>
      </c>
      <c r="F75" s="19" t="s">
        <v>42</v>
      </c>
      <c r="G75" s="298"/>
      <c r="H75" s="10"/>
      <c r="I75" s="11"/>
      <c r="J75" s="11"/>
      <c r="K75" s="11"/>
      <c r="L75" s="11"/>
      <c r="M75" s="11"/>
      <c r="N75" s="11"/>
      <c r="O75" s="12"/>
      <c r="P75" s="11"/>
      <c r="Q75" s="13"/>
      <c r="R75" s="14"/>
    </row>
    <row r="76" spans="1:18" ht="15" customHeight="1">
      <c r="A76" s="15" t="s">
        <v>26</v>
      </c>
      <c r="B76" s="15" t="s">
        <v>1047</v>
      </c>
      <c r="C76" s="16">
        <v>0.33680555555555558</v>
      </c>
      <c r="D76" s="15" t="s">
        <v>31</v>
      </c>
      <c r="E76" s="15" t="s">
        <v>454</v>
      </c>
      <c r="F76" s="15" t="s">
        <v>79</v>
      </c>
      <c r="G76" s="298"/>
      <c r="H76" s="10"/>
      <c r="I76" s="11"/>
      <c r="J76" s="11"/>
      <c r="K76" s="11"/>
      <c r="L76" s="11"/>
      <c r="M76" s="11"/>
      <c r="N76" s="11"/>
      <c r="O76" s="12"/>
      <c r="P76" s="11"/>
      <c r="Q76" s="13"/>
      <c r="R76" s="14"/>
    </row>
    <row r="77" spans="1:18" ht="15" customHeight="1">
      <c r="A77" s="15" t="s">
        <v>26</v>
      </c>
      <c r="B77" s="15" t="s">
        <v>1047</v>
      </c>
      <c r="C77" s="16">
        <v>0.33680555555555558</v>
      </c>
      <c r="D77" s="15" t="s">
        <v>34</v>
      </c>
      <c r="E77" s="15" t="s">
        <v>454</v>
      </c>
      <c r="F77" s="15" t="s">
        <v>462</v>
      </c>
      <c r="G77" s="298"/>
      <c r="H77" s="10"/>
      <c r="I77" s="11"/>
      <c r="J77" s="11"/>
      <c r="K77" s="11"/>
      <c r="L77" s="11"/>
      <c r="M77" s="11"/>
      <c r="N77" s="11"/>
      <c r="O77" s="12"/>
      <c r="P77" s="11"/>
      <c r="Q77" s="13"/>
      <c r="R77" s="14"/>
    </row>
    <row r="78" spans="1:18" ht="15" customHeight="1">
      <c r="A78" s="17" t="s">
        <v>26</v>
      </c>
      <c r="B78" s="17" t="s">
        <v>1049</v>
      </c>
      <c r="C78" s="18">
        <v>0.97222222222222221</v>
      </c>
      <c r="D78" s="17" t="s">
        <v>28</v>
      </c>
      <c r="E78" s="17" t="s">
        <v>435</v>
      </c>
      <c r="F78" s="17" t="s">
        <v>42</v>
      </c>
      <c r="G78" s="298"/>
      <c r="H78" s="10"/>
      <c r="I78" s="11"/>
      <c r="J78" s="11"/>
      <c r="K78" s="11"/>
      <c r="L78" s="11"/>
      <c r="M78" s="11"/>
      <c r="N78" s="11"/>
      <c r="O78" s="12"/>
      <c r="P78" s="11"/>
      <c r="Q78" s="13"/>
      <c r="R78" s="14"/>
    </row>
    <row r="79" spans="1:18" ht="15" customHeight="1">
      <c r="A79" s="15" t="s">
        <v>26</v>
      </c>
      <c r="B79" s="15" t="s">
        <v>1049</v>
      </c>
      <c r="C79" s="16">
        <v>0.97222222222222221</v>
      </c>
      <c r="D79" s="15" t="s">
        <v>31</v>
      </c>
      <c r="E79" s="15" t="s">
        <v>108</v>
      </c>
      <c r="F79" s="15" t="s">
        <v>79</v>
      </c>
      <c r="G79" s="298"/>
      <c r="H79" s="10"/>
      <c r="I79" s="11"/>
      <c r="J79" s="11"/>
      <c r="K79" s="11"/>
      <c r="L79" s="11"/>
      <c r="M79" s="11"/>
      <c r="N79" s="11"/>
      <c r="O79" s="12"/>
      <c r="P79" s="11"/>
      <c r="Q79" s="13"/>
      <c r="R79" s="14"/>
    </row>
    <row r="80" spans="1:18" ht="15" customHeight="1">
      <c r="A80" s="15" t="s">
        <v>26</v>
      </c>
      <c r="B80" s="15" t="s">
        <v>1049</v>
      </c>
      <c r="C80" s="16">
        <v>0.97222222222222221</v>
      </c>
      <c r="D80" s="15" t="s">
        <v>34</v>
      </c>
      <c r="E80" s="15" t="s">
        <v>108</v>
      </c>
      <c r="F80" s="15" t="s">
        <v>462</v>
      </c>
      <c r="G80" s="298"/>
      <c r="H80" s="10"/>
      <c r="I80" s="11"/>
      <c r="J80" s="11"/>
      <c r="K80" s="11"/>
      <c r="L80" s="11"/>
      <c r="M80" s="11"/>
      <c r="N80" s="11"/>
      <c r="O80" s="12"/>
      <c r="P80" s="11"/>
      <c r="Q80" s="13"/>
      <c r="R80" s="14"/>
    </row>
    <row r="81" spans="1:18" ht="15" customHeight="1">
      <c r="A81" s="19" t="s">
        <v>68</v>
      </c>
      <c r="B81" s="19" t="s">
        <v>1052</v>
      </c>
      <c r="C81" s="20">
        <v>0.33680555555555558</v>
      </c>
      <c r="D81" s="19" t="s">
        <v>643</v>
      </c>
      <c r="E81" s="19" t="s">
        <v>51</v>
      </c>
      <c r="F81" s="19" t="s">
        <v>1053</v>
      </c>
      <c r="G81" s="298"/>
      <c r="H81" s="10"/>
      <c r="I81" s="11"/>
      <c r="J81" s="11"/>
      <c r="K81" s="11"/>
      <c r="L81" s="11"/>
      <c r="M81" s="11"/>
      <c r="N81" s="11"/>
      <c r="O81" s="12"/>
      <c r="P81" s="11"/>
      <c r="Q81" s="13"/>
      <c r="R81" s="14"/>
    </row>
    <row r="82" spans="1:18" ht="15" customHeight="1">
      <c r="A82" s="17" t="s">
        <v>68</v>
      </c>
      <c r="B82" s="17" t="s">
        <v>1054</v>
      </c>
      <c r="C82" s="18">
        <v>0.97916666666666663</v>
      </c>
      <c r="D82" s="17" t="s">
        <v>70</v>
      </c>
      <c r="E82" s="17" t="s">
        <v>57</v>
      </c>
      <c r="F82" s="17" t="s">
        <v>1055</v>
      </c>
      <c r="G82" s="298"/>
      <c r="H82" s="10"/>
      <c r="I82" s="11"/>
      <c r="J82" s="11"/>
      <c r="K82" s="11"/>
      <c r="L82" s="11"/>
      <c r="M82" s="11"/>
      <c r="N82" s="11"/>
      <c r="O82" s="12"/>
      <c r="P82" s="11"/>
      <c r="Q82" s="13"/>
      <c r="R82" s="14"/>
    </row>
    <row r="83" spans="1:18" ht="15" customHeight="1">
      <c r="A83" s="17" t="s">
        <v>68</v>
      </c>
      <c r="B83" s="17" t="s">
        <v>1056</v>
      </c>
      <c r="C83" s="18">
        <v>0.67361111111111116</v>
      </c>
      <c r="D83" s="17" t="s">
        <v>70</v>
      </c>
      <c r="E83" s="17" t="s">
        <v>57</v>
      </c>
      <c r="F83" s="17" t="s">
        <v>858</v>
      </c>
      <c r="G83" s="298"/>
      <c r="H83" s="10"/>
      <c r="I83" s="11"/>
      <c r="J83" s="11"/>
      <c r="K83" s="11"/>
      <c r="L83" s="11"/>
      <c r="M83" s="11"/>
      <c r="N83" s="11"/>
      <c r="O83" s="12"/>
      <c r="P83" s="11"/>
      <c r="Q83" s="13"/>
      <c r="R83" s="14"/>
    </row>
    <row r="84" spans="1:18" ht="15" customHeight="1">
      <c r="A84" s="19" t="s">
        <v>402</v>
      </c>
      <c r="B84" s="19" t="s">
        <v>1064</v>
      </c>
      <c r="C84" s="20">
        <v>0.75694444444444453</v>
      </c>
      <c r="D84" s="19" t="s">
        <v>63</v>
      </c>
      <c r="E84" s="19" t="s">
        <v>29</v>
      </c>
      <c r="F84" s="19" t="s">
        <v>1058</v>
      </c>
      <c r="G84" s="298"/>
      <c r="H84" s="10"/>
      <c r="I84" s="11"/>
      <c r="J84" s="11"/>
      <c r="K84" s="11"/>
      <c r="L84" s="11"/>
      <c r="M84" s="11"/>
      <c r="N84" s="11"/>
      <c r="O84" s="12"/>
      <c r="P84" s="11"/>
      <c r="Q84" s="13"/>
      <c r="R84" s="14"/>
    </row>
    <row r="85" spans="1:18" ht="15" customHeight="1" thickBot="1">
      <c r="A85" s="96" t="s">
        <v>48</v>
      </c>
      <c r="B85" s="96" t="s">
        <v>1060</v>
      </c>
      <c r="C85" s="97">
        <v>0.44791666666666669</v>
      </c>
      <c r="D85" s="96" t="s">
        <v>53</v>
      </c>
      <c r="E85" s="96" t="s">
        <v>29</v>
      </c>
      <c r="F85" s="96" t="s">
        <v>1072</v>
      </c>
      <c r="G85" s="299"/>
      <c r="H85" s="300"/>
      <c r="I85" s="140"/>
      <c r="J85" s="140"/>
      <c r="K85" s="140"/>
      <c r="L85" s="140"/>
      <c r="M85" s="140"/>
      <c r="N85" s="140"/>
      <c r="O85" s="141"/>
      <c r="P85" s="140"/>
      <c r="Q85" s="142"/>
      <c r="R85" s="301"/>
    </row>
    <row r="86" spans="1:18" ht="17.45" customHeight="1" thickBot="1">
      <c r="A86" s="283"/>
      <c r="B86" s="284"/>
      <c r="C86" s="284"/>
      <c r="D86" s="284"/>
      <c r="E86" s="284"/>
      <c r="F86" s="284"/>
      <c r="G86" s="284"/>
      <c r="H86" s="284"/>
      <c r="I86" s="284"/>
      <c r="J86" s="284"/>
      <c r="K86" s="284"/>
      <c r="L86" s="284"/>
      <c r="M86" s="284"/>
      <c r="N86" s="284"/>
      <c r="O86" s="284"/>
      <c r="P86" s="284"/>
      <c r="Q86" s="284"/>
      <c r="R86" s="285"/>
    </row>
    <row r="87" spans="1:18" ht="22.15" customHeight="1" thickTop="1" thickBot="1">
      <c r="A87" s="279" t="s">
        <v>6</v>
      </c>
      <c r="B87" s="295"/>
      <c r="C87" s="295"/>
      <c r="D87" s="295"/>
      <c r="E87" s="295"/>
      <c r="F87" s="296"/>
      <c r="G87" s="32">
        <v>46028</v>
      </c>
      <c r="H87" s="278" t="s">
        <v>7</v>
      </c>
      <c r="I87" s="295"/>
      <c r="J87" s="295"/>
      <c r="K87" s="295"/>
      <c r="L87" s="295"/>
      <c r="M87" s="295"/>
      <c r="N87" s="295"/>
      <c r="O87" s="295"/>
      <c r="P87" s="295"/>
      <c r="Q87" s="295"/>
      <c r="R87" s="296"/>
    </row>
    <row r="88" spans="1:18" ht="24" customHeight="1">
      <c r="A88" s="33" t="s">
        <v>8</v>
      </c>
      <c r="B88" s="33" t="s">
        <v>9</v>
      </c>
      <c r="C88" s="34" t="s">
        <v>10</v>
      </c>
      <c r="D88" s="33" t="s">
        <v>11</v>
      </c>
      <c r="E88" s="33" t="s">
        <v>12</v>
      </c>
      <c r="F88" s="35" t="s">
        <v>13</v>
      </c>
      <c r="G88" s="36" t="s">
        <v>14</v>
      </c>
      <c r="H88" s="33" t="s">
        <v>15</v>
      </c>
      <c r="I88" s="37" t="s">
        <v>16</v>
      </c>
      <c r="J88" s="38" t="s">
        <v>17</v>
      </c>
      <c r="K88" s="39" t="s">
        <v>18</v>
      </c>
      <c r="L88" s="38" t="s">
        <v>19</v>
      </c>
      <c r="M88" s="38" t="s">
        <v>20</v>
      </c>
      <c r="N88" s="38" t="s">
        <v>21</v>
      </c>
      <c r="O88" s="33" t="s">
        <v>22</v>
      </c>
      <c r="P88" s="34" t="s">
        <v>23</v>
      </c>
      <c r="Q88" s="38" t="s">
        <v>24</v>
      </c>
      <c r="R88" s="33" t="s">
        <v>25</v>
      </c>
    </row>
    <row r="89" spans="1:18" ht="15" customHeight="1">
      <c r="A89" s="8" t="s">
        <v>38</v>
      </c>
      <c r="B89" s="8" t="s">
        <v>1041</v>
      </c>
      <c r="C89" s="9">
        <v>0.44791666666666669</v>
      </c>
      <c r="D89" s="8" t="s">
        <v>40</v>
      </c>
      <c r="E89" s="8" t="s">
        <v>482</v>
      </c>
      <c r="F89" s="8" t="s">
        <v>30</v>
      </c>
      <c r="G89" s="297"/>
      <c r="H89" s="10"/>
      <c r="I89" s="11"/>
      <c r="J89" s="11"/>
      <c r="K89" s="11"/>
      <c r="L89" s="11"/>
      <c r="M89" s="11"/>
      <c r="N89" s="11"/>
      <c r="O89" s="12"/>
      <c r="P89" s="11"/>
      <c r="Q89" s="13"/>
      <c r="R89" s="14"/>
    </row>
    <row r="90" spans="1:18" ht="15" customHeight="1">
      <c r="A90" s="15" t="s">
        <v>38</v>
      </c>
      <c r="B90" s="15" t="s">
        <v>1041</v>
      </c>
      <c r="C90" s="16">
        <v>0.44791666666666669</v>
      </c>
      <c r="D90" s="15" t="s">
        <v>43</v>
      </c>
      <c r="E90" s="15" t="s">
        <v>483</v>
      </c>
      <c r="F90" s="15" t="s">
        <v>420</v>
      </c>
      <c r="G90" s="298"/>
      <c r="H90" s="10"/>
      <c r="I90" s="11"/>
      <c r="J90" s="11"/>
      <c r="K90" s="11"/>
      <c r="L90" s="11"/>
      <c r="M90" s="11"/>
      <c r="N90" s="11"/>
      <c r="O90" s="12"/>
      <c r="P90" s="11"/>
      <c r="Q90" s="13"/>
      <c r="R90" s="14"/>
    </row>
    <row r="91" spans="1:18" ht="15" customHeight="1">
      <c r="A91" s="15" t="s">
        <v>38</v>
      </c>
      <c r="B91" s="15" t="s">
        <v>1041</v>
      </c>
      <c r="C91" s="16">
        <v>0.44791666666666669</v>
      </c>
      <c r="D91" s="15" t="s">
        <v>46</v>
      </c>
      <c r="E91" s="15" t="s">
        <v>483</v>
      </c>
      <c r="F91" s="15" t="s">
        <v>106</v>
      </c>
      <c r="G91" s="298"/>
      <c r="H91" s="10"/>
      <c r="I91" s="11"/>
      <c r="J91" s="11"/>
      <c r="K91" s="11"/>
      <c r="L91" s="11"/>
      <c r="M91" s="11"/>
      <c r="N91" s="11"/>
      <c r="O91" s="12"/>
      <c r="P91" s="11"/>
      <c r="Q91" s="13"/>
      <c r="R91" s="14"/>
    </row>
    <row r="92" spans="1:18" ht="15" customHeight="1">
      <c r="A92" s="19" t="s">
        <v>26</v>
      </c>
      <c r="B92" s="19" t="s">
        <v>1047</v>
      </c>
      <c r="C92" s="20">
        <v>0.33680555555555558</v>
      </c>
      <c r="D92" s="19" t="s">
        <v>28</v>
      </c>
      <c r="E92" s="19" t="s">
        <v>107</v>
      </c>
      <c r="F92" s="19" t="s">
        <v>42</v>
      </c>
      <c r="G92" s="298"/>
      <c r="H92" s="10"/>
      <c r="I92" s="11"/>
      <c r="J92" s="11"/>
      <c r="K92" s="11"/>
      <c r="L92" s="11"/>
      <c r="M92" s="11"/>
      <c r="N92" s="11"/>
      <c r="O92" s="12"/>
      <c r="P92" s="11"/>
      <c r="Q92" s="13"/>
      <c r="R92" s="14"/>
    </row>
    <row r="93" spans="1:18" ht="15" customHeight="1">
      <c r="A93" s="15" t="s">
        <v>26</v>
      </c>
      <c r="B93" s="15" t="s">
        <v>1047</v>
      </c>
      <c r="C93" s="16">
        <v>0.33680555555555558</v>
      </c>
      <c r="D93" s="15" t="s">
        <v>31</v>
      </c>
      <c r="E93" s="15" t="s">
        <v>108</v>
      </c>
      <c r="F93" s="15" t="s">
        <v>79</v>
      </c>
      <c r="G93" s="298"/>
      <c r="H93" s="10"/>
      <c r="I93" s="11"/>
      <c r="J93" s="11"/>
      <c r="K93" s="11"/>
      <c r="L93" s="11"/>
      <c r="M93" s="11"/>
      <c r="N93" s="11"/>
      <c r="O93" s="12"/>
      <c r="P93" s="11"/>
      <c r="Q93" s="13"/>
      <c r="R93" s="14"/>
    </row>
    <row r="94" spans="1:18" ht="15" customHeight="1">
      <c r="A94" s="15" t="s">
        <v>26</v>
      </c>
      <c r="B94" s="15" t="s">
        <v>1047</v>
      </c>
      <c r="C94" s="16">
        <v>0.33680555555555558</v>
      </c>
      <c r="D94" s="15" t="s">
        <v>34</v>
      </c>
      <c r="E94" s="15" t="s">
        <v>108</v>
      </c>
      <c r="F94" s="15" t="s">
        <v>462</v>
      </c>
      <c r="G94" s="298"/>
      <c r="H94" s="10"/>
      <c r="I94" s="11"/>
      <c r="J94" s="11"/>
      <c r="K94" s="11"/>
      <c r="L94" s="11"/>
      <c r="M94" s="11"/>
      <c r="N94" s="11"/>
      <c r="O94" s="12"/>
      <c r="P94" s="11"/>
      <c r="Q94" s="13"/>
      <c r="R94" s="14"/>
    </row>
    <row r="95" spans="1:18" ht="15" customHeight="1">
      <c r="A95" s="17" t="s">
        <v>26</v>
      </c>
      <c r="B95" s="17" t="s">
        <v>1049</v>
      </c>
      <c r="C95" s="18">
        <v>0.97222222222222221</v>
      </c>
      <c r="D95" s="17" t="s">
        <v>28</v>
      </c>
      <c r="E95" s="17" t="s">
        <v>372</v>
      </c>
      <c r="F95" s="17" t="s">
        <v>1048</v>
      </c>
      <c r="G95" s="298"/>
      <c r="H95" s="10"/>
      <c r="I95" s="11"/>
      <c r="J95" s="11"/>
      <c r="K95" s="11"/>
      <c r="L95" s="11"/>
      <c r="M95" s="11"/>
      <c r="N95" s="11"/>
      <c r="O95" s="12"/>
      <c r="P95" s="11"/>
      <c r="Q95" s="13"/>
      <c r="R95" s="14"/>
    </row>
    <row r="96" spans="1:18" ht="15" customHeight="1">
      <c r="A96" s="15" t="s">
        <v>26</v>
      </c>
      <c r="B96" s="15" t="s">
        <v>1049</v>
      </c>
      <c r="C96" s="16">
        <v>0.97222222222222221</v>
      </c>
      <c r="D96" s="15" t="s">
        <v>31</v>
      </c>
      <c r="E96" s="15" t="s">
        <v>454</v>
      </c>
      <c r="F96" s="15" t="s">
        <v>420</v>
      </c>
      <c r="G96" s="298"/>
      <c r="H96" s="10"/>
      <c r="I96" s="11"/>
      <c r="J96" s="11"/>
      <c r="K96" s="11"/>
      <c r="L96" s="11"/>
      <c r="M96" s="11"/>
      <c r="N96" s="11"/>
      <c r="O96" s="12"/>
      <c r="P96" s="11"/>
      <c r="Q96" s="13"/>
      <c r="R96" s="14"/>
    </row>
    <row r="97" spans="1:18" ht="15" customHeight="1">
      <c r="A97" s="15" t="s">
        <v>26</v>
      </c>
      <c r="B97" s="15" t="s">
        <v>1049</v>
      </c>
      <c r="C97" s="16">
        <v>0.97222222222222221</v>
      </c>
      <c r="D97" s="15" t="s">
        <v>34</v>
      </c>
      <c r="E97" s="15" t="s">
        <v>454</v>
      </c>
      <c r="F97" s="15" t="s">
        <v>443</v>
      </c>
      <c r="G97" s="298"/>
      <c r="H97" s="10"/>
      <c r="I97" s="11"/>
      <c r="J97" s="11"/>
      <c r="K97" s="11"/>
      <c r="L97" s="11"/>
      <c r="M97" s="11"/>
      <c r="N97" s="11"/>
      <c r="O97" s="12"/>
      <c r="P97" s="11"/>
      <c r="Q97" s="13"/>
      <c r="R97" s="14"/>
    </row>
    <row r="98" spans="1:18" ht="15" customHeight="1">
      <c r="A98" s="67" t="s">
        <v>61</v>
      </c>
      <c r="B98" s="67" t="s">
        <v>1043</v>
      </c>
      <c r="C98" s="68">
        <v>6.9444444444444434E-2</v>
      </c>
      <c r="D98" s="67" t="s">
        <v>63</v>
      </c>
      <c r="E98" s="67" t="s">
        <v>107</v>
      </c>
      <c r="F98" s="67" t="s">
        <v>856</v>
      </c>
      <c r="G98" s="298"/>
      <c r="H98" s="69" t="s">
        <v>1045</v>
      </c>
      <c r="I98" s="70">
        <v>8.8900000000000007E-2</v>
      </c>
      <c r="J98" s="71">
        <v>16</v>
      </c>
      <c r="K98" s="72">
        <v>46344</v>
      </c>
      <c r="L98" s="71">
        <v>16</v>
      </c>
      <c r="M98" s="71">
        <v>0</v>
      </c>
      <c r="N98" s="71">
        <v>0</v>
      </c>
      <c r="O98" s="73" t="s">
        <v>552</v>
      </c>
      <c r="P98" s="74">
        <v>6.9444444444444434E-2</v>
      </c>
      <c r="Q98" s="71">
        <v>180</v>
      </c>
      <c r="R98" s="75" t="s">
        <v>1073</v>
      </c>
    </row>
    <row r="99" spans="1:18" ht="15" customHeight="1">
      <c r="A99" s="19" t="s">
        <v>415</v>
      </c>
      <c r="B99" s="19" t="s">
        <v>1062</v>
      </c>
      <c r="C99" s="20">
        <v>6.9444444444444441E-3</v>
      </c>
      <c r="D99" s="19" t="s">
        <v>63</v>
      </c>
      <c r="E99" s="19" t="s">
        <v>107</v>
      </c>
      <c r="F99" s="19" t="s">
        <v>1051</v>
      </c>
      <c r="G99" s="298"/>
      <c r="H99" s="10"/>
      <c r="I99" s="11"/>
      <c r="J99" s="11"/>
      <c r="K99" s="11"/>
      <c r="L99" s="11"/>
      <c r="M99" s="11"/>
      <c r="N99" s="11"/>
      <c r="O99" s="12"/>
      <c r="P99" s="11"/>
      <c r="Q99" s="13"/>
      <c r="R99" s="14"/>
    </row>
    <row r="100" spans="1:18" ht="15" customHeight="1">
      <c r="A100" s="17" t="s">
        <v>415</v>
      </c>
      <c r="B100" s="17" t="s">
        <v>1050</v>
      </c>
      <c r="C100" s="18">
        <v>0.88194444444444453</v>
      </c>
      <c r="D100" s="17" t="s">
        <v>63</v>
      </c>
      <c r="E100" s="17" t="s">
        <v>435</v>
      </c>
      <c r="F100" s="17" t="s">
        <v>1051</v>
      </c>
      <c r="G100" s="298"/>
      <c r="H100" s="10"/>
      <c r="I100" s="11"/>
      <c r="J100" s="11"/>
      <c r="K100" s="11"/>
      <c r="L100" s="11"/>
      <c r="M100" s="11"/>
      <c r="N100" s="11"/>
      <c r="O100" s="12"/>
      <c r="P100" s="11"/>
      <c r="Q100" s="13"/>
      <c r="R100" s="14"/>
    </row>
    <row r="101" spans="1:18" ht="15" customHeight="1">
      <c r="A101" s="19" t="s">
        <v>68</v>
      </c>
      <c r="B101" s="19" t="s">
        <v>1052</v>
      </c>
      <c r="C101" s="20">
        <v>0.33680555555555558</v>
      </c>
      <c r="D101" s="19" t="s">
        <v>643</v>
      </c>
      <c r="E101" s="19" t="s">
        <v>51</v>
      </c>
      <c r="F101" s="19" t="s">
        <v>1053</v>
      </c>
      <c r="G101" s="298"/>
      <c r="H101" s="10"/>
      <c r="I101" s="11"/>
      <c r="J101" s="11"/>
      <c r="K101" s="11"/>
      <c r="L101" s="11"/>
      <c r="M101" s="11"/>
      <c r="N101" s="11"/>
      <c r="O101" s="12"/>
      <c r="P101" s="11"/>
      <c r="Q101" s="13"/>
      <c r="R101" s="14"/>
    </row>
    <row r="102" spans="1:18" ht="15" customHeight="1">
      <c r="A102" s="17" t="s">
        <v>68</v>
      </c>
      <c r="B102" s="17" t="s">
        <v>1054</v>
      </c>
      <c r="C102" s="18">
        <v>0.97916666666666663</v>
      </c>
      <c r="D102" s="17" t="s">
        <v>643</v>
      </c>
      <c r="E102" s="17" t="s">
        <v>57</v>
      </c>
      <c r="F102" s="17" t="s">
        <v>1053</v>
      </c>
      <c r="G102" s="298"/>
      <c r="H102" s="10"/>
      <c r="I102" s="11"/>
      <c r="J102" s="11"/>
      <c r="K102" s="11"/>
      <c r="L102" s="11"/>
      <c r="M102" s="11"/>
      <c r="N102" s="11"/>
      <c r="O102" s="12"/>
      <c r="P102" s="11"/>
      <c r="Q102" s="13"/>
      <c r="R102" s="14"/>
    </row>
    <row r="103" spans="1:18" ht="15" customHeight="1">
      <c r="A103" s="17" t="s">
        <v>68</v>
      </c>
      <c r="B103" s="17" t="s">
        <v>1056</v>
      </c>
      <c r="C103" s="18">
        <v>0.67361111111111116</v>
      </c>
      <c r="D103" s="17" t="s">
        <v>70</v>
      </c>
      <c r="E103" s="17" t="s">
        <v>57</v>
      </c>
      <c r="F103" s="17" t="s">
        <v>1001</v>
      </c>
      <c r="G103" s="298"/>
      <c r="H103" s="10"/>
      <c r="I103" s="11"/>
      <c r="J103" s="11"/>
      <c r="K103" s="11"/>
      <c r="L103" s="11"/>
      <c r="M103" s="11"/>
      <c r="N103" s="11"/>
      <c r="O103" s="12"/>
      <c r="P103" s="11"/>
      <c r="Q103" s="13"/>
      <c r="R103" s="14"/>
    </row>
    <row r="104" spans="1:18" ht="15" customHeight="1">
      <c r="A104" s="19" t="s">
        <v>402</v>
      </c>
      <c r="B104" s="19" t="s">
        <v>1057</v>
      </c>
      <c r="C104" s="20">
        <v>0.75694444444444453</v>
      </c>
      <c r="D104" s="19" t="s">
        <v>63</v>
      </c>
      <c r="E104" s="19" t="s">
        <v>177</v>
      </c>
      <c r="F104" s="19" t="s">
        <v>1058</v>
      </c>
      <c r="G104" s="298"/>
      <c r="H104" s="10"/>
      <c r="I104" s="11"/>
      <c r="J104" s="11"/>
      <c r="K104" s="11"/>
      <c r="L104" s="11"/>
      <c r="M104" s="11"/>
      <c r="N104" s="11"/>
      <c r="O104" s="12"/>
      <c r="P104" s="11"/>
      <c r="Q104" s="13"/>
      <c r="R104" s="14"/>
    </row>
    <row r="105" spans="1:18" ht="15" customHeight="1" thickBot="1">
      <c r="A105" s="96" t="s">
        <v>48</v>
      </c>
      <c r="B105" s="96" t="s">
        <v>1060</v>
      </c>
      <c r="C105" s="97">
        <v>0.44791666666666669</v>
      </c>
      <c r="D105" s="96" t="s">
        <v>53</v>
      </c>
      <c r="E105" s="96" t="s">
        <v>29</v>
      </c>
      <c r="F105" s="96" t="s">
        <v>1072</v>
      </c>
      <c r="G105" s="299"/>
      <c r="H105" s="300"/>
      <c r="I105" s="140"/>
      <c r="J105" s="140"/>
      <c r="K105" s="140"/>
      <c r="L105" s="140"/>
      <c r="M105" s="140"/>
      <c r="N105" s="140"/>
      <c r="O105" s="141"/>
      <c r="P105" s="140"/>
      <c r="Q105" s="142"/>
      <c r="R105" s="301"/>
    </row>
    <row r="106" spans="1:18" ht="17.45" customHeight="1" thickBot="1">
      <c r="A106" s="283"/>
      <c r="B106" s="284"/>
      <c r="C106" s="284"/>
      <c r="D106" s="284"/>
      <c r="E106" s="284"/>
      <c r="F106" s="284"/>
      <c r="G106" s="284"/>
      <c r="H106" s="284"/>
      <c r="I106" s="284"/>
      <c r="J106" s="284"/>
      <c r="K106" s="284"/>
      <c r="L106" s="284"/>
      <c r="M106" s="284"/>
      <c r="N106" s="284"/>
      <c r="O106" s="284"/>
      <c r="P106" s="284"/>
      <c r="Q106" s="284"/>
      <c r="R106" s="285"/>
    </row>
    <row r="107" spans="1:18" ht="22.15" customHeight="1" thickTop="1" thickBot="1">
      <c r="A107" s="279" t="s">
        <v>6</v>
      </c>
      <c r="B107" s="295"/>
      <c r="C107" s="295"/>
      <c r="D107" s="295"/>
      <c r="E107" s="295"/>
      <c r="F107" s="296"/>
      <c r="G107" s="32">
        <v>46029</v>
      </c>
      <c r="H107" s="278" t="s">
        <v>7</v>
      </c>
      <c r="I107" s="295"/>
      <c r="J107" s="295"/>
      <c r="K107" s="295"/>
      <c r="L107" s="295"/>
      <c r="M107" s="295"/>
      <c r="N107" s="295"/>
      <c r="O107" s="295"/>
      <c r="P107" s="295"/>
      <c r="Q107" s="295"/>
      <c r="R107" s="296"/>
    </row>
    <row r="108" spans="1:18" ht="24" customHeight="1">
      <c r="A108" s="33" t="s">
        <v>8</v>
      </c>
      <c r="B108" s="33" t="s">
        <v>9</v>
      </c>
      <c r="C108" s="34" t="s">
        <v>10</v>
      </c>
      <c r="D108" s="33" t="s">
        <v>11</v>
      </c>
      <c r="E108" s="33" t="s">
        <v>12</v>
      </c>
      <c r="F108" s="35" t="s">
        <v>13</v>
      </c>
      <c r="G108" s="36" t="s">
        <v>14</v>
      </c>
      <c r="H108" s="33" t="s">
        <v>15</v>
      </c>
      <c r="I108" s="37" t="s">
        <v>16</v>
      </c>
      <c r="J108" s="38" t="s">
        <v>17</v>
      </c>
      <c r="K108" s="39" t="s">
        <v>18</v>
      </c>
      <c r="L108" s="38" t="s">
        <v>19</v>
      </c>
      <c r="M108" s="38" t="s">
        <v>20</v>
      </c>
      <c r="N108" s="38" t="s">
        <v>21</v>
      </c>
      <c r="O108" s="33" t="s">
        <v>22</v>
      </c>
      <c r="P108" s="34" t="s">
        <v>23</v>
      </c>
      <c r="Q108" s="38" t="s">
        <v>24</v>
      </c>
      <c r="R108" s="33" t="s">
        <v>25</v>
      </c>
    </row>
    <row r="109" spans="1:18" ht="15" customHeight="1">
      <c r="A109" s="8" t="s">
        <v>26</v>
      </c>
      <c r="B109" s="8" t="s">
        <v>1049</v>
      </c>
      <c r="C109" s="9">
        <v>0.97222222222222221</v>
      </c>
      <c r="D109" s="8" t="s">
        <v>28</v>
      </c>
      <c r="E109" s="8" t="s">
        <v>29</v>
      </c>
      <c r="F109" s="8" t="s">
        <v>42</v>
      </c>
      <c r="G109" s="297"/>
      <c r="H109" s="10"/>
      <c r="I109" s="11"/>
      <c r="J109" s="11"/>
      <c r="K109" s="11"/>
      <c r="L109" s="11"/>
      <c r="M109" s="11"/>
      <c r="N109" s="11"/>
      <c r="O109" s="12"/>
      <c r="P109" s="11"/>
      <c r="Q109" s="13"/>
      <c r="R109" s="14"/>
    </row>
    <row r="110" spans="1:18" ht="15" customHeight="1">
      <c r="A110" s="15" t="s">
        <v>26</v>
      </c>
      <c r="B110" s="15" t="s">
        <v>1049</v>
      </c>
      <c r="C110" s="16">
        <v>0.97222222222222221</v>
      </c>
      <c r="D110" s="15" t="s">
        <v>31</v>
      </c>
      <c r="E110" s="15" t="s">
        <v>32</v>
      </c>
      <c r="F110" s="15" t="s">
        <v>79</v>
      </c>
      <c r="G110" s="298"/>
      <c r="H110" s="10"/>
      <c r="I110" s="11"/>
      <c r="J110" s="11"/>
      <c r="K110" s="11"/>
      <c r="L110" s="11"/>
      <c r="M110" s="11"/>
      <c r="N110" s="11"/>
      <c r="O110" s="12"/>
      <c r="P110" s="11"/>
      <c r="Q110" s="13"/>
      <c r="R110" s="14"/>
    </row>
    <row r="111" spans="1:18" ht="15" customHeight="1">
      <c r="A111" s="15" t="s">
        <v>26</v>
      </c>
      <c r="B111" s="15" t="s">
        <v>1049</v>
      </c>
      <c r="C111" s="16">
        <v>0.97222222222222221</v>
      </c>
      <c r="D111" s="15" t="s">
        <v>34</v>
      </c>
      <c r="E111" s="15" t="s">
        <v>32</v>
      </c>
      <c r="F111" s="15" t="s">
        <v>462</v>
      </c>
      <c r="G111" s="298"/>
      <c r="H111" s="10"/>
      <c r="I111" s="11"/>
      <c r="J111" s="11"/>
      <c r="K111" s="11"/>
      <c r="L111" s="11"/>
      <c r="M111" s="11"/>
      <c r="N111" s="11"/>
      <c r="O111" s="12"/>
      <c r="P111" s="11"/>
      <c r="Q111" s="13"/>
      <c r="R111" s="14"/>
    </row>
    <row r="112" spans="1:18" ht="15" customHeight="1">
      <c r="A112" s="19" t="s">
        <v>359</v>
      </c>
      <c r="B112" s="19" t="s">
        <v>1065</v>
      </c>
      <c r="C112" s="20">
        <v>0.78472222222222221</v>
      </c>
      <c r="D112" s="19" t="s">
        <v>361</v>
      </c>
      <c r="E112" s="19" t="s">
        <v>80</v>
      </c>
      <c r="F112" s="19" t="s">
        <v>1074</v>
      </c>
      <c r="G112" s="298"/>
      <c r="H112" s="10"/>
      <c r="I112" s="11"/>
      <c r="J112" s="11"/>
      <c r="K112" s="11"/>
      <c r="L112" s="11"/>
      <c r="M112" s="11"/>
      <c r="N112" s="11"/>
      <c r="O112" s="12"/>
      <c r="P112" s="11"/>
      <c r="Q112" s="13"/>
      <c r="R112" s="14"/>
    </row>
    <row r="113" spans="1:18" ht="15" customHeight="1">
      <c r="A113" s="15" t="s">
        <v>359</v>
      </c>
      <c r="B113" s="15" t="s">
        <v>1065</v>
      </c>
      <c r="C113" s="16">
        <v>0.78472222222222221</v>
      </c>
      <c r="D113" s="15" t="s">
        <v>46</v>
      </c>
      <c r="E113" s="15" t="s">
        <v>82</v>
      </c>
      <c r="F113" s="15" t="s">
        <v>1075</v>
      </c>
      <c r="G113" s="298"/>
      <c r="H113" s="10"/>
      <c r="I113" s="11"/>
      <c r="J113" s="11"/>
      <c r="K113" s="11"/>
      <c r="L113" s="11"/>
      <c r="M113" s="11"/>
      <c r="N113" s="11"/>
      <c r="O113" s="12"/>
      <c r="P113" s="11"/>
      <c r="Q113" s="13"/>
      <c r="R113" s="14"/>
    </row>
    <row r="114" spans="1:18" ht="15" customHeight="1">
      <c r="A114" s="19" t="s">
        <v>38</v>
      </c>
      <c r="B114" s="19" t="s">
        <v>1041</v>
      </c>
      <c r="C114" s="20">
        <v>0.44791666666666669</v>
      </c>
      <c r="D114" s="19" t="s">
        <v>40</v>
      </c>
      <c r="E114" s="19" t="s">
        <v>177</v>
      </c>
      <c r="F114" s="19" t="s">
        <v>83</v>
      </c>
      <c r="G114" s="298"/>
      <c r="H114" s="10"/>
      <c r="I114" s="11"/>
      <c r="J114" s="11"/>
      <c r="K114" s="11"/>
      <c r="L114" s="11"/>
      <c r="M114" s="11"/>
      <c r="N114" s="11"/>
      <c r="O114" s="12"/>
      <c r="P114" s="11"/>
      <c r="Q114" s="13"/>
      <c r="R114" s="14"/>
    </row>
    <row r="115" spans="1:18" ht="15" customHeight="1">
      <c r="A115" s="15" t="s">
        <v>38</v>
      </c>
      <c r="B115" s="15" t="s">
        <v>1041</v>
      </c>
      <c r="C115" s="16">
        <v>0.44791666666666669</v>
      </c>
      <c r="D115" s="15" t="s">
        <v>43</v>
      </c>
      <c r="E115" s="15" t="s">
        <v>454</v>
      </c>
      <c r="F115" s="15" t="s">
        <v>162</v>
      </c>
      <c r="G115" s="298"/>
      <c r="H115" s="10"/>
      <c r="I115" s="11"/>
      <c r="J115" s="11"/>
      <c r="K115" s="11"/>
      <c r="L115" s="11"/>
      <c r="M115" s="11"/>
      <c r="N115" s="11"/>
      <c r="O115" s="12"/>
      <c r="P115" s="11"/>
      <c r="Q115" s="13"/>
      <c r="R115" s="14"/>
    </row>
    <row r="116" spans="1:18" ht="15" customHeight="1">
      <c r="A116" s="15" t="s">
        <v>38</v>
      </c>
      <c r="B116" s="15" t="s">
        <v>1041</v>
      </c>
      <c r="C116" s="16">
        <v>0.44791666666666669</v>
      </c>
      <c r="D116" s="15" t="s">
        <v>46</v>
      </c>
      <c r="E116" s="15" t="s">
        <v>454</v>
      </c>
      <c r="F116" s="15" t="s">
        <v>106</v>
      </c>
      <c r="G116" s="298"/>
      <c r="H116" s="10"/>
      <c r="I116" s="11"/>
      <c r="J116" s="11"/>
      <c r="K116" s="11"/>
      <c r="L116" s="11"/>
      <c r="M116" s="11"/>
      <c r="N116" s="11"/>
      <c r="O116" s="12"/>
      <c r="P116" s="11"/>
      <c r="Q116" s="13"/>
      <c r="R116" s="14"/>
    </row>
    <row r="117" spans="1:18" ht="15" customHeight="1">
      <c r="A117" s="19" t="s">
        <v>68</v>
      </c>
      <c r="B117" s="19" t="s">
        <v>1052</v>
      </c>
      <c r="C117" s="20">
        <v>0.33680555555555558</v>
      </c>
      <c r="D117" s="19" t="s">
        <v>643</v>
      </c>
      <c r="E117" s="19" t="s">
        <v>51</v>
      </c>
      <c r="F117" s="19" t="s">
        <v>1053</v>
      </c>
      <c r="G117" s="298"/>
      <c r="H117" s="10"/>
      <c r="I117" s="11"/>
      <c r="J117" s="11"/>
      <c r="K117" s="11"/>
      <c r="L117" s="11"/>
      <c r="M117" s="11"/>
      <c r="N117" s="11"/>
      <c r="O117" s="12"/>
      <c r="P117" s="11"/>
      <c r="Q117" s="13"/>
      <c r="R117" s="14"/>
    </row>
    <row r="118" spans="1:18" ht="15" customHeight="1">
      <c r="A118" s="17" t="s">
        <v>68</v>
      </c>
      <c r="B118" s="17" t="s">
        <v>1054</v>
      </c>
      <c r="C118" s="18">
        <v>0.97916666666666663</v>
      </c>
      <c r="D118" s="17" t="s">
        <v>643</v>
      </c>
      <c r="E118" s="17" t="s">
        <v>57</v>
      </c>
      <c r="F118" s="17" t="s">
        <v>1053</v>
      </c>
      <c r="G118" s="298"/>
      <c r="H118" s="10"/>
      <c r="I118" s="11"/>
      <c r="J118" s="11"/>
      <c r="K118" s="11"/>
      <c r="L118" s="11"/>
      <c r="M118" s="11"/>
      <c r="N118" s="11"/>
      <c r="O118" s="12"/>
      <c r="P118" s="11"/>
      <c r="Q118" s="13"/>
      <c r="R118" s="14"/>
    </row>
    <row r="119" spans="1:18" ht="15" customHeight="1">
      <c r="A119" s="17" t="s">
        <v>68</v>
      </c>
      <c r="B119" s="17" t="s">
        <v>1056</v>
      </c>
      <c r="C119" s="18">
        <v>0.67361111111111116</v>
      </c>
      <c r="D119" s="17" t="s">
        <v>70</v>
      </c>
      <c r="E119" s="17" t="s">
        <v>57</v>
      </c>
      <c r="F119" s="17" t="s">
        <v>1001</v>
      </c>
      <c r="G119" s="298"/>
      <c r="H119" s="10"/>
      <c r="I119" s="11"/>
      <c r="J119" s="11"/>
      <c r="K119" s="11"/>
      <c r="L119" s="11"/>
      <c r="M119" s="11"/>
      <c r="N119" s="11"/>
      <c r="O119" s="12"/>
      <c r="P119" s="11"/>
      <c r="Q119" s="13"/>
      <c r="R119" s="14"/>
    </row>
    <row r="120" spans="1:18" ht="15" customHeight="1">
      <c r="A120" s="19" t="s">
        <v>402</v>
      </c>
      <c r="B120" s="19" t="s">
        <v>1064</v>
      </c>
      <c r="C120" s="20">
        <v>0.69444444444444453</v>
      </c>
      <c r="D120" s="19" t="s">
        <v>63</v>
      </c>
      <c r="E120" s="19" t="s">
        <v>103</v>
      </c>
      <c r="F120" s="19" t="s">
        <v>1058</v>
      </c>
      <c r="G120" s="298"/>
      <c r="H120" s="10"/>
      <c r="I120" s="11"/>
      <c r="J120" s="11"/>
      <c r="K120" s="11"/>
      <c r="L120" s="11"/>
      <c r="M120" s="11"/>
      <c r="N120" s="11"/>
      <c r="O120" s="12"/>
      <c r="P120" s="11"/>
      <c r="Q120" s="13"/>
      <c r="R120" s="14"/>
    </row>
    <row r="121" spans="1:18" ht="15" customHeight="1" thickBot="1">
      <c r="A121" s="96" t="s">
        <v>48</v>
      </c>
      <c r="B121" s="96" t="s">
        <v>1060</v>
      </c>
      <c r="C121" s="97">
        <v>0.44791666666666669</v>
      </c>
      <c r="D121" s="96" t="s">
        <v>53</v>
      </c>
      <c r="E121" s="96" t="s">
        <v>29</v>
      </c>
      <c r="F121" s="96" t="s">
        <v>946</v>
      </c>
      <c r="G121" s="299"/>
      <c r="H121" s="300"/>
      <c r="I121" s="140"/>
      <c r="J121" s="140"/>
      <c r="K121" s="140"/>
      <c r="L121" s="140"/>
      <c r="M121" s="140"/>
      <c r="N121" s="140"/>
      <c r="O121" s="141"/>
      <c r="P121" s="140"/>
      <c r="Q121" s="142"/>
      <c r="R121" s="301"/>
    </row>
    <row r="122" spans="1:18" ht="17.45" customHeight="1" thickBot="1">
      <c r="A122" s="283"/>
      <c r="B122" s="284"/>
      <c r="C122" s="284"/>
      <c r="D122" s="284"/>
      <c r="E122" s="284"/>
      <c r="F122" s="284"/>
      <c r="G122" s="284"/>
      <c r="H122" s="284"/>
      <c r="I122" s="284"/>
      <c r="J122" s="284"/>
      <c r="K122" s="284"/>
      <c r="L122" s="284"/>
      <c r="M122" s="284"/>
      <c r="N122" s="284"/>
      <c r="O122" s="284"/>
      <c r="P122" s="284"/>
      <c r="Q122" s="284"/>
      <c r="R122" s="285"/>
    </row>
    <row r="123" spans="1:18" ht="22.15" customHeight="1" thickTop="1" thickBot="1">
      <c r="A123" s="279" t="s">
        <v>6</v>
      </c>
      <c r="B123" s="295"/>
      <c r="C123" s="295"/>
      <c r="D123" s="295"/>
      <c r="E123" s="295"/>
      <c r="F123" s="296"/>
      <c r="G123" s="32">
        <v>46030</v>
      </c>
      <c r="H123" s="278" t="s">
        <v>7</v>
      </c>
      <c r="I123" s="295"/>
      <c r="J123" s="295"/>
      <c r="K123" s="295"/>
      <c r="L123" s="295"/>
      <c r="M123" s="295"/>
      <c r="N123" s="295"/>
      <c r="O123" s="295"/>
      <c r="P123" s="295"/>
      <c r="Q123" s="295"/>
      <c r="R123" s="296"/>
    </row>
    <row r="124" spans="1:18" ht="24" customHeight="1">
      <c r="A124" s="33" t="s">
        <v>8</v>
      </c>
      <c r="B124" s="33" t="s">
        <v>9</v>
      </c>
      <c r="C124" s="34" t="s">
        <v>10</v>
      </c>
      <c r="D124" s="33" t="s">
        <v>11</v>
      </c>
      <c r="E124" s="33" t="s">
        <v>12</v>
      </c>
      <c r="F124" s="35" t="s">
        <v>13</v>
      </c>
      <c r="G124" s="36" t="s">
        <v>14</v>
      </c>
      <c r="H124" s="33" t="s">
        <v>15</v>
      </c>
      <c r="I124" s="37" t="s">
        <v>16</v>
      </c>
      <c r="J124" s="38" t="s">
        <v>17</v>
      </c>
      <c r="K124" s="39" t="s">
        <v>18</v>
      </c>
      <c r="L124" s="38" t="s">
        <v>19</v>
      </c>
      <c r="M124" s="38" t="s">
        <v>20</v>
      </c>
      <c r="N124" s="38" t="s">
        <v>21</v>
      </c>
      <c r="O124" s="33" t="s">
        <v>22</v>
      </c>
      <c r="P124" s="34" t="s">
        <v>23</v>
      </c>
      <c r="Q124" s="38" t="s">
        <v>24</v>
      </c>
      <c r="R124" s="33" t="s">
        <v>25</v>
      </c>
    </row>
    <row r="125" spans="1:18" ht="15" customHeight="1">
      <c r="A125" s="8" t="s">
        <v>38</v>
      </c>
      <c r="B125" s="8" t="s">
        <v>1041</v>
      </c>
      <c r="C125" s="9">
        <v>0.44791666666666669</v>
      </c>
      <c r="D125" s="8" t="s">
        <v>40</v>
      </c>
      <c r="E125" s="8" t="s">
        <v>482</v>
      </c>
      <c r="F125" s="8" t="s">
        <v>30</v>
      </c>
      <c r="G125" s="297"/>
      <c r="H125" s="10"/>
      <c r="I125" s="11"/>
      <c r="J125" s="11"/>
      <c r="K125" s="11"/>
      <c r="L125" s="11"/>
      <c r="M125" s="11"/>
      <c r="N125" s="11"/>
      <c r="O125" s="12"/>
      <c r="P125" s="11"/>
      <c r="Q125" s="13"/>
      <c r="R125" s="14"/>
    </row>
    <row r="126" spans="1:18" ht="15" customHeight="1">
      <c r="A126" s="15" t="s">
        <v>38</v>
      </c>
      <c r="B126" s="15" t="s">
        <v>1041</v>
      </c>
      <c r="C126" s="16">
        <v>0.44791666666666669</v>
      </c>
      <c r="D126" s="15" t="s">
        <v>43</v>
      </c>
      <c r="E126" s="15" t="s">
        <v>483</v>
      </c>
      <c r="F126" s="15" t="s">
        <v>420</v>
      </c>
      <c r="G126" s="298"/>
      <c r="H126" s="10"/>
      <c r="I126" s="11"/>
      <c r="J126" s="11"/>
      <c r="K126" s="11"/>
      <c r="L126" s="11"/>
      <c r="M126" s="11"/>
      <c r="N126" s="11"/>
      <c r="O126" s="12"/>
      <c r="P126" s="11"/>
      <c r="Q126" s="13"/>
      <c r="R126" s="14"/>
    </row>
    <row r="127" spans="1:18" ht="15" customHeight="1">
      <c r="A127" s="15" t="s">
        <v>38</v>
      </c>
      <c r="B127" s="15" t="s">
        <v>1041</v>
      </c>
      <c r="C127" s="16">
        <v>0.44791666666666669</v>
      </c>
      <c r="D127" s="15" t="s">
        <v>46</v>
      </c>
      <c r="E127" s="15" t="s">
        <v>483</v>
      </c>
      <c r="F127" s="15" t="s">
        <v>106</v>
      </c>
      <c r="G127" s="298"/>
      <c r="H127" s="10"/>
      <c r="I127" s="11"/>
      <c r="J127" s="11"/>
      <c r="K127" s="11"/>
      <c r="L127" s="11"/>
      <c r="M127" s="11"/>
      <c r="N127" s="11"/>
      <c r="O127" s="12"/>
      <c r="P127" s="11"/>
      <c r="Q127" s="13"/>
      <c r="R127" s="14"/>
    </row>
    <row r="128" spans="1:18" ht="15" customHeight="1">
      <c r="A128" s="21" t="s">
        <v>61</v>
      </c>
      <c r="B128" s="21" t="s">
        <v>1043</v>
      </c>
      <c r="C128" s="22">
        <v>0.72222222222222221</v>
      </c>
      <c r="D128" s="21" t="s">
        <v>63</v>
      </c>
      <c r="E128" s="21" t="s">
        <v>156</v>
      </c>
      <c r="F128" s="21" t="s">
        <v>1076</v>
      </c>
      <c r="G128" s="298"/>
      <c r="H128" s="23" t="s">
        <v>1045</v>
      </c>
      <c r="I128" s="24">
        <v>8.3299999999999999E-2</v>
      </c>
      <c r="J128" s="25">
        <v>15</v>
      </c>
      <c r="K128" s="26">
        <v>46343</v>
      </c>
      <c r="L128" s="25">
        <v>15</v>
      </c>
      <c r="M128" s="25">
        <v>0</v>
      </c>
      <c r="N128" s="25">
        <v>0</v>
      </c>
      <c r="O128" s="27" t="s">
        <v>570</v>
      </c>
      <c r="P128" s="28">
        <v>0.72222222222222221</v>
      </c>
      <c r="Q128" s="25">
        <v>180</v>
      </c>
      <c r="R128" s="29" t="s">
        <v>1077</v>
      </c>
    </row>
    <row r="129" spans="1:18" ht="15" customHeight="1">
      <c r="A129" s="19" t="s">
        <v>26</v>
      </c>
      <c r="B129" s="19" t="s">
        <v>1047</v>
      </c>
      <c r="C129" s="20">
        <v>0.33680555555555558</v>
      </c>
      <c r="D129" s="19" t="s">
        <v>28</v>
      </c>
      <c r="E129" s="19" t="s">
        <v>107</v>
      </c>
      <c r="F129" s="19" t="s">
        <v>42</v>
      </c>
      <c r="G129" s="298"/>
      <c r="H129" s="10"/>
      <c r="I129" s="11"/>
      <c r="J129" s="11"/>
      <c r="K129" s="11"/>
      <c r="L129" s="11"/>
      <c r="M129" s="11"/>
      <c r="N129" s="11"/>
      <c r="O129" s="12"/>
      <c r="P129" s="11"/>
      <c r="Q129" s="13"/>
      <c r="R129" s="14"/>
    </row>
    <row r="130" spans="1:18" ht="15" customHeight="1">
      <c r="A130" s="15" t="s">
        <v>26</v>
      </c>
      <c r="B130" s="15" t="s">
        <v>1047</v>
      </c>
      <c r="C130" s="16">
        <v>0.33680555555555558</v>
      </c>
      <c r="D130" s="15" t="s">
        <v>31</v>
      </c>
      <c r="E130" s="15" t="s">
        <v>108</v>
      </c>
      <c r="F130" s="15" t="s">
        <v>79</v>
      </c>
      <c r="G130" s="298"/>
      <c r="H130" s="10"/>
      <c r="I130" s="11"/>
      <c r="J130" s="11"/>
      <c r="K130" s="11"/>
      <c r="L130" s="11"/>
      <c r="M130" s="11"/>
      <c r="N130" s="11"/>
      <c r="O130" s="12"/>
      <c r="P130" s="11"/>
      <c r="Q130" s="13"/>
      <c r="R130" s="14"/>
    </row>
    <row r="131" spans="1:18" ht="15" customHeight="1">
      <c r="A131" s="15" t="s">
        <v>26</v>
      </c>
      <c r="B131" s="15" t="s">
        <v>1047</v>
      </c>
      <c r="C131" s="16">
        <v>0.33680555555555558</v>
      </c>
      <c r="D131" s="15" t="s">
        <v>34</v>
      </c>
      <c r="E131" s="15" t="s">
        <v>108</v>
      </c>
      <c r="F131" s="15" t="s">
        <v>462</v>
      </c>
      <c r="G131" s="298"/>
      <c r="H131" s="10"/>
      <c r="I131" s="11"/>
      <c r="J131" s="11"/>
      <c r="K131" s="11"/>
      <c r="L131" s="11"/>
      <c r="M131" s="11"/>
      <c r="N131" s="11"/>
      <c r="O131" s="12"/>
      <c r="P131" s="11"/>
      <c r="Q131" s="13"/>
      <c r="R131" s="14"/>
    </row>
    <row r="132" spans="1:18" ht="15" customHeight="1">
      <c r="A132" s="17" t="s">
        <v>26</v>
      </c>
      <c r="B132" s="17" t="s">
        <v>1049</v>
      </c>
      <c r="C132" s="18">
        <v>0.97222222222222221</v>
      </c>
      <c r="D132" s="17" t="s">
        <v>28</v>
      </c>
      <c r="E132" s="17" t="s">
        <v>372</v>
      </c>
      <c r="F132" s="17" t="s">
        <v>42</v>
      </c>
      <c r="G132" s="298"/>
      <c r="H132" s="10"/>
      <c r="I132" s="11"/>
      <c r="J132" s="11"/>
      <c r="K132" s="11"/>
      <c r="L132" s="11"/>
      <c r="M132" s="11"/>
      <c r="N132" s="11"/>
      <c r="O132" s="12"/>
      <c r="P132" s="11"/>
      <c r="Q132" s="13"/>
      <c r="R132" s="14"/>
    </row>
    <row r="133" spans="1:18" ht="15" customHeight="1">
      <c r="A133" s="15" t="s">
        <v>26</v>
      </c>
      <c r="B133" s="15" t="s">
        <v>1049</v>
      </c>
      <c r="C133" s="16">
        <v>0.97222222222222221</v>
      </c>
      <c r="D133" s="15" t="s">
        <v>31</v>
      </c>
      <c r="E133" s="15" t="s">
        <v>454</v>
      </c>
      <c r="F133" s="15" t="s">
        <v>79</v>
      </c>
      <c r="G133" s="298"/>
      <c r="H133" s="10"/>
      <c r="I133" s="11"/>
      <c r="J133" s="11"/>
      <c r="K133" s="11"/>
      <c r="L133" s="11"/>
      <c r="M133" s="11"/>
      <c r="N133" s="11"/>
      <c r="O133" s="12"/>
      <c r="P133" s="11"/>
      <c r="Q133" s="13"/>
      <c r="R133" s="14"/>
    </row>
    <row r="134" spans="1:18" ht="15" customHeight="1">
      <c r="A134" s="15" t="s">
        <v>26</v>
      </c>
      <c r="B134" s="15" t="s">
        <v>1049</v>
      </c>
      <c r="C134" s="16">
        <v>0.97222222222222221</v>
      </c>
      <c r="D134" s="15" t="s">
        <v>34</v>
      </c>
      <c r="E134" s="15" t="s">
        <v>454</v>
      </c>
      <c r="F134" s="15" t="s">
        <v>462</v>
      </c>
      <c r="G134" s="298"/>
      <c r="H134" s="10"/>
      <c r="I134" s="11"/>
      <c r="J134" s="11"/>
      <c r="K134" s="11"/>
      <c r="L134" s="11"/>
      <c r="M134" s="11"/>
      <c r="N134" s="11"/>
      <c r="O134" s="12"/>
      <c r="P134" s="11"/>
      <c r="Q134" s="13"/>
      <c r="R134" s="14"/>
    </row>
    <row r="135" spans="1:18" ht="15" customHeight="1">
      <c r="A135" s="19" t="s">
        <v>415</v>
      </c>
      <c r="B135" s="19" t="s">
        <v>1050</v>
      </c>
      <c r="C135" s="20">
        <v>0.75694444444444453</v>
      </c>
      <c r="D135" s="19" t="s">
        <v>63</v>
      </c>
      <c r="E135" s="19" t="s">
        <v>126</v>
      </c>
      <c r="F135" s="19" t="s">
        <v>1051</v>
      </c>
      <c r="G135" s="298"/>
      <c r="H135" s="10"/>
      <c r="I135" s="11"/>
      <c r="J135" s="11"/>
      <c r="K135" s="11"/>
      <c r="L135" s="11"/>
      <c r="M135" s="11"/>
      <c r="N135" s="11"/>
      <c r="O135" s="12"/>
      <c r="P135" s="11"/>
      <c r="Q135" s="13"/>
      <c r="R135" s="14"/>
    </row>
    <row r="136" spans="1:18" ht="15" customHeight="1">
      <c r="A136" s="19" t="s">
        <v>68</v>
      </c>
      <c r="B136" s="19" t="s">
        <v>1052</v>
      </c>
      <c r="C136" s="20">
        <v>0.33680555555555558</v>
      </c>
      <c r="D136" s="19" t="s">
        <v>643</v>
      </c>
      <c r="E136" s="19" t="s">
        <v>51</v>
      </c>
      <c r="F136" s="19" t="s">
        <v>1053</v>
      </c>
      <c r="G136" s="298"/>
      <c r="H136" s="10"/>
      <c r="I136" s="11"/>
      <c r="J136" s="11"/>
      <c r="K136" s="11"/>
      <c r="L136" s="11"/>
      <c r="M136" s="11"/>
      <c r="N136" s="11"/>
      <c r="O136" s="12"/>
      <c r="P136" s="11"/>
      <c r="Q136" s="13"/>
      <c r="R136" s="14"/>
    </row>
    <row r="137" spans="1:18" ht="15" customHeight="1">
      <c r="A137" s="17" t="s">
        <v>68</v>
      </c>
      <c r="B137" s="17" t="s">
        <v>1054</v>
      </c>
      <c r="C137" s="18">
        <v>0.97916666666666663</v>
      </c>
      <c r="D137" s="17" t="s">
        <v>643</v>
      </c>
      <c r="E137" s="17" t="s">
        <v>57</v>
      </c>
      <c r="F137" s="17" t="s">
        <v>1053</v>
      </c>
      <c r="G137" s="298"/>
      <c r="H137" s="10"/>
      <c r="I137" s="11"/>
      <c r="J137" s="11"/>
      <c r="K137" s="11"/>
      <c r="L137" s="11"/>
      <c r="M137" s="11"/>
      <c r="N137" s="11"/>
      <c r="O137" s="12"/>
      <c r="P137" s="11"/>
      <c r="Q137" s="13"/>
      <c r="R137" s="14"/>
    </row>
    <row r="138" spans="1:18" ht="15" customHeight="1">
      <c r="A138" s="17" t="s">
        <v>68</v>
      </c>
      <c r="B138" s="17" t="s">
        <v>1056</v>
      </c>
      <c r="C138" s="18">
        <v>0.67361111111111116</v>
      </c>
      <c r="D138" s="17" t="s">
        <v>70</v>
      </c>
      <c r="E138" s="17" t="s">
        <v>57</v>
      </c>
      <c r="F138" s="17" t="s">
        <v>1055</v>
      </c>
      <c r="G138" s="298"/>
      <c r="H138" s="10"/>
      <c r="I138" s="11"/>
      <c r="J138" s="11"/>
      <c r="K138" s="11"/>
      <c r="L138" s="11"/>
      <c r="M138" s="11"/>
      <c r="N138" s="11"/>
      <c r="O138" s="12"/>
      <c r="P138" s="11"/>
      <c r="Q138" s="13"/>
      <c r="R138" s="14"/>
    </row>
    <row r="139" spans="1:18" ht="15" customHeight="1">
      <c r="A139" s="19" t="s">
        <v>402</v>
      </c>
      <c r="B139" s="19" t="s">
        <v>1057</v>
      </c>
      <c r="C139" s="20">
        <v>0.75694444444444453</v>
      </c>
      <c r="D139" s="19" t="s">
        <v>63</v>
      </c>
      <c r="E139" s="19" t="s">
        <v>177</v>
      </c>
      <c r="F139" s="19" t="s">
        <v>1058</v>
      </c>
      <c r="G139" s="298"/>
      <c r="H139" s="10"/>
      <c r="I139" s="11"/>
      <c r="J139" s="11"/>
      <c r="K139" s="11"/>
      <c r="L139" s="11"/>
      <c r="M139" s="11"/>
      <c r="N139" s="11"/>
      <c r="O139" s="12"/>
      <c r="P139" s="11"/>
      <c r="Q139" s="13"/>
      <c r="R139" s="14"/>
    </row>
    <row r="140" spans="1:18" ht="15" customHeight="1">
      <c r="A140" s="17" t="s">
        <v>402</v>
      </c>
      <c r="B140" s="17" t="s">
        <v>1059</v>
      </c>
      <c r="C140" s="18">
        <v>0.3611111111111111</v>
      </c>
      <c r="D140" s="17" t="s">
        <v>63</v>
      </c>
      <c r="E140" s="17" t="s">
        <v>435</v>
      </c>
      <c r="F140" s="17" t="s">
        <v>1058</v>
      </c>
      <c r="G140" s="298"/>
      <c r="H140" s="10"/>
      <c r="I140" s="11"/>
      <c r="J140" s="11"/>
      <c r="K140" s="11"/>
      <c r="L140" s="11"/>
      <c r="M140" s="11"/>
      <c r="N140" s="11"/>
      <c r="O140" s="12"/>
      <c r="P140" s="11"/>
      <c r="Q140" s="13"/>
      <c r="R140" s="14"/>
    </row>
    <row r="141" spans="1:18" ht="15" customHeight="1" thickBot="1">
      <c r="A141" s="96" t="s">
        <v>48</v>
      </c>
      <c r="B141" s="96" t="s">
        <v>1060</v>
      </c>
      <c r="C141" s="97">
        <v>0.44791666666666669</v>
      </c>
      <c r="D141" s="96" t="s">
        <v>53</v>
      </c>
      <c r="E141" s="96" t="s">
        <v>29</v>
      </c>
      <c r="F141" s="96" t="s">
        <v>1072</v>
      </c>
      <c r="G141" s="299"/>
      <c r="H141" s="300"/>
      <c r="I141" s="140"/>
      <c r="J141" s="140"/>
      <c r="K141" s="140"/>
      <c r="L141" s="140"/>
      <c r="M141" s="140"/>
      <c r="N141" s="140"/>
      <c r="O141" s="141"/>
      <c r="P141" s="140"/>
      <c r="Q141" s="142"/>
      <c r="R141" s="301"/>
    </row>
    <row r="142" spans="1:18" ht="17.45" customHeight="1" thickBot="1">
      <c r="A142" s="283"/>
      <c r="B142" s="284"/>
      <c r="C142" s="284"/>
      <c r="D142" s="284"/>
      <c r="E142" s="284"/>
      <c r="F142" s="284"/>
      <c r="G142" s="284"/>
      <c r="H142" s="284"/>
      <c r="I142" s="284"/>
      <c r="J142" s="284"/>
      <c r="K142" s="284"/>
      <c r="L142" s="284"/>
      <c r="M142" s="284"/>
      <c r="N142" s="284"/>
      <c r="O142" s="284"/>
      <c r="P142" s="284"/>
      <c r="Q142" s="284"/>
      <c r="R142" s="285"/>
    </row>
    <row r="143" spans="1:18" ht="22.15" customHeight="1" thickTop="1" thickBot="1">
      <c r="A143" s="279" t="s">
        <v>6</v>
      </c>
      <c r="B143" s="295"/>
      <c r="C143" s="295"/>
      <c r="D143" s="295"/>
      <c r="E143" s="295"/>
      <c r="F143" s="296"/>
      <c r="G143" s="32">
        <v>46031</v>
      </c>
      <c r="H143" s="278" t="s">
        <v>7</v>
      </c>
      <c r="I143" s="295"/>
      <c r="J143" s="295"/>
      <c r="K143" s="295"/>
      <c r="L143" s="295"/>
      <c r="M143" s="295"/>
      <c r="N143" s="295"/>
      <c r="O143" s="295"/>
      <c r="P143" s="295"/>
      <c r="Q143" s="295"/>
      <c r="R143" s="296"/>
    </row>
    <row r="144" spans="1:18" ht="24" customHeight="1">
      <c r="A144" s="33" t="s">
        <v>8</v>
      </c>
      <c r="B144" s="33" t="s">
        <v>9</v>
      </c>
      <c r="C144" s="34" t="s">
        <v>10</v>
      </c>
      <c r="D144" s="33" t="s">
        <v>11</v>
      </c>
      <c r="E144" s="33" t="s">
        <v>12</v>
      </c>
      <c r="F144" s="35" t="s">
        <v>13</v>
      </c>
      <c r="G144" s="36" t="s">
        <v>14</v>
      </c>
      <c r="H144" s="33" t="s">
        <v>15</v>
      </c>
      <c r="I144" s="37" t="s">
        <v>16</v>
      </c>
      <c r="J144" s="38" t="s">
        <v>17</v>
      </c>
      <c r="K144" s="39" t="s">
        <v>18</v>
      </c>
      <c r="L144" s="38" t="s">
        <v>19</v>
      </c>
      <c r="M144" s="38" t="s">
        <v>20</v>
      </c>
      <c r="N144" s="38" t="s">
        <v>21</v>
      </c>
      <c r="O144" s="33" t="s">
        <v>22</v>
      </c>
      <c r="P144" s="34" t="s">
        <v>23</v>
      </c>
      <c r="Q144" s="38" t="s">
        <v>24</v>
      </c>
      <c r="R144" s="33" t="s">
        <v>25</v>
      </c>
    </row>
    <row r="145" spans="1:18" ht="15" customHeight="1">
      <c r="A145" s="8" t="s">
        <v>38</v>
      </c>
      <c r="B145" s="8" t="s">
        <v>1041</v>
      </c>
      <c r="C145" s="9">
        <v>0.44791666666666669</v>
      </c>
      <c r="D145" s="8" t="s">
        <v>40</v>
      </c>
      <c r="E145" s="8" t="s">
        <v>482</v>
      </c>
      <c r="F145" s="8" t="s">
        <v>30</v>
      </c>
      <c r="G145" s="297"/>
      <c r="H145" s="10"/>
      <c r="I145" s="11"/>
      <c r="J145" s="11"/>
      <c r="K145" s="11"/>
      <c r="L145" s="11"/>
      <c r="M145" s="11"/>
      <c r="N145" s="11"/>
      <c r="O145" s="12"/>
      <c r="P145" s="11"/>
      <c r="Q145" s="13"/>
      <c r="R145" s="14"/>
    </row>
    <row r="146" spans="1:18" ht="15" customHeight="1">
      <c r="A146" s="15" t="s">
        <v>38</v>
      </c>
      <c r="B146" s="15" t="s">
        <v>1041</v>
      </c>
      <c r="C146" s="16">
        <v>0.44791666666666669</v>
      </c>
      <c r="D146" s="15" t="s">
        <v>43</v>
      </c>
      <c r="E146" s="15" t="s">
        <v>483</v>
      </c>
      <c r="F146" s="15" t="s">
        <v>420</v>
      </c>
      <c r="G146" s="298"/>
      <c r="H146" s="10"/>
      <c r="I146" s="11"/>
      <c r="J146" s="11"/>
      <c r="K146" s="11"/>
      <c r="L146" s="11"/>
      <c r="M146" s="11"/>
      <c r="N146" s="11"/>
      <c r="O146" s="12"/>
      <c r="P146" s="11"/>
      <c r="Q146" s="13"/>
      <c r="R146" s="14"/>
    </row>
    <row r="147" spans="1:18" ht="15" customHeight="1">
      <c r="A147" s="15" t="s">
        <v>38</v>
      </c>
      <c r="B147" s="15" t="s">
        <v>1041</v>
      </c>
      <c r="C147" s="16">
        <v>0.44791666666666669</v>
      </c>
      <c r="D147" s="15" t="s">
        <v>46</v>
      </c>
      <c r="E147" s="15" t="s">
        <v>483</v>
      </c>
      <c r="F147" s="15" t="s">
        <v>106</v>
      </c>
      <c r="G147" s="298"/>
      <c r="H147" s="10"/>
      <c r="I147" s="11"/>
      <c r="J147" s="11"/>
      <c r="K147" s="11"/>
      <c r="L147" s="11"/>
      <c r="M147" s="11"/>
      <c r="N147" s="11"/>
      <c r="O147" s="12"/>
      <c r="P147" s="11"/>
      <c r="Q147" s="13"/>
      <c r="R147" s="14"/>
    </row>
    <row r="148" spans="1:18" ht="15" customHeight="1">
      <c r="A148" s="98" t="s">
        <v>61</v>
      </c>
      <c r="B148" s="98" t="s">
        <v>1043</v>
      </c>
      <c r="C148" s="99">
        <v>0.38194444444444442</v>
      </c>
      <c r="D148" s="98" t="s">
        <v>63</v>
      </c>
      <c r="E148" s="98" t="s">
        <v>29</v>
      </c>
      <c r="F148" s="98" t="s">
        <v>856</v>
      </c>
      <c r="G148" s="298"/>
      <c r="H148" s="100" t="s">
        <v>1045</v>
      </c>
      <c r="I148" s="101">
        <v>0.1056</v>
      </c>
      <c r="J148" s="102">
        <v>19</v>
      </c>
      <c r="K148" s="103">
        <v>46343</v>
      </c>
      <c r="L148" s="102">
        <v>19</v>
      </c>
      <c r="M148" s="102">
        <v>0</v>
      </c>
      <c r="N148" s="102">
        <v>0</v>
      </c>
      <c r="O148" s="104" t="s">
        <v>368</v>
      </c>
      <c r="P148" s="105">
        <v>0.38194444444444442</v>
      </c>
      <c r="Q148" s="102">
        <v>180</v>
      </c>
      <c r="R148" s="106" t="s">
        <v>1078</v>
      </c>
    </row>
    <row r="149" spans="1:18" ht="15" customHeight="1">
      <c r="A149" s="19" t="s">
        <v>415</v>
      </c>
      <c r="B149" s="19" t="s">
        <v>1062</v>
      </c>
      <c r="C149" s="20">
        <v>6.9444444444444441E-3</v>
      </c>
      <c r="D149" s="19" t="s">
        <v>63</v>
      </c>
      <c r="E149" s="19" t="s">
        <v>107</v>
      </c>
      <c r="F149" s="19" t="s">
        <v>1051</v>
      </c>
      <c r="G149" s="298"/>
      <c r="H149" s="10"/>
      <c r="I149" s="11"/>
      <c r="J149" s="11"/>
      <c r="K149" s="11"/>
      <c r="L149" s="11"/>
      <c r="M149" s="11"/>
      <c r="N149" s="11"/>
      <c r="O149" s="12"/>
      <c r="P149" s="11"/>
      <c r="Q149" s="13"/>
      <c r="R149" s="14"/>
    </row>
    <row r="150" spans="1:18" ht="15" customHeight="1">
      <c r="A150" s="19" t="s">
        <v>68</v>
      </c>
      <c r="B150" s="19" t="s">
        <v>1052</v>
      </c>
      <c r="C150" s="20">
        <v>0.33680555555555558</v>
      </c>
      <c r="D150" s="19" t="s">
        <v>643</v>
      </c>
      <c r="E150" s="19" t="s">
        <v>51</v>
      </c>
      <c r="F150" s="19" t="s">
        <v>830</v>
      </c>
      <c r="G150" s="298"/>
      <c r="H150" s="10"/>
      <c r="I150" s="11"/>
      <c r="J150" s="11"/>
      <c r="K150" s="11"/>
      <c r="L150" s="11"/>
      <c r="M150" s="11"/>
      <c r="N150" s="11"/>
      <c r="O150" s="12"/>
      <c r="P150" s="11"/>
      <c r="Q150" s="13"/>
      <c r="R150" s="14"/>
    </row>
    <row r="151" spans="1:18" ht="15" customHeight="1">
      <c r="A151" s="17" t="s">
        <v>68</v>
      </c>
      <c r="B151" s="17" t="s">
        <v>1054</v>
      </c>
      <c r="C151" s="18">
        <v>0.97916666666666663</v>
      </c>
      <c r="D151" s="17" t="s">
        <v>70</v>
      </c>
      <c r="E151" s="17" t="s">
        <v>57</v>
      </c>
      <c r="F151" s="17" t="s">
        <v>1055</v>
      </c>
      <c r="G151" s="298"/>
      <c r="H151" s="10"/>
      <c r="I151" s="11"/>
      <c r="J151" s="11"/>
      <c r="K151" s="11"/>
      <c r="L151" s="11"/>
      <c r="M151" s="11"/>
      <c r="N151" s="11"/>
      <c r="O151" s="12"/>
      <c r="P151" s="11"/>
      <c r="Q151" s="13"/>
      <c r="R151" s="14"/>
    </row>
    <row r="152" spans="1:18" ht="15" customHeight="1">
      <c r="A152" s="17" t="s">
        <v>68</v>
      </c>
      <c r="B152" s="17" t="s">
        <v>1056</v>
      </c>
      <c r="C152" s="18">
        <v>0.67361111111111116</v>
      </c>
      <c r="D152" s="17" t="s">
        <v>70</v>
      </c>
      <c r="E152" s="17" t="s">
        <v>57</v>
      </c>
      <c r="F152" s="17" t="s">
        <v>1001</v>
      </c>
      <c r="G152" s="298"/>
      <c r="H152" s="10"/>
      <c r="I152" s="11"/>
      <c r="J152" s="11"/>
      <c r="K152" s="11"/>
      <c r="L152" s="11"/>
      <c r="M152" s="11"/>
      <c r="N152" s="11"/>
      <c r="O152" s="12"/>
      <c r="P152" s="11"/>
      <c r="Q152" s="13"/>
      <c r="R152" s="14"/>
    </row>
    <row r="153" spans="1:18" ht="15" customHeight="1">
      <c r="A153" s="19" t="s">
        <v>26</v>
      </c>
      <c r="B153" s="19" t="s">
        <v>1049</v>
      </c>
      <c r="C153" s="20">
        <v>0.97222222222222221</v>
      </c>
      <c r="D153" s="19" t="s">
        <v>28</v>
      </c>
      <c r="E153" s="19" t="s">
        <v>29</v>
      </c>
      <c r="F153" s="19" t="s">
        <v>138</v>
      </c>
      <c r="G153" s="298"/>
      <c r="H153" s="10"/>
      <c r="I153" s="11"/>
      <c r="J153" s="11"/>
      <c r="K153" s="11"/>
      <c r="L153" s="11"/>
      <c r="M153" s="11"/>
      <c r="N153" s="11"/>
      <c r="O153" s="12"/>
      <c r="P153" s="11"/>
      <c r="Q153" s="13"/>
      <c r="R153" s="14"/>
    </row>
    <row r="154" spans="1:18" ht="15" customHeight="1">
      <c r="A154" s="15" t="s">
        <v>26</v>
      </c>
      <c r="B154" s="15" t="s">
        <v>1049</v>
      </c>
      <c r="C154" s="16">
        <v>0.97222222222222221</v>
      </c>
      <c r="D154" s="15" t="s">
        <v>31</v>
      </c>
      <c r="E154" s="15" t="s">
        <v>32</v>
      </c>
      <c r="F154" s="15" t="s">
        <v>503</v>
      </c>
      <c r="G154" s="298"/>
      <c r="H154" s="10"/>
      <c r="I154" s="11"/>
      <c r="J154" s="11"/>
      <c r="K154" s="11"/>
      <c r="L154" s="11"/>
      <c r="M154" s="11"/>
      <c r="N154" s="11"/>
      <c r="O154" s="12"/>
      <c r="P154" s="11"/>
      <c r="Q154" s="13"/>
      <c r="R154" s="14"/>
    </row>
    <row r="155" spans="1:18" ht="15" customHeight="1">
      <c r="A155" s="15" t="s">
        <v>26</v>
      </c>
      <c r="B155" s="15" t="s">
        <v>1049</v>
      </c>
      <c r="C155" s="16">
        <v>0.97222222222222221</v>
      </c>
      <c r="D155" s="15" t="s">
        <v>34</v>
      </c>
      <c r="E155" s="15" t="s">
        <v>32</v>
      </c>
      <c r="F155" s="15" t="s">
        <v>865</v>
      </c>
      <c r="G155" s="298"/>
      <c r="H155" s="10"/>
      <c r="I155" s="11"/>
      <c r="J155" s="11"/>
      <c r="K155" s="11"/>
      <c r="L155" s="11"/>
      <c r="M155" s="11"/>
      <c r="N155" s="11"/>
      <c r="O155" s="12"/>
      <c r="P155" s="11"/>
      <c r="Q155" s="13"/>
      <c r="R155" s="14"/>
    </row>
    <row r="156" spans="1:18" ht="15" customHeight="1">
      <c r="A156" s="19" t="s">
        <v>402</v>
      </c>
      <c r="B156" s="19" t="s">
        <v>1064</v>
      </c>
      <c r="C156" s="20">
        <v>0.75694444444444453</v>
      </c>
      <c r="D156" s="19" t="s">
        <v>63</v>
      </c>
      <c r="E156" s="19" t="s">
        <v>177</v>
      </c>
      <c r="F156" s="19" t="s">
        <v>1058</v>
      </c>
      <c r="G156" s="298"/>
      <c r="H156" s="10"/>
      <c r="I156" s="11"/>
      <c r="J156" s="11"/>
      <c r="K156" s="11"/>
      <c r="L156" s="11"/>
      <c r="M156" s="11"/>
      <c r="N156" s="11"/>
      <c r="O156" s="12"/>
      <c r="P156" s="11"/>
      <c r="Q156" s="13"/>
      <c r="R156" s="14"/>
    </row>
    <row r="157" spans="1:18" ht="15" customHeight="1" thickBot="1">
      <c r="A157" s="96" t="s">
        <v>48</v>
      </c>
      <c r="B157" s="96" t="s">
        <v>1060</v>
      </c>
      <c r="C157" s="97">
        <v>0.44791666666666669</v>
      </c>
      <c r="D157" s="96" t="s">
        <v>53</v>
      </c>
      <c r="E157" s="96" t="s">
        <v>29</v>
      </c>
      <c r="F157" s="96" t="s">
        <v>1072</v>
      </c>
      <c r="G157" s="299"/>
      <c r="H157" s="300"/>
      <c r="I157" s="140"/>
      <c r="J157" s="140"/>
      <c r="K157" s="140"/>
      <c r="L157" s="140"/>
      <c r="M157" s="140"/>
      <c r="N157" s="140"/>
      <c r="O157" s="141"/>
      <c r="P157" s="140"/>
      <c r="Q157" s="142"/>
      <c r="R157" s="301"/>
    </row>
    <row r="158" spans="1:18" ht="17.45" customHeight="1" thickBot="1">
      <c r="A158" s="283"/>
      <c r="B158" s="284"/>
      <c r="C158" s="284"/>
      <c r="D158" s="284"/>
      <c r="E158" s="284"/>
      <c r="F158" s="284"/>
      <c r="G158" s="284"/>
      <c r="H158" s="284"/>
      <c r="I158" s="284"/>
      <c r="J158" s="284"/>
      <c r="K158" s="284"/>
      <c r="L158" s="284"/>
      <c r="M158" s="284"/>
      <c r="N158" s="284"/>
      <c r="O158" s="284"/>
      <c r="P158" s="284"/>
      <c r="Q158" s="284"/>
      <c r="R158" s="285"/>
    </row>
    <row r="159" spans="1:18" ht="22.15" customHeight="1" thickTop="1" thickBot="1">
      <c r="A159" s="279" t="s">
        <v>6</v>
      </c>
      <c r="B159" s="295"/>
      <c r="C159" s="295"/>
      <c r="D159" s="295"/>
      <c r="E159" s="295"/>
      <c r="F159" s="296"/>
      <c r="G159" s="32">
        <v>46032</v>
      </c>
      <c r="H159" s="278" t="s">
        <v>7</v>
      </c>
      <c r="I159" s="295"/>
      <c r="J159" s="295"/>
      <c r="K159" s="295"/>
      <c r="L159" s="295"/>
      <c r="M159" s="295"/>
      <c r="N159" s="295"/>
      <c r="O159" s="295"/>
      <c r="P159" s="295"/>
      <c r="Q159" s="295"/>
      <c r="R159" s="296"/>
    </row>
    <row r="160" spans="1:18" ht="24" customHeight="1">
      <c r="A160" s="33" t="s">
        <v>8</v>
      </c>
      <c r="B160" s="33" t="s">
        <v>9</v>
      </c>
      <c r="C160" s="34" t="s">
        <v>10</v>
      </c>
      <c r="D160" s="33" t="s">
        <v>11</v>
      </c>
      <c r="E160" s="33" t="s">
        <v>12</v>
      </c>
      <c r="F160" s="35" t="s">
        <v>13</v>
      </c>
      <c r="G160" s="36" t="s">
        <v>14</v>
      </c>
      <c r="H160" s="33" t="s">
        <v>15</v>
      </c>
      <c r="I160" s="37" t="s">
        <v>16</v>
      </c>
      <c r="J160" s="38" t="s">
        <v>17</v>
      </c>
      <c r="K160" s="39" t="s">
        <v>18</v>
      </c>
      <c r="L160" s="38" t="s">
        <v>19</v>
      </c>
      <c r="M160" s="38" t="s">
        <v>20</v>
      </c>
      <c r="N160" s="38" t="s">
        <v>21</v>
      </c>
      <c r="O160" s="33" t="s">
        <v>22</v>
      </c>
      <c r="P160" s="34" t="s">
        <v>23</v>
      </c>
      <c r="Q160" s="38" t="s">
        <v>24</v>
      </c>
      <c r="R160" s="33" t="s">
        <v>25</v>
      </c>
    </row>
    <row r="161" spans="1:18" ht="15" customHeight="1">
      <c r="A161" s="8" t="s">
        <v>38</v>
      </c>
      <c r="B161" s="8" t="s">
        <v>1041</v>
      </c>
      <c r="C161" s="9">
        <v>0.44791666666666669</v>
      </c>
      <c r="D161" s="8" t="s">
        <v>40</v>
      </c>
      <c r="E161" s="8" t="s">
        <v>482</v>
      </c>
      <c r="F161" s="8" t="s">
        <v>33</v>
      </c>
      <c r="G161" s="297"/>
      <c r="H161" s="10"/>
      <c r="I161" s="11"/>
      <c r="J161" s="11"/>
      <c r="K161" s="11"/>
      <c r="L161" s="11"/>
      <c r="M161" s="11"/>
      <c r="N161" s="11"/>
      <c r="O161" s="12"/>
      <c r="P161" s="11"/>
      <c r="Q161" s="13"/>
      <c r="R161" s="14"/>
    </row>
    <row r="162" spans="1:18" ht="15" customHeight="1">
      <c r="A162" s="15" t="s">
        <v>38</v>
      </c>
      <c r="B162" s="15" t="s">
        <v>1041</v>
      </c>
      <c r="C162" s="16">
        <v>0.44791666666666669</v>
      </c>
      <c r="D162" s="15" t="s">
        <v>43</v>
      </c>
      <c r="E162" s="15" t="s">
        <v>483</v>
      </c>
      <c r="F162" s="15" t="s">
        <v>926</v>
      </c>
      <c r="G162" s="298"/>
      <c r="H162" s="10"/>
      <c r="I162" s="11"/>
      <c r="J162" s="11"/>
      <c r="K162" s="11"/>
      <c r="L162" s="11"/>
      <c r="M162" s="11"/>
      <c r="N162" s="11"/>
      <c r="O162" s="12"/>
      <c r="P162" s="11"/>
      <c r="Q162" s="13"/>
      <c r="R162" s="14"/>
    </row>
    <row r="163" spans="1:18" ht="15" customHeight="1">
      <c r="A163" s="15" t="s">
        <v>38</v>
      </c>
      <c r="B163" s="15" t="s">
        <v>1041</v>
      </c>
      <c r="C163" s="16">
        <v>0.44791666666666669</v>
      </c>
      <c r="D163" s="15" t="s">
        <v>46</v>
      </c>
      <c r="E163" s="15" t="s">
        <v>483</v>
      </c>
      <c r="F163" s="15" t="s">
        <v>106</v>
      </c>
      <c r="G163" s="298"/>
      <c r="H163" s="10"/>
      <c r="I163" s="11"/>
      <c r="J163" s="11"/>
      <c r="K163" s="11"/>
      <c r="L163" s="11"/>
      <c r="M163" s="11"/>
      <c r="N163" s="11"/>
      <c r="O163" s="12"/>
      <c r="P163" s="11"/>
      <c r="Q163" s="13"/>
      <c r="R163" s="14"/>
    </row>
    <row r="164" spans="1:18" ht="15" customHeight="1">
      <c r="A164" s="21" t="s">
        <v>61</v>
      </c>
      <c r="B164" s="21" t="s">
        <v>1043</v>
      </c>
      <c r="C164" s="22">
        <v>0.72222222222222221</v>
      </c>
      <c r="D164" s="21" t="s">
        <v>63</v>
      </c>
      <c r="E164" s="21" t="s">
        <v>126</v>
      </c>
      <c r="F164" s="21" t="s">
        <v>711</v>
      </c>
      <c r="G164" s="298"/>
      <c r="H164" s="23" t="s">
        <v>1045</v>
      </c>
      <c r="I164" s="24">
        <v>0.2389</v>
      </c>
      <c r="J164" s="25">
        <v>43</v>
      </c>
      <c r="K164" s="26">
        <v>46345</v>
      </c>
      <c r="L164" s="25">
        <v>43</v>
      </c>
      <c r="M164" s="25">
        <v>0</v>
      </c>
      <c r="N164" s="25">
        <v>0</v>
      </c>
      <c r="O164" s="27" t="s">
        <v>310</v>
      </c>
      <c r="P164" s="28">
        <v>0.72222222222222221</v>
      </c>
      <c r="Q164" s="25">
        <v>180</v>
      </c>
      <c r="R164" s="29" t="s">
        <v>1079</v>
      </c>
    </row>
    <row r="165" spans="1:18" ht="15" customHeight="1">
      <c r="A165" s="19" t="s">
        <v>26</v>
      </c>
      <c r="B165" s="19" t="s">
        <v>1047</v>
      </c>
      <c r="C165" s="20">
        <v>0.33680555555555558</v>
      </c>
      <c r="D165" s="19" t="s">
        <v>28</v>
      </c>
      <c r="E165" s="19" t="s">
        <v>156</v>
      </c>
      <c r="F165" s="19" t="s">
        <v>426</v>
      </c>
      <c r="G165" s="298"/>
      <c r="H165" s="10"/>
      <c r="I165" s="11"/>
      <c r="J165" s="11"/>
      <c r="K165" s="11"/>
      <c r="L165" s="11"/>
      <c r="M165" s="11"/>
      <c r="N165" s="11"/>
      <c r="O165" s="12"/>
      <c r="P165" s="11"/>
      <c r="Q165" s="13"/>
      <c r="R165" s="14"/>
    </row>
    <row r="166" spans="1:18" ht="15" customHeight="1">
      <c r="A166" s="15" t="s">
        <v>26</v>
      </c>
      <c r="B166" s="15" t="s">
        <v>1047</v>
      </c>
      <c r="C166" s="16">
        <v>0.33680555555555558</v>
      </c>
      <c r="D166" s="15" t="s">
        <v>31</v>
      </c>
      <c r="E166" s="15" t="s">
        <v>135</v>
      </c>
      <c r="F166" s="15" t="s">
        <v>150</v>
      </c>
      <c r="G166" s="298"/>
      <c r="H166" s="10"/>
      <c r="I166" s="11"/>
      <c r="J166" s="11"/>
      <c r="K166" s="11"/>
      <c r="L166" s="11"/>
      <c r="M166" s="11"/>
      <c r="N166" s="11"/>
      <c r="O166" s="12"/>
      <c r="P166" s="11"/>
      <c r="Q166" s="13"/>
      <c r="R166" s="14"/>
    </row>
    <row r="167" spans="1:18" ht="15" customHeight="1">
      <c r="A167" s="15" t="s">
        <v>26</v>
      </c>
      <c r="B167" s="15" t="s">
        <v>1047</v>
      </c>
      <c r="C167" s="16">
        <v>0.33680555555555558</v>
      </c>
      <c r="D167" s="15" t="s">
        <v>34</v>
      </c>
      <c r="E167" s="15" t="s">
        <v>135</v>
      </c>
      <c r="F167" s="15" t="s">
        <v>178</v>
      </c>
      <c r="G167" s="298"/>
      <c r="H167" s="10"/>
      <c r="I167" s="11"/>
      <c r="J167" s="11"/>
      <c r="K167" s="11"/>
      <c r="L167" s="11"/>
      <c r="M167" s="11"/>
      <c r="N167" s="11"/>
      <c r="O167" s="12"/>
      <c r="P167" s="11"/>
      <c r="Q167" s="13"/>
      <c r="R167" s="14"/>
    </row>
    <row r="168" spans="1:18" ht="15" customHeight="1">
      <c r="A168" s="17" t="s">
        <v>26</v>
      </c>
      <c r="B168" s="17" t="s">
        <v>1049</v>
      </c>
      <c r="C168" s="18">
        <v>0.97222222222222221</v>
      </c>
      <c r="D168" s="17" t="s">
        <v>28</v>
      </c>
      <c r="E168" s="17" t="s">
        <v>90</v>
      </c>
      <c r="F168" s="17" t="s">
        <v>138</v>
      </c>
      <c r="G168" s="298"/>
      <c r="H168" s="10"/>
      <c r="I168" s="11"/>
      <c r="J168" s="11"/>
      <c r="K168" s="11"/>
      <c r="L168" s="11"/>
      <c r="M168" s="11"/>
      <c r="N168" s="11"/>
      <c r="O168" s="12"/>
      <c r="P168" s="11"/>
      <c r="Q168" s="13"/>
      <c r="R168" s="14"/>
    </row>
    <row r="169" spans="1:18" ht="15" customHeight="1">
      <c r="A169" s="15" t="s">
        <v>26</v>
      </c>
      <c r="B169" s="15" t="s">
        <v>1049</v>
      </c>
      <c r="C169" s="16">
        <v>0.97222222222222221</v>
      </c>
      <c r="D169" s="15" t="s">
        <v>31</v>
      </c>
      <c r="E169" s="15" t="s">
        <v>82</v>
      </c>
      <c r="F169" s="15" t="s">
        <v>503</v>
      </c>
      <c r="G169" s="298"/>
      <c r="H169" s="10"/>
      <c r="I169" s="11"/>
      <c r="J169" s="11"/>
      <c r="K169" s="11"/>
      <c r="L169" s="11"/>
      <c r="M169" s="11"/>
      <c r="N169" s="11"/>
      <c r="O169" s="12"/>
      <c r="P169" s="11"/>
      <c r="Q169" s="13"/>
      <c r="R169" s="14"/>
    </row>
    <row r="170" spans="1:18" ht="15" customHeight="1">
      <c r="A170" s="15" t="s">
        <v>26</v>
      </c>
      <c r="B170" s="15" t="s">
        <v>1049</v>
      </c>
      <c r="C170" s="16">
        <v>0.97222222222222221</v>
      </c>
      <c r="D170" s="15" t="s">
        <v>34</v>
      </c>
      <c r="E170" s="15" t="s">
        <v>82</v>
      </c>
      <c r="F170" s="15" t="s">
        <v>865</v>
      </c>
      <c r="G170" s="298"/>
      <c r="H170" s="10"/>
      <c r="I170" s="11"/>
      <c r="J170" s="11"/>
      <c r="K170" s="11"/>
      <c r="L170" s="11"/>
      <c r="M170" s="11"/>
      <c r="N170" s="11"/>
      <c r="O170" s="12"/>
      <c r="P170" s="11"/>
      <c r="Q170" s="13"/>
      <c r="R170" s="14"/>
    </row>
    <row r="171" spans="1:18" ht="15" customHeight="1">
      <c r="A171" s="19" t="s">
        <v>359</v>
      </c>
      <c r="B171" s="19" t="s">
        <v>1065</v>
      </c>
      <c r="C171" s="20">
        <v>0.78472222222222221</v>
      </c>
      <c r="D171" s="19" t="s">
        <v>361</v>
      </c>
      <c r="E171" s="19" t="s">
        <v>80</v>
      </c>
      <c r="F171" s="19" t="s">
        <v>1080</v>
      </c>
      <c r="G171" s="298"/>
      <c r="H171" s="10"/>
      <c r="I171" s="11"/>
      <c r="J171" s="11"/>
      <c r="K171" s="11"/>
      <c r="L171" s="11"/>
      <c r="M171" s="11"/>
      <c r="N171" s="11"/>
      <c r="O171" s="12"/>
      <c r="P171" s="11"/>
      <c r="Q171" s="13"/>
      <c r="R171" s="14"/>
    </row>
    <row r="172" spans="1:18" ht="15" customHeight="1">
      <c r="A172" s="15" t="s">
        <v>359</v>
      </c>
      <c r="B172" s="15" t="s">
        <v>1065</v>
      </c>
      <c r="C172" s="16">
        <v>0.78472222222222221</v>
      </c>
      <c r="D172" s="15" t="s">
        <v>46</v>
      </c>
      <c r="E172" s="15" t="s">
        <v>82</v>
      </c>
      <c r="F172" s="15" t="s">
        <v>1081</v>
      </c>
      <c r="G172" s="298"/>
      <c r="H172" s="10"/>
      <c r="I172" s="11"/>
      <c r="J172" s="11"/>
      <c r="K172" s="11"/>
      <c r="L172" s="11"/>
      <c r="M172" s="11"/>
      <c r="N172" s="11"/>
      <c r="O172" s="12"/>
      <c r="P172" s="11"/>
      <c r="Q172" s="13"/>
      <c r="R172" s="14"/>
    </row>
    <row r="173" spans="1:18" ht="15" customHeight="1">
      <c r="A173" s="19" t="s">
        <v>68</v>
      </c>
      <c r="B173" s="19" t="s">
        <v>1052</v>
      </c>
      <c r="C173" s="20">
        <v>0.33680555555555558</v>
      </c>
      <c r="D173" s="19" t="s">
        <v>643</v>
      </c>
      <c r="E173" s="19" t="s">
        <v>51</v>
      </c>
      <c r="F173" s="19" t="s">
        <v>1053</v>
      </c>
      <c r="G173" s="298"/>
      <c r="H173" s="10"/>
      <c r="I173" s="11"/>
      <c r="J173" s="11"/>
      <c r="K173" s="11"/>
      <c r="L173" s="11"/>
      <c r="M173" s="11"/>
      <c r="N173" s="11"/>
      <c r="O173" s="12"/>
      <c r="P173" s="11"/>
      <c r="Q173" s="13"/>
      <c r="R173" s="14"/>
    </row>
    <row r="174" spans="1:18" ht="15" customHeight="1">
      <c r="A174" s="17" t="s">
        <v>68</v>
      </c>
      <c r="B174" s="17" t="s">
        <v>1054</v>
      </c>
      <c r="C174" s="18">
        <v>0.97916666666666663</v>
      </c>
      <c r="D174" s="17" t="s">
        <v>70</v>
      </c>
      <c r="E174" s="17" t="s">
        <v>57</v>
      </c>
      <c r="F174" s="17" t="s">
        <v>1055</v>
      </c>
      <c r="G174" s="298"/>
      <c r="H174" s="10"/>
      <c r="I174" s="11"/>
      <c r="J174" s="11"/>
      <c r="K174" s="11"/>
      <c r="L174" s="11"/>
      <c r="M174" s="11"/>
      <c r="N174" s="11"/>
      <c r="O174" s="12"/>
      <c r="P174" s="11"/>
      <c r="Q174" s="13"/>
      <c r="R174" s="14"/>
    </row>
    <row r="175" spans="1:18" ht="15" customHeight="1">
      <c r="A175" s="17" t="s">
        <v>68</v>
      </c>
      <c r="B175" s="17" t="s">
        <v>1056</v>
      </c>
      <c r="C175" s="18">
        <v>0.67361111111111116</v>
      </c>
      <c r="D175" s="17" t="s">
        <v>70</v>
      </c>
      <c r="E175" s="17" t="s">
        <v>57</v>
      </c>
      <c r="F175" s="17" t="s">
        <v>1001</v>
      </c>
      <c r="G175" s="298"/>
      <c r="H175" s="10"/>
      <c r="I175" s="11"/>
      <c r="J175" s="11"/>
      <c r="K175" s="11"/>
      <c r="L175" s="11"/>
      <c r="M175" s="11"/>
      <c r="N175" s="11"/>
      <c r="O175" s="12"/>
      <c r="P175" s="11"/>
      <c r="Q175" s="13"/>
      <c r="R175" s="14"/>
    </row>
    <row r="176" spans="1:18" ht="15" customHeight="1">
      <c r="A176" s="19" t="s">
        <v>402</v>
      </c>
      <c r="B176" s="19" t="s">
        <v>1057</v>
      </c>
      <c r="C176" s="20">
        <v>0.69444444444444453</v>
      </c>
      <c r="D176" s="19" t="s">
        <v>63</v>
      </c>
      <c r="E176" s="19" t="s">
        <v>29</v>
      </c>
      <c r="F176" s="19" t="s">
        <v>1058</v>
      </c>
      <c r="G176" s="298"/>
      <c r="H176" s="10"/>
      <c r="I176" s="11"/>
      <c r="J176" s="11"/>
      <c r="K176" s="11"/>
      <c r="L176" s="11"/>
      <c r="M176" s="11"/>
      <c r="N176" s="11"/>
      <c r="O176" s="12"/>
      <c r="P176" s="11"/>
      <c r="Q176" s="13"/>
      <c r="R176" s="14"/>
    </row>
    <row r="177" spans="1:18" ht="15" customHeight="1" thickBot="1">
      <c r="A177" s="96" t="s">
        <v>48</v>
      </c>
      <c r="B177" s="96" t="s">
        <v>1060</v>
      </c>
      <c r="C177" s="97">
        <v>0.44791666666666669</v>
      </c>
      <c r="D177" s="96" t="s">
        <v>53</v>
      </c>
      <c r="E177" s="96" t="s">
        <v>29</v>
      </c>
      <c r="F177" s="96" t="s">
        <v>933</v>
      </c>
      <c r="G177" s="299"/>
      <c r="H177" s="300"/>
      <c r="I177" s="140"/>
      <c r="J177" s="140"/>
      <c r="K177" s="140"/>
      <c r="L177" s="140"/>
      <c r="M177" s="140"/>
      <c r="N177" s="140"/>
      <c r="O177" s="141"/>
      <c r="P177" s="140"/>
      <c r="Q177" s="142"/>
      <c r="R177" s="301"/>
    </row>
    <row r="178" spans="1:18" ht="17.45" customHeight="1" thickBot="1">
      <c r="A178" s="283"/>
      <c r="B178" s="284"/>
      <c r="C178" s="284"/>
      <c r="D178" s="284"/>
      <c r="E178" s="284"/>
      <c r="F178" s="284"/>
      <c r="G178" s="284"/>
      <c r="H178" s="284"/>
      <c r="I178" s="284"/>
      <c r="J178" s="284"/>
      <c r="K178" s="284"/>
      <c r="L178" s="284"/>
      <c r="M178" s="284"/>
      <c r="N178" s="284"/>
      <c r="O178" s="284"/>
      <c r="P178" s="284"/>
      <c r="Q178" s="284"/>
      <c r="R178" s="285"/>
    </row>
    <row r="179" spans="1:18" ht="22.15" customHeight="1" thickTop="1" thickBot="1">
      <c r="A179" s="279" t="s">
        <v>6</v>
      </c>
      <c r="B179" s="295"/>
      <c r="C179" s="295"/>
      <c r="D179" s="295"/>
      <c r="E179" s="295"/>
      <c r="F179" s="296"/>
      <c r="G179" s="32">
        <v>46033</v>
      </c>
      <c r="H179" s="278" t="s">
        <v>7</v>
      </c>
      <c r="I179" s="295"/>
      <c r="J179" s="295"/>
      <c r="K179" s="295"/>
      <c r="L179" s="295"/>
      <c r="M179" s="295"/>
      <c r="N179" s="295"/>
      <c r="O179" s="295"/>
      <c r="P179" s="295"/>
      <c r="Q179" s="295"/>
      <c r="R179" s="296"/>
    </row>
    <row r="180" spans="1:18" ht="24" customHeight="1">
      <c r="A180" s="33" t="s">
        <v>8</v>
      </c>
      <c r="B180" s="33" t="s">
        <v>9</v>
      </c>
      <c r="C180" s="34" t="s">
        <v>10</v>
      </c>
      <c r="D180" s="33" t="s">
        <v>11</v>
      </c>
      <c r="E180" s="33" t="s">
        <v>12</v>
      </c>
      <c r="F180" s="35" t="s">
        <v>13</v>
      </c>
      <c r="G180" s="36" t="s">
        <v>14</v>
      </c>
      <c r="H180" s="33" t="s">
        <v>15</v>
      </c>
      <c r="I180" s="37" t="s">
        <v>16</v>
      </c>
      <c r="J180" s="38" t="s">
        <v>17</v>
      </c>
      <c r="K180" s="39" t="s">
        <v>18</v>
      </c>
      <c r="L180" s="38" t="s">
        <v>19</v>
      </c>
      <c r="M180" s="38" t="s">
        <v>20</v>
      </c>
      <c r="N180" s="38" t="s">
        <v>21</v>
      </c>
      <c r="O180" s="33" t="s">
        <v>22</v>
      </c>
      <c r="P180" s="34" t="s">
        <v>23</v>
      </c>
      <c r="Q180" s="38" t="s">
        <v>24</v>
      </c>
      <c r="R180" s="33" t="s">
        <v>25</v>
      </c>
    </row>
    <row r="181" spans="1:18" ht="15" customHeight="1">
      <c r="A181" s="8" t="s">
        <v>38</v>
      </c>
      <c r="B181" s="8" t="s">
        <v>1041</v>
      </c>
      <c r="C181" s="9">
        <v>0.44791666666666669</v>
      </c>
      <c r="D181" s="8" t="s">
        <v>40</v>
      </c>
      <c r="E181" s="8" t="s">
        <v>482</v>
      </c>
      <c r="F181" s="8" t="s">
        <v>83</v>
      </c>
      <c r="G181" s="297"/>
      <c r="H181" s="10"/>
      <c r="I181" s="11"/>
      <c r="J181" s="11"/>
      <c r="K181" s="11"/>
      <c r="L181" s="11"/>
      <c r="M181" s="11"/>
      <c r="N181" s="11"/>
      <c r="O181" s="12"/>
      <c r="P181" s="11"/>
      <c r="Q181" s="13"/>
      <c r="R181" s="14"/>
    </row>
    <row r="182" spans="1:18" ht="15" customHeight="1">
      <c r="A182" s="15" t="s">
        <v>38</v>
      </c>
      <c r="B182" s="15" t="s">
        <v>1041</v>
      </c>
      <c r="C182" s="16">
        <v>0.44791666666666669</v>
      </c>
      <c r="D182" s="15" t="s">
        <v>43</v>
      </c>
      <c r="E182" s="15" t="s">
        <v>483</v>
      </c>
      <c r="F182" s="15" t="s">
        <v>162</v>
      </c>
      <c r="G182" s="298"/>
      <c r="H182" s="10"/>
      <c r="I182" s="11"/>
      <c r="J182" s="11"/>
      <c r="K182" s="11"/>
      <c r="L182" s="11"/>
      <c r="M182" s="11"/>
      <c r="N182" s="11"/>
      <c r="O182" s="12"/>
      <c r="P182" s="11"/>
      <c r="Q182" s="13"/>
      <c r="R182" s="14"/>
    </row>
    <row r="183" spans="1:18" ht="15" customHeight="1">
      <c r="A183" s="15" t="s">
        <v>38</v>
      </c>
      <c r="B183" s="15" t="s">
        <v>1041</v>
      </c>
      <c r="C183" s="16">
        <v>0.44791666666666669</v>
      </c>
      <c r="D183" s="15" t="s">
        <v>46</v>
      </c>
      <c r="E183" s="15" t="s">
        <v>483</v>
      </c>
      <c r="F183" s="15" t="s">
        <v>106</v>
      </c>
      <c r="G183" s="298"/>
      <c r="H183" s="10"/>
      <c r="I183" s="11"/>
      <c r="J183" s="11"/>
      <c r="K183" s="11"/>
      <c r="L183" s="11"/>
      <c r="M183" s="11"/>
      <c r="N183" s="11"/>
      <c r="O183" s="12"/>
      <c r="P183" s="11"/>
      <c r="Q183" s="13"/>
      <c r="R183" s="14"/>
    </row>
    <row r="184" spans="1:18" ht="15" customHeight="1">
      <c r="A184" s="19" t="s">
        <v>26</v>
      </c>
      <c r="B184" s="19" t="s">
        <v>1049</v>
      </c>
      <c r="C184" s="20">
        <v>0.97222222222222221</v>
      </c>
      <c r="D184" s="19" t="s">
        <v>28</v>
      </c>
      <c r="E184" s="19" t="s">
        <v>143</v>
      </c>
      <c r="F184" s="19" t="s">
        <v>349</v>
      </c>
      <c r="G184" s="298"/>
      <c r="H184" s="10"/>
      <c r="I184" s="11"/>
      <c r="J184" s="11"/>
      <c r="K184" s="11"/>
      <c r="L184" s="11"/>
      <c r="M184" s="11"/>
      <c r="N184" s="11"/>
      <c r="O184" s="12"/>
      <c r="P184" s="11"/>
      <c r="Q184" s="13"/>
      <c r="R184" s="14"/>
    </row>
    <row r="185" spans="1:18" ht="15" customHeight="1">
      <c r="A185" s="15" t="s">
        <v>26</v>
      </c>
      <c r="B185" s="15" t="s">
        <v>1049</v>
      </c>
      <c r="C185" s="16">
        <v>0.97222222222222221</v>
      </c>
      <c r="D185" s="15" t="s">
        <v>31</v>
      </c>
      <c r="E185" s="15" t="s">
        <v>92</v>
      </c>
      <c r="F185" s="15" t="s">
        <v>35</v>
      </c>
      <c r="G185" s="298"/>
      <c r="H185" s="10"/>
      <c r="I185" s="11"/>
      <c r="J185" s="11"/>
      <c r="K185" s="11"/>
      <c r="L185" s="11"/>
      <c r="M185" s="11"/>
      <c r="N185" s="11"/>
      <c r="O185" s="12"/>
      <c r="P185" s="11"/>
      <c r="Q185" s="13"/>
      <c r="R185" s="14"/>
    </row>
    <row r="186" spans="1:18" ht="15" customHeight="1">
      <c r="A186" s="15" t="s">
        <v>26</v>
      </c>
      <c r="B186" s="15" t="s">
        <v>1049</v>
      </c>
      <c r="C186" s="16">
        <v>0.97222222222222221</v>
      </c>
      <c r="D186" s="15" t="s">
        <v>34</v>
      </c>
      <c r="E186" s="15" t="s">
        <v>92</v>
      </c>
      <c r="F186" s="15" t="s">
        <v>503</v>
      </c>
      <c r="G186" s="298"/>
      <c r="H186" s="10"/>
      <c r="I186" s="11"/>
      <c r="J186" s="11"/>
      <c r="K186" s="11"/>
      <c r="L186" s="11"/>
      <c r="M186" s="11"/>
      <c r="N186" s="11"/>
      <c r="O186" s="12"/>
      <c r="P186" s="11"/>
      <c r="Q186" s="13"/>
      <c r="R186" s="14"/>
    </row>
    <row r="187" spans="1:18" ht="15" customHeight="1">
      <c r="A187" s="19" t="s">
        <v>415</v>
      </c>
      <c r="B187" s="19" t="s">
        <v>1062</v>
      </c>
      <c r="C187" s="20">
        <v>6.9444444444444441E-3</v>
      </c>
      <c r="D187" s="19" t="s">
        <v>63</v>
      </c>
      <c r="E187" s="19" t="s">
        <v>177</v>
      </c>
      <c r="F187" s="19" t="s">
        <v>1051</v>
      </c>
      <c r="G187" s="298"/>
      <c r="H187" s="10"/>
      <c r="I187" s="11"/>
      <c r="J187" s="11"/>
      <c r="K187" s="11"/>
      <c r="L187" s="11"/>
      <c r="M187" s="11"/>
      <c r="N187" s="11"/>
      <c r="O187" s="12"/>
      <c r="P187" s="11"/>
      <c r="Q187" s="13"/>
      <c r="R187" s="14"/>
    </row>
    <row r="188" spans="1:18" ht="15" customHeight="1">
      <c r="A188" s="17" t="s">
        <v>415</v>
      </c>
      <c r="B188" s="17" t="s">
        <v>1071</v>
      </c>
      <c r="C188" s="18">
        <v>0.92013888888888884</v>
      </c>
      <c r="D188" s="17" t="s">
        <v>63</v>
      </c>
      <c r="E188" s="17" t="s">
        <v>98</v>
      </c>
      <c r="F188" s="17" t="s">
        <v>1051</v>
      </c>
      <c r="G188" s="298"/>
      <c r="H188" s="10"/>
      <c r="I188" s="11"/>
      <c r="J188" s="11"/>
      <c r="K188" s="11"/>
      <c r="L188" s="11"/>
      <c r="M188" s="11"/>
      <c r="N188" s="11"/>
      <c r="O188" s="12"/>
      <c r="P188" s="11"/>
      <c r="Q188" s="13"/>
      <c r="R188" s="14"/>
    </row>
    <row r="189" spans="1:18" ht="15" customHeight="1">
      <c r="A189" s="19" t="s">
        <v>68</v>
      </c>
      <c r="B189" s="19" t="s">
        <v>1052</v>
      </c>
      <c r="C189" s="20">
        <v>0.33680555555555558</v>
      </c>
      <c r="D189" s="19" t="s">
        <v>643</v>
      </c>
      <c r="E189" s="19" t="s">
        <v>51</v>
      </c>
      <c r="F189" s="19" t="s">
        <v>1053</v>
      </c>
      <c r="G189" s="298"/>
      <c r="H189" s="10"/>
      <c r="I189" s="11"/>
      <c r="J189" s="11"/>
      <c r="K189" s="11"/>
      <c r="L189" s="11"/>
      <c r="M189" s="11"/>
      <c r="N189" s="11"/>
      <c r="O189" s="12"/>
      <c r="P189" s="11"/>
      <c r="Q189" s="13"/>
      <c r="R189" s="14"/>
    </row>
    <row r="190" spans="1:18" ht="15" customHeight="1">
      <c r="A190" s="17" t="s">
        <v>68</v>
      </c>
      <c r="B190" s="17" t="s">
        <v>1054</v>
      </c>
      <c r="C190" s="18">
        <v>0.97916666666666663</v>
      </c>
      <c r="D190" s="17" t="s">
        <v>643</v>
      </c>
      <c r="E190" s="17" t="s">
        <v>57</v>
      </c>
      <c r="F190" s="17" t="s">
        <v>1053</v>
      </c>
      <c r="G190" s="298"/>
      <c r="H190" s="10"/>
      <c r="I190" s="11"/>
      <c r="J190" s="11"/>
      <c r="K190" s="11"/>
      <c r="L190" s="11"/>
      <c r="M190" s="11"/>
      <c r="N190" s="11"/>
      <c r="O190" s="12"/>
      <c r="P190" s="11"/>
      <c r="Q190" s="13"/>
      <c r="R190" s="14"/>
    </row>
    <row r="191" spans="1:18" ht="15" customHeight="1">
      <c r="A191" s="17" t="s">
        <v>68</v>
      </c>
      <c r="B191" s="17" t="s">
        <v>1056</v>
      </c>
      <c r="C191" s="18">
        <v>0.67361111111111116</v>
      </c>
      <c r="D191" s="17" t="s">
        <v>70</v>
      </c>
      <c r="E191" s="17" t="s">
        <v>57</v>
      </c>
      <c r="F191" s="17" t="s">
        <v>1055</v>
      </c>
      <c r="G191" s="298"/>
      <c r="H191" s="10"/>
      <c r="I191" s="11"/>
      <c r="J191" s="11"/>
      <c r="K191" s="11"/>
      <c r="L191" s="11"/>
      <c r="M191" s="11"/>
      <c r="N191" s="11"/>
      <c r="O191" s="12"/>
      <c r="P191" s="11"/>
      <c r="Q191" s="13"/>
      <c r="R191" s="14"/>
    </row>
    <row r="192" spans="1:18" ht="15" customHeight="1">
      <c r="A192" s="19" t="s">
        <v>402</v>
      </c>
      <c r="B192" s="19" t="s">
        <v>1059</v>
      </c>
      <c r="C192" s="20">
        <v>0.75694444444444453</v>
      </c>
      <c r="D192" s="19" t="s">
        <v>63</v>
      </c>
      <c r="E192" s="19" t="s">
        <v>143</v>
      </c>
      <c r="F192" s="19" t="s">
        <v>1058</v>
      </c>
      <c r="G192" s="298"/>
      <c r="H192" s="10"/>
      <c r="I192" s="11"/>
      <c r="J192" s="11"/>
      <c r="K192" s="11"/>
      <c r="L192" s="11"/>
      <c r="M192" s="11"/>
      <c r="N192" s="11"/>
      <c r="O192" s="12"/>
      <c r="P192" s="11"/>
      <c r="Q192" s="13"/>
      <c r="R192" s="14"/>
    </row>
    <row r="193" spans="1:18" ht="15" customHeight="1" thickBot="1">
      <c r="A193" s="96" t="s">
        <v>48</v>
      </c>
      <c r="B193" s="96" t="s">
        <v>1060</v>
      </c>
      <c r="C193" s="97">
        <v>0.44791666666666669</v>
      </c>
      <c r="D193" s="96" t="s">
        <v>53</v>
      </c>
      <c r="E193" s="96" t="s">
        <v>29</v>
      </c>
      <c r="F193" s="96" t="s">
        <v>946</v>
      </c>
      <c r="G193" s="299"/>
      <c r="H193" s="300"/>
      <c r="I193" s="140"/>
      <c r="J193" s="140"/>
      <c r="K193" s="140"/>
      <c r="L193" s="140"/>
      <c r="M193" s="140"/>
      <c r="N193" s="140"/>
      <c r="O193" s="141"/>
      <c r="P193" s="140"/>
      <c r="Q193" s="142"/>
      <c r="R193" s="301"/>
    </row>
    <row r="194" spans="1:18" ht="17.45" customHeight="1" thickBot="1">
      <c r="A194" s="283"/>
      <c r="B194" s="284"/>
      <c r="C194" s="284"/>
      <c r="D194" s="284"/>
      <c r="E194" s="284"/>
      <c r="F194" s="284"/>
      <c r="G194" s="284"/>
      <c r="H194" s="284"/>
      <c r="I194" s="284"/>
      <c r="J194" s="284"/>
      <c r="K194" s="284"/>
      <c r="L194" s="284"/>
      <c r="M194" s="284"/>
      <c r="N194" s="284"/>
      <c r="O194" s="284"/>
      <c r="P194" s="284"/>
      <c r="Q194" s="284"/>
      <c r="R194" s="285"/>
    </row>
    <row r="195" spans="1:18" ht="22.15" customHeight="1" thickTop="1" thickBot="1">
      <c r="A195" s="279" t="s">
        <v>6</v>
      </c>
      <c r="B195" s="295"/>
      <c r="C195" s="295"/>
      <c r="D195" s="295"/>
      <c r="E195" s="295"/>
      <c r="F195" s="296"/>
      <c r="G195" s="32">
        <v>46034</v>
      </c>
      <c r="H195" s="278" t="s">
        <v>7</v>
      </c>
      <c r="I195" s="295"/>
      <c r="J195" s="295"/>
      <c r="K195" s="295"/>
      <c r="L195" s="295"/>
      <c r="M195" s="295"/>
      <c r="N195" s="295"/>
      <c r="O195" s="295"/>
      <c r="P195" s="295"/>
      <c r="Q195" s="295"/>
      <c r="R195" s="296"/>
    </row>
    <row r="196" spans="1:18" ht="24" customHeight="1">
      <c r="A196" s="33" t="s">
        <v>8</v>
      </c>
      <c r="B196" s="33" t="s">
        <v>9</v>
      </c>
      <c r="C196" s="34" t="s">
        <v>10</v>
      </c>
      <c r="D196" s="33" t="s">
        <v>11</v>
      </c>
      <c r="E196" s="33" t="s">
        <v>12</v>
      </c>
      <c r="F196" s="35" t="s">
        <v>13</v>
      </c>
      <c r="G196" s="36" t="s">
        <v>14</v>
      </c>
      <c r="H196" s="33" t="s">
        <v>15</v>
      </c>
      <c r="I196" s="37" t="s">
        <v>16</v>
      </c>
      <c r="J196" s="38" t="s">
        <v>17</v>
      </c>
      <c r="K196" s="39" t="s">
        <v>18</v>
      </c>
      <c r="L196" s="38" t="s">
        <v>19</v>
      </c>
      <c r="M196" s="38" t="s">
        <v>20</v>
      </c>
      <c r="N196" s="38" t="s">
        <v>21</v>
      </c>
      <c r="O196" s="33" t="s">
        <v>22</v>
      </c>
      <c r="P196" s="34" t="s">
        <v>23</v>
      </c>
      <c r="Q196" s="38" t="s">
        <v>24</v>
      </c>
      <c r="R196" s="33" t="s">
        <v>25</v>
      </c>
    </row>
    <row r="197" spans="1:18" ht="15" customHeight="1">
      <c r="A197" s="8" t="s">
        <v>38</v>
      </c>
      <c r="B197" s="8" t="s">
        <v>1041</v>
      </c>
      <c r="C197" s="9">
        <v>0.44791666666666669</v>
      </c>
      <c r="D197" s="8" t="s">
        <v>40</v>
      </c>
      <c r="E197" s="8" t="s">
        <v>482</v>
      </c>
      <c r="F197" s="8" t="s">
        <v>83</v>
      </c>
      <c r="G197" s="297"/>
      <c r="H197" s="10"/>
      <c r="I197" s="11"/>
      <c r="J197" s="11"/>
      <c r="K197" s="11"/>
      <c r="L197" s="11"/>
      <c r="M197" s="11"/>
      <c r="N197" s="11"/>
      <c r="O197" s="12"/>
      <c r="P197" s="11"/>
      <c r="Q197" s="13"/>
      <c r="R197" s="14"/>
    </row>
    <row r="198" spans="1:18" ht="15" customHeight="1">
      <c r="A198" s="15" t="s">
        <v>38</v>
      </c>
      <c r="B198" s="15" t="s">
        <v>1041</v>
      </c>
      <c r="C198" s="16">
        <v>0.44791666666666669</v>
      </c>
      <c r="D198" s="15" t="s">
        <v>43</v>
      </c>
      <c r="E198" s="15" t="s">
        <v>483</v>
      </c>
      <c r="F198" s="15" t="s">
        <v>162</v>
      </c>
      <c r="G198" s="298"/>
      <c r="H198" s="10"/>
      <c r="I198" s="11"/>
      <c r="J198" s="11"/>
      <c r="K198" s="11"/>
      <c r="L198" s="11"/>
      <c r="M198" s="11"/>
      <c r="N198" s="11"/>
      <c r="O198" s="12"/>
      <c r="P198" s="11"/>
      <c r="Q198" s="13"/>
      <c r="R198" s="14"/>
    </row>
    <row r="199" spans="1:18" ht="15" customHeight="1">
      <c r="A199" s="15" t="s">
        <v>38</v>
      </c>
      <c r="B199" s="15" t="s">
        <v>1041</v>
      </c>
      <c r="C199" s="16">
        <v>0.44791666666666669</v>
      </c>
      <c r="D199" s="15" t="s">
        <v>46</v>
      </c>
      <c r="E199" s="15" t="s">
        <v>483</v>
      </c>
      <c r="F199" s="15" t="s">
        <v>106</v>
      </c>
      <c r="G199" s="298"/>
      <c r="H199" s="10"/>
      <c r="I199" s="11"/>
      <c r="J199" s="11"/>
      <c r="K199" s="11"/>
      <c r="L199" s="11"/>
      <c r="M199" s="11"/>
      <c r="N199" s="11"/>
      <c r="O199" s="12"/>
      <c r="P199" s="11"/>
      <c r="Q199" s="13"/>
      <c r="R199" s="14"/>
    </row>
    <row r="200" spans="1:18" ht="15" customHeight="1">
      <c r="A200" s="19" t="s">
        <v>26</v>
      </c>
      <c r="B200" s="19" t="s">
        <v>1047</v>
      </c>
      <c r="C200" s="20">
        <v>0.33680555555555558</v>
      </c>
      <c r="D200" s="19" t="s">
        <v>28</v>
      </c>
      <c r="E200" s="19" t="s">
        <v>29</v>
      </c>
      <c r="F200" s="19" t="s">
        <v>349</v>
      </c>
      <c r="G200" s="298"/>
      <c r="H200" s="10"/>
      <c r="I200" s="11"/>
      <c r="J200" s="11"/>
      <c r="K200" s="11"/>
      <c r="L200" s="11"/>
      <c r="M200" s="11"/>
      <c r="N200" s="11"/>
      <c r="O200" s="12"/>
      <c r="P200" s="11"/>
      <c r="Q200" s="13"/>
      <c r="R200" s="14"/>
    </row>
    <row r="201" spans="1:18" ht="15" customHeight="1">
      <c r="A201" s="15" t="s">
        <v>26</v>
      </c>
      <c r="B201" s="15" t="s">
        <v>1047</v>
      </c>
      <c r="C201" s="16">
        <v>0.33680555555555558</v>
      </c>
      <c r="D201" s="15" t="s">
        <v>31</v>
      </c>
      <c r="E201" s="15" t="s">
        <v>32</v>
      </c>
      <c r="F201" s="15" t="s">
        <v>35</v>
      </c>
      <c r="G201" s="298"/>
      <c r="H201" s="10"/>
      <c r="I201" s="11"/>
      <c r="J201" s="11"/>
      <c r="K201" s="11"/>
      <c r="L201" s="11"/>
      <c r="M201" s="11"/>
      <c r="N201" s="11"/>
      <c r="O201" s="12"/>
      <c r="P201" s="11"/>
      <c r="Q201" s="13"/>
      <c r="R201" s="14"/>
    </row>
    <row r="202" spans="1:18" ht="15" customHeight="1">
      <c r="A202" s="15" t="s">
        <v>26</v>
      </c>
      <c r="B202" s="15" t="s">
        <v>1047</v>
      </c>
      <c r="C202" s="16">
        <v>0.33680555555555558</v>
      </c>
      <c r="D202" s="15" t="s">
        <v>34</v>
      </c>
      <c r="E202" s="15" t="s">
        <v>32</v>
      </c>
      <c r="F202" s="15" t="s">
        <v>503</v>
      </c>
      <c r="G202" s="298"/>
      <c r="H202" s="10"/>
      <c r="I202" s="11"/>
      <c r="J202" s="11"/>
      <c r="K202" s="11"/>
      <c r="L202" s="11"/>
      <c r="M202" s="11"/>
      <c r="N202" s="11"/>
      <c r="O202" s="12"/>
      <c r="P202" s="11"/>
      <c r="Q202" s="13"/>
      <c r="R202" s="14"/>
    </row>
    <row r="203" spans="1:18" ht="15" customHeight="1">
      <c r="A203" s="17" t="s">
        <v>26</v>
      </c>
      <c r="B203" s="17" t="s">
        <v>1049</v>
      </c>
      <c r="C203" s="18">
        <v>0.97222222222222221</v>
      </c>
      <c r="D203" s="17" t="s">
        <v>28</v>
      </c>
      <c r="E203" s="17" t="s">
        <v>37</v>
      </c>
      <c r="F203" s="17" t="s">
        <v>349</v>
      </c>
      <c r="G203" s="298"/>
      <c r="H203" s="10"/>
      <c r="I203" s="11"/>
      <c r="J203" s="11"/>
      <c r="K203" s="11"/>
      <c r="L203" s="11"/>
      <c r="M203" s="11"/>
      <c r="N203" s="11"/>
      <c r="O203" s="12"/>
      <c r="P203" s="11"/>
      <c r="Q203" s="13"/>
      <c r="R203" s="14"/>
    </row>
    <row r="204" spans="1:18" ht="15" customHeight="1">
      <c r="A204" s="15" t="s">
        <v>26</v>
      </c>
      <c r="B204" s="15" t="s">
        <v>1049</v>
      </c>
      <c r="C204" s="16">
        <v>0.97222222222222221</v>
      </c>
      <c r="D204" s="15" t="s">
        <v>31</v>
      </c>
      <c r="E204" s="15" t="s">
        <v>32</v>
      </c>
      <c r="F204" s="15" t="s">
        <v>35</v>
      </c>
      <c r="G204" s="298"/>
      <c r="H204" s="10"/>
      <c r="I204" s="11"/>
      <c r="J204" s="11"/>
      <c r="K204" s="11"/>
      <c r="L204" s="11"/>
      <c r="M204" s="11"/>
      <c r="N204" s="11"/>
      <c r="O204" s="12"/>
      <c r="P204" s="11"/>
      <c r="Q204" s="13"/>
      <c r="R204" s="14"/>
    </row>
    <row r="205" spans="1:18" ht="15" customHeight="1">
      <c r="A205" s="15" t="s">
        <v>26</v>
      </c>
      <c r="B205" s="15" t="s">
        <v>1049</v>
      </c>
      <c r="C205" s="16">
        <v>0.97222222222222221</v>
      </c>
      <c r="D205" s="15" t="s">
        <v>34</v>
      </c>
      <c r="E205" s="15" t="s">
        <v>32</v>
      </c>
      <c r="F205" s="15" t="s">
        <v>503</v>
      </c>
      <c r="G205" s="298"/>
      <c r="H205" s="10"/>
      <c r="I205" s="11"/>
      <c r="J205" s="11"/>
      <c r="K205" s="11"/>
      <c r="L205" s="11"/>
      <c r="M205" s="11"/>
      <c r="N205" s="11"/>
      <c r="O205" s="12"/>
      <c r="P205" s="11"/>
      <c r="Q205" s="13"/>
      <c r="R205" s="14"/>
    </row>
    <row r="206" spans="1:18" ht="15" customHeight="1">
      <c r="A206" s="19" t="s">
        <v>68</v>
      </c>
      <c r="B206" s="19" t="s">
        <v>1052</v>
      </c>
      <c r="C206" s="20">
        <v>0.33680555555555558</v>
      </c>
      <c r="D206" s="19" t="s">
        <v>643</v>
      </c>
      <c r="E206" s="19" t="s">
        <v>51</v>
      </c>
      <c r="F206" s="19" t="s">
        <v>1053</v>
      </c>
      <c r="G206" s="298"/>
      <c r="H206" s="10"/>
      <c r="I206" s="11"/>
      <c r="J206" s="11"/>
      <c r="K206" s="11"/>
      <c r="L206" s="11"/>
      <c r="M206" s="11"/>
      <c r="N206" s="11"/>
      <c r="O206" s="12"/>
      <c r="P206" s="11"/>
      <c r="Q206" s="13"/>
      <c r="R206" s="14"/>
    </row>
    <row r="207" spans="1:18" ht="15" customHeight="1">
      <c r="A207" s="17" t="s">
        <v>68</v>
      </c>
      <c r="B207" s="17" t="s">
        <v>1054</v>
      </c>
      <c r="C207" s="18">
        <v>0.97916666666666663</v>
      </c>
      <c r="D207" s="17" t="s">
        <v>643</v>
      </c>
      <c r="E207" s="17" t="s">
        <v>57</v>
      </c>
      <c r="F207" s="17" t="s">
        <v>1053</v>
      </c>
      <c r="G207" s="298"/>
      <c r="H207" s="10"/>
      <c r="I207" s="11"/>
      <c r="J207" s="11"/>
      <c r="K207" s="11"/>
      <c r="L207" s="11"/>
      <c r="M207" s="11"/>
      <c r="N207" s="11"/>
      <c r="O207" s="12"/>
      <c r="P207" s="11"/>
      <c r="Q207" s="13"/>
      <c r="R207" s="14"/>
    </row>
    <row r="208" spans="1:18" ht="15" customHeight="1">
      <c r="A208" s="17" t="s">
        <v>68</v>
      </c>
      <c r="B208" s="17" t="s">
        <v>1056</v>
      </c>
      <c r="C208" s="18">
        <v>0.67361111111111116</v>
      </c>
      <c r="D208" s="17" t="s">
        <v>643</v>
      </c>
      <c r="E208" s="17" t="s">
        <v>57</v>
      </c>
      <c r="F208" s="17" t="s">
        <v>1053</v>
      </c>
      <c r="G208" s="298"/>
      <c r="H208" s="10"/>
      <c r="I208" s="11"/>
      <c r="J208" s="11"/>
      <c r="K208" s="11"/>
      <c r="L208" s="11"/>
      <c r="M208" s="11"/>
      <c r="N208" s="11"/>
      <c r="O208" s="12"/>
      <c r="P208" s="11"/>
      <c r="Q208" s="13"/>
      <c r="R208" s="14"/>
    </row>
    <row r="209" spans="1:18" ht="15" customHeight="1">
      <c r="A209" s="19" t="s">
        <v>402</v>
      </c>
      <c r="B209" s="19" t="s">
        <v>1064</v>
      </c>
      <c r="C209" s="20">
        <v>0.75694444444444453</v>
      </c>
      <c r="D209" s="19" t="s">
        <v>63</v>
      </c>
      <c r="E209" s="19" t="s">
        <v>103</v>
      </c>
      <c r="F209" s="19" t="s">
        <v>1058</v>
      </c>
      <c r="G209" s="298"/>
      <c r="H209" s="10"/>
      <c r="I209" s="11"/>
      <c r="J209" s="11"/>
      <c r="K209" s="11"/>
      <c r="L209" s="11"/>
      <c r="M209" s="11"/>
      <c r="N209" s="11"/>
      <c r="O209" s="12"/>
      <c r="P209" s="11"/>
      <c r="Q209" s="13"/>
      <c r="R209" s="14"/>
    </row>
    <row r="210" spans="1:18" ht="15" customHeight="1" thickBot="1">
      <c r="A210" s="96" t="s">
        <v>48</v>
      </c>
      <c r="B210" s="96" t="s">
        <v>1060</v>
      </c>
      <c r="C210" s="97">
        <v>0.44791666666666669</v>
      </c>
      <c r="D210" s="96" t="s">
        <v>53</v>
      </c>
      <c r="E210" s="96" t="s">
        <v>29</v>
      </c>
      <c r="F210" s="96" t="s">
        <v>946</v>
      </c>
      <c r="G210" s="299"/>
      <c r="H210" s="300"/>
      <c r="I210" s="140"/>
      <c r="J210" s="140"/>
      <c r="K210" s="140"/>
      <c r="L210" s="140"/>
      <c r="M210" s="140"/>
      <c r="N210" s="140"/>
      <c r="O210" s="141"/>
      <c r="P210" s="140"/>
      <c r="Q210" s="142"/>
      <c r="R210" s="301"/>
    </row>
    <row r="211" spans="1:18" ht="17.45" customHeight="1" thickBot="1">
      <c r="A211" s="283"/>
      <c r="B211" s="284"/>
      <c r="C211" s="284"/>
      <c r="D211" s="284"/>
      <c r="E211" s="284"/>
      <c r="F211" s="284"/>
      <c r="G211" s="284"/>
      <c r="H211" s="284"/>
      <c r="I211" s="284"/>
      <c r="J211" s="284"/>
      <c r="K211" s="284"/>
      <c r="L211" s="284"/>
      <c r="M211" s="284"/>
      <c r="N211" s="284"/>
      <c r="O211" s="284"/>
      <c r="P211" s="284"/>
      <c r="Q211" s="284"/>
      <c r="R211" s="285"/>
    </row>
    <row r="212" spans="1:18" ht="22.15" customHeight="1" thickTop="1" thickBot="1">
      <c r="A212" s="279" t="s">
        <v>6</v>
      </c>
      <c r="B212" s="295"/>
      <c r="C212" s="295"/>
      <c r="D212" s="295"/>
      <c r="E212" s="295"/>
      <c r="F212" s="296"/>
      <c r="G212" s="32">
        <v>46035</v>
      </c>
      <c r="H212" s="278" t="s">
        <v>7</v>
      </c>
      <c r="I212" s="295"/>
      <c r="J212" s="295"/>
      <c r="K212" s="295"/>
      <c r="L212" s="295"/>
      <c r="M212" s="295"/>
      <c r="N212" s="295"/>
      <c r="O212" s="295"/>
      <c r="P212" s="295"/>
      <c r="Q212" s="295"/>
      <c r="R212" s="296"/>
    </row>
    <row r="213" spans="1:18" ht="24" customHeight="1">
      <c r="A213" s="33" t="s">
        <v>8</v>
      </c>
      <c r="B213" s="33" t="s">
        <v>9</v>
      </c>
      <c r="C213" s="34" t="s">
        <v>10</v>
      </c>
      <c r="D213" s="33" t="s">
        <v>11</v>
      </c>
      <c r="E213" s="33" t="s">
        <v>12</v>
      </c>
      <c r="F213" s="35" t="s">
        <v>13</v>
      </c>
      <c r="G213" s="36" t="s">
        <v>14</v>
      </c>
      <c r="H213" s="33" t="s">
        <v>15</v>
      </c>
      <c r="I213" s="37" t="s">
        <v>16</v>
      </c>
      <c r="J213" s="38" t="s">
        <v>17</v>
      </c>
      <c r="K213" s="39" t="s">
        <v>18</v>
      </c>
      <c r="L213" s="38" t="s">
        <v>19</v>
      </c>
      <c r="M213" s="38" t="s">
        <v>20</v>
      </c>
      <c r="N213" s="38" t="s">
        <v>21</v>
      </c>
      <c r="O213" s="33" t="s">
        <v>22</v>
      </c>
      <c r="P213" s="34" t="s">
        <v>23</v>
      </c>
      <c r="Q213" s="38" t="s">
        <v>24</v>
      </c>
      <c r="R213" s="33" t="s">
        <v>25</v>
      </c>
    </row>
    <row r="214" spans="1:18" ht="15" customHeight="1">
      <c r="A214" s="21" t="s">
        <v>61</v>
      </c>
      <c r="B214" s="21" t="s">
        <v>1043</v>
      </c>
      <c r="C214" s="22">
        <v>6.9444444444444434E-2</v>
      </c>
      <c r="D214" s="21" t="s">
        <v>63</v>
      </c>
      <c r="E214" s="21" t="s">
        <v>177</v>
      </c>
      <c r="F214" s="21" t="s">
        <v>1044</v>
      </c>
      <c r="G214" s="297"/>
      <c r="H214" s="23" t="s">
        <v>1045</v>
      </c>
      <c r="I214" s="24">
        <v>0.1333</v>
      </c>
      <c r="J214" s="25">
        <v>24</v>
      </c>
      <c r="K214" s="26">
        <v>46344</v>
      </c>
      <c r="L214" s="25">
        <v>24</v>
      </c>
      <c r="M214" s="25">
        <v>0</v>
      </c>
      <c r="N214" s="25">
        <v>0</v>
      </c>
      <c r="O214" s="27" t="s">
        <v>305</v>
      </c>
      <c r="P214" s="28">
        <v>6.9444444444444434E-2</v>
      </c>
      <c r="Q214" s="25">
        <v>180</v>
      </c>
      <c r="R214" s="29" t="s">
        <v>1082</v>
      </c>
    </row>
    <row r="215" spans="1:18" ht="15" customHeight="1">
      <c r="A215" s="19" t="s">
        <v>38</v>
      </c>
      <c r="B215" s="19" t="s">
        <v>1041</v>
      </c>
      <c r="C215" s="20">
        <v>0.44791666666666669</v>
      </c>
      <c r="D215" s="19" t="s">
        <v>40</v>
      </c>
      <c r="E215" s="19" t="s">
        <v>482</v>
      </c>
      <c r="F215" s="19" t="s">
        <v>83</v>
      </c>
      <c r="G215" s="298"/>
      <c r="H215" s="10"/>
      <c r="I215" s="11"/>
      <c r="J215" s="11"/>
      <c r="K215" s="11"/>
      <c r="L215" s="11"/>
      <c r="M215" s="11"/>
      <c r="N215" s="11"/>
      <c r="O215" s="12"/>
      <c r="P215" s="11"/>
      <c r="Q215" s="13"/>
      <c r="R215" s="14"/>
    </row>
    <row r="216" spans="1:18" ht="15" customHeight="1">
      <c r="A216" s="15" t="s">
        <v>38</v>
      </c>
      <c r="B216" s="15" t="s">
        <v>1041</v>
      </c>
      <c r="C216" s="16">
        <v>0.44791666666666669</v>
      </c>
      <c r="D216" s="15" t="s">
        <v>43</v>
      </c>
      <c r="E216" s="15" t="s">
        <v>483</v>
      </c>
      <c r="F216" s="15" t="s">
        <v>162</v>
      </c>
      <c r="G216" s="298"/>
      <c r="H216" s="10"/>
      <c r="I216" s="11"/>
      <c r="J216" s="11"/>
      <c r="K216" s="11"/>
      <c r="L216" s="11"/>
      <c r="M216" s="11"/>
      <c r="N216" s="11"/>
      <c r="O216" s="12"/>
      <c r="P216" s="11"/>
      <c r="Q216" s="13"/>
      <c r="R216" s="14"/>
    </row>
    <row r="217" spans="1:18" ht="15" customHeight="1">
      <c r="A217" s="15" t="s">
        <v>38</v>
      </c>
      <c r="B217" s="15" t="s">
        <v>1041</v>
      </c>
      <c r="C217" s="16">
        <v>0.44791666666666669</v>
      </c>
      <c r="D217" s="15" t="s">
        <v>46</v>
      </c>
      <c r="E217" s="15" t="s">
        <v>483</v>
      </c>
      <c r="F217" s="15" t="s">
        <v>106</v>
      </c>
      <c r="G217" s="298"/>
      <c r="H217" s="10"/>
      <c r="I217" s="11"/>
      <c r="J217" s="11"/>
      <c r="K217" s="11"/>
      <c r="L217" s="11"/>
      <c r="M217" s="11"/>
      <c r="N217" s="11"/>
      <c r="O217" s="12"/>
      <c r="P217" s="11"/>
      <c r="Q217" s="13"/>
      <c r="R217" s="14"/>
    </row>
    <row r="218" spans="1:18" ht="15" customHeight="1">
      <c r="A218" s="19" t="s">
        <v>26</v>
      </c>
      <c r="B218" s="19" t="s">
        <v>1047</v>
      </c>
      <c r="C218" s="20">
        <v>0.33680555555555558</v>
      </c>
      <c r="D218" s="19" t="s">
        <v>28</v>
      </c>
      <c r="E218" s="19" t="s">
        <v>29</v>
      </c>
      <c r="F218" s="19" t="s">
        <v>349</v>
      </c>
      <c r="G218" s="298"/>
      <c r="H218" s="10"/>
      <c r="I218" s="11"/>
      <c r="J218" s="11"/>
      <c r="K218" s="11"/>
      <c r="L218" s="11"/>
      <c r="M218" s="11"/>
      <c r="N218" s="11"/>
      <c r="O218" s="12"/>
      <c r="P218" s="11"/>
      <c r="Q218" s="13"/>
      <c r="R218" s="14"/>
    </row>
    <row r="219" spans="1:18" ht="15" customHeight="1">
      <c r="A219" s="15" t="s">
        <v>26</v>
      </c>
      <c r="B219" s="15" t="s">
        <v>1047</v>
      </c>
      <c r="C219" s="16">
        <v>0.33680555555555558</v>
      </c>
      <c r="D219" s="15" t="s">
        <v>31</v>
      </c>
      <c r="E219" s="15" t="s">
        <v>32</v>
      </c>
      <c r="F219" s="15" t="s">
        <v>35</v>
      </c>
      <c r="G219" s="298"/>
      <c r="H219" s="10"/>
      <c r="I219" s="11"/>
      <c r="J219" s="11"/>
      <c r="K219" s="11"/>
      <c r="L219" s="11"/>
      <c r="M219" s="11"/>
      <c r="N219" s="11"/>
      <c r="O219" s="12"/>
      <c r="P219" s="11"/>
      <c r="Q219" s="13"/>
      <c r="R219" s="14"/>
    </row>
    <row r="220" spans="1:18" ht="15" customHeight="1">
      <c r="A220" s="15" t="s">
        <v>26</v>
      </c>
      <c r="B220" s="15" t="s">
        <v>1047</v>
      </c>
      <c r="C220" s="16">
        <v>0.33680555555555558</v>
      </c>
      <c r="D220" s="15" t="s">
        <v>34</v>
      </c>
      <c r="E220" s="15" t="s">
        <v>32</v>
      </c>
      <c r="F220" s="15" t="s">
        <v>503</v>
      </c>
      <c r="G220" s="298"/>
      <c r="H220" s="10"/>
      <c r="I220" s="11"/>
      <c r="J220" s="11"/>
      <c r="K220" s="11"/>
      <c r="L220" s="11"/>
      <c r="M220" s="11"/>
      <c r="N220" s="11"/>
      <c r="O220" s="12"/>
      <c r="P220" s="11"/>
      <c r="Q220" s="13"/>
      <c r="R220" s="14"/>
    </row>
    <row r="221" spans="1:18" ht="15" customHeight="1">
      <c r="A221" s="17" t="s">
        <v>26</v>
      </c>
      <c r="B221" s="17" t="s">
        <v>1049</v>
      </c>
      <c r="C221" s="18">
        <v>0.97222222222222221</v>
      </c>
      <c r="D221" s="17" t="s">
        <v>28</v>
      </c>
      <c r="E221" s="17" t="s">
        <v>200</v>
      </c>
      <c r="F221" s="17" t="s">
        <v>426</v>
      </c>
      <c r="G221" s="298"/>
      <c r="H221" s="10"/>
      <c r="I221" s="11"/>
      <c r="J221" s="11"/>
      <c r="K221" s="11"/>
      <c r="L221" s="11"/>
      <c r="M221" s="11"/>
      <c r="N221" s="11"/>
      <c r="O221" s="12"/>
      <c r="P221" s="11"/>
      <c r="Q221" s="13"/>
      <c r="R221" s="14"/>
    </row>
    <row r="222" spans="1:18" ht="15" customHeight="1">
      <c r="A222" s="15" t="s">
        <v>26</v>
      </c>
      <c r="B222" s="15" t="s">
        <v>1049</v>
      </c>
      <c r="C222" s="16">
        <v>0.97222222222222221</v>
      </c>
      <c r="D222" s="15" t="s">
        <v>31</v>
      </c>
      <c r="E222" s="15" t="s">
        <v>127</v>
      </c>
      <c r="F222" s="15" t="s">
        <v>150</v>
      </c>
      <c r="G222" s="298"/>
      <c r="H222" s="10"/>
      <c r="I222" s="11"/>
      <c r="J222" s="11"/>
      <c r="K222" s="11"/>
      <c r="L222" s="11"/>
      <c r="M222" s="11"/>
      <c r="N222" s="11"/>
      <c r="O222" s="12"/>
      <c r="P222" s="11"/>
      <c r="Q222" s="13"/>
      <c r="R222" s="14"/>
    </row>
    <row r="223" spans="1:18" ht="15" customHeight="1">
      <c r="A223" s="15" t="s">
        <v>26</v>
      </c>
      <c r="B223" s="15" t="s">
        <v>1049</v>
      </c>
      <c r="C223" s="16">
        <v>0.97222222222222221</v>
      </c>
      <c r="D223" s="15" t="s">
        <v>34</v>
      </c>
      <c r="E223" s="15" t="s">
        <v>127</v>
      </c>
      <c r="F223" s="15" t="s">
        <v>178</v>
      </c>
      <c r="G223" s="298"/>
      <c r="H223" s="10"/>
      <c r="I223" s="11"/>
      <c r="J223" s="11"/>
      <c r="K223" s="11"/>
      <c r="L223" s="11"/>
      <c r="M223" s="11"/>
      <c r="N223" s="11"/>
      <c r="O223" s="12"/>
      <c r="P223" s="11"/>
      <c r="Q223" s="13"/>
      <c r="R223" s="14"/>
    </row>
    <row r="224" spans="1:18" ht="15" customHeight="1">
      <c r="A224" s="19" t="s">
        <v>415</v>
      </c>
      <c r="B224" s="19" t="s">
        <v>1062</v>
      </c>
      <c r="C224" s="20">
        <v>6.9444444444444441E-3</v>
      </c>
      <c r="D224" s="19" t="s">
        <v>63</v>
      </c>
      <c r="E224" s="19" t="s">
        <v>107</v>
      </c>
      <c r="F224" s="19" t="s">
        <v>1051</v>
      </c>
      <c r="G224" s="298"/>
      <c r="H224" s="10"/>
      <c r="I224" s="11"/>
      <c r="J224" s="11"/>
      <c r="K224" s="11"/>
      <c r="L224" s="11"/>
      <c r="M224" s="11"/>
      <c r="N224" s="11"/>
      <c r="O224" s="12"/>
      <c r="P224" s="11"/>
      <c r="Q224" s="13"/>
      <c r="R224" s="14"/>
    </row>
    <row r="225" spans="1:18" ht="15" customHeight="1">
      <c r="A225" s="17" t="s">
        <v>415</v>
      </c>
      <c r="B225" s="17" t="s">
        <v>1050</v>
      </c>
      <c r="C225" s="18">
        <v>0.88194444444444453</v>
      </c>
      <c r="D225" s="17" t="s">
        <v>63</v>
      </c>
      <c r="E225" s="17" t="s">
        <v>372</v>
      </c>
      <c r="F225" s="17" t="s">
        <v>133</v>
      </c>
      <c r="G225" s="298"/>
      <c r="H225" s="10"/>
      <c r="I225" s="11"/>
      <c r="J225" s="11"/>
      <c r="K225" s="11"/>
      <c r="L225" s="11"/>
      <c r="M225" s="11"/>
      <c r="N225" s="11"/>
      <c r="O225" s="12"/>
      <c r="P225" s="11"/>
      <c r="Q225" s="13"/>
      <c r="R225" s="14"/>
    </row>
    <row r="226" spans="1:18" ht="15" customHeight="1">
      <c r="A226" s="19" t="s">
        <v>68</v>
      </c>
      <c r="B226" s="19" t="s">
        <v>1052</v>
      </c>
      <c r="C226" s="20">
        <v>0.33680555555555558</v>
      </c>
      <c r="D226" s="19" t="s">
        <v>643</v>
      </c>
      <c r="E226" s="19" t="s">
        <v>51</v>
      </c>
      <c r="F226" s="19" t="s">
        <v>1053</v>
      </c>
      <c r="G226" s="298"/>
      <c r="H226" s="10"/>
      <c r="I226" s="11"/>
      <c r="J226" s="11"/>
      <c r="K226" s="11"/>
      <c r="L226" s="11"/>
      <c r="M226" s="11"/>
      <c r="N226" s="11"/>
      <c r="O226" s="12"/>
      <c r="P226" s="11"/>
      <c r="Q226" s="13"/>
      <c r="R226" s="14"/>
    </row>
    <row r="227" spans="1:18" ht="15" customHeight="1">
      <c r="A227" s="17" t="s">
        <v>68</v>
      </c>
      <c r="B227" s="17" t="s">
        <v>1054</v>
      </c>
      <c r="C227" s="18">
        <v>0.97916666666666663</v>
      </c>
      <c r="D227" s="17" t="s">
        <v>643</v>
      </c>
      <c r="E227" s="17" t="s">
        <v>57</v>
      </c>
      <c r="F227" s="17" t="s">
        <v>1053</v>
      </c>
      <c r="G227" s="298"/>
      <c r="H227" s="10"/>
      <c r="I227" s="11"/>
      <c r="J227" s="11"/>
      <c r="K227" s="11"/>
      <c r="L227" s="11"/>
      <c r="M227" s="11"/>
      <c r="N227" s="11"/>
      <c r="O227" s="12"/>
      <c r="P227" s="11"/>
      <c r="Q227" s="13"/>
      <c r="R227" s="14"/>
    </row>
    <row r="228" spans="1:18" ht="15" customHeight="1">
      <c r="A228" s="17" t="s">
        <v>68</v>
      </c>
      <c r="B228" s="17" t="s">
        <v>1056</v>
      </c>
      <c r="C228" s="18">
        <v>0.67361111111111116</v>
      </c>
      <c r="D228" s="17" t="s">
        <v>70</v>
      </c>
      <c r="E228" s="17" t="s">
        <v>57</v>
      </c>
      <c r="F228" s="17" t="s">
        <v>1055</v>
      </c>
      <c r="G228" s="298"/>
      <c r="H228" s="10"/>
      <c r="I228" s="11"/>
      <c r="J228" s="11"/>
      <c r="K228" s="11"/>
      <c r="L228" s="11"/>
      <c r="M228" s="11"/>
      <c r="N228" s="11"/>
      <c r="O228" s="12"/>
      <c r="P228" s="11"/>
      <c r="Q228" s="13"/>
      <c r="R228" s="14"/>
    </row>
    <row r="229" spans="1:18" ht="15" customHeight="1">
      <c r="A229" s="19" t="s">
        <v>402</v>
      </c>
      <c r="B229" s="19" t="s">
        <v>1057</v>
      </c>
      <c r="C229" s="20">
        <v>0.75694444444444453</v>
      </c>
      <c r="D229" s="19" t="s">
        <v>63</v>
      </c>
      <c r="E229" s="19" t="s">
        <v>177</v>
      </c>
      <c r="F229" s="19" t="s">
        <v>1058</v>
      </c>
      <c r="G229" s="298"/>
      <c r="H229" s="10"/>
      <c r="I229" s="11"/>
      <c r="J229" s="11"/>
      <c r="K229" s="11"/>
      <c r="L229" s="11"/>
      <c r="M229" s="11"/>
      <c r="N229" s="11"/>
      <c r="O229" s="12"/>
      <c r="P229" s="11"/>
      <c r="Q229" s="13"/>
      <c r="R229" s="14"/>
    </row>
    <row r="230" spans="1:18" ht="15" customHeight="1" thickBot="1">
      <c r="A230" s="96" t="s">
        <v>48</v>
      </c>
      <c r="B230" s="96" t="s">
        <v>1060</v>
      </c>
      <c r="C230" s="97">
        <v>0.44791666666666669</v>
      </c>
      <c r="D230" s="96" t="s">
        <v>53</v>
      </c>
      <c r="E230" s="96" t="s">
        <v>29</v>
      </c>
      <c r="F230" s="96" t="s">
        <v>946</v>
      </c>
      <c r="G230" s="299"/>
      <c r="H230" s="300"/>
      <c r="I230" s="140"/>
      <c r="J230" s="140"/>
      <c r="K230" s="140"/>
      <c r="L230" s="140"/>
      <c r="M230" s="140"/>
      <c r="N230" s="140"/>
      <c r="O230" s="141"/>
      <c r="P230" s="140"/>
      <c r="Q230" s="142"/>
      <c r="R230" s="301"/>
    </row>
    <row r="231" spans="1:18" ht="17.45" customHeight="1" thickBot="1">
      <c r="A231" s="283"/>
      <c r="B231" s="284"/>
      <c r="C231" s="284"/>
      <c r="D231" s="284"/>
      <c r="E231" s="284"/>
      <c r="F231" s="284"/>
      <c r="G231" s="284"/>
      <c r="H231" s="284"/>
      <c r="I231" s="284"/>
      <c r="J231" s="284"/>
      <c r="K231" s="284"/>
      <c r="L231" s="284"/>
      <c r="M231" s="284"/>
      <c r="N231" s="284"/>
      <c r="O231" s="284"/>
      <c r="P231" s="284"/>
      <c r="Q231" s="284"/>
      <c r="R231" s="285"/>
    </row>
    <row r="232" spans="1:18" ht="22.15" customHeight="1" thickTop="1" thickBot="1">
      <c r="A232" s="279" t="s">
        <v>6</v>
      </c>
      <c r="B232" s="295"/>
      <c r="C232" s="295"/>
      <c r="D232" s="295"/>
      <c r="E232" s="295"/>
      <c r="F232" s="296"/>
      <c r="G232" s="32">
        <v>46036</v>
      </c>
      <c r="H232" s="278" t="s">
        <v>7</v>
      </c>
      <c r="I232" s="295"/>
      <c r="J232" s="295"/>
      <c r="K232" s="295"/>
      <c r="L232" s="295"/>
      <c r="M232" s="295"/>
      <c r="N232" s="295"/>
      <c r="O232" s="295"/>
      <c r="P232" s="295"/>
      <c r="Q232" s="295"/>
      <c r="R232" s="296"/>
    </row>
    <row r="233" spans="1:18" ht="24" customHeight="1">
      <c r="A233" s="33" t="s">
        <v>8</v>
      </c>
      <c r="B233" s="33" t="s">
        <v>9</v>
      </c>
      <c r="C233" s="34" t="s">
        <v>10</v>
      </c>
      <c r="D233" s="33" t="s">
        <v>11</v>
      </c>
      <c r="E233" s="33" t="s">
        <v>12</v>
      </c>
      <c r="F233" s="35" t="s">
        <v>13</v>
      </c>
      <c r="G233" s="36" t="s">
        <v>14</v>
      </c>
      <c r="H233" s="33" t="s">
        <v>15</v>
      </c>
      <c r="I233" s="37" t="s">
        <v>16</v>
      </c>
      <c r="J233" s="38" t="s">
        <v>17</v>
      </c>
      <c r="K233" s="39" t="s">
        <v>18</v>
      </c>
      <c r="L233" s="38" t="s">
        <v>19</v>
      </c>
      <c r="M233" s="38" t="s">
        <v>20</v>
      </c>
      <c r="N233" s="38" t="s">
        <v>21</v>
      </c>
      <c r="O233" s="33" t="s">
        <v>22</v>
      </c>
      <c r="P233" s="34" t="s">
        <v>23</v>
      </c>
      <c r="Q233" s="38" t="s">
        <v>24</v>
      </c>
      <c r="R233" s="33" t="s">
        <v>25</v>
      </c>
    </row>
    <row r="234" spans="1:18" ht="15" customHeight="1">
      <c r="A234" s="8" t="s">
        <v>359</v>
      </c>
      <c r="B234" s="8" t="s">
        <v>1065</v>
      </c>
      <c r="C234" s="9">
        <v>0.78472222222222221</v>
      </c>
      <c r="D234" s="8" t="s">
        <v>361</v>
      </c>
      <c r="E234" s="8" t="s">
        <v>80</v>
      </c>
      <c r="F234" s="8" t="s">
        <v>1083</v>
      </c>
      <c r="G234" s="297"/>
      <c r="H234" s="10"/>
      <c r="I234" s="11"/>
      <c r="J234" s="11"/>
      <c r="K234" s="11"/>
      <c r="L234" s="11"/>
      <c r="M234" s="11"/>
      <c r="N234" s="11"/>
      <c r="O234" s="12"/>
      <c r="P234" s="11"/>
      <c r="Q234" s="13"/>
      <c r="R234" s="14"/>
    </row>
    <row r="235" spans="1:18" ht="15" customHeight="1">
      <c r="A235" s="15" t="s">
        <v>359</v>
      </c>
      <c r="B235" s="15" t="s">
        <v>1065</v>
      </c>
      <c r="C235" s="16">
        <v>0.78472222222222221</v>
      </c>
      <c r="D235" s="15" t="s">
        <v>46</v>
      </c>
      <c r="E235" s="15" t="s">
        <v>82</v>
      </c>
      <c r="F235" s="15" t="s">
        <v>1084</v>
      </c>
      <c r="G235" s="298"/>
      <c r="H235" s="10"/>
      <c r="I235" s="11"/>
      <c r="J235" s="11"/>
      <c r="K235" s="11"/>
      <c r="L235" s="11"/>
      <c r="M235" s="11"/>
      <c r="N235" s="11"/>
      <c r="O235" s="12"/>
      <c r="P235" s="11"/>
      <c r="Q235" s="13"/>
      <c r="R235" s="14"/>
    </row>
    <row r="236" spans="1:18" ht="15" customHeight="1">
      <c r="A236" s="19" t="s">
        <v>26</v>
      </c>
      <c r="B236" s="19" t="s">
        <v>1049</v>
      </c>
      <c r="C236" s="20">
        <v>0.97222222222222221</v>
      </c>
      <c r="D236" s="19" t="s">
        <v>28</v>
      </c>
      <c r="E236" s="19" t="s">
        <v>143</v>
      </c>
      <c r="F236" s="19" t="s">
        <v>426</v>
      </c>
      <c r="G236" s="298"/>
      <c r="H236" s="10"/>
      <c r="I236" s="11"/>
      <c r="J236" s="11"/>
      <c r="K236" s="11"/>
      <c r="L236" s="11"/>
      <c r="M236" s="11"/>
      <c r="N236" s="11"/>
      <c r="O236" s="12"/>
      <c r="P236" s="11"/>
      <c r="Q236" s="13"/>
      <c r="R236" s="14"/>
    </row>
    <row r="237" spans="1:18" ht="15" customHeight="1">
      <c r="A237" s="15" t="s">
        <v>26</v>
      </c>
      <c r="B237" s="15" t="s">
        <v>1049</v>
      </c>
      <c r="C237" s="16">
        <v>0.97222222222222221</v>
      </c>
      <c r="D237" s="15" t="s">
        <v>31</v>
      </c>
      <c r="E237" s="15" t="s">
        <v>92</v>
      </c>
      <c r="F237" s="15" t="s">
        <v>150</v>
      </c>
      <c r="G237" s="298"/>
      <c r="H237" s="10"/>
      <c r="I237" s="11"/>
      <c r="J237" s="11"/>
      <c r="K237" s="11"/>
      <c r="L237" s="11"/>
      <c r="M237" s="11"/>
      <c r="N237" s="11"/>
      <c r="O237" s="12"/>
      <c r="P237" s="11"/>
      <c r="Q237" s="13"/>
      <c r="R237" s="14"/>
    </row>
    <row r="238" spans="1:18" ht="15" customHeight="1">
      <c r="A238" s="15" t="s">
        <v>26</v>
      </c>
      <c r="B238" s="15" t="s">
        <v>1049</v>
      </c>
      <c r="C238" s="16">
        <v>0.97222222222222221</v>
      </c>
      <c r="D238" s="15" t="s">
        <v>34</v>
      </c>
      <c r="E238" s="15" t="s">
        <v>92</v>
      </c>
      <c r="F238" s="15" t="s">
        <v>178</v>
      </c>
      <c r="G238" s="298"/>
      <c r="H238" s="10"/>
      <c r="I238" s="11"/>
      <c r="J238" s="11"/>
      <c r="K238" s="11"/>
      <c r="L238" s="11"/>
      <c r="M238" s="11"/>
      <c r="N238" s="11"/>
      <c r="O238" s="12"/>
      <c r="P238" s="11"/>
      <c r="Q238" s="13"/>
      <c r="R238" s="14"/>
    </row>
    <row r="239" spans="1:18" ht="15" customHeight="1">
      <c r="A239" s="19" t="s">
        <v>68</v>
      </c>
      <c r="B239" s="19" t="s">
        <v>1052</v>
      </c>
      <c r="C239" s="20">
        <v>0.33680555555555558</v>
      </c>
      <c r="D239" s="19" t="s">
        <v>643</v>
      </c>
      <c r="E239" s="19" t="s">
        <v>51</v>
      </c>
      <c r="F239" s="19" t="s">
        <v>1053</v>
      </c>
      <c r="G239" s="298"/>
      <c r="H239" s="10"/>
      <c r="I239" s="11"/>
      <c r="J239" s="11"/>
      <c r="K239" s="11"/>
      <c r="L239" s="11"/>
      <c r="M239" s="11"/>
      <c r="N239" s="11"/>
      <c r="O239" s="12"/>
      <c r="P239" s="11"/>
      <c r="Q239" s="13"/>
      <c r="R239" s="14"/>
    </row>
    <row r="240" spans="1:18" ht="15" customHeight="1">
      <c r="A240" s="17" t="s">
        <v>68</v>
      </c>
      <c r="B240" s="17" t="s">
        <v>1054</v>
      </c>
      <c r="C240" s="18">
        <v>0.97916666666666663</v>
      </c>
      <c r="D240" s="17" t="s">
        <v>643</v>
      </c>
      <c r="E240" s="17" t="s">
        <v>57</v>
      </c>
      <c r="F240" s="17" t="s">
        <v>1053</v>
      </c>
      <c r="G240" s="298"/>
      <c r="H240" s="10"/>
      <c r="I240" s="11"/>
      <c r="J240" s="11"/>
      <c r="K240" s="11"/>
      <c r="L240" s="11"/>
      <c r="M240" s="11"/>
      <c r="N240" s="11"/>
      <c r="O240" s="12"/>
      <c r="P240" s="11"/>
      <c r="Q240" s="13"/>
      <c r="R240" s="14"/>
    </row>
    <row r="241" spans="1:18" ht="15" customHeight="1">
      <c r="A241" s="17" t="s">
        <v>68</v>
      </c>
      <c r="B241" s="17" t="s">
        <v>1056</v>
      </c>
      <c r="C241" s="18">
        <v>0.67361111111111116</v>
      </c>
      <c r="D241" s="17" t="s">
        <v>70</v>
      </c>
      <c r="E241" s="17" t="s">
        <v>57</v>
      </c>
      <c r="F241" s="17" t="s">
        <v>1055</v>
      </c>
      <c r="G241" s="298"/>
      <c r="H241" s="10"/>
      <c r="I241" s="11"/>
      <c r="J241" s="11"/>
      <c r="K241" s="11"/>
      <c r="L241" s="11"/>
      <c r="M241" s="11"/>
      <c r="N241" s="11"/>
      <c r="O241" s="12"/>
      <c r="P241" s="11"/>
      <c r="Q241" s="13"/>
      <c r="R241" s="14"/>
    </row>
    <row r="242" spans="1:18" ht="15" customHeight="1">
      <c r="A242" s="19" t="s">
        <v>402</v>
      </c>
      <c r="B242" s="19" t="s">
        <v>1064</v>
      </c>
      <c r="C242" s="20">
        <v>0.69444444444444453</v>
      </c>
      <c r="D242" s="19" t="s">
        <v>63</v>
      </c>
      <c r="E242" s="19" t="s">
        <v>126</v>
      </c>
      <c r="F242" s="19" t="s">
        <v>1058</v>
      </c>
      <c r="G242" s="298"/>
      <c r="H242" s="10"/>
      <c r="I242" s="11"/>
      <c r="J242" s="11"/>
      <c r="K242" s="11"/>
      <c r="L242" s="11"/>
      <c r="M242" s="11"/>
      <c r="N242" s="11"/>
      <c r="O242" s="12"/>
      <c r="P242" s="11"/>
      <c r="Q242" s="13"/>
      <c r="R242" s="14"/>
    </row>
    <row r="243" spans="1:18" ht="15" customHeight="1">
      <c r="A243" s="19" t="s">
        <v>38</v>
      </c>
      <c r="B243" s="19" t="s">
        <v>1041</v>
      </c>
      <c r="C243" s="20">
        <v>0.44791666666666669</v>
      </c>
      <c r="D243" s="19" t="s">
        <v>40</v>
      </c>
      <c r="E243" s="19" t="s">
        <v>100</v>
      </c>
      <c r="F243" s="19" t="s">
        <v>487</v>
      </c>
      <c r="G243" s="298"/>
      <c r="H243" s="10"/>
      <c r="I243" s="11"/>
      <c r="J243" s="11"/>
      <c r="K243" s="11"/>
      <c r="L243" s="11"/>
      <c r="M243" s="11"/>
      <c r="N243" s="11"/>
      <c r="O243" s="12"/>
      <c r="P243" s="11"/>
      <c r="Q243" s="13"/>
      <c r="R243" s="14"/>
    </row>
    <row r="244" spans="1:18" ht="15" customHeight="1">
      <c r="A244" s="15" t="s">
        <v>38</v>
      </c>
      <c r="B244" s="15" t="s">
        <v>1041</v>
      </c>
      <c r="C244" s="16">
        <v>0.44791666666666669</v>
      </c>
      <c r="D244" s="15" t="s">
        <v>43</v>
      </c>
      <c r="E244" s="15" t="s">
        <v>115</v>
      </c>
      <c r="F244" s="15" t="s">
        <v>105</v>
      </c>
      <c r="G244" s="298"/>
      <c r="H244" s="10"/>
      <c r="I244" s="11"/>
      <c r="J244" s="11"/>
      <c r="K244" s="11"/>
      <c r="L244" s="11"/>
      <c r="M244" s="11"/>
      <c r="N244" s="11"/>
      <c r="O244" s="12"/>
      <c r="P244" s="11"/>
      <c r="Q244" s="13"/>
      <c r="R244" s="14"/>
    </row>
    <row r="245" spans="1:18" ht="15" customHeight="1">
      <c r="A245" s="15" t="s">
        <v>38</v>
      </c>
      <c r="B245" s="15" t="s">
        <v>1041</v>
      </c>
      <c r="C245" s="16">
        <v>0.44791666666666669</v>
      </c>
      <c r="D245" s="15" t="s">
        <v>46</v>
      </c>
      <c r="E245" s="15" t="s">
        <v>115</v>
      </c>
      <c r="F245" s="15" t="s">
        <v>106</v>
      </c>
      <c r="G245" s="298"/>
      <c r="H245" s="10"/>
      <c r="I245" s="11"/>
      <c r="J245" s="11"/>
      <c r="K245" s="11"/>
      <c r="L245" s="11"/>
      <c r="M245" s="11"/>
      <c r="N245" s="11"/>
      <c r="O245" s="12"/>
      <c r="P245" s="11"/>
      <c r="Q245" s="13"/>
      <c r="R245" s="14"/>
    </row>
    <row r="246" spans="1:18" ht="15" customHeight="1" thickBot="1">
      <c r="A246" s="96" t="s">
        <v>48</v>
      </c>
      <c r="B246" s="96" t="s">
        <v>1060</v>
      </c>
      <c r="C246" s="97">
        <v>0.44791666666666669</v>
      </c>
      <c r="D246" s="96" t="s">
        <v>53</v>
      </c>
      <c r="E246" s="96" t="s">
        <v>29</v>
      </c>
      <c r="F246" s="96" t="s">
        <v>942</v>
      </c>
      <c r="G246" s="299"/>
      <c r="H246" s="300"/>
      <c r="I246" s="140"/>
      <c r="J246" s="140"/>
      <c r="K246" s="140"/>
      <c r="L246" s="140"/>
      <c r="M246" s="140"/>
      <c r="N246" s="140"/>
      <c r="O246" s="141"/>
      <c r="P246" s="140"/>
      <c r="Q246" s="142"/>
      <c r="R246" s="301"/>
    </row>
    <row r="247" spans="1:18" ht="17.45" customHeight="1" thickBot="1">
      <c r="A247" s="283"/>
      <c r="B247" s="284"/>
      <c r="C247" s="284"/>
      <c r="D247" s="284"/>
      <c r="E247" s="284"/>
      <c r="F247" s="284"/>
      <c r="G247" s="284"/>
      <c r="H247" s="284"/>
      <c r="I247" s="284"/>
      <c r="J247" s="284"/>
      <c r="K247" s="284"/>
      <c r="L247" s="284"/>
      <c r="M247" s="284"/>
      <c r="N247" s="284"/>
      <c r="O247" s="284"/>
      <c r="P247" s="284"/>
      <c r="Q247" s="284"/>
      <c r="R247" s="285"/>
    </row>
    <row r="248" spans="1:18" ht="22.15" customHeight="1" thickTop="1" thickBot="1">
      <c r="A248" s="279" t="s">
        <v>6</v>
      </c>
      <c r="B248" s="295"/>
      <c r="C248" s="295"/>
      <c r="D248" s="295"/>
      <c r="E248" s="295"/>
      <c r="F248" s="296"/>
      <c r="G248" s="32">
        <v>46037</v>
      </c>
      <c r="H248" s="278" t="s">
        <v>7</v>
      </c>
      <c r="I248" s="295"/>
      <c r="J248" s="295"/>
      <c r="K248" s="295"/>
      <c r="L248" s="295"/>
      <c r="M248" s="295"/>
      <c r="N248" s="295"/>
      <c r="O248" s="295"/>
      <c r="P248" s="295"/>
      <c r="Q248" s="295"/>
      <c r="R248" s="296"/>
    </row>
    <row r="249" spans="1:18" ht="24" customHeight="1">
      <c r="A249" s="33" t="s">
        <v>8</v>
      </c>
      <c r="B249" s="33" t="s">
        <v>9</v>
      </c>
      <c r="C249" s="34" t="s">
        <v>10</v>
      </c>
      <c r="D249" s="33" t="s">
        <v>11</v>
      </c>
      <c r="E249" s="33" t="s">
        <v>12</v>
      </c>
      <c r="F249" s="35" t="s">
        <v>13</v>
      </c>
      <c r="G249" s="36" t="s">
        <v>14</v>
      </c>
      <c r="H249" s="33" t="s">
        <v>15</v>
      </c>
      <c r="I249" s="37" t="s">
        <v>16</v>
      </c>
      <c r="J249" s="38" t="s">
        <v>17</v>
      </c>
      <c r="K249" s="39" t="s">
        <v>18</v>
      </c>
      <c r="L249" s="38" t="s">
        <v>19</v>
      </c>
      <c r="M249" s="38" t="s">
        <v>20</v>
      </c>
      <c r="N249" s="38" t="s">
        <v>21</v>
      </c>
      <c r="O249" s="33" t="s">
        <v>22</v>
      </c>
      <c r="P249" s="34" t="s">
        <v>23</v>
      </c>
      <c r="Q249" s="38" t="s">
        <v>24</v>
      </c>
      <c r="R249" s="33" t="s">
        <v>25</v>
      </c>
    </row>
    <row r="250" spans="1:18" ht="15" customHeight="1">
      <c r="A250" s="8" t="s">
        <v>38</v>
      </c>
      <c r="B250" s="8" t="s">
        <v>1041</v>
      </c>
      <c r="C250" s="9">
        <v>0.44791666666666669</v>
      </c>
      <c r="D250" s="8" t="s">
        <v>40</v>
      </c>
      <c r="E250" s="8" t="s">
        <v>482</v>
      </c>
      <c r="F250" s="8" t="s">
        <v>33</v>
      </c>
      <c r="G250" s="297"/>
      <c r="H250" s="10"/>
      <c r="I250" s="11"/>
      <c r="J250" s="11"/>
      <c r="K250" s="11"/>
      <c r="L250" s="11"/>
      <c r="M250" s="11"/>
      <c r="N250" s="11"/>
      <c r="O250" s="12"/>
      <c r="P250" s="11"/>
      <c r="Q250" s="13"/>
      <c r="R250" s="14"/>
    </row>
    <row r="251" spans="1:18" ht="15" customHeight="1">
      <c r="A251" s="15" t="s">
        <v>38</v>
      </c>
      <c r="B251" s="15" t="s">
        <v>1041</v>
      </c>
      <c r="C251" s="16">
        <v>0.44791666666666669</v>
      </c>
      <c r="D251" s="15" t="s">
        <v>43</v>
      </c>
      <c r="E251" s="15" t="s">
        <v>483</v>
      </c>
      <c r="F251" s="15" t="s">
        <v>926</v>
      </c>
      <c r="G251" s="298"/>
      <c r="H251" s="10"/>
      <c r="I251" s="11"/>
      <c r="J251" s="11"/>
      <c r="K251" s="11"/>
      <c r="L251" s="11"/>
      <c r="M251" s="11"/>
      <c r="N251" s="11"/>
      <c r="O251" s="12"/>
      <c r="P251" s="11"/>
      <c r="Q251" s="13"/>
      <c r="R251" s="14"/>
    </row>
    <row r="252" spans="1:18" ht="15" customHeight="1">
      <c r="A252" s="15" t="s">
        <v>38</v>
      </c>
      <c r="B252" s="15" t="s">
        <v>1041</v>
      </c>
      <c r="C252" s="16">
        <v>0.44791666666666669</v>
      </c>
      <c r="D252" s="15" t="s">
        <v>46</v>
      </c>
      <c r="E252" s="15" t="s">
        <v>483</v>
      </c>
      <c r="F252" s="15" t="s">
        <v>106</v>
      </c>
      <c r="G252" s="298"/>
      <c r="H252" s="10"/>
      <c r="I252" s="11"/>
      <c r="J252" s="11"/>
      <c r="K252" s="11"/>
      <c r="L252" s="11"/>
      <c r="M252" s="11"/>
      <c r="N252" s="11"/>
      <c r="O252" s="12"/>
      <c r="P252" s="11"/>
      <c r="Q252" s="13"/>
      <c r="R252" s="14"/>
    </row>
    <row r="253" spans="1:18" ht="15" customHeight="1">
      <c r="A253" s="19" t="s">
        <v>26</v>
      </c>
      <c r="B253" s="19" t="s">
        <v>1047</v>
      </c>
      <c r="C253" s="20">
        <v>0.33680555555555558</v>
      </c>
      <c r="D253" s="19" t="s">
        <v>28</v>
      </c>
      <c r="E253" s="19" t="s">
        <v>126</v>
      </c>
      <c r="F253" s="19" t="s">
        <v>426</v>
      </c>
      <c r="G253" s="298"/>
      <c r="H253" s="10"/>
      <c r="I253" s="11"/>
      <c r="J253" s="11"/>
      <c r="K253" s="11"/>
      <c r="L253" s="11"/>
      <c r="M253" s="11"/>
      <c r="N253" s="11"/>
      <c r="O253" s="12"/>
      <c r="P253" s="11"/>
      <c r="Q253" s="13"/>
      <c r="R253" s="14"/>
    </row>
    <row r="254" spans="1:18" ht="15" customHeight="1">
      <c r="A254" s="15" t="s">
        <v>26</v>
      </c>
      <c r="B254" s="15" t="s">
        <v>1047</v>
      </c>
      <c r="C254" s="16">
        <v>0.33680555555555558</v>
      </c>
      <c r="D254" s="15" t="s">
        <v>31</v>
      </c>
      <c r="E254" s="15" t="s">
        <v>127</v>
      </c>
      <c r="F254" s="15" t="s">
        <v>150</v>
      </c>
      <c r="G254" s="298"/>
      <c r="H254" s="10"/>
      <c r="I254" s="11"/>
      <c r="J254" s="11"/>
      <c r="K254" s="11"/>
      <c r="L254" s="11"/>
      <c r="M254" s="11"/>
      <c r="N254" s="11"/>
      <c r="O254" s="12"/>
      <c r="P254" s="11"/>
      <c r="Q254" s="13"/>
      <c r="R254" s="14"/>
    </row>
    <row r="255" spans="1:18" ht="15" customHeight="1">
      <c r="A255" s="15" t="s">
        <v>26</v>
      </c>
      <c r="B255" s="15" t="s">
        <v>1047</v>
      </c>
      <c r="C255" s="16">
        <v>0.33680555555555558</v>
      </c>
      <c r="D255" s="15" t="s">
        <v>34</v>
      </c>
      <c r="E255" s="15" t="s">
        <v>127</v>
      </c>
      <c r="F255" s="15" t="s">
        <v>178</v>
      </c>
      <c r="G255" s="298"/>
      <c r="H255" s="10"/>
      <c r="I255" s="11"/>
      <c r="J255" s="11"/>
      <c r="K255" s="11"/>
      <c r="L255" s="11"/>
      <c r="M255" s="11"/>
      <c r="N255" s="11"/>
      <c r="O255" s="12"/>
      <c r="P255" s="11"/>
      <c r="Q255" s="13"/>
      <c r="R255" s="14"/>
    </row>
    <row r="256" spans="1:18" ht="15" customHeight="1">
      <c r="A256" s="17" t="s">
        <v>26</v>
      </c>
      <c r="B256" s="17" t="s">
        <v>1049</v>
      </c>
      <c r="C256" s="18">
        <v>0.97222222222222221</v>
      </c>
      <c r="D256" s="17" t="s">
        <v>28</v>
      </c>
      <c r="E256" s="17" t="s">
        <v>90</v>
      </c>
      <c r="F256" s="17" t="s">
        <v>150</v>
      </c>
      <c r="G256" s="298"/>
      <c r="H256" s="10"/>
      <c r="I256" s="11"/>
      <c r="J256" s="11"/>
      <c r="K256" s="11"/>
      <c r="L256" s="11"/>
      <c r="M256" s="11"/>
      <c r="N256" s="11"/>
      <c r="O256" s="12"/>
      <c r="P256" s="11"/>
      <c r="Q256" s="13"/>
      <c r="R256" s="14"/>
    </row>
    <row r="257" spans="1:18" ht="15" customHeight="1">
      <c r="A257" s="15" t="s">
        <v>26</v>
      </c>
      <c r="B257" s="15" t="s">
        <v>1049</v>
      </c>
      <c r="C257" s="16">
        <v>0.97222222222222221</v>
      </c>
      <c r="D257" s="15" t="s">
        <v>31</v>
      </c>
      <c r="E257" s="15" t="s">
        <v>82</v>
      </c>
      <c r="F257" s="15" t="s">
        <v>511</v>
      </c>
      <c r="G257" s="298"/>
      <c r="H257" s="10"/>
      <c r="I257" s="11"/>
      <c r="J257" s="11"/>
      <c r="K257" s="11"/>
      <c r="L257" s="11"/>
      <c r="M257" s="11"/>
      <c r="N257" s="11"/>
      <c r="O257" s="12"/>
      <c r="P257" s="11"/>
      <c r="Q257" s="13"/>
      <c r="R257" s="14"/>
    </row>
    <row r="258" spans="1:18" ht="15" customHeight="1">
      <c r="A258" s="15" t="s">
        <v>26</v>
      </c>
      <c r="B258" s="15" t="s">
        <v>1049</v>
      </c>
      <c r="C258" s="16">
        <v>0.97222222222222221</v>
      </c>
      <c r="D258" s="15" t="s">
        <v>34</v>
      </c>
      <c r="E258" s="15" t="s">
        <v>82</v>
      </c>
      <c r="F258" s="15" t="s">
        <v>653</v>
      </c>
      <c r="G258" s="298"/>
      <c r="H258" s="10"/>
      <c r="I258" s="11"/>
      <c r="J258" s="11"/>
      <c r="K258" s="11"/>
      <c r="L258" s="11"/>
      <c r="M258" s="11"/>
      <c r="N258" s="11"/>
      <c r="O258" s="12"/>
      <c r="P258" s="11"/>
      <c r="Q258" s="13"/>
      <c r="R258" s="14"/>
    </row>
    <row r="259" spans="1:18" ht="15" customHeight="1">
      <c r="A259" s="19" t="s">
        <v>68</v>
      </c>
      <c r="B259" s="19" t="s">
        <v>1052</v>
      </c>
      <c r="C259" s="20">
        <v>0.33680555555555558</v>
      </c>
      <c r="D259" s="19" t="s">
        <v>643</v>
      </c>
      <c r="E259" s="19" t="s">
        <v>51</v>
      </c>
      <c r="F259" s="19" t="s">
        <v>1053</v>
      </c>
      <c r="G259" s="298"/>
      <c r="H259" s="10"/>
      <c r="I259" s="11"/>
      <c r="J259" s="11"/>
      <c r="K259" s="11"/>
      <c r="L259" s="11"/>
      <c r="M259" s="11"/>
      <c r="N259" s="11"/>
      <c r="O259" s="12"/>
      <c r="P259" s="11"/>
      <c r="Q259" s="13"/>
      <c r="R259" s="14"/>
    </row>
    <row r="260" spans="1:18" ht="15" customHeight="1">
      <c r="A260" s="17" t="s">
        <v>68</v>
      </c>
      <c r="B260" s="17" t="s">
        <v>1054</v>
      </c>
      <c r="C260" s="18">
        <v>0.97916666666666663</v>
      </c>
      <c r="D260" s="17" t="s">
        <v>70</v>
      </c>
      <c r="E260" s="17" t="s">
        <v>57</v>
      </c>
      <c r="F260" s="17" t="s">
        <v>1001</v>
      </c>
      <c r="G260" s="298"/>
      <c r="H260" s="10"/>
      <c r="I260" s="11"/>
      <c r="J260" s="11"/>
      <c r="K260" s="11"/>
      <c r="L260" s="11"/>
      <c r="M260" s="11"/>
      <c r="N260" s="11"/>
      <c r="O260" s="12"/>
      <c r="P260" s="11"/>
      <c r="Q260" s="13"/>
      <c r="R260" s="14"/>
    </row>
    <row r="261" spans="1:18" ht="15" customHeight="1">
      <c r="A261" s="17" t="s">
        <v>68</v>
      </c>
      <c r="B261" s="17" t="s">
        <v>1056</v>
      </c>
      <c r="C261" s="18">
        <v>0.67361111111111116</v>
      </c>
      <c r="D261" s="17" t="s">
        <v>70</v>
      </c>
      <c r="E261" s="17" t="s">
        <v>57</v>
      </c>
      <c r="F261" s="17" t="s">
        <v>858</v>
      </c>
      <c r="G261" s="298"/>
      <c r="H261" s="10"/>
      <c r="I261" s="11"/>
      <c r="J261" s="11"/>
      <c r="K261" s="11"/>
      <c r="L261" s="11"/>
      <c r="M261" s="11"/>
      <c r="N261" s="11"/>
      <c r="O261" s="12"/>
      <c r="P261" s="11"/>
      <c r="Q261" s="13"/>
      <c r="R261" s="14"/>
    </row>
    <row r="262" spans="1:18" ht="15" customHeight="1">
      <c r="A262" s="21" t="s">
        <v>61</v>
      </c>
      <c r="B262" s="21" t="s">
        <v>1043</v>
      </c>
      <c r="C262" s="22">
        <v>0.72222222222222221</v>
      </c>
      <c r="D262" s="21" t="s">
        <v>63</v>
      </c>
      <c r="E262" s="21" t="s">
        <v>51</v>
      </c>
      <c r="F262" s="21" t="s">
        <v>138</v>
      </c>
      <c r="G262" s="298"/>
      <c r="H262" s="23" t="s">
        <v>1045</v>
      </c>
      <c r="I262" s="24">
        <v>4.4400000000000002E-2</v>
      </c>
      <c r="J262" s="25">
        <v>8</v>
      </c>
      <c r="K262" s="26">
        <v>46343</v>
      </c>
      <c r="L262" s="25">
        <v>8</v>
      </c>
      <c r="M262" s="25">
        <v>0</v>
      </c>
      <c r="N262" s="25">
        <v>0</v>
      </c>
      <c r="O262" s="27" t="s">
        <v>667</v>
      </c>
      <c r="P262" s="28">
        <v>0.72222222222222221</v>
      </c>
      <c r="Q262" s="25">
        <v>180</v>
      </c>
      <c r="R262" s="29" t="s">
        <v>1085</v>
      </c>
    </row>
    <row r="263" spans="1:18" ht="15" customHeight="1">
      <c r="A263" s="19" t="s">
        <v>402</v>
      </c>
      <c r="B263" s="19" t="s">
        <v>1059</v>
      </c>
      <c r="C263" s="20">
        <v>0.3611111111111111</v>
      </c>
      <c r="D263" s="19" t="s">
        <v>63</v>
      </c>
      <c r="E263" s="19" t="s">
        <v>177</v>
      </c>
      <c r="F263" s="19" t="s">
        <v>1058</v>
      </c>
      <c r="G263" s="298"/>
      <c r="H263" s="10"/>
      <c r="I263" s="11"/>
      <c r="J263" s="11"/>
      <c r="K263" s="11"/>
      <c r="L263" s="11"/>
      <c r="M263" s="11"/>
      <c r="N263" s="11"/>
      <c r="O263" s="12"/>
      <c r="P263" s="11"/>
      <c r="Q263" s="13"/>
      <c r="R263" s="14"/>
    </row>
    <row r="264" spans="1:18" ht="15" customHeight="1">
      <c r="A264" s="17" t="s">
        <v>402</v>
      </c>
      <c r="B264" s="17" t="s">
        <v>1057</v>
      </c>
      <c r="C264" s="18">
        <v>0.75694444444444453</v>
      </c>
      <c r="D264" s="17" t="s">
        <v>63</v>
      </c>
      <c r="E264" s="17" t="s">
        <v>372</v>
      </c>
      <c r="F264" s="17" t="s">
        <v>857</v>
      </c>
      <c r="G264" s="298"/>
      <c r="H264" s="10"/>
      <c r="I264" s="11"/>
      <c r="J264" s="11"/>
      <c r="K264" s="11"/>
      <c r="L264" s="11"/>
      <c r="M264" s="11"/>
      <c r="N264" s="11"/>
      <c r="O264" s="12"/>
      <c r="P264" s="11"/>
      <c r="Q264" s="13"/>
      <c r="R264" s="14"/>
    </row>
    <row r="265" spans="1:18" ht="15" customHeight="1">
      <c r="A265" s="19" t="s">
        <v>415</v>
      </c>
      <c r="B265" s="19" t="s">
        <v>1050</v>
      </c>
      <c r="C265" s="20">
        <v>0.75694444444444453</v>
      </c>
      <c r="D265" s="19" t="s">
        <v>63</v>
      </c>
      <c r="E265" s="19" t="s">
        <v>107</v>
      </c>
      <c r="F265" s="19" t="s">
        <v>1086</v>
      </c>
      <c r="G265" s="298"/>
      <c r="H265" s="10"/>
      <c r="I265" s="11"/>
      <c r="J265" s="11"/>
      <c r="K265" s="11"/>
      <c r="L265" s="11"/>
      <c r="M265" s="11"/>
      <c r="N265" s="11"/>
      <c r="O265" s="12"/>
      <c r="P265" s="11"/>
      <c r="Q265" s="13"/>
      <c r="R265" s="14"/>
    </row>
    <row r="266" spans="1:18" ht="15" customHeight="1" thickBot="1">
      <c r="A266" s="96" t="s">
        <v>48</v>
      </c>
      <c r="B266" s="96" t="s">
        <v>1060</v>
      </c>
      <c r="C266" s="97">
        <v>0.44791666666666669</v>
      </c>
      <c r="D266" s="96" t="s">
        <v>53</v>
      </c>
      <c r="E266" s="96" t="s">
        <v>29</v>
      </c>
      <c r="F266" s="96" t="s">
        <v>933</v>
      </c>
      <c r="G266" s="299"/>
      <c r="H266" s="300"/>
      <c r="I266" s="140"/>
      <c r="J266" s="140"/>
      <c r="K266" s="140"/>
      <c r="L266" s="140"/>
      <c r="M266" s="140"/>
      <c r="N266" s="140"/>
      <c r="O266" s="141"/>
      <c r="P266" s="140"/>
      <c r="Q266" s="142"/>
      <c r="R266" s="301"/>
    </row>
    <row r="267" spans="1:18" ht="17.45" customHeight="1" thickBot="1">
      <c r="A267" s="283"/>
      <c r="B267" s="284"/>
      <c r="C267" s="284"/>
      <c r="D267" s="284"/>
      <c r="E267" s="284"/>
      <c r="F267" s="284"/>
      <c r="G267" s="284"/>
      <c r="H267" s="284"/>
      <c r="I267" s="284"/>
      <c r="J267" s="284"/>
      <c r="K267" s="284"/>
      <c r="L267" s="284"/>
      <c r="M267" s="284"/>
      <c r="N267" s="284"/>
      <c r="O267" s="284"/>
      <c r="P267" s="284"/>
      <c r="Q267" s="284"/>
      <c r="R267" s="285"/>
    </row>
    <row r="268" spans="1:18" ht="22.15" customHeight="1" thickTop="1" thickBot="1">
      <c r="A268" s="279" t="s">
        <v>6</v>
      </c>
      <c r="B268" s="295"/>
      <c r="C268" s="295"/>
      <c r="D268" s="295"/>
      <c r="E268" s="295"/>
      <c r="F268" s="296"/>
      <c r="G268" s="32">
        <v>46038</v>
      </c>
      <c r="H268" s="278" t="s">
        <v>7</v>
      </c>
      <c r="I268" s="295"/>
      <c r="J268" s="295"/>
      <c r="K268" s="295"/>
      <c r="L268" s="295"/>
      <c r="M268" s="295"/>
      <c r="N268" s="295"/>
      <c r="O268" s="295"/>
      <c r="P268" s="295"/>
      <c r="Q268" s="295"/>
      <c r="R268" s="296"/>
    </row>
    <row r="269" spans="1:18" ht="24" customHeight="1">
      <c r="A269" s="33" t="s">
        <v>8</v>
      </c>
      <c r="B269" s="33" t="s">
        <v>9</v>
      </c>
      <c r="C269" s="34" t="s">
        <v>10</v>
      </c>
      <c r="D269" s="33" t="s">
        <v>11</v>
      </c>
      <c r="E269" s="33" t="s">
        <v>12</v>
      </c>
      <c r="F269" s="35" t="s">
        <v>13</v>
      </c>
      <c r="G269" s="36" t="s">
        <v>14</v>
      </c>
      <c r="H269" s="33" t="s">
        <v>15</v>
      </c>
      <c r="I269" s="37" t="s">
        <v>16</v>
      </c>
      <c r="J269" s="38" t="s">
        <v>17</v>
      </c>
      <c r="K269" s="39" t="s">
        <v>18</v>
      </c>
      <c r="L269" s="38" t="s">
        <v>19</v>
      </c>
      <c r="M269" s="38" t="s">
        <v>20</v>
      </c>
      <c r="N269" s="38" t="s">
        <v>21</v>
      </c>
      <c r="O269" s="33" t="s">
        <v>22</v>
      </c>
      <c r="P269" s="34" t="s">
        <v>23</v>
      </c>
      <c r="Q269" s="38" t="s">
        <v>24</v>
      </c>
      <c r="R269" s="33" t="s">
        <v>25</v>
      </c>
    </row>
    <row r="270" spans="1:18" ht="15" customHeight="1">
      <c r="A270" s="40" t="s">
        <v>61</v>
      </c>
      <c r="B270" s="40" t="s">
        <v>1043</v>
      </c>
      <c r="C270" s="41">
        <v>0.38194444444444442</v>
      </c>
      <c r="D270" s="40" t="s">
        <v>63</v>
      </c>
      <c r="E270" s="40" t="s">
        <v>177</v>
      </c>
      <c r="F270" s="40" t="s">
        <v>138</v>
      </c>
      <c r="G270" s="297"/>
      <c r="H270" s="42" t="s">
        <v>1045</v>
      </c>
      <c r="I270" s="43">
        <v>8.3299999999999999E-2</v>
      </c>
      <c r="J270" s="44">
        <v>15</v>
      </c>
      <c r="K270" s="45">
        <v>46343</v>
      </c>
      <c r="L270" s="44">
        <v>13</v>
      </c>
      <c r="M270" s="44">
        <v>0</v>
      </c>
      <c r="N270" s="44">
        <v>0</v>
      </c>
      <c r="O270" s="46" t="s">
        <v>1087</v>
      </c>
      <c r="P270" s="47">
        <v>0.38194444444444442</v>
      </c>
      <c r="Q270" s="44">
        <v>180</v>
      </c>
      <c r="R270" s="48" t="s">
        <v>1088</v>
      </c>
    </row>
    <row r="271" spans="1:18" ht="15" customHeight="1">
      <c r="A271" s="19" t="s">
        <v>38</v>
      </c>
      <c r="B271" s="19" t="s">
        <v>1041</v>
      </c>
      <c r="C271" s="20">
        <v>0.44791666666666669</v>
      </c>
      <c r="D271" s="19" t="s">
        <v>40</v>
      </c>
      <c r="E271" s="19" t="s">
        <v>482</v>
      </c>
      <c r="F271" s="19" t="s">
        <v>162</v>
      </c>
      <c r="G271" s="298"/>
      <c r="H271" s="10"/>
      <c r="I271" s="11"/>
      <c r="J271" s="11"/>
      <c r="K271" s="11"/>
      <c r="L271" s="11"/>
      <c r="M271" s="11"/>
      <c r="N271" s="11"/>
      <c r="O271" s="12"/>
      <c r="P271" s="11"/>
      <c r="Q271" s="13"/>
      <c r="R271" s="14"/>
    </row>
    <row r="272" spans="1:18" ht="15" customHeight="1">
      <c r="A272" s="15" t="s">
        <v>38</v>
      </c>
      <c r="B272" s="15" t="s">
        <v>1041</v>
      </c>
      <c r="C272" s="16">
        <v>0.44791666666666669</v>
      </c>
      <c r="D272" s="15" t="s">
        <v>43</v>
      </c>
      <c r="E272" s="15" t="s">
        <v>483</v>
      </c>
      <c r="F272" s="15" t="s">
        <v>865</v>
      </c>
      <c r="G272" s="298"/>
      <c r="H272" s="10"/>
      <c r="I272" s="11"/>
      <c r="J272" s="11"/>
      <c r="K272" s="11"/>
      <c r="L272" s="11"/>
      <c r="M272" s="11"/>
      <c r="N272" s="11"/>
      <c r="O272" s="12"/>
      <c r="P272" s="11"/>
      <c r="Q272" s="13"/>
      <c r="R272" s="14"/>
    </row>
    <row r="273" spans="1:18" ht="15" customHeight="1">
      <c r="A273" s="15" t="s">
        <v>38</v>
      </c>
      <c r="B273" s="15" t="s">
        <v>1041</v>
      </c>
      <c r="C273" s="16">
        <v>0.44791666666666669</v>
      </c>
      <c r="D273" s="15" t="s">
        <v>46</v>
      </c>
      <c r="E273" s="15" t="s">
        <v>483</v>
      </c>
      <c r="F273" s="15" t="s">
        <v>106</v>
      </c>
      <c r="G273" s="298"/>
      <c r="H273" s="10"/>
      <c r="I273" s="11"/>
      <c r="J273" s="11"/>
      <c r="K273" s="11"/>
      <c r="L273" s="11"/>
      <c r="M273" s="11"/>
      <c r="N273" s="11"/>
      <c r="O273" s="12"/>
      <c r="P273" s="11"/>
      <c r="Q273" s="13"/>
      <c r="R273" s="14"/>
    </row>
    <row r="274" spans="1:18" ht="15" customHeight="1">
      <c r="A274" s="19" t="s">
        <v>26</v>
      </c>
      <c r="B274" s="19" t="s">
        <v>1049</v>
      </c>
      <c r="C274" s="20">
        <v>0.97222222222222221</v>
      </c>
      <c r="D274" s="19" t="s">
        <v>28</v>
      </c>
      <c r="E274" s="19" t="s">
        <v>177</v>
      </c>
      <c r="F274" s="19" t="s">
        <v>150</v>
      </c>
      <c r="G274" s="298"/>
      <c r="H274" s="10"/>
      <c r="I274" s="11"/>
      <c r="J274" s="11"/>
      <c r="K274" s="11"/>
      <c r="L274" s="11"/>
      <c r="M274" s="11"/>
      <c r="N274" s="11"/>
      <c r="O274" s="12"/>
      <c r="P274" s="11"/>
      <c r="Q274" s="13"/>
      <c r="R274" s="14"/>
    </row>
    <row r="275" spans="1:18" ht="15" customHeight="1">
      <c r="A275" s="15" t="s">
        <v>26</v>
      </c>
      <c r="B275" s="15" t="s">
        <v>1049</v>
      </c>
      <c r="C275" s="16">
        <v>0.97222222222222221</v>
      </c>
      <c r="D275" s="15" t="s">
        <v>31</v>
      </c>
      <c r="E275" s="15" t="s">
        <v>454</v>
      </c>
      <c r="F275" s="15" t="s">
        <v>511</v>
      </c>
      <c r="G275" s="298"/>
      <c r="H275" s="10"/>
      <c r="I275" s="11"/>
      <c r="J275" s="11"/>
      <c r="K275" s="11"/>
      <c r="L275" s="11"/>
      <c r="M275" s="11"/>
      <c r="N275" s="11"/>
      <c r="O275" s="12"/>
      <c r="P275" s="11"/>
      <c r="Q275" s="13"/>
      <c r="R275" s="14"/>
    </row>
    <row r="276" spans="1:18" ht="15" customHeight="1">
      <c r="A276" s="15" t="s">
        <v>26</v>
      </c>
      <c r="B276" s="15" t="s">
        <v>1049</v>
      </c>
      <c r="C276" s="16">
        <v>0.97222222222222221</v>
      </c>
      <c r="D276" s="15" t="s">
        <v>34</v>
      </c>
      <c r="E276" s="15" t="s">
        <v>454</v>
      </c>
      <c r="F276" s="15" t="s">
        <v>653</v>
      </c>
      <c r="G276" s="298"/>
      <c r="H276" s="10"/>
      <c r="I276" s="11"/>
      <c r="J276" s="11"/>
      <c r="K276" s="11"/>
      <c r="L276" s="11"/>
      <c r="M276" s="11"/>
      <c r="N276" s="11"/>
      <c r="O276" s="12"/>
      <c r="P276" s="11"/>
      <c r="Q276" s="13"/>
      <c r="R276" s="14"/>
    </row>
    <row r="277" spans="1:18" ht="15" customHeight="1">
      <c r="A277" s="19" t="s">
        <v>402</v>
      </c>
      <c r="B277" s="19" t="s">
        <v>1064</v>
      </c>
      <c r="C277" s="20">
        <v>0.75694444444444453</v>
      </c>
      <c r="D277" s="19" t="s">
        <v>63</v>
      </c>
      <c r="E277" s="19" t="s">
        <v>126</v>
      </c>
      <c r="F277" s="19" t="s">
        <v>938</v>
      </c>
      <c r="G277" s="298"/>
      <c r="H277" s="10"/>
      <c r="I277" s="11"/>
      <c r="J277" s="11"/>
      <c r="K277" s="11"/>
      <c r="L277" s="11"/>
      <c r="M277" s="11"/>
      <c r="N277" s="11"/>
      <c r="O277" s="12"/>
      <c r="P277" s="11"/>
      <c r="Q277" s="13"/>
      <c r="R277" s="14"/>
    </row>
    <row r="278" spans="1:18" ht="15" customHeight="1">
      <c r="A278" s="19" t="s">
        <v>415</v>
      </c>
      <c r="B278" s="19" t="s">
        <v>1062</v>
      </c>
      <c r="C278" s="20">
        <v>6.9444444444444441E-3</v>
      </c>
      <c r="D278" s="19" t="s">
        <v>63</v>
      </c>
      <c r="E278" s="19" t="s">
        <v>29</v>
      </c>
      <c r="F278" s="19" t="s">
        <v>1086</v>
      </c>
      <c r="G278" s="298"/>
      <c r="H278" s="10"/>
      <c r="I278" s="11"/>
      <c r="J278" s="11"/>
      <c r="K278" s="11"/>
      <c r="L278" s="11"/>
      <c r="M278" s="11"/>
      <c r="N278" s="11"/>
      <c r="O278" s="12"/>
      <c r="P278" s="11"/>
      <c r="Q278" s="13"/>
      <c r="R278" s="14"/>
    </row>
    <row r="279" spans="1:18" ht="15" customHeight="1">
      <c r="A279" s="19" t="s">
        <v>68</v>
      </c>
      <c r="B279" s="19" t="s">
        <v>1052</v>
      </c>
      <c r="C279" s="20">
        <v>0.33680555555555558</v>
      </c>
      <c r="D279" s="19" t="s">
        <v>70</v>
      </c>
      <c r="E279" s="19" t="s">
        <v>51</v>
      </c>
      <c r="F279" s="19" t="s">
        <v>1089</v>
      </c>
      <c r="G279" s="298"/>
      <c r="H279" s="10"/>
      <c r="I279" s="11"/>
      <c r="J279" s="11"/>
      <c r="K279" s="11"/>
      <c r="L279" s="11"/>
      <c r="M279" s="11"/>
      <c r="N279" s="11"/>
      <c r="O279" s="12"/>
      <c r="P279" s="11"/>
      <c r="Q279" s="13"/>
      <c r="R279" s="14"/>
    </row>
    <row r="280" spans="1:18" ht="15" customHeight="1">
      <c r="A280" s="17" t="s">
        <v>68</v>
      </c>
      <c r="B280" s="17" t="s">
        <v>1054</v>
      </c>
      <c r="C280" s="18">
        <v>0.97916666666666663</v>
      </c>
      <c r="D280" s="17" t="s">
        <v>70</v>
      </c>
      <c r="E280" s="17" t="s">
        <v>57</v>
      </c>
      <c r="F280" s="17" t="s">
        <v>1090</v>
      </c>
      <c r="G280" s="298"/>
      <c r="H280" s="10"/>
      <c r="I280" s="11"/>
      <c r="J280" s="11"/>
      <c r="K280" s="11"/>
      <c r="L280" s="11"/>
      <c r="M280" s="11"/>
      <c r="N280" s="11"/>
      <c r="O280" s="12"/>
      <c r="P280" s="11"/>
      <c r="Q280" s="13"/>
      <c r="R280" s="14"/>
    </row>
    <row r="281" spans="1:18" ht="15" customHeight="1">
      <c r="A281" s="17" t="s">
        <v>68</v>
      </c>
      <c r="B281" s="17" t="s">
        <v>1056</v>
      </c>
      <c r="C281" s="18">
        <v>0.67361111111111116</v>
      </c>
      <c r="D281" s="17" t="s">
        <v>70</v>
      </c>
      <c r="E281" s="17" t="s">
        <v>57</v>
      </c>
      <c r="F281" s="17" t="s">
        <v>1091</v>
      </c>
      <c r="G281" s="298"/>
      <c r="H281" s="10"/>
      <c r="I281" s="11"/>
      <c r="J281" s="11"/>
      <c r="K281" s="11"/>
      <c r="L281" s="11"/>
      <c r="M281" s="11"/>
      <c r="N281" s="11"/>
      <c r="O281" s="12"/>
      <c r="P281" s="11"/>
      <c r="Q281" s="13"/>
      <c r="R281" s="14"/>
    </row>
    <row r="282" spans="1:18" ht="15" customHeight="1" thickBot="1">
      <c r="A282" s="96" t="s">
        <v>48</v>
      </c>
      <c r="B282" s="96" t="s">
        <v>1060</v>
      </c>
      <c r="C282" s="97">
        <v>0.44791666666666669</v>
      </c>
      <c r="D282" s="96" t="s">
        <v>53</v>
      </c>
      <c r="E282" s="96" t="s">
        <v>29</v>
      </c>
      <c r="F282" s="96" t="s">
        <v>871</v>
      </c>
      <c r="G282" s="299"/>
      <c r="H282" s="300"/>
      <c r="I282" s="140"/>
      <c r="J282" s="140"/>
      <c r="K282" s="140"/>
      <c r="L282" s="140"/>
      <c r="M282" s="140"/>
      <c r="N282" s="140"/>
      <c r="O282" s="141"/>
      <c r="P282" s="140"/>
      <c r="Q282" s="142"/>
      <c r="R282" s="301"/>
    </row>
    <row r="283" spans="1:18" ht="17.45" customHeight="1" thickBot="1">
      <c r="A283" s="283"/>
      <c r="B283" s="284"/>
      <c r="C283" s="284"/>
      <c r="D283" s="284"/>
      <c r="E283" s="284"/>
      <c r="F283" s="284"/>
      <c r="G283" s="284"/>
      <c r="H283" s="284"/>
      <c r="I283" s="284"/>
      <c r="J283" s="284"/>
      <c r="K283" s="284"/>
      <c r="L283" s="284"/>
      <c r="M283" s="284"/>
      <c r="N283" s="284"/>
      <c r="O283" s="284"/>
      <c r="P283" s="284"/>
      <c r="Q283" s="284"/>
      <c r="R283" s="285"/>
    </row>
    <row r="284" spans="1:18" ht="22.15" customHeight="1" thickTop="1" thickBot="1">
      <c r="A284" s="279" t="s">
        <v>6</v>
      </c>
      <c r="B284" s="295"/>
      <c r="C284" s="295"/>
      <c r="D284" s="295"/>
      <c r="E284" s="295"/>
      <c r="F284" s="296"/>
      <c r="G284" s="32">
        <v>46039</v>
      </c>
      <c r="H284" s="278" t="s">
        <v>7</v>
      </c>
      <c r="I284" s="295"/>
      <c r="J284" s="295"/>
      <c r="K284" s="295"/>
      <c r="L284" s="295"/>
      <c r="M284" s="295"/>
      <c r="N284" s="295"/>
      <c r="O284" s="295"/>
      <c r="P284" s="295"/>
      <c r="Q284" s="295"/>
      <c r="R284" s="296"/>
    </row>
    <row r="285" spans="1:18" ht="24" customHeight="1">
      <c r="A285" s="33" t="s">
        <v>8</v>
      </c>
      <c r="B285" s="33" t="s">
        <v>9</v>
      </c>
      <c r="C285" s="34" t="s">
        <v>10</v>
      </c>
      <c r="D285" s="33" t="s">
        <v>11</v>
      </c>
      <c r="E285" s="33" t="s">
        <v>12</v>
      </c>
      <c r="F285" s="35" t="s">
        <v>13</v>
      </c>
      <c r="G285" s="36" t="s">
        <v>14</v>
      </c>
      <c r="H285" s="33" t="s">
        <v>15</v>
      </c>
      <c r="I285" s="37" t="s">
        <v>16</v>
      </c>
      <c r="J285" s="38" t="s">
        <v>17</v>
      </c>
      <c r="K285" s="39" t="s">
        <v>18</v>
      </c>
      <c r="L285" s="38" t="s">
        <v>19</v>
      </c>
      <c r="M285" s="38" t="s">
        <v>20</v>
      </c>
      <c r="N285" s="38" t="s">
        <v>21</v>
      </c>
      <c r="O285" s="33" t="s">
        <v>22</v>
      </c>
      <c r="P285" s="34" t="s">
        <v>23</v>
      </c>
      <c r="Q285" s="38" t="s">
        <v>24</v>
      </c>
      <c r="R285" s="33" t="s">
        <v>25</v>
      </c>
    </row>
    <row r="286" spans="1:18" ht="15" customHeight="1">
      <c r="A286" s="8" t="s">
        <v>26</v>
      </c>
      <c r="B286" s="8" t="s">
        <v>1047</v>
      </c>
      <c r="C286" s="9">
        <v>0.33680555555555558</v>
      </c>
      <c r="D286" s="8" t="s">
        <v>28</v>
      </c>
      <c r="E286" s="8" t="s">
        <v>80</v>
      </c>
      <c r="F286" s="8" t="s">
        <v>511</v>
      </c>
      <c r="G286" s="297"/>
      <c r="H286" s="10"/>
      <c r="I286" s="11"/>
      <c r="J286" s="11"/>
      <c r="K286" s="11"/>
      <c r="L286" s="11"/>
      <c r="M286" s="11"/>
      <c r="N286" s="11"/>
      <c r="O286" s="12"/>
      <c r="P286" s="11"/>
      <c r="Q286" s="13"/>
      <c r="R286" s="14"/>
    </row>
    <row r="287" spans="1:18" ht="15" customHeight="1">
      <c r="A287" s="15" t="s">
        <v>26</v>
      </c>
      <c r="B287" s="15" t="s">
        <v>1047</v>
      </c>
      <c r="C287" s="16">
        <v>0.33680555555555558</v>
      </c>
      <c r="D287" s="15" t="s">
        <v>31</v>
      </c>
      <c r="E287" s="15" t="s">
        <v>82</v>
      </c>
      <c r="F287" s="15" t="s">
        <v>47</v>
      </c>
      <c r="G287" s="298"/>
      <c r="H287" s="10"/>
      <c r="I287" s="11"/>
      <c r="J287" s="11"/>
      <c r="K287" s="11"/>
      <c r="L287" s="11"/>
      <c r="M287" s="11"/>
      <c r="N287" s="11"/>
      <c r="O287" s="12"/>
      <c r="P287" s="11"/>
      <c r="Q287" s="13"/>
      <c r="R287" s="14"/>
    </row>
    <row r="288" spans="1:18" ht="15" customHeight="1">
      <c r="A288" s="15" t="s">
        <v>26</v>
      </c>
      <c r="B288" s="15" t="s">
        <v>1047</v>
      </c>
      <c r="C288" s="16">
        <v>0.33680555555555558</v>
      </c>
      <c r="D288" s="15" t="s">
        <v>34</v>
      </c>
      <c r="E288" s="15" t="s">
        <v>82</v>
      </c>
      <c r="F288" s="15" t="s">
        <v>932</v>
      </c>
      <c r="G288" s="298"/>
      <c r="H288" s="10"/>
      <c r="I288" s="11"/>
      <c r="J288" s="11"/>
      <c r="K288" s="11"/>
      <c r="L288" s="11"/>
      <c r="M288" s="11"/>
      <c r="N288" s="11"/>
      <c r="O288" s="12"/>
      <c r="P288" s="11"/>
      <c r="Q288" s="13"/>
      <c r="R288" s="14"/>
    </row>
    <row r="289" spans="1:18" ht="15" customHeight="1">
      <c r="A289" s="17" t="s">
        <v>26</v>
      </c>
      <c r="B289" s="17" t="s">
        <v>1049</v>
      </c>
      <c r="C289" s="18">
        <v>0.97222222222222221</v>
      </c>
      <c r="D289" s="17" t="s">
        <v>28</v>
      </c>
      <c r="E289" s="17" t="s">
        <v>37</v>
      </c>
      <c r="F289" s="17" t="s">
        <v>511</v>
      </c>
      <c r="G289" s="298"/>
      <c r="H289" s="10"/>
      <c r="I289" s="11"/>
      <c r="J289" s="11"/>
      <c r="K289" s="11"/>
      <c r="L289" s="11"/>
      <c r="M289" s="11"/>
      <c r="N289" s="11"/>
      <c r="O289" s="12"/>
      <c r="P289" s="11"/>
      <c r="Q289" s="13"/>
      <c r="R289" s="14"/>
    </row>
    <row r="290" spans="1:18" ht="15" customHeight="1">
      <c r="A290" s="15" t="s">
        <v>26</v>
      </c>
      <c r="B290" s="15" t="s">
        <v>1049</v>
      </c>
      <c r="C290" s="16">
        <v>0.97222222222222221</v>
      </c>
      <c r="D290" s="15" t="s">
        <v>31</v>
      </c>
      <c r="E290" s="15" t="s">
        <v>32</v>
      </c>
      <c r="F290" s="15" t="s">
        <v>47</v>
      </c>
      <c r="G290" s="298"/>
      <c r="H290" s="10"/>
      <c r="I290" s="11"/>
      <c r="J290" s="11"/>
      <c r="K290" s="11"/>
      <c r="L290" s="11"/>
      <c r="M290" s="11"/>
      <c r="N290" s="11"/>
      <c r="O290" s="12"/>
      <c r="P290" s="11"/>
      <c r="Q290" s="13"/>
      <c r="R290" s="14"/>
    </row>
    <row r="291" spans="1:18" ht="15" customHeight="1">
      <c r="A291" s="15" t="s">
        <v>26</v>
      </c>
      <c r="B291" s="15" t="s">
        <v>1049</v>
      </c>
      <c r="C291" s="16">
        <v>0.97222222222222221</v>
      </c>
      <c r="D291" s="15" t="s">
        <v>34</v>
      </c>
      <c r="E291" s="15" t="s">
        <v>32</v>
      </c>
      <c r="F291" s="15" t="s">
        <v>932</v>
      </c>
      <c r="G291" s="298"/>
      <c r="H291" s="10"/>
      <c r="I291" s="11"/>
      <c r="J291" s="11"/>
      <c r="K291" s="11"/>
      <c r="L291" s="11"/>
      <c r="M291" s="11"/>
      <c r="N291" s="11"/>
      <c r="O291" s="12"/>
      <c r="P291" s="11"/>
      <c r="Q291" s="13"/>
      <c r="R291" s="14"/>
    </row>
    <row r="292" spans="1:18" ht="15" customHeight="1">
      <c r="A292" s="19" t="s">
        <v>38</v>
      </c>
      <c r="B292" s="19" t="s">
        <v>1041</v>
      </c>
      <c r="C292" s="20">
        <v>0.44791666666666669</v>
      </c>
      <c r="D292" s="19" t="s">
        <v>40</v>
      </c>
      <c r="E292" s="19" t="s">
        <v>1092</v>
      </c>
      <c r="F292" s="19" t="s">
        <v>487</v>
      </c>
      <c r="G292" s="298"/>
      <c r="H292" s="10"/>
      <c r="I292" s="11"/>
      <c r="J292" s="11"/>
      <c r="K292" s="11"/>
      <c r="L292" s="11"/>
      <c r="M292" s="11"/>
      <c r="N292" s="11"/>
      <c r="O292" s="12"/>
      <c r="P292" s="11"/>
      <c r="Q292" s="13"/>
      <c r="R292" s="14"/>
    </row>
    <row r="293" spans="1:18" ht="15" customHeight="1">
      <c r="A293" s="15" t="s">
        <v>38</v>
      </c>
      <c r="B293" s="15" t="s">
        <v>1041</v>
      </c>
      <c r="C293" s="16">
        <v>0.44791666666666669</v>
      </c>
      <c r="D293" s="15" t="s">
        <v>43</v>
      </c>
      <c r="E293" s="15" t="s">
        <v>935</v>
      </c>
      <c r="F293" s="15" t="s">
        <v>105</v>
      </c>
      <c r="G293" s="298"/>
      <c r="H293" s="10"/>
      <c r="I293" s="11"/>
      <c r="J293" s="11"/>
      <c r="K293" s="11"/>
      <c r="L293" s="11"/>
      <c r="M293" s="11"/>
      <c r="N293" s="11"/>
      <c r="O293" s="12"/>
      <c r="P293" s="11"/>
      <c r="Q293" s="13"/>
      <c r="R293" s="14"/>
    </row>
    <row r="294" spans="1:18" ht="15" customHeight="1">
      <c r="A294" s="15" t="s">
        <v>38</v>
      </c>
      <c r="B294" s="15" t="s">
        <v>1041</v>
      </c>
      <c r="C294" s="16">
        <v>0.44791666666666669</v>
      </c>
      <c r="D294" s="15" t="s">
        <v>46</v>
      </c>
      <c r="E294" s="15" t="s">
        <v>935</v>
      </c>
      <c r="F294" s="15" t="s">
        <v>106</v>
      </c>
      <c r="G294" s="298"/>
      <c r="H294" s="10"/>
      <c r="I294" s="11"/>
      <c r="J294" s="11"/>
      <c r="K294" s="11"/>
      <c r="L294" s="11"/>
      <c r="M294" s="11"/>
      <c r="N294" s="11"/>
      <c r="O294" s="12"/>
      <c r="P294" s="11"/>
      <c r="Q294" s="13"/>
      <c r="R294" s="14"/>
    </row>
    <row r="295" spans="1:18" ht="15" customHeight="1">
      <c r="A295" s="19" t="s">
        <v>68</v>
      </c>
      <c r="B295" s="19" t="s">
        <v>1052</v>
      </c>
      <c r="C295" s="20">
        <v>0.33680555555555558</v>
      </c>
      <c r="D295" s="19" t="s">
        <v>70</v>
      </c>
      <c r="E295" s="19" t="s">
        <v>51</v>
      </c>
      <c r="F295" s="19" t="s">
        <v>1063</v>
      </c>
      <c r="G295" s="298"/>
      <c r="H295" s="10"/>
      <c r="I295" s="11"/>
      <c r="J295" s="11"/>
      <c r="K295" s="11"/>
      <c r="L295" s="11"/>
      <c r="M295" s="11"/>
      <c r="N295" s="11"/>
      <c r="O295" s="12"/>
      <c r="P295" s="11"/>
      <c r="Q295" s="13"/>
      <c r="R295" s="14"/>
    </row>
    <row r="296" spans="1:18" ht="15" customHeight="1">
      <c r="A296" s="17" t="s">
        <v>68</v>
      </c>
      <c r="B296" s="17" t="s">
        <v>1054</v>
      </c>
      <c r="C296" s="18">
        <v>0.97916666666666663</v>
      </c>
      <c r="D296" s="17" t="s">
        <v>70</v>
      </c>
      <c r="E296" s="17" t="s">
        <v>57</v>
      </c>
      <c r="F296" s="17" t="s">
        <v>1090</v>
      </c>
      <c r="G296" s="298"/>
      <c r="H296" s="10"/>
      <c r="I296" s="11"/>
      <c r="J296" s="11"/>
      <c r="K296" s="11"/>
      <c r="L296" s="11"/>
      <c r="M296" s="11"/>
      <c r="N296" s="11"/>
      <c r="O296" s="12"/>
      <c r="P296" s="11"/>
      <c r="Q296" s="13"/>
      <c r="R296" s="14"/>
    </row>
    <row r="297" spans="1:18" ht="15" customHeight="1">
      <c r="A297" s="17" t="s">
        <v>68</v>
      </c>
      <c r="B297" s="17" t="s">
        <v>1056</v>
      </c>
      <c r="C297" s="18">
        <v>0.67361111111111116</v>
      </c>
      <c r="D297" s="17" t="s">
        <v>70</v>
      </c>
      <c r="E297" s="17" t="s">
        <v>57</v>
      </c>
      <c r="F297" s="17" t="s">
        <v>1091</v>
      </c>
      <c r="G297" s="298"/>
      <c r="H297" s="10"/>
      <c r="I297" s="11"/>
      <c r="J297" s="11"/>
      <c r="K297" s="11"/>
      <c r="L297" s="11"/>
      <c r="M297" s="11"/>
      <c r="N297" s="11"/>
      <c r="O297" s="12"/>
      <c r="P297" s="11"/>
      <c r="Q297" s="13"/>
      <c r="R297" s="14"/>
    </row>
    <row r="298" spans="1:18" ht="15" customHeight="1">
      <c r="A298" s="19" t="s">
        <v>402</v>
      </c>
      <c r="B298" s="19" t="s">
        <v>1057</v>
      </c>
      <c r="C298" s="20">
        <v>0.69444444444444453</v>
      </c>
      <c r="D298" s="19" t="s">
        <v>63</v>
      </c>
      <c r="E298" s="19" t="s">
        <v>100</v>
      </c>
      <c r="F298" s="19" t="s">
        <v>1089</v>
      </c>
      <c r="G298" s="298"/>
      <c r="H298" s="10"/>
      <c r="I298" s="11"/>
      <c r="J298" s="11"/>
      <c r="K298" s="11"/>
      <c r="L298" s="11"/>
      <c r="M298" s="11"/>
      <c r="N298" s="11"/>
      <c r="O298" s="12"/>
      <c r="P298" s="11"/>
      <c r="Q298" s="13"/>
      <c r="R298" s="14"/>
    </row>
    <row r="299" spans="1:18" ht="15" customHeight="1">
      <c r="A299" s="67" t="s">
        <v>61</v>
      </c>
      <c r="B299" s="67" t="s">
        <v>1043</v>
      </c>
      <c r="C299" s="68">
        <v>0.72222222222222221</v>
      </c>
      <c r="D299" s="67" t="s">
        <v>63</v>
      </c>
      <c r="E299" s="67" t="s">
        <v>51</v>
      </c>
      <c r="F299" s="67" t="s">
        <v>1093</v>
      </c>
      <c r="G299" s="298"/>
      <c r="H299" s="69" t="s">
        <v>1045</v>
      </c>
      <c r="I299" s="70">
        <v>0.25559999999999999</v>
      </c>
      <c r="J299" s="71">
        <v>46</v>
      </c>
      <c r="K299" s="72">
        <v>46338</v>
      </c>
      <c r="L299" s="71">
        <v>46</v>
      </c>
      <c r="M299" s="71">
        <v>0</v>
      </c>
      <c r="N299" s="71">
        <v>0</v>
      </c>
      <c r="O299" s="73" t="s">
        <v>1094</v>
      </c>
      <c r="P299" s="74">
        <v>0.72222222222222221</v>
      </c>
      <c r="Q299" s="71">
        <v>180</v>
      </c>
      <c r="R299" s="75" t="s">
        <v>1095</v>
      </c>
    </row>
    <row r="300" spans="1:18" ht="15" customHeight="1">
      <c r="A300" s="19" t="s">
        <v>359</v>
      </c>
      <c r="B300" s="19" t="s">
        <v>1065</v>
      </c>
      <c r="C300" s="20">
        <v>0.78472222222222221</v>
      </c>
      <c r="D300" s="19" t="s">
        <v>361</v>
      </c>
      <c r="E300" s="19" t="s">
        <v>80</v>
      </c>
      <c r="F300" s="19" t="s">
        <v>1096</v>
      </c>
      <c r="G300" s="298"/>
      <c r="H300" s="10"/>
      <c r="I300" s="11"/>
      <c r="J300" s="11"/>
      <c r="K300" s="11"/>
      <c r="L300" s="11"/>
      <c r="M300" s="11"/>
      <c r="N300" s="11"/>
      <c r="O300" s="12"/>
      <c r="P300" s="11"/>
      <c r="Q300" s="13"/>
      <c r="R300" s="14"/>
    </row>
    <row r="301" spans="1:18" ht="15" customHeight="1">
      <c r="A301" s="15" t="s">
        <v>359</v>
      </c>
      <c r="B301" s="15" t="s">
        <v>1065</v>
      </c>
      <c r="C301" s="16">
        <v>0.78472222222222221</v>
      </c>
      <c r="D301" s="15" t="s">
        <v>46</v>
      </c>
      <c r="E301" s="15" t="s">
        <v>82</v>
      </c>
      <c r="F301" s="15" t="s">
        <v>1097</v>
      </c>
      <c r="G301" s="298"/>
      <c r="H301" s="10"/>
      <c r="I301" s="11"/>
      <c r="J301" s="11"/>
      <c r="K301" s="11"/>
      <c r="L301" s="11"/>
      <c r="M301" s="11"/>
      <c r="N301" s="11"/>
      <c r="O301" s="12"/>
      <c r="P301" s="11"/>
      <c r="Q301" s="13"/>
      <c r="R301" s="14"/>
    </row>
    <row r="302" spans="1:18" ht="15" customHeight="1">
      <c r="A302" s="19" t="s">
        <v>415</v>
      </c>
      <c r="B302" s="19" t="s">
        <v>1050</v>
      </c>
      <c r="C302" s="20">
        <v>0.34027777777777768</v>
      </c>
      <c r="D302" s="19" t="s">
        <v>63</v>
      </c>
      <c r="E302" s="19" t="s">
        <v>126</v>
      </c>
      <c r="F302" s="19" t="s">
        <v>1098</v>
      </c>
      <c r="G302" s="298"/>
      <c r="H302" s="10"/>
      <c r="I302" s="11"/>
      <c r="J302" s="11"/>
      <c r="K302" s="11"/>
      <c r="L302" s="11"/>
      <c r="M302" s="11"/>
      <c r="N302" s="11"/>
      <c r="O302" s="12"/>
      <c r="P302" s="11"/>
      <c r="Q302" s="13"/>
      <c r="R302" s="14"/>
    </row>
    <row r="303" spans="1:18" ht="15" customHeight="1" thickBot="1">
      <c r="A303" s="96" t="s">
        <v>48</v>
      </c>
      <c r="B303" s="96" t="s">
        <v>1060</v>
      </c>
      <c r="C303" s="97">
        <v>0.44791666666666669</v>
      </c>
      <c r="D303" s="96" t="s">
        <v>53</v>
      </c>
      <c r="E303" s="96" t="s">
        <v>29</v>
      </c>
      <c r="F303" s="96" t="s">
        <v>942</v>
      </c>
      <c r="G303" s="299"/>
      <c r="H303" s="300"/>
      <c r="I303" s="140"/>
      <c r="J303" s="140"/>
      <c r="K303" s="140"/>
      <c r="L303" s="140"/>
      <c r="M303" s="140"/>
      <c r="N303" s="140"/>
      <c r="O303" s="141"/>
      <c r="P303" s="140"/>
      <c r="Q303" s="142"/>
      <c r="R303" s="301"/>
    </row>
    <row r="304" spans="1:18" ht="17.45" customHeight="1" thickBot="1">
      <c r="A304" s="283"/>
      <c r="B304" s="284"/>
      <c r="C304" s="284"/>
      <c r="D304" s="284"/>
      <c r="E304" s="284"/>
      <c r="F304" s="284"/>
      <c r="G304" s="284"/>
      <c r="H304" s="284"/>
      <c r="I304" s="284"/>
      <c r="J304" s="284"/>
      <c r="K304" s="284"/>
      <c r="L304" s="284"/>
      <c r="M304" s="284"/>
      <c r="N304" s="284"/>
      <c r="O304" s="284"/>
      <c r="P304" s="284"/>
      <c r="Q304" s="284"/>
      <c r="R304" s="285"/>
    </row>
    <row r="305" spans="1:18" ht="22.15" customHeight="1" thickTop="1" thickBot="1">
      <c r="A305" s="279" t="s">
        <v>6</v>
      </c>
      <c r="B305" s="295"/>
      <c r="C305" s="295"/>
      <c r="D305" s="295"/>
      <c r="E305" s="295"/>
      <c r="F305" s="296"/>
      <c r="G305" s="32">
        <v>46040</v>
      </c>
      <c r="H305" s="278" t="s">
        <v>7</v>
      </c>
      <c r="I305" s="295"/>
      <c r="J305" s="295"/>
      <c r="K305" s="295"/>
      <c r="L305" s="295"/>
      <c r="M305" s="295"/>
      <c r="N305" s="295"/>
      <c r="O305" s="295"/>
      <c r="P305" s="295"/>
      <c r="Q305" s="295"/>
      <c r="R305" s="296"/>
    </row>
    <row r="306" spans="1:18" ht="24" customHeight="1">
      <c r="A306" s="33" t="s">
        <v>8</v>
      </c>
      <c r="B306" s="33" t="s">
        <v>9</v>
      </c>
      <c r="C306" s="34" t="s">
        <v>10</v>
      </c>
      <c r="D306" s="33" t="s">
        <v>11</v>
      </c>
      <c r="E306" s="33" t="s">
        <v>12</v>
      </c>
      <c r="F306" s="35" t="s">
        <v>13</v>
      </c>
      <c r="G306" s="36" t="s">
        <v>14</v>
      </c>
      <c r="H306" s="33" t="s">
        <v>15</v>
      </c>
      <c r="I306" s="37" t="s">
        <v>16</v>
      </c>
      <c r="J306" s="38" t="s">
        <v>17</v>
      </c>
      <c r="K306" s="39" t="s">
        <v>18</v>
      </c>
      <c r="L306" s="38" t="s">
        <v>19</v>
      </c>
      <c r="M306" s="38" t="s">
        <v>20</v>
      </c>
      <c r="N306" s="38" t="s">
        <v>21</v>
      </c>
      <c r="O306" s="33" t="s">
        <v>22</v>
      </c>
      <c r="P306" s="34" t="s">
        <v>23</v>
      </c>
      <c r="Q306" s="38" t="s">
        <v>24</v>
      </c>
      <c r="R306" s="33" t="s">
        <v>25</v>
      </c>
    </row>
    <row r="307" spans="1:18" ht="15" customHeight="1">
      <c r="A307" s="8" t="s">
        <v>38</v>
      </c>
      <c r="B307" s="8" t="s">
        <v>1041</v>
      </c>
      <c r="C307" s="9">
        <v>0.44791666666666669</v>
      </c>
      <c r="D307" s="8" t="s">
        <v>40</v>
      </c>
      <c r="E307" s="8" t="s">
        <v>130</v>
      </c>
      <c r="F307" s="8" t="s">
        <v>33</v>
      </c>
      <c r="G307" s="297"/>
      <c r="H307" s="10"/>
      <c r="I307" s="11"/>
      <c r="J307" s="11"/>
      <c r="K307" s="11"/>
      <c r="L307" s="11"/>
      <c r="M307" s="11"/>
      <c r="N307" s="11"/>
      <c r="O307" s="12"/>
      <c r="P307" s="11"/>
      <c r="Q307" s="13"/>
      <c r="R307" s="14"/>
    </row>
    <row r="308" spans="1:18" ht="15" customHeight="1">
      <c r="A308" s="15" t="s">
        <v>38</v>
      </c>
      <c r="B308" s="15" t="s">
        <v>1041</v>
      </c>
      <c r="C308" s="16">
        <v>0.44791666666666669</v>
      </c>
      <c r="D308" s="15" t="s">
        <v>43</v>
      </c>
      <c r="E308" s="15" t="s">
        <v>132</v>
      </c>
      <c r="F308" s="15" t="s">
        <v>926</v>
      </c>
      <c r="G308" s="298"/>
      <c r="H308" s="10"/>
      <c r="I308" s="11"/>
      <c r="J308" s="11"/>
      <c r="K308" s="11"/>
      <c r="L308" s="11"/>
      <c r="M308" s="11"/>
      <c r="N308" s="11"/>
      <c r="O308" s="12"/>
      <c r="P308" s="11"/>
      <c r="Q308" s="13"/>
      <c r="R308" s="14"/>
    </row>
    <row r="309" spans="1:18" ht="15" customHeight="1">
      <c r="A309" s="15" t="s">
        <v>38</v>
      </c>
      <c r="B309" s="15" t="s">
        <v>1041</v>
      </c>
      <c r="C309" s="16">
        <v>0.44791666666666669</v>
      </c>
      <c r="D309" s="15" t="s">
        <v>46</v>
      </c>
      <c r="E309" s="15" t="s">
        <v>132</v>
      </c>
      <c r="F309" s="15" t="s">
        <v>106</v>
      </c>
      <c r="G309" s="298"/>
      <c r="H309" s="10"/>
      <c r="I309" s="11"/>
      <c r="J309" s="11"/>
      <c r="K309" s="11"/>
      <c r="L309" s="11"/>
      <c r="M309" s="11"/>
      <c r="N309" s="11"/>
      <c r="O309" s="12"/>
      <c r="P309" s="11"/>
      <c r="Q309" s="13"/>
      <c r="R309" s="14"/>
    </row>
    <row r="310" spans="1:18" ht="15" customHeight="1">
      <c r="A310" s="19" t="s">
        <v>26</v>
      </c>
      <c r="B310" s="19" t="s">
        <v>1049</v>
      </c>
      <c r="C310" s="20">
        <v>0.97222222222222221</v>
      </c>
      <c r="D310" s="19" t="s">
        <v>28</v>
      </c>
      <c r="E310" s="19" t="s">
        <v>143</v>
      </c>
      <c r="F310" s="19" t="s">
        <v>426</v>
      </c>
      <c r="G310" s="298"/>
      <c r="H310" s="10"/>
      <c r="I310" s="11"/>
      <c r="J310" s="11"/>
      <c r="K310" s="11"/>
      <c r="L310" s="11"/>
      <c r="M310" s="11"/>
      <c r="N310" s="11"/>
      <c r="O310" s="12"/>
      <c r="P310" s="11"/>
      <c r="Q310" s="13"/>
      <c r="R310" s="14"/>
    </row>
    <row r="311" spans="1:18" ht="15" customHeight="1">
      <c r="A311" s="15" t="s">
        <v>26</v>
      </c>
      <c r="B311" s="15" t="s">
        <v>1049</v>
      </c>
      <c r="C311" s="16">
        <v>0.97222222222222221</v>
      </c>
      <c r="D311" s="15" t="s">
        <v>31</v>
      </c>
      <c r="E311" s="15" t="s">
        <v>92</v>
      </c>
      <c r="F311" s="15" t="s">
        <v>150</v>
      </c>
      <c r="G311" s="298"/>
      <c r="H311" s="10"/>
      <c r="I311" s="11"/>
      <c r="J311" s="11"/>
      <c r="K311" s="11"/>
      <c r="L311" s="11"/>
      <c r="M311" s="11"/>
      <c r="N311" s="11"/>
      <c r="O311" s="12"/>
      <c r="P311" s="11"/>
      <c r="Q311" s="13"/>
      <c r="R311" s="14"/>
    </row>
    <row r="312" spans="1:18" ht="15" customHeight="1">
      <c r="A312" s="15" t="s">
        <v>26</v>
      </c>
      <c r="B312" s="15" t="s">
        <v>1049</v>
      </c>
      <c r="C312" s="16">
        <v>0.97222222222222221</v>
      </c>
      <c r="D312" s="15" t="s">
        <v>34</v>
      </c>
      <c r="E312" s="15" t="s">
        <v>92</v>
      </c>
      <c r="F312" s="15" t="s">
        <v>178</v>
      </c>
      <c r="G312" s="298"/>
      <c r="H312" s="10"/>
      <c r="I312" s="11"/>
      <c r="J312" s="11"/>
      <c r="K312" s="11"/>
      <c r="L312" s="11"/>
      <c r="M312" s="11"/>
      <c r="N312" s="11"/>
      <c r="O312" s="12"/>
      <c r="P312" s="11"/>
      <c r="Q312" s="13"/>
      <c r="R312" s="14"/>
    </row>
    <row r="313" spans="1:18" ht="15" customHeight="1">
      <c r="A313" s="19" t="s">
        <v>402</v>
      </c>
      <c r="B313" s="19" t="s">
        <v>1059</v>
      </c>
      <c r="C313" s="20">
        <v>0.75694444444444453</v>
      </c>
      <c r="D313" s="19" t="s">
        <v>63</v>
      </c>
      <c r="E313" s="19" t="s">
        <v>126</v>
      </c>
      <c r="F313" s="19" t="s">
        <v>857</v>
      </c>
      <c r="G313" s="298"/>
      <c r="H313" s="10"/>
      <c r="I313" s="11"/>
      <c r="J313" s="11"/>
      <c r="K313" s="11"/>
      <c r="L313" s="11"/>
      <c r="M313" s="11"/>
      <c r="N313" s="11"/>
      <c r="O313" s="12"/>
      <c r="P313" s="11"/>
      <c r="Q313" s="13"/>
      <c r="R313" s="14"/>
    </row>
    <row r="314" spans="1:18" ht="15" customHeight="1">
      <c r="A314" s="19" t="s">
        <v>415</v>
      </c>
      <c r="B314" s="19" t="s">
        <v>1062</v>
      </c>
      <c r="C314" s="20">
        <v>6.9444444444444441E-3</v>
      </c>
      <c r="D314" s="19" t="s">
        <v>63</v>
      </c>
      <c r="E314" s="19" t="s">
        <v>126</v>
      </c>
      <c r="F314" s="19" t="s">
        <v>1086</v>
      </c>
      <c r="G314" s="298"/>
      <c r="H314" s="10"/>
      <c r="I314" s="11"/>
      <c r="J314" s="11"/>
      <c r="K314" s="11"/>
      <c r="L314" s="11"/>
      <c r="M314" s="11"/>
      <c r="N314" s="11"/>
      <c r="O314" s="12"/>
      <c r="P314" s="11"/>
      <c r="Q314" s="13"/>
      <c r="R314" s="14"/>
    </row>
    <row r="315" spans="1:18" ht="15" customHeight="1">
      <c r="A315" s="17" t="s">
        <v>415</v>
      </c>
      <c r="B315" s="17" t="s">
        <v>1071</v>
      </c>
      <c r="C315" s="18">
        <v>0.92013888888888884</v>
      </c>
      <c r="D315" s="17" t="s">
        <v>63</v>
      </c>
      <c r="E315" s="17" t="s">
        <v>57</v>
      </c>
      <c r="F315" s="17" t="s">
        <v>1086</v>
      </c>
      <c r="G315" s="298"/>
      <c r="H315" s="10"/>
      <c r="I315" s="11"/>
      <c r="J315" s="11"/>
      <c r="K315" s="11"/>
      <c r="L315" s="11"/>
      <c r="M315" s="11"/>
      <c r="N315" s="11"/>
      <c r="O315" s="12"/>
      <c r="P315" s="11"/>
      <c r="Q315" s="13"/>
      <c r="R315" s="14"/>
    </row>
    <row r="316" spans="1:18" ht="15" customHeight="1">
      <c r="A316" s="19" t="s">
        <v>68</v>
      </c>
      <c r="B316" s="19" t="s">
        <v>1052</v>
      </c>
      <c r="C316" s="20">
        <v>0.33680555555555558</v>
      </c>
      <c r="D316" s="19" t="s">
        <v>70</v>
      </c>
      <c r="E316" s="19" t="s">
        <v>51</v>
      </c>
      <c r="F316" s="19" t="s">
        <v>1063</v>
      </c>
      <c r="G316" s="298"/>
      <c r="H316" s="10"/>
      <c r="I316" s="11"/>
      <c r="J316" s="11"/>
      <c r="K316" s="11"/>
      <c r="L316" s="11"/>
      <c r="M316" s="11"/>
      <c r="N316" s="11"/>
      <c r="O316" s="12"/>
      <c r="P316" s="11"/>
      <c r="Q316" s="13"/>
      <c r="R316" s="14"/>
    </row>
    <row r="317" spans="1:18" ht="15" customHeight="1">
      <c r="A317" s="17" t="s">
        <v>68</v>
      </c>
      <c r="B317" s="17" t="s">
        <v>1054</v>
      </c>
      <c r="C317" s="18">
        <v>0.97916666666666663</v>
      </c>
      <c r="D317" s="17" t="s">
        <v>70</v>
      </c>
      <c r="E317" s="17" t="s">
        <v>57</v>
      </c>
      <c r="F317" s="17" t="s">
        <v>1063</v>
      </c>
      <c r="G317" s="298"/>
      <c r="H317" s="10"/>
      <c r="I317" s="11"/>
      <c r="J317" s="11"/>
      <c r="K317" s="11"/>
      <c r="L317" s="11"/>
      <c r="M317" s="11"/>
      <c r="N317" s="11"/>
      <c r="O317" s="12"/>
      <c r="P317" s="11"/>
      <c r="Q317" s="13"/>
      <c r="R317" s="14"/>
    </row>
    <row r="318" spans="1:18" ht="15" customHeight="1">
      <c r="A318" s="17" t="s">
        <v>68</v>
      </c>
      <c r="B318" s="17" t="s">
        <v>1056</v>
      </c>
      <c r="C318" s="18">
        <v>0.67361111111111116</v>
      </c>
      <c r="D318" s="17" t="s">
        <v>70</v>
      </c>
      <c r="E318" s="17" t="s">
        <v>57</v>
      </c>
      <c r="F318" s="17" t="s">
        <v>1090</v>
      </c>
      <c r="G318" s="298"/>
      <c r="H318" s="10"/>
      <c r="I318" s="11"/>
      <c r="J318" s="11"/>
      <c r="K318" s="11"/>
      <c r="L318" s="11"/>
      <c r="M318" s="11"/>
      <c r="N318" s="11"/>
      <c r="O318" s="12"/>
      <c r="P318" s="11"/>
      <c r="Q318" s="13"/>
      <c r="R318" s="14"/>
    </row>
    <row r="319" spans="1:18" ht="15" customHeight="1" thickBot="1">
      <c r="A319" s="96" t="s">
        <v>48</v>
      </c>
      <c r="B319" s="96" t="s">
        <v>1060</v>
      </c>
      <c r="C319" s="97">
        <v>0.44791666666666669</v>
      </c>
      <c r="D319" s="96" t="s">
        <v>53</v>
      </c>
      <c r="E319" s="96" t="s">
        <v>29</v>
      </c>
      <c r="F319" s="96" t="s">
        <v>933</v>
      </c>
      <c r="G319" s="299"/>
      <c r="H319" s="300"/>
      <c r="I319" s="140"/>
      <c r="J319" s="140"/>
      <c r="K319" s="140"/>
      <c r="L319" s="140"/>
      <c r="M319" s="140"/>
      <c r="N319" s="140"/>
      <c r="O319" s="141"/>
      <c r="P319" s="140"/>
      <c r="Q319" s="142"/>
      <c r="R319" s="301"/>
    </row>
    <row r="320" spans="1:18" ht="17.45" customHeight="1" thickBot="1">
      <c r="A320" s="283"/>
      <c r="B320" s="284"/>
      <c r="C320" s="284"/>
      <c r="D320" s="284"/>
      <c r="E320" s="284"/>
      <c r="F320" s="284"/>
      <c r="G320" s="284"/>
      <c r="H320" s="284"/>
      <c r="I320" s="284"/>
      <c r="J320" s="284"/>
      <c r="K320" s="284"/>
      <c r="L320" s="284"/>
      <c r="M320" s="284"/>
      <c r="N320" s="284"/>
      <c r="O320" s="284"/>
      <c r="P320" s="284"/>
      <c r="Q320" s="284"/>
      <c r="R320" s="285"/>
    </row>
    <row r="321" spans="1:18" ht="22.15" customHeight="1" thickTop="1" thickBot="1">
      <c r="A321" s="279" t="s">
        <v>6</v>
      </c>
      <c r="B321" s="295"/>
      <c r="C321" s="295"/>
      <c r="D321" s="295"/>
      <c r="E321" s="295"/>
      <c r="F321" s="296"/>
      <c r="G321" s="32">
        <v>46041</v>
      </c>
      <c r="H321" s="278" t="s">
        <v>7</v>
      </c>
      <c r="I321" s="295"/>
      <c r="J321" s="295"/>
      <c r="K321" s="295"/>
      <c r="L321" s="295"/>
      <c r="M321" s="295"/>
      <c r="N321" s="295"/>
      <c r="O321" s="295"/>
      <c r="P321" s="295"/>
      <c r="Q321" s="295"/>
      <c r="R321" s="296"/>
    </row>
    <row r="322" spans="1:18" ht="24" customHeight="1">
      <c r="A322" s="33" t="s">
        <v>8</v>
      </c>
      <c r="B322" s="33" t="s">
        <v>9</v>
      </c>
      <c r="C322" s="34" t="s">
        <v>10</v>
      </c>
      <c r="D322" s="33" t="s">
        <v>11</v>
      </c>
      <c r="E322" s="33" t="s">
        <v>12</v>
      </c>
      <c r="F322" s="35" t="s">
        <v>13</v>
      </c>
      <c r="G322" s="36" t="s">
        <v>14</v>
      </c>
      <c r="H322" s="33" t="s">
        <v>15</v>
      </c>
      <c r="I322" s="37" t="s">
        <v>16</v>
      </c>
      <c r="J322" s="38" t="s">
        <v>17</v>
      </c>
      <c r="K322" s="39" t="s">
        <v>18</v>
      </c>
      <c r="L322" s="38" t="s">
        <v>19</v>
      </c>
      <c r="M322" s="38" t="s">
        <v>20</v>
      </c>
      <c r="N322" s="38" t="s">
        <v>21</v>
      </c>
      <c r="O322" s="33" t="s">
        <v>22</v>
      </c>
      <c r="P322" s="34" t="s">
        <v>23</v>
      </c>
      <c r="Q322" s="38" t="s">
        <v>24</v>
      </c>
      <c r="R322" s="33" t="s">
        <v>25</v>
      </c>
    </row>
    <row r="323" spans="1:18" ht="15" customHeight="1">
      <c r="A323" s="8" t="s">
        <v>38</v>
      </c>
      <c r="B323" s="8" t="s">
        <v>1041</v>
      </c>
      <c r="C323" s="9">
        <v>0.44791666666666669</v>
      </c>
      <c r="D323" s="8" t="s">
        <v>40</v>
      </c>
      <c r="E323" s="8" t="s">
        <v>482</v>
      </c>
      <c r="F323" s="8" t="s">
        <v>83</v>
      </c>
      <c r="G323" s="297"/>
      <c r="H323" s="10"/>
      <c r="I323" s="11"/>
      <c r="J323" s="11"/>
      <c r="K323" s="11"/>
      <c r="L323" s="11"/>
      <c r="M323" s="11"/>
      <c r="N323" s="11"/>
      <c r="O323" s="12"/>
      <c r="P323" s="11"/>
      <c r="Q323" s="13"/>
      <c r="R323" s="14"/>
    </row>
    <row r="324" spans="1:18" ht="15" customHeight="1">
      <c r="A324" s="15" t="s">
        <v>38</v>
      </c>
      <c r="B324" s="15" t="s">
        <v>1041</v>
      </c>
      <c r="C324" s="16">
        <v>0.44791666666666669</v>
      </c>
      <c r="D324" s="15" t="s">
        <v>43</v>
      </c>
      <c r="E324" s="15" t="s">
        <v>483</v>
      </c>
      <c r="F324" s="15" t="s">
        <v>162</v>
      </c>
      <c r="G324" s="298"/>
      <c r="H324" s="10"/>
      <c r="I324" s="11"/>
      <c r="J324" s="11"/>
      <c r="K324" s="11"/>
      <c r="L324" s="11"/>
      <c r="M324" s="11"/>
      <c r="N324" s="11"/>
      <c r="O324" s="12"/>
      <c r="P324" s="11"/>
      <c r="Q324" s="13"/>
      <c r="R324" s="14"/>
    </row>
    <row r="325" spans="1:18" ht="15" customHeight="1">
      <c r="A325" s="15" t="s">
        <v>38</v>
      </c>
      <c r="B325" s="15" t="s">
        <v>1041</v>
      </c>
      <c r="C325" s="16">
        <v>0.44791666666666669</v>
      </c>
      <c r="D325" s="15" t="s">
        <v>46</v>
      </c>
      <c r="E325" s="15" t="s">
        <v>483</v>
      </c>
      <c r="F325" s="15" t="s">
        <v>106</v>
      </c>
      <c r="G325" s="298"/>
      <c r="H325" s="10"/>
      <c r="I325" s="11"/>
      <c r="J325" s="11"/>
      <c r="K325" s="11"/>
      <c r="L325" s="11"/>
      <c r="M325" s="11"/>
      <c r="N325" s="11"/>
      <c r="O325" s="12"/>
      <c r="P325" s="11"/>
      <c r="Q325" s="13"/>
      <c r="R325" s="14"/>
    </row>
    <row r="326" spans="1:18" ht="15" customHeight="1">
      <c r="A326" s="19" t="s">
        <v>26</v>
      </c>
      <c r="B326" s="19" t="s">
        <v>1047</v>
      </c>
      <c r="C326" s="20">
        <v>0.33680555555555558</v>
      </c>
      <c r="D326" s="19" t="s">
        <v>28</v>
      </c>
      <c r="E326" s="19" t="s">
        <v>103</v>
      </c>
      <c r="F326" s="19" t="s">
        <v>349</v>
      </c>
      <c r="G326" s="298"/>
      <c r="H326" s="10"/>
      <c r="I326" s="11"/>
      <c r="J326" s="11"/>
      <c r="K326" s="11"/>
      <c r="L326" s="11"/>
      <c r="M326" s="11"/>
      <c r="N326" s="11"/>
      <c r="O326" s="12"/>
      <c r="P326" s="11"/>
      <c r="Q326" s="13"/>
      <c r="R326" s="14"/>
    </row>
    <row r="327" spans="1:18" ht="15" customHeight="1">
      <c r="A327" s="15" t="s">
        <v>26</v>
      </c>
      <c r="B327" s="15" t="s">
        <v>1047</v>
      </c>
      <c r="C327" s="16">
        <v>0.33680555555555558</v>
      </c>
      <c r="D327" s="15" t="s">
        <v>31</v>
      </c>
      <c r="E327" s="15" t="s">
        <v>99</v>
      </c>
      <c r="F327" s="15" t="s">
        <v>35</v>
      </c>
      <c r="G327" s="298"/>
      <c r="H327" s="10"/>
      <c r="I327" s="11"/>
      <c r="J327" s="11"/>
      <c r="K327" s="11"/>
      <c r="L327" s="11"/>
      <c r="M327" s="11"/>
      <c r="N327" s="11"/>
      <c r="O327" s="12"/>
      <c r="P327" s="11"/>
      <c r="Q327" s="13"/>
      <c r="R327" s="14"/>
    </row>
    <row r="328" spans="1:18" ht="15" customHeight="1">
      <c r="A328" s="15" t="s">
        <v>26</v>
      </c>
      <c r="B328" s="15" t="s">
        <v>1047</v>
      </c>
      <c r="C328" s="16">
        <v>0.33680555555555558</v>
      </c>
      <c r="D328" s="15" t="s">
        <v>34</v>
      </c>
      <c r="E328" s="15" t="s">
        <v>99</v>
      </c>
      <c r="F328" s="15" t="s">
        <v>503</v>
      </c>
      <c r="G328" s="298"/>
      <c r="H328" s="10"/>
      <c r="I328" s="11"/>
      <c r="J328" s="11"/>
      <c r="K328" s="11"/>
      <c r="L328" s="11"/>
      <c r="M328" s="11"/>
      <c r="N328" s="11"/>
      <c r="O328" s="12"/>
      <c r="P328" s="11"/>
      <c r="Q328" s="13"/>
      <c r="R328" s="14"/>
    </row>
    <row r="329" spans="1:18" ht="15" customHeight="1">
      <c r="A329" s="17" t="s">
        <v>26</v>
      </c>
      <c r="B329" s="17" t="s">
        <v>1049</v>
      </c>
      <c r="C329" s="18">
        <v>0.97222222222222221</v>
      </c>
      <c r="D329" s="17" t="s">
        <v>28</v>
      </c>
      <c r="E329" s="17" t="s">
        <v>200</v>
      </c>
      <c r="F329" s="17" t="s">
        <v>349</v>
      </c>
      <c r="G329" s="298"/>
      <c r="H329" s="10"/>
      <c r="I329" s="11"/>
      <c r="J329" s="11"/>
      <c r="K329" s="11"/>
      <c r="L329" s="11"/>
      <c r="M329" s="11"/>
      <c r="N329" s="11"/>
      <c r="O329" s="12"/>
      <c r="P329" s="11"/>
      <c r="Q329" s="13"/>
      <c r="R329" s="14"/>
    </row>
    <row r="330" spans="1:18" ht="15" customHeight="1">
      <c r="A330" s="15" t="s">
        <v>26</v>
      </c>
      <c r="B330" s="15" t="s">
        <v>1049</v>
      </c>
      <c r="C330" s="16">
        <v>0.97222222222222221</v>
      </c>
      <c r="D330" s="15" t="s">
        <v>31</v>
      </c>
      <c r="E330" s="15" t="s">
        <v>127</v>
      </c>
      <c r="F330" s="15" t="s">
        <v>35</v>
      </c>
      <c r="G330" s="298"/>
      <c r="H330" s="10"/>
      <c r="I330" s="11"/>
      <c r="J330" s="11"/>
      <c r="K330" s="11"/>
      <c r="L330" s="11"/>
      <c r="M330" s="11"/>
      <c r="N330" s="11"/>
      <c r="O330" s="12"/>
      <c r="P330" s="11"/>
      <c r="Q330" s="13"/>
      <c r="R330" s="14"/>
    </row>
    <row r="331" spans="1:18" ht="15" customHeight="1">
      <c r="A331" s="15" t="s">
        <v>26</v>
      </c>
      <c r="B331" s="15" t="s">
        <v>1049</v>
      </c>
      <c r="C331" s="16">
        <v>0.97222222222222221</v>
      </c>
      <c r="D331" s="15" t="s">
        <v>34</v>
      </c>
      <c r="E331" s="15" t="s">
        <v>127</v>
      </c>
      <c r="F331" s="15" t="s">
        <v>503</v>
      </c>
      <c r="G331" s="298"/>
      <c r="H331" s="10"/>
      <c r="I331" s="11"/>
      <c r="J331" s="11"/>
      <c r="K331" s="11"/>
      <c r="L331" s="11"/>
      <c r="M331" s="11"/>
      <c r="N331" s="11"/>
      <c r="O331" s="12"/>
      <c r="P331" s="11"/>
      <c r="Q331" s="13"/>
      <c r="R331" s="14"/>
    </row>
    <row r="332" spans="1:18" ht="15" customHeight="1">
      <c r="A332" s="19" t="s">
        <v>68</v>
      </c>
      <c r="B332" s="19" t="s">
        <v>1052</v>
      </c>
      <c r="C332" s="20">
        <v>0.33680555555555558</v>
      </c>
      <c r="D332" s="19" t="s">
        <v>643</v>
      </c>
      <c r="E332" s="19" t="s">
        <v>51</v>
      </c>
      <c r="F332" s="19" t="s">
        <v>1053</v>
      </c>
      <c r="G332" s="298"/>
      <c r="H332" s="10"/>
      <c r="I332" s="11"/>
      <c r="J332" s="11"/>
      <c r="K332" s="11"/>
      <c r="L332" s="11"/>
      <c r="M332" s="11"/>
      <c r="N332" s="11"/>
      <c r="O332" s="12"/>
      <c r="P332" s="11"/>
      <c r="Q332" s="13"/>
      <c r="R332" s="14"/>
    </row>
    <row r="333" spans="1:18" ht="15" customHeight="1">
      <c r="A333" s="17" t="s">
        <v>68</v>
      </c>
      <c r="B333" s="17" t="s">
        <v>1054</v>
      </c>
      <c r="C333" s="18">
        <v>0.97916666666666663</v>
      </c>
      <c r="D333" s="17" t="s">
        <v>643</v>
      </c>
      <c r="E333" s="17" t="s">
        <v>57</v>
      </c>
      <c r="F333" s="17" t="s">
        <v>1053</v>
      </c>
      <c r="G333" s="298"/>
      <c r="H333" s="10"/>
      <c r="I333" s="11"/>
      <c r="J333" s="11"/>
      <c r="K333" s="11"/>
      <c r="L333" s="11"/>
      <c r="M333" s="11"/>
      <c r="N333" s="11"/>
      <c r="O333" s="12"/>
      <c r="P333" s="11"/>
      <c r="Q333" s="13"/>
      <c r="R333" s="14"/>
    </row>
    <row r="334" spans="1:18" ht="15" customHeight="1">
      <c r="A334" s="17" t="s">
        <v>68</v>
      </c>
      <c r="B334" s="17" t="s">
        <v>1056</v>
      </c>
      <c r="C334" s="18">
        <v>0.67361111111111116</v>
      </c>
      <c r="D334" s="17" t="s">
        <v>70</v>
      </c>
      <c r="E334" s="17" t="s">
        <v>57</v>
      </c>
      <c r="F334" s="17" t="s">
        <v>1001</v>
      </c>
      <c r="G334" s="298"/>
      <c r="H334" s="10"/>
      <c r="I334" s="11"/>
      <c r="J334" s="11"/>
      <c r="K334" s="11"/>
      <c r="L334" s="11"/>
      <c r="M334" s="11"/>
      <c r="N334" s="11"/>
      <c r="O334" s="12"/>
      <c r="P334" s="11"/>
      <c r="Q334" s="13"/>
      <c r="R334" s="14"/>
    </row>
    <row r="335" spans="1:18" ht="15" customHeight="1">
      <c r="A335" s="19" t="s">
        <v>402</v>
      </c>
      <c r="B335" s="19" t="s">
        <v>1064</v>
      </c>
      <c r="C335" s="20">
        <v>0.75694444444444453</v>
      </c>
      <c r="D335" s="19" t="s">
        <v>63</v>
      </c>
      <c r="E335" s="19" t="s">
        <v>29</v>
      </c>
      <c r="F335" s="19" t="s">
        <v>1058</v>
      </c>
      <c r="G335" s="298"/>
      <c r="H335" s="10"/>
      <c r="I335" s="11"/>
      <c r="J335" s="11"/>
      <c r="K335" s="11"/>
      <c r="L335" s="11"/>
      <c r="M335" s="11"/>
      <c r="N335" s="11"/>
      <c r="O335" s="12"/>
      <c r="P335" s="11"/>
      <c r="Q335" s="13"/>
      <c r="R335" s="14"/>
    </row>
    <row r="336" spans="1:18" ht="15" customHeight="1" thickBot="1">
      <c r="A336" s="96" t="s">
        <v>48</v>
      </c>
      <c r="B336" s="96" t="s">
        <v>1060</v>
      </c>
      <c r="C336" s="97">
        <v>0.44791666666666669</v>
      </c>
      <c r="D336" s="96" t="s">
        <v>53</v>
      </c>
      <c r="E336" s="96" t="s">
        <v>29</v>
      </c>
      <c r="F336" s="96" t="s">
        <v>946</v>
      </c>
      <c r="G336" s="299"/>
      <c r="H336" s="300"/>
      <c r="I336" s="140"/>
      <c r="J336" s="140"/>
      <c r="K336" s="140"/>
      <c r="L336" s="140"/>
      <c r="M336" s="140"/>
      <c r="N336" s="140"/>
      <c r="O336" s="141"/>
      <c r="P336" s="140"/>
      <c r="Q336" s="142"/>
      <c r="R336" s="301"/>
    </row>
    <row r="337" spans="1:18" ht="17.45" customHeight="1" thickBot="1">
      <c r="A337" s="283"/>
      <c r="B337" s="284"/>
      <c r="C337" s="284"/>
      <c r="D337" s="284"/>
      <c r="E337" s="284"/>
      <c r="F337" s="284"/>
      <c r="G337" s="284"/>
      <c r="H337" s="284"/>
      <c r="I337" s="284"/>
      <c r="J337" s="284"/>
      <c r="K337" s="284"/>
      <c r="L337" s="284"/>
      <c r="M337" s="284"/>
      <c r="N337" s="284"/>
      <c r="O337" s="284"/>
      <c r="P337" s="284"/>
      <c r="Q337" s="284"/>
      <c r="R337" s="285"/>
    </row>
    <row r="338" spans="1:18" ht="22.15" customHeight="1" thickTop="1" thickBot="1">
      <c r="A338" s="279" t="s">
        <v>6</v>
      </c>
      <c r="B338" s="295"/>
      <c r="C338" s="295"/>
      <c r="D338" s="295"/>
      <c r="E338" s="295"/>
      <c r="F338" s="296"/>
      <c r="G338" s="32">
        <v>46042</v>
      </c>
      <c r="H338" s="278" t="s">
        <v>7</v>
      </c>
      <c r="I338" s="295"/>
      <c r="J338" s="295"/>
      <c r="K338" s="295"/>
      <c r="L338" s="295"/>
      <c r="M338" s="295"/>
      <c r="N338" s="295"/>
      <c r="O338" s="295"/>
      <c r="P338" s="295"/>
      <c r="Q338" s="295"/>
      <c r="R338" s="296"/>
    </row>
    <row r="339" spans="1:18" ht="24" customHeight="1">
      <c r="A339" s="33" t="s">
        <v>8</v>
      </c>
      <c r="B339" s="33" t="s">
        <v>9</v>
      </c>
      <c r="C339" s="34" t="s">
        <v>10</v>
      </c>
      <c r="D339" s="33" t="s">
        <v>11</v>
      </c>
      <c r="E339" s="33" t="s">
        <v>12</v>
      </c>
      <c r="F339" s="35" t="s">
        <v>13</v>
      </c>
      <c r="G339" s="36" t="s">
        <v>14</v>
      </c>
      <c r="H339" s="33" t="s">
        <v>15</v>
      </c>
      <c r="I339" s="37" t="s">
        <v>16</v>
      </c>
      <c r="J339" s="38" t="s">
        <v>17</v>
      </c>
      <c r="K339" s="39" t="s">
        <v>18</v>
      </c>
      <c r="L339" s="38" t="s">
        <v>19</v>
      </c>
      <c r="M339" s="38" t="s">
        <v>20</v>
      </c>
      <c r="N339" s="38" t="s">
        <v>21</v>
      </c>
      <c r="O339" s="33" t="s">
        <v>22</v>
      </c>
      <c r="P339" s="34" t="s">
        <v>23</v>
      </c>
      <c r="Q339" s="38" t="s">
        <v>24</v>
      </c>
      <c r="R339" s="33" t="s">
        <v>25</v>
      </c>
    </row>
    <row r="340" spans="1:18" ht="15" customHeight="1">
      <c r="A340" s="49" t="s">
        <v>61</v>
      </c>
      <c r="B340" s="49" t="s">
        <v>1043</v>
      </c>
      <c r="C340" s="50">
        <v>6.9444444444444434E-2</v>
      </c>
      <c r="D340" s="49" t="s">
        <v>63</v>
      </c>
      <c r="E340" s="49" t="s">
        <v>103</v>
      </c>
      <c r="F340" s="49" t="s">
        <v>1044</v>
      </c>
      <c r="G340" s="297"/>
      <c r="H340" s="51" t="s">
        <v>1045</v>
      </c>
      <c r="I340" s="52">
        <v>8.8900000000000007E-2</v>
      </c>
      <c r="J340" s="53">
        <v>16</v>
      </c>
      <c r="K340" s="54">
        <v>46341</v>
      </c>
      <c r="L340" s="53">
        <v>16</v>
      </c>
      <c r="M340" s="53">
        <v>0</v>
      </c>
      <c r="N340" s="53">
        <v>0</v>
      </c>
      <c r="O340" s="55" t="s">
        <v>306</v>
      </c>
      <c r="P340" s="56">
        <v>6.9444444444444434E-2</v>
      </c>
      <c r="Q340" s="53">
        <v>180</v>
      </c>
      <c r="R340" s="57" t="s">
        <v>1099</v>
      </c>
    </row>
    <row r="341" spans="1:18" ht="15" customHeight="1">
      <c r="A341" s="19" t="s">
        <v>38</v>
      </c>
      <c r="B341" s="19" t="s">
        <v>1041</v>
      </c>
      <c r="C341" s="20">
        <v>0.44791666666666669</v>
      </c>
      <c r="D341" s="19" t="s">
        <v>40</v>
      </c>
      <c r="E341" s="19" t="s">
        <v>482</v>
      </c>
      <c r="F341" s="19" t="s">
        <v>83</v>
      </c>
      <c r="G341" s="298"/>
      <c r="H341" s="10"/>
      <c r="I341" s="11"/>
      <c r="J341" s="11"/>
      <c r="K341" s="11"/>
      <c r="L341" s="11"/>
      <c r="M341" s="11"/>
      <c r="N341" s="11"/>
      <c r="O341" s="12"/>
      <c r="P341" s="11"/>
      <c r="Q341" s="13"/>
      <c r="R341" s="14"/>
    </row>
    <row r="342" spans="1:18" ht="15" customHeight="1">
      <c r="A342" s="15" t="s">
        <v>38</v>
      </c>
      <c r="B342" s="15" t="s">
        <v>1041</v>
      </c>
      <c r="C342" s="16">
        <v>0.44791666666666669</v>
      </c>
      <c r="D342" s="15" t="s">
        <v>43</v>
      </c>
      <c r="E342" s="15" t="s">
        <v>483</v>
      </c>
      <c r="F342" s="15" t="s">
        <v>162</v>
      </c>
      <c r="G342" s="298"/>
      <c r="H342" s="10"/>
      <c r="I342" s="11"/>
      <c r="J342" s="11"/>
      <c r="K342" s="11"/>
      <c r="L342" s="11"/>
      <c r="M342" s="11"/>
      <c r="N342" s="11"/>
      <c r="O342" s="12"/>
      <c r="P342" s="11"/>
      <c r="Q342" s="13"/>
      <c r="R342" s="14"/>
    </row>
    <row r="343" spans="1:18" ht="15" customHeight="1">
      <c r="A343" s="15" t="s">
        <v>38</v>
      </c>
      <c r="B343" s="15" t="s">
        <v>1041</v>
      </c>
      <c r="C343" s="16">
        <v>0.44791666666666669</v>
      </c>
      <c r="D343" s="15" t="s">
        <v>46</v>
      </c>
      <c r="E343" s="15" t="s">
        <v>483</v>
      </c>
      <c r="F343" s="15" t="s">
        <v>106</v>
      </c>
      <c r="G343" s="298"/>
      <c r="H343" s="10"/>
      <c r="I343" s="11"/>
      <c r="J343" s="11"/>
      <c r="K343" s="11"/>
      <c r="L343" s="11"/>
      <c r="M343" s="11"/>
      <c r="N343" s="11"/>
      <c r="O343" s="12"/>
      <c r="P343" s="11"/>
      <c r="Q343" s="13"/>
      <c r="R343" s="14"/>
    </row>
    <row r="344" spans="1:18" ht="15" customHeight="1">
      <c r="A344" s="19" t="s">
        <v>415</v>
      </c>
      <c r="B344" s="19" t="s">
        <v>1062</v>
      </c>
      <c r="C344" s="20">
        <v>6.9444444444444441E-3</v>
      </c>
      <c r="D344" s="19" t="s">
        <v>63</v>
      </c>
      <c r="E344" s="19" t="s">
        <v>177</v>
      </c>
      <c r="F344" s="19" t="s">
        <v>1051</v>
      </c>
      <c r="G344" s="298"/>
      <c r="H344" s="10"/>
      <c r="I344" s="11"/>
      <c r="J344" s="11"/>
      <c r="K344" s="11"/>
      <c r="L344" s="11"/>
      <c r="M344" s="11"/>
      <c r="N344" s="11"/>
      <c r="O344" s="12"/>
      <c r="P344" s="11"/>
      <c r="Q344" s="13"/>
      <c r="R344" s="14"/>
    </row>
    <row r="345" spans="1:18" ht="15" customHeight="1">
      <c r="A345" s="17" t="s">
        <v>415</v>
      </c>
      <c r="B345" s="17" t="s">
        <v>1050</v>
      </c>
      <c r="C345" s="18">
        <v>0.88194444444444453</v>
      </c>
      <c r="D345" s="17" t="s">
        <v>63</v>
      </c>
      <c r="E345" s="17" t="s">
        <v>200</v>
      </c>
      <c r="F345" s="17" t="s">
        <v>1051</v>
      </c>
      <c r="G345" s="298"/>
      <c r="H345" s="10"/>
      <c r="I345" s="11"/>
      <c r="J345" s="11"/>
      <c r="K345" s="11"/>
      <c r="L345" s="11"/>
      <c r="M345" s="11"/>
      <c r="N345" s="11"/>
      <c r="O345" s="12"/>
      <c r="P345" s="11"/>
      <c r="Q345" s="13"/>
      <c r="R345" s="14"/>
    </row>
    <row r="346" spans="1:18" ht="15" customHeight="1">
      <c r="A346" s="19" t="s">
        <v>26</v>
      </c>
      <c r="B346" s="19" t="s">
        <v>1047</v>
      </c>
      <c r="C346" s="20">
        <v>0.33680555555555558</v>
      </c>
      <c r="D346" s="19" t="s">
        <v>28</v>
      </c>
      <c r="E346" s="19" t="s">
        <v>143</v>
      </c>
      <c r="F346" s="19" t="s">
        <v>426</v>
      </c>
      <c r="G346" s="298"/>
      <c r="H346" s="10"/>
      <c r="I346" s="11"/>
      <c r="J346" s="11"/>
      <c r="K346" s="11"/>
      <c r="L346" s="11"/>
      <c r="M346" s="11"/>
      <c r="N346" s="11"/>
      <c r="O346" s="12"/>
      <c r="P346" s="11"/>
      <c r="Q346" s="13"/>
      <c r="R346" s="14"/>
    </row>
    <row r="347" spans="1:18" ht="15" customHeight="1">
      <c r="A347" s="15" t="s">
        <v>26</v>
      </c>
      <c r="B347" s="15" t="s">
        <v>1047</v>
      </c>
      <c r="C347" s="16">
        <v>0.33680555555555558</v>
      </c>
      <c r="D347" s="15" t="s">
        <v>31</v>
      </c>
      <c r="E347" s="15" t="s">
        <v>92</v>
      </c>
      <c r="F347" s="15" t="s">
        <v>150</v>
      </c>
      <c r="G347" s="298"/>
      <c r="H347" s="10"/>
      <c r="I347" s="11"/>
      <c r="J347" s="11"/>
      <c r="K347" s="11"/>
      <c r="L347" s="11"/>
      <c r="M347" s="11"/>
      <c r="N347" s="11"/>
      <c r="O347" s="12"/>
      <c r="P347" s="11"/>
      <c r="Q347" s="13"/>
      <c r="R347" s="14"/>
    </row>
    <row r="348" spans="1:18" ht="15" customHeight="1">
      <c r="A348" s="15" t="s">
        <v>26</v>
      </c>
      <c r="B348" s="15" t="s">
        <v>1047</v>
      </c>
      <c r="C348" s="16">
        <v>0.33680555555555558</v>
      </c>
      <c r="D348" s="15" t="s">
        <v>34</v>
      </c>
      <c r="E348" s="15" t="s">
        <v>92</v>
      </c>
      <c r="F348" s="15" t="s">
        <v>178</v>
      </c>
      <c r="G348" s="298"/>
      <c r="H348" s="10"/>
      <c r="I348" s="11"/>
      <c r="J348" s="11"/>
      <c r="K348" s="11"/>
      <c r="L348" s="11"/>
      <c r="M348" s="11"/>
      <c r="N348" s="11"/>
      <c r="O348" s="12"/>
      <c r="P348" s="11"/>
      <c r="Q348" s="13"/>
      <c r="R348" s="14"/>
    </row>
    <row r="349" spans="1:18" ht="15" customHeight="1">
      <c r="A349" s="17" t="s">
        <v>26</v>
      </c>
      <c r="B349" s="17" t="s">
        <v>1049</v>
      </c>
      <c r="C349" s="18">
        <v>0.97222222222222221</v>
      </c>
      <c r="D349" s="17" t="s">
        <v>28</v>
      </c>
      <c r="E349" s="17" t="s">
        <v>98</v>
      </c>
      <c r="F349" s="17" t="s">
        <v>426</v>
      </c>
      <c r="G349" s="298"/>
      <c r="H349" s="10"/>
      <c r="I349" s="11"/>
      <c r="J349" s="11"/>
      <c r="K349" s="11"/>
      <c r="L349" s="11"/>
      <c r="M349" s="11"/>
      <c r="N349" s="11"/>
      <c r="O349" s="12"/>
      <c r="P349" s="11"/>
      <c r="Q349" s="13"/>
      <c r="R349" s="14"/>
    </row>
    <row r="350" spans="1:18" ht="15" customHeight="1">
      <c r="A350" s="15" t="s">
        <v>26</v>
      </c>
      <c r="B350" s="15" t="s">
        <v>1049</v>
      </c>
      <c r="C350" s="16">
        <v>0.97222222222222221</v>
      </c>
      <c r="D350" s="15" t="s">
        <v>31</v>
      </c>
      <c r="E350" s="15" t="s">
        <v>99</v>
      </c>
      <c r="F350" s="15" t="s">
        <v>150</v>
      </c>
      <c r="G350" s="298"/>
      <c r="H350" s="10"/>
      <c r="I350" s="11"/>
      <c r="J350" s="11"/>
      <c r="K350" s="11"/>
      <c r="L350" s="11"/>
      <c r="M350" s="11"/>
      <c r="N350" s="11"/>
      <c r="O350" s="12"/>
      <c r="P350" s="11"/>
      <c r="Q350" s="13"/>
      <c r="R350" s="14"/>
    </row>
    <row r="351" spans="1:18" ht="15" customHeight="1">
      <c r="A351" s="15" t="s">
        <v>26</v>
      </c>
      <c r="B351" s="15" t="s">
        <v>1049</v>
      </c>
      <c r="C351" s="16">
        <v>0.97222222222222221</v>
      </c>
      <c r="D351" s="15" t="s">
        <v>34</v>
      </c>
      <c r="E351" s="15" t="s">
        <v>99</v>
      </c>
      <c r="F351" s="15" t="s">
        <v>178</v>
      </c>
      <c r="G351" s="298"/>
      <c r="H351" s="10"/>
      <c r="I351" s="11"/>
      <c r="J351" s="11"/>
      <c r="K351" s="11"/>
      <c r="L351" s="11"/>
      <c r="M351" s="11"/>
      <c r="N351" s="11"/>
      <c r="O351" s="12"/>
      <c r="P351" s="11"/>
      <c r="Q351" s="13"/>
      <c r="R351" s="14"/>
    </row>
    <row r="352" spans="1:18" ht="15" customHeight="1">
      <c r="A352" s="19" t="s">
        <v>68</v>
      </c>
      <c r="B352" s="19" t="s">
        <v>1052</v>
      </c>
      <c r="C352" s="20">
        <v>0.33680555555555558</v>
      </c>
      <c r="D352" s="19" t="s">
        <v>643</v>
      </c>
      <c r="E352" s="19" t="s">
        <v>51</v>
      </c>
      <c r="F352" s="19" t="s">
        <v>1053</v>
      </c>
      <c r="G352" s="298"/>
      <c r="H352" s="10"/>
      <c r="I352" s="11"/>
      <c r="J352" s="11"/>
      <c r="K352" s="11"/>
      <c r="L352" s="11"/>
      <c r="M352" s="11"/>
      <c r="N352" s="11"/>
      <c r="O352" s="12"/>
      <c r="P352" s="11"/>
      <c r="Q352" s="13"/>
      <c r="R352" s="14"/>
    </row>
    <row r="353" spans="1:18" ht="15" customHeight="1">
      <c r="A353" s="17" t="s">
        <v>68</v>
      </c>
      <c r="B353" s="17" t="s">
        <v>1054</v>
      </c>
      <c r="C353" s="18">
        <v>0.97916666666666663</v>
      </c>
      <c r="D353" s="17" t="s">
        <v>643</v>
      </c>
      <c r="E353" s="17" t="s">
        <v>57</v>
      </c>
      <c r="F353" s="17" t="s">
        <v>1053</v>
      </c>
      <c r="G353" s="298"/>
      <c r="H353" s="10"/>
      <c r="I353" s="11"/>
      <c r="J353" s="11"/>
      <c r="K353" s="11"/>
      <c r="L353" s="11"/>
      <c r="M353" s="11"/>
      <c r="N353" s="11"/>
      <c r="O353" s="12"/>
      <c r="P353" s="11"/>
      <c r="Q353" s="13"/>
      <c r="R353" s="14"/>
    </row>
    <row r="354" spans="1:18" ht="15" customHeight="1">
      <c r="A354" s="17" t="s">
        <v>68</v>
      </c>
      <c r="B354" s="17" t="s">
        <v>1056</v>
      </c>
      <c r="C354" s="18">
        <v>0.67361111111111116</v>
      </c>
      <c r="D354" s="17" t="s">
        <v>70</v>
      </c>
      <c r="E354" s="17" t="s">
        <v>57</v>
      </c>
      <c r="F354" s="17" t="s">
        <v>1001</v>
      </c>
      <c r="G354" s="298"/>
      <c r="H354" s="10"/>
      <c r="I354" s="11"/>
      <c r="J354" s="11"/>
      <c r="K354" s="11"/>
      <c r="L354" s="11"/>
      <c r="M354" s="11"/>
      <c r="N354" s="11"/>
      <c r="O354" s="12"/>
      <c r="P354" s="11"/>
      <c r="Q354" s="13"/>
      <c r="R354" s="14"/>
    </row>
    <row r="355" spans="1:18" ht="15" customHeight="1">
      <c r="A355" s="19" t="s">
        <v>402</v>
      </c>
      <c r="B355" s="19" t="s">
        <v>1057</v>
      </c>
      <c r="C355" s="20">
        <v>0.75694444444444453</v>
      </c>
      <c r="D355" s="19" t="s">
        <v>63</v>
      </c>
      <c r="E355" s="19" t="s">
        <v>177</v>
      </c>
      <c r="F355" s="19" t="s">
        <v>1058</v>
      </c>
      <c r="G355" s="298"/>
      <c r="H355" s="10"/>
      <c r="I355" s="11"/>
      <c r="J355" s="11"/>
      <c r="K355" s="11"/>
      <c r="L355" s="11"/>
      <c r="M355" s="11"/>
      <c r="N355" s="11"/>
      <c r="O355" s="12"/>
      <c r="P355" s="11"/>
      <c r="Q355" s="13"/>
      <c r="R355" s="14"/>
    </row>
    <row r="356" spans="1:18" ht="15" customHeight="1" thickBot="1">
      <c r="A356" s="96" t="s">
        <v>48</v>
      </c>
      <c r="B356" s="96" t="s">
        <v>1060</v>
      </c>
      <c r="C356" s="97">
        <v>0.44791666666666669</v>
      </c>
      <c r="D356" s="96" t="s">
        <v>53</v>
      </c>
      <c r="E356" s="96" t="s">
        <v>29</v>
      </c>
      <c r="F356" s="96" t="s">
        <v>946</v>
      </c>
      <c r="G356" s="299"/>
      <c r="H356" s="300"/>
      <c r="I356" s="140"/>
      <c r="J356" s="140"/>
      <c r="K356" s="140"/>
      <c r="L356" s="140"/>
      <c r="M356" s="140"/>
      <c r="N356" s="140"/>
      <c r="O356" s="141"/>
      <c r="P356" s="140"/>
      <c r="Q356" s="142"/>
      <c r="R356" s="301"/>
    </row>
    <row r="357" spans="1:18" ht="17.45" customHeight="1" thickBot="1">
      <c r="A357" s="283"/>
      <c r="B357" s="284"/>
      <c r="C357" s="284"/>
      <c r="D357" s="284"/>
      <c r="E357" s="284"/>
      <c r="F357" s="284"/>
      <c r="G357" s="284"/>
      <c r="H357" s="284"/>
      <c r="I357" s="284"/>
      <c r="J357" s="284"/>
      <c r="K357" s="284"/>
      <c r="L357" s="284"/>
      <c r="M357" s="284"/>
      <c r="N357" s="284"/>
      <c r="O357" s="284"/>
      <c r="P357" s="284"/>
      <c r="Q357" s="284"/>
      <c r="R357" s="285"/>
    </row>
    <row r="358" spans="1:18" ht="22.15" customHeight="1" thickTop="1" thickBot="1">
      <c r="A358" s="279" t="s">
        <v>6</v>
      </c>
      <c r="B358" s="295"/>
      <c r="C358" s="295"/>
      <c r="D358" s="295"/>
      <c r="E358" s="295"/>
      <c r="F358" s="296"/>
      <c r="G358" s="32">
        <v>46043</v>
      </c>
      <c r="H358" s="278" t="s">
        <v>7</v>
      </c>
      <c r="I358" s="295"/>
      <c r="J358" s="295"/>
      <c r="K358" s="295"/>
      <c r="L358" s="295"/>
      <c r="M358" s="295"/>
      <c r="N358" s="295"/>
      <c r="O358" s="295"/>
      <c r="P358" s="295"/>
      <c r="Q358" s="295"/>
      <c r="R358" s="296"/>
    </row>
    <row r="359" spans="1:18" ht="24" customHeight="1">
      <c r="A359" s="33" t="s">
        <v>8</v>
      </c>
      <c r="B359" s="33" t="s">
        <v>9</v>
      </c>
      <c r="C359" s="34" t="s">
        <v>10</v>
      </c>
      <c r="D359" s="33" t="s">
        <v>11</v>
      </c>
      <c r="E359" s="33" t="s">
        <v>12</v>
      </c>
      <c r="F359" s="35" t="s">
        <v>13</v>
      </c>
      <c r="G359" s="36" t="s">
        <v>14</v>
      </c>
      <c r="H359" s="33" t="s">
        <v>15</v>
      </c>
      <c r="I359" s="37" t="s">
        <v>16</v>
      </c>
      <c r="J359" s="38" t="s">
        <v>17</v>
      </c>
      <c r="K359" s="39" t="s">
        <v>18</v>
      </c>
      <c r="L359" s="38" t="s">
        <v>19</v>
      </c>
      <c r="M359" s="38" t="s">
        <v>20</v>
      </c>
      <c r="N359" s="38" t="s">
        <v>21</v>
      </c>
      <c r="O359" s="33" t="s">
        <v>22</v>
      </c>
      <c r="P359" s="34" t="s">
        <v>23</v>
      </c>
      <c r="Q359" s="38" t="s">
        <v>24</v>
      </c>
      <c r="R359" s="33" t="s">
        <v>25</v>
      </c>
    </row>
    <row r="360" spans="1:18" ht="15" customHeight="1">
      <c r="A360" s="8" t="s">
        <v>38</v>
      </c>
      <c r="B360" s="8" t="s">
        <v>1041</v>
      </c>
      <c r="C360" s="9">
        <v>0.44791666666666669</v>
      </c>
      <c r="D360" s="8" t="s">
        <v>40</v>
      </c>
      <c r="E360" s="8" t="s">
        <v>482</v>
      </c>
      <c r="F360" s="8" t="s">
        <v>83</v>
      </c>
      <c r="G360" s="297"/>
      <c r="H360" s="10"/>
      <c r="I360" s="11"/>
      <c r="J360" s="11"/>
      <c r="K360" s="11"/>
      <c r="L360" s="11"/>
      <c r="M360" s="11"/>
      <c r="N360" s="11"/>
      <c r="O360" s="12"/>
      <c r="P360" s="11"/>
      <c r="Q360" s="13"/>
      <c r="R360" s="14"/>
    </row>
    <row r="361" spans="1:18" ht="15" customHeight="1">
      <c r="A361" s="15" t="s">
        <v>38</v>
      </c>
      <c r="B361" s="15" t="s">
        <v>1041</v>
      </c>
      <c r="C361" s="16">
        <v>0.44791666666666669</v>
      </c>
      <c r="D361" s="15" t="s">
        <v>43</v>
      </c>
      <c r="E361" s="15" t="s">
        <v>483</v>
      </c>
      <c r="F361" s="15" t="s">
        <v>162</v>
      </c>
      <c r="G361" s="298"/>
      <c r="H361" s="10"/>
      <c r="I361" s="11"/>
      <c r="J361" s="11"/>
      <c r="K361" s="11"/>
      <c r="L361" s="11"/>
      <c r="M361" s="11"/>
      <c r="N361" s="11"/>
      <c r="O361" s="12"/>
      <c r="P361" s="11"/>
      <c r="Q361" s="13"/>
      <c r="R361" s="14"/>
    </row>
    <row r="362" spans="1:18" ht="15" customHeight="1">
      <c r="A362" s="15" t="s">
        <v>38</v>
      </c>
      <c r="B362" s="15" t="s">
        <v>1041</v>
      </c>
      <c r="C362" s="16">
        <v>0.44791666666666669</v>
      </c>
      <c r="D362" s="15" t="s">
        <v>46</v>
      </c>
      <c r="E362" s="15" t="s">
        <v>483</v>
      </c>
      <c r="F362" s="15" t="s">
        <v>106</v>
      </c>
      <c r="G362" s="298"/>
      <c r="H362" s="10"/>
      <c r="I362" s="11"/>
      <c r="J362" s="11"/>
      <c r="K362" s="11"/>
      <c r="L362" s="11"/>
      <c r="M362" s="11"/>
      <c r="N362" s="11"/>
      <c r="O362" s="12"/>
      <c r="P362" s="11"/>
      <c r="Q362" s="13"/>
      <c r="R362" s="14"/>
    </row>
    <row r="363" spans="1:18" ht="15" customHeight="1">
      <c r="A363" s="19" t="s">
        <v>26</v>
      </c>
      <c r="B363" s="19" t="s">
        <v>1049</v>
      </c>
      <c r="C363" s="20">
        <v>0.97222222222222221</v>
      </c>
      <c r="D363" s="19" t="s">
        <v>28</v>
      </c>
      <c r="E363" s="19" t="s">
        <v>156</v>
      </c>
      <c r="F363" s="19" t="s">
        <v>349</v>
      </c>
      <c r="G363" s="298"/>
      <c r="H363" s="10"/>
      <c r="I363" s="11"/>
      <c r="J363" s="11"/>
      <c r="K363" s="11"/>
      <c r="L363" s="11"/>
      <c r="M363" s="11"/>
      <c r="N363" s="11"/>
      <c r="O363" s="12"/>
      <c r="P363" s="11"/>
      <c r="Q363" s="13"/>
      <c r="R363" s="14"/>
    </row>
    <row r="364" spans="1:18" ht="15" customHeight="1">
      <c r="A364" s="15" t="s">
        <v>26</v>
      </c>
      <c r="B364" s="15" t="s">
        <v>1049</v>
      </c>
      <c r="C364" s="16">
        <v>0.97222222222222221</v>
      </c>
      <c r="D364" s="15" t="s">
        <v>31</v>
      </c>
      <c r="E364" s="15" t="s">
        <v>135</v>
      </c>
      <c r="F364" s="15" t="s">
        <v>35</v>
      </c>
      <c r="G364" s="298"/>
      <c r="H364" s="10"/>
      <c r="I364" s="11"/>
      <c r="J364" s="11"/>
      <c r="K364" s="11"/>
      <c r="L364" s="11"/>
      <c r="M364" s="11"/>
      <c r="N364" s="11"/>
      <c r="O364" s="12"/>
      <c r="P364" s="11"/>
      <c r="Q364" s="13"/>
      <c r="R364" s="14"/>
    </row>
    <row r="365" spans="1:18" ht="15" customHeight="1">
      <c r="A365" s="15" t="s">
        <v>26</v>
      </c>
      <c r="B365" s="15" t="s">
        <v>1049</v>
      </c>
      <c r="C365" s="16">
        <v>0.97222222222222221</v>
      </c>
      <c r="D365" s="15" t="s">
        <v>34</v>
      </c>
      <c r="E365" s="15" t="s">
        <v>135</v>
      </c>
      <c r="F365" s="15" t="s">
        <v>503</v>
      </c>
      <c r="G365" s="298"/>
      <c r="H365" s="10"/>
      <c r="I365" s="11"/>
      <c r="J365" s="11"/>
      <c r="K365" s="11"/>
      <c r="L365" s="11"/>
      <c r="M365" s="11"/>
      <c r="N365" s="11"/>
      <c r="O365" s="12"/>
      <c r="P365" s="11"/>
      <c r="Q365" s="13"/>
      <c r="R365" s="14"/>
    </row>
    <row r="366" spans="1:18" ht="15" customHeight="1">
      <c r="A366" s="19" t="s">
        <v>359</v>
      </c>
      <c r="B366" s="19" t="s">
        <v>1065</v>
      </c>
      <c r="C366" s="20">
        <v>0.78472222222222221</v>
      </c>
      <c r="D366" s="19" t="s">
        <v>361</v>
      </c>
      <c r="E366" s="19" t="s">
        <v>80</v>
      </c>
      <c r="F366" s="19" t="s">
        <v>1100</v>
      </c>
      <c r="G366" s="298"/>
      <c r="H366" s="10"/>
      <c r="I366" s="11"/>
      <c r="J366" s="11"/>
      <c r="K366" s="11"/>
      <c r="L366" s="11"/>
      <c r="M366" s="11"/>
      <c r="N366" s="11"/>
      <c r="O366" s="12"/>
      <c r="P366" s="11"/>
      <c r="Q366" s="13"/>
      <c r="R366" s="14"/>
    </row>
    <row r="367" spans="1:18" ht="15" customHeight="1">
      <c r="A367" s="15" t="s">
        <v>359</v>
      </c>
      <c r="B367" s="15" t="s">
        <v>1065</v>
      </c>
      <c r="C367" s="16">
        <v>0.78472222222222221</v>
      </c>
      <c r="D367" s="15" t="s">
        <v>46</v>
      </c>
      <c r="E367" s="15" t="s">
        <v>82</v>
      </c>
      <c r="F367" s="15" t="s">
        <v>1101</v>
      </c>
      <c r="G367" s="298"/>
      <c r="H367" s="10"/>
      <c r="I367" s="11"/>
      <c r="J367" s="11"/>
      <c r="K367" s="11"/>
      <c r="L367" s="11"/>
      <c r="M367" s="11"/>
      <c r="N367" s="11"/>
      <c r="O367" s="12"/>
      <c r="P367" s="11"/>
      <c r="Q367" s="13"/>
      <c r="R367" s="14"/>
    </row>
    <row r="368" spans="1:18" ht="15" customHeight="1">
      <c r="A368" s="19" t="s">
        <v>68</v>
      </c>
      <c r="B368" s="19" t="s">
        <v>1052</v>
      </c>
      <c r="C368" s="20">
        <v>0.33680555555555558</v>
      </c>
      <c r="D368" s="19" t="s">
        <v>643</v>
      </c>
      <c r="E368" s="19" t="s">
        <v>51</v>
      </c>
      <c r="F368" s="19" t="s">
        <v>1053</v>
      </c>
      <c r="G368" s="298"/>
      <c r="H368" s="10"/>
      <c r="I368" s="11"/>
      <c r="J368" s="11"/>
      <c r="K368" s="11"/>
      <c r="L368" s="11"/>
      <c r="M368" s="11"/>
      <c r="N368" s="11"/>
      <c r="O368" s="12"/>
      <c r="P368" s="11"/>
      <c r="Q368" s="13"/>
      <c r="R368" s="14"/>
    </row>
    <row r="369" spans="1:18" ht="15" customHeight="1">
      <c r="A369" s="17" t="s">
        <v>68</v>
      </c>
      <c r="B369" s="17" t="s">
        <v>1054</v>
      </c>
      <c r="C369" s="18">
        <v>0.97916666666666663</v>
      </c>
      <c r="D369" s="17" t="s">
        <v>643</v>
      </c>
      <c r="E369" s="17" t="s">
        <v>57</v>
      </c>
      <c r="F369" s="17" t="s">
        <v>1053</v>
      </c>
      <c r="G369" s="298"/>
      <c r="H369" s="10"/>
      <c r="I369" s="11"/>
      <c r="J369" s="11"/>
      <c r="K369" s="11"/>
      <c r="L369" s="11"/>
      <c r="M369" s="11"/>
      <c r="N369" s="11"/>
      <c r="O369" s="12"/>
      <c r="P369" s="11"/>
      <c r="Q369" s="13"/>
      <c r="R369" s="14"/>
    </row>
    <row r="370" spans="1:18" ht="15" customHeight="1">
      <c r="A370" s="17" t="s">
        <v>68</v>
      </c>
      <c r="B370" s="17" t="s">
        <v>1056</v>
      </c>
      <c r="C370" s="18">
        <v>0.67361111111111116</v>
      </c>
      <c r="D370" s="17" t="s">
        <v>643</v>
      </c>
      <c r="E370" s="17" t="s">
        <v>57</v>
      </c>
      <c r="F370" s="17" t="s">
        <v>1053</v>
      </c>
      <c r="G370" s="298"/>
      <c r="H370" s="10"/>
      <c r="I370" s="11"/>
      <c r="J370" s="11"/>
      <c r="K370" s="11"/>
      <c r="L370" s="11"/>
      <c r="M370" s="11"/>
      <c r="N370" s="11"/>
      <c r="O370" s="12"/>
      <c r="P370" s="11"/>
      <c r="Q370" s="13"/>
      <c r="R370" s="14"/>
    </row>
    <row r="371" spans="1:18" ht="15" customHeight="1">
      <c r="A371" s="19" t="s">
        <v>402</v>
      </c>
      <c r="B371" s="19" t="s">
        <v>1064</v>
      </c>
      <c r="C371" s="20">
        <v>0.69444444444444453</v>
      </c>
      <c r="D371" s="19" t="s">
        <v>63</v>
      </c>
      <c r="E371" s="19" t="s">
        <v>177</v>
      </c>
      <c r="F371" s="19" t="s">
        <v>1058</v>
      </c>
      <c r="G371" s="298"/>
      <c r="H371" s="10"/>
      <c r="I371" s="11"/>
      <c r="J371" s="11"/>
      <c r="K371" s="11"/>
      <c r="L371" s="11"/>
      <c r="M371" s="11"/>
      <c r="N371" s="11"/>
      <c r="O371" s="12"/>
      <c r="P371" s="11"/>
      <c r="Q371" s="13"/>
      <c r="R371" s="14"/>
    </row>
    <row r="372" spans="1:18" ht="15" customHeight="1" thickBot="1">
      <c r="A372" s="96" t="s">
        <v>48</v>
      </c>
      <c r="B372" s="96" t="s">
        <v>1060</v>
      </c>
      <c r="C372" s="97">
        <v>0.44791666666666669</v>
      </c>
      <c r="D372" s="96" t="s">
        <v>53</v>
      </c>
      <c r="E372" s="96" t="s">
        <v>29</v>
      </c>
      <c r="F372" s="96" t="s">
        <v>946</v>
      </c>
      <c r="G372" s="299"/>
      <c r="H372" s="300"/>
      <c r="I372" s="140"/>
      <c r="J372" s="140"/>
      <c r="K372" s="140"/>
      <c r="L372" s="140"/>
      <c r="M372" s="140"/>
      <c r="N372" s="140"/>
      <c r="O372" s="141"/>
      <c r="P372" s="140"/>
      <c r="Q372" s="142"/>
      <c r="R372" s="301"/>
    </row>
    <row r="373" spans="1:18" ht="17.45" customHeight="1" thickBot="1">
      <c r="A373" s="283"/>
      <c r="B373" s="284"/>
      <c r="C373" s="284"/>
      <c r="D373" s="284"/>
      <c r="E373" s="284"/>
      <c r="F373" s="284"/>
      <c r="G373" s="284"/>
      <c r="H373" s="284"/>
      <c r="I373" s="284"/>
      <c r="J373" s="284"/>
      <c r="K373" s="284"/>
      <c r="L373" s="284"/>
      <c r="M373" s="284"/>
      <c r="N373" s="284"/>
      <c r="O373" s="284"/>
      <c r="P373" s="284"/>
      <c r="Q373" s="284"/>
      <c r="R373" s="285"/>
    </row>
    <row r="374" spans="1:18" ht="22.15" customHeight="1" thickTop="1" thickBot="1">
      <c r="A374" s="279" t="s">
        <v>6</v>
      </c>
      <c r="B374" s="295"/>
      <c r="C374" s="295"/>
      <c r="D374" s="295"/>
      <c r="E374" s="295"/>
      <c r="F374" s="296"/>
      <c r="G374" s="32">
        <v>46044</v>
      </c>
      <c r="H374" s="278" t="s">
        <v>7</v>
      </c>
      <c r="I374" s="295"/>
      <c r="J374" s="295"/>
      <c r="K374" s="295"/>
      <c r="L374" s="295"/>
      <c r="M374" s="295"/>
      <c r="N374" s="295"/>
      <c r="O374" s="295"/>
      <c r="P374" s="295"/>
      <c r="Q374" s="295"/>
      <c r="R374" s="296"/>
    </row>
    <row r="375" spans="1:18" ht="24" customHeight="1">
      <c r="A375" s="33" t="s">
        <v>8</v>
      </c>
      <c r="B375" s="33" t="s">
        <v>9</v>
      </c>
      <c r="C375" s="34" t="s">
        <v>10</v>
      </c>
      <c r="D375" s="33" t="s">
        <v>11</v>
      </c>
      <c r="E375" s="33" t="s">
        <v>12</v>
      </c>
      <c r="F375" s="35" t="s">
        <v>13</v>
      </c>
      <c r="G375" s="36" t="s">
        <v>14</v>
      </c>
      <c r="H375" s="33" t="s">
        <v>15</v>
      </c>
      <c r="I375" s="37" t="s">
        <v>16</v>
      </c>
      <c r="J375" s="38" t="s">
        <v>17</v>
      </c>
      <c r="K375" s="39" t="s">
        <v>18</v>
      </c>
      <c r="L375" s="38" t="s">
        <v>19</v>
      </c>
      <c r="M375" s="38" t="s">
        <v>20</v>
      </c>
      <c r="N375" s="38" t="s">
        <v>21</v>
      </c>
      <c r="O375" s="33" t="s">
        <v>22</v>
      </c>
      <c r="P375" s="34" t="s">
        <v>23</v>
      </c>
      <c r="Q375" s="38" t="s">
        <v>24</v>
      </c>
      <c r="R375" s="33" t="s">
        <v>25</v>
      </c>
    </row>
    <row r="376" spans="1:18" ht="15" customHeight="1">
      <c r="A376" s="8" t="s">
        <v>38</v>
      </c>
      <c r="B376" s="8" t="s">
        <v>1041</v>
      </c>
      <c r="C376" s="9">
        <v>0.44791666666666669</v>
      </c>
      <c r="D376" s="8" t="s">
        <v>40</v>
      </c>
      <c r="E376" s="8" t="s">
        <v>482</v>
      </c>
      <c r="F376" s="8" t="s">
        <v>83</v>
      </c>
      <c r="G376" s="297"/>
      <c r="H376" s="10"/>
      <c r="I376" s="11"/>
      <c r="J376" s="11"/>
      <c r="K376" s="11"/>
      <c r="L376" s="11"/>
      <c r="M376" s="11"/>
      <c r="N376" s="11"/>
      <c r="O376" s="12"/>
      <c r="P376" s="11"/>
      <c r="Q376" s="13"/>
      <c r="R376" s="14"/>
    </row>
    <row r="377" spans="1:18" ht="15" customHeight="1">
      <c r="A377" s="15" t="s">
        <v>38</v>
      </c>
      <c r="B377" s="15" t="s">
        <v>1041</v>
      </c>
      <c r="C377" s="16">
        <v>0.44791666666666669</v>
      </c>
      <c r="D377" s="15" t="s">
        <v>43</v>
      </c>
      <c r="E377" s="15" t="s">
        <v>483</v>
      </c>
      <c r="F377" s="15" t="s">
        <v>162</v>
      </c>
      <c r="G377" s="298"/>
      <c r="H377" s="10"/>
      <c r="I377" s="11"/>
      <c r="J377" s="11"/>
      <c r="K377" s="11"/>
      <c r="L377" s="11"/>
      <c r="M377" s="11"/>
      <c r="N377" s="11"/>
      <c r="O377" s="12"/>
      <c r="P377" s="11"/>
      <c r="Q377" s="13"/>
      <c r="R377" s="14"/>
    </row>
    <row r="378" spans="1:18" ht="15" customHeight="1">
      <c r="A378" s="15" t="s">
        <v>38</v>
      </c>
      <c r="B378" s="15" t="s">
        <v>1041</v>
      </c>
      <c r="C378" s="16">
        <v>0.44791666666666669</v>
      </c>
      <c r="D378" s="15" t="s">
        <v>46</v>
      </c>
      <c r="E378" s="15" t="s">
        <v>483</v>
      </c>
      <c r="F378" s="15" t="s">
        <v>106</v>
      </c>
      <c r="G378" s="298"/>
      <c r="H378" s="10"/>
      <c r="I378" s="11"/>
      <c r="J378" s="11"/>
      <c r="K378" s="11"/>
      <c r="L378" s="11"/>
      <c r="M378" s="11"/>
      <c r="N378" s="11"/>
      <c r="O378" s="12"/>
      <c r="P378" s="11"/>
      <c r="Q378" s="13"/>
      <c r="R378" s="14"/>
    </row>
    <row r="379" spans="1:18" ht="15" customHeight="1">
      <c r="A379" s="19" t="s">
        <v>26</v>
      </c>
      <c r="B379" s="19" t="s">
        <v>1047</v>
      </c>
      <c r="C379" s="20">
        <v>0.33680555555555558</v>
      </c>
      <c r="D379" s="19" t="s">
        <v>28</v>
      </c>
      <c r="E379" s="19" t="s">
        <v>29</v>
      </c>
      <c r="F379" s="19" t="s">
        <v>349</v>
      </c>
      <c r="G379" s="298"/>
      <c r="H379" s="10"/>
      <c r="I379" s="11"/>
      <c r="J379" s="11"/>
      <c r="K379" s="11"/>
      <c r="L379" s="11"/>
      <c r="M379" s="11"/>
      <c r="N379" s="11"/>
      <c r="O379" s="12"/>
      <c r="P379" s="11"/>
      <c r="Q379" s="13"/>
      <c r="R379" s="14"/>
    </row>
    <row r="380" spans="1:18" ht="15" customHeight="1">
      <c r="A380" s="15" t="s">
        <v>26</v>
      </c>
      <c r="B380" s="15" t="s">
        <v>1047</v>
      </c>
      <c r="C380" s="16">
        <v>0.33680555555555558</v>
      </c>
      <c r="D380" s="15" t="s">
        <v>31</v>
      </c>
      <c r="E380" s="15" t="s">
        <v>32</v>
      </c>
      <c r="F380" s="15" t="s">
        <v>35</v>
      </c>
      <c r="G380" s="298"/>
      <c r="H380" s="10"/>
      <c r="I380" s="11"/>
      <c r="J380" s="11"/>
      <c r="K380" s="11"/>
      <c r="L380" s="11"/>
      <c r="M380" s="11"/>
      <c r="N380" s="11"/>
      <c r="O380" s="12"/>
      <c r="P380" s="11"/>
      <c r="Q380" s="13"/>
      <c r="R380" s="14"/>
    </row>
    <row r="381" spans="1:18" ht="15" customHeight="1">
      <c r="A381" s="15" t="s">
        <v>26</v>
      </c>
      <c r="B381" s="15" t="s">
        <v>1047</v>
      </c>
      <c r="C381" s="16">
        <v>0.33680555555555558</v>
      </c>
      <c r="D381" s="15" t="s">
        <v>34</v>
      </c>
      <c r="E381" s="15" t="s">
        <v>32</v>
      </c>
      <c r="F381" s="15" t="s">
        <v>503</v>
      </c>
      <c r="G381" s="298"/>
      <c r="H381" s="10"/>
      <c r="I381" s="11"/>
      <c r="J381" s="11"/>
      <c r="K381" s="11"/>
      <c r="L381" s="11"/>
      <c r="M381" s="11"/>
      <c r="N381" s="11"/>
      <c r="O381" s="12"/>
      <c r="P381" s="11"/>
      <c r="Q381" s="13"/>
      <c r="R381" s="14"/>
    </row>
    <row r="382" spans="1:18" ht="15" customHeight="1">
      <c r="A382" s="17" t="s">
        <v>26</v>
      </c>
      <c r="B382" s="17" t="s">
        <v>1049</v>
      </c>
      <c r="C382" s="18">
        <v>0.97222222222222221</v>
      </c>
      <c r="D382" s="17" t="s">
        <v>28</v>
      </c>
      <c r="E382" s="17" t="s">
        <v>91</v>
      </c>
      <c r="F382" s="17" t="s">
        <v>426</v>
      </c>
      <c r="G382" s="298"/>
      <c r="H382" s="10"/>
      <c r="I382" s="11"/>
      <c r="J382" s="11"/>
      <c r="K382" s="11"/>
      <c r="L382" s="11"/>
      <c r="M382" s="11"/>
      <c r="N382" s="11"/>
      <c r="O382" s="12"/>
      <c r="P382" s="11"/>
      <c r="Q382" s="13"/>
      <c r="R382" s="14"/>
    </row>
    <row r="383" spans="1:18" ht="15" customHeight="1">
      <c r="A383" s="15" t="s">
        <v>26</v>
      </c>
      <c r="B383" s="15" t="s">
        <v>1049</v>
      </c>
      <c r="C383" s="16">
        <v>0.97222222222222221</v>
      </c>
      <c r="D383" s="15" t="s">
        <v>31</v>
      </c>
      <c r="E383" s="15" t="s">
        <v>92</v>
      </c>
      <c r="F383" s="15" t="s">
        <v>150</v>
      </c>
      <c r="G383" s="298"/>
      <c r="H383" s="10"/>
      <c r="I383" s="11"/>
      <c r="J383" s="11"/>
      <c r="K383" s="11"/>
      <c r="L383" s="11"/>
      <c r="M383" s="11"/>
      <c r="N383" s="11"/>
      <c r="O383" s="12"/>
      <c r="P383" s="11"/>
      <c r="Q383" s="13"/>
      <c r="R383" s="14"/>
    </row>
    <row r="384" spans="1:18" ht="15" customHeight="1">
      <c r="A384" s="15" t="s">
        <v>26</v>
      </c>
      <c r="B384" s="15" t="s">
        <v>1049</v>
      </c>
      <c r="C384" s="16">
        <v>0.97222222222222221</v>
      </c>
      <c r="D384" s="15" t="s">
        <v>34</v>
      </c>
      <c r="E384" s="15" t="s">
        <v>92</v>
      </c>
      <c r="F384" s="15" t="s">
        <v>178</v>
      </c>
      <c r="G384" s="298"/>
      <c r="H384" s="10"/>
      <c r="I384" s="11"/>
      <c r="J384" s="11"/>
      <c r="K384" s="11"/>
      <c r="L384" s="11"/>
      <c r="M384" s="11"/>
      <c r="N384" s="11"/>
      <c r="O384" s="12"/>
      <c r="P384" s="11"/>
      <c r="Q384" s="13"/>
      <c r="R384" s="14"/>
    </row>
    <row r="385" spans="1:18" ht="15" customHeight="1">
      <c r="A385" s="19" t="s">
        <v>415</v>
      </c>
      <c r="B385" s="19" t="s">
        <v>1050</v>
      </c>
      <c r="C385" s="20">
        <v>0.75694444444444453</v>
      </c>
      <c r="D385" s="19" t="s">
        <v>63</v>
      </c>
      <c r="E385" s="19" t="s">
        <v>107</v>
      </c>
      <c r="F385" s="19" t="s">
        <v>1051</v>
      </c>
      <c r="G385" s="298"/>
      <c r="H385" s="10"/>
      <c r="I385" s="11"/>
      <c r="J385" s="11"/>
      <c r="K385" s="11"/>
      <c r="L385" s="11"/>
      <c r="M385" s="11"/>
      <c r="N385" s="11"/>
      <c r="O385" s="12"/>
      <c r="P385" s="11"/>
      <c r="Q385" s="13"/>
      <c r="R385" s="14"/>
    </row>
    <row r="386" spans="1:18" ht="15" customHeight="1">
      <c r="A386" s="49" t="s">
        <v>61</v>
      </c>
      <c r="B386" s="49" t="s">
        <v>1043</v>
      </c>
      <c r="C386" s="50">
        <v>0.72222222222222221</v>
      </c>
      <c r="D386" s="49" t="s">
        <v>63</v>
      </c>
      <c r="E386" s="49" t="s">
        <v>51</v>
      </c>
      <c r="F386" s="49" t="s">
        <v>1068</v>
      </c>
      <c r="G386" s="298"/>
      <c r="H386" s="51" t="s">
        <v>1045</v>
      </c>
      <c r="I386" s="52">
        <v>2.7799999999999998E-2</v>
      </c>
      <c r="J386" s="53">
        <v>5</v>
      </c>
      <c r="K386" s="54">
        <v>46340</v>
      </c>
      <c r="L386" s="53">
        <v>5</v>
      </c>
      <c r="M386" s="53">
        <v>0</v>
      </c>
      <c r="N386" s="53">
        <v>0</v>
      </c>
      <c r="O386" s="55" t="s">
        <v>672</v>
      </c>
      <c r="P386" s="56">
        <v>0.72222222222222221</v>
      </c>
      <c r="Q386" s="53">
        <v>180</v>
      </c>
      <c r="R386" s="57" t="s">
        <v>956</v>
      </c>
    </row>
    <row r="387" spans="1:18" ht="15" customHeight="1">
      <c r="A387" s="19" t="s">
        <v>68</v>
      </c>
      <c r="B387" s="19" t="s">
        <v>1052</v>
      </c>
      <c r="C387" s="20">
        <v>0.33680555555555558</v>
      </c>
      <c r="D387" s="19" t="s">
        <v>643</v>
      </c>
      <c r="E387" s="19" t="s">
        <v>51</v>
      </c>
      <c r="F387" s="19" t="s">
        <v>1053</v>
      </c>
      <c r="G387" s="298"/>
      <c r="H387" s="10"/>
      <c r="I387" s="11"/>
      <c r="J387" s="11"/>
      <c r="K387" s="11"/>
      <c r="L387" s="11"/>
      <c r="M387" s="11"/>
      <c r="N387" s="11"/>
      <c r="O387" s="12"/>
      <c r="P387" s="11"/>
      <c r="Q387" s="13"/>
      <c r="R387" s="14"/>
    </row>
    <row r="388" spans="1:18" ht="15" customHeight="1">
      <c r="A388" s="17" t="s">
        <v>68</v>
      </c>
      <c r="B388" s="17" t="s">
        <v>1056</v>
      </c>
      <c r="C388" s="18">
        <v>0.67361111111111116</v>
      </c>
      <c r="D388" s="17" t="s">
        <v>70</v>
      </c>
      <c r="E388" s="17" t="s">
        <v>57</v>
      </c>
      <c r="F388" s="17" t="s">
        <v>1055</v>
      </c>
      <c r="G388" s="298"/>
      <c r="H388" s="10"/>
      <c r="I388" s="11"/>
      <c r="J388" s="11"/>
      <c r="K388" s="11"/>
      <c r="L388" s="11"/>
      <c r="M388" s="11"/>
      <c r="N388" s="11"/>
      <c r="O388" s="12"/>
      <c r="P388" s="11"/>
      <c r="Q388" s="13"/>
      <c r="R388" s="14"/>
    </row>
    <row r="389" spans="1:18" ht="15" customHeight="1">
      <c r="A389" s="17" t="s">
        <v>68</v>
      </c>
      <c r="B389" s="17" t="s">
        <v>1054</v>
      </c>
      <c r="C389" s="18">
        <v>0.97916666666666663</v>
      </c>
      <c r="D389" s="17" t="s">
        <v>70</v>
      </c>
      <c r="E389" s="17" t="s">
        <v>57</v>
      </c>
      <c r="F389" s="17" t="s">
        <v>1001</v>
      </c>
      <c r="G389" s="298"/>
      <c r="H389" s="10"/>
      <c r="I389" s="11"/>
      <c r="J389" s="11"/>
      <c r="K389" s="11"/>
      <c r="L389" s="11"/>
      <c r="M389" s="11"/>
      <c r="N389" s="11"/>
      <c r="O389" s="12"/>
      <c r="P389" s="11"/>
      <c r="Q389" s="13"/>
      <c r="R389" s="14"/>
    </row>
    <row r="390" spans="1:18" ht="15" customHeight="1">
      <c r="A390" s="19" t="s">
        <v>402</v>
      </c>
      <c r="B390" s="19" t="s">
        <v>1057</v>
      </c>
      <c r="C390" s="20">
        <v>0.75694444444444453</v>
      </c>
      <c r="D390" s="19" t="s">
        <v>63</v>
      </c>
      <c r="E390" s="19" t="s">
        <v>143</v>
      </c>
      <c r="F390" s="19" t="s">
        <v>1058</v>
      </c>
      <c r="G390" s="298"/>
      <c r="H390" s="10"/>
      <c r="I390" s="11"/>
      <c r="J390" s="11"/>
      <c r="K390" s="11"/>
      <c r="L390" s="11"/>
      <c r="M390" s="11"/>
      <c r="N390" s="11"/>
      <c r="O390" s="12"/>
      <c r="P390" s="11"/>
      <c r="Q390" s="13"/>
      <c r="R390" s="14"/>
    </row>
    <row r="391" spans="1:18" ht="15" customHeight="1">
      <c r="A391" s="17" t="s">
        <v>402</v>
      </c>
      <c r="B391" s="17" t="s">
        <v>1059</v>
      </c>
      <c r="C391" s="18">
        <v>0.3611111111111111</v>
      </c>
      <c r="D391" s="17" t="s">
        <v>63</v>
      </c>
      <c r="E391" s="17" t="s">
        <v>372</v>
      </c>
      <c r="F391" s="17" t="s">
        <v>1058</v>
      </c>
      <c r="G391" s="298"/>
      <c r="H391" s="10"/>
      <c r="I391" s="11"/>
      <c r="J391" s="11"/>
      <c r="K391" s="11"/>
      <c r="L391" s="11"/>
      <c r="M391" s="11"/>
      <c r="N391" s="11"/>
      <c r="O391" s="12"/>
      <c r="P391" s="11"/>
      <c r="Q391" s="13"/>
      <c r="R391" s="14"/>
    </row>
    <row r="392" spans="1:18" ht="15" customHeight="1" thickBot="1">
      <c r="A392" s="96" t="s">
        <v>48</v>
      </c>
      <c r="B392" s="96" t="s">
        <v>1060</v>
      </c>
      <c r="C392" s="97">
        <v>0.44791666666666669</v>
      </c>
      <c r="D392" s="96" t="s">
        <v>53</v>
      </c>
      <c r="E392" s="96" t="s">
        <v>29</v>
      </c>
      <c r="F392" s="96" t="s">
        <v>946</v>
      </c>
      <c r="G392" s="299"/>
      <c r="H392" s="300"/>
      <c r="I392" s="140"/>
      <c r="J392" s="140"/>
      <c r="K392" s="140"/>
      <c r="L392" s="140"/>
      <c r="M392" s="140"/>
      <c r="N392" s="140"/>
      <c r="O392" s="141"/>
      <c r="P392" s="140"/>
      <c r="Q392" s="142"/>
      <c r="R392" s="301"/>
    </row>
    <row r="393" spans="1:18" ht="17.45" customHeight="1" thickBot="1">
      <c r="A393" s="283"/>
      <c r="B393" s="284"/>
      <c r="C393" s="284"/>
      <c r="D393" s="284"/>
      <c r="E393" s="284"/>
      <c r="F393" s="284"/>
      <c r="G393" s="284"/>
      <c r="H393" s="284"/>
      <c r="I393" s="284"/>
      <c r="J393" s="284"/>
      <c r="K393" s="284"/>
      <c r="L393" s="284"/>
      <c r="M393" s="284"/>
      <c r="N393" s="284"/>
      <c r="O393" s="284"/>
      <c r="P393" s="284"/>
      <c r="Q393" s="284"/>
      <c r="R393" s="285"/>
    </row>
    <row r="394" spans="1:18" ht="22.15" customHeight="1" thickTop="1" thickBot="1">
      <c r="A394" s="279" t="s">
        <v>6</v>
      </c>
      <c r="B394" s="295"/>
      <c r="C394" s="295"/>
      <c r="D394" s="295"/>
      <c r="E394" s="295"/>
      <c r="F394" s="296"/>
      <c r="G394" s="32">
        <v>46045</v>
      </c>
      <c r="H394" s="278" t="s">
        <v>7</v>
      </c>
      <c r="I394" s="295"/>
      <c r="J394" s="295"/>
      <c r="K394" s="295"/>
      <c r="L394" s="295"/>
      <c r="M394" s="295"/>
      <c r="N394" s="295"/>
      <c r="O394" s="295"/>
      <c r="P394" s="295"/>
      <c r="Q394" s="295"/>
      <c r="R394" s="296"/>
    </row>
    <row r="395" spans="1:18" ht="24" customHeight="1">
      <c r="A395" s="33" t="s">
        <v>8</v>
      </c>
      <c r="B395" s="33" t="s">
        <v>9</v>
      </c>
      <c r="C395" s="34" t="s">
        <v>10</v>
      </c>
      <c r="D395" s="33" t="s">
        <v>11</v>
      </c>
      <c r="E395" s="33" t="s">
        <v>12</v>
      </c>
      <c r="F395" s="35" t="s">
        <v>13</v>
      </c>
      <c r="G395" s="36" t="s">
        <v>14</v>
      </c>
      <c r="H395" s="33" t="s">
        <v>15</v>
      </c>
      <c r="I395" s="37" t="s">
        <v>16</v>
      </c>
      <c r="J395" s="38" t="s">
        <v>17</v>
      </c>
      <c r="K395" s="39" t="s">
        <v>18</v>
      </c>
      <c r="L395" s="38" t="s">
        <v>19</v>
      </c>
      <c r="M395" s="38" t="s">
        <v>20</v>
      </c>
      <c r="N395" s="38" t="s">
        <v>21</v>
      </c>
      <c r="O395" s="33" t="s">
        <v>22</v>
      </c>
      <c r="P395" s="34" t="s">
        <v>23</v>
      </c>
      <c r="Q395" s="38" t="s">
        <v>24</v>
      </c>
      <c r="R395" s="33" t="s">
        <v>25</v>
      </c>
    </row>
    <row r="396" spans="1:18" ht="15" customHeight="1">
      <c r="A396" s="8" t="s">
        <v>38</v>
      </c>
      <c r="B396" s="8" t="s">
        <v>1041</v>
      </c>
      <c r="C396" s="9">
        <v>0.44791666666666669</v>
      </c>
      <c r="D396" s="8" t="s">
        <v>40</v>
      </c>
      <c r="E396" s="8" t="s">
        <v>482</v>
      </c>
      <c r="F396" s="8" t="s">
        <v>83</v>
      </c>
      <c r="G396" s="297"/>
      <c r="H396" s="10"/>
      <c r="I396" s="11"/>
      <c r="J396" s="11"/>
      <c r="K396" s="11"/>
      <c r="L396" s="11"/>
      <c r="M396" s="11"/>
      <c r="N396" s="11"/>
      <c r="O396" s="12"/>
      <c r="P396" s="11"/>
      <c r="Q396" s="13"/>
      <c r="R396" s="14"/>
    </row>
    <row r="397" spans="1:18" ht="15" customHeight="1">
      <c r="A397" s="15" t="s">
        <v>38</v>
      </c>
      <c r="B397" s="15" t="s">
        <v>1041</v>
      </c>
      <c r="C397" s="16">
        <v>0.44791666666666669</v>
      </c>
      <c r="D397" s="15" t="s">
        <v>43</v>
      </c>
      <c r="E397" s="15" t="s">
        <v>483</v>
      </c>
      <c r="F397" s="15" t="s">
        <v>162</v>
      </c>
      <c r="G397" s="298"/>
      <c r="H397" s="10"/>
      <c r="I397" s="11"/>
      <c r="J397" s="11"/>
      <c r="K397" s="11"/>
      <c r="L397" s="11"/>
      <c r="M397" s="11"/>
      <c r="N397" s="11"/>
      <c r="O397" s="12"/>
      <c r="P397" s="11"/>
      <c r="Q397" s="13"/>
      <c r="R397" s="14"/>
    </row>
    <row r="398" spans="1:18" ht="15" customHeight="1">
      <c r="A398" s="15" t="s">
        <v>38</v>
      </c>
      <c r="B398" s="15" t="s">
        <v>1041</v>
      </c>
      <c r="C398" s="16">
        <v>0.44791666666666669</v>
      </c>
      <c r="D398" s="15" t="s">
        <v>46</v>
      </c>
      <c r="E398" s="15" t="s">
        <v>483</v>
      </c>
      <c r="F398" s="15" t="s">
        <v>106</v>
      </c>
      <c r="G398" s="298"/>
      <c r="H398" s="10"/>
      <c r="I398" s="11"/>
      <c r="J398" s="11"/>
      <c r="K398" s="11"/>
      <c r="L398" s="11"/>
      <c r="M398" s="11"/>
      <c r="N398" s="11"/>
      <c r="O398" s="12"/>
      <c r="P398" s="11"/>
      <c r="Q398" s="13"/>
      <c r="R398" s="14"/>
    </row>
    <row r="399" spans="1:18" ht="15" customHeight="1">
      <c r="A399" s="19" t="s">
        <v>415</v>
      </c>
      <c r="B399" s="19" t="s">
        <v>1062</v>
      </c>
      <c r="C399" s="20">
        <v>6.9444444444444441E-3</v>
      </c>
      <c r="D399" s="19" t="s">
        <v>63</v>
      </c>
      <c r="E399" s="19" t="s">
        <v>143</v>
      </c>
      <c r="F399" s="19" t="s">
        <v>1051</v>
      </c>
      <c r="G399" s="298"/>
      <c r="H399" s="10"/>
      <c r="I399" s="11"/>
      <c r="J399" s="11"/>
      <c r="K399" s="11"/>
      <c r="L399" s="11"/>
      <c r="M399" s="11"/>
      <c r="N399" s="11"/>
      <c r="O399" s="12"/>
      <c r="P399" s="11"/>
      <c r="Q399" s="13"/>
      <c r="R399" s="14"/>
    </row>
    <row r="400" spans="1:18" ht="15" customHeight="1">
      <c r="A400" s="19" t="s">
        <v>26</v>
      </c>
      <c r="B400" s="19" t="s">
        <v>1049</v>
      </c>
      <c r="C400" s="20">
        <v>0.97222222222222221</v>
      </c>
      <c r="D400" s="19" t="s">
        <v>28</v>
      </c>
      <c r="E400" s="19" t="s">
        <v>29</v>
      </c>
      <c r="F400" s="19" t="s">
        <v>426</v>
      </c>
      <c r="G400" s="298"/>
      <c r="H400" s="10"/>
      <c r="I400" s="11"/>
      <c r="J400" s="11"/>
      <c r="K400" s="11"/>
      <c r="L400" s="11"/>
      <c r="M400" s="11"/>
      <c r="N400" s="11"/>
      <c r="O400" s="12"/>
      <c r="P400" s="11"/>
      <c r="Q400" s="13"/>
      <c r="R400" s="14"/>
    </row>
    <row r="401" spans="1:18" ht="15" customHeight="1">
      <c r="A401" s="15" t="s">
        <v>26</v>
      </c>
      <c r="B401" s="15" t="s">
        <v>1049</v>
      </c>
      <c r="C401" s="16">
        <v>0.97222222222222221</v>
      </c>
      <c r="D401" s="15" t="s">
        <v>31</v>
      </c>
      <c r="E401" s="15" t="s">
        <v>32</v>
      </c>
      <c r="F401" s="15" t="s">
        <v>150</v>
      </c>
      <c r="G401" s="298"/>
      <c r="H401" s="10"/>
      <c r="I401" s="11"/>
      <c r="J401" s="11"/>
      <c r="K401" s="11"/>
      <c r="L401" s="11"/>
      <c r="M401" s="11"/>
      <c r="N401" s="11"/>
      <c r="O401" s="12"/>
      <c r="P401" s="11"/>
      <c r="Q401" s="13"/>
      <c r="R401" s="14"/>
    </row>
    <row r="402" spans="1:18" ht="15" customHeight="1">
      <c r="A402" s="15" t="s">
        <v>26</v>
      </c>
      <c r="B402" s="15" t="s">
        <v>1049</v>
      </c>
      <c r="C402" s="16">
        <v>0.97222222222222221</v>
      </c>
      <c r="D402" s="15" t="s">
        <v>34</v>
      </c>
      <c r="E402" s="15" t="s">
        <v>32</v>
      </c>
      <c r="F402" s="15" t="s">
        <v>178</v>
      </c>
      <c r="G402" s="298"/>
      <c r="H402" s="10"/>
      <c r="I402" s="11"/>
      <c r="J402" s="11"/>
      <c r="K402" s="11"/>
      <c r="L402" s="11"/>
      <c r="M402" s="11"/>
      <c r="N402" s="11"/>
      <c r="O402" s="12"/>
      <c r="P402" s="11"/>
      <c r="Q402" s="13"/>
      <c r="R402" s="14"/>
    </row>
    <row r="403" spans="1:18" ht="15" customHeight="1">
      <c r="A403" s="19" t="s">
        <v>68</v>
      </c>
      <c r="B403" s="19" t="s">
        <v>1052</v>
      </c>
      <c r="C403" s="20">
        <v>0.33680555555555558</v>
      </c>
      <c r="D403" s="19" t="s">
        <v>643</v>
      </c>
      <c r="E403" s="19" t="s">
        <v>51</v>
      </c>
      <c r="F403" s="19" t="s">
        <v>830</v>
      </c>
      <c r="G403" s="298"/>
      <c r="H403" s="10"/>
      <c r="I403" s="11"/>
      <c r="J403" s="11"/>
      <c r="K403" s="11"/>
      <c r="L403" s="11"/>
      <c r="M403" s="11"/>
      <c r="N403" s="11"/>
      <c r="O403" s="12"/>
      <c r="P403" s="11"/>
      <c r="Q403" s="13"/>
      <c r="R403" s="14"/>
    </row>
    <row r="404" spans="1:18" ht="15" customHeight="1">
      <c r="A404" s="17" t="s">
        <v>68</v>
      </c>
      <c r="B404" s="17" t="s">
        <v>1054</v>
      </c>
      <c r="C404" s="18">
        <v>0.97916666666666663</v>
      </c>
      <c r="D404" s="17" t="s">
        <v>70</v>
      </c>
      <c r="E404" s="17" t="s">
        <v>57</v>
      </c>
      <c r="F404" s="17" t="s">
        <v>1055</v>
      </c>
      <c r="G404" s="298"/>
      <c r="H404" s="10"/>
      <c r="I404" s="11"/>
      <c r="J404" s="11"/>
      <c r="K404" s="11"/>
      <c r="L404" s="11"/>
      <c r="M404" s="11"/>
      <c r="N404" s="11"/>
      <c r="O404" s="12"/>
      <c r="P404" s="11"/>
      <c r="Q404" s="13"/>
      <c r="R404" s="14"/>
    </row>
    <row r="405" spans="1:18" ht="15" customHeight="1">
      <c r="A405" s="17" t="s">
        <v>68</v>
      </c>
      <c r="B405" s="17" t="s">
        <v>1056</v>
      </c>
      <c r="C405" s="18">
        <v>0.67361111111111116</v>
      </c>
      <c r="D405" s="17" t="s">
        <v>70</v>
      </c>
      <c r="E405" s="17" t="s">
        <v>57</v>
      </c>
      <c r="F405" s="17" t="s">
        <v>1063</v>
      </c>
      <c r="G405" s="298"/>
      <c r="H405" s="10"/>
      <c r="I405" s="11"/>
      <c r="J405" s="11"/>
      <c r="K405" s="11"/>
      <c r="L405" s="11"/>
      <c r="M405" s="11"/>
      <c r="N405" s="11"/>
      <c r="O405" s="12"/>
      <c r="P405" s="11"/>
      <c r="Q405" s="13"/>
      <c r="R405" s="14"/>
    </row>
    <row r="406" spans="1:18" ht="15" customHeight="1">
      <c r="A406" s="21" t="s">
        <v>61</v>
      </c>
      <c r="B406" s="21" t="s">
        <v>1043</v>
      </c>
      <c r="C406" s="22">
        <v>0.38194444444444442</v>
      </c>
      <c r="D406" s="21" t="s">
        <v>63</v>
      </c>
      <c r="E406" s="21" t="s">
        <v>156</v>
      </c>
      <c r="F406" s="21" t="s">
        <v>138</v>
      </c>
      <c r="G406" s="298"/>
      <c r="H406" s="23" t="s">
        <v>1045</v>
      </c>
      <c r="I406" s="24">
        <v>0.1222</v>
      </c>
      <c r="J406" s="25">
        <v>22</v>
      </c>
      <c r="K406" s="26">
        <v>46337</v>
      </c>
      <c r="L406" s="25">
        <v>22</v>
      </c>
      <c r="M406" s="25">
        <v>0</v>
      </c>
      <c r="N406" s="25">
        <v>0</v>
      </c>
      <c r="O406" s="27" t="s">
        <v>1034</v>
      </c>
      <c r="P406" s="28">
        <v>0.38194444444444442</v>
      </c>
      <c r="Q406" s="25">
        <v>180</v>
      </c>
      <c r="R406" s="29" t="s">
        <v>1102</v>
      </c>
    </row>
    <row r="407" spans="1:18" ht="15" customHeight="1">
      <c r="A407" s="19" t="s">
        <v>402</v>
      </c>
      <c r="B407" s="19" t="s">
        <v>1064</v>
      </c>
      <c r="C407" s="20">
        <v>0.75694444444444453</v>
      </c>
      <c r="D407" s="19" t="s">
        <v>63</v>
      </c>
      <c r="E407" s="19" t="s">
        <v>103</v>
      </c>
      <c r="F407" s="19" t="s">
        <v>1058</v>
      </c>
      <c r="G407" s="298"/>
      <c r="H407" s="10"/>
      <c r="I407" s="11"/>
      <c r="J407" s="11"/>
      <c r="K407" s="11"/>
      <c r="L407" s="11"/>
      <c r="M407" s="11"/>
      <c r="N407" s="11"/>
      <c r="O407" s="12"/>
      <c r="P407" s="11"/>
      <c r="Q407" s="13"/>
      <c r="R407" s="14"/>
    </row>
    <row r="408" spans="1:18" ht="15" customHeight="1" thickBot="1">
      <c r="A408" s="96" t="s">
        <v>48</v>
      </c>
      <c r="B408" s="96" t="s">
        <v>1060</v>
      </c>
      <c r="C408" s="97">
        <v>0.44791666666666669</v>
      </c>
      <c r="D408" s="96" t="s">
        <v>53</v>
      </c>
      <c r="E408" s="96" t="s">
        <v>29</v>
      </c>
      <c r="F408" s="96" t="s">
        <v>946</v>
      </c>
      <c r="G408" s="299"/>
      <c r="H408" s="300"/>
      <c r="I408" s="140"/>
      <c r="J408" s="140"/>
      <c r="K408" s="140"/>
      <c r="L408" s="140"/>
      <c r="M408" s="140"/>
      <c r="N408" s="140"/>
      <c r="O408" s="141"/>
      <c r="P408" s="140"/>
      <c r="Q408" s="142"/>
      <c r="R408" s="301"/>
    </row>
    <row r="409" spans="1:18" ht="17.45" customHeight="1" thickBot="1">
      <c r="A409" s="283"/>
      <c r="B409" s="284"/>
      <c r="C409" s="284"/>
      <c r="D409" s="284"/>
      <c r="E409" s="284"/>
      <c r="F409" s="284"/>
      <c r="G409" s="284"/>
      <c r="H409" s="284"/>
      <c r="I409" s="284"/>
      <c r="J409" s="284"/>
      <c r="K409" s="284"/>
      <c r="L409" s="284"/>
      <c r="M409" s="284"/>
      <c r="N409" s="284"/>
      <c r="O409" s="284"/>
      <c r="P409" s="284"/>
      <c r="Q409" s="284"/>
      <c r="R409" s="285"/>
    </row>
    <row r="410" spans="1:18" ht="22.15" customHeight="1" thickTop="1" thickBot="1">
      <c r="A410" s="279" t="s">
        <v>6</v>
      </c>
      <c r="B410" s="295"/>
      <c r="C410" s="295"/>
      <c r="D410" s="295"/>
      <c r="E410" s="295"/>
      <c r="F410" s="296"/>
      <c r="G410" s="32">
        <v>46046</v>
      </c>
      <c r="H410" s="278" t="s">
        <v>7</v>
      </c>
      <c r="I410" s="295"/>
      <c r="J410" s="295"/>
      <c r="K410" s="295"/>
      <c r="L410" s="295"/>
      <c r="M410" s="295"/>
      <c r="N410" s="295"/>
      <c r="O410" s="295"/>
      <c r="P410" s="295"/>
      <c r="Q410" s="295"/>
      <c r="R410" s="296"/>
    </row>
    <row r="411" spans="1:18" ht="24" customHeight="1">
      <c r="A411" s="33" t="s">
        <v>8</v>
      </c>
      <c r="B411" s="33" t="s">
        <v>9</v>
      </c>
      <c r="C411" s="34" t="s">
        <v>10</v>
      </c>
      <c r="D411" s="33" t="s">
        <v>11</v>
      </c>
      <c r="E411" s="33" t="s">
        <v>12</v>
      </c>
      <c r="F411" s="35" t="s">
        <v>13</v>
      </c>
      <c r="G411" s="36" t="s">
        <v>14</v>
      </c>
      <c r="H411" s="33" t="s">
        <v>15</v>
      </c>
      <c r="I411" s="37" t="s">
        <v>16</v>
      </c>
      <c r="J411" s="38" t="s">
        <v>17</v>
      </c>
      <c r="K411" s="39" t="s">
        <v>18</v>
      </c>
      <c r="L411" s="38" t="s">
        <v>19</v>
      </c>
      <c r="M411" s="38" t="s">
        <v>20</v>
      </c>
      <c r="N411" s="38" t="s">
        <v>21</v>
      </c>
      <c r="O411" s="33" t="s">
        <v>22</v>
      </c>
      <c r="P411" s="34" t="s">
        <v>23</v>
      </c>
      <c r="Q411" s="38" t="s">
        <v>24</v>
      </c>
      <c r="R411" s="33" t="s">
        <v>25</v>
      </c>
    </row>
    <row r="412" spans="1:18" ht="15" customHeight="1">
      <c r="A412" s="8" t="s">
        <v>38</v>
      </c>
      <c r="B412" s="8" t="s">
        <v>1041</v>
      </c>
      <c r="C412" s="9">
        <v>0.44791666666666669</v>
      </c>
      <c r="D412" s="8" t="s">
        <v>40</v>
      </c>
      <c r="E412" s="8" t="s">
        <v>482</v>
      </c>
      <c r="F412" s="8" t="s">
        <v>83</v>
      </c>
      <c r="G412" s="297"/>
      <c r="H412" s="10"/>
      <c r="I412" s="11"/>
      <c r="J412" s="11"/>
      <c r="K412" s="11"/>
      <c r="L412" s="11"/>
      <c r="M412" s="11"/>
      <c r="N412" s="11"/>
      <c r="O412" s="12"/>
      <c r="P412" s="11"/>
      <c r="Q412" s="13"/>
      <c r="R412" s="14"/>
    </row>
    <row r="413" spans="1:18" ht="15" customHeight="1">
      <c r="A413" s="15" t="s">
        <v>38</v>
      </c>
      <c r="B413" s="15" t="s">
        <v>1041</v>
      </c>
      <c r="C413" s="16">
        <v>0.44791666666666669</v>
      </c>
      <c r="D413" s="15" t="s">
        <v>43</v>
      </c>
      <c r="E413" s="15" t="s">
        <v>483</v>
      </c>
      <c r="F413" s="15" t="s">
        <v>162</v>
      </c>
      <c r="G413" s="298"/>
      <c r="H413" s="10"/>
      <c r="I413" s="11"/>
      <c r="J413" s="11"/>
      <c r="K413" s="11"/>
      <c r="L413" s="11"/>
      <c r="M413" s="11"/>
      <c r="N413" s="11"/>
      <c r="O413" s="12"/>
      <c r="P413" s="11"/>
      <c r="Q413" s="13"/>
      <c r="R413" s="14"/>
    </row>
    <row r="414" spans="1:18" ht="15" customHeight="1">
      <c r="A414" s="15" t="s">
        <v>38</v>
      </c>
      <c r="B414" s="15" t="s">
        <v>1041</v>
      </c>
      <c r="C414" s="16">
        <v>0.44791666666666669</v>
      </c>
      <c r="D414" s="15" t="s">
        <v>46</v>
      </c>
      <c r="E414" s="15" t="s">
        <v>483</v>
      </c>
      <c r="F414" s="15" t="s">
        <v>106</v>
      </c>
      <c r="G414" s="298"/>
      <c r="H414" s="10"/>
      <c r="I414" s="11"/>
      <c r="J414" s="11"/>
      <c r="K414" s="11"/>
      <c r="L414" s="11"/>
      <c r="M414" s="11"/>
      <c r="N414" s="11"/>
      <c r="O414" s="12"/>
      <c r="P414" s="11"/>
      <c r="Q414" s="13"/>
      <c r="R414" s="14"/>
    </row>
    <row r="415" spans="1:18" ht="15" customHeight="1">
      <c r="A415" s="19" t="s">
        <v>26</v>
      </c>
      <c r="B415" s="19" t="s">
        <v>1047</v>
      </c>
      <c r="C415" s="20">
        <v>0.33680555555555558</v>
      </c>
      <c r="D415" s="19" t="s">
        <v>28</v>
      </c>
      <c r="E415" s="19" t="s">
        <v>126</v>
      </c>
      <c r="F415" s="19" t="s">
        <v>349</v>
      </c>
      <c r="G415" s="298"/>
      <c r="H415" s="10"/>
      <c r="I415" s="11"/>
      <c r="J415" s="11"/>
      <c r="K415" s="11"/>
      <c r="L415" s="11"/>
      <c r="M415" s="11"/>
      <c r="N415" s="11"/>
      <c r="O415" s="12"/>
      <c r="P415" s="11"/>
      <c r="Q415" s="13"/>
      <c r="R415" s="14"/>
    </row>
    <row r="416" spans="1:18" ht="15" customHeight="1">
      <c r="A416" s="15" t="s">
        <v>26</v>
      </c>
      <c r="B416" s="15" t="s">
        <v>1047</v>
      </c>
      <c r="C416" s="16">
        <v>0.33680555555555558</v>
      </c>
      <c r="D416" s="15" t="s">
        <v>31</v>
      </c>
      <c r="E416" s="15" t="s">
        <v>127</v>
      </c>
      <c r="F416" s="15" t="s">
        <v>35</v>
      </c>
      <c r="G416" s="298"/>
      <c r="H416" s="10"/>
      <c r="I416" s="11"/>
      <c r="J416" s="11"/>
      <c r="K416" s="11"/>
      <c r="L416" s="11"/>
      <c r="M416" s="11"/>
      <c r="N416" s="11"/>
      <c r="O416" s="12"/>
      <c r="P416" s="11"/>
      <c r="Q416" s="13"/>
      <c r="R416" s="14"/>
    </row>
    <row r="417" spans="1:18" ht="15" customHeight="1">
      <c r="A417" s="15" t="s">
        <v>26</v>
      </c>
      <c r="B417" s="15" t="s">
        <v>1047</v>
      </c>
      <c r="C417" s="16">
        <v>0.33680555555555558</v>
      </c>
      <c r="D417" s="15" t="s">
        <v>34</v>
      </c>
      <c r="E417" s="15" t="s">
        <v>127</v>
      </c>
      <c r="F417" s="15" t="s">
        <v>503</v>
      </c>
      <c r="G417" s="298"/>
      <c r="H417" s="10"/>
      <c r="I417" s="11"/>
      <c r="J417" s="11"/>
      <c r="K417" s="11"/>
      <c r="L417" s="11"/>
      <c r="M417" s="11"/>
      <c r="N417" s="11"/>
      <c r="O417" s="12"/>
      <c r="P417" s="11"/>
      <c r="Q417" s="13"/>
      <c r="R417" s="14"/>
    </row>
    <row r="418" spans="1:18" ht="15" customHeight="1">
      <c r="A418" s="17" t="s">
        <v>26</v>
      </c>
      <c r="B418" s="17" t="s">
        <v>1049</v>
      </c>
      <c r="C418" s="18">
        <v>0.97222222222222221</v>
      </c>
      <c r="D418" s="17" t="s">
        <v>28</v>
      </c>
      <c r="E418" s="17" t="s">
        <v>200</v>
      </c>
      <c r="F418" s="17" t="s">
        <v>426</v>
      </c>
      <c r="G418" s="298"/>
      <c r="H418" s="10"/>
      <c r="I418" s="11"/>
      <c r="J418" s="11"/>
      <c r="K418" s="11"/>
      <c r="L418" s="11"/>
      <c r="M418" s="11"/>
      <c r="N418" s="11"/>
      <c r="O418" s="12"/>
      <c r="P418" s="11"/>
      <c r="Q418" s="13"/>
      <c r="R418" s="14"/>
    </row>
    <row r="419" spans="1:18" ht="15" customHeight="1">
      <c r="A419" s="15" t="s">
        <v>26</v>
      </c>
      <c r="B419" s="15" t="s">
        <v>1049</v>
      </c>
      <c r="C419" s="16">
        <v>0.97222222222222221</v>
      </c>
      <c r="D419" s="15" t="s">
        <v>31</v>
      </c>
      <c r="E419" s="15" t="s">
        <v>127</v>
      </c>
      <c r="F419" s="15" t="s">
        <v>150</v>
      </c>
      <c r="G419" s="298"/>
      <c r="H419" s="10"/>
      <c r="I419" s="11"/>
      <c r="J419" s="11"/>
      <c r="K419" s="11"/>
      <c r="L419" s="11"/>
      <c r="M419" s="11"/>
      <c r="N419" s="11"/>
      <c r="O419" s="12"/>
      <c r="P419" s="11"/>
      <c r="Q419" s="13"/>
      <c r="R419" s="14"/>
    </row>
    <row r="420" spans="1:18" ht="15" customHeight="1">
      <c r="A420" s="15" t="s">
        <v>26</v>
      </c>
      <c r="B420" s="15" t="s">
        <v>1049</v>
      </c>
      <c r="C420" s="16">
        <v>0.97222222222222221</v>
      </c>
      <c r="D420" s="15" t="s">
        <v>34</v>
      </c>
      <c r="E420" s="15" t="s">
        <v>127</v>
      </c>
      <c r="F420" s="15" t="s">
        <v>178</v>
      </c>
      <c r="G420" s="298"/>
      <c r="H420" s="10"/>
      <c r="I420" s="11"/>
      <c r="J420" s="11"/>
      <c r="K420" s="11"/>
      <c r="L420" s="11"/>
      <c r="M420" s="11"/>
      <c r="N420" s="11"/>
      <c r="O420" s="12"/>
      <c r="P420" s="11"/>
      <c r="Q420" s="13"/>
      <c r="R420" s="14"/>
    </row>
    <row r="421" spans="1:18" ht="15" customHeight="1">
      <c r="A421" s="78" t="s">
        <v>61</v>
      </c>
      <c r="B421" s="78" t="s">
        <v>1043</v>
      </c>
      <c r="C421" s="79">
        <v>0.72222222222222221</v>
      </c>
      <c r="D421" s="78" t="s">
        <v>63</v>
      </c>
      <c r="E421" s="78" t="s">
        <v>143</v>
      </c>
      <c r="F421" s="78" t="s">
        <v>1068</v>
      </c>
      <c r="G421" s="298"/>
      <c r="H421" s="80" t="s">
        <v>1045</v>
      </c>
      <c r="I421" s="81">
        <v>6.6699999999999995E-2</v>
      </c>
      <c r="J421" s="82">
        <v>12</v>
      </c>
      <c r="K421" s="83">
        <v>46337</v>
      </c>
      <c r="L421" s="82">
        <v>12</v>
      </c>
      <c r="M421" s="82">
        <v>0</v>
      </c>
      <c r="N421" s="82">
        <v>0</v>
      </c>
      <c r="O421" s="84" t="s">
        <v>569</v>
      </c>
      <c r="P421" s="85">
        <v>0.72222222222222221</v>
      </c>
      <c r="Q421" s="82">
        <v>180</v>
      </c>
      <c r="R421" s="86" t="s">
        <v>1103</v>
      </c>
    </row>
    <row r="422" spans="1:18" ht="15" customHeight="1">
      <c r="A422" s="19" t="s">
        <v>415</v>
      </c>
      <c r="B422" s="19" t="s">
        <v>1050</v>
      </c>
      <c r="C422" s="20">
        <v>0.34027777777777768</v>
      </c>
      <c r="D422" s="19" t="s">
        <v>63</v>
      </c>
      <c r="E422" s="19" t="s">
        <v>107</v>
      </c>
      <c r="F422" s="19" t="s">
        <v>133</v>
      </c>
      <c r="G422" s="298"/>
      <c r="H422" s="10"/>
      <c r="I422" s="11"/>
      <c r="J422" s="11"/>
      <c r="K422" s="11"/>
      <c r="L422" s="11"/>
      <c r="M422" s="11"/>
      <c r="N422" s="11"/>
      <c r="O422" s="12"/>
      <c r="P422" s="11"/>
      <c r="Q422" s="13"/>
      <c r="R422" s="14"/>
    </row>
    <row r="423" spans="1:18" ht="15" customHeight="1">
      <c r="A423" s="19" t="s">
        <v>359</v>
      </c>
      <c r="B423" s="19" t="s">
        <v>1065</v>
      </c>
      <c r="C423" s="20">
        <v>0.78472222222222221</v>
      </c>
      <c r="D423" s="19" t="s">
        <v>361</v>
      </c>
      <c r="E423" s="19" t="s">
        <v>80</v>
      </c>
      <c r="F423" s="19" t="s">
        <v>1080</v>
      </c>
      <c r="G423" s="298"/>
      <c r="H423" s="10"/>
      <c r="I423" s="11"/>
      <c r="J423" s="11"/>
      <c r="K423" s="11"/>
      <c r="L423" s="11"/>
      <c r="M423" s="11"/>
      <c r="N423" s="11"/>
      <c r="O423" s="12"/>
      <c r="P423" s="11"/>
      <c r="Q423" s="13"/>
      <c r="R423" s="14"/>
    </row>
    <row r="424" spans="1:18" ht="15" customHeight="1">
      <c r="A424" s="15" t="s">
        <v>359</v>
      </c>
      <c r="B424" s="15" t="s">
        <v>1065</v>
      </c>
      <c r="C424" s="16">
        <v>0.78472222222222221</v>
      </c>
      <c r="D424" s="15" t="s">
        <v>46</v>
      </c>
      <c r="E424" s="15" t="s">
        <v>82</v>
      </c>
      <c r="F424" s="15" t="s">
        <v>1081</v>
      </c>
      <c r="G424" s="298"/>
      <c r="H424" s="10"/>
      <c r="I424" s="11"/>
      <c r="J424" s="11"/>
      <c r="K424" s="11"/>
      <c r="L424" s="11"/>
      <c r="M424" s="11"/>
      <c r="N424" s="11"/>
      <c r="O424" s="12"/>
      <c r="P424" s="11"/>
      <c r="Q424" s="13"/>
      <c r="R424" s="14"/>
    </row>
    <row r="425" spans="1:18" ht="15" customHeight="1">
      <c r="A425" s="19" t="s">
        <v>402</v>
      </c>
      <c r="B425" s="19" t="s">
        <v>1057</v>
      </c>
      <c r="C425" s="20">
        <v>0.69444444444444453</v>
      </c>
      <c r="D425" s="19" t="s">
        <v>63</v>
      </c>
      <c r="E425" s="19" t="s">
        <v>126</v>
      </c>
      <c r="F425" s="19" t="s">
        <v>1058</v>
      </c>
      <c r="G425" s="298"/>
      <c r="H425" s="10"/>
      <c r="I425" s="11"/>
      <c r="J425" s="11"/>
      <c r="K425" s="11"/>
      <c r="L425" s="11"/>
      <c r="M425" s="11"/>
      <c r="N425" s="11"/>
      <c r="O425" s="12"/>
      <c r="P425" s="11"/>
      <c r="Q425" s="13"/>
      <c r="R425" s="14"/>
    </row>
    <row r="426" spans="1:18" ht="15" customHeight="1">
      <c r="A426" s="19" t="s">
        <v>68</v>
      </c>
      <c r="B426" s="19" t="s">
        <v>1052</v>
      </c>
      <c r="C426" s="20">
        <v>0.33680555555555558</v>
      </c>
      <c r="D426" s="19" t="s">
        <v>70</v>
      </c>
      <c r="E426" s="19" t="s">
        <v>51</v>
      </c>
      <c r="F426" s="19" t="s">
        <v>1055</v>
      </c>
      <c r="G426" s="298"/>
      <c r="H426" s="10"/>
      <c r="I426" s="11"/>
      <c r="J426" s="11"/>
      <c r="K426" s="11"/>
      <c r="L426" s="11"/>
      <c r="M426" s="11"/>
      <c r="N426" s="11"/>
      <c r="O426" s="12"/>
      <c r="P426" s="11"/>
      <c r="Q426" s="13"/>
      <c r="R426" s="14"/>
    </row>
    <row r="427" spans="1:18" ht="15" customHeight="1">
      <c r="A427" s="17" t="s">
        <v>68</v>
      </c>
      <c r="B427" s="17" t="s">
        <v>1054</v>
      </c>
      <c r="C427" s="18">
        <v>0.97916666666666663</v>
      </c>
      <c r="D427" s="17" t="s">
        <v>70</v>
      </c>
      <c r="E427" s="17" t="s">
        <v>57</v>
      </c>
      <c r="F427" s="17" t="s">
        <v>1055</v>
      </c>
      <c r="G427" s="298"/>
      <c r="H427" s="10"/>
      <c r="I427" s="11"/>
      <c r="J427" s="11"/>
      <c r="K427" s="11"/>
      <c r="L427" s="11"/>
      <c r="M427" s="11"/>
      <c r="N427" s="11"/>
      <c r="O427" s="12"/>
      <c r="P427" s="11"/>
      <c r="Q427" s="13"/>
      <c r="R427" s="14"/>
    </row>
    <row r="428" spans="1:18" ht="15" customHeight="1">
      <c r="A428" s="17" t="s">
        <v>68</v>
      </c>
      <c r="B428" s="17" t="s">
        <v>1056</v>
      </c>
      <c r="C428" s="18">
        <v>0.67361111111111116</v>
      </c>
      <c r="D428" s="17" t="s">
        <v>70</v>
      </c>
      <c r="E428" s="17" t="s">
        <v>57</v>
      </c>
      <c r="F428" s="17" t="s">
        <v>1055</v>
      </c>
      <c r="G428" s="298"/>
      <c r="H428" s="10"/>
      <c r="I428" s="11"/>
      <c r="J428" s="11"/>
      <c r="K428" s="11"/>
      <c r="L428" s="11"/>
      <c r="M428" s="11"/>
      <c r="N428" s="11"/>
      <c r="O428" s="12"/>
      <c r="P428" s="11"/>
      <c r="Q428" s="13"/>
      <c r="R428" s="14"/>
    </row>
    <row r="429" spans="1:18" ht="15" customHeight="1" thickBot="1">
      <c r="A429" s="96" t="s">
        <v>48</v>
      </c>
      <c r="B429" s="96" t="s">
        <v>1060</v>
      </c>
      <c r="C429" s="97">
        <v>0.44791666666666669</v>
      </c>
      <c r="D429" s="96" t="s">
        <v>53</v>
      </c>
      <c r="E429" s="96" t="s">
        <v>29</v>
      </c>
      <c r="F429" s="96" t="s">
        <v>946</v>
      </c>
      <c r="G429" s="299"/>
      <c r="H429" s="300"/>
      <c r="I429" s="140"/>
      <c r="J429" s="140"/>
      <c r="K429" s="140"/>
      <c r="L429" s="140"/>
      <c r="M429" s="140"/>
      <c r="N429" s="140"/>
      <c r="O429" s="141"/>
      <c r="P429" s="140"/>
      <c r="Q429" s="142"/>
      <c r="R429" s="301"/>
    </row>
    <row r="430" spans="1:18" ht="17.45" customHeight="1" thickBot="1">
      <c r="A430" s="283"/>
      <c r="B430" s="284"/>
      <c r="C430" s="284"/>
      <c r="D430" s="284"/>
      <c r="E430" s="284"/>
      <c r="F430" s="284"/>
      <c r="G430" s="284"/>
      <c r="H430" s="284"/>
      <c r="I430" s="284"/>
      <c r="J430" s="284"/>
      <c r="K430" s="284"/>
      <c r="L430" s="284"/>
      <c r="M430" s="284"/>
      <c r="N430" s="284"/>
      <c r="O430" s="284"/>
      <c r="P430" s="284"/>
      <c r="Q430" s="284"/>
      <c r="R430" s="285"/>
    </row>
    <row r="431" spans="1:18" ht="22.15" customHeight="1" thickTop="1" thickBot="1">
      <c r="A431" s="279" t="s">
        <v>6</v>
      </c>
      <c r="B431" s="295"/>
      <c r="C431" s="295"/>
      <c r="D431" s="295"/>
      <c r="E431" s="295"/>
      <c r="F431" s="296"/>
      <c r="G431" s="32">
        <v>46047</v>
      </c>
      <c r="H431" s="278" t="s">
        <v>7</v>
      </c>
      <c r="I431" s="295"/>
      <c r="J431" s="295"/>
      <c r="K431" s="295"/>
      <c r="L431" s="295"/>
      <c r="M431" s="295"/>
      <c r="N431" s="295"/>
      <c r="O431" s="295"/>
      <c r="P431" s="295"/>
      <c r="Q431" s="295"/>
      <c r="R431" s="296"/>
    </row>
    <row r="432" spans="1:18" ht="24" customHeight="1">
      <c r="A432" s="33" t="s">
        <v>8</v>
      </c>
      <c r="B432" s="33" t="s">
        <v>9</v>
      </c>
      <c r="C432" s="34" t="s">
        <v>10</v>
      </c>
      <c r="D432" s="33" t="s">
        <v>11</v>
      </c>
      <c r="E432" s="33" t="s">
        <v>12</v>
      </c>
      <c r="F432" s="35" t="s">
        <v>13</v>
      </c>
      <c r="G432" s="36" t="s">
        <v>14</v>
      </c>
      <c r="H432" s="33" t="s">
        <v>15</v>
      </c>
      <c r="I432" s="37" t="s">
        <v>16</v>
      </c>
      <c r="J432" s="38" t="s">
        <v>17</v>
      </c>
      <c r="K432" s="39" t="s">
        <v>18</v>
      </c>
      <c r="L432" s="38" t="s">
        <v>19</v>
      </c>
      <c r="M432" s="38" t="s">
        <v>20</v>
      </c>
      <c r="N432" s="38" t="s">
        <v>21</v>
      </c>
      <c r="O432" s="33" t="s">
        <v>22</v>
      </c>
      <c r="P432" s="34" t="s">
        <v>23</v>
      </c>
      <c r="Q432" s="38" t="s">
        <v>24</v>
      </c>
      <c r="R432" s="33" t="s">
        <v>25</v>
      </c>
    </row>
    <row r="433" spans="1:18" ht="15" customHeight="1">
      <c r="A433" s="8" t="s">
        <v>38</v>
      </c>
      <c r="B433" s="8" t="s">
        <v>1041</v>
      </c>
      <c r="C433" s="9">
        <v>0.44791666666666669</v>
      </c>
      <c r="D433" s="8" t="s">
        <v>40</v>
      </c>
      <c r="E433" s="8" t="s">
        <v>482</v>
      </c>
      <c r="F433" s="8" t="s">
        <v>83</v>
      </c>
      <c r="G433" s="297"/>
      <c r="H433" s="10"/>
      <c r="I433" s="11"/>
      <c r="J433" s="11"/>
      <c r="K433" s="11"/>
      <c r="L433" s="11"/>
      <c r="M433" s="11"/>
      <c r="N433" s="11"/>
      <c r="O433" s="12"/>
      <c r="P433" s="11"/>
      <c r="Q433" s="13"/>
      <c r="R433" s="14"/>
    </row>
    <row r="434" spans="1:18" ht="15" customHeight="1">
      <c r="A434" s="15" t="s">
        <v>38</v>
      </c>
      <c r="B434" s="15" t="s">
        <v>1041</v>
      </c>
      <c r="C434" s="16">
        <v>0.44791666666666669</v>
      </c>
      <c r="D434" s="15" t="s">
        <v>43</v>
      </c>
      <c r="E434" s="15" t="s">
        <v>483</v>
      </c>
      <c r="F434" s="15" t="s">
        <v>162</v>
      </c>
      <c r="G434" s="298"/>
      <c r="H434" s="10"/>
      <c r="I434" s="11"/>
      <c r="J434" s="11"/>
      <c r="K434" s="11"/>
      <c r="L434" s="11"/>
      <c r="M434" s="11"/>
      <c r="N434" s="11"/>
      <c r="O434" s="12"/>
      <c r="P434" s="11"/>
      <c r="Q434" s="13"/>
      <c r="R434" s="14"/>
    </row>
    <row r="435" spans="1:18" ht="15" customHeight="1">
      <c r="A435" s="15" t="s">
        <v>38</v>
      </c>
      <c r="B435" s="15" t="s">
        <v>1041</v>
      </c>
      <c r="C435" s="16">
        <v>0.44791666666666669</v>
      </c>
      <c r="D435" s="15" t="s">
        <v>46</v>
      </c>
      <c r="E435" s="15" t="s">
        <v>483</v>
      </c>
      <c r="F435" s="15" t="s">
        <v>106</v>
      </c>
      <c r="G435" s="298"/>
      <c r="H435" s="10"/>
      <c r="I435" s="11"/>
      <c r="J435" s="11"/>
      <c r="K435" s="11"/>
      <c r="L435" s="11"/>
      <c r="M435" s="11"/>
      <c r="N435" s="11"/>
      <c r="O435" s="12"/>
      <c r="P435" s="11"/>
      <c r="Q435" s="13"/>
      <c r="R435" s="14"/>
    </row>
    <row r="436" spans="1:18" ht="15" customHeight="1">
      <c r="A436" s="19" t="s">
        <v>415</v>
      </c>
      <c r="B436" s="19" t="s">
        <v>1071</v>
      </c>
      <c r="C436" s="20">
        <v>0.92013888888888884</v>
      </c>
      <c r="D436" s="19" t="s">
        <v>63</v>
      </c>
      <c r="E436" s="19" t="s">
        <v>156</v>
      </c>
      <c r="F436" s="19" t="s">
        <v>1051</v>
      </c>
      <c r="G436" s="298"/>
      <c r="H436" s="10"/>
      <c r="I436" s="11"/>
      <c r="J436" s="11"/>
      <c r="K436" s="11"/>
      <c r="L436" s="11"/>
      <c r="M436" s="11"/>
      <c r="N436" s="11"/>
      <c r="O436" s="12"/>
      <c r="P436" s="11"/>
      <c r="Q436" s="13"/>
      <c r="R436" s="14"/>
    </row>
    <row r="437" spans="1:18" ht="15" customHeight="1">
      <c r="A437" s="17" t="s">
        <v>415</v>
      </c>
      <c r="B437" s="17" t="s">
        <v>1062</v>
      </c>
      <c r="C437" s="18">
        <v>6.9444444444444441E-3</v>
      </c>
      <c r="D437" s="17" t="s">
        <v>63</v>
      </c>
      <c r="E437" s="17" t="s">
        <v>435</v>
      </c>
      <c r="F437" s="17" t="s">
        <v>133</v>
      </c>
      <c r="G437" s="298"/>
      <c r="H437" s="10"/>
      <c r="I437" s="11"/>
      <c r="J437" s="11"/>
      <c r="K437" s="11"/>
      <c r="L437" s="11"/>
      <c r="M437" s="11"/>
      <c r="N437" s="11"/>
      <c r="O437" s="12"/>
      <c r="P437" s="11"/>
      <c r="Q437" s="13"/>
      <c r="R437" s="14"/>
    </row>
    <row r="438" spans="1:18" ht="15" customHeight="1">
      <c r="A438" s="19" t="s">
        <v>26</v>
      </c>
      <c r="B438" s="19" t="s">
        <v>1049</v>
      </c>
      <c r="C438" s="20">
        <v>0.97222222222222221</v>
      </c>
      <c r="D438" s="19" t="s">
        <v>28</v>
      </c>
      <c r="E438" s="19" t="s">
        <v>126</v>
      </c>
      <c r="F438" s="19" t="s">
        <v>426</v>
      </c>
      <c r="G438" s="298"/>
      <c r="H438" s="10"/>
      <c r="I438" s="11"/>
      <c r="J438" s="11"/>
      <c r="K438" s="11"/>
      <c r="L438" s="11"/>
      <c r="M438" s="11"/>
      <c r="N438" s="11"/>
      <c r="O438" s="12"/>
      <c r="P438" s="11"/>
      <c r="Q438" s="13"/>
      <c r="R438" s="14"/>
    </row>
    <row r="439" spans="1:18" ht="15" customHeight="1">
      <c r="A439" s="15" t="s">
        <v>26</v>
      </c>
      <c r="B439" s="15" t="s">
        <v>1049</v>
      </c>
      <c r="C439" s="16">
        <v>0.97222222222222221</v>
      </c>
      <c r="D439" s="15" t="s">
        <v>31</v>
      </c>
      <c r="E439" s="15" t="s">
        <v>127</v>
      </c>
      <c r="F439" s="15" t="s">
        <v>150</v>
      </c>
      <c r="G439" s="298"/>
      <c r="H439" s="10"/>
      <c r="I439" s="11"/>
      <c r="J439" s="11"/>
      <c r="K439" s="11"/>
      <c r="L439" s="11"/>
      <c r="M439" s="11"/>
      <c r="N439" s="11"/>
      <c r="O439" s="12"/>
      <c r="P439" s="11"/>
      <c r="Q439" s="13"/>
      <c r="R439" s="14"/>
    </row>
    <row r="440" spans="1:18" ht="15" customHeight="1">
      <c r="A440" s="15" t="s">
        <v>26</v>
      </c>
      <c r="B440" s="15" t="s">
        <v>1049</v>
      </c>
      <c r="C440" s="16">
        <v>0.97222222222222221</v>
      </c>
      <c r="D440" s="15" t="s">
        <v>34</v>
      </c>
      <c r="E440" s="15" t="s">
        <v>127</v>
      </c>
      <c r="F440" s="15" t="s">
        <v>178</v>
      </c>
      <c r="G440" s="298"/>
      <c r="H440" s="10"/>
      <c r="I440" s="11"/>
      <c r="J440" s="11"/>
      <c r="K440" s="11"/>
      <c r="L440" s="11"/>
      <c r="M440" s="11"/>
      <c r="N440" s="11"/>
      <c r="O440" s="12"/>
      <c r="P440" s="11"/>
      <c r="Q440" s="13"/>
      <c r="R440" s="14"/>
    </row>
    <row r="441" spans="1:18" ht="15" customHeight="1">
      <c r="A441" s="19" t="s">
        <v>68</v>
      </c>
      <c r="B441" s="19" t="s">
        <v>1052</v>
      </c>
      <c r="C441" s="20">
        <v>0.33680555555555558</v>
      </c>
      <c r="D441" s="19" t="s">
        <v>643</v>
      </c>
      <c r="E441" s="19" t="s">
        <v>51</v>
      </c>
      <c r="F441" s="19" t="s">
        <v>1053</v>
      </c>
      <c r="G441" s="298"/>
      <c r="H441" s="10"/>
      <c r="I441" s="11"/>
      <c r="J441" s="11"/>
      <c r="K441" s="11"/>
      <c r="L441" s="11"/>
      <c r="M441" s="11"/>
      <c r="N441" s="11"/>
      <c r="O441" s="12"/>
      <c r="P441" s="11"/>
      <c r="Q441" s="13"/>
      <c r="R441" s="14"/>
    </row>
    <row r="442" spans="1:18" ht="15" customHeight="1">
      <c r="A442" s="17" t="s">
        <v>68</v>
      </c>
      <c r="B442" s="17" t="s">
        <v>1054</v>
      </c>
      <c r="C442" s="18">
        <v>0.97916666666666663</v>
      </c>
      <c r="D442" s="17" t="s">
        <v>643</v>
      </c>
      <c r="E442" s="17" t="s">
        <v>57</v>
      </c>
      <c r="F442" s="17" t="s">
        <v>1053</v>
      </c>
      <c r="G442" s="298"/>
      <c r="H442" s="10"/>
      <c r="I442" s="11"/>
      <c r="J442" s="11"/>
      <c r="K442" s="11"/>
      <c r="L442" s="11"/>
      <c r="M442" s="11"/>
      <c r="N442" s="11"/>
      <c r="O442" s="12"/>
      <c r="P442" s="11"/>
      <c r="Q442" s="13"/>
      <c r="R442" s="14"/>
    </row>
    <row r="443" spans="1:18" ht="15" customHeight="1">
      <c r="A443" s="17" t="s">
        <v>68</v>
      </c>
      <c r="B443" s="17" t="s">
        <v>1056</v>
      </c>
      <c r="C443" s="18">
        <v>0.67361111111111116</v>
      </c>
      <c r="D443" s="17" t="s">
        <v>70</v>
      </c>
      <c r="E443" s="17" t="s">
        <v>57</v>
      </c>
      <c r="F443" s="17" t="s">
        <v>1055</v>
      </c>
      <c r="G443" s="298"/>
      <c r="H443" s="10"/>
      <c r="I443" s="11"/>
      <c r="J443" s="11"/>
      <c r="K443" s="11"/>
      <c r="L443" s="11"/>
      <c r="M443" s="11"/>
      <c r="N443" s="11"/>
      <c r="O443" s="12"/>
      <c r="P443" s="11"/>
      <c r="Q443" s="13"/>
      <c r="R443" s="14"/>
    </row>
    <row r="444" spans="1:18" ht="15" customHeight="1">
      <c r="A444" s="19" t="s">
        <v>402</v>
      </c>
      <c r="B444" s="19" t="s">
        <v>1059</v>
      </c>
      <c r="C444" s="20">
        <v>0.75694444444444453</v>
      </c>
      <c r="D444" s="19" t="s">
        <v>63</v>
      </c>
      <c r="E444" s="19" t="s">
        <v>103</v>
      </c>
      <c r="F444" s="19" t="s">
        <v>1058</v>
      </c>
      <c r="G444" s="298"/>
      <c r="H444" s="10"/>
      <c r="I444" s="11"/>
      <c r="J444" s="11"/>
      <c r="K444" s="11"/>
      <c r="L444" s="11"/>
      <c r="M444" s="11"/>
      <c r="N444" s="11"/>
      <c r="O444" s="12"/>
      <c r="P444" s="11"/>
      <c r="Q444" s="13"/>
      <c r="R444" s="14"/>
    </row>
    <row r="445" spans="1:18" ht="15" customHeight="1" thickBot="1">
      <c r="A445" s="96" t="s">
        <v>48</v>
      </c>
      <c r="B445" s="96" t="s">
        <v>1060</v>
      </c>
      <c r="C445" s="97">
        <v>0.44791666666666669</v>
      </c>
      <c r="D445" s="96" t="s">
        <v>53</v>
      </c>
      <c r="E445" s="96" t="s">
        <v>29</v>
      </c>
      <c r="F445" s="96" t="s">
        <v>946</v>
      </c>
      <c r="G445" s="299"/>
      <c r="H445" s="300"/>
      <c r="I445" s="140"/>
      <c r="J445" s="140"/>
      <c r="K445" s="140"/>
      <c r="L445" s="140"/>
      <c r="M445" s="140"/>
      <c r="N445" s="140"/>
      <c r="O445" s="141"/>
      <c r="P445" s="140"/>
      <c r="Q445" s="142"/>
      <c r="R445" s="301"/>
    </row>
    <row r="446" spans="1:18" ht="17.45" customHeight="1" thickBot="1">
      <c r="A446" s="283"/>
      <c r="B446" s="284"/>
      <c r="C446" s="284"/>
      <c r="D446" s="284"/>
      <c r="E446" s="284"/>
      <c r="F446" s="284"/>
      <c r="G446" s="284"/>
      <c r="H446" s="284"/>
      <c r="I446" s="284"/>
      <c r="J446" s="284"/>
      <c r="K446" s="284"/>
      <c r="L446" s="284"/>
      <c r="M446" s="284"/>
      <c r="N446" s="284"/>
      <c r="O446" s="284"/>
      <c r="P446" s="284"/>
      <c r="Q446" s="284"/>
      <c r="R446" s="285"/>
    </row>
    <row r="447" spans="1:18" ht="22.15" customHeight="1" thickTop="1" thickBot="1">
      <c r="A447" s="279" t="s">
        <v>6</v>
      </c>
      <c r="B447" s="295"/>
      <c r="C447" s="295"/>
      <c r="D447" s="295"/>
      <c r="E447" s="295"/>
      <c r="F447" s="296"/>
      <c r="G447" s="32">
        <v>46048</v>
      </c>
      <c r="H447" s="278" t="s">
        <v>7</v>
      </c>
      <c r="I447" s="295"/>
      <c r="J447" s="295"/>
      <c r="K447" s="295"/>
      <c r="L447" s="295"/>
      <c r="M447" s="295"/>
      <c r="N447" s="295"/>
      <c r="O447" s="295"/>
      <c r="P447" s="295"/>
      <c r="Q447" s="295"/>
      <c r="R447" s="296"/>
    </row>
    <row r="448" spans="1:18" ht="24" customHeight="1">
      <c r="A448" s="33" t="s">
        <v>8</v>
      </c>
      <c r="B448" s="33" t="s">
        <v>9</v>
      </c>
      <c r="C448" s="34" t="s">
        <v>10</v>
      </c>
      <c r="D448" s="33" t="s">
        <v>11</v>
      </c>
      <c r="E448" s="33" t="s">
        <v>12</v>
      </c>
      <c r="F448" s="35" t="s">
        <v>13</v>
      </c>
      <c r="G448" s="36" t="s">
        <v>14</v>
      </c>
      <c r="H448" s="33" t="s">
        <v>15</v>
      </c>
      <c r="I448" s="37" t="s">
        <v>16</v>
      </c>
      <c r="J448" s="38" t="s">
        <v>17</v>
      </c>
      <c r="K448" s="39" t="s">
        <v>18</v>
      </c>
      <c r="L448" s="38" t="s">
        <v>19</v>
      </c>
      <c r="M448" s="38" t="s">
        <v>20</v>
      </c>
      <c r="N448" s="38" t="s">
        <v>21</v>
      </c>
      <c r="O448" s="33" t="s">
        <v>22</v>
      </c>
      <c r="P448" s="34" t="s">
        <v>23</v>
      </c>
      <c r="Q448" s="38" t="s">
        <v>24</v>
      </c>
      <c r="R448" s="33" t="s">
        <v>25</v>
      </c>
    </row>
    <row r="449" spans="1:18" ht="15" customHeight="1">
      <c r="A449" s="8" t="s">
        <v>38</v>
      </c>
      <c r="B449" s="8" t="s">
        <v>1041</v>
      </c>
      <c r="C449" s="9">
        <v>0.44791666666666669</v>
      </c>
      <c r="D449" s="8" t="s">
        <v>40</v>
      </c>
      <c r="E449" s="8" t="s">
        <v>482</v>
      </c>
      <c r="F449" s="8" t="s">
        <v>83</v>
      </c>
      <c r="G449" s="297"/>
      <c r="H449" s="10"/>
      <c r="I449" s="11"/>
      <c r="J449" s="11"/>
      <c r="K449" s="11"/>
      <c r="L449" s="11"/>
      <c r="M449" s="11"/>
      <c r="N449" s="11"/>
      <c r="O449" s="12"/>
      <c r="P449" s="11"/>
      <c r="Q449" s="13"/>
      <c r="R449" s="14"/>
    </row>
    <row r="450" spans="1:18" ht="15" customHeight="1">
      <c r="A450" s="15" t="s">
        <v>38</v>
      </c>
      <c r="B450" s="15" t="s">
        <v>1041</v>
      </c>
      <c r="C450" s="16">
        <v>0.44791666666666669</v>
      </c>
      <c r="D450" s="15" t="s">
        <v>43</v>
      </c>
      <c r="E450" s="15" t="s">
        <v>483</v>
      </c>
      <c r="F450" s="15" t="s">
        <v>162</v>
      </c>
      <c r="G450" s="298"/>
      <c r="H450" s="10"/>
      <c r="I450" s="11"/>
      <c r="J450" s="11"/>
      <c r="K450" s="11"/>
      <c r="L450" s="11"/>
      <c r="M450" s="11"/>
      <c r="N450" s="11"/>
      <c r="O450" s="12"/>
      <c r="P450" s="11"/>
      <c r="Q450" s="13"/>
      <c r="R450" s="14"/>
    </row>
    <row r="451" spans="1:18" ht="15" customHeight="1">
      <c r="A451" s="15" t="s">
        <v>38</v>
      </c>
      <c r="B451" s="15" t="s">
        <v>1041</v>
      </c>
      <c r="C451" s="16">
        <v>0.44791666666666669</v>
      </c>
      <c r="D451" s="15" t="s">
        <v>46</v>
      </c>
      <c r="E451" s="15" t="s">
        <v>483</v>
      </c>
      <c r="F451" s="15" t="s">
        <v>106</v>
      </c>
      <c r="G451" s="298"/>
      <c r="H451" s="10"/>
      <c r="I451" s="11"/>
      <c r="J451" s="11"/>
      <c r="K451" s="11"/>
      <c r="L451" s="11"/>
      <c r="M451" s="11"/>
      <c r="N451" s="11"/>
      <c r="O451" s="12"/>
      <c r="P451" s="11"/>
      <c r="Q451" s="13"/>
      <c r="R451" s="14"/>
    </row>
    <row r="452" spans="1:18" ht="15" customHeight="1">
      <c r="A452" s="19" t="s">
        <v>26</v>
      </c>
      <c r="B452" s="19" t="s">
        <v>1049</v>
      </c>
      <c r="C452" s="20">
        <v>0.97222222222222221</v>
      </c>
      <c r="D452" s="19" t="s">
        <v>28</v>
      </c>
      <c r="E452" s="19" t="s">
        <v>29</v>
      </c>
      <c r="F452" s="19" t="s">
        <v>349</v>
      </c>
      <c r="G452" s="298"/>
      <c r="H452" s="10"/>
      <c r="I452" s="11"/>
      <c r="J452" s="11"/>
      <c r="K452" s="11"/>
      <c r="L452" s="11"/>
      <c r="M452" s="11"/>
      <c r="N452" s="11"/>
      <c r="O452" s="12"/>
      <c r="P452" s="11"/>
      <c r="Q452" s="13"/>
      <c r="R452" s="14"/>
    </row>
    <row r="453" spans="1:18" ht="15" customHeight="1">
      <c r="A453" s="15" t="s">
        <v>26</v>
      </c>
      <c r="B453" s="15" t="s">
        <v>1049</v>
      </c>
      <c r="C453" s="16">
        <v>0.97222222222222221</v>
      </c>
      <c r="D453" s="15" t="s">
        <v>31</v>
      </c>
      <c r="E453" s="15" t="s">
        <v>32</v>
      </c>
      <c r="F453" s="15" t="s">
        <v>35</v>
      </c>
      <c r="G453" s="298"/>
      <c r="H453" s="10"/>
      <c r="I453" s="11"/>
      <c r="J453" s="11"/>
      <c r="K453" s="11"/>
      <c r="L453" s="11"/>
      <c r="M453" s="11"/>
      <c r="N453" s="11"/>
      <c r="O453" s="12"/>
      <c r="P453" s="11"/>
      <c r="Q453" s="13"/>
      <c r="R453" s="14"/>
    </row>
    <row r="454" spans="1:18" ht="15" customHeight="1">
      <c r="A454" s="15" t="s">
        <v>26</v>
      </c>
      <c r="B454" s="15" t="s">
        <v>1049</v>
      </c>
      <c r="C454" s="16">
        <v>0.97222222222222221</v>
      </c>
      <c r="D454" s="15" t="s">
        <v>34</v>
      </c>
      <c r="E454" s="15" t="s">
        <v>32</v>
      </c>
      <c r="F454" s="15" t="s">
        <v>503</v>
      </c>
      <c r="G454" s="298"/>
      <c r="H454" s="10"/>
      <c r="I454" s="11"/>
      <c r="J454" s="11"/>
      <c r="K454" s="11"/>
      <c r="L454" s="11"/>
      <c r="M454" s="11"/>
      <c r="N454" s="11"/>
      <c r="O454" s="12"/>
      <c r="P454" s="11"/>
      <c r="Q454" s="13"/>
      <c r="R454" s="14"/>
    </row>
    <row r="455" spans="1:18" ht="15" customHeight="1">
      <c r="A455" s="17" t="s">
        <v>26</v>
      </c>
      <c r="B455" s="17" t="s">
        <v>1047</v>
      </c>
      <c r="C455" s="18">
        <v>0.33680555555555558</v>
      </c>
      <c r="D455" s="17" t="s">
        <v>28</v>
      </c>
      <c r="E455" s="17" t="s">
        <v>98</v>
      </c>
      <c r="F455" s="17" t="s">
        <v>426</v>
      </c>
      <c r="G455" s="298"/>
      <c r="H455" s="10"/>
      <c r="I455" s="11"/>
      <c r="J455" s="11"/>
      <c r="K455" s="11"/>
      <c r="L455" s="11"/>
      <c r="M455" s="11"/>
      <c r="N455" s="11"/>
      <c r="O455" s="12"/>
      <c r="P455" s="11"/>
      <c r="Q455" s="13"/>
      <c r="R455" s="14"/>
    </row>
    <row r="456" spans="1:18" ht="15" customHeight="1">
      <c r="A456" s="15" t="s">
        <v>26</v>
      </c>
      <c r="B456" s="15" t="s">
        <v>1047</v>
      </c>
      <c r="C456" s="16">
        <v>0.33680555555555558</v>
      </c>
      <c r="D456" s="15" t="s">
        <v>31</v>
      </c>
      <c r="E456" s="15" t="s">
        <v>99</v>
      </c>
      <c r="F456" s="15" t="s">
        <v>150</v>
      </c>
      <c r="G456" s="298"/>
      <c r="H456" s="10"/>
      <c r="I456" s="11"/>
      <c r="J456" s="11"/>
      <c r="K456" s="11"/>
      <c r="L456" s="11"/>
      <c r="M456" s="11"/>
      <c r="N456" s="11"/>
      <c r="O456" s="12"/>
      <c r="P456" s="11"/>
      <c r="Q456" s="13"/>
      <c r="R456" s="14"/>
    </row>
    <row r="457" spans="1:18" ht="15" customHeight="1">
      <c r="A457" s="15" t="s">
        <v>26</v>
      </c>
      <c r="B457" s="15" t="s">
        <v>1047</v>
      </c>
      <c r="C457" s="16">
        <v>0.33680555555555558</v>
      </c>
      <c r="D457" s="15" t="s">
        <v>34</v>
      </c>
      <c r="E457" s="15" t="s">
        <v>99</v>
      </c>
      <c r="F457" s="15" t="s">
        <v>178</v>
      </c>
      <c r="G457" s="298"/>
      <c r="H457" s="10"/>
      <c r="I457" s="11"/>
      <c r="J457" s="11"/>
      <c r="K457" s="11"/>
      <c r="L457" s="11"/>
      <c r="M457" s="11"/>
      <c r="N457" s="11"/>
      <c r="O457" s="12"/>
      <c r="P457" s="11"/>
      <c r="Q457" s="13"/>
      <c r="R457" s="14"/>
    </row>
    <row r="458" spans="1:18" ht="15" customHeight="1">
      <c r="A458" s="19" t="s">
        <v>68</v>
      </c>
      <c r="B458" s="19" t="s">
        <v>1052</v>
      </c>
      <c r="C458" s="20">
        <v>0.33680555555555558</v>
      </c>
      <c r="D458" s="19" t="s">
        <v>643</v>
      </c>
      <c r="E458" s="19" t="s">
        <v>51</v>
      </c>
      <c r="F458" s="19" t="s">
        <v>1053</v>
      </c>
      <c r="G458" s="298"/>
      <c r="H458" s="10"/>
      <c r="I458" s="11"/>
      <c r="J458" s="11"/>
      <c r="K458" s="11"/>
      <c r="L458" s="11"/>
      <c r="M458" s="11"/>
      <c r="N458" s="11"/>
      <c r="O458" s="12"/>
      <c r="P458" s="11"/>
      <c r="Q458" s="13"/>
      <c r="R458" s="14"/>
    </row>
    <row r="459" spans="1:18" ht="15" customHeight="1">
      <c r="A459" s="17" t="s">
        <v>68</v>
      </c>
      <c r="B459" s="17" t="s">
        <v>1054</v>
      </c>
      <c r="C459" s="18">
        <v>0.97916666666666663</v>
      </c>
      <c r="D459" s="17" t="s">
        <v>643</v>
      </c>
      <c r="E459" s="17" t="s">
        <v>57</v>
      </c>
      <c r="F459" s="17" t="s">
        <v>1053</v>
      </c>
      <c r="G459" s="298"/>
      <c r="H459" s="10"/>
      <c r="I459" s="11"/>
      <c r="J459" s="11"/>
      <c r="K459" s="11"/>
      <c r="L459" s="11"/>
      <c r="M459" s="11"/>
      <c r="N459" s="11"/>
      <c r="O459" s="12"/>
      <c r="P459" s="11"/>
      <c r="Q459" s="13"/>
      <c r="R459" s="14"/>
    </row>
    <row r="460" spans="1:18" ht="15" customHeight="1">
      <c r="A460" s="17" t="s">
        <v>68</v>
      </c>
      <c r="B460" s="17" t="s">
        <v>1056</v>
      </c>
      <c r="C460" s="18">
        <v>0.67361111111111116</v>
      </c>
      <c r="D460" s="17" t="s">
        <v>643</v>
      </c>
      <c r="E460" s="17" t="s">
        <v>57</v>
      </c>
      <c r="F460" s="17" t="s">
        <v>1053</v>
      </c>
      <c r="G460" s="298"/>
      <c r="H460" s="10"/>
      <c r="I460" s="11"/>
      <c r="J460" s="11"/>
      <c r="K460" s="11"/>
      <c r="L460" s="11"/>
      <c r="M460" s="11"/>
      <c r="N460" s="11"/>
      <c r="O460" s="12"/>
      <c r="P460" s="11"/>
      <c r="Q460" s="13"/>
      <c r="R460" s="14"/>
    </row>
    <row r="461" spans="1:18" ht="15" customHeight="1">
      <c r="A461" s="19" t="s">
        <v>402</v>
      </c>
      <c r="B461" s="19" t="s">
        <v>1064</v>
      </c>
      <c r="C461" s="20">
        <v>0.75694444444444453</v>
      </c>
      <c r="D461" s="19" t="s">
        <v>63</v>
      </c>
      <c r="E461" s="19" t="s">
        <v>107</v>
      </c>
      <c r="F461" s="19" t="s">
        <v>1058</v>
      </c>
      <c r="G461" s="298"/>
      <c r="H461" s="10"/>
      <c r="I461" s="11"/>
      <c r="J461" s="11"/>
      <c r="K461" s="11"/>
      <c r="L461" s="11"/>
      <c r="M461" s="11"/>
      <c r="N461" s="11"/>
      <c r="O461" s="12"/>
      <c r="P461" s="11"/>
      <c r="Q461" s="13"/>
      <c r="R461" s="14"/>
    </row>
    <row r="462" spans="1:18" ht="15" customHeight="1" thickBot="1">
      <c r="A462" s="96" t="s">
        <v>48</v>
      </c>
      <c r="B462" s="96" t="s">
        <v>1060</v>
      </c>
      <c r="C462" s="97">
        <v>0.44791666666666669</v>
      </c>
      <c r="D462" s="96" t="s">
        <v>53</v>
      </c>
      <c r="E462" s="96" t="s">
        <v>29</v>
      </c>
      <c r="F462" s="96" t="s">
        <v>946</v>
      </c>
      <c r="G462" s="299"/>
      <c r="H462" s="300"/>
      <c r="I462" s="140"/>
      <c r="J462" s="140"/>
      <c r="K462" s="140"/>
      <c r="L462" s="140"/>
      <c r="M462" s="140"/>
      <c r="N462" s="140"/>
      <c r="O462" s="141"/>
      <c r="P462" s="140"/>
      <c r="Q462" s="142"/>
      <c r="R462" s="301"/>
    </row>
    <row r="463" spans="1:18" ht="17.45" customHeight="1" thickBot="1">
      <c r="A463" s="283"/>
      <c r="B463" s="284"/>
      <c r="C463" s="284"/>
      <c r="D463" s="284"/>
      <c r="E463" s="284"/>
      <c r="F463" s="284"/>
      <c r="G463" s="284"/>
      <c r="H463" s="284"/>
      <c r="I463" s="284"/>
      <c r="J463" s="284"/>
      <c r="K463" s="284"/>
      <c r="L463" s="284"/>
      <c r="M463" s="284"/>
      <c r="N463" s="284"/>
      <c r="O463" s="284"/>
      <c r="P463" s="284"/>
      <c r="Q463" s="284"/>
      <c r="R463" s="285"/>
    </row>
    <row r="464" spans="1:18" ht="22.15" customHeight="1" thickTop="1" thickBot="1">
      <c r="A464" s="279" t="s">
        <v>6</v>
      </c>
      <c r="B464" s="295"/>
      <c r="C464" s="295"/>
      <c r="D464" s="295"/>
      <c r="E464" s="295"/>
      <c r="F464" s="296"/>
      <c r="G464" s="32">
        <v>46049</v>
      </c>
      <c r="H464" s="278" t="s">
        <v>7</v>
      </c>
      <c r="I464" s="295"/>
      <c r="J464" s="295"/>
      <c r="K464" s="295"/>
      <c r="L464" s="295"/>
      <c r="M464" s="295"/>
      <c r="N464" s="295"/>
      <c r="O464" s="295"/>
      <c r="P464" s="295"/>
      <c r="Q464" s="295"/>
      <c r="R464" s="296"/>
    </row>
    <row r="465" spans="1:18" ht="24" customHeight="1">
      <c r="A465" s="33" t="s">
        <v>8</v>
      </c>
      <c r="B465" s="33" t="s">
        <v>9</v>
      </c>
      <c r="C465" s="34" t="s">
        <v>10</v>
      </c>
      <c r="D465" s="33" t="s">
        <v>11</v>
      </c>
      <c r="E465" s="33" t="s">
        <v>12</v>
      </c>
      <c r="F465" s="35" t="s">
        <v>13</v>
      </c>
      <c r="G465" s="36" t="s">
        <v>14</v>
      </c>
      <c r="H465" s="33" t="s">
        <v>15</v>
      </c>
      <c r="I465" s="37" t="s">
        <v>16</v>
      </c>
      <c r="J465" s="38" t="s">
        <v>17</v>
      </c>
      <c r="K465" s="39" t="s">
        <v>18</v>
      </c>
      <c r="L465" s="38" t="s">
        <v>19</v>
      </c>
      <c r="M465" s="38" t="s">
        <v>20</v>
      </c>
      <c r="N465" s="38" t="s">
        <v>21</v>
      </c>
      <c r="O465" s="33" t="s">
        <v>22</v>
      </c>
      <c r="P465" s="34" t="s">
        <v>23</v>
      </c>
      <c r="Q465" s="38" t="s">
        <v>24</v>
      </c>
      <c r="R465" s="33" t="s">
        <v>25</v>
      </c>
    </row>
    <row r="466" spans="1:18" ht="15" customHeight="1">
      <c r="A466" s="98" t="s">
        <v>61</v>
      </c>
      <c r="B466" s="98" t="s">
        <v>1043</v>
      </c>
      <c r="C466" s="99">
        <v>6.9444444444444434E-2</v>
      </c>
      <c r="D466" s="98" t="s">
        <v>63</v>
      </c>
      <c r="E466" s="98" t="s">
        <v>126</v>
      </c>
      <c r="F466" s="98" t="s">
        <v>1076</v>
      </c>
      <c r="G466" s="297"/>
      <c r="H466" s="100" t="s">
        <v>1045</v>
      </c>
      <c r="I466" s="101">
        <v>2.2200000000000001E-2</v>
      </c>
      <c r="J466" s="102">
        <v>4</v>
      </c>
      <c r="K466" s="103">
        <v>46337</v>
      </c>
      <c r="L466" s="102">
        <v>4</v>
      </c>
      <c r="M466" s="102">
        <v>0</v>
      </c>
      <c r="N466" s="102">
        <v>0</v>
      </c>
      <c r="O466" s="104" t="s">
        <v>967</v>
      </c>
      <c r="P466" s="105">
        <v>6.9444444444444434E-2</v>
      </c>
      <c r="Q466" s="102">
        <v>180</v>
      </c>
      <c r="R466" s="106" t="s">
        <v>951</v>
      </c>
    </row>
    <row r="467" spans="1:18" ht="15" customHeight="1">
      <c r="A467" s="19" t="s">
        <v>38</v>
      </c>
      <c r="B467" s="19" t="s">
        <v>1041</v>
      </c>
      <c r="C467" s="20">
        <v>0.44791666666666669</v>
      </c>
      <c r="D467" s="19" t="s">
        <v>40</v>
      </c>
      <c r="E467" s="19" t="s">
        <v>482</v>
      </c>
      <c r="F467" s="19" t="s">
        <v>83</v>
      </c>
      <c r="G467" s="298"/>
      <c r="H467" s="10"/>
      <c r="I467" s="11"/>
      <c r="J467" s="11"/>
      <c r="K467" s="11"/>
      <c r="L467" s="11"/>
      <c r="M467" s="11"/>
      <c r="N467" s="11"/>
      <c r="O467" s="12"/>
      <c r="P467" s="11"/>
      <c r="Q467" s="13"/>
      <c r="R467" s="14"/>
    </row>
    <row r="468" spans="1:18" ht="15" customHeight="1">
      <c r="A468" s="15" t="s">
        <v>38</v>
      </c>
      <c r="B468" s="15" t="s">
        <v>1041</v>
      </c>
      <c r="C468" s="16">
        <v>0.44791666666666669</v>
      </c>
      <c r="D468" s="15" t="s">
        <v>43</v>
      </c>
      <c r="E468" s="15" t="s">
        <v>483</v>
      </c>
      <c r="F468" s="15" t="s">
        <v>162</v>
      </c>
      <c r="G468" s="298"/>
      <c r="H468" s="10"/>
      <c r="I468" s="11"/>
      <c r="J468" s="11"/>
      <c r="K468" s="11"/>
      <c r="L468" s="11"/>
      <c r="M468" s="11"/>
      <c r="N468" s="11"/>
      <c r="O468" s="12"/>
      <c r="P468" s="11"/>
      <c r="Q468" s="13"/>
      <c r="R468" s="14"/>
    </row>
    <row r="469" spans="1:18" ht="15" customHeight="1">
      <c r="A469" s="15" t="s">
        <v>38</v>
      </c>
      <c r="B469" s="15" t="s">
        <v>1041</v>
      </c>
      <c r="C469" s="16">
        <v>0.44791666666666669</v>
      </c>
      <c r="D469" s="15" t="s">
        <v>46</v>
      </c>
      <c r="E469" s="15" t="s">
        <v>483</v>
      </c>
      <c r="F469" s="15" t="s">
        <v>106</v>
      </c>
      <c r="G469" s="298"/>
      <c r="H469" s="10"/>
      <c r="I469" s="11"/>
      <c r="J469" s="11"/>
      <c r="K469" s="11"/>
      <c r="L469" s="11"/>
      <c r="M469" s="11"/>
      <c r="N469" s="11"/>
      <c r="O469" s="12"/>
      <c r="P469" s="11"/>
      <c r="Q469" s="13"/>
      <c r="R469" s="14"/>
    </row>
    <row r="470" spans="1:18" ht="15" customHeight="1">
      <c r="A470" s="19" t="s">
        <v>26</v>
      </c>
      <c r="B470" s="19" t="s">
        <v>1047</v>
      </c>
      <c r="C470" s="20">
        <v>0.33680555555555558</v>
      </c>
      <c r="D470" s="19" t="s">
        <v>28</v>
      </c>
      <c r="E470" s="19" t="s">
        <v>143</v>
      </c>
      <c r="F470" s="19" t="s">
        <v>349</v>
      </c>
      <c r="G470" s="298"/>
      <c r="H470" s="10"/>
      <c r="I470" s="11"/>
      <c r="J470" s="11"/>
      <c r="K470" s="11"/>
      <c r="L470" s="11"/>
      <c r="M470" s="11"/>
      <c r="N470" s="11"/>
      <c r="O470" s="12"/>
      <c r="P470" s="11"/>
      <c r="Q470" s="13"/>
      <c r="R470" s="14"/>
    </row>
    <row r="471" spans="1:18" ht="15" customHeight="1">
      <c r="A471" s="15" t="s">
        <v>26</v>
      </c>
      <c r="B471" s="15" t="s">
        <v>1047</v>
      </c>
      <c r="C471" s="16">
        <v>0.33680555555555558</v>
      </c>
      <c r="D471" s="15" t="s">
        <v>31</v>
      </c>
      <c r="E471" s="15" t="s">
        <v>92</v>
      </c>
      <c r="F471" s="15" t="s">
        <v>35</v>
      </c>
      <c r="G471" s="298"/>
      <c r="H471" s="10"/>
      <c r="I471" s="11"/>
      <c r="J471" s="11"/>
      <c r="K471" s="11"/>
      <c r="L471" s="11"/>
      <c r="M471" s="11"/>
      <c r="N471" s="11"/>
      <c r="O471" s="12"/>
      <c r="P471" s="11"/>
      <c r="Q471" s="13"/>
      <c r="R471" s="14"/>
    </row>
    <row r="472" spans="1:18" ht="15" customHeight="1">
      <c r="A472" s="15" t="s">
        <v>26</v>
      </c>
      <c r="B472" s="15" t="s">
        <v>1047</v>
      </c>
      <c r="C472" s="16">
        <v>0.33680555555555558</v>
      </c>
      <c r="D472" s="15" t="s">
        <v>34</v>
      </c>
      <c r="E472" s="15" t="s">
        <v>92</v>
      </c>
      <c r="F472" s="15" t="s">
        <v>503</v>
      </c>
      <c r="G472" s="298"/>
      <c r="H472" s="10"/>
      <c r="I472" s="11"/>
      <c r="J472" s="11"/>
      <c r="K472" s="11"/>
      <c r="L472" s="11"/>
      <c r="M472" s="11"/>
      <c r="N472" s="11"/>
      <c r="O472" s="12"/>
      <c r="P472" s="11"/>
      <c r="Q472" s="13"/>
      <c r="R472" s="14"/>
    </row>
    <row r="473" spans="1:18" ht="15" customHeight="1">
      <c r="A473" s="17" t="s">
        <v>26</v>
      </c>
      <c r="B473" s="17" t="s">
        <v>1049</v>
      </c>
      <c r="C473" s="18">
        <v>0.97222222222222221</v>
      </c>
      <c r="D473" s="17" t="s">
        <v>28</v>
      </c>
      <c r="E473" s="17" t="s">
        <v>200</v>
      </c>
      <c r="F473" s="17" t="s">
        <v>349</v>
      </c>
      <c r="G473" s="298"/>
      <c r="H473" s="10"/>
      <c r="I473" s="11"/>
      <c r="J473" s="11"/>
      <c r="K473" s="11"/>
      <c r="L473" s="11"/>
      <c r="M473" s="11"/>
      <c r="N473" s="11"/>
      <c r="O473" s="12"/>
      <c r="P473" s="11"/>
      <c r="Q473" s="13"/>
      <c r="R473" s="14"/>
    </row>
    <row r="474" spans="1:18" ht="15" customHeight="1">
      <c r="A474" s="15" t="s">
        <v>26</v>
      </c>
      <c r="B474" s="15" t="s">
        <v>1049</v>
      </c>
      <c r="C474" s="16">
        <v>0.97222222222222221</v>
      </c>
      <c r="D474" s="15" t="s">
        <v>31</v>
      </c>
      <c r="E474" s="15" t="s">
        <v>127</v>
      </c>
      <c r="F474" s="15" t="s">
        <v>35</v>
      </c>
      <c r="G474" s="298"/>
      <c r="H474" s="10"/>
      <c r="I474" s="11"/>
      <c r="J474" s="11"/>
      <c r="K474" s="11"/>
      <c r="L474" s="11"/>
      <c r="M474" s="11"/>
      <c r="N474" s="11"/>
      <c r="O474" s="12"/>
      <c r="P474" s="11"/>
      <c r="Q474" s="13"/>
      <c r="R474" s="14"/>
    </row>
    <row r="475" spans="1:18" ht="15" customHeight="1">
      <c r="A475" s="15" t="s">
        <v>26</v>
      </c>
      <c r="B475" s="15" t="s">
        <v>1049</v>
      </c>
      <c r="C475" s="16">
        <v>0.97222222222222221</v>
      </c>
      <c r="D475" s="15" t="s">
        <v>34</v>
      </c>
      <c r="E475" s="15" t="s">
        <v>127</v>
      </c>
      <c r="F475" s="15" t="s">
        <v>503</v>
      </c>
      <c r="G475" s="298"/>
      <c r="H475" s="10"/>
      <c r="I475" s="11"/>
      <c r="J475" s="11"/>
      <c r="K475" s="11"/>
      <c r="L475" s="11"/>
      <c r="M475" s="11"/>
      <c r="N475" s="11"/>
      <c r="O475" s="12"/>
      <c r="P475" s="11"/>
      <c r="Q475" s="13"/>
      <c r="R475" s="14"/>
    </row>
    <row r="476" spans="1:18" ht="15" customHeight="1">
      <c r="A476" s="19" t="s">
        <v>415</v>
      </c>
      <c r="B476" s="19" t="s">
        <v>1062</v>
      </c>
      <c r="C476" s="20">
        <v>6.9444444444444441E-3</v>
      </c>
      <c r="D476" s="19" t="s">
        <v>63</v>
      </c>
      <c r="E476" s="19" t="s">
        <v>107</v>
      </c>
      <c r="F476" s="19" t="s">
        <v>1051</v>
      </c>
      <c r="G476" s="298"/>
      <c r="H476" s="10"/>
      <c r="I476" s="11"/>
      <c r="J476" s="11"/>
      <c r="K476" s="11"/>
      <c r="L476" s="11"/>
      <c r="M476" s="11"/>
      <c r="N476" s="11"/>
      <c r="O476" s="12"/>
      <c r="P476" s="11"/>
      <c r="Q476" s="13"/>
      <c r="R476" s="14"/>
    </row>
    <row r="477" spans="1:18" ht="15" customHeight="1">
      <c r="A477" s="17" t="s">
        <v>415</v>
      </c>
      <c r="B477" s="17" t="s">
        <v>1050</v>
      </c>
      <c r="C477" s="18">
        <v>0.88194444444444453</v>
      </c>
      <c r="D477" s="17" t="s">
        <v>63</v>
      </c>
      <c r="E477" s="17" t="s">
        <v>435</v>
      </c>
      <c r="F477" s="17" t="s">
        <v>1051</v>
      </c>
      <c r="G477" s="298"/>
      <c r="H477" s="10"/>
      <c r="I477" s="11"/>
      <c r="J477" s="11"/>
      <c r="K477" s="11"/>
      <c r="L477" s="11"/>
      <c r="M477" s="11"/>
      <c r="N477" s="11"/>
      <c r="O477" s="12"/>
      <c r="P477" s="11"/>
      <c r="Q477" s="13"/>
      <c r="R477" s="14"/>
    </row>
    <row r="478" spans="1:18" ht="15" customHeight="1">
      <c r="A478" s="19" t="s">
        <v>68</v>
      </c>
      <c r="B478" s="19" t="s">
        <v>1052</v>
      </c>
      <c r="C478" s="20">
        <v>0.33680555555555558</v>
      </c>
      <c r="D478" s="19" t="s">
        <v>643</v>
      </c>
      <c r="E478" s="19" t="s">
        <v>51</v>
      </c>
      <c r="F478" s="19" t="s">
        <v>1053</v>
      </c>
      <c r="G478" s="298"/>
      <c r="H478" s="10"/>
      <c r="I478" s="11"/>
      <c r="J478" s="11"/>
      <c r="K478" s="11"/>
      <c r="L478" s="11"/>
      <c r="M478" s="11"/>
      <c r="N478" s="11"/>
      <c r="O478" s="12"/>
      <c r="P478" s="11"/>
      <c r="Q478" s="13"/>
      <c r="R478" s="14"/>
    </row>
    <row r="479" spans="1:18" ht="15" customHeight="1">
      <c r="A479" s="17" t="s">
        <v>68</v>
      </c>
      <c r="B479" s="17" t="s">
        <v>1054</v>
      </c>
      <c r="C479" s="18">
        <v>0.97916666666666663</v>
      </c>
      <c r="D479" s="17" t="s">
        <v>643</v>
      </c>
      <c r="E479" s="17" t="s">
        <v>57</v>
      </c>
      <c r="F479" s="17" t="s">
        <v>1053</v>
      </c>
      <c r="G479" s="298"/>
      <c r="H479" s="10"/>
      <c r="I479" s="11"/>
      <c r="J479" s="11"/>
      <c r="K479" s="11"/>
      <c r="L479" s="11"/>
      <c r="M479" s="11"/>
      <c r="N479" s="11"/>
      <c r="O479" s="12"/>
      <c r="P479" s="11"/>
      <c r="Q479" s="13"/>
      <c r="R479" s="14"/>
    </row>
    <row r="480" spans="1:18" ht="15" customHeight="1">
      <c r="A480" s="17" t="s">
        <v>68</v>
      </c>
      <c r="B480" s="17" t="s">
        <v>1056</v>
      </c>
      <c r="C480" s="18">
        <v>0.67361111111111116</v>
      </c>
      <c r="D480" s="17" t="s">
        <v>643</v>
      </c>
      <c r="E480" s="17" t="s">
        <v>57</v>
      </c>
      <c r="F480" s="17" t="s">
        <v>1053</v>
      </c>
      <c r="G480" s="298"/>
      <c r="H480" s="10"/>
      <c r="I480" s="11"/>
      <c r="J480" s="11"/>
      <c r="K480" s="11"/>
      <c r="L480" s="11"/>
      <c r="M480" s="11"/>
      <c r="N480" s="11"/>
      <c r="O480" s="12"/>
      <c r="P480" s="11"/>
      <c r="Q480" s="13"/>
      <c r="R480" s="14"/>
    </row>
    <row r="481" spans="1:18" ht="15" customHeight="1">
      <c r="A481" s="19" t="s">
        <v>402</v>
      </c>
      <c r="B481" s="19" t="s">
        <v>1057</v>
      </c>
      <c r="C481" s="20">
        <v>0.75694444444444453</v>
      </c>
      <c r="D481" s="19" t="s">
        <v>63</v>
      </c>
      <c r="E481" s="19" t="s">
        <v>103</v>
      </c>
      <c r="F481" s="19" t="s">
        <v>1058</v>
      </c>
      <c r="G481" s="298"/>
      <c r="H481" s="10"/>
      <c r="I481" s="11"/>
      <c r="J481" s="11"/>
      <c r="K481" s="11"/>
      <c r="L481" s="11"/>
      <c r="M481" s="11"/>
      <c r="N481" s="11"/>
      <c r="O481" s="12"/>
      <c r="P481" s="11"/>
      <c r="Q481" s="13"/>
      <c r="R481" s="14"/>
    </row>
    <row r="482" spans="1:18" ht="15" customHeight="1" thickBot="1">
      <c r="A482" s="96" t="s">
        <v>48</v>
      </c>
      <c r="B482" s="96" t="s">
        <v>1060</v>
      </c>
      <c r="C482" s="97">
        <v>0.44791666666666669</v>
      </c>
      <c r="D482" s="96" t="s">
        <v>53</v>
      </c>
      <c r="E482" s="96" t="s">
        <v>29</v>
      </c>
      <c r="F482" s="96" t="s">
        <v>946</v>
      </c>
      <c r="G482" s="299"/>
      <c r="H482" s="300"/>
      <c r="I482" s="140"/>
      <c r="J482" s="140"/>
      <c r="K482" s="140"/>
      <c r="L482" s="140"/>
      <c r="M482" s="140"/>
      <c r="N482" s="140"/>
      <c r="O482" s="141"/>
      <c r="P482" s="140"/>
      <c r="Q482" s="142"/>
      <c r="R482" s="301"/>
    </row>
    <row r="483" spans="1:18" ht="17.45" customHeight="1" thickBot="1">
      <c r="A483" s="283"/>
      <c r="B483" s="284"/>
      <c r="C483" s="284"/>
      <c r="D483" s="284"/>
      <c r="E483" s="284"/>
      <c r="F483" s="284"/>
      <c r="G483" s="284"/>
      <c r="H483" s="284"/>
      <c r="I483" s="284"/>
      <c r="J483" s="284"/>
      <c r="K483" s="284"/>
      <c r="L483" s="284"/>
      <c r="M483" s="284"/>
      <c r="N483" s="284"/>
      <c r="O483" s="284"/>
      <c r="P483" s="284"/>
      <c r="Q483" s="284"/>
      <c r="R483" s="285"/>
    </row>
    <row r="484" spans="1:18" ht="22.15" customHeight="1" thickTop="1" thickBot="1">
      <c r="A484" s="279" t="s">
        <v>6</v>
      </c>
      <c r="B484" s="295"/>
      <c r="C484" s="295"/>
      <c r="D484" s="295"/>
      <c r="E484" s="295"/>
      <c r="F484" s="296"/>
      <c r="G484" s="32">
        <v>46050</v>
      </c>
      <c r="H484" s="278" t="s">
        <v>7</v>
      </c>
      <c r="I484" s="295"/>
      <c r="J484" s="295"/>
      <c r="K484" s="295"/>
      <c r="L484" s="295"/>
      <c r="M484" s="295"/>
      <c r="N484" s="295"/>
      <c r="O484" s="295"/>
      <c r="P484" s="295"/>
      <c r="Q484" s="295"/>
      <c r="R484" s="296"/>
    </row>
    <row r="485" spans="1:18" ht="24" customHeight="1">
      <c r="A485" s="33" t="s">
        <v>8</v>
      </c>
      <c r="B485" s="33" t="s">
        <v>9</v>
      </c>
      <c r="C485" s="34" t="s">
        <v>10</v>
      </c>
      <c r="D485" s="33" t="s">
        <v>11</v>
      </c>
      <c r="E485" s="33" t="s">
        <v>12</v>
      </c>
      <c r="F485" s="35" t="s">
        <v>13</v>
      </c>
      <c r="G485" s="36" t="s">
        <v>14</v>
      </c>
      <c r="H485" s="33" t="s">
        <v>15</v>
      </c>
      <c r="I485" s="37" t="s">
        <v>16</v>
      </c>
      <c r="J485" s="38" t="s">
        <v>17</v>
      </c>
      <c r="K485" s="39" t="s">
        <v>18</v>
      </c>
      <c r="L485" s="38" t="s">
        <v>19</v>
      </c>
      <c r="M485" s="38" t="s">
        <v>20</v>
      </c>
      <c r="N485" s="38" t="s">
        <v>21</v>
      </c>
      <c r="O485" s="33" t="s">
        <v>22</v>
      </c>
      <c r="P485" s="34" t="s">
        <v>23</v>
      </c>
      <c r="Q485" s="38" t="s">
        <v>24</v>
      </c>
      <c r="R485" s="33" t="s">
        <v>25</v>
      </c>
    </row>
    <row r="486" spans="1:18" ht="15" customHeight="1">
      <c r="A486" s="8" t="s">
        <v>38</v>
      </c>
      <c r="B486" s="8" t="s">
        <v>1041</v>
      </c>
      <c r="C486" s="9">
        <v>0.44791666666666669</v>
      </c>
      <c r="D486" s="8" t="s">
        <v>40</v>
      </c>
      <c r="E486" s="8" t="s">
        <v>482</v>
      </c>
      <c r="F486" s="8" t="s">
        <v>83</v>
      </c>
      <c r="G486" s="297"/>
      <c r="H486" s="10"/>
      <c r="I486" s="11"/>
      <c r="J486" s="11"/>
      <c r="K486" s="11"/>
      <c r="L486" s="11"/>
      <c r="M486" s="11"/>
      <c r="N486" s="11"/>
      <c r="O486" s="12"/>
      <c r="P486" s="11"/>
      <c r="Q486" s="13"/>
      <c r="R486" s="14"/>
    </row>
    <row r="487" spans="1:18" ht="15" customHeight="1">
      <c r="A487" s="15" t="s">
        <v>38</v>
      </c>
      <c r="B487" s="15" t="s">
        <v>1041</v>
      </c>
      <c r="C487" s="16">
        <v>0.44791666666666669</v>
      </c>
      <c r="D487" s="15" t="s">
        <v>43</v>
      </c>
      <c r="E487" s="15" t="s">
        <v>483</v>
      </c>
      <c r="F487" s="15" t="s">
        <v>162</v>
      </c>
      <c r="G487" s="298"/>
      <c r="H487" s="10"/>
      <c r="I487" s="11"/>
      <c r="J487" s="11"/>
      <c r="K487" s="11"/>
      <c r="L487" s="11"/>
      <c r="M487" s="11"/>
      <c r="N487" s="11"/>
      <c r="O487" s="12"/>
      <c r="P487" s="11"/>
      <c r="Q487" s="13"/>
      <c r="R487" s="14"/>
    </row>
    <row r="488" spans="1:18" ht="15" customHeight="1">
      <c r="A488" s="15" t="s">
        <v>38</v>
      </c>
      <c r="B488" s="15" t="s">
        <v>1041</v>
      </c>
      <c r="C488" s="16">
        <v>0.44791666666666669</v>
      </c>
      <c r="D488" s="15" t="s">
        <v>46</v>
      </c>
      <c r="E488" s="15" t="s">
        <v>483</v>
      </c>
      <c r="F488" s="15" t="s">
        <v>106</v>
      </c>
      <c r="G488" s="298"/>
      <c r="H488" s="10"/>
      <c r="I488" s="11"/>
      <c r="J488" s="11"/>
      <c r="K488" s="11"/>
      <c r="L488" s="11"/>
      <c r="M488" s="11"/>
      <c r="N488" s="11"/>
      <c r="O488" s="12"/>
      <c r="P488" s="11"/>
      <c r="Q488" s="13"/>
      <c r="R488" s="14"/>
    </row>
    <row r="489" spans="1:18" ht="15" customHeight="1">
      <c r="A489" s="19" t="s">
        <v>26</v>
      </c>
      <c r="B489" s="19" t="s">
        <v>1049</v>
      </c>
      <c r="C489" s="20">
        <v>0.97222222222222221</v>
      </c>
      <c r="D489" s="19" t="s">
        <v>28</v>
      </c>
      <c r="E489" s="19" t="s">
        <v>143</v>
      </c>
      <c r="F489" s="19" t="s">
        <v>349</v>
      </c>
      <c r="G489" s="298"/>
      <c r="H489" s="10"/>
      <c r="I489" s="11"/>
      <c r="J489" s="11"/>
      <c r="K489" s="11"/>
      <c r="L489" s="11"/>
      <c r="M489" s="11"/>
      <c r="N489" s="11"/>
      <c r="O489" s="12"/>
      <c r="P489" s="11"/>
      <c r="Q489" s="13"/>
      <c r="R489" s="14"/>
    </row>
    <row r="490" spans="1:18" ht="15" customHeight="1">
      <c r="A490" s="15" t="s">
        <v>26</v>
      </c>
      <c r="B490" s="15" t="s">
        <v>1049</v>
      </c>
      <c r="C490" s="16">
        <v>0.97222222222222221</v>
      </c>
      <c r="D490" s="15" t="s">
        <v>31</v>
      </c>
      <c r="E490" s="15" t="s">
        <v>92</v>
      </c>
      <c r="F490" s="15" t="s">
        <v>35</v>
      </c>
      <c r="G490" s="298"/>
      <c r="H490" s="10"/>
      <c r="I490" s="11"/>
      <c r="J490" s="11"/>
      <c r="K490" s="11"/>
      <c r="L490" s="11"/>
      <c r="M490" s="11"/>
      <c r="N490" s="11"/>
      <c r="O490" s="12"/>
      <c r="P490" s="11"/>
      <c r="Q490" s="13"/>
      <c r="R490" s="14"/>
    </row>
    <row r="491" spans="1:18" ht="15" customHeight="1">
      <c r="A491" s="15" t="s">
        <v>26</v>
      </c>
      <c r="B491" s="15" t="s">
        <v>1049</v>
      </c>
      <c r="C491" s="16">
        <v>0.97222222222222221</v>
      </c>
      <c r="D491" s="15" t="s">
        <v>34</v>
      </c>
      <c r="E491" s="15" t="s">
        <v>92</v>
      </c>
      <c r="F491" s="15" t="s">
        <v>503</v>
      </c>
      <c r="G491" s="298"/>
      <c r="H491" s="10"/>
      <c r="I491" s="11"/>
      <c r="J491" s="11"/>
      <c r="K491" s="11"/>
      <c r="L491" s="11"/>
      <c r="M491" s="11"/>
      <c r="N491" s="11"/>
      <c r="O491" s="12"/>
      <c r="P491" s="11"/>
      <c r="Q491" s="13"/>
      <c r="R491" s="14"/>
    </row>
    <row r="492" spans="1:18" ht="15" customHeight="1">
      <c r="A492" s="19" t="s">
        <v>359</v>
      </c>
      <c r="B492" s="19" t="s">
        <v>1065</v>
      </c>
      <c r="C492" s="20">
        <v>0.78472222222222221</v>
      </c>
      <c r="D492" s="19" t="s">
        <v>361</v>
      </c>
      <c r="E492" s="19" t="s">
        <v>80</v>
      </c>
      <c r="F492" s="19" t="s">
        <v>1100</v>
      </c>
      <c r="G492" s="298"/>
      <c r="H492" s="10"/>
      <c r="I492" s="11"/>
      <c r="J492" s="11"/>
      <c r="K492" s="11"/>
      <c r="L492" s="11"/>
      <c r="M492" s="11"/>
      <c r="N492" s="11"/>
      <c r="O492" s="12"/>
      <c r="P492" s="11"/>
      <c r="Q492" s="13"/>
      <c r="R492" s="14"/>
    </row>
    <row r="493" spans="1:18" ht="15" customHeight="1">
      <c r="A493" s="15" t="s">
        <v>359</v>
      </c>
      <c r="B493" s="15" t="s">
        <v>1065</v>
      </c>
      <c r="C493" s="16">
        <v>0.78472222222222221</v>
      </c>
      <c r="D493" s="15" t="s">
        <v>46</v>
      </c>
      <c r="E493" s="15" t="s">
        <v>82</v>
      </c>
      <c r="F493" s="15" t="s">
        <v>1101</v>
      </c>
      <c r="G493" s="298"/>
      <c r="H493" s="10"/>
      <c r="I493" s="11"/>
      <c r="J493" s="11"/>
      <c r="K493" s="11"/>
      <c r="L493" s="11"/>
      <c r="M493" s="11"/>
      <c r="N493" s="11"/>
      <c r="O493" s="12"/>
      <c r="P493" s="11"/>
      <c r="Q493" s="13"/>
      <c r="R493" s="14"/>
    </row>
    <row r="494" spans="1:18" ht="15" customHeight="1">
      <c r="A494" s="19" t="s">
        <v>68</v>
      </c>
      <c r="B494" s="19" t="s">
        <v>1052</v>
      </c>
      <c r="C494" s="20">
        <v>0.33680555555555558</v>
      </c>
      <c r="D494" s="19" t="s">
        <v>643</v>
      </c>
      <c r="E494" s="19" t="s">
        <v>51</v>
      </c>
      <c r="F494" s="19" t="s">
        <v>1053</v>
      </c>
      <c r="G494" s="298"/>
      <c r="H494" s="10"/>
      <c r="I494" s="11"/>
      <c r="J494" s="11"/>
      <c r="K494" s="11"/>
      <c r="L494" s="11"/>
      <c r="M494" s="11"/>
      <c r="N494" s="11"/>
      <c r="O494" s="12"/>
      <c r="P494" s="11"/>
      <c r="Q494" s="13"/>
      <c r="R494" s="14"/>
    </row>
    <row r="495" spans="1:18" ht="15" customHeight="1">
      <c r="A495" s="17" t="s">
        <v>68</v>
      </c>
      <c r="B495" s="17" t="s">
        <v>1054</v>
      </c>
      <c r="C495" s="18">
        <v>0.97916666666666663</v>
      </c>
      <c r="D495" s="17" t="s">
        <v>643</v>
      </c>
      <c r="E495" s="17" t="s">
        <v>57</v>
      </c>
      <c r="F495" s="17" t="s">
        <v>1053</v>
      </c>
      <c r="G495" s="298"/>
      <c r="H495" s="10"/>
      <c r="I495" s="11"/>
      <c r="J495" s="11"/>
      <c r="K495" s="11"/>
      <c r="L495" s="11"/>
      <c r="M495" s="11"/>
      <c r="N495" s="11"/>
      <c r="O495" s="12"/>
      <c r="P495" s="11"/>
      <c r="Q495" s="13"/>
      <c r="R495" s="14"/>
    </row>
    <row r="496" spans="1:18" ht="15" customHeight="1">
      <c r="A496" s="17" t="s">
        <v>68</v>
      </c>
      <c r="B496" s="17" t="s">
        <v>1056</v>
      </c>
      <c r="C496" s="18">
        <v>0.67361111111111116</v>
      </c>
      <c r="D496" s="17" t="s">
        <v>643</v>
      </c>
      <c r="E496" s="17" t="s">
        <v>57</v>
      </c>
      <c r="F496" s="17" t="s">
        <v>1053</v>
      </c>
      <c r="G496" s="298"/>
      <c r="H496" s="10"/>
      <c r="I496" s="11"/>
      <c r="J496" s="11"/>
      <c r="K496" s="11"/>
      <c r="L496" s="11"/>
      <c r="M496" s="11"/>
      <c r="N496" s="11"/>
      <c r="O496" s="12"/>
      <c r="P496" s="11"/>
      <c r="Q496" s="13"/>
      <c r="R496" s="14"/>
    </row>
    <row r="497" spans="1:18" ht="15" customHeight="1">
      <c r="A497" s="19" t="s">
        <v>402</v>
      </c>
      <c r="B497" s="19" t="s">
        <v>1064</v>
      </c>
      <c r="C497" s="20">
        <v>0.69444444444444453</v>
      </c>
      <c r="D497" s="19" t="s">
        <v>63</v>
      </c>
      <c r="E497" s="19" t="s">
        <v>177</v>
      </c>
      <c r="F497" s="19" t="s">
        <v>1058</v>
      </c>
      <c r="G497" s="298"/>
      <c r="H497" s="10"/>
      <c r="I497" s="11"/>
      <c r="J497" s="11"/>
      <c r="K497" s="11"/>
      <c r="L497" s="11"/>
      <c r="M497" s="11"/>
      <c r="N497" s="11"/>
      <c r="O497" s="12"/>
      <c r="P497" s="11"/>
      <c r="Q497" s="13"/>
      <c r="R497" s="14"/>
    </row>
    <row r="498" spans="1:18" ht="15" customHeight="1" thickBot="1">
      <c r="A498" s="96" t="s">
        <v>48</v>
      </c>
      <c r="B498" s="96" t="s">
        <v>1060</v>
      </c>
      <c r="C498" s="97">
        <v>0.44791666666666669</v>
      </c>
      <c r="D498" s="96" t="s">
        <v>53</v>
      </c>
      <c r="E498" s="96" t="s">
        <v>29</v>
      </c>
      <c r="F498" s="96" t="s">
        <v>946</v>
      </c>
      <c r="G498" s="299"/>
      <c r="H498" s="300"/>
      <c r="I498" s="140"/>
      <c r="J498" s="140"/>
      <c r="K498" s="140"/>
      <c r="L498" s="140"/>
      <c r="M498" s="140"/>
      <c r="N498" s="140"/>
      <c r="O498" s="141"/>
      <c r="P498" s="140"/>
      <c r="Q498" s="142"/>
      <c r="R498" s="301"/>
    </row>
    <row r="499" spans="1:18" ht="17.45" customHeight="1" thickBot="1">
      <c r="A499" s="283"/>
      <c r="B499" s="284"/>
      <c r="C499" s="284"/>
      <c r="D499" s="284"/>
      <c r="E499" s="284"/>
      <c r="F499" s="284"/>
      <c r="G499" s="284"/>
      <c r="H499" s="284"/>
      <c r="I499" s="284"/>
      <c r="J499" s="284"/>
      <c r="K499" s="284"/>
      <c r="L499" s="284"/>
      <c r="M499" s="284"/>
      <c r="N499" s="284"/>
      <c r="O499" s="284"/>
      <c r="P499" s="284"/>
      <c r="Q499" s="284"/>
      <c r="R499" s="285"/>
    </row>
    <row r="500" spans="1:18" ht="22.15" customHeight="1" thickTop="1" thickBot="1">
      <c r="A500" s="279" t="s">
        <v>6</v>
      </c>
      <c r="B500" s="295"/>
      <c r="C500" s="295"/>
      <c r="D500" s="295"/>
      <c r="E500" s="295"/>
      <c r="F500" s="296"/>
      <c r="G500" s="32">
        <v>46051</v>
      </c>
      <c r="H500" s="278" t="s">
        <v>7</v>
      </c>
      <c r="I500" s="295"/>
      <c r="J500" s="295"/>
      <c r="K500" s="295"/>
      <c r="L500" s="295"/>
      <c r="M500" s="295"/>
      <c r="N500" s="295"/>
      <c r="O500" s="295"/>
      <c r="P500" s="295"/>
      <c r="Q500" s="295"/>
      <c r="R500" s="296"/>
    </row>
    <row r="501" spans="1:18" ht="24" customHeight="1">
      <c r="A501" s="33" t="s">
        <v>8</v>
      </c>
      <c r="B501" s="33" t="s">
        <v>9</v>
      </c>
      <c r="C501" s="34" t="s">
        <v>10</v>
      </c>
      <c r="D501" s="33" t="s">
        <v>11</v>
      </c>
      <c r="E501" s="33" t="s">
        <v>12</v>
      </c>
      <c r="F501" s="35" t="s">
        <v>13</v>
      </c>
      <c r="G501" s="36" t="s">
        <v>14</v>
      </c>
      <c r="H501" s="33" t="s">
        <v>15</v>
      </c>
      <c r="I501" s="37" t="s">
        <v>16</v>
      </c>
      <c r="J501" s="38" t="s">
        <v>17</v>
      </c>
      <c r="K501" s="39" t="s">
        <v>18</v>
      </c>
      <c r="L501" s="38" t="s">
        <v>19</v>
      </c>
      <c r="M501" s="38" t="s">
        <v>20</v>
      </c>
      <c r="N501" s="38" t="s">
        <v>21</v>
      </c>
      <c r="O501" s="33" t="s">
        <v>22</v>
      </c>
      <c r="P501" s="34" t="s">
        <v>23</v>
      </c>
      <c r="Q501" s="38" t="s">
        <v>24</v>
      </c>
      <c r="R501" s="33" t="s">
        <v>25</v>
      </c>
    </row>
    <row r="502" spans="1:18" ht="15" customHeight="1">
      <c r="A502" s="87" t="s">
        <v>61</v>
      </c>
      <c r="B502" s="87" t="s">
        <v>1043</v>
      </c>
      <c r="C502" s="88">
        <v>0.72222222222222221</v>
      </c>
      <c r="D502" s="87" t="s">
        <v>63</v>
      </c>
      <c r="E502" s="87" t="s">
        <v>143</v>
      </c>
      <c r="F502" s="87" t="s">
        <v>856</v>
      </c>
      <c r="G502" s="297"/>
      <c r="H502" s="89" t="s">
        <v>1045</v>
      </c>
      <c r="I502" s="90">
        <v>6.6699999999999995E-2</v>
      </c>
      <c r="J502" s="91">
        <v>12</v>
      </c>
      <c r="K502" s="92">
        <v>46340</v>
      </c>
      <c r="L502" s="91">
        <v>12</v>
      </c>
      <c r="M502" s="91">
        <v>0</v>
      </c>
      <c r="N502" s="91">
        <v>0</v>
      </c>
      <c r="O502" s="93" t="s">
        <v>367</v>
      </c>
      <c r="P502" s="94">
        <v>0.72222222222222221</v>
      </c>
      <c r="Q502" s="91">
        <v>180</v>
      </c>
      <c r="R502" s="95" t="s">
        <v>1104</v>
      </c>
    </row>
    <row r="503" spans="1:18" ht="15" customHeight="1">
      <c r="A503" s="19" t="s">
        <v>38</v>
      </c>
      <c r="B503" s="19" t="s">
        <v>1041</v>
      </c>
      <c r="C503" s="20">
        <v>0.44791666666666669</v>
      </c>
      <c r="D503" s="19" t="s">
        <v>40</v>
      </c>
      <c r="E503" s="19" t="s">
        <v>482</v>
      </c>
      <c r="F503" s="19" t="s">
        <v>83</v>
      </c>
      <c r="G503" s="298"/>
      <c r="H503" s="10"/>
      <c r="I503" s="11"/>
      <c r="J503" s="11"/>
      <c r="K503" s="11"/>
      <c r="L503" s="11"/>
      <c r="M503" s="11"/>
      <c r="N503" s="11"/>
      <c r="O503" s="12"/>
      <c r="P503" s="11"/>
      <c r="Q503" s="13"/>
      <c r="R503" s="14"/>
    </row>
    <row r="504" spans="1:18" ht="15" customHeight="1">
      <c r="A504" s="15" t="s">
        <v>38</v>
      </c>
      <c r="B504" s="15" t="s">
        <v>1041</v>
      </c>
      <c r="C504" s="16">
        <v>0.44791666666666669</v>
      </c>
      <c r="D504" s="15" t="s">
        <v>43</v>
      </c>
      <c r="E504" s="15" t="s">
        <v>483</v>
      </c>
      <c r="F504" s="15" t="s">
        <v>162</v>
      </c>
      <c r="G504" s="298"/>
      <c r="H504" s="10"/>
      <c r="I504" s="11"/>
      <c r="J504" s="11"/>
      <c r="K504" s="11"/>
      <c r="L504" s="11"/>
      <c r="M504" s="11"/>
      <c r="N504" s="11"/>
      <c r="O504" s="12"/>
      <c r="P504" s="11"/>
      <c r="Q504" s="13"/>
      <c r="R504" s="14"/>
    </row>
    <row r="505" spans="1:18" ht="15" customHeight="1">
      <c r="A505" s="15" t="s">
        <v>38</v>
      </c>
      <c r="B505" s="15" t="s">
        <v>1041</v>
      </c>
      <c r="C505" s="16">
        <v>0.44791666666666669</v>
      </c>
      <c r="D505" s="15" t="s">
        <v>46</v>
      </c>
      <c r="E505" s="15" t="s">
        <v>483</v>
      </c>
      <c r="F505" s="15" t="s">
        <v>106</v>
      </c>
      <c r="G505" s="298"/>
      <c r="H505" s="10"/>
      <c r="I505" s="11"/>
      <c r="J505" s="11"/>
      <c r="K505" s="11"/>
      <c r="L505" s="11"/>
      <c r="M505" s="11"/>
      <c r="N505" s="11"/>
      <c r="O505" s="12"/>
      <c r="P505" s="11"/>
      <c r="Q505" s="13"/>
      <c r="R505" s="14"/>
    </row>
    <row r="506" spans="1:18" ht="15" customHeight="1">
      <c r="A506" s="19" t="s">
        <v>26</v>
      </c>
      <c r="B506" s="19" t="s">
        <v>1047</v>
      </c>
      <c r="C506" s="20">
        <v>0.33680555555555558</v>
      </c>
      <c r="D506" s="19" t="s">
        <v>28</v>
      </c>
      <c r="E506" s="19" t="s">
        <v>126</v>
      </c>
      <c r="F506" s="19" t="s">
        <v>349</v>
      </c>
      <c r="G506" s="298"/>
      <c r="H506" s="10"/>
      <c r="I506" s="11"/>
      <c r="J506" s="11"/>
      <c r="K506" s="11"/>
      <c r="L506" s="11"/>
      <c r="M506" s="11"/>
      <c r="N506" s="11"/>
      <c r="O506" s="12"/>
      <c r="P506" s="11"/>
      <c r="Q506" s="13"/>
      <c r="R506" s="14"/>
    </row>
    <row r="507" spans="1:18" ht="15" customHeight="1">
      <c r="A507" s="15" t="s">
        <v>26</v>
      </c>
      <c r="B507" s="15" t="s">
        <v>1047</v>
      </c>
      <c r="C507" s="16">
        <v>0.33680555555555558</v>
      </c>
      <c r="D507" s="15" t="s">
        <v>31</v>
      </c>
      <c r="E507" s="15" t="s">
        <v>127</v>
      </c>
      <c r="F507" s="15" t="s">
        <v>35</v>
      </c>
      <c r="G507" s="298"/>
      <c r="H507" s="10"/>
      <c r="I507" s="11"/>
      <c r="J507" s="11"/>
      <c r="K507" s="11"/>
      <c r="L507" s="11"/>
      <c r="M507" s="11"/>
      <c r="N507" s="11"/>
      <c r="O507" s="12"/>
      <c r="P507" s="11"/>
      <c r="Q507" s="13"/>
      <c r="R507" s="14"/>
    </row>
    <row r="508" spans="1:18" ht="15" customHeight="1">
      <c r="A508" s="15" t="s">
        <v>26</v>
      </c>
      <c r="B508" s="15" t="s">
        <v>1047</v>
      </c>
      <c r="C508" s="16">
        <v>0.33680555555555558</v>
      </c>
      <c r="D508" s="15" t="s">
        <v>34</v>
      </c>
      <c r="E508" s="15" t="s">
        <v>127</v>
      </c>
      <c r="F508" s="15" t="s">
        <v>503</v>
      </c>
      <c r="G508" s="298"/>
      <c r="H508" s="10"/>
      <c r="I508" s="11"/>
      <c r="J508" s="11"/>
      <c r="K508" s="11"/>
      <c r="L508" s="11"/>
      <c r="M508" s="11"/>
      <c r="N508" s="11"/>
      <c r="O508" s="12"/>
      <c r="P508" s="11"/>
      <c r="Q508" s="13"/>
      <c r="R508" s="14"/>
    </row>
    <row r="509" spans="1:18" ht="15" customHeight="1">
      <c r="A509" s="17" t="s">
        <v>26</v>
      </c>
      <c r="B509" s="17" t="s">
        <v>1049</v>
      </c>
      <c r="C509" s="18">
        <v>0.97222222222222221</v>
      </c>
      <c r="D509" s="17" t="s">
        <v>28</v>
      </c>
      <c r="E509" s="17" t="s">
        <v>98</v>
      </c>
      <c r="F509" s="17" t="s">
        <v>349</v>
      </c>
      <c r="G509" s="298"/>
      <c r="H509" s="10"/>
      <c r="I509" s="11"/>
      <c r="J509" s="11"/>
      <c r="K509" s="11"/>
      <c r="L509" s="11"/>
      <c r="M509" s="11"/>
      <c r="N509" s="11"/>
      <c r="O509" s="12"/>
      <c r="P509" s="11"/>
      <c r="Q509" s="13"/>
      <c r="R509" s="14"/>
    </row>
    <row r="510" spans="1:18" ht="15" customHeight="1">
      <c r="A510" s="15" t="s">
        <v>26</v>
      </c>
      <c r="B510" s="15" t="s">
        <v>1049</v>
      </c>
      <c r="C510" s="16">
        <v>0.97222222222222221</v>
      </c>
      <c r="D510" s="15" t="s">
        <v>31</v>
      </c>
      <c r="E510" s="15" t="s">
        <v>99</v>
      </c>
      <c r="F510" s="15" t="s">
        <v>35</v>
      </c>
      <c r="G510" s="298"/>
      <c r="H510" s="10"/>
      <c r="I510" s="11"/>
      <c r="J510" s="11"/>
      <c r="K510" s="11"/>
      <c r="L510" s="11"/>
      <c r="M510" s="11"/>
      <c r="N510" s="11"/>
      <c r="O510" s="12"/>
      <c r="P510" s="11"/>
      <c r="Q510" s="13"/>
      <c r="R510" s="14"/>
    </row>
    <row r="511" spans="1:18" ht="15" customHeight="1">
      <c r="A511" s="15" t="s">
        <v>26</v>
      </c>
      <c r="B511" s="15" t="s">
        <v>1049</v>
      </c>
      <c r="C511" s="16">
        <v>0.97222222222222221</v>
      </c>
      <c r="D511" s="15" t="s">
        <v>34</v>
      </c>
      <c r="E511" s="15" t="s">
        <v>99</v>
      </c>
      <c r="F511" s="15" t="s">
        <v>503</v>
      </c>
      <c r="G511" s="298"/>
      <c r="H511" s="10"/>
      <c r="I511" s="11"/>
      <c r="J511" s="11"/>
      <c r="K511" s="11"/>
      <c r="L511" s="11"/>
      <c r="M511" s="11"/>
      <c r="N511" s="11"/>
      <c r="O511" s="12"/>
      <c r="P511" s="11"/>
      <c r="Q511" s="13"/>
      <c r="R511" s="14"/>
    </row>
    <row r="512" spans="1:18" ht="15" customHeight="1">
      <c r="A512" s="19" t="s">
        <v>415</v>
      </c>
      <c r="B512" s="19" t="s">
        <v>1050</v>
      </c>
      <c r="C512" s="20">
        <v>0.75694444444444453</v>
      </c>
      <c r="D512" s="19" t="s">
        <v>63</v>
      </c>
      <c r="E512" s="19" t="s">
        <v>107</v>
      </c>
      <c r="F512" s="19" t="s">
        <v>1051</v>
      </c>
      <c r="G512" s="298"/>
      <c r="H512" s="10"/>
      <c r="I512" s="11"/>
      <c r="J512" s="11"/>
      <c r="K512" s="11"/>
      <c r="L512" s="11"/>
      <c r="M512" s="11"/>
      <c r="N512" s="11"/>
      <c r="O512" s="12"/>
      <c r="P512" s="11"/>
      <c r="Q512" s="13"/>
      <c r="R512" s="14"/>
    </row>
    <row r="513" spans="1:18" ht="15" customHeight="1">
      <c r="A513" s="19" t="s">
        <v>68</v>
      </c>
      <c r="B513" s="19" t="s">
        <v>1052</v>
      </c>
      <c r="C513" s="20">
        <v>0.33680555555555558</v>
      </c>
      <c r="D513" s="19" t="s">
        <v>643</v>
      </c>
      <c r="E513" s="19" t="s">
        <v>51</v>
      </c>
      <c r="F513" s="19" t="s">
        <v>1053</v>
      </c>
      <c r="G513" s="298"/>
      <c r="H513" s="10"/>
      <c r="I513" s="11"/>
      <c r="J513" s="11"/>
      <c r="K513" s="11"/>
      <c r="L513" s="11"/>
      <c r="M513" s="11"/>
      <c r="N513" s="11"/>
      <c r="O513" s="12"/>
      <c r="P513" s="11"/>
      <c r="Q513" s="13"/>
      <c r="R513" s="14"/>
    </row>
    <row r="514" spans="1:18" ht="15" customHeight="1">
      <c r="A514" s="17" t="s">
        <v>68</v>
      </c>
      <c r="B514" s="17" t="s">
        <v>1054</v>
      </c>
      <c r="C514" s="18">
        <v>0.97916666666666663</v>
      </c>
      <c r="D514" s="17" t="s">
        <v>643</v>
      </c>
      <c r="E514" s="17" t="s">
        <v>57</v>
      </c>
      <c r="F514" s="17" t="s">
        <v>1053</v>
      </c>
      <c r="G514" s="298"/>
      <c r="H514" s="10"/>
      <c r="I514" s="11"/>
      <c r="J514" s="11"/>
      <c r="K514" s="11"/>
      <c r="L514" s="11"/>
      <c r="M514" s="11"/>
      <c r="N514" s="11"/>
      <c r="O514" s="12"/>
      <c r="P514" s="11"/>
      <c r="Q514" s="13"/>
      <c r="R514" s="14"/>
    </row>
    <row r="515" spans="1:18" ht="15" customHeight="1">
      <c r="A515" s="17" t="s">
        <v>68</v>
      </c>
      <c r="B515" s="17" t="s">
        <v>1056</v>
      </c>
      <c r="C515" s="18">
        <v>0.67361111111111116</v>
      </c>
      <c r="D515" s="17" t="s">
        <v>643</v>
      </c>
      <c r="E515" s="17" t="s">
        <v>57</v>
      </c>
      <c r="F515" s="17" t="s">
        <v>1053</v>
      </c>
      <c r="G515" s="298"/>
      <c r="H515" s="10"/>
      <c r="I515" s="11"/>
      <c r="J515" s="11"/>
      <c r="K515" s="11"/>
      <c r="L515" s="11"/>
      <c r="M515" s="11"/>
      <c r="N515" s="11"/>
      <c r="O515" s="12"/>
      <c r="P515" s="11"/>
      <c r="Q515" s="13"/>
      <c r="R515" s="14"/>
    </row>
    <row r="516" spans="1:18" ht="15" customHeight="1">
      <c r="A516" s="19" t="s">
        <v>402</v>
      </c>
      <c r="B516" s="19" t="s">
        <v>1057</v>
      </c>
      <c r="C516" s="20">
        <v>0.75694444444444453</v>
      </c>
      <c r="D516" s="19" t="s">
        <v>63</v>
      </c>
      <c r="E516" s="19" t="s">
        <v>177</v>
      </c>
      <c r="F516" s="19" t="s">
        <v>1058</v>
      </c>
      <c r="G516" s="298"/>
      <c r="H516" s="10"/>
      <c r="I516" s="11"/>
      <c r="J516" s="11"/>
      <c r="K516" s="11"/>
      <c r="L516" s="11"/>
      <c r="M516" s="11"/>
      <c r="N516" s="11"/>
      <c r="O516" s="12"/>
      <c r="P516" s="11"/>
      <c r="Q516" s="13"/>
      <c r="R516" s="14"/>
    </row>
    <row r="517" spans="1:18" ht="15" customHeight="1">
      <c r="A517" s="17" t="s">
        <v>402</v>
      </c>
      <c r="B517" s="17" t="s">
        <v>1059</v>
      </c>
      <c r="C517" s="18">
        <v>0.3611111111111111</v>
      </c>
      <c r="D517" s="17" t="s">
        <v>63</v>
      </c>
      <c r="E517" s="17" t="s">
        <v>435</v>
      </c>
      <c r="F517" s="17" t="s">
        <v>1058</v>
      </c>
      <c r="G517" s="298"/>
      <c r="H517" s="10"/>
      <c r="I517" s="11"/>
      <c r="J517" s="11"/>
      <c r="K517" s="11"/>
      <c r="L517" s="11"/>
      <c r="M517" s="11"/>
      <c r="N517" s="11"/>
      <c r="O517" s="12"/>
      <c r="P517" s="11"/>
      <c r="Q517" s="13"/>
      <c r="R517" s="14"/>
    </row>
    <row r="518" spans="1:18" ht="15" customHeight="1" thickBot="1">
      <c r="A518" s="96" t="s">
        <v>48</v>
      </c>
      <c r="B518" s="96" t="s">
        <v>1060</v>
      </c>
      <c r="C518" s="97">
        <v>0.44791666666666669</v>
      </c>
      <c r="D518" s="96" t="s">
        <v>53</v>
      </c>
      <c r="E518" s="96" t="s">
        <v>29</v>
      </c>
      <c r="F518" s="96" t="s">
        <v>946</v>
      </c>
      <c r="G518" s="299"/>
      <c r="H518" s="300"/>
      <c r="I518" s="140"/>
      <c r="J518" s="140"/>
      <c r="K518" s="140"/>
      <c r="L518" s="140"/>
      <c r="M518" s="140"/>
      <c r="N518" s="140"/>
      <c r="O518" s="141"/>
      <c r="P518" s="140"/>
      <c r="Q518" s="142"/>
      <c r="R518" s="301"/>
    </row>
    <row r="519" spans="1:18" ht="17.45" customHeight="1" thickBot="1">
      <c r="A519" s="283"/>
      <c r="B519" s="284"/>
      <c r="C519" s="284"/>
      <c r="D519" s="284"/>
      <c r="E519" s="284"/>
      <c r="F519" s="284"/>
      <c r="G519" s="284"/>
      <c r="H519" s="284"/>
      <c r="I519" s="284"/>
      <c r="J519" s="284"/>
      <c r="K519" s="284"/>
      <c r="L519" s="284"/>
      <c r="M519" s="284"/>
      <c r="N519" s="284"/>
      <c r="O519" s="284"/>
      <c r="P519" s="284"/>
      <c r="Q519" s="284"/>
      <c r="R519" s="285"/>
    </row>
    <row r="520" spans="1:18" ht="22.15" customHeight="1" thickTop="1" thickBot="1">
      <c r="A520" s="279" t="s">
        <v>6</v>
      </c>
      <c r="B520" s="295"/>
      <c r="C520" s="295"/>
      <c r="D520" s="295"/>
      <c r="E520" s="295"/>
      <c r="F520" s="296"/>
      <c r="G520" s="32">
        <v>46052</v>
      </c>
      <c r="H520" s="278" t="s">
        <v>7</v>
      </c>
      <c r="I520" s="295"/>
      <c r="J520" s="295"/>
      <c r="K520" s="295"/>
      <c r="L520" s="295"/>
      <c r="M520" s="295"/>
      <c r="N520" s="295"/>
      <c r="O520" s="295"/>
      <c r="P520" s="295"/>
      <c r="Q520" s="295"/>
      <c r="R520" s="296"/>
    </row>
    <row r="521" spans="1:18" ht="24" customHeight="1">
      <c r="A521" s="33" t="s">
        <v>8</v>
      </c>
      <c r="B521" s="33" t="s">
        <v>9</v>
      </c>
      <c r="C521" s="34" t="s">
        <v>10</v>
      </c>
      <c r="D521" s="33" t="s">
        <v>11</v>
      </c>
      <c r="E521" s="33" t="s">
        <v>12</v>
      </c>
      <c r="F521" s="35" t="s">
        <v>13</v>
      </c>
      <c r="G521" s="36" t="s">
        <v>14</v>
      </c>
      <c r="H521" s="33" t="s">
        <v>15</v>
      </c>
      <c r="I521" s="37" t="s">
        <v>16</v>
      </c>
      <c r="J521" s="38" t="s">
        <v>17</v>
      </c>
      <c r="K521" s="39" t="s">
        <v>18</v>
      </c>
      <c r="L521" s="38" t="s">
        <v>19</v>
      </c>
      <c r="M521" s="38" t="s">
        <v>20</v>
      </c>
      <c r="N521" s="38" t="s">
        <v>21</v>
      </c>
      <c r="O521" s="33" t="s">
        <v>22</v>
      </c>
      <c r="P521" s="34" t="s">
        <v>23</v>
      </c>
      <c r="Q521" s="38" t="s">
        <v>24</v>
      </c>
      <c r="R521" s="33" t="s">
        <v>25</v>
      </c>
    </row>
    <row r="522" spans="1:18" ht="15" customHeight="1">
      <c r="A522" s="40" t="s">
        <v>61</v>
      </c>
      <c r="B522" s="40" t="s">
        <v>1043</v>
      </c>
      <c r="C522" s="41">
        <v>0.38194444444444442</v>
      </c>
      <c r="D522" s="40" t="s">
        <v>63</v>
      </c>
      <c r="E522" s="40" t="s">
        <v>107</v>
      </c>
      <c r="F522" s="40" t="s">
        <v>856</v>
      </c>
      <c r="G522" s="302"/>
      <c r="H522" s="42" t="s">
        <v>1045</v>
      </c>
      <c r="I522" s="43">
        <v>3.8899999999999997E-2</v>
      </c>
      <c r="J522" s="44">
        <v>7</v>
      </c>
      <c r="K522" s="45">
        <v>46344</v>
      </c>
      <c r="L522" s="44">
        <v>7</v>
      </c>
      <c r="M522" s="44">
        <v>0</v>
      </c>
      <c r="N522" s="44">
        <v>0</v>
      </c>
      <c r="O522" s="46" t="s">
        <v>552</v>
      </c>
      <c r="P522" s="47">
        <v>0.38194444444444442</v>
      </c>
      <c r="Q522" s="44">
        <v>180</v>
      </c>
      <c r="R522" s="48" t="s">
        <v>1105</v>
      </c>
    </row>
    <row r="523" spans="1:18" ht="15" customHeight="1">
      <c r="A523" s="19" t="s">
        <v>38</v>
      </c>
      <c r="B523" s="19" t="s">
        <v>1041</v>
      </c>
      <c r="C523" s="20">
        <v>0.44791666666666669</v>
      </c>
      <c r="D523" s="19" t="s">
        <v>40</v>
      </c>
      <c r="E523" s="19" t="s">
        <v>482</v>
      </c>
      <c r="F523" s="19" t="s">
        <v>83</v>
      </c>
      <c r="G523" s="298"/>
      <c r="H523" s="10"/>
      <c r="I523" s="11"/>
      <c r="J523" s="11"/>
      <c r="K523" s="11"/>
      <c r="L523" s="11"/>
      <c r="M523" s="11"/>
      <c r="N523" s="11"/>
      <c r="O523" s="12"/>
      <c r="P523" s="11"/>
      <c r="Q523" s="13"/>
      <c r="R523" s="14"/>
    </row>
    <row r="524" spans="1:18" ht="15" customHeight="1">
      <c r="A524" s="15" t="s">
        <v>38</v>
      </c>
      <c r="B524" s="15" t="s">
        <v>1041</v>
      </c>
      <c r="C524" s="16">
        <v>0.44791666666666669</v>
      </c>
      <c r="D524" s="15" t="s">
        <v>43</v>
      </c>
      <c r="E524" s="15" t="s">
        <v>483</v>
      </c>
      <c r="F524" s="15" t="s">
        <v>162</v>
      </c>
      <c r="G524" s="298"/>
      <c r="H524" s="10"/>
      <c r="I524" s="11"/>
      <c r="J524" s="11"/>
      <c r="K524" s="11"/>
      <c r="L524" s="11"/>
      <c r="M524" s="11"/>
      <c r="N524" s="11"/>
      <c r="O524" s="12"/>
      <c r="P524" s="11"/>
      <c r="Q524" s="13"/>
      <c r="R524" s="14"/>
    </row>
    <row r="525" spans="1:18" ht="15" customHeight="1">
      <c r="A525" s="15" t="s">
        <v>38</v>
      </c>
      <c r="B525" s="15" t="s">
        <v>1041</v>
      </c>
      <c r="C525" s="16">
        <v>0.44791666666666669</v>
      </c>
      <c r="D525" s="15" t="s">
        <v>46</v>
      </c>
      <c r="E525" s="15" t="s">
        <v>483</v>
      </c>
      <c r="F525" s="15" t="s">
        <v>106</v>
      </c>
      <c r="G525" s="298"/>
      <c r="H525" s="10"/>
      <c r="I525" s="11"/>
      <c r="J525" s="11"/>
      <c r="K525" s="11"/>
      <c r="L525" s="11"/>
      <c r="M525" s="11"/>
      <c r="N525" s="11"/>
      <c r="O525" s="12"/>
      <c r="P525" s="11"/>
      <c r="Q525" s="13"/>
      <c r="R525" s="14"/>
    </row>
    <row r="526" spans="1:18" ht="15" customHeight="1">
      <c r="A526" s="19" t="s">
        <v>26</v>
      </c>
      <c r="B526" s="19" t="s">
        <v>1049</v>
      </c>
      <c r="C526" s="20">
        <v>0.97222222222222221</v>
      </c>
      <c r="D526" s="19" t="s">
        <v>28</v>
      </c>
      <c r="E526" s="19" t="s">
        <v>126</v>
      </c>
      <c r="F526" s="19" t="s">
        <v>349</v>
      </c>
      <c r="G526" s="298"/>
      <c r="H526" s="10"/>
      <c r="I526" s="11"/>
      <c r="J526" s="11"/>
      <c r="K526" s="11"/>
      <c r="L526" s="11"/>
      <c r="M526" s="11"/>
      <c r="N526" s="11"/>
      <c r="O526" s="12"/>
      <c r="P526" s="11"/>
      <c r="Q526" s="13"/>
      <c r="R526" s="14"/>
    </row>
    <row r="527" spans="1:18" ht="15" customHeight="1">
      <c r="A527" s="15" t="s">
        <v>26</v>
      </c>
      <c r="B527" s="15" t="s">
        <v>1049</v>
      </c>
      <c r="C527" s="16">
        <v>0.97222222222222221</v>
      </c>
      <c r="D527" s="15" t="s">
        <v>31</v>
      </c>
      <c r="E527" s="15" t="s">
        <v>127</v>
      </c>
      <c r="F527" s="15" t="s">
        <v>35</v>
      </c>
      <c r="G527" s="298"/>
      <c r="H527" s="10"/>
      <c r="I527" s="11"/>
      <c r="J527" s="11"/>
      <c r="K527" s="11"/>
      <c r="L527" s="11"/>
      <c r="M527" s="11"/>
      <c r="N527" s="11"/>
      <c r="O527" s="12"/>
      <c r="P527" s="11"/>
      <c r="Q527" s="13"/>
      <c r="R527" s="14"/>
    </row>
    <row r="528" spans="1:18" ht="15" customHeight="1">
      <c r="A528" s="15" t="s">
        <v>26</v>
      </c>
      <c r="B528" s="15" t="s">
        <v>1049</v>
      </c>
      <c r="C528" s="16">
        <v>0.97222222222222221</v>
      </c>
      <c r="D528" s="15" t="s">
        <v>34</v>
      </c>
      <c r="E528" s="15" t="s">
        <v>127</v>
      </c>
      <c r="F528" s="15" t="s">
        <v>503</v>
      </c>
      <c r="G528" s="298"/>
      <c r="H528" s="10"/>
      <c r="I528" s="11"/>
      <c r="J528" s="11"/>
      <c r="K528" s="11"/>
      <c r="L528" s="11"/>
      <c r="M528" s="11"/>
      <c r="N528" s="11"/>
      <c r="O528" s="12"/>
      <c r="P528" s="11"/>
      <c r="Q528" s="13"/>
      <c r="R528" s="14"/>
    </row>
    <row r="529" spans="1:18" ht="15" customHeight="1">
      <c r="A529" s="19" t="s">
        <v>415</v>
      </c>
      <c r="B529" s="19" t="s">
        <v>1062</v>
      </c>
      <c r="C529" s="20">
        <v>6.9444444444444441E-3</v>
      </c>
      <c r="D529" s="19" t="s">
        <v>63</v>
      </c>
      <c r="E529" s="19" t="s">
        <v>29</v>
      </c>
      <c r="F529" s="19" t="s">
        <v>1051</v>
      </c>
      <c r="G529" s="298"/>
      <c r="H529" s="10"/>
      <c r="I529" s="11"/>
      <c r="J529" s="11"/>
      <c r="K529" s="11"/>
      <c r="L529" s="11"/>
      <c r="M529" s="11"/>
      <c r="N529" s="11"/>
      <c r="O529" s="12"/>
      <c r="P529" s="11"/>
      <c r="Q529" s="13"/>
      <c r="R529" s="14"/>
    </row>
    <row r="530" spans="1:18" ht="15" customHeight="1">
      <c r="A530" s="19" t="s">
        <v>68</v>
      </c>
      <c r="B530" s="19" t="s">
        <v>1052</v>
      </c>
      <c r="C530" s="20">
        <v>0.33680555555555558</v>
      </c>
      <c r="D530" s="19" t="s">
        <v>643</v>
      </c>
      <c r="E530" s="19" t="s">
        <v>51</v>
      </c>
      <c r="F530" s="19" t="s">
        <v>830</v>
      </c>
      <c r="G530" s="298"/>
      <c r="H530" s="10"/>
      <c r="I530" s="11"/>
      <c r="J530" s="11"/>
      <c r="K530" s="11"/>
      <c r="L530" s="11"/>
      <c r="M530" s="11"/>
      <c r="N530" s="11"/>
      <c r="O530" s="12"/>
      <c r="P530" s="11"/>
      <c r="Q530" s="13"/>
      <c r="R530" s="14"/>
    </row>
    <row r="531" spans="1:18" ht="15" customHeight="1">
      <c r="A531" s="17" t="s">
        <v>68</v>
      </c>
      <c r="B531" s="17" t="s">
        <v>1054</v>
      </c>
      <c r="C531" s="18">
        <v>0.97916666666666663</v>
      </c>
      <c r="D531" s="17" t="s">
        <v>70</v>
      </c>
      <c r="E531" s="17" t="s">
        <v>57</v>
      </c>
      <c r="F531" s="17" t="s">
        <v>1055</v>
      </c>
      <c r="G531" s="298"/>
      <c r="H531" s="10"/>
      <c r="I531" s="11"/>
      <c r="J531" s="11"/>
      <c r="K531" s="11"/>
      <c r="L531" s="11"/>
      <c r="M531" s="11"/>
      <c r="N531" s="11"/>
      <c r="O531" s="12"/>
      <c r="P531" s="11"/>
      <c r="Q531" s="13"/>
      <c r="R531" s="14"/>
    </row>
    <row r="532" spans="1:18" ht="15" customHeight="1">
      <c r="A532" s="17" t="s">
        <v>68</v>
      </c>
      <c r="B532" s="17" t="s">
        <v>1056</v>
      </c>
      <c r="C532" s="18">
        <v>0.67361111111111116</v>
      </c>
      <c r="D532" s="17" t="s">
        <v>70</v>
      </c>
      <c r="E532" s="17" t="s">
        <v>57</v>
      </c>
      <c r="F532" s="17" t="s">
        <v>1055</v>
      </c>
      <c r="G532" s="298"/>
      <c r="H532" s="10"/>
      <c r="I532" s="11"/>
      <c r="J532" s="11"/>
      <c r="K532" s="11"/>
      <c r="L532" s="11"/>
      <c r="M532" s="11"/>
      <c r="N532" s="11"/>
      <c r="O532" s="12"/>
      <c r="P532" s="11"/>
      <c r="Q532" s="13"/>
      <c r="R532" s="14"/>
    </row>
    <row r="533" spans="1:18" ht="15" customHeight="1">
      <c r="A533" s="19" t="s">
        <v>402</v>
      </c>
      <c r="B533" s="19" t="s">
        <v>1064</v>
      </c>
      <c r="C533" s="20">
        <v>0.75694444444444453</v>
      </c>
      <c r="D533" s="19" t="s">
        <v>63</v>
      </c>
      <c r="E533" s="19" t="s">
        <v>126</v>
      </c>
      <c r="F533" s="19" t="s">
        <v>1058</v>
      </c>
      <c r="G533" s="298"/>
      <c r="H533" s="10"/>
      <c r="I533" s="11"/>
      <c r="J533" s="11"/>
      <c r="K533" s="11"/>
      <c r="L533" s="11"/>
      <c r="M533" s="11"/>
      <c r="N533" s="11"/>
      <c r="O533" s="12"/>
      <c r="P533" s="11"/>
      <c r="Q533" s="13"/>
      <c r="R533" s="14"/>
    </row>
    <row r="534" spans="1:18" ht="15" customHeight="1" thickBot="1">
      <c r="A534" s="96" t="s">
        <v>48</v>
      </c>
      <c r="B534" s="96" t="s">
        <v>1060</v>
      </c>
      <c r="C534" s="97">
        <v>0.44791666666666669</v>
      </c>
      <c r="D534" s="96" t="s">
        <v>53</v>
      </c>
      <c r="E534" s="96" t="s">
        <v>29</v>
      </c>
      <c r="F534" s="96" t="s">
        <v>946</v>
      </c>
      <c r="G534" s="299"/>
      <c r="H534" s="300"/>
      <c r="I534" s="140"/>
      <c r="J534" s="140"/>
      <c r="K534" s="140"/>
      <c r="L534" s="140"/>
      <c r="M534" s="140"/>
      <c r="N534" s="140"/>
      <c r="O534" s="141"/>
      <c r="P534" s="140"/>
      <c r="Q534" s="142"/>
      <c r="R534" s="301"/>
    </row>
    <row r="535" spans="1:18" ht="17.45" customHeight="1" thickBot="1">
      <c r="A535" s="283"/>
      <c r="B535" s="284"/>
      <c r="C535" s="284"/>
      <c r="D535" s="284"/>
      <c r="E535" s="284"/>
      <c r="F535" s="284"/>
      <c r="G535" s="284"/>
      <c r="H535" s="284"/>
      <c r="I535" s="284"/>
      <c r="J535" s="284"/>
      <c r="K535" s="284"/>
      <c r="L535" s="284"/>
      <c r="M535" s="284"/>
      <c r="N535" s="284"/>
      <c r="O535" s="284"/>
      <c r="P535" s="284"/>
      <c r="Q535" s="284"/>
      <c r="R535" s="285"/>
    </row>
    <row r="536" spans="1:18" ht="22.15" customHeight="1" thickTop="1" thickBot="1">
      <c r="A536" s="279" t="s">
        <v>6</v>
      </c>
      <c r="B536" s="295"/>
      <c r="C536" s="295"/>
      <c r="D536" s="295"/>
      <c r="E536" s="295"/>
      <c r="F536" s="296"/>
      <c r="G536" s="32">
        <v>46053</v>
      </c>
      <c r="H536" s="278" t="s">
        <v>7</v>
      </c>
      <c r="I536" s="295"/>
      <c r="J536" s="295"/>
      <c r="K536" s="295"/>
      <c r="L536" s="295"/>
      <c r="M536" s="295"/>
      <c r="N536" s="295"/>
      <c r="O536" s="295"/>
      <c r="P536" s="295"/>
      <c r="Q536" s="295"/>
      <c r="R536" s="296"/>
    </row>
    <row r="537" spans="1:18" ht="24" customHeight="1">
      <c r="A537" s="33" t="s">
        <v>8</v>
      </c>
      <c r="B537" s="33" t="s">
        <v>9</v>
      </c>
      <c r="C537" s="34" t="s">
        <v>10</v>
      </c>
      <c r="D537" s="33" t="s">
        <v>11</v>
      </c>
      <c r="E537" s="33" t="s">
        <v>12</v>
      </c>
      <c r="F537" s="35" t="s">
        <v>13</v>
      </c>
      <c r="G537" s="36" t="s">
        <v>14</v>
      </c>
      <c r="H537" s="33" t="s">
        <v>15</v>
      </c>
      <c r="I537" s="37" t="s">
        <v>16</v>
      </c>
      <c r="J537" s="38" t="s">
        <v>17</v>
      </c>
      <c r="K537" s="39" t="s">
        <v>18</v>
      </c>
      <c r="L537" s="38" t="s">
        <v>19</v>
      </c>
      <c r="M537" s="38" t="s">
        <v>20</v>
      </c>
      <c r="N537" s="38" t="s">
        <v>21</v>
      </c>
      <c r="O537" s="33" t="s">
        <v>22</v>
      </c>
      <c r="P537" s="34" t="s">
        <v>23</v>
      </c>
      <c r="Q537" s="38" t="s">
        <v>24</v>
      </c>
      <c r="R537" s="33" t="s">
        <v>25</v>
      </c>
    </row>
    <row r="538" spans="1:18" ht="15" customHeight="1">
      <c r="A538" s="8" t="s">
        <v>38</v>
      </c>
      <c r="B538" s="8" t="s">
        <v>1041</v>
      </c>
      <c r="C538" s="9">
        <v>0.44791666666666669</v>
      </c>
      <c r="D538" s="8" t="s">
        <v>40</v>
      </c>
      <c r="E538" s="8" t="s">
        <v>482</v>
      </c>
      <c r="F538" s="8" t="s">
        <v>83</v>
      </c>
      <c r="G538" s="302"/>
      <c r="H538" s="10"/>
      <c r="I538" s="11"/>
      <c r="J538" s="11"/>
      <c r="K538" s="11"/>
      <c r="L538" s="11"/>
      <c r="M538" s="11"/>
      <c r="N538" s="11"/>
      <c r="O538" s="12"/>
      <c r="P538" s="11"/>
      <c r="Q538" s="13"/>
      <c r="R538" s="14"/>
    </row>
    <row r="539" spans="1:18" ht="15" customHeight="1">
      <c r="A539" s="15" t="s">
        <v>38</v>
      </c>
      <c r="B539" s="15" t="s">
        <v>1041</v>
      </c>
      <c r="C539" s="16">
        <v>0.44791666666666669</v>
      </c>
      <c r="D539" s="15" t="s">
        <v>43</v>
      </c>
      <c r="E539" s="15" t="s">
        <v>483</v>
      </c>
      <c r="F539" s="15" t="s">
        <v>162</v>
      </c>
      <c r="G539" s="298"/>
      <c r="H539" s="10"/>
      <c r="I539" s="11"/>
      <c r="J539" s="11"/>
      <c r="K539" s="11"/>
      <c r="L539" s="11"/>
      <c r="M539" s="11"/>
      <c r="N539" s="11"/>
      <c r="O539" s="12"/>
      <c r="P539" s="11"/>
      <c r="Q539" s="13"/>
      <c r="R539" s="14"/>
    </row>
    <row r="540" spans="1:18" ht="15" customHeight="1">
      <c r="A540" s="15" t="s">
        <v>38</v>
      </c>
      <c r="B540" s="15" t="s">
        <v>1041</v>
      </c>
      <c r="C540" s="16">
        <v>0.44791666666666669</v>
      </c>
      <c r="D540" s="15" t="s">
        <v>46</v>
      </c>
      <c r="E540" s="15" t="s">
        <v>483</v>
      </c>
      <c r="F540" s="15" t="s">
        <v>106</v>
      </c>
      <c r="G540" s="298"/>
      <c r="H540" s="10"/>
      <c r="I540" s="11"/>
      <c r="J540" s="11"/>
      <c r="K540" s="11"/>
      <c r="L540" s="11"/>
      <c r="M540" s="11"/>
      <c r="N540" s="11"/>
      <c r="O540" s="12"/>
      <c r="P540" s="11"/>
      <c r="Q540" s="13"/>
      <c r="R540" s="14"/>
    </row>
    <row r="541" spans="1:18" ht="15" customHeight="1">
      <c r="A541" s="98" t="s">
        <v>61</v>
      </c>
      <c r="B541" s="98" t="s">
        <v>1043</v>
      </c>
      <c r="C541" s="99">
        <v>0.72222222222222221</v>
      </c>
      <c r="D541" s="98" t="s">
        <v>63</v>
      </c>
      <c r="E541" s="98" t="s">
        <v>177</v>
      </c>
      <c r="F541" s="98" t="s">
        <v>1106</v>
      </c>
      <c r="G541" s="298"/>
      <c r="H541" s="100" t="s">
        <v>1045</v>
      </c>
      <c r="I541" s="101">
        <v>0.1222</v>
      </c>
      <c r="J541" s="102">
        <v>22</v>
      </c>
      <c r="K541" s="103">
        <v>46338</v>
      </c>
      <c r="L541" s="102">
        <v>22</v>
      </c>
      <c r="M541" s="102">
        <v>0</v>
      </c>
      <c r="N541" s="102">
        <v>0</v>
      </c>
      <c r="O541" s="104" t="s">
        <v>589</v>
      </c>
      <c r="P541" s="105">
        <v>0.72222222222222221</v>
      </c>
      <c r="Q541" s="102">
        <v>180</v>
      </c>
      <c r="R541" s="106" t="s">
        <v>1107</v>
      </c>
    </row>
    <row r="542" spans="1:18" ht="15" customHeight="1">
      <c r="A542" s="19" t="s">
        <v>26</v>
      </c>
      <c r="B542" s="19" t="s">
        <v>1047</v>
      </c>
      <c r="C542" s="20">
        <v>0.33680555555555558</v>
      </c>
      <c r="D542" s="19" t="s">
        <v>28</v>
      </c>
      <c r="E542" s="19" t="s">
        <v>103</v>
      </c>
      <c r="F542" s="19" t="s">
        <v>349</v>
      </c>
      <c r="G542" s="298"/>
      <c r="H542" s="10"/>
      <c r="I542" s="11"/>
      <c r="J542" s="11"/>
      <c r="K542" s="11"/>
      <c r="L542" s="11"/>
      <c r="M542" s="11"/>
      <c r="N542" s="11"/>
      <c r="O542" s="12"/>
      <c r="P542" s="11"/>
      <c r="Q542" s="13"/>
      <c r="R542" s="14"/>
    </row>
    <row r="543" spans="1:18" ht="15" customHeight="1">
      <c r="A543" s="15" t="s">
        <v>26</v>
      </c>
      <c r="B543" s="15" t="s">
        <v>1047</v>
      </c>
      <c r="C543" s="16">
        <v>0.33680555555555558</v>
      </c>
      <c r="D543" s="15" t="s">
        <v>31</v>
      </c>
      <c r="E543" s="15" t="s">
        <v>99</v>
      </c>
      <c r="F543" s="15" t="s">
        <v>35</v>
      </c>
      <c r="G543" s="298"/>
      <c r="H543" s="10"/>
      <c r="I543" s="11"/>
      <c r="J543" s="11"/>
      <c r="K543" s="11"/>
      <c r="L543" s="11"/>
      <c r="M543" s="11"/>
      <c r="N543" s="11"/>
      <c r="O543" s="12"/>
      <c r="P543" s="11"/>
      <c r="Q543" s="13"/>
      <c r="R543" s="14"/>
    </row>
    <row r="544" spans="1:18" ht="15" customHeight="1">
      <c r="A544" s="15" t="s">
        <v>26</v>
      </c>
      <c r="B544" s="15" t="s">
        <v>1047</v>
      </c>
      <c r="C544" s="16">
        <v>0.33680555555555558</v>
      </c>
      <c r="D544" s="15" t="s">
        <v>34</v>
      </c>
      <c r="E544" s="15" t="s">
        <v>99</v>
      </c>
      <c r="F544" s="15" t="s">
        <v>503</v>
      </c>
      <c r="G544" s="298"/>
      <c r="H544" s="10"/>
      <c r="I544" s="11"/>
      <c r="J544" s="11"/>
      <c r="K544" s="11"/>
      <c r="L544" s="11"/>
      <c r="M544" s="11"/>
      <c r="N544" s="11"/>
      <c r="O544" s="12"/>
      <c r="P544" s="11"/>
      <c r="Q544" s="13"/>
      <c r="R544" s="14"/>
    </row>
    <row r="545" spans="1:18" ht="15" customHeight="1">
      <c r="A545" s="17" t="s">
        <v>26</v>
      </c>
      <c r="B545" s="17" t="s">
        <v>1049</v>
      </c>
      <c r="C545" s="18">
        <v>0.97222222222222221</v>
      </c>
      <c r="D545" s="17" t="s">
        <v>28</v>
      </c>
      <c r="E545" s="17" t="s">
        <v>134</v>
      </c>
      <c r="F545" s="17" t="s">
        <v>349</v>
      </c>
      <c r="G545" s="298"/>
      <c r="H545" s="10"/>
      <c r="I545" s="11"/>
      <c r="J545" s="11"/>
      <c r="K545" s="11"/>
      <c r="L545" s="11"/>
      <c r="M545" s="11"/>
      <c r="N545" s="11"/>
      <c r="O545" s="12"/>
      <c r="P545" s="11"/>
      <c r="Q545" s="13"/>
      <c r="R545" s="14"/>
    </row>
    <row r="546" spans="1:18" ht="15" customHeight="1">
      <c r="A546" s="15" t="s">
        <v>26</v>
      </c>
      <c r="B546" s="15" t="s">
        <v>1049</v>
      </c>
      <c r="C546" s="16">
        <v>0.97222222222222221</v>
      </c>
      <c r="D546" s="15" t="s">
        <v>31</v>
      </c>
      <c r="E546" s="15" t="s">
        <v>135</v>
      </c>
      <c r="F546" s="15" t="s">
        <v>35</v>
      </c>
      <c r="G546" s="298"/>
      <c r="H546" s="10"/>
      <c r="I546" s="11"/>
      <c r="J546" s="11"/>
      <c r="K546" s="11"/>
      <c r="L546" s="11"/>
      <c r="M546" s="11"/>
      <c r="N546" s="11"/>
      <c r="O546" s="12"/>
      <c r="P546" s="11"/>
      <c r="Q546" s="13"/>
      <c r="R546" s="14"/>
    </row>
    <row r="547" spans="1:18" ht="15" customHeight="1">
      <c r="A547" s="15" t="s">
        <v>26</v>
      </c>
      <c r="B547" s="15" t="s">
        <v>1049</v>
      </c>
      <c r="C547" s="16">
        <v>0.97222222222222221</v>
      </c>
      <c r="D547" s="15" t="s">
        <v>34</v>
      </c>
      <c r="E547" s="15" t="s">
        <v>135</v>
      </c>
      <c r="F547" s="15" t="s">
        <v>503</v>
      </c>
      <c r="G547" s="298"/>
      <c r="H547" s="10"/>
      <c r="I547" s="11"/>
      <c r="J547" s="11"/>
      <c r="K547" s="11"/>
      <c r="L547" s="11"/>
      <c r="M547" s="11"/>
      <c r="N547" s="11"/>
      <c r="O547" s="12"/>
      <c r="P547" s="11"/>
      <c r="Q547" s="13"/>
      <c r="R547" s="14"/>
    </row>
    <row r="548" spans="1:18" ht="15" customHeight="1">
      <c r="A548" s="19" t="s">
        <v>415</v>
      </c>
      <c r="B548" s="19" t="s">
        <v>1050</v>
      </c>
      <c r="C548" s="20">
        <v>0.34027777777777768</v>
      </c>
      <c r="D548" s="19" t="s">
        <v>63</v>
      </c>
      <c r="E548" s="19" t="s">
        <v>29</v>
      </c>
      <c r="F548" s="19" t="s">
        <v>1051</v>
      </c>
      <c r="G548" s="298"/>
      <c r="H548" s="10"/>
      <c r="I548" s="11"/>
      <c r="J548" s="11"/>
      <c r="K548" s="11"/>
      <c r="L548" s="11"/>
      <c r="M548" s="11"/>
      <c r="N548" s="11"/>
      <c r="O548" s="12"/>
      <c r="P548" s="11"/>
      <c r="Q548" s="13"/>
      <c r="R548" s="14"/>
    </row>
    <row r="549" spans="1:18" ht="15" customHeight="1">
      <c r="A549" s="19" t="s">
        <v>359</v>
      </c>
      <c r="B549" s="19" t="s">
        <v>1065</v>
      </c>
      <c r="C549" s="20">
        <v>0.78472222222222221</v>
      </c>
      <c r="D549" s="19" t="s">
        <v>361</v>
      </c>
      <c r="E549" s="19" t="s">
        <v>80</v>
      </c>
      <c r="F549" s="19" t="s">
        <v>1080</v>
      </c>
      <c r="G549" s="298"/>
      <c r="H549" s="10"/>
      <c r="I549" s="11"/>
      <c r="J549" s="11"/>
      <c r="K549" s="11"/>
      <c r="L549" s="11"/>
      <c r="M549" s="11"/>
      <c r="N549" s="11"/>
      <c r="O549" s="12"/>
      <c r="P549" s="11"/>
      <c r="Q549" s="13"/>
      <c r="R549" s="14"/>
    </row>
    <row r="550" spans="1:18" ht="15" customHeight="1">
      <c r="A550" s="15" t="s">
        <v>359</v>
      </c>
      <c r="B550" s="15" t="s">
        <v>1065</v>
      </c>
      <c r="C550" s="16">
        <v>0.78472222222222221</v>
      </c>
      <c r="D550" s="15" t="s">
        <v>46</v>
      </c>
      <c r="E550" s="15" t="s">
        <v>82</v>
      </c>
      <c r="F550" s="15" t="s">
        <v>1081</v>
      </c>
      <c r="G550" s="298"/>
      <c r="H550" s="10"/>
      <c r="I550" s="11"/>
      <c r="J550" s="11"/>
      <c r="K550" s="11"/>
      <c r="L550" s="11"/>
      <c r="M550" s="11"/>
      <c r="N550" s="11"/>
      <c r="O550" s="12"/>
      <c r="P550" s="11"/>
      <c r="Q550" s="13"/>
      <c r="R550" s="14"/>
    </row>
    <row r="551" spans="1:18" ht="15" customHeight="1">
      <c r="A551" s="19" t="s">
        <v>402</v>
      </c>
      <c r="B551" s="19" t="s">
        <v>1057</v>
      </c>
      <c r="C551" s="20">
        <v>0.69444444444444453</v>
      </c>
      <c r="D551" s="19" t="s">
        <v>63</v>
      </c>
      <c r="E551" s="19" t="s">
        <v>29</v>
      </c>
      <c r="F551" s="19" t="s">
        <v>1058</v>
      </c>
      <c r="G551" s="298"/>
      <c r="H551" s="10"/>
      <c r="I551" s="11"/>
      <c r="J551" s="11"/>
      <c r="K551" s="11"/>
      <c r="L551" s="11"/>
      <c r="M551" s="11"/>
      <c r="N551" s="11"/>
      <c r="O551" s="12"/>
      <c r="P551" s="11"/>
      <c r="Q551" s="13"/>
      <c r="R551" s="14"/>
    </row>
    <row r="552" spans="1:18" ht="15" customHeight="1">
      <c r="A552" s="19" t="s">
        <v>68</v>
      </c>
      <c r="B552" s="19" t="s">
        <v>1052</v>
      </c>
      <c r="C552" s="20">
        <v>0.33680555555555558</v>
      </c>
      <c r="D552" s="19" t="s">
        <v>70</v>
      </c>
      <c r="E552" s="19" t="s">
        <v>51</v>
      </c>
      <c r="F552" s="19" t="s">
        <v>1055</v>
      </c>
      <c r="G552" s="298"/>
      <c r="H552" s="10"/>
      <c r="I552" s="11"/>
      <c r="J552" s="11"/>
      <c r="K552" s="11"/>
      <c r="L552" s="11"/>
      <c r="M552" s="11"/>
      <c r="N552" s="11"/>
      <c r="O552" s="12"/>
      <c r="P552" s="11"/>
      <c r="Q552" s="13"/>
      <c r="R552" s="14"/>
    </row>
    <row r="553" spans="1:18" ht="15" customHeight="1">
      <c r="A553" s="17" t="s">
        <v>68</v>
      </c>
      <c r="B553" s="17" t="s">
        <v>1054</v>
      </c>
      <c r="C553" s="18">
        <v>0.97916666666666663</v>
      </c>
      <c r="D553" s="17" t="s">
        <v>70</v>
      </c>
      <c r="E553" s="17" t="s">
        <v>57</v>
      </c>
      <c r="F553" s="17" t="s">
        <v>1055</v>
      </c>
      <c r="G553" s="298"/>
      <c r="H553" s="10"/>
      <c r="I553" s="11"/>
      <c r="J553" s="11"/>
      <c r="K553" s="11"/>
      <c r="L553" s="11"/>
      <c r="M553" s="11"/>
      <c r="N553" s="11"/>
      <c r="O553" s="12"/>
      <c r="P553" s="11"/>
      <c r="Q553" s="13"/>
      <c r="R553" s="14"/>
    </row>
    <row r="554" spans="1:18" ht="15" customHeight="1">
      <c r="A554" s="17" t="s">
        <v>68</v>
      </c>
      <c r="B554" s="17" t="s">
        <v>1056</v>
      </c>
      <c r="C554" s="18">
        <v>0.67361111111111116</v>
      </c>
      <c r="D554" s="17" t="s">
        <v>70</v>
      </c>
      <c r="E554" s="17" t="s">
        <v>372</v>
      </c>
      <c r="F554" s="17" t="s">
        <v>1055</v>
      </c>
      <c r="G554" s="298"/>
      <c r="H554" s="10"/>
      <c r="I554" s="11"/>
      <c r="J554" s="11"/>
      <c r="K554" s="11"/>
      <c r="L554" s="11"/>
      <c r="M554" s="11"/>
      <c r="N554" s="11"/>
      <c r="O554" s="12"/>
      <c r="P554" s="11"/>
      <c r="Q554" s="13"/>
      <c r="R554" s="14"/>
    </row>
    <row r="555" spans="1:18" ht="15" customHeight="1">
      <c r="A555" s="96" t="s">
        <v>48</v>
      </c>
      <c r="B555" s="96" t="s">
        <v>1060</v>
      </c>
      <c r="C555" s="97">
        <v>0.44791666666666669</v>
      </c>
      <c r="D555" s="96" t="s">
        <v>53</v>
      </c>
      <c r="E555" s="96" t="s">
        <v>29</v>
      </c>
      <c r="F555" s="96" t="s">
        <v>946</v>
      </c>
      <c r="G555" s="299"/>
      <c r="H555" s="300"/>
      <c r="I555" s="140"/>
      <c r="J555" s="140"/>
      <c r="K555" s="140"/>
      <c r="L555" s="140"/>
      <c r="M555" s="140"/>
      <c r="N555" s="140"/>
      <c r="O555" s="141"/>
      <c r="P555" s="140"/>
      <c r="Q555" s="142"/>
      <c r="R555" s="301"/>
    </row>
  </sheetData>
  <mergeCells count="130">
    <mergeCell ref="A535:R535"/>
    <mergeCell ref="G181:G193"/>
    <mergeCell ref="G396:G408"/>
    <mergeCell ref="H53:R53"/>
    <mergeCell ref="A410:F410"/>
    <mergeCell ref="G197:G210"/>
    <mergeCell ref="H464:R464"/>
    <mergeCell ref="A283:R283"/>
    <mergeCell ref="A463:R463"/>
    <mergeCell ref="A519:R519"/>
    <mergeCell ref="A394:F394"/>
    <mergeCell ref="A500:F500"/>
    <mergeCell ref="H484:R484"/>
    <mergeCell ref="A53:F53"/>
    <mergeCell ref="G286:G303"/>
    <mergeCell ref="A520:F520"/>
    <mergeCell ref="H1:L1"/>
    <mergeCell ref="A1:E1"/>
    <mergeCell ref="A267:R267"/>
    <mergeCell ref="A464:F464"/>
    <mergeCell ref="H394:R394"/>
    <mergeCell ref="G360:G372"/>
    <mergeCell ref="H232:R232"/>
    <mergeCell ref="A321:F321"/>
    <mergeCell ref="A159:F159"/>
    <mergeCell ref="A20:F20"/>
    <mergeCell ref="A35:R35"/>
    <mergeCell ref="A122:R122"/>
    <mergeCell ref="A19:R19"/>
    <mergeCell ref="H321:R321"/>
    <mergeCell ref="G109:G121"/>
    <mergeCell ref="A338:F338"/>
    <mergeCell ref="G340:G356"/>
    <mergeCell ref="H268:R268"/>
    <mergeCell ref="G22:G34"/>
    <mergeCell ref="A107:F107"/>
    <mergeCell ref="H87:R87"/>
    <mergeCell ref="A142:R142"/>
    <mergeCell ref="A358:F358"/>
    <mergeCell ref="A304:R304"/>
    <mergeCell ref="A536:F536"/>
    <mergeCell ref="A70:F70"/>
    <mergeCell ref="G323:G336"/>
    <mergeCell ref="G538:G555"/>
    <mergeCell ref="H107:R107"/>
    <mergeCell ref="A212:F212"/>
    <mergeCell ref="A305:F305"/>
    <mergeCell ref="H536:R536"/>
    <mergeCell ref="H284:R284"/>
    <mergeCell ref="H520:R520"/>
    <mergeCell ref="A447:F447"/>
    <mergeCell ref="H212:R212"/>
    <mergeCell ref="G72:G85"/>
    <mergeCell ref="A195:F195"/>
    <mergeCell ref="G522:G534"/>
    <mergeCell ref="H500:R500"/>
    <mergeCell ref="A499:R499"/>
    <mergeCell ref="A483:R483"/>
    <mergeCell ref="G486:G498"/>
    <mergeCell ref="A106:R106"/>
    <mergeCell ref="H123:R123"/>
    <mergeCell ref="G502:G518"/>
    <mergeCell ref="A484:F484"/>
    <mergeCell ref="A393:R393"/>
    <mergeCell ref="A2:F2"/>
    <mergeCell ref="H143:R143"/>
    <mergeCell ref="A194:R194"/>
    <mergeCell ref="G125:G141"/>
    <mergeCell ref="H36:R36"/>
    <mergeCell ref="G466:G482"/>
    <mergeCell ref="A231:R231"/>
    <mergeCell ref="G376:G392"/>
    <mergeCell ref="G250:G266"/>
    <mergeCell ref="A232:F232"/>
    <mergeCell ref="G89:G105"/>
    <mergeCell ref="H159:R159"/>
    <mergeCell ref="G270:G282"/>
    <mergeCell ref="A337:R337"/>
    <mergeCell ref="H248:R248"/>
    <mergeCell ref="A268:F268"/>
    <mergeCell ref="G214:G230"/>
    <mergeCell ref="G55:G68"/>
    <mergeCell ref="A179:F179"/>
    <mergeCell ref="A374:F374"/>
    <mergeCell ref="A247:R247"/>
    <mergeCell ref="G6:G18"/>
    <mergeCell ref="G2:J2"/>
    <mergeCell ref="H358:R358"/>
    <mergeCell ref="N1:R1"/>
    <mergeCell ref="G234:G246"/>
    <mergeCell ref="H374:R374"/>
    <mergeCell ref="A52:R52"/>
    <mergeCell ref="K2:R2"/>
    <mergeCell ref="A143:F143"/>
    <mergeCell ref="A211:R211"/>
    <mergeCell ref="H410:R410"/>
    <mergeCell ref="H447:R447"/>
    <mergeCell ref="A36:F36"/>
    <mergeCell ref="A446:R446"/>
    <mergeCell ref="A430:R430"/>
    <mergeCell ref="A87:F87"/>
    <mergeCell ref="A69:R69"/>
    <mergeCell ref="H20:R20"/>
    <mergeCell ref="G161:G177"/>
    <mergeCell ref="A158:R158"/>
    <mergeCell ref="A248:F248"/>
    <mergeCell ref="H4:R4"/>
    <mergeCell ref="G307:G319"/>
    <mergeCell ref="A409:R409"/>
    <mergeCell ref="A3:R3"/>
    <mergeCell ref="A86:R86"/>
    <mergeCell ref="G412:G429"/>
    <mergeCell ref="A4:F4"/>
    <mergeCell ref="H70:R70"/>
    <mergeCell ref="A373:R373"/>
    <mergeCell ref="A357:R357"/>
    <mergeCell ref="G433:G445"/>
    <mergeCell ref="H305:R305"/>
    <mergeCell ref="G449:G462"/>
    <mergeCell ref="A320:R320"/>
    <mergeCell ref="A431:F431"/>
    <mergeCell ref="A284:F284"/>
    <mergeCell ref="H338:R338"/>
    <mergeCell ref="A123:F123"/>
    <mergeCell ref="G38:G51"/>
    <mergeCell ref="A178:R178"/>
    <mergeCell ref="H195:R195"/>
    <mergeCell ref="H431:R431"/>
    <mergeCell ref="G145:G157"/>
    <mergeCell ref="H179:R179"/>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J21"/>
  <sheetViews>
    <sheetView workbookViewId="0"/>
  </sheetViews>
  <sheetFormatPr defaultColWidth="8.85546875" defaultRowHeight="15.6" outlineLevelCol="1"/>
  <cols>
    <col min="1" max="1" width="9.85546875" style="266" bestFit="1" customWidth="1"/>
    <col min="2" max="2" width="9.7109375" style="266" bestFit="1" customWidth="1"/>
    <col min="3" max="3" width="6.7109375" style="266" bestFit="1" customWidth="1"/>
    <col min="4" max="4" width="5.5703125" style="266" bestFit="1" customWidth="1"/>
    <col min="5" max="5" width="9.28515625" style="266" bestFit="1" customWidth="1"/>
    <col min="6" max="6" width="4.28515625" style="266" bestFit="1" customWidth="1"/>
    <col min="7" max="7" width="10" style="266" bestFit="1" customWidth="1"/>
    <col min="8" max="8" width="8.5703125" style="266" bestFit="1" customWidth="1"/>
    <col min="9"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1" width="3.85546875" style="266" bestFit="1" customWidth="1"/>
    <col min="22" max="23" width="4.28515625" style="266" bestFit="1" customWidth="1"/>
    <col min="24" max="24" width="4.140625" style="266" bestFit="1" customWidth="1"/>
    <col min="25" max="25" width="3.85546875" style="266" bestFit="1" customWidth="1"/>
    <col min="26" max="26" width="4.140625" style="266" bestFit="1" customWidth="1"/>
    <col min="27" max="27" width="4" style="266" bestFit="1" customWidth="1"/>
    <col min="28" max="29" width="4.28515625" style="266" bestFit="1" customWidth="1"/>
    <col min="30" max="30" width="4.5703125" style="266" bestFit="1" customWidth="1"/>
    <col min="31"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230</v>
      </c>
      <c r="B2" s="268">
        <v>46023</v>
      </c>
      <c r="C2" s="269" t="s">
        <v>1045</v>
      </c>
      <c r="D2" s="270" t="s">
        <v>1108</v>
      </c>
      <c r="E2" s="269" t="s">
        <v>1040</v>
      </c>
      <c r="F2" s="269" t="s">
        <v>232</v>
      </c>
      <c r="G2" s="271">
        <v>0.17219999999999999</v>
      </c>
      <c r="H2" s="272">
        <v>180</v>
      </c>
      <c r="I2" s="272">
        <v>31</v>
      </c>
      <c r="J2" s="272">
        <v>0</v>
      </c>
      <c r="K2" s="269" t="s">
        <v>233</v>
      </c>
      <c r="L2" s="273">
        <v>46344</v>
      </c>
      <c r="M2" s="272">
        <v>0</v>
      </c>
      <c r="N2" s="272">
        <v>0</v>
      </c>
      <c r="O2" s="272">
        <v>31</v>
      </c>
      <c r="P2" s="269" t="s">
        <v>302</v>
      </c>
      <c r="Q2" s="265"/>
      <c r="R2" s="265"/>
      <c r="S2" s="265"/>
      <c r="T2" s="265"/>
      <c r="U2" s="265"/>
      <c r="V2" s="265"/>
      <c r="W2" s="265"/>
      <c r="X2" s="265"/>
      <c r="Y2" s="265"/>
      <c r="Z2" s="265"/>
      <c r="AA2" s="265"/>
      <c r="AB2" s="265"/>
      <c r="AC2" s="272" t="s">
        <v>1109</v>
      </c>
      <c r="AD2" s="272" t="s">
        <v>584</v>
      </c>
      <c r="AE2" s="272" t="s">
        <v>968</v>
      </c>
      <c r="AF2" s="272" t="s">
        <v>244</v>
      </c>
      <c r="AG2" s="265"/>
      <c r="AH2" s="265"/>
      <c r="AI2" s="265"/>
      <c r="AJ2" s="265"/>
    </row>
    <row r="3" spans="1:36">
      <c r="A3" s="267" t="s">
        <v>560</v>
      </c>
      <c r="B3" s="268">
        <v>46024</v>
      </c>
      <c r="C3" s="269" t="s">
        <v>1045</v>
      </c>
      <c r="D3" s="270" t="s">
        <v>231</v>
      </c>
      <c r="E3" s="269" t="s">
        <v>1040</v>
      </c>
      <c r="F3" s="269" t="s">
        <v>232</v>
      </c>
      <c r="G3" s="271">
        <v>0.1444</v>
      </c>
      <c r="H3" s="272">
        <v>180</v>
      </c>
      <c r="I3" s="272">
        <v>26</v>
      </c>
      <c r="J3" s="272">
        <v>0</v>
      </c>
      <c r="K3" s="269" t="s">
        <v>233</v>
      </c>
      <c r="L3" s="273">
        <v>46343</v>
      </c>
      <c r="M3" s="272">
        <v>0</v>
      </c>
      <c r="N3" s="272">
        <v>0</v>
      </c>
      <c r="O3" s="272">
        <v>26</v>
      </c>
      <c r="P3" s="269" t="s">
        <v>305</v>
      </c>
      <c r="Q3" s="265"/>
      <c r="R3" s="265"/>
      <c r="S3" s="265"/>
      <c r="T3" s="265"/>
      <c r="U3" s="265"/>
      <c r="V3" s="265"/>
      <c r="W3" s="265"/>
      <c r="X3" s="265"/>
      <c r="Y3" s="265"/>
      <c r="Z3" s="265"/>
      <c r="AA3" s="265"/>
      <c r="AB3" s="272" t="s">
        <v>471</v>
      </c>
      <c r="AC3" s="272" t="s">
        <v>301</v>
      </c>
      <c r="AD3" s="272" t="s">
        <v>584</v>
      </c>
      <c r="AE3" s="272" t="s">
        <v>967</v>
      </c>
      <c r="AF3" s="265"/>
      <c r="AG3" s="265"/>
      <c r="AH3" s="265"/>
      <c r="AI3" s="265"/>
      <c r="AJ3" s="265"/>
    </row>
    <row r="4" spans="1:36">
      <c r="A4" s="267" t="s">
        <v>234</v>
      </c>
      <c r="B4" s="268">
        <v>46025</v>
      </c>
      <c r="C4" s="269" t="s">
        <v>1045</v>
      </c>
      <c r="D4" s="270" t="s">
        <v>1108</v>
      </c>
      <c r="E4" s="269" t="s">
        <v>1040</v>
      </c>
      <c r="F4" s="269" t="s">
        <v>232</v>
      </c>
      <c r="G4" s="271">
        <v>0.27779999999999999</v>
      </c>
      <c r="H4" s="272">
        <v>180</v>
      </c>
      <c r="I4" s="272">
        <v>50</v>
      </c>
      <c r="J4" s="272">
        <v>0</v>
      </c>
      <c r="K4" s="269" t="s">
        <v>233</v>
      </c>
      <c r="L4" s="273">
        <v>46345</v>
      </c>
      <c r="M4" s="272">
        <v>0</v>
      </c>
      <c r="N4" s="272">
        <v>0</v>
      </c>
      <c r="O4" s="272">
        <v>50</v>
      </c>
      <c r="P4" s="269" t="s">
        <v>1069</v>
      </c>
      <c r="Q4" s="265"/>
      <c r="R4" s="265"/>
      <c r="S4" s="265"/>
      <c r="T4" s="265"/>
      <c r="U4" s="265"/>
      <c r="V4" s="265"/>
      <c r="W4" s="265"/>
      <c r="X4" s="265"/>
      <c r="Y4" s="265"/>
      <c r="Z4" s="272" t="s">
        <v>569</v>
      </c>
      <c r="AA4" s="272" t="s">
        <v>514</v>
      </c>
      <c r="AB4" s="272" t="s">
        <v>1110</v>
      </c>
      <c r="AC4" s="272" t="s">
        <v>1109</v>
      </c>
      <c r="AD4" s="272" t="s">
        <v>549</v>
      </c>
      <c r="AE4" s="265"/>
      <c r="AF4" s="265"/>
      <c r="AG4" s="265"/>
      <c r="AH4" s="265"/>
      <c r="AI4" s="265"/>
      <c r="AJ4" s="265"/>
    </row>
    <row r="5" spans="1:36">
      <c r="A5" s="267" t="s">
        <v>242</v>
      </c>
      <c r="B5" s="268">
        <v>46028</v>
      </c>
      <c r="C5" s="269" t="s">
        <v>1045</v>
      </c>
      <c r="D5" s="270" t="s">
        <v>1111</v>
      </c>
      <c r="E5" s="269" t="s">
        <v>1040</v>
      </c>
      <c r="F5" s="269" t="s">
        <v>232</v>
      </c>
      <c r="G5" s="271">
        <v>8.8900000000000007E-2</v>
      </c>
      <c r="H5" s="272">
        <v>180</v>
      </c>
      <c r="I5" s="272">
        <v>16</v>
      </c>
      <c r="J5" s="272">
        <v>0</v>
      </c>
      <c r="K5" s="269" t="s">
        <v>233</v>
      </c>
      <c r="L5" s="273">
        <v>46344</v>
      </c>
      <c r="M5" s="272">
        <v>0</v>
      </c>
      <c r="N5" s="272">
        <v>0</v>
      </c>
      <c r="O5" s="272">
        <v>16</v>
      </c>
      <c r="P5" s="269" t="s">
        <v>552</v>
      </c>
      <c r="Q5" s="265"/>
      <c r="R5" s="265"/>
      <c r="S5" s="265"/>
      <c r="T5" s="265"/>
      <c r="U5" s="265"/>
      <c r="V5" s="265"/>
      <c r="W5" s="265"/>
      <c r="X5" s="265"/>
      <c r="Y5" s="265"/>
      <c r="Z5" s="265"/>
      <c r="AA5" s="265"/>
      <c r="AB5" s="265"/>
      <c r="AC5" s="272" t="s">
        <v>304</v>
      </c>
      <c r="AD5" s="272" t="s">
        <v>367</v>
      </c>
      <c r="AE5" s="272" t="s">
        <v>918</v>
      </c>
      <c r="AF5" s="272" t="s">
        <v>901</v>
      </c>
      <c r="AG5" s="265"/>
      <c r="AH5" s="265"/>
      <c r="AI5" s="265"/>
      <c r="AJ5" s="265"/>
    </row>
    <row r="6" spans="1:36">
      <c r="A6" s="267" t="s">
        <v>230</v>
      </c>
      <c r="B6" s="268">
        <v>46030</v>
      </c>
      <c r="C6" s="269" t="s">
        <v>1045</v>
      </c>
      <c r="D6" s="270" t="s">
        <v>1108</v>
      </c>
      <c r="E6" s="269" t="s">
        <v>1040</v>
      </c>
      <c r="F6" s="269" t="s">
        <v>232</v>
      </c>
      <c r="G6" s="271">
        <v>8.3299999999999999E-2</v>
      </c>
      <c r="H6" s="272">
        <v>180</v>
      </c>
      <c r="I6" s="272">
        <v>15</v>
      </c>
      <c r="J6" s="272">
        <v>0</v>
      </c>
      <c r="K6" s="269" t="s">
        <v>233</v>
      </c>
      <c r="L6" s="273">
        <v>46343</v>
      </c>
      <c r="M6" s="272">
        <v>0</v>
      </c>
      <c r="N6" s="272">
        <v>0</v>
      </c>
      <c r="O6" s="272">
        <v>15</v>
      </c>
      <c r="P6" s="269" t="s">
        <v>570</v>
      </c>
      <c r="Q6" s="265"/>
      <c r="R6" s="265"/>
      <c r="S6" s="265"/>
      <c r="T6" s="265"/>
      <c r="U6" s="265"/>
      <c r="V6" s="265"/>
      <c r="W6" s="265"/>
      <c r="X6" s="265"/>
      <c r="Y6" s="265"/>
      <c r="Z6" s="265"/>
      <c r="AA6" s="265"/>
      <c r="AB6" s="265"/>
      <c r="AC6" s="272" t="s">
        <v>304</v>
      </c>
      <c r="AD6" s="272" t="s">
        <v>367</v>
      </c>
      <c r="AE6" s="272" t="s">
        <v>918</v>
      </c>
      <c r="AF6" s="272" t="s">
        <v>819</v>
      </c>
      <c r="AG6" s="265"/>
      <c r="AH6" s="265"/>
      <c r="AI6" s="265"/>
      <c r="AJ6" s="265"/>
    </row>
    <row r="7" spans="1:36">
      <c r="A7" s="267" t="s">
        <v>560</v>
      </c>
      <c r="B7" s="268">
        <v>46031</v>
      </c>
      <c r="C7" s="269" t="s">
        <v>1045</v>
      </c>
      <c r="D7" s="270" t="s">
        <v>231</v>
      </c>
      <c r="E7" s="269" t="s">
        <v>1040</v>
      </c>
      <c r="F7" s="269" t="s">
        <v>232</v>
      </c>
      <c r="G7" s="271">
        <v>0.1056</v>
      </c>
      <c r="H7" s="272">
        <v>180</v>
      </c>
      <c r="I7" s="272">
        <v>19</v>
      </c>
      <c r="J7" s="272">
        <v>0</v>
      </c>
      <c r="K7" s="269" t="s">
        <v>233</v>
      </c>
      <c r="L7" s="273">
        <v>46343</v>
      </c>
      <c r="M7" s="272">
        <v>0</v>
      </c>
      <c r="N7" s="272">
        <v>0</v>
      </c>
      <c r="O7" s="272">
        <v>19</v>
      </c>
      <c r="P7" s="269" t="s">
        <v>368</v>
      </c>
      <c r="Q7" s="265"/>
      <c r="R7" s="265"/>
      <c r="S7" s="265"/>
      <c r="T7" s="265"/>
      <c r="U7" s="265"/>
      <c r="V7" s="265"/>
      <c r="W7" s="265"/>
      <c r="X7" s="265"/>
      <c r="Y7" s="265"/>
      <c r="Z7" s="265"/>
      <c r="AA7" s="265"/>
      <c r="AB7" s="265"/>
      <c r="AC7" s="272" t="s">
        <v>298</v>
      </c>
      <c r="AD7" s="272" t="s">
        <v>552</v>
      </c>
      <c r="AE7" s="272" t="s">
        <v>968</v>
      </c>
      <c r="AF7" s="272" t="s">
        <v>591</v>
      </c>
      <c r="AG7" s="265"/>
      <c r="AH7" s="265"/>
      <c r="AI7" s="265"/>
      <c r="AJ7" s="265"/>
    </row>
    <row r="8" spans="1:36">
      <c r="A8" s="267" t="s">
        <v>234</v>
      </c>
      <c r="B8" s="268">
        <v>46032</v>
      </c>
      <c r="C8" s="269" t="s">
        <v>1045</v>
      </c>
      <c r="D8" s="270" t="s">
        <v>1108</v>
      </c>
      <c r="E8" s="269" t="s">
        <v>1040</v>
      </c>
      <c r="F8" s="269" t="s">
        <v>232</v>
      </c>
      <c r="G8" s="271">
        <v>0.2389</v>
      </c>
      <c r="H8" s="272">
        <v>180</v>
      </c>
      <c r="I8" s="272">
        <v>43</v>
      </c>
      <c r="J8" s="272">
        <v>0</v>
      </c>
      <c r="K8" s="269" t="s">
        <v>233</v>
      </c>
      <c r="L8" s="273">
        <v>46345</v>
      </c>
      <c r="M8" s="272">
        <v>0</v>
      </c>
      <c r="N8" s="272">
        <v>0</v>
      </c>
      <c r="O8" s="272">
        <v>43</v>
      </c>
      <c r="P8" s="269" t="s">
        <v>310</v>
      </c>
      <c r="Q8" s="265"/>
      <c r="R8" s="265"/>
      <c r="S8" s="265"/>
      <c r="T8" s="265"/>
      <c r="U8" s="265"/>
      <c r="V8" s="265"/>
      <c r="W8" s="265"/>
      <c r="X8" s="265"/>
      <c r="Y8" s="265"/>
      <c r="Z8" s="272" t="s">
        <v>174</v>
      </c>
      <c r="AA8" s="272" t="s">
        <v>587</v>
      </c>
      <c r="AB8" s="272" t="s">
        <v>1112</v>
      </c>
      <c r="AC8" s="272" t="s">
        <v>1037</v>
      </c>
      <c r="AD8" s="272" t="s">
        <v>552</v>
      </c>
      <c r="AE8" s="272" t="s">
        <v>967</v>
      </c>
      <c r="AF8" s="265"/>
      <c r="AG8" s="265"/>
      <c r="AH8" s="265"/>
      <c r="AI8" s="265"/>
      <c r="AJ8" s="265"/>
    </row>
    <row r="9" spans="1:36">
      <c r="A9" s="267" t="s">
        <v>242</v>
      </c>
      <c r="B9" s="268">
        <v>46035</v>
      </c>
      <c r="C9" s="269" t="s">
        <v>1045</v>
      </c>
      <c r="D9" s="270" t="s">
        <v>1111</v>
      </c>
      <c r="E9" s="269" t="s">
        <v>1040</v>
      </c>
      <c r="F9" s="269" t="s">
        <v>232</v>
      </c>
      <c r="G9" s="271">
        <v>0.1333</v>
      </c>
      <c r="H9" s="272">
        <v>180</v>
      </c>
      <c r="I9" s="272">
        <v>24</v>
      </c>
      <c r="J9" s="272">
        <v>0</v>
      </c>
      <c r="K9" s="269" t="s">
        <v>233</v>
      </c>
      <c r="L9" s="273">
        <v>46344</v>
      </c>
      <c r="M9" s="272">
        <v>0</v>
      </c>
      <c r="N9" s="272">
        <v>0</v>
      </c>
      <c r="O9" s="272">
        <v>24</v>
      </c>
      <c r="P9" s="269" t="s">
        <v>305</v>
      </c>
      <c r="Q9" s="265"/>
      <c r="R9" s="265"/>
      <c r="S9" s="265"/>
      <c r="T9" s="265"/>
      <c r="U9" s="265"/>
      <c r="V9" s="265"/>
      <c r="W9" s="265"/>
      <c r="X9" s="265"/>
      <c r="Y9" s="265"/>
      <c r="Z9" s="265"/>
      <c r="AA9" s="265"/>
      <c r="AB9" s="265"/>
      <c r="AC9" s="272" t="s">
        <v>301</v>
      </c>
      <c r="AD9" s="272" t="s">
        <v>508</v>
      </c>
      <c r="AE9" s="272" t="s">
        <v>918</v>
      </c>
      <c r="AF9" s="272" t="s">
        <v>244</v>
      </c>
      <c r="AG9" s="265"/>
      <c r="AH9" s="265"/>
      <c r="AI9" s="265"/>
      <c r="AJ9" s="265"/>
    </row>
    <row r="10" spans="1:36">
      <c r="A10" s="267" t="s">
        <v>230</v>
      </c>
      <c r="B10" s="268">
        <v>46037</v>
      </c>
      <c r="C10" s="269" t="s">
        <v>1045</v>
      </c>
      <c r="D10" s="270" t="s">
        <v>1108</v>
      </c>
      <c r="E10" s="269" t="s">
        <v>1040</v>
      </c>
      <c r="F10" s="269" t="s">
        <v>232</v>
      </c>
      <c r="G10" s="271">
        <v>4.4400000000000002E-2</v>
      </c>
      <c r="H10" s="272">
        <v>180</v>
      </c>
      <c r="I10" s="272">
        <v>8</v>
      </c>
      <c r="J10" s="272">
        <v>0</v>
      </c>
      <c r="K10" s="269" t="s">
        <v>233</v>
      </c>
      <c r="L10" s="273">
        <v>46343</v>
      </c>
      <c r="M10" s="272">
        <v>0</v>
      </c>
      <c r="N10" s="272">
        <v>0</v>
      </c>
      <c r="O10" s="272">
        <v>8</v>
      </c>
      <c r="P10" s="269" t="s">
        <v>667</v>
      </c>
      <c r="Q10" s="265"/>
      <c r="R10" s="265"/>
      <c r="S10" s="265"/>
      <c r="T10" s="265"/>
      <c r="U10" s="265"/>
      <c r="V10" s="265"/>
      <c r="W10" s="265"/>
      <c r="X10" s="265"/>
      <c r="Y10" s="272" t="s">
        <v>1034</v>
      </c>
      <c r="Z10" s="265"/>
      <c r="AA10" s="265"/>
      <c r="AB10" s="265"/>
      <c r="AC10" s="272" t="s">
        <v>299</v>
      </c>
      <c r="AD10" s="265"/>
      <c r="AE10" s="265"/>
      <c r="AF10" s="265"/>
      <c r="AG10" s="265"/>
      <c r="AH10" s="265"/>
      <c r="AI10" s="265"/>
      <c r="AJ10" s="265"/>
    </row>
    <row r="11" spans="1:36">
      <c r="A11" s="267" t="s">
        <v>560</v>
      </c>
      <c r="B11" s="268">
        <v>46038</v>
      </c>
      <c r="C11" s="269" t="s">
        <v>1045</v>
      </c>
      <c r="D11" s="270" t="s">
        <v>231</v>
      </c>
      <c r="E11" s="269" t="s">
        <v>1040</v>
      </c>
      <c r="F11" s="269" t="s">
        <v>232</v>
      </c>
      <c r="G11" s="271">
        <v>8.3299999999999999E-2</v>
      </c>
      <c r="H11" s="272">
        <v>180</v>
      </c>
      <c r="I11" s="272">
        <v>15</v>
      </c>
      <c r="J11" s="272">
        <v>0</v>
      </c>
      <c r="K11" s="269" t="s">
        <v>233</v>
      </c>
      <c r="L11" s="273">
        <v>46343</v>
      </c>
      <c r="M11" s="272">
        <v>0</v>
      </c>
      <c r="N11" s="272">
        <v>0</v>
      </c>
      <c r="O11" s="272">
        <v>13</v>
      </c>
      <c r="P11" s="269" t="s">
        <v>1087</v>
      </c>
      <c r="Q11" s="265"/>
      <c r="R11" s="265"/>
      <c r="S11" s="265"/>
      <c r="T11" s="265"/>
      <c r="U11" s="265"/>
      <c r="V11" s="265"/>
      <c r="W11" s="265"/>
      <c r="X11" s="265"/>
      <c r="Y11" s="272" t="s">
        <v>667</v>
      </c>
      <c r="Z11" s="272" t="s">
        <v>1113</v>
      </c>
      <c r="AA11" s="272" t="s">
        <v>318</v>
      </c>
      <c r="AB11" s="265"/>
      <c r="AC11" s="265"/>
      <c r="AD11" s="265"/>
      <c r="AE11" s="265"/>
      <c r="AF11" s="265"/>
      <c r="AG11" s="265"/>
      <c r="AH11" s="265"/>
      <c r="AI11" s="265"/>
      <c r="AJ11" s="265"/>
    </row>
    <row r="12" spans="1:36">
      <c r="A12" s="267" t="s">
        <v>234</v>
      </c>
      <c r="B12" s="268">
        <v>46039</v>
      </c>
      <c r="C12" s="269" t="s">
        <v>1045</v>
      </c>
      <c r="D12" s="270" t="s">
        <v>1108</v>
      </c>
      <c r="E12" s="269" t="s">
        <v>1040</v>
      </c>
      <c r="F12" s="269" t="s">
        <v>232</v>
      </c>
      <c r="G12" s="271">
        <v>0.25559999999999999</v>
      </c>
      <c r="H12" s="272">
        <v>180</v>
      </c>
      <c r="I12" s="272">
        <v>46</v>
      </c>
      <c r="J12" s="272">
        <v>0</v>
      </c>
      <c r="K12" s="269" t="s">
        <v>233</v>
      </c>
      <c r="L12" s="273">
        <v>46338</v>
      </c>
      <c r="M12" s="272">
        <v>0</v>
      </c>
      <c r="N12" s="272">
        <v>0</v>
      </c>
      <c r="O12" s="272">
        <v>46</v>
      </c>
      <c r="P12" s="269" t="s">
        <v>1094</v>
      </c>
      <c r="Q12" s="265"/>
      <c r="R12" s="265"/>
      <c r="S12" s="265"/>
      <c r="T12" s="265"/>
      <c r="U12" s="265"/>
      <c r="V12" s="272" t="s">
        <v>1114</v>
      </c>
      <c r="W12" s="272" t="s">
        <v>1115</v>
      </c>
      <c r="X12" s="272" t="s">
        <v>1116</v>
      </c>
      <c r="Y12" s="272" t="s">
        <v>1117</v>
      </c>
      <c r="Z12" s="272" t="s">
        <v>1113</v>
      </c>
      <c r="AA12" s="272" t="s">
        <v>686</v>
      </c>
      <c r="AB12" s="265"/>
      <c r="AC12" s="265"/>
      <c r="AD12" s="265"/>
      <c r="AE12" s="265"/>
      <c r="AF12" s="265"/>
      <c r="AG12" s="265"/>
      <c r="AH12" s="265"/>
      <c r="AI12" s="265"/>
      <c r="AJ12" s="265"/>
    </row>
    <row r="13" spans="1:36">
      <c r="A13" s="267" t="s">
        <v>242</v>
      </c>
      <c r="B13" s="268">
        <v>46042</v>
      </c>
      <c r="C13" s="269" t="s">
        <v>1045</v>
      </c>
      <c r="D13" s="270" t="s">
        <v>1111</v>
      </c>
      <c r="E13" s="269" t="s">
        <v>1040</v>
      </c>
      <c r="F13" s="269" t="s">
        <v>232</v>
      </c>
      <c r="G13" s="271">
        <v>8.8900000000000007E-2</v>
      </c>
      <c r="H13" s="272">
        <v>180</v>
      </c>
      <c r="I13" s="272">
        <v>16</v>
      </c>
      <c r="J13" s="272">
        <v>0</v>
      </c>
      <c r="K13" s="269" t="s">
        <v>233</v>
      </c>
      <c r="L13" s="273">
        <v>46341</v>
      </c>
      <c r="M13" s="272">
        <v>0</v>
      </c>
      <c r="N13" s="272">
        <v>0</v>
      </c>
      <c r="O13" s="272">
        <v>16</v>
      </c>
      <c r="P13" s="269" t="s">
        <v>306</v>
      </c>
      <c r="Q13" s="265"/>
      <c r="R13" s="265"/>
      <c r="S13" s="265"/>
      <c r="T13" s="265"/>
      <c r="U13" s="265"/>
      <c r="V13" s="265"/>
      <c r="W13" s="265"/>
      <c r="X13" s="265"/>
      <c r="Y13" s="265"/>
      <c r="Z13" s="265"/>
      <c r="AA13" s="272" t="s">
        <v>587</v>
      </c>
      <c r="AB13" s="265"/>
      <c r="AC13" s="272" t="s">
        <v>298</v>
      </c>
      <c r="AD13" s="272" t="s">
        <v>508</v>
      </c>
      <c r="AE13" s="272" t="s">
        <v>1016</v>
      </c>
      <c r="AF13" s="265"/>
      <c r="AG13" s="265"/>
      <c r="AH13" s="265"/>
      <c r="AI13" s="265"/>
      <c r="AJ13" s="265"/>
    </row>
    <row r="14" spans="1:36">
      <c r="A14" s="267" t="s">
        <v>230</v>
      </c>
      <c r="B14" s="268">
        <v>46044</v>
      </c>
      <c r="C14" s="269" t="s">
        <v>1045</v>
      </c>
      <c r="D14" s="270" t="s">
        <v>1108</v>
      </c>
      <c r="E14" s="269" t="s">
        <v>1040</v>
      </c>
      <c r="F14" s="269" t="s">
        <v>232</v>
      </c>
      <c r="G14" s="271">
        <v>2.7799999999999998E-2</v>
      </c>
      <c r="H14" s="272">
        <v>180</v>
      </c>
      <c r="I14" s="272">
        <v>5</v>
      </c>
      <c r="J14" s="272">
        <v>0</v>
      </c>
      <c r="K14" s="269" t="s">
        <v>233</v>
      </c>
      <c r="L14" s="273">
        <v>46340</v>
      </c>
      <c r="M14" s="272">
        <v>0</v>
      </c>
      <c r="N14" s="272">
        <v>0</v>
      </c>
      <c r="O14" s="272">
        <v>5</v>
      </c>
      <c r="P14" s="269" t="s">
        <v>672</v>
      </c>
      <c r="Q14" s="265"/>
      <c r="R14" s="265"/>
      <c r="S14" s="265"/>
      <c r="T14" s="265"/>
      <c r="U14" s="265"/>
      <c r="V14" s="265"/>
      <c r="W14" s="265"/>
      <c r="X14" s="265"/>
      <c r="Y14" s="265"/>
      <c r="Z14" s="265"/>
      <c r="AA14" s="272" t="s">
        <v>956</v>
      </c>
      <c r="AB14" s="265"/>
      <c r="AC14" s="265"/>
      <c r="AD14" s="265"/>
      <c r="AE14" s="265"/>
      <c r="AF14" s="265"/>
      <c r="AG14" s="265"/>
      <c r="AH14" s="265"/>
      <c r="AI14" s="265"/>
      <c r="AJ14" s="265"/>
    </row>
    <row r="15" spans="1:36">
      <c r="A15" s="267" t="s">
        <v>560</v>
      </c>
      <c r="B15" s="268">
        <v>46045</v>
      </c>
      <c r="C15" s="269" t="s">
        <v>1045</v>
      </c>
      <c r="D15" s="270" t="s">
        <v>231</v>
      </c>
      <c r="E15" s="269" t="s">
        <v>1040</v>
      </c>
      <c r="F15" s="269" t="s">
        <v>232</v>
      </c>
      <c r="G15" s="271">
        <v>0.1222</v>
      </c>
      <c r="H15" s="272">
        <v>180</v>
      </c>
      <c r="I15" s="272">
        <v>22</v>
      </c>
      <c r="J15" s="272">
        <v>0</v>
      </c>
      <c r="K15" s="269" t="s">
        <v>233</v>
      </c>
      <c r="L15" s="273">
        <v>46337</v>
      </c>
      <c r="M15" s="272">
        <v>0</v>
      </c>
      <c r="N15" s="272">
        <v>0</v>
      </c>
      <c r="O15" s="272">
        <v>22</v>
      </c>
      <c r="P15" s="269" t="s">
        <v>1034</v>
      </c>
      <c r="Q15" s="265"/>
      <c r="R15" s="265"/>
      <c r="S15" s="265"/>
      <c r="T15" s="265"/>
      <c r="U15" s="265"/>
      <c r="V15" s="265"/>
      <c r="W15" s="265"/>
      <c r="X15" s="272" t="s">
        <v>1118</v>
      </c>
      <c r="Y15" s="272" t="s">
        <v>1119</v>
      </c>
      <c r="Z15" s="272" t="s">
        <v>1120</v>
      </c>
      <c r="AA15" s="265"/>
      <c r="AB15" s="265"/>
      <c r="AC15" s="265"/>
      <c r="AD15" s="265"/>
      <c r="AE15" s="265"/>
      <c r="AF15" s="265"/>
      <c r="AG15" s="265"/>
      <c r="AH15" s="265"/>
      <c r="AI15" s="265"/>
      <c r="AJ15" s="265"/>
    </row>
    <row r="16" spans="1:36">
      <c r="A16" s="267" t="s">
        <v>234</v>
      </c>
      <c r="B16" s="268">
        <v>46046</v>
      </c>
      <c r="C16" s="269" t="s">
        <v>1045</v>
      </c>
      <c r="D16" s="270" t="s">
        <v>1108</v>
      </c>
      <c r="E16" s="269" t="s">
        <v>1040</v>
      </c>
      <c r="F16" s="269" t="s">
        <v>232</v>
      </c>
      <c r="G16" s="271">
        <v>6.6699999999999995E-2</v>
      </c>
      <c r="H16" s="272">
        <v>180</v>
      </c>
      <c r="I16" s="272">
        <v>12</v>
      </c>
      <c r="J16" s="272">
        <v>0</v>
      </c>
      <c r="K16" s="269" t="s">
        <v>233</v>
      </c>
      <c r="L16" s="273">
        <v>46337</v>
      </c>
      <c r="M16" s="272">
        <v>0</v>
      </c>
      <c r="N16" s="272">
        <v>0</v>
      </c>
      <c r="O16" s="272">
        <v>12</v>
      </c>
      <c r="P16" s="269" t="s">
        <v>569</v>
      </c>
      <c r="Q16" s="265"/>
      <c r="R16" s="265"/>
      <c r="S16" s="265"/>
      <c r="T16" s="265"/>
      <c r="U16" s="265"/>
      <c r="V16" s="265"/>
      <c r="W16" s="265"/>
      <c r="X16" s="265"/>
      <c r="Y16" s="272" t="s">
        <v>1121</v>
      </c>
      <c r="Z16" s="265"/>
      <c r="AA16" s="272" t="s">
        <v>514</v>
      </c>
      <c r="AB16" s="265"/>
      <c r="AC16" s="265"/>
      <c r="AD16" s="265"/>
      <c r="AE16" s="265"/>
      <c r="AF16" s="265"/>
      <c r="AG16" s="265"/>
      <c r="AH16" s="265"/>
      <c r="AI16" s="265"/>
      <c r="AJ16" s="265"/>
    </row>
    <row r="17" spans="1:36">
      <c r="A17" s="267" t="s">
        <v>242</v>
      </c>
      <c r="B17" s="268">
        <v>46049</v>
      </c>
      <c r="C17" s="269" t="s">
        <v>1045</v>
      </c>
      <c r="D17" s="270" t="s">
        <v>1111</v>
      </c>
      <c r="E17" s="269" t="s">
        <v>1040</v>
      </c>
      <c r="F17" s="269" t="s">
        <v>232</v>
      </c>
      <c r="G17" s="271">
        <v>2.2200000000000001E-2</v>
      </c>
      <c r="H17" s="272">
        <v>180</v>
      </c>
      <c r="I17" s="272">
        <v>4</v>
      </c>
      <c r="J17" s="272">
        <v>0</v>
      </c>
      <c r="K17" s="269" t="s">
        <v>233</v>
      </c>
      <c r="L17" s="273">
        <v>46337</v>
      </c>
      <c r="M17" s="272">
        <v>0</v>
      </c>
      <c r="N17" s="272">
        <v>0</v>
      </c>
      <c r="O17" s="272">
        <v>4</v>
      </c>
      <c r="P17" s="269" t="s">
        <v>967</v>
      </c>
      <c r="Q17" s="265"/>
      <c r="R17" s="265"/>
      <c r="S17" s="265"/>
      <c r="T17" s="265"/>
      <c r="U17" s="265"/>
      <c r="V17" s="265"/>
      <c r="W17" s="265"/>
      <c r="X17" s="265"/>
      <c r="Y17" s="265"/>
      <c r="Z17" s="265"/>
      <c r="AA17" s="265"/>
      <c r="AB17" s="265"/>
      <c r="AC17" s="265"/>
      <c r="AD17" s="265"/>
      <c r="AE17" s="272" t="s">
        <v>951</v>
      </c>
      <c r="AF17" s="265"/>
      <c r="AG17" s="265"/>
      <c r="AH17" s="265"/>
      <c r="AI17" s="265"/>
      <c r="AJ17" s="265"/>
    </row>
    <row r="18" spans="1:36">
      <c r="A18" s="267" t="s">
        <v>230</v>
      </c>
      <c r="B18" s="268">
        <v>46051</v>
      </c>
      <c r="C18" s="269" t="s">
        <v>1045</v>
      </c>
      <c r="D18" s="270" t="s">
        <v>1108</v>
      </c>
      <c r="E18" s="269" t="s">
        <v>1040</v>
      </c>
      <c r="F18" s="269" t="s">
        <v>232</v>
      </c>
      <c r="G18" s="271">
        <v>6.6699999999999995E-2</v>
      </c>
      <c r="H18" s="272">
        <v>180</v>
      </c>
      <c r="I18" s="272">
        <v>12</v>
      </c>
      <c r="J18" s="272">
        <v>0</v>
      </c>
      <c r="K18" s="269" t="s">
        <v>233</v>
      </c>
      <c r="L18" s="273">
        <v>46340</v>
      </c>
      <c r="M18" s="272">
        <v>0</v>
      </c>
      <c r="N18" s="272">
        <v>0</v>
      </c>
      <c r="O18" s="272">
        <v>12</v>
      </c>
      <c r="P18" s="269" t="s">
        <v>367</v>
      </c>
      <c r="Q18" s="265"/>
      <c r="R18" s="265"/>
      <c r="S18" s="265"/>
      <c r="T18" s="265"/>
      <c r="U18" s="265"/>
      <c r="V18" s="265"/>
      <c r="W18" s="265"/>
      <c r="X18" s="265"/>
      <c r="Y18" s="265"/>
      <c r="Z18" s="265"/>
      <c r="AA18" s="265"/>
      <c r="AB18" s="265"/>
      <c r="AC18" s="265"/>
      <c r="AD18" s="272" t="s">
        <v>508</v>
      </c>
      <c r="AE18" s="272" t="s">
        <v>951</v>
      </c>
      <c r="AF18" s="265"/>
      <c r="AG18" s="265"/>
      <c r="AH18" s="265"/>
      <c r="AI18" s="265"/>
      <c r="AJ18" s="265"/>
    </row>
    <row r="19" spans="1:36">
      <c r="A19" s="267" t="s">
        <v>560</v>
      </c>
      <c r="B19" s="268">
        <v>46052</v>
      </c>
      <c r="C19" s="269" t="s">
        <v>1045</v>
      </c>
      <c r="D19" s="270" t="s">
        <v>231</v>
      </c>
      <c r="E19" s="269" t="s">
        <v>1040</v>
      </c>
      <c r="F19" s="269" t="s">
        <v>232</v>
      </c>
      <c r="G19" s="271">
        <v>3.8899999999999997E-2</v>
      </c>
      <c r="H19" s="272">
        <v>180</v>
      </c>
      <c r="I19" s="272">
        <v>7</v>
      </c>
      <c r="J19" s="272">
        <v>0</v>
      </c>
      <c r="K19" s="269" t="s">
        <v>233</v>
      </c>
      <c r="L19" s="273">
        <v>46344</v>
      </c>
      <c r="M19" s="272">
        <v>0</v>
      </c>
      <c r="N19" s="272">
        <v>0</v>
      </c>
      <c r="O19" s="272">
        <v>7</v>
      </c>
      <c r="P19" s="269" t="s">
        <v>552</v>
      </c>
      <c r="Q19" s="265"/>
      <c r="R19" s="265"/>
      <c r="S19" s="265"/>
      <c r="T19" s="265"/>
      <c r="U19" s="265"/>
      <c r="V19" s="265"/>
      <c r="W19" s="265"/>
      <c r="X19" s="265"/>
      <c r="Y19" s="265"/>
      <c r="Z19" s="265"/>
      <c r="AA19" s="265"/>
      <c r="AB19" s="265"/>
      <c r="AC19" s="265"/>
      <c r="AD19" s="272" t="s">
        <v>430</v>
      </c>
      <c r="AE19" s="272" t="s">
        <v>905</v>
      </c>
      <c r="AF19" s="265"/>
      <c r="AG19" s="265"/>
      <c r="AH19" s="265"/>
      <c r="AI19" s="265"/>
      <c r="AJ19" s="265"/>
    </row>
    <row r="20" spans="1:36">
      <c r="A20" s="267" t="s">
        <v>234</v>
      </c>
      <c r="B20" s="268">
        <v>46053</v>
      </c>
      <c r="C20" s="269" t="s">
        <v>1045</v>
      </c>
      <c r="D20" s="270" t="s">
        <v>1108</v>
      </c>
      <c r="E20" s="269" t="s">
        <v>1040</v>
      </c>
      <c r="F20" s="269" t="s">
        <v>232</v>
      </c>
      <c r="G20" s="271">
        <v>0.1222</v>
      </c>
      <c r="H20" s="272">
        <v>180</v>
      </c>
      <c r="I20" s="272">
        <v>22</v>
      </c>
      <c r="J20" s="272">
        <v>0</v>
      </c>
      <c r="K20" s="269" t="s">
        <v>233</v>
      </c>
      <c r="L20" s="273">
        <v>46338</v>
      </c>
      <c r="M20" s="272">
        <v>0</v>
      </c>
      <c r="N20" s="272">
        <v>0</v>
      </c>
      <c r="O20" s="272">
        <v>22</v>
      </c>
      <c r="P20" s="269" t="s">
        <v>589</v>
      </c>
      <c r="Q20" s="265"/>
      <c r="R20" s="265"/>
      <c r="S20" s="265"/>
      <c r="T20" s="265"/>
      <c r="U20" s="265"/>
      <c r="V20" s="265"/>
      <c r="W20" s="265"/>
      <c r="X20" s="265"/>
      <c r="Y20" s="265"/>
      <c r="Z20" s="272" t="s">
        <v>569</v>
      </c>
      <c r="AA20" s="272" t="s">
        <v>310</v>
      </c>
      <c r="AB20" s="272" t="s">
        <v>184</v>
      </c>
      <c r="AC20" s="272" t="s">
        <v>307</v>
      </c>
      <c r="AD20" s="272" t="s">
        <v>552</v>
      </c>
      <c r="AE20" s="272" t="s">
        <v>967</v>
      </c>
      <c r="AF20" s="265"/>
      <c r="AG20" s="265"/>
      <c r="AH20" s="265"/>
      <c r="AI20" s="265"/>
      <c r="AJ20" s="265"/>
    </row>
    <row r="21" spans="1:36" ht="21">
      <c r="A21" s="274" t="s">
        <v>251</v>
      </c>
      <c r="B21" s="275"/>
      <c r="C21" s="274">
        <f>SUBTOTAL(103,CAI_DMM_LF_LEGACY[Flt])</f>
        <v>19</v>
      </c>
      <c r="D21" s="274"/>
      <c r="E21" s="274">
        <f>SUBTOTAL(103,CAI_DMM_LF_LEGACY[Brd-Off])</f>
        <v>19</v>
      </c>
      <c r="F21" s="274"/>
      <c r="G21" s="276">
        <f>SUBTOTAL(101,CAI_DMM_LF_LEGACY[LF%])</f>
        <v>0.11491052631578948</v>
      </c>
      <c r="H21" s="277">
        <f>SUBTOTAL(109,CAI_DMM_LF_LEGACY[CAP])</f>
        <v>3420</v>
      </c>
      <c r="I21" s="277">
        <f>SUBTOTAL(109,CAI_DMM_LF_LEGACY[BKG(Y)])</f>
        <v>393</v>
      </c>
      <c r="J21" s="277">
        <f>SUBTOTAL(109,CAI_DMM_LF_LEGACY[GRP(Y)])</f>
        <v>0</v>
      </c>
      <c r="K21" s="274"/>
      <c r="L21" s="275"/>
      <c r="M21" s="277">
        <f>SUBTOTAL(109,CAI_DMM_LF_LEGACY[TO-DAY])</f>
        <v>0</v>
      </c>
      <c r="N21" s="277">
        <f>SUBTOTAL(109,CAI_DMM_LF_LEGACY[Y-DAY])</f>
        <v>0</v>
      </c>
      <c r="O21" s="277">
        <f>SUBTOTAL(109,CAI_DMM_LF_LEGACY[WEEKLY])</f>
        <v>391</v>
      </c>
      <c r="P21" s="274"/>
      <c r="Q21" s="277">
        <f>SUBTOTAL(109,CAI_DMM_LF_LEGACY[Y])</f>
        <v>0</v>
      </c>
      <c r="R21" s="277">
        <f>SUBTOTAL(109,CAI_DMM_LF_LEGACY[B])</f>
        <v>0</v>
      </c>
      <c r="S21" s="277">
        <f>SUBTOTAL(109,CAI_DMM_LF_LEGACY[M])</f>
        <v>0</v>
      </c>
      <c r="T21" s="277">
        <f>SUBTOTAL(109,CAI_DMM_LF_LEGACY[H])</f>
        <v>0</v>
      </c>
      <c r="U21" s="277">
        <f>SUBTOTAL(109,CAI_DMM_LF_LEGACY[Q])</f>
        <v>0</v>
      </c>
      <c r="V21" s="277">
        <f>SUBTOTAL(109,CAI_DMM_LF_LEGACY[K])</f>
        <v>0</v>
      </c>
      <c r="W21" s="277">
        <f>SUBTOTAL(109,CAI_DMM_LF_LEGACY[V])</f>
        <v>0</v>
      </c>
      <c r="X21" s="277">
        <f>SUBTOTAL(109,CAI_DMM_LF_LEGACY[L])</f>
        <v>0</v>
      </c>
      <c r="Y21" s="277">
        <f>SUBTOTAL(109,CAI_DMM_LF_LEGACY[G])</f>
        <v>0</v>
      </c>
      <c r="Z21" s="277">
        <f>SUBTOTAL(109,CAI_DMM_LF_LEGACY[S])</f>
        <v>0</v>
      </c>
      <c r="AA21" s="277">
        <f>SUBTOTAL(109,CAI_DMM_LF_LEGACY[W])</f>
        <v>0</v>
      </c>
      <c r="AB21" s="277">
        <f>SUBTOTAL(109,CAI_DMM_LF_LEGACY[T])</f>
        <v>0</v>
      </c>
      <c r="AC21" s="277">
        <f>SUBTOTAL(109,CAI_DMM_LF_LEGACY[X])</f>
        <v>0</v>
      </c>
      <c r="AD21" s="277">
        <f>SUBTOTAL(109,CAI_DMM_LF_LEGACY[U])</f>
        <v>0</v>
      </c>
      <c r="AE21" s="277">
        <f>SUBTOTAL(109,CAI_DMM_LF_LEGACY[O])</f>
        <v>0</v>
      </c>
      <c r="AF21" s="277">
        <f>SUBTOTAL(109,CAI_DMM_LF_LEGACY[I])</f>
        <v>0</v>
      </c>
      <c r="AG21" s="277">
        <f>SUBTOTAL(109,CAI_DMM_LF_LEGACY[E])</f>
        <v>0</v>
      </c>
      <c r="AH21" s="277">
        <f>SUBTOTAL(109,CAI_DMM_LF_LEGACY[A])</f>
        <v>0</v>
      </c>
      <c r="AI21" s="277">
        <f>SUBTOTAL(109,CAI_DMM_LF_LEGACY[P])</f>
        <v>0</v>
      </c>
      <c r="AJ21" s="277">
        <f>SUBTOTAL(103,CAI_DMM_LF_LEGACY[N])</f>
        <v>0</v>
      </c>
    </row>
  </sheetData>
  <pageMargins left="0.75" right="0.75" top="1" bottom="1" header="0.5" footer="0.5"/>
  <tableParts count="1">
    <tablePart r:id="rId1"/>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461"/>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74.28515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1" t="s">
        <v>254</v>
      </c>
      <c r="B2" s="112" t="s">
        <v>38</v>
      </c>
      <c r="C2" s="113" t="s">
        <v>1041</v>
      </c>
      <c r="D2" s="112" t="s">
        <v>1040</v>
      </c>
      <c r="E2" s="112" t="s">
        <v>1122</v>
      </c>
      <c r="F2" s="112" t="s">
        <v>440</v>
      </c>
      <c r="G2" s="114">
        <v>8</v>
      </c>
      <c r="H2" s="115" t="s">
        <v>1042</v>
      </c>
    </row>
    <row r="3" spans="1:8" ht="19.899999999999999" customHeight="1">
      <c r="A3" s="116" t="s">
        <v>254</v>
      </c>
      <c r="B3" s="117" t="s">
        <v>61</v>
      </c>
      <c r="C3" s="118" t="s">
        <v>1043</v>
      </c>
      <c r="D3" s="117" t="s">
        <v>1040</v>
      </c>
      <c r="E3" s="117" t="s">
        <v>1108</v>
      </c>
      <c r="F3" s="117" t="s">
        <v>63</v>
      </c>
      <c r="G3" s="119">
        <v>1</v>
      </c>
      <c r="H3" s="120" t="s">
        <v>1044</v>
      </c>
    </row>
    <row r="4" spans="1:8" ht="19.899999999999999" customHeight="1">
      <c r="A4" s="121">
        <v>46023</v>
      </c>
      <c r="B4" s="112" t="s">
        <v>26</v>
      </c>
      <c r="C4" s="113" t="s">
        <v>1047</v>
      </c>
      <c r="D4" s="112" t="s">
        <v>1040</v>
      </c>
      <c r="E4" s="122">
        <v>1.336805555555556</v>
      </c>
      <c r="F4" s="112" t="s">
        <v>451</v>
      </c>
      <c r="G4" s="114">
        <v>5</v>
      </c>
      <c r="H4" s="115" t="s">
        <v>1048</v>
      </c>
    </row>
    <row r="5" spans="1:8" ht="19.899999999999999" customHeight="1">
      <c r="A5" s="121">
        <v>46023</v>
      </c>
      <c r="B5" s="112" t="s">
        <v>26</v>
      </c>
      <c r="C5" s="113" t="s">
        <v>1049</v>
      </c>
      <c r="D5" s="112" t="s">
        <v>1040</v>
      </c>
      <c r="E5" s="122">
        <v>1.9722222222222221</v>
      </c>
      <c r="F5" s="112" t="s">
        <v>28</v>
      </c>
      <c r="G5" s="114">
        <v>5</v>
      </c>
      <c r="H5" s="115" t="s">
        <v>1048</v>
      </c>
    </row>
    <row r="6" spans="1:8" ht="19.899999999999999" customHeight="1">
      <c r="A6" s="121">
        <v>46023</v>
      </c>
      <c r="B6" s="112" t="s">
        <v>415</v>
      </c>
      <c r="C6" s="113" t="s">
        <v>1050</v>
      </c>
      <c r="D6" s="112" t="s">
        <v>1040</v>
      </c>
      <c r="E6" s="122">
        <v>1.6875</v>
      </c>
      <c r="F6" s="112" t="s">
        <v>63</v>
      </c>
      <c r="G6" s="114">
        <v>7</v>
      </c>
      <c r="H6" s="115" t="s">
        <v>1051</v>
      </c>
    </row>
    <row r="7" spans="1:8" ht="19.899999999999999" customHeight="1">
      <c r="A7" s="121">
        <v>46023</v>
      </c>
      <c r="B7" s="112" t="s">
        <v>26</v>
      </c>
      <c r="C7" s="113" t="s">
        <v>1049</v>
      </c>
      <c r="D7" s="112" t="s">
        <v>1040</v>
      </c>
      <c r="E7" s="122">
        <v>1.9722222222222221</v>
      </c>
      <c r="F7" s="112" t="s">
        <v>31</v>
      </c>
      <c r="G7" s="114">
        <v>5</v>
      </c>
      <c r="H7" s="115" t="s">
        <v>420</v>
      </c>
    </row>
    <row r="8" spans="1:8" ht="19.899999999999999" customHeight="1">
      <c r="A8" s="121">
        <v>46023</v>
      </c>
      <c r="B8" s="112" t="s">
        <v>68</v>
      </c>
      <c r="C8" s="113" t="s">
        <v>1052</v>
      </c>
      <c r="D8" s="112" t="s">
        <v>1040</v>
      </c>
      <c r="E8" s="122">
        <v>1.336805555555556</v>
      </c>
      <c r="F8" s="112" t="s">
        <v>643</v>
      </c>
      <c r="G8" s="114">
        <v>9</v>
      </c>
      <c r="H8" s="115" t="s">
        <v>1053</v>
      </c>
    </row>
    <row r="9" spans="1:8" ht="19.899999999999999" customHeight="1">
      <c r="A9" s="121">
        <v>46023</v>
      </c>
      <c r="B9" s="112" t="s">
        <v>402</v>
      </c>
      <c r="C9" s="113" t="s">
        <v>1057</v>
      </c>
      <c r="D9" s="112" t="s">
        <v>1040</v>
      </c>
      <c r="E9" s="122">
        <v>1.756944444444444</v>
      </c>
      <c r="F9" s="112" t="s">
        <v>63</v>
      </c>
      <c r="G9" s="114">
        <v>2</v>
      </c>
      <c r="H9" s="115" t="s">
        <v>1058</v>
      </c>
    </row>
    <row r="10" spans="1:8" ht="19.899999999999999" customHeight="1">
      <c r="A10" s="121">
        <v>46023</v>
      </c>
      <c r="B10" s="112" t="s">
        <v>402</v>
      </c>
      <c r="C10" s="113" t="s">
        <v>1059</v>
      </c>
      <c r="D10" s="112" t="s">
        <v>1040</v>
      </c>
      <c r="E10" s="122">
        <v>1.3611111111111109</v>
      </c>
      <c r="F10" s="112" t="s">
        <v>63</v>
      </c>
      <c r="G10" s="114">
        <v>7</v>
      </c>
      <c r="H10" s="115" t="s">
        <v>1058</v>
      </c>
    </row>
    <row r="11" spans="1:8" ht="19.899999999999999" customHeight="1">
      <c r="A11" s="121">
        <v>46023</v>
      </c>
      <c r="B11" s="112" t="s">
        <v>68</v>
      </c>
      <c r="C11" s="113" t="s">
        <v>1054</v>
      </c>
      <c r="D11" s="112" t="s">
        <v>1040</v>
      </c>
      <c r="E11" s="122">
        <v>1.979166666666667</v>
      </c>
      <c r="F11" s="112" t="s">
        <v>70</v>
      </c>
      <c r="G11" s="114">
        <v>9</v>
      </c>
      <c r="H11" s="115" t="s">
        <v>1055</v>
      </c>
    </row>
    <row r="12" spans="1:8" ht="19.899999999999999" customHeight="1">
      <c r="A12" s="121">
        <v>46023</v>
      </c>
      <c r="B12" s="112" t="s">
        <v>68</v>
      </c>
      <c r="C12" s="113" t="s">
        <v>1056</v>
      </c>
      <c r="D12" s="112" t="s">
        <v>1040</v>
      </c>
      <c r="E12" s="122">
        <v>1.6736111111111109</v>
      </c>
      <c r="F12" s="112" t="s">
        <v>70</v>
      </c>
      <c r="G12" s="114">
        <v>9</v>
      </c>
      <c r="H12" s="115" t="s">
        <v>1001</v>
      </c>
    </row>
    <row r="13" spans="1:8" ht="19.899999999999999" customHeight="1">
      <c r="A13" s="121">
        <v>46023</v>
      </c>
      <c r="B13" s="112" t="s">
        <v>26</v>
      </c>
      <c r="C13" s="113" t="s">
        <v>1049</v>
      </c>
      <c r="D13" s="112" t="s">
        <v>1040</v>
      </c>
      <c r="E13" s="122">
        <v>1.9722222222222221</v>
      </c>
      <c r="F13" s="112" t="s">
        <v>34</v>
      </c>
      <c r="G13" s="114">
        <v>5</v>
      </c>
      <c r="H13" s="115" t="s">
        <v>443</v>
      </c>
    </row>
    <row r="14" spans="1:8" ht="19.899999999999999" customHeight="1">
      <c r="A14" s="123">
        <v>46023</v>
      </c>
      <c r="B14" s="124" t="s">
        <v>48</v>
      </c>
      <c r="C14" s="125" t="s">
        <v>1060</v>
      </c>
      <c r="D14" s="124" t="s">
        <v>1040</v>
      </c>
      <c r="E14" s="126">
        <v>1.447916666666667</v>
      </c>
      <c r="F14" s="124" t="s">
        <v>70</v>
      </c>
      <c r="G14" s="127">
        <v>4</v>
      </c>
      <c r="H14" s="128" t="s">
        <v>836</v>
      </c>
    </row>
    <row r="15" spans="1:8" ht="19.899999999999999" customHeight="1">
      <c r="A15" s="121">
        <v>46024</v>
      </c>
      <c r="B15" s="112" t="s">
        <v>38</v>
      </c>
      <c r="C15" s="113" t="s">
        <v>1041</v>
      </c>
      <c r="D15" s="112" t="s">
        <v>1040</v>
      </c>
      <c r="E15" s="122">
        <v>1.447916666666667</v>
      </c>
      <c r="F15" s="112" t="s">
        <v>40</v>
      </c>
      <c r="G15" s="114">
        <v>10</v>
      </c>
      <c r="H15" s="115" t="s">
        <v>149</v>
      </c>
    </row>
    <row r="16" spans="1:8" ht="19.899999999999999" customHeight="1">
      <c r="A16" s="129">
        <v>46024</v>
      </c>
      <c r="B16" s="117" t="s">
        <v>61</v>
      </c>
      <c r="C16" s="118" t="s">
        <v>1043</v>
      </c>
      <c r="D16" s="117" t="s">
        <v>1040</v>
      </c>
      <c r="E16" s="130">
        <v>1.381944444444444</v>
      </c>
      <c r="F16" s="117" t="s">
        <v>63</v>
      </c>
      <c r="G16" s="119">
        <v>6</v>
      </c>
      <c r="H16" s="120" t="s">
        <v>1044</v>
      </c>
    </row>
    <row r="17" spans="1:8" ht="19.899999999999999" customHeight="1">
      <c r="A17" s="121">
        <v>46024</v>
      </c>
      <c r="B17" s="112" t="s">
        <v>26</v>
      </c>
      <c r="C17" s="113" t="s">
        <v>1049</v>
      </c>
      <c r="D17" s="112" t="s">
        <v>1040</v>
      </c>
      <c r="E17" s="122">
        <v>1.9722222222222221</v>
      </c>
      <c r="F17" s="112" t="s">
        <v>28</v>
      </c>
      <c r="G17" s="114">
        <v>3</v>
      </c>
      <c r="H17" s="115" t="s">
        <v>349</v>
      </c>
    </row>
    <row r="18" spans="1:8" ht="19.899999999999999" customHeight="1">
      <c r="A18" s="121">
        <v>46024</v>
      </c>
      <c r="B18" s="112" t="s">
        <v>415</v>
      </c>
      <c r="C18" s="113" t="s">
        <v>1062</v>
      </c>
      <c r="D18" s="112" t="s">
        <v>1040</v>
      </c>
      <c r="E18" s="122">
        <v>1.006944444444444</v>
      </c>
      <c r="F18" s="112" t="s">
        <v>63</v>
      </c>
      <c r="G18" s="114">
        <v>6</v>
      </c>
      <c r="H18" s="115" t="s">
        <v>1051</v>
      </c>
    </row>
    <row r="19" spans="1:8" ht="19.899999999999999" customHeight="1">
      <c r="A19" s="121">
        <v>46024</v>
      </c>
      <c r="B19" s="112" t="s">
        <v>68</v>
      </c>
      <c r="C19" s="113" t="s">
        <v>1052</v>
      </c>
      <c r="D19" s="112" t="s">
        <v>1040</v>
      </c>
      <c r="E19" s="122">
        <v>1.336805555555556</v>
      </c>
      <c r="F19" s="112" t="s">
        <v>643</v>
      </c>
      <c r="G19" s="114">
        <v>9</v>
      </c>
      <c r="H19" s="115" t="s">
        <v>830</v>
      </c>
    </row>
    <row r="20" spans="1:8" ht="19.899999999999999" customHeight="1">
      <c r="A20" s="121">
        <v>46024</v>
      </c>
      <c r="B20" s="112" t="s">
        <v>402</v>
      </c>
      <c r="C20" s="113" t="s">
        <v>1064</v>
      </c>
      <c r="D20" s="112" t="s">
        <v>1040</v>
      </c>
      <c r="E20" s="122">
        <v>1.756944444444444</v>
      </c>
      <c r="F20" s="112" t="s">
        <v>63</v>
      </c>
      <c r="G20" s="114">
        <v>3</v>
      </c>
      <c r="H20" s="115" t="s">
        <v>1058</v>
      </c>
    </row>
    <row r="21" spans="1:8" ht="19.899999999999999" customHeight="1">
      <c r="A21" s="121">
        <v>46024</v>
      </c>
      <c r="B21" s="112" t="s">
        <v>38</v>
      </c>
      <c r="C21" s="113" t="s">
        <v>1041</v>
      </c>
      <c r="D21" s="112" t="s">
        <v>1040</v>
      </c>
      <c r="E21" s="122">
        <v>1.447916666666667</v>
      </c>
      <c r="F21" s="112" t="s">
        <v>43</v>
      </c>
      <c r="G21" s="114">
        <v>10</v>
      </c>
      <c r="H21" s="115" t="s">
        <v>35</v>
      </c>
    </row>
    <row r="22" spans="1:8" ht="19.899999999999999" customHeight="1">
      <c r="A22" s="121">
        <v>46024</v>
      </c>
      <c r="B22" s="112" t="s">
        <v>26</v>
      </c>
      <c r="C22" s="113" t="s">
        <v>1049</v>
      </c>
      <c r="D22" s="112" t="s">
        <v>1040</v>
      </c>
      <c r="E22" s="122">
        <v>1.9722222222222221</v>
      </c>
      <c r="F22" s="112" t="s">
        <v>31</v>
      </c>
      <c r="G22" s="114">
        <v>3</v>
      </c>
      <c r="H22" s="115" t="s">
        <v>35</v>
      </c>
    </row>
    <row r="23" spans="1:8" ht="19.899999999999999" customHeight="1">
      <c r="A23" s="121">
        <v>46024</v>
      </c>
      <c r="B23" s="112" t="s">
        <v>68</v>
      </c>
      <c r="C23" s="113" t="s">
        <v>1054</v>
      </c>
      <c r="D23" s="112" t="s">
        <v>1040</v>
      </c>
      <c r="E23" s="122">
        <v>1.979166666666667</v>
      </c>
      <c r="F23" s="112" t="s">
        <v>70</v>
      </c>
      <c r="G23" s="114">
        <v>9</v>
      </c>
      <c r="H23" s="115" t="s">
        <v>858</v>
      </c>
    </row>
    <row r="24" spans="1:8" ht="19.899999999999999" customHeight="1">
      <c r="A24" s="121">
        <v>46024</v>
      </c>
      <c r="B24" s="112" t="s">
        <v>26</v>
      </c>
      <c r="C24" s="113" t="s">
        <v>1049</v>
      </c>
      <c r="D24" s="112" t="s">
        <v>1040</v>
      </c>
      <c r="E24" s="122">
        <v>1.9722222222222221</v>
      </c>
      <c r="F24" s="112" t="s">
        <v>34</v>
      </c>
      <c r="G24" s="114">
        <v>3</v>
      </c>
      <c r="H24" s="115" t="s">
        <v>503</v>
      </c>
    </row>
    <row r="25" spans="1:8" ht="19.899999999999999" customHeight="1">
      <c r="A25" s="121">
        <v>46024</v>
      </c>
      <c r="B25" s="112" t="s">
        <v>68</v>
      </c>
      <c r="C25" s="113" t="s">
        <v>1056</v>
      </c>
      <c r="D25" s="112" t="s">
        <v>1040</v>
      </c>
      <c r="E25" s="122">
        <v>1.6736111111111109</v>
      </c>
      <c r="F25" s="112" t="s">
        <v>70</v>
      </c>
      <c r="G25" s="114">
        <v>9</v>
      </c>
      <c r="H25" s="115" t="s">
        <v>1063</v>
      </c>
    </row>
    <row r="26" spans="1:8" ht="19.899999999999999" customHeight="1">
      <c r="A26" s="121">
        <v>46024</v>
      </c>
      <c r="B26" s="112" t="s">
        <v>38</v>
      </c>
      <c r="C26" s="113" t="s">
        <v>1041</v>
      </c>
      <c r="D26" s="112" t="s">
        <v>1040</v>
      </c>
      <c r="E26" s="122">
        <v>1.447916666666667</v>
      </c>
      <c r="F26" s="112" t="s">
        <v>46</v>
      </c>
      <c r="G26" s="114">
        <v>10</v>
      </c>
      <c r="H26" s="115" t="s">
        <v>106</v>
      </c>
    </row>
    <row r="27" spans="1:8" ht="19.899999999999999" customHeight="1">
      <c r="A27" s="123">
        <v>46024</v>
      </c>
      <c r="B27" s="124" t="s">
        <v>48</v>
      </c>
      <c r="C27" s="125" t="s">
        <v>1060</v>
      </c>
      <c r="D27" s="124" t="s">
        <v>1040</v>
      </c>
      <c r="E27" s="126">
        <v>1.447916666666667</v>
      </c>
      <c r="F27" s="124" t="s">
        <v>53</v>
      </c>
      <c r="G27" s="127">
        <v>4</v>
      </c>
      <c r="H27" s="128" t="s">
        <v>912</v>
      </c>
    </row>
    <row r="28" spans="1:8" ht="19.899999999999999" customHeight="1">
      <c r="A28" s="121">
        <v>46025</v>
      </c>
      <c r="B28" s="112" t="s">
        <v>359</v>
      </c>
      <c r="C28" s="113" t="s">
        <v>1065</v>
      </c>
      <c r="D28" s="112" t="s">
        <v>1040</v>
      </c>
      <c r="E28" s="122">
        <v>1.7847222222222221</v>
      </c>
      <c r="F28" s="112" t="s">
        <v>361</v>
      </c>
      <c r="G28" s="114">
        <v>9</v>
      </c>
      <c r="H28" s="115" t="s">
        <v>1066</v>
      </c>
    </row>
    <row r="29" spans="1:8" ht="19.899999999999999" customHeight="1">
      <c r="A29" s="121">
        <v>46025</v>
      </c>
      <c r="B29" s="112" t="s">
        <v>38</v>
      </c>
      <c r="C29" s="113" t="s">
        <v>1041</v>
      </c>
      <c r="D29" s="112" t="s">
        <v>1040</v>
      </c>
      <c r="E29" s="122">
        <v>1.447916666666667</v>
      </c>
      <c r="F29" s="112" t="s">
        <v>40</v>
      </c>
      <c r="G29" s="114">
        <v>16</v>
      </c>
      <c r="H29" s="115" t="s">
        <v>83</v>
      </c>
    </row>
    <row r="30" spans="1:8" ht="19.899999999999999" customHeight="1">
      <c r="A30" s="121">
        <v>46025</v>
      </c>
      <c r="B30" s="112" t="s">
        <v>26</v>
      </c>
      <c r="C30" s="113" t="s">
        <v>1047</v>
      </c>
      <c r="D30" s="112" t="s">
        <v>1040</v>
      </c>
      <c r="E30" s="122">
        <v>1.336805555555556</v>
      </c>
      <c r="F30" s="112" t="s">
        <v>451</v>
      </c>
      <c r="G30" s="114">
        <v>6</v>
      </c>
      <c r="H30" s="115" t="s">
        <v>349</v>
      </c>
    </row>
    <row r="31" spans="1:8" ht="19.899999999999999" customHeight="1">
      <c r="A31" s="121">
        <v>46025</v>
      </c>
      <c r="B31" s="112" t="s">
        <v>26</v>
      </c>
      <c r="C31" s="113" t="s">
        <v>1049</v>
      </c>
      <c r="D31" s="112" t="s">
        <v>1040</v>
      </c>
      <c r="E31" s="122">
        <v>1.9722222222222221</v>
      </c>
      <c r="F31" s="112" t="s">
        <v>451</v>
      </c>
      <c r="G31" s="114">
        <v>3</v>
      </c>
      <c r="H31" s="115" t="s">
        <v>426</v>
      </c>
    </row>
    <row r="32" spans="1:8" ht="19.899999999999999" customHeight="1">
      <c r="A32" s="129">
        <v>46025</v>
      </c>
      <c r="B32" s="117" t="s">
        <v>61</v>
      </c>
      <c r="C32" s="118" t="s">
        <v>1043</v>
      </c>
      <c r="D32" s="117" t="s">
        <v>1040</v>
      </c>
      <c r="E32" s="130">
        <v>1.7222222222222221</v>
      </c>
      <c r="F32" s="117" t="s">
        <v>63</v>
      </c>
      <c r="G32" s="119">
        <v>7</v>
      </c>
      <c r="H32" s="120" t="s">
        <v>1068</v>
      </c>
    </row>
    <row r="33" spans="1:8" ht="19.899999999999999" customHeight="1">
      <c r="A33" s="121">
        <v>46025</v>
      </c>
      <c r="B33" s="112" t="s">
        <v>402</v>
      </c>
      <c r="C33" s="113" t="s">
        <v>1057</v>
      </c>
      <c r="D33" s="112" t="s">
        <v>1040</v>
      </c>
      <c r="E33" s="122">
        <v>1.694444444444444</v>
      </c>
      <c r="F33" s="112" t="s">
        <v>63</v>
      </c>
      <c r="G33" s="114">
        <v>7</v>
      </c>
      <c r="H33" s="115" t="s">
        <v>1058</v>
      </c>
    </row>
    <row r="34" spans="1:8" ht="19.899999999999999" customHeight="1">
      <c r="A34" s="121">
        <v>46025</v>
      </c>
      <c r="B34" s="112" t="s">
        <v>68</v>
      </c>
      <c r="C34" s="113" t="s">
        <v>1052</v>
      </c>
      <c r="D34" s="112" t="s">
        <v>1040</v>
      </c>
      <c r="E34" s="122">
        <v>1.336805555555556</v>
      </c>
      <c r="F34" s="112" t="s">
        <v>70</v>
      </c>
      <c r="G34" s="114">
        <v>9</v>
      </c>
      <c r="H34" s="115" t="s">
        <v>1055</v>
      </c>
    </row>
    <row r="35" spans="1:8" ht="19.899999999999999" customHeight="1">
      <c r="A35" s="121">
        <v>46025</v>
      </c>
      <c r="B35" s="112" t="s">
        <v>38</v>
      </c>
      <c r="C35" s="113" t="s">
        <v>1041</v>
      </c>
      <c r="D35" s="112" t="s">
        <v>1040</v>
      </c>
      <c r="E35" s="122">
        <v>1.447916666666667</v>
      </c>
      <c r="F35" s="112" t="s">
        <v>43</v>
      </c>
      <c r="G35" s="114">
        <v>16</v>
      </c>
      <c r="H35" s="115" t="s">
        <v>162</v>
      </c>
    </row>
    <row r="36" spans="1:8" ht="19.899999999999999" customHeight="1">
      <c r="A36" s="121">
        <v>46025</v>
      </c>
      <c r="B36" s="112" t="s">
        <v>359</v>
      </c>
      <c r="C36" s="113" t="s">
        <v>1065</v>
      </c>
      <c r="D36" s="112" t="s">
        <v>1040</v>
      </c>
      <c r="E36" s="122">
        <v>1.7847222222222221</v>
      </c>
      <c r="F36" s="112" t="s">
        <v>46</v>
      </c>
      <c r="G36" s="114">
        <v>9</v>
      </c>
      <c r="H36" s="115" t="s">
        <v>1067</v>
      </c>
    </row>
    <row r="37" spans="1:8" ht="19.899999999999999" customHeight="1">
      <c r="A37" s="121">
        <v>46025</v>
      </c>
      <c r="B37" s="112" t="s">
        <v>68</v>
      </c>
      <c r="C37" s="113" t="s">
        <v>1054</v>
      </c>
      <c r="D37" s="112" t="s">
        <v>1040</v>
      </c>
      <c r="E37" s="122">
        <v>1.979166666666667</v>
      </c>
      <c r="F37" s="112" t="s">
        <v>70</v>
      </c>
      <c r="G37" s="114">
        <v>9</v>
      </c>
      <c r="H37" s="115" t="s">
        <v>1063</v>
      </c>
    </row>
    <row r="38" spans="1:8" ht="19.899999999999999" customHeight="1">
      <c r="A38" s="121">
        <v>46025</v>
      </c>
      <c r="B38" s="112" t="s">
        <v>68</v>
      </c>
      <c r="C38" s="113" t="s">
        <v>1056</v>
      </c>
      <c r="D38" s="112" t="s">
        <v>1040</v>
      </c>
      <c r="E38" s="122">
        <v>1.6736111111111109</v>
      </c>
      <c r="F38" s="112" t="s">
        <v>70</v>
      </c>
      <c r="G38" s="114">
        <v>7</v>
      </c>
      <c r="H38" s="115" t="s">
        <v>1063</v>
      </c>
    </row>
    <row r="39" spans="1:8" ht="19.899999999999999" customHeight="1">
      <c r="A39" s="121">
        <v>46025</v>
      </c>
      <c r="B39" s="112" t="s">
        <v>38</v>
      </c>
      <c r="C39" s="113" t="s">
        <v>1041</v>
      </c>
      <c r="D39" s="112" t="s">
        <v>1040</v>
      </c>
      <c r="E39" s="122">
        <v>1.447916666666667</v>
      </c>
      <c r="F39" s="112" t="s">
        <v>46</v>
      </c>
      <c r="G39" s="114">
        <v>16</v>
      </c>
      <c r="H39" s="115" t="s">
        <v>106</v>
      </c>
    </row>
    <row r="40" spans="1:8" ht="19.899999999999999" customHeight="1">
      <c r="A40" s="121">
        <v>46025</v>
      </c>
      <c r="B40" s="112" t="s">
        <v>48</v>
      </c>
      <c r="C40" s="113" t="s">
        <v>1060</v>
      </c>
      <c r="D40" s="112" t="s">
        <v>1040</v>
      </c>
      <c r="E40" s="122">
        <v>1.447916666666667</v>
      </c>
      <c r="F40" s="112" t="s">
        <v>53</v>
      </c>
      <c r="G40" s="114">
        <v>4</v>
      </c>
      <c r="H40" s="115" t="s">
        <v>946</v>
      </c>
    </row>
    <row r="41" spans="1:8" ht="19.899999999999999" customHeight="1">
      <c r="A41" s="123">
        <v>46025</v>
      </c>
      <c r="B41" s="124" t="s">
        <v>48</v>
      </c>
      <c r="C41" s="125" t="s">
        <v>1060</v>
      </c>
      <c r="D41" s="124" t="s">
        <v>1040</v>
      </c>
      <c r="E41" s="126">
        <v>1.447916666666667</v>
      </c>
      <c r="F41" s="124" t="s">
        <v>70</v>
      </c>
      <c r="G41" s="127">
        <v>4</v>
      </c>
      <c r="H41" s="128" t="s">
        <v>946</v>
      </c>
    </row>
    <row r="42" spans="1:8" ht="19.899999999999999" customHeight="1">
      <c r="A42" s="121">
        <v>46026</v>
      </c>
      <c r="B42" s="112" t="s">
        <v>38</v>
      </c>
      <c r="C42" s="113" t="s">
        <v>1041</v>
      </c>
      <c r="D42" s="112" t="s">
        <v>1040</v>
      </c>
      <c r="E42" s="122">
        <v>1.447916666666667</v>
      </c>
      <c r="F42" s="112" t="s">
        <v>40</v>
      </c>
      <c r="G42" s="114">
        <v>16</v>
      </c>
      <c r="H42" s="115" t="s">
        <v>149</v>
      </c>
    </row>
    <row r="43" spans="1:8" ht="19.899999999999999" customHeight="1">
      <c r="A43" s="121">
        <v>46026</v>
      </c>
      <c r="B43" s="112" t="s">
        <v>26</v>
      </c>
      <c r="C43" s="113" t="s">
        <v>1049</v>
      </c>
      <c r="D43" s="112" t="s">
        <v>1040</v>
      </c>
      <c r="E43" s="122">
        <v>1.9722222222222221</v>
      </c>
      <c r="F43" s="112" t="s">
        <v>28</v>
      </c>
      <c r="G43" s="114">
        <v>7</v>
      </c>
      <c r="H43" s="115" t="s">
        <v>349</v>
      </c>
    </row>
    <row r="44" spans="1:8" ht="19.899999999999999" customHeight="1">
      <c r="A44" s="121">
        <v>46026</v>
      </c>
      <c r="B44" s="112" t="s">
        <v>415</v>
      </c>
      <c r="C44" s="113" t="s">
        <v>1062</v>
      </c>
      <c r="D44" s="112" t="s">
        <v>1040</v>
      </c>
      <c r="E44" s="122">
        <v>1.006944444444444</v>
      </c>
      <c r="F44" s="112" t="s">
        <v>63</v>
      </c>
      <c r="G44" s="114">
        <v>7</v>
      </c>
      <c r="H44" s="115" t="s">
        <v>1051</v>
      </c>
    </row>
    <row r="45" spans="1:8" ht="19.899999999999999" customHeight="1">
      <c r="A45" s="121">
        <v>46026</v>
      </c>
      <c r="B45" s="112" t="s">
        <v>415</v>
      </c>
      <c r="C45" s="113" t="s">
        <v>1071</v>
      </c>
      <c r="D45" s="112" t="s">
        <v>1040</v>
      </c>
      <c r="E45" s="122">
        <v>1.9201388888888891</v>
      </c>
      <c r="F45" s="112" t="s">
        <v>63</v>
      </c>
      <c r="G45" s="114">
        <v>5</v>
      </c>
      <c r="H45" s="115" t="s">
        <v>1051</v>
      </c>
    </row>
    <row r="46" spans="1:8" ht="19.899999999999999" customHeight="1">
      <c r="A46" s="121">
        <v>46026</v>
      </c>
      <c r="B46" s="112" t="s">
        <v>402</v>
      </c>
      <c r="C46" s="113" t="s">
        <v>1059</v>
      </c>
      <c r="D46" s="112" t="s">
        <v>1040</v>
      </c>
      <c r="E46" s="122">
        <v>1.756944444444444</v>
      </c>
      <c r="F46" s="112" t="s">
        <v>63</v>
      </c>
      <c r="G46" s="114">
        <v>3</v>
      </c>
      <c r="H46" s="115" t="s">
        <v>1058</v>
      </c>
    </row>
    <row r="47" spans="1:8" ht="19.899999999999999" customHeight="1">
      <c r="A47" s="121">
        <v>46026</v>
      </c>
      <c r="B47" s="112" t="s">
        <v>38</v>
      </c>
      <c r="C47" s="113" t="s">
        <v>1041</v>
      </c>
      <c r="D47" s="112" t="s">
        <v>1040</v>
      </c>
      <c r="E47" s="122">
        <v>1.447916666666667</v>
      </c>
      <c r="F47" s="112" t="s">
        <v>43</v>
      </c>
      <c r="G47" s="114">
        <v>16</v>
      </c>
      <c r="H47" s="115" t="s">
        <v>35</v>
      </c>
    </row>
    <row r="48" spans="1:8" ht="19.899999999999999" customHeight="1">
      <c r="A48" s="121">
        <v>46026</v>
      </c>
      <c r="B48" s="112" t="s">
        <v>26</v>
      </c>
      <c r="C48" s="113" t="s">
        <v>1049</v>
      </c>
      <c r="D48" s="112" t="s">
        <v>1040</v>
      </c>
      <c r="E48" s="122">
        <v>1.9722222222222221</v>
      </c>
      <c r="F48" s="112" t="s">
        <v>31</v>
      </c>
      <c r="G48" s="114">
        <v>7</v>
      </c>
      <c r="H48" s="115" t="s">
        <v>35</v>
      </c>
    </row>
    <row r="49" spans="1:8" ht="19.899999999999999" customHeight="1">
      <c r="A49" s="121">
        <v>46026</v>
      </c>
      <c r="B49" s="112" t="s">
        <v>68</v>
      </c>
      <c r="C49" s="113" t="s">
        <v>1052</v>
      </c>
      <c r="D49" s="112" t="s">
        <v>1040</v>
      </c>
      <c r="E49" s="122">
        <v>1.336805555555556</v>
      </c>
      <c r="F49" s="112" t="s">
        <v>70</v>
      </c>
      <c r="G49" s="114">
        <v>9</v>
      </c>
      <c r="H49" s="115" t="s">
        <v>1055</v>
      </c>
    </row>
    <row r="50" spans="1:8" ht="19.899999999999999" customHeight="1">
      <c r="A50" s="121">
        <v>46026</v>
      </c>
      <c r="B50" s="112" t="s">
        <v>68</v>
      </c>
      <c r="C50" s="113" t="s">
        <v>1054</v>
      </c>
      <c r="D50" s="112" t="s">
        <v>1040</v>
      </c>
      <c r="E50" s="122">
        <v>1.979166666666667</v>
      </c>
      <c r="F50" s="112" t="s">
        <v>70</v>
      </c>
      <c r="G50" s="114">
        <v>9</v>
      </c>
      <c r="H50" s="115" t="s">
        <v>1001</v>
      </c>
    </row>
    <row r="51" spans="1:8" ht="19.899999999999999" customHeight="1">
      <c r="A51" s="121">
        <v>46026</v>
      </c>
      <c r="B51" s="112" t="s">
        <v>26</v>
      </c>
      <c r="C51" s="113" t="s">
        <v>1049</v>
      </c>
      <c r="D51" s="112" t="s">
        <v>1040</v>
      </c>
      <c r="E51" s="122">
        <v>1.9722222222222221</v>
      </c>
      <c r="F51" s="112" t="s">
        <v>34</v>
      </c>
      <c r="G51" s="114">
        <v>7</v>
      </c>
      <c r="H51" s="115" t="s">
        <v>503</v>
      </c>
    </row>
    <row r="52" spans="1:8" ht="19.899999999999999" customHeight="1">
      <c r="A52" s="121">
        <v>46026</v>
      </c>
      <c r="B52" s="112" t="s">
        <v>68</v>
      </c>
      <c r="C52" s="113" t="s">
        <v>1056</v>
      </c>
      <c r="D52" s="112" t="s">
        <v>1040</v>
      </c>
      <c r="E52" s="122">
        <v>1.6736111111111109</v>
      </c>
      <c r="F52" s="112" t="s">
        <v>70</v>
      </c>
      <c r="G52" s="114">
        <v>9</v>
      </c>
      <c r="H52" s="115" t="s">
        <v>1063</v>
      </c>
    </row>
    <row r="53" spans="1:8" ht="19.899999999999999" customHeight="1">
      <c r="A53" s="121">
        <v>46026</v>
      </c>
      <c r="B53" s="112" t="s">
        <v>38</v>
      </c>
      <c r="C53" s="113" t="s">
        <v>1041</v>
      </c>
      <c r="D53" s="112" t="s">
        <v>1040</v>
      </c>
      <c r="E53" s="122">
        <v>1.447916666666667</v>
      </c>
      <c r="F53" s="112" t="s">
        <v>46</v>
      </c>
      <c r="G53" s="114">
        <v>16</v>
      </c>
      <c r="H53" s="115" t="s">
        <v>106</v>
      </c>
    </row>
    <row r="54" spans="1:8" ht="19.899999999999999" customHeight="1">
      <c r="A54" s="121">
        <v>46026</v>
      </c>
      <c r="B54" s="112" t="s">
        <v>48</v>
      </c>
      <c r="C54" s="113" t="s">
        <v>1060</v>
      </c>
      <c r="D54" s="112" t="s">
        <v>1040</v>
      </c>
      <c r="E54" s="122">
        <v>1.447916666666667</v>
      </c>
      <c r="F54" s="112" t="s">
        <v>53</v>
      </c>
      <c r="G54" s="114">
        <v>4</v>
      </c>
      <c r="H54" s="115" t="s">
        <v>912</v>
      </c>
    </row>
    <row r="55" spans="1:8" ht="19.899999999999999" customHeight="1">
      <c r="A55" s="123">
        <v>46026</v>
      </c>
      <c r="B55" s="124" t="s">
        <v>48</v>
      </c>
      <c r="C55" s="125" t="s">
        <v>1060</v>
      </c>
      <c r="D55" s="124" t="s">
        <v>1040</v>
      </c>
      <c r="E55" s="126">
        <v>1.447916666666667</v>
      </c>
      <c r="F55" s="124" t="s">
        <v>70</v>
      </c>
      <c r="G55" s="127">
        <v>4</v>
      </c>
      <c r="H55" s="128" t="s">
        <v>912</v>
      </c>
    </row>
    <row r="56" spans="1:8" ht="19.899999999999999" customHeight="1">
      <c r="A56" s="121">
        <v>46027</v>
      </c>
      <c r="B56" s="112" t="s">
        <v>38</v>
      </c>
      <c r="C56" s="113" t="s">
        <v>1041</v>
      </c>
      <c r="D56" s="112" t="s">
        <v>1040</v>
      </c>
      <c r="E56" s="122">
        <v>1.447916666666667</v>
      </c>
      <c r="F56" s="112" t="s">
        <v>40</v>
      </c>
      <c r="G56" s="114">
        <v>10</v>
      </c>
      <c r="H56" s="115" t="s">
        <v>30</v>
      </c>
    </row>
    <row r="57" spans="1:8" ht="19.899999999999999" customHeight="1">
      <c r="A57" s="121">
        <v>46027</v>
      </c>
      <c r="B57" s="112" t="s">
        <v>26</v>
      </c>
      <c r="C57" s="113" t="s">
        <v>1047</v>
      </c>
      <c r="D57" s="112" t="s">
        <v>1040</v>
      </c>
      <c r="E57" s="122">
        <v>1.336805555555556</v>
      </c>
      <c r="F57" s="112" t="s">
        <v>28</v>
      </c>
      <c r="G57" s="114">
        <v>6</v>
      </c>
      <c r="H57" s="115" t="s">
        <v>42</v>
      </c>
    </row>
    <row r="58" spans="1:8" ht="19.899999999999999" customHeight="1">
      <c r="A58" s="121">
        <v>46027</v>
      </c>
      <c r="B58" s="112" t="s">
        <v>26</v>
      </c>
      <c r="C58" s="113" t="s">
        <v>1049</v>
      </c>
      <c r="D58" s="112" t="s">
        <v>1040</v>
      </c>
      <c r="E58" s="122">
        <v>1.9722222222222221</v>
      </c>
      <c r="F58" s="112" t="s">
        <v>28</v>
      </c>
      <c r="G58" s="114">
        <v>7</v>
      </c>
      <c r="H58" s="115" t="s">
        <v>42</v>
      </c>
    </row>
    <row r="59" spans="1:8" ht="19.899999999999999" customHeight="1">
      <c r="A59" s="121">
        <v>46027</v>
      </c>
      <c r="B59" s="112" t="s">
        <v>26</v>
      </c>
      <c r="C59" s="113" t="s">
        <v>1047</v>
      </c>
      <c r="D59" s="112" t="s">
        <v>1040</v>
      </c>
      <c r="E59" s="122">
        <v>1.336805555555556</v>
      </c>
      <c r="F59" s="112" t="s">
        <v>31</v>
      </c>
      <c r="G59" s="114">
        <v>6</v>
      </c>
      <c r="H59" s="115" t="s">
        <v>79</v>
      </c>
    </row>
    <row r="60" spans="1:8" ht="19.899999999999999" customHeight="1">
      <c r="A60" s="121">
        <v>46027</v>
      </c>
      <c r="B60" s="112" t="s">
        <v>26</v>
      </c>
      <c r="C60" s="113" t="s">
        <v>1049</v>
      </c>
      <c r="D60" s="112" t="s">
        <v>1040</v>
      </c>
      <c r="E60" s="122">
        <v>1.9722222222222221</v>
      </c>
      <c r="F60" s="112" t="s">
        <v>31</v>
      </c>
      <c r="G60" s="114">
        <v>7</v>
      </c>
      <c r="H60" s="115" t="s">
        <v>79</v>
      </c>
    </row>
    <row r="61" spans="1:8" ht="19.899999999999999" customHeight="1">
      <c r="A61" s="121">
        <v>46027</v>
      </c>
      <c r="B61" s="112" t="s">
        <v>38</v>
      </c>
      <c r="C61" s="113" t="s">
        <v>1041</v>
      </c>
      <c r="D61" s="112" t="s">
        <v>1040</v>
      </c>
      <c r="E61" s="122">
        <v>1.447916666666667</v>
      </c>
      <c r="F61" s="112" t="s">
        <v>43</v>
      </c>
      <c r="G61" s="114">
        <v>10</v>
      </c>
      <c r="H61" s="115" t="s">
        <v>420</v>
      </c>
    </row>
    <row r="62" spans="1:8" ht="19.899999999999999" customHeight="1">
      <c r="A62" s="121">
        <v>46027</v>
      </c>
      <c r="B62" s="112" t="s">
        <v>68</v>
      </c>
      <c r="C62" s="113" t="s">
        <v>1052</v>
      </c>
      <c r="D62" s="112" t="s">
        <v>1040</v>
      </c>
      <c r="E62" s="122">
        <v>1.336805555555556</v>
      </c>
      <c r="F62" s="112" t="s">
        <v>643</v>
      </c>
      <c r="G62" s="114">
        <v>9</v>
      </c>
      <c r="H62" s="115" t="s">
        <v>1053</v>
      </c>
    </row>
    <row r="63" spans="1:8" ht="19.899999999999999" customHeight="1">
      <c r="A63" s="121">
        <v>46027</v>
      </c>
      <c r="B63" s="112" t="s">
        <v>402</v>
      </c>
      <c r="C63" s="113" t="s">
        <v>1064</v>
      </c>
      <c r="D63" s="112" t="s">
        <v>1040</v>
      </c>
      <c r="E63" s="122">
        <v>1.756944444444444</v>
      </c>
      <c r="F63" s="112" t="s">
        <v>63</v>
      </c>
      <c r="G63" s="114">
        <v>4</v>
      </c>
      <c r="H63" s="115" t="s">
        <v>1058</v>
      </c>
    </row>
    <row r="64" spans="1:8" ht="19.899999999999999" customHeight="1">
      <c r="A64" s="121">
        <v>46027</v>
      </c>
      <c r="B64" s="112" t="s">
        <v>68</v>
      </c>
      <c r="C64" s="113" t="s">
        <v>1054</v>
      </c>
      <c r="D64" s="112" t="s">
        <v>1040</v>
      </c>
      <c r="E64" s="122">
        <v>1.979166666666667</v>
      </c>
      <c r="F64" s="112" t="s">
        <v>70</v>
      </c>
      <c r="G64" s="114">
        <v>9</v>
      </c>
      <c r="H64" s="115" t="s">
        <v>1055</v>
      </c>
    </row>
    <row r="65" spans="1:8" ht="19.899999999999999" customHeight="1">
      <c r="A65" s="121">
        <v>46027</v>
      </c>
      <c r="B65" s="112" t="s">
        <v>26</v>
      </c>
      <c r="C65" s="113" t="s">
        <v>1047</v>
      </c>
      <c r="D65" s="112" t="s">
        <v>1040</v>
      </c>
      <c r="E65" s="122">
        <v>1.336805555555556</v>
      </c>
      <c r="F65" s="112" t="s">
        <v>34</v>
      </c>
      <c r="G65" s="114">
        <v>6</v>
      </c>
      <c r="H65" s="115" t="s">
        <v>462</v>
      </c>
    </row>
    <row r="66" spans="1:8" ht="19.899999999999999" customHeight="1">
      <c r="A66" s="121">
        <v>46027</v>
      </c>
      <c r="B66" s="112" t="s">
        <v>26</v>
      </c>
      <c r="C66" s="113" t="s">
        <v>1049</v>
      </c>
      <c r="D66" s="112" t="s">
        <v>1040</v>
      </c>
      <c r="E66" s="122">
        <v>1.9722222222222221</v>
      </c>
      <c r="F66" s="112" t="s">
        <v>34</v>
      </c>
      <c r="G66" s="114">
        <v>7</v>
      </c>
      <c r="H66" s="115" t="s">
        <v>462</v>
      </c>
    </row>
    <row r="67" spans="1:8" ht="19.899999999999999" customHeight="1">
      <c r="A67" s="121">
        <v>46027</v>
      </c>
      <c r="B67" s="112" t="s">
        <v>68</v>
      </c>
      <c r="C67" s="113" t="s">
        <v>1056</v>
      </c>
      <c r="D67" s="112" t="s">
        <v>1040</v>
      </c>
      <c r="E67" s="122">
        <v>1.6736111111111109</v>
      </c>
      <c r="F67" s="112" t="s">
        <v>70</v>
      </c>
      <c r="G67" s="114">
        <v>9</v>
      </c>
      <c r="H67" s="115" t="s">
        <v>858</v>
      </c>
    </row>
    <row r="68" spans="1:8" ht="19.899999999999999" customHeight="1">
      <c r="A68" s="121">
        <v>46027</v>
      </c>
      <c r="B68" s="112" t="s">
        <v>38</v>
      </c>
      <c r="C68" s="113" t="s">
        <v>1041</v>
      </c>
      <c r="D68" s="112" t="s">
        <v>1040</v>
      </c>
      <c r="E68" s="122">
        <v>1.447916666666667</v>
      </c>
      <c r="F68" s="112" t="s">
        <v>46</v>
      </c>
      <c r="G68" s="114">
        <v>10</v>
      </c>
      <c r="H68" s="115" t="s">
        <v>106</v>
      </c>
    </row>
    <row r="69" spans="1:8" ht="19.899999999999999" customHeight="1">
      <c r="A69" s="123">
        <v>46027</v>
      </c>
      <c r="B69" s="124" t="s">
        <v>48</v>
      </c>
      <c r="C69" s="125" t="s">
        <v>1060</v>
      </c>
      <c r="D69" s="124" t="s">
        <v>1040</v>
      </c>
      <c r="E69" s="126">
        <v>1.447916666666667</v>
      </c>
      <c r="F69" s="124" t="s">
        <v>53</v>
      </c>
      <c r="G69" s="127">
        <v>4</v>
      </c>
      <c r="H69" s="128" t="s">
        <v>1072</v>
      </c>
    </row>
    <row r="70" spans="1:8" ht="19.899999999999999" customHeight="1">
      <c r="A70" s="121">
        <v>46028</v>
      </c>
      <c r="B70" s="112" t="s">
        <v>38</v>
      </c>
      <c r="C70" s="113" t="s">
        <v>1041</v>
      </c>
      <c r="D70" s="112" t="s">
        <v>1040</v>
      </c>
      <c r="E70" s="122">
        <v>1.447916666666667</v>
      </c>
      <c r="F70" s="112" t="s">
        <v>40</v>
      </c>
      <c r="G70" s="114">
        <v>10</v>
      </c>
      <c r="H70" s="115" t="s">
        <v>30</v>
      </c>
    </row>
    <row r="71" spans="1:8" ht="19.899999999999999" customHeight="1">
      <c r="A71" s="121">
        <v>46028</v>
      </c>
      <c r="B71" s="112" t="s">
        <v>26</v>
      </c>
      <c r="C71" s="113" t="s">
        <v>1047</v>
      </c>
      <c r="D71" s="112" t="s">
        <v>1040</v>
      </c>
      <c r="E71" s="122">
        <v>1.336805555555556</v>
      </c>
      <c r="F71" s="112" t="s">
        <v>28</v>
      </c>
      <c r="G71" s="114">
        <v>7</v>
      </c>
      <c r="H71" s="115" t="s">
        <v>42</v>
      </c>
    </row>
    <row r="72" spans="1:8" ht="19.899999999999999" customHeight="1">
      <c r="A72" s="129">
        <v>46028</v>
      </c>
      <c r="B72" s="117" t="s">
        <v>61</v>
      </c>
      <c r="C72" s="118" t="s">
        <v>1043</v>
      </c>
      <c r="D72" s="117" t="s">
        <v>1040</v>
      </c>
      <c r="E72" s="130">
        <v>1.069444444444444</v>
      </c>
      <c r="F72" s="117" t="s">
        <v>63</v>
      </c>
      <c r="G72" s="119">
        <v>7</v>
      </c>
      <c r="H72" s="120" t="s">
        <v>856</v>
      </c>
    </row>
    <row r="73" spans="1:8" ht="19.899999999999999" customHeight="1">
      <c r="A73" s="121">
        <v>46028</v>
      </c>
      <c r="B73" s="112" t="s">
        <v>26</v>
      </c>
      <c r="C73" s="113" t="s">
        <v>1049</v>
      </c>
      <c r="D73" s="112" t="s">
        <v>1040</v>
      </c>
      <c r="E73" s="122">
        <v>1.9722222222222221</v>
      </c>
      <c r="F73" s="112" t="s">
        <v>28</v>
      </c>
      <c r="G73" s="114">
        <v>6</v>
      </c>
      <c r="H73" s="115" t="s">
        <v>1048</v>
      </c>
    </row>
    <row r="74" spans="1:8" ht="19.899999999999999" customHeight="1">
      <c r="A74" s="121">
        <v>46028</v>
      </c>
      <c r="B74" s="112" t="s">
        <v>26</v>
      </c>
      <c r="C74" s="113" t="s">
        <v>1047</v>
      </c>
      <c r="D74" s="112" t="s">
        <v>1040</v>
      </c>
      <c r="E74" s="122">
        <v>1.336805555555556</v>
      </c>
      <c r="F74" s="112" t="s">
        <v>31</v>
      </c>
      <c r="G74" s="114">
        <v>7</v>
      </c>
      <c r="H74" s="115" t="s">
        <v>79</v>
      </c>
    </row>
    <row r="75" spans="1:8" ht="19.899999999999999" customHeight="1">
      <c r="A75" s="121">
        <v>46028</v>
      </c>
      <c r="B75" s="112" t="s">
        <v>415</v>
      </c>
      <c r="C75" s="113" t="s">
        <v>1062</v>
      </c>
      <c r="D75" s="112" t="s">
        <v>1040</v>
      </c>
      <c r="E75" s="122">
        <v>1.006944444444444</v>
      </c>
      <c r="F75" s="112" t="s">
        <v>63</v>
      </c>
      <c r="G75" s="114">
        <v>7</v>
      </c>
      <c r="H75" s="115" t="s">
        <v>1051</v>
      </c>
    </row>
    <row r="76" spans="1:8" ht="19.899999999999999" customHeight="1">
      <c r="A76" s="121">
        <v>46028</v>
      </c>
      <c r="B76" s="112" t="s">
        <v>415</v>
      </c>
      <c r="C76" s="113" t="s">
        <v>1050</v>
      </c>
      <c r="D76" s="112" t="s">
        <v>1040</v>
      </c>
      <c r="E76" s="122">
        <v>1.881944444444444</v>
      </c>
      <c r="F76" s="112" t="s">
        <v>63</v>
      </c>
      <c r="G76" s="114">
        <v>7</v>
      </c>
      <c r="H76" s="115" t="s">
        <v>1051</v>
      </c>
    </row>
    <row r="77" spans="1:8" ht="19.899999999999999" customHeight="1">
      <c r="A77" s="121">
        <v>46028</v>
      </c>
      <c r="B77" s="112" t="s">
        <v>38</v>
      </c>
      <c r="C77" s="113" t="s">
        <v>1041</v>
      </c>
      <c r="D77" s="112" t="s">
        <v>1040</v>
      </c>
      <c r="E77" s="122">
        <v>1.447916666666667</v>
      </c>
      <c r="F77" s="112" t="s">
        <v>43</v>
      </c>
      <c r="G77" s="114">
        <v>10</v>
      </c>
      <c r="H77" s="115" t="s">
        <v>420</v>
      </c>
    </row>
    <row r="78" spans="1:8" ht="19.899999999999999" customHeight="1">
      <c r="A78" s="121">
        <v>46028</v>
      </c>
      <c r="B78" s="112" t="s">
        <v>26</v>
      </c>
      <c r="C78" s="113" t="s">
        <v>1049</v>
      </c>
      <c r="D78" s="112" t="s">
        <v>1040</v>
      </c>
      <c r="E78" s="122">
        <v>1.9722222222222221</v>
      </c>
      <c r="F78" s="112" t="s">
        <v>31</v>
      </c>
      <c r="G78" s="114">
        <v>6</v>
      </c>
      <c r="H78" s="115" t="s">
        <v>420</v>
      </c>
    </row>
    <row r="79" spans="1:8" ht="19.899999999999999" customHeight="1">
      <c r="A79" s="121">
        <v>46028</v>
      </c>
      <c r="B79" s="112" t="s">
        <v>68</v>
      </c>
      <c r="C79" s="113" t="s">
        <v>1052</v>
      </c>
      <c r="D79" s="112" t="s">
        <v>1040</v>
      </c>
      <c r="E79" s="122">
        <v>1.336805555555556</v>
      </c>
      <c r="F79" s="112" t="s">
        <v>643</v>
      </c>
      <c r="G79" s="114">
        <v>9</v>
      </c>
      <c r="H79" s="115" t="s">
        <v>1053</v>
      </c>
    </row>
    <row r="80" spans="1:8" ht="19.899999999999999" customHeight="1">
      <c r="A80" s="121">
        <v>46028</v>
      </c>
      <c r="B80" s="112" t="s">
        <v>68</v>
      </c>
      <c r="C80" s="113" t="s">
        <v>1054</v>
      </c>
      <c r="D80" s="112" t="s">
        <v>1040</v>
      </c>
      <c r="E80" s="122">
        <v>1.979166666666667</v>
      </c>
      <c r="F80" s="112" t="s">
        <v>643</v>
      </c>
      <c r="G80" s="114">
        <v>9</v>
      </c>
      <c r="H80" s="115" t="s">
        <v>1053</v>
      </c>
    </row>
    <row r="81" spans="1:8" ht="19.899999999999999" customHeight="1">
      <c r="A81" s="121">
        <v>46028</v>
      </c>
      <c r="B81" s="112" t="s">
        <v>402</v>
      </c>
      <c r="C81" s="113" t="s">
        <v>1057</v>
      </c>
      <c r="D81" s="112" t="s">
        <v>1040</v>
      </c>
      <c r="E81" s="122">
        <v>1.756944444444444</v>
      </c>
      <c r="F81" s="112" t="s">
        <v>63</v>
      </c>
      <c r="G81" s="114">
        <v>6</v>
      </c>
      <c r="H81" s="115" t="s">
        <v>1058</v>
      </c>
    </row>
    <row r="82" spans="1:8" ht="19.899999999999999" customHeight="1">
      <c r="A82" s="121">
        <v>46028</v>
      </c>
      <c r="B82" s="112" t="s">
        <v>26</v>
      </c>
      <c r="C82" s="113" t="s">
        <v>1047</v>
      </c>
      <c r="D82" s="112" t="s">
        <v>1040</v>
      </c>
      <c r="E82" s="122">
        <v>1.336805555555556</v>
      </c>
      <c r="F82" s="112" t="s">
        <v>34</v>
      </c>
      <c r="G82" s="114">
        <v>7</v>
      </c>
      <c r="H82" s="115" t="s">
        <v>462</v>
      </c>
    </row>
    <row r="83" spans="1:8" ht="19.899999999999999" customHeight="1">
      <c r="A83" s="121">
        <v>46028</v>
      </c>
      <c r="B83" s="112" t="s">
        <v>68</v>
      </c>
      <c r="C83" s="113" t="s">
        <v>1056</v>
      </c>
      <c r="D83" s="112" t="s">
        <v>1040</v>
      </c>
      <c r="E83" s="122">
        <v>1.6736111111111109</v>
      </c>
      <c r="F83" s="112" t="s">
        <v>70</v>
      </c>
      <c r="G83" s="114">
        <v>9</v>
      </c>
      <c r="H83" s="115" t="s">
        <v>1001</v>
      </c>
    </row>
    <row r="84" spans="1:8" ht="19.899999999999999" customHeight="1">
      <c r="A84" s="121">
        <v>46028</v>
      </c>
      <c r="B84" s="112" t="s">
        <v>26</v>
      </c>
      <c r="C84" s="113" t="s">
        <v>1049</v>
      </c>
      <c r="D84" s="112" t="s">
        <v>1040</v>
      </c>
      <c r="E84" s="122">
        <v>1.9722222222222221</v>
      </c>
      <c r="F84" s="112" t="s">
        <v>34</v>
      </c>
      <c r="G84" s="114">
        <v>6</v>
      </c>
      <c r="H84" s="115" t="s">
        <v>443</v>
      </c>
    </row>
    <row r="85" spans="1:8" ht="19.899999999999999" customHeight="1">
      <c r="A85" s="121">
        <v>46028</v>
      </c>
      <c r="B85" s="112" t="s">
        <v>38</v>
      </c>
      <c r="C85" s="113" t="s">
        <v>1041</v>
      </c>
      <c r="D85" s="112" t="s">
        <v>1040</v>
      </c>
      <c r="E85" s="122">
        <v>1.447916666666667</v>
      </c>
      <c r="F85" s="112" t="s">
        <v>46</v>
      </c>
      <c r="G85" s="114">
        <v>10</v>
      </c>
      <c r="H85" s="115" t="s">
        <v>106</v>
      </c>
    </row>
    <row r="86" spans="1:8" ht="19.899999999999999" customHeight="1">
      <c r="A86" s="123">
        <v>46028</v>
      </c>
      <c r="B86" s="124" t="s">
        <v>48</v>
      </c>
      <c r="C86" s="125" t="s">
        <v>1060</v>
      </c>
      <c r="D86" s="124" t="s">
        <v>1040</v>
      </c>
      <c r="E86" s="126">
        <v>1.447916666666667</v>
      </c>
      <c r="F86" s="124" t="s">
        <v>53</v>
      </c>
      <c r="G86" s="127">
        <v>4</v>
      </c>
      <c r="H86" s="128" t="s">
        <v>1072</v>
      </c>
    </row>
    <row r="87" spans="1:8" ht="19.899999999999999" customHeight="1">
      <c r="A87" s="121">
        <v>46029</v>
      </c>
      <c r="B87" s="112" t="s">
        <v>26</v>
      </c>
      <c r="C87" s="113" t="s">
        <v>1049</v>
      </c>
      <c r="D87" s="112" t="s">
        <v>1040</v>
      </c>
      <c r="E87" s="122">
        <v>1.9722222222222221</v>
      </c>
      <c r="F87" s="112" t="s">
        <v>28</v>
      </c>
      <c r="G87" s="114">
        <v>4</v>
      </c>
      <c r="H87" s="115" t="s">
        <v>42</v>
      </c>
    </row>
    <row r="88" spans="1:8" ht="19.899999999999999" customHeight="1">
      <c r="A88" s="121">
        <v>46029</v>
      </c>
      <c r="B88" s="112" t="s">
        <v>359</v>
      </c>
      <c r="C88" s="113" t="s">
        <v>1065</v>
      </c>
      <c r="D88" s="112" t="s">
        <v>1040</v>
      </c>
      <c r="E88" s="122">
        <v>1.7847222222222221</v>
      </c>
      <c r="F88" s="112" t="s">
        <v>361</v>
      </c>
      <c r="G88" s="114">
        <v>9</v>
      </c>
      <c r="H88" s="115" t="s">
        <v>1074</v>
      </c>
    </row>
    <row r="89" spans="1:8" ht="19.899999999999999" customHeight="1">
      <c r="A89" s="121">
        <v>46029</v>
      </c>
      <c r="B89" s="112" t="s">
        <v>38</v>
      </c>
      <c r="C89" s="113" t="s">
        <v>1041</v>
      </c>
      <c r="D89" s="112" t="s">
        <v>1040</v>
      </c>
      <c r="E89" s="122">
        <v>1.447916666666667</v>
      </c>
      <c r="F89" s="112" t="s">
        <v>40</v>
      </c>
      <c r="G89" s="114">
        <v>6</v>
      </c>
      <c r="H89" s="115" t="s">
        <v>83</v>
      </c>
    </row>
    <row r="90" spans="1:8" ht="19.899999999999999" customHeight="1">
      <c r="A90" s="121">
        <v>46029</v>
      </c>
      <c r="B90" s="112" t="s">
        <v>26</v>
      </c>
      <c r="C90" s="113" t="s">
        <v>1049</v>
      </c>
      <c r="D90" s="112" t="s">
        <v>1040</v>
      </c>
      <c r="E90" s="122">
        <v>1.9722222222222221</v>
      </c>
      <c r="F90" s="112" t="s">
        <v>31</v>
      </c>
      <c r="G90" s="114">
        <v>4</v>
      </c>
      <c r="H90" s="115" t="s">
        <v>79</v>
      </c>
    </row>
    <row r="91" spans="1:8" ht="19.899999999999999" customHeight="1">
      <c r="A91" s="121">
        <v>46029</v>
      </c>
      <c r="B91" s="112" t="s">
        <v>68</v>
      </c>
      <c r="C91" s="113" t="s">
        <v>1052</v>
      </c>
      <c r="D91" s="112" t="s">
        <v>1040</v>
      </c>
      <c r="E91" s="122">
        <v>1.336805555555556</v>
      </c>
      <c r="F91" s="112" t="s">
        <v>643</v>
      </c>
      <c r="G91" s="114">
        <v>9</v>
      </c>
      <c r="H91" s="115" t="s">
        <v>1053</v>
      </c>
    </row>
    <row r="92" spans="1:8" ht="19.899999999999999" customHeight="1">
      <c r="A92" s="121">
        <v>46029</v>
      </c>
      <c r="B92" s="112" t="s">
        <v>68</v>
      </c>
      <c r="C92" s="113" t="s">
        <v>1054</v>
      </c>
      <c r="D92" s="112" t="s">
        <v>1040</v>
      </c>
      <c r="E92" s="122">
        <v>1.979166666666667</v>
      </c>
      <c r="F92" s="112" t="s">
        <v>643</v>
      </c>
      <c r="G92" s="114">
        <v>9</v>
      </c>
      <c r="H92" s="115" t="s">
        <v>1053</v>
      </c>
    </row>
    <row r="93" spans="1:8" ht="19.899999999999999" customHeight="1">
      <c r="A93" s="121">
        <v>46029</v>
      </c>
      <c r="B93" s="112" t="s">
        <v>402</v>
      </c>
      <c r="C93" s="113" t="s">
        <v>1064</v>
      </c>
      <c r="D93" s="112" t="s">
        <v>1040</v>
      </c>
      <c r="E93" s="122">
        <v>1.694444444444444</v>
      </c>
      <c r="F93" s="112" t="s">
        <v>63</v>
      </c>
      <c r="G93" s="114">
        <v>5</v>
      </c>
      <c r="H93" s="115" t="s">
        <v>1058</v>
      </c>
    </row>
    <row r="94" spans="1:8" ht="19.899999999999999" customHeight="1">
      <c r="A94" s="121">
        <v>46029</v>
      </c>
      <c r="B94" s="112" t="s">
        <v>26</v>
      </c>
      <c r="C94" s="113" t="s">
        <v>1049</v>
      </c>
      <c r="D94" s="112" t="s">
        <v>1040</v>
      </c>
      <c r="E94" s="122">
        <v>1.9722222222222221</v>
      </c>
      <c r="F94" s="112" t="s">
        <v>34</v>
      </c>
      <c r="G94" s="114">
        <v>4</v>
      </c>
      <c r="H94" s="115" t="s">
        <v>462</v>
      </c>
    </row>
    <row r="95" spans="1:8" ht="19.899999999999999" customHeight="1">
      <c r="A95" s="121">
        <v>46029</v>
      </c>
      <c r="B95" s="112" t="s">
        <v>38</v>
      </c>
      <c r="C95" s="113" t="s">
        <v>1041</v>
      </c>
      <c r="D95" s="112" t="s">
        <v>1040</v>
      </c>
      <c r="E95" s="122">
        <v>1.447916666666667</v>
      </c>
      <c r="F95" s="112" t="s">
        <v>43</v>
      </c>
      <c r="G95" s="114">
        <v>6</v>
      </c>
      <c r="H95" s="115" t="s">
        <v>162</v>
      </c>
    </row>
    <row r="96" spans="1:8" ht="19.899999999999999" customHeight="1">
      <c r="A96" s="121">
        <v>46029</v>
      </c>
      <c r="B96" s="112" t="s">
        <v>68</v>
      </c>
      <c r="C96" s="113" t="s">
        <v>1056</v>
      </c>
      <c r="D96" s="112" t="s">
        <v>1040</v>
      </c>
      <c r="E96" s="122">
        <v>1.6736111111111109</v>
      </c>
      <c r="F96" s="112" t="s">
        <v>70</v>
      </c>
      <c r="G96" s="114">
        <v>9</v>
      </c>
      <c r="H96" s="115" t="s">
        <v>1001</v>
      </c>
    </row>
    <row r="97" spans="1:8" ht="19.899999999999999" customHeight="1">
      <c r="A97" s="121">
        <v>46029</v>
      </c>
      <c r="B97" s="112" t="s">
        <v>359</v>
      </c>
      <c r="C97" s="113" t="s">
        <v>1065</v>
      </c>
      <c r="D97" s="112" t="s">
        <v>1040</v>
      </c>
      <c r="E97" s="122">
        <v>1.7847222222222221</v>
      </c>
      <c r="F97" s="112" t="s">
        <v>46</v>
      </c>
      <c r="G97" s="114">
        <v>9</v>
      </c>
      <c r="H97" s="115" t="s">
        <v>1075</v>
      </c>
    </row>
    <row r="98" spans="1:8" ht="19.899999999999999" customHeight="1">
      <c r="A98" s="121">
        <v>46029</v>
      </c>
      <c r="B98" s="112" t="s">
        <v>38</v>
      </c>
      <c r="C98" s="113" t="s">
        <v>1041</v>
      </c>
      <c r="D98" s="112" t="s">
        <v>1040</v>
      </c>
      <c r="E98" s="122">
        <v>1.447916666666667</v>
      </c>
      <c r="F98" s="112" t="s">
        <v>46</v>
      </c>
      <c r="G98" s="114">
        <v>6</v>
      </c>
      <c r="H98" s="115" t="s">
        <v>106</v>
      </c>
    </row>
    <row r="99" spans="1:8" ht="19.899999999999999" customHeight="1">
      <c r="A99" s="123">
        <v>46029</v>
      </c>
      <c r="B99" s="124" t="s">
        <v>48</v>
      </c>
      <c r="C99" s="125" t="s">
        <v>1060</v>
      </c>
      <c r="D99" s="124" t="s">
        <v>1040</v>
      </c>
      <c r="E99" s="126">
        <v>1.447916666666667</v>
      </c>
      <c r="F99" s="124" t="s">
        <v>53</v>
      </c>
      <c r="G99" s="127">
        <v>4</v>
      </c>
      <c r="H99" s="128" t="s">
        <v>946</v>
      </c>
    </row>
    <row r="100" spans="1:8" ht="19.899999999999999" customHeight="1">
      <c r="A100" s="121">
        <v>46030</v>
      </c>
      <c r="B100" s="112" t="s">
        <v>38</v>
      </c>
      <c r="C100" s="113" t="s">
        <v>1041</v>
      </c>
      <c r="D100" s="112" t="s">
        <v>1040</v>
      </c>
      <c r="E100" s="122">
        <v>1.447916666666667</v>
      </c>
      <c r="F100" s="112" t="s">
        <v>40</v>
      </c>
      <c r="G100" s="114">
        <v>10</v>
      </c>
      <c r="H100" s="115" t="s">
        <v>30</v>
      </c>
    </row>
    <row r="101" spans="1:8" ht="19.899999999999999" customHeight="1">
      <c r="A101" s="129">
        <v>46030</v>
      </c>
      <c r="B101" s="117" t="s">
        <v>61</v>
      </c>
      <c r="C101" s="118" t="s">
        <v>1043</v>
      </c>
      <c r="D101" s="117" t="s">
        <v>1040</v>
      </c>
      <c r="E101" s="130">
        <v>1.7222222222222221</v>
      </c>
      <c r="F101" s="117" t="s">
        <v>63</v>
      </c>
      <c r="G101" s="119">
        <v>1</v>
      </c>
      <c r="H101" s="120" t="s">
        <v>1076</v>
      </c>
    </row>
    <row r="102" spans="1:8" ht="19.899999999999999" customHeight="1">
      <c r="A102" s="121">
        <v>46030</v>
      </c>
      <c r="B102" s="112" t="s">
        <v>26</v>
      </c>
      <c r="C102" s="113" t="s">
        <v>1047</v>
      </c>
      <c r="D102" s="112" t="s">
        <v>1040</v>
      </c>
      <c r="E102" s="122">
        <v>1.336805555555556</v>
      </c>
      <c r="F102" s="112" t="s">
        <v>28</v>
      </c>
      <c r="G102" s="114">
        <v>7</v>
      </c>
      <c r="H102" s="115" t="s">
        <v>42</v>
      </c>
    </row>
    <row r="103" spans="1:8" ht="19.899999999999999" customHeight="1">
      <c r="A103" s="121">
        <v>46030</v>
      </c>
      <c r="B103" s="112" t="s">
        <v>26</v>
      </c>
      <c r="C103" s="113" t="s">
        <v>1049</v>
      </c>
      <c r="D103" s="112" t="s">
        <v>1040</v>
      </c>
      <c r="E103" s="122">
        <v>1.9722222222222221</v>
      </c>
      <c r="F103" s="112" t="s">
        <v>28</v>
      </c>
      <c r="G103" s="114">
        <v>6</v>
      </c>
      <c r="H103" s="115" t="s">
        <v>42</v>
      </c>
    </row>
    <row r="104" spans="1:8" ht="19.899999999999999" customHeight="1">
      <c r="A104" s="121">
        <v>46030</v>
      </c>
      <c r="B104" s="112" t="s">
        <v>26</v>
      </c>
      <c r="C104" s="113" t="s">
        <v>1047</v>
      </c>
      <c r="D104" s="112" t="s">
        <v>1040</v>
      </c>
      <c r="E104" s="122">
        <v>1.336805555555556</v>
      </c>
      <c r="F104" s="112" t="s">
        <v>31</v>
      </c>
      <c r="G104" s="114">
        <v>7</v>
      </c>
      <c r="H104" s="115" t="s">
        <v>79</v>
      </c>
    </row>
    <row r="105" spans="1:8" ht="19.899999999999999" customHeight="1">
      <c r="A105" s="121">
        <v>46030</v>
      </c>
      <c r="B105" s="112" t="s">
        <v>26</v>
      </c>
      <c r="C105" s="113" t="s">
        <v>1049</v>
      </c>
      <c r="D105" s="112" t="s">
        <v>1040</v>
      </c>
      <c r="E105" s="122">
        <v>1.9722222222222221</v>
      </c>
      <c r="F105" s="112" t="s">
        <v>31</v>
      </c>
      <c r="G105" s="114">
        <v>6</v>
      </c>
      <c r="H105" s="115" t="s">
        <v>79</v>
      </c>
    </row>
    <row r="106" spans="1:8" ht="19.899999999999999" customHeight="1">
      <c r="A106" s="121">
        <v>46030</v>
      </c>
      <c r="B106" s="112" t="s">
        <v>415</v>
      </c>
      <c r="C106" s="113" t="s">
        <v>1050</v>
      </c>
      <c r="D106" s="112" t="s">
        <v>1040</v>
      </c>
      <c r="E106" s="122">
        <v>1.756944444444444</v>
      </c>
      <c r="F106" s="112" t="s">
        <v>63</v>
      </c>
      <c r="G106" s="114">
        <v>3</v>
      </c>
      <c r="H106" s="115" t="s">
        <v>1051</v>
      </c>
    </row>
    <row r="107" spans="1:8" ht="19.899999999999999" customHeight="1">
      <c r="A107" s="121">
        <v>46030</v>
      </c>
      <c r="B107" s="112" t="s">
        <v>38</v>
      </c>
      <c r="C107" s="113" t="s">
        <v>1041</v>
      </c>
      <c r="D107" s="112" t="s">
        <v>1040</v>
      </c>
      <c r="E107" s="122">
        <v>1.447916666666667</v>
      </c>
      <c r="F107" s="112" t="s">
        <v>43</v>
      </c>
      <c r="G107" s="114">
        <v>10</v>
      </c>
      <c r="H107" s="115" t="s">
        <v>420</v>
      </c>
    </row>
    <row r="108" spans="1:8" ht="19.899999999999999" customHeight="1">
      <c r="A108" s="121">
        <v>46030</v>
      </c>
      <c r="B108" s="112" t="s">
        <v>68</v>
      </c>
      <c r="C108" s="113" t="s">
        <v>1052</v>
      </c>
      <c r="D108" s="112" t="s">
        <v>1040</v>
      </c>
      <c r="E108" s="122">
        <v>1.336805555555556</v>
      </c>
      <c r="F108" s="112" t="s">
        <v>643</v>
      </c>
      <c r="G108" s="114">
        <v>9</v>
      </c>
      <c r="H108" s="115" t="s">
        <v>1053</v>
      </c>
    </row>
    <row r="109" spans="1:8" ht="19.899999999999999" customHeight="1">
      <c r="A109" s="121">
        <v>46030</v>
      </c>
      <c r="B109" s="112" t="s">
        <v>68</v>
      </c>
      <c r="C109" s="113" t="s">
        <v>1054</v>
      </c>
      <c r="D109" s="112" t="s">
        <v>1040</v>
      </c>
      <c r="E109" s="122">
        <v>1.979166666666667</v>
      </c>
      <c r="F109" s="112" t="s">
        <v>643</v>
      </c>
      <c r="G109" s="114">
        <v>9</v>
      </c>
      <c r="H109" s="115" t="s">
        <v>1053</v>
      </c>
    </row>
    <row r="110" spans="1:8" ht="19.899999999999999" customHeight="1">
      <c r="A110" s="121">
        <v>46030</v>
      </c>
      <c r="B110" s="112" t="s">
        <v>402</v>
      </c>
      <c r="C110" s="113" t="s">
        <v>1057</v>
      </c>
      <c r="D110" s="112" t="s">
        <v>1040</v>
      </c>
      <c r="E110" s="122">
        <v>1.756944444444444</v>
      </c>
      <c r="F110" s="112" t="s">
        <v>63</v>
      </c>
      <c r="G110" s="114">
        <v>6</v>
      </c>
      <c r="H110" s="115" t="s">
        <v>1058</v>
      </c>
    </row>
    <row r="111" spans="1:8" ht="19.899999999999999" customHeight="1">
      <c r="A111" s="121">
        <v>46030</v>
      </c>
      <c r="B111" s="112" t="s">
        <v>402</v>
      </c>
      <c r="C111" s="113" t="s">
        <v>1059</v>
      </c>
      <c r="D111" s="112" t="s">
        <v>1040</v>
      </c>
      <c r="E111" s="122">
        <v>1.3611111111111109</v>
      </c>
      <c r="F111" s="112" t="s">
        <v>63</v>
      </c>
      <c r="G111" s="114">
        <v>7</v>
      </c>
      <c r="H111" s="115" t="s">
        <v>1058</v>
      </c>
    </row>
    <row r="112" spans="1:8" ht="19.899999999999999" customHeight="1">
      <c r="A112" s="121">
        <v>46030</v>
      </c>
      <c r="B112" s="112" t="s">
        <v>68</v>
      </c>
      <c r="C112" s="113" t="s">
        <v>1056</v>
      </c>
      <c r="D112" s="112" t="s">
        <v>1040</v>
      </c>
      <c r="E112" s="122">
        <v>1.6736111111111109</v>
      </c>
      <c r="F112" s="112" t="s">
        <v>70</v>
      </c>
      <c r="G112" s="114">
        <v>9</v>
      </c>
      <c r="H112" s="115" t="s">
        <v>1055</v>
      </c>
    </row>
    <row r="113" spans="1:8" ht="19.899999999999999" customHeight="1">
      <c r="A113" s="121">
        <v>46030</v>
      </c>
      <c r="B113" s="112" t="s">
        <v>26</v>
      </c>
      <c r="C113" s="113" t="s">
        <v>1047</v>
      </c>
      <c r="D113" s="112" t="s">
        <v>1040</v>
      </c>
      <c r="E113" s="122">
        <v>1.336805555555556</v>
      </c>
      <c r="F113" s="112" t="s">
        <v>34</v>
      </c>
      <c r="G113" s="114">
        <v>7</v>
      </c>
      <c r="H113" s="115" t="s">
        <v>462</v>
      </c>
    </row>
    <row r="114" spans="1:8" ht="19.899999999999999" customHeight="1">
      <c r="A114" s="121">
        <v>46030</v>
      </c>
      <c r="B114" s="112" t="s">
        <v>26</v>
      </c>
      <c r="C114" s="113" t="s">
        <v>1049</v>
      </c>
      <c r="D114" s="112" t="s">
        <v>1040</v>
      </c>
      <c r="E114" s="122">
        <v>1.9722222222222221</v>
      </c>
      <c r="F114" s="112" t="s">
        <v>34</v>
      </c>
      <c r="G114" s="114">
        <v>6</v>
      </c>
      <c r="H114" s="115" t="s">
        <v>462</v>
      </c>
    </row>
    <row r="115" spans="1:8" ht="19.899999999999999" customHeight="1">
      <c r="A115" s="121">
        <v>46030</v>
      </c>
      <c r="B115" s="112" t="s">
        <v>38</v>
      </c>
      <c r="C115" s="113" t="s">
        <v>1041</v>
      </c>
      <c r="D115" s="112" t="s">
        <v>1040</v>
      </c>
      <c r="E115" s="122">
        <v>1.447916666666667</v>
      </c>
      <c r="F115" s="112" t="s">
        <v>46</v>
      </c>
      <c r="G115" s="114">
        <v>10</v>
      </c>
      <c r="H115" s="115" t="s">
        <v>106</v>
      </c>
    </row>
    <row r="116" spans="1:8" ht="19.899999999999999" customHeight="1">
      <c r="A116" s="123">
        <v>46030</v>
      </c>
      <c r="B116" s="124" t="s">
        <v>48</v>
      </c>
      <c r="C116" s="125" t="s">
        <v>1060</v>
      </c>
      <c r="D116" s="124" t="s">
        <v>1040</v>
      </c>
      <c r="E116" s="126">
        <v>1.447916666666667</v>
      </c>
      <c r="F116" s="124" t="s">
        <v>53</v>
      </c>
      <c r="G116" s="127">
        <v>4</v>
      </c>
      <c r="H116" s="128" t="s">
        <v>1072</v>
      </c>
    </row>
    <row r="117" spans="1:8" ht="19.899999999999999" customHeight="1">
      <c r="A117" s="121">
        <v>46031</v>
      </c>
      <c r="B117" s="112" t="s">
        <v>38</v>
      </c>
      <c r="C117" s="113" t="s">
        <v>1041</v>
      </c>
      <c r="D117" s="112" t="s">
        <v>1040</v>
      </c>
      <c r="E117" s="122">
        <v>1.447916666666667</v>
      </c>
      <c r="F117" s="112" t="s">
        <v>40</v>
      </c>
      <c r="G117" s="114">
        <v>10</v>
      </c>
      <c r="H117" s="115" t="s">
        <v>30</v>
      </c>
    </row>
    <row r="118" spans="1:8" ht="19.899999999999999" customHeight="1">
      <c r="A118" s="129">
        <v>46031</v>
      </c>
      <c r="B118" s="117" t="s">
        <v>61</v>
      </c>
      <c r="C118" s="118" t="s">
        <v>1043</v>
      </c>
      <c r="D118" s="117" t="s">
        <v>1040</v>
      </c>
      <c r="E118" s="130">
        <v>1.381944444444444</v>
      </c>
      <c r="F118" s="117" t="s">
        <v>63</v>
      </c>
      <c r="G118" s="119">
        <v>4</v>
      </c>
      <c r="H118" s="120" t="s">
        <v>856</v>
      </c>
    </row>
    <row r="119" spans="1:8" ht="19.899999999999999" customHeight="1">
      <c r="A119" s="121">
        <v>46031</v>
      </c>
      <c r="B119" s="112" t="s">
        <v>415</v>
      </c>
      <c r="C119" s="113" t="s">
        <v>1062</v>
      </c>
      <c r="D119" s="112" t="s">
        <v>1040</v>
      </c>
      <c r="E119" s="122">
        <v>1.006944444444444</v>
      </c>
      <c r="F119" s="112" t="s">
        <v>63</v>
      </c>
      <c r="G119" s="114">
        <v>7</v>
      </c>
      <c r="H119" s="115" t="s">
        <v>1051</v>
      </c>
    </row>
    <row r="120" spans="1:8" ht="19.899999999999999" customHeight="1">
      <c r="A120" s="121">
        <v>46031</v>
      </c>
      <c r="B120" s="112" t="s">
        <v>38</v>
      </c>
      <c r="C120" s="113" t="s">
        <v>1041</v>
      </c>
      <c r="D120" s="112" t="s">
        <v>1040</v>
      </c>
      <c r="E120" s="122">
        <v>1.447916666666667</v>
      </c>
      <c r="F120" s="112" t="s">
        <v>43</v>
      </c>
      <c r="G120" s="114">
        <v>10</v>
      </c>
      <c r="H120" s="115" t="s">
        <v>420</v>
      </c>
    </row>
    <row r="121" spans="1:8" ht="19.899999999999999" customHeight="1">
      <c r="A121" s="121">
        <v>46031</v>
      </c>
      <c r="B121" s="112" t="s">
        <v>68</v>
      </c>
      <c r="C121" s="113" t="s">
        <v>1052</v>
      </c>
      <c r="D121" s="112" t="s">
        <v>1040</v>
      </c>
      <c r="E121" s="122">
        <v>1.336805555555556</v>
      </c>
      <c r="F121" s="112" t="s">
        <v>643</v>
      </c>
      <c r="G121" s="114">
        <v>9</v>
      </c>
      <c r="H121" s="115" t="s">
        <v>830</v>
      </c>
    </row>
    <row r="122" spans="1:8" ht="19.899999999999999" customHeight="1">
      <c r="A122" s="121">
        <v>46031</v>
      </c>
      <c r="B122" s="112" t="s">
        <v>26</v>
      </c>
      <c r="C122" s="113" t="s">
        <v>1049</v>
      </c>
      <c r="D122" s="112" t="s">
        <v>1040</v>
      </c>
      <c r="E122" s="122">
        <v>1.9722222222222221</v>
      </c>
      <c r="F122" s="112" t="s">
        <v>28</v>
      </c>
      <c r="G122" s="114">
        <v>4</v>
      </c>
      <c r="H122" s="115" t="s">
        <v>138</v>
      </c>
    </row>
    <row r="123" spans="1:8" ht="19.899999999999999" customHeight="1">
      <c r="A123" s="121">
        <v>46031</v>
      </c>
      <c r="B123" s="112" t="s">
        <v>402</v>
      </c>
      <c r="C123" s="113" t="s">
        <v>1064</v>
      </c>
      <c r="D123" s="112" t="s">
        <v>1040</v>
      </c>
      <c r="E123" s="122">
        <v>1.756944444444444</v>
      </c>
      <c r="F123" s="112" t="s">
        <v>63</v>
      </c>
      <c r="G123" s="114">
        <v>6</v>
      </c>
      <c r="H123" s="115" t="s">
        <v>1058</v>
      </c>
    </row>
    <row r="124" spans="1:8" ht="19.899999999999999" customHeight="1">
      <c r="A124" s="121">
        <v>46031</v>
      </c>
      <c r="B124" s="112" t="s">
        <v>68</v>
      </c>
      <c r="C124" s="113" t="s">
        <v>1054</v>
      </c>
      <c r="D124" s="112" t="s">
        <v>1040</v>
      </c>
      <c r="E124" s="122">
        <v>1.979166666666667</v>
      </c>
      <c r="F124" s="112" t="s">
        <v>70</v>
      </c>
      <c r="G124" s="114">
        <v>9</v>
      </c>
      <c r="H124" s="115" t="s">
        <v>1055</v>
      </c>
    </row>
    <row r="125" spans="1:8" ht="19.899999999999999" customHeight="1">
      <c r="A125" s="121">
        <v>46031</v>
      </c>
      <c r="B125" s="112" t="s">
        <v>68</v>
      </c>
      <c r="C125" s="113" t="s">
        <v>1056</v>
      </c>
      <c r="D125" s="112" t="s">
        <v>1040</v>
      </c>
      <c r="E125" s="122">
        <v>1.6736111111111109</v>
      </c>
      <c r="F125" s="112" t="s">
        <v>70</v>
      </c>
      <c r="G125" s="114">
        <v>9</v>
      </c>
      <c r="H125" s="115" t="s">
        <v>1001</v>
      </c>
    </row>
    <row r="126" spans="1:8" ht="19.899999999999999" customHeight="1">
      <c r="A126" s="121">
        <v>46031</v>
      </c>
      <c r="B126" s="112" t="s">
        <v>26</v>
      </c>
      <c r="C126" s="113" t="s">
        <v>1049</v>
      </c>
      <c r="D126" s="112" t="s">
        <v>1040</v>
      </c>
      <c r="E126" s="122">
        <v>1.9722222222222221</v>
      </c>
      <c r="F126" s="112" t="s">
        <v>31</v>
      </c>
      <c r="G126" s="114">
        <v>4</v>
      </c>
      <c r="H126" s="115" t="s">
        <v>503</v>
      </c>
    </row>
    <row r="127" spans="1:8" ht="19.899999999999999" customHeight="1">
      <c r="A127" s="121">
        <v>46031</v>
      </c>
      <c r="B127" s="112" t="s">
        <v>26</v>
      </c>
      <c r="C127" s="113" t="s">
        <v>1049</v>
      </c>
      <c r="D127" s="112" t="s">
        <v>1040</v>
      </c>
      <c r="E127" s="122">
        <v>1.9722222222222221</v>
      </c>
      <c r="F127" s="112" t="s">
        <v>34</v>
      </c>
      <c r="G127" s="114">
        <v>4</v>
      </c>
      <c r="H127" s="115" t="s">
        <v>865</v>
      </c>
    </row>
    <row r="128" spans="1:8" ht="19.899999999999999" customHeight="1">
      <c r="A128" s="121">
        <v>46031</v>
      </c>
      <c r="B128" s="112" t="s">
        <v>38</v>
      </c>
      <c r="C128" s="113" t="s">
        <v>1041</v>
      </c>
      <c r="D128" s="112" t="s">
        <v>1040</v>
      </c>
      <c r="E128" s="122">
        <v>1.447916666666667</v>
      </c>
      <c r="F128" s="112" t="s">
        <v>46</v>
      </c>
      <c r="G128" s="114">
        <v>10</v>
      </c>
      <c r="H128" s="115" t="s">
        <v>106</v>
      </c>
    </row>
    <row r="129" spans="1:8" ht="19.899999999999999" customHeight="1">
      <c r="A129" s="123">
        <v>46031</v>
      </c>
      <c r="B129" s="124" t="s">
        <v>48</v>
      </c>
      <c r="C129" s="125" t="s">
        <v>1060</v>
      </c>
      <c r="D129" s="124" t="s">
        <v>1040</v>
      </c>
      <c r="E129" s="126">
        <v>1.447916666666667</v>
      </c>
      <c r="F129" s="124" t="s">
        <v>53</v>
      </c>
      <c r="G129" s="127">
        <v>4</v>
      </c>
      <c r="H129" s="128" t="s">
        <v>1072</v>
      </c>
    </row>
    <row r="130" spans="1:8" ht="19.899999999999999" customHeight="1">
      <c r="A130" s="121">
        <v>46032</v>
      </c>
      <c r="B130" s="112" t="s">
        <v>38</v>
      </c>
      <c r="C130" s="113" t="s">
        <v>1041</v>
      </c>
      <c r="D130" s="112" t="s">
        <v>1040</v>
      </c>
      <c r="E130" s="122">
        <v>1.447916666666667</v>
      </c>
      <c r="F130" s="112" t="s">
        <v>40</v>
      </c>
      <c r="G130" s="114">
        <v>10</v>
      </c>
      <c r="H130" s="115" t="s">
        <v>33</v>
      </c>
    </row>
    <row r="131" spans="1:8" ht="19.899999999999999" customHeight="1">
      <c r="A131" s="129">
        <v>46032</v>
      </c>
      <c r="B131" s="117" t="s">
        <v>61</v>
      </c>
      <c r="C131" s="118" t="s">
        <v>1043</v>
      </c>
      <c r="D131" s="117" t="s">
        <v>1040</v>
      </c>
      <c r="E131" s="130">
        <v>1.7222222222222221</v>
      </c>
      <c r="F131" s="117" t="s">
        <v>63</v>
      </c>
      <c r="G131" s="119">
        <v>3</v>
      </c>
      <c r="H131" s="120" t="s">
        <v>711</v>
      </c>
    </row>
    <row r="132" spans="1:8" ht="19.899999999999999" customHeight="1">
      <c r="A132" s="121">
        <v>46032</v>
      </c>
      <c r="B132" s="112" t="s">
        <v>26</v>
      </c>
      <c r="C132" s="113" t="s">
        <v>1047</v>
      </c>
      <c r="D132" s="112" t="s">
        <v>1040</v>
      </c>
      <c r="E132" s="122">
        <v>1.336805555555556</v>
      </c>
      <c r="F132" s="112" t="s">
        <v>28</v>
      </c>
      <c r="G132" s="114">
        <v>1</v>
      </c>
      <c r="H132" s="115" t="s">
        <v>426</v>
      </c>
    </row>
    <row r="133" spans="1:8" ht="19.899999999999999" customHeight="1">
      <c r="A133" s="121">
        <v>46032</v>
      </c>
      <c r="B133" s="112" t="s">
        <v>359</v>
      </c>
      <c r="C133" s="113" t="s">
        <v>1065</v>
      </c>
      <c r="D133" s="112" t="s">
        <v>1040</v>
      </c>
      <c r="E133" s="122">
        <v>1.7847222222222221</v>
      </c>
      <c r="F133" s="112" t="s">
        <v>361</v>
      </c>
      <c r="G133" s="114">
        <v>9</v>
      </c>
      <c r="H133" s="115" t="s">
        <v>1080</v>
      </c>
    </row>
    <row r="134" spans="1:8" ht="19.899999999999999" customHeight="1">
      <c r="A134" s="121">
        <v>46032</v>
      </c>
      <c r="B134" s="112" t="s">
        <v>68</v>
      </c>
      <c r="C134" s="113" t="s">
        <v>1052</v>
      </c>
      <c r="D134" s="112" t="s">
        <v>1040</v>
      </c>
      <c r="E134" s="122">
        <v>1.336805555555556</v>
      </c>
      <c r="F134" s="112" t="s">
        <v>643</v>
      </c>
      <c r="G134" s="114">
        <v>9</v>
      </c>
      <c r="H134" s="115" t="s">
        <v>1053</v>
      </c>
    </row>
    <row r="135" spans="1:8" ht="19.899999999999999" customHeight="1">
      <c r="A135" s="121">
        <v>46032</v>
      </c>
      <c r="B135" s="112" t="s">
        <v>26</v>
      </c>
      <c r="C135" s="113" t="s">
        <v>1049</v>
      </c>
      <c r="D135" s="112" t="s">
        <v>1040</v>
      </c>
      <c r="E135" s="122">
        <v>1.9722222222222221</v>
      </c>
      <c r="F135" s="112" t="s">
        <v>28</v>
      </c>
      <c r="G135" s="114">
        <v>9</v>
      </c>
      <c r="H135" s="115" t="s">
        <v>138</v>
      </c>
    </row>
    <row r="136" spans="1:8" ht="19.899999999999999" customHeight="1">
      <c r="A136" s="121">
        <v>46032</v>
      </c>
      <c r="B136" s="112" t="s">
        <v>402</v>
      </c>
      <c r="C136" s="113" t="s">
        <v>1057</v>
      </c>
      <c r="D136" s="112" t="s">
        <v>1040</v>
      </c>
      <c r="E136" s="122">
        <v>1.694444444444444</v>
      </c>
      <c r="F136" s="112" t="s">
        <v>63</v>
      </c>
      <c r="G136" s="114">
        <v>4</v>
      </c>
      <c r="H136" s="115" t="s">
        <v>1058</v>
      </c>
    </row>
    <row r="137" spans="1:8" ht="19.899999999999999" customHeight="1">
      <c r="A137" s="121">
        <v>46032</v>
      </c>
      <c r="B137" s="112" t="s">
        <v>68</v>
      </c>
      <c r="C137" s="113" t="s">
        <v>1054</v>
      </c>
      <c r="D137" s="112" t="s">
        <v>1040</v>
      </c>
      <c r="E137" s="122">
        <v>1.979166666666667</v>
      </c>
      <c r="F137" s="112" t="s">
        <v>70</v>
      </c>
      <c r="G137" s="114">
        <v>9</v>
      </c>
      <c r="H137" s="115" t="s">
        <v>1055</v>
      </c>
    </row>
    <row r="138" spans="1:8" ht="19.899999999999999" customHeight="1">
      <c r="A138" s="121">
        <v>46032</v>
      </c>
      <c r="B138" s="112" t="s">
        <v>26</v>
      </c>
      <c r="C138" s="113" t="s">
        <v>1047</v>
      </c>
      <c r="D138" s="112" t="s">
        <v>1040</v>
      </c>
      <c r="E138" s="122">
        <v>1.336805555555556</v>
      </c>
      <c r="F138" s="112" t="s">
        <v>31</v>
      </c>
      <c r="G138" s="114">
        <v>1</v>
      </c>
      <c r="H138" s="115" t="s">
        <v>150</v>
      </c>
    </row>
    <row r="139" spans="1:8" ht="19.899999999999999" customHeight="1">
      <c r="A139" s="121">
        <v>46032</v>
      </c>
      <c r="B139" s="112" t="s">
        <v>68</v>
      </c>
      <c r="C139" s="113" t="s">
        <v>1056</v>
      </c>
      <c r="D139" s="112" t="s">
        <v>1040</v>
      </c>
      <c r="E139" s="122">
        <v>1.6736111111111109</v>
      </c>
      <c r="F139" s="112" t="s">
        <v>70</v>
      </c>
      <c r="G139" s="114">
        <v>9</v>
      </c>
      <c r="H139" s="115" t="s">
        <v>1001</v>
      </c>
    </row>
    <row r="140" spans="1:8" ht="19.899999999999999" customHeight="1">
      <c r="A140" s="121">
        <v>46032</v>
      </c>
      <c r="B140" s="112" t="s">
        <v>38</v>
      </c>
      <c r="C140" s="113" t="s">
        <v>1041</v>
      </c>
      <c r="D140" s="112" t="s">
        <v>1040</v>
      </c>
      <c r="E140" s="122">
        <v>1.447916666666667</v>
      </c>
      <c r="F140" s="112" t="s">
        <v>43</v>
      </c>
      <c r="G140" s="114">
        <v>10</v>
      </c>
      <c r="H140" s="115" t="s">
        <v>926</v>
      </c>
    </row>
    <row r="141" spans="1:8" ht="19.899999999999999" customHeight="1">
      <c r="A141" s="121">
        <v>46032</v>
      </c>
      <c r="B141" s="112" t="s">
        <v>26</v>
      </c>
      <c r="C141" s="113" t="s">
        <v>1049</v>
      </c>
      <c r="D141" s="112" t="s">
        <v>1040</v>
      </c>
      <c r="E141" s="122">
        <v>1.9722222222222221</v>
      </c>
      <c r="F141" s="112" t="s">
        <v>31</v>
      </c>
      <c r="G141" s="114">
        <v>9</v>
      </c>
      <c r="H141" s="115" t="s">
        <v>503</v>
      </c>
    </row>
    <row r="142" spans="1:8" ht="19.899999999999999" customHeight="1">
      <c r="A142" s="121">
        <v>46032</v>
      </c>
      <c r="B142" s="112" t="s">
        <v>26</v>
      </c>
      <c r="C142" s="113" t="s">
        <v>1047</v>
      </c>
      <c r="D142" s="112" t="s">
        <v>1040</v>
      </c>
      <c r="E142" s="122">
        <v>1.336805555555556</v>
      </c>
      <c r="F142" s="112" t="s">
        <v>34</v>
      </c>
      <c r="G142" s="114">
        <v>1</v>
      </c>
      <c r="H142" s="115" t="s">
        <v>178</v>
      </c>
    </row>
    <row r="143" spans="1:8" ht="19.899999999999999" customHeight="1">
      <c r="A143" s="121">
        <v>46032</v>
      </c>
      <c r="B143" s="112" t="s">
        <v>26</v>
      </c>
      <c r="C143" s="113" t="s">
        <v>1049</v>
      </c>
      <c r="D143" s="112" t="s">
        <v>1040</v>
      </c>
      <c r="E143" s="122">
        <v>1.9722222222222221</v>
      </c>
      <c r="F143" s="112" t="s">
        <v>34</v>
      </c>
      <c r="G143" s="114">
        <v>9</v>
      </c>
      <c r="H143" s="115" t="s">
        <v>865</v>
      </c>
    </row>
    <row r="144" spans="1:8" ht="19.899999999999999" customHeight="1">
      <c r="A144" s="121">
        <v>46032</v>
      </c>
      <c r="B144" s="112" t="s">
        <v>359</v>
      </c>
      <c r="C144" s="113" t="s">
        <v>1065</v>
      </c>
      <c r="D144" s="112" t="s">
        <v>1040</v>
      </c>
      <c r="E144" s="122">
        <v>1.7847222222222221</v>
      </c>
      <c r="F144" s="112" t="s">
        <v>46</v>
      </c>
      <c r="G144" s="114">
        <v>9</v>
      </c>
      <c r="H144" s="115" t="s">
        <v>1081</v>
      </c>
    </row>
    <row r="145" spans="1:8" ht="19.899999999999999" customHeight="1">
      <c r="A145" s="121">
        <v>46032</v>
      </c>
      <c r="B145" s="112" t="s">
        <v>38</v>
      </c>
      <c r="C145" s="113" t="s">
        <v>1041</v>
      </c>
      <c r="D145" s="112" t="s">
        <v>1040</v>
      </c>
      <c r="E145" s="122">
        <v>1.447916666666667</v>
      </c>
      <c r="F145" s="112" t="s">
        <v>46</v>
      </c>
      <c r="G145" s="114">
        <v>10</v>
      </c>
      <c r="H145" s="115" t="s">
        <v>106</v>
      </c>
    </row>
    <row r="146" spans="1:8" ht="19.899999999999999" customHeight="1">
      <c r="A146" s="123">
        <v>46032</v>
      </c>
      <c r="B146" s="124" t="s">
        <v>48</v>
      </c>
      <c r="C146" s="125" t="s">
        <v>1060</v>
      </c>
      <c r="D146" s="124" t="s">
        <v>1040</v>
      </c>
      <c r="E146" s="126">
        <v>1.447916666666667</v>
      </c>
      <c r="F146" s="124" t="s">
        <v>53</v>
      </c>
      <c r="G146" s="127">
        <v>4</v>
      </c>
      <c r="H146" s="128" t="s">
        <v>933</v>
      </c>
    </row>
    <row r="147" spans="1:8" ht="19.899999999999999" customHeight="1">
      <c r="A147" s="121">
        <v>46033</v>
      </c>
      <c r="B147" s="112" t="s">
        <v>38</v>
      </c>
      <c r="C147" s="113" t="s">
        <v>1041</v>
      </c>
      <c r="D147" s="112" t="s">
        <v>1040</v>
      </c>
      <c r="E147" s="122">
        <v>1.447916666666667</v>
      </c>
      <c r="F147" s="112" t="s">
        <v>40</v>
      </c>
      <c r="G147" s="114">
        <v>10</v>
      </c>
      <c r="H147" s="115" t="s">
        <v>83</v>
      </c>
    </row>
    <row r="148" spans="1:8" ht="19.899999999999999" customHeight="1">
      <c r="A148" s="121">
        <v>46033</v>
      </c>
      <c r="B148" s="112" t="s">
        <v>26</v>
      </c>
      <c r="C148" s="113" t="s">
        <v>1049</v>
      </c>
      <c r="D148" s="112" t="s">
        <v>1040</v>
      </c>
      <c r="E148" s="122">
        <v>1.9722222222222221</v>
      </c>
      <c r="F148" s="112" t="s">
        <v>28</v>
      </c>
      <c r="G148" s="114">
        <v>2</v>
      </c>
      <c r="H148" s="115" t="s">
        <v>349</v>
      </c>
    </row>
    <row r="149" spans="1:8" ht="19.899999999999999" customHeight="1">
      <c r="A149" s="121">
        <v>46033</v>
      </c>
      <c r="B149" s="112" t="s">
        <v>415</v>
      </c>
      <c r="C149" s="113" t="s">
        <v>1062</v>
      </c>
      <c r="D149" s="112" t="s">
        <v>1040</v>
      </c>
      <c r="E149" s="122">
        <v>1.006944444444444</v>
      </c>
      <c r="F149" s="112" t="s">
        <v>63</v>
      </c>
      <c r="G149" s="114">
        <v>6</v>
      </c>
      <c r="H149" s="115" t="s">
        <v>1051</v>
      </c>
    </row>
    <row r="150" spans="1:8" ht="19.899999999999999" customHeight="1">
      <c r="A150" s="121">
        <v>46033</v>
      </c>
      <c r="B150" s="112" t="s">
        <v>415</v>
      </c>
      <c r="C150" s="113" t="s">
        <v>1071</v>
      </c>
      <c r="D150" s="112" t="s">
        <v>1040</v>
      </c>
      <c r="E150" s="122">
        <v>1.9201388888888891</v>
      </c>
      <c r="F150" s="112" t="s">
        <v>63</v>
      </c>
      <c r="G150" s="114">
        <v>5</v>
      </c>
      <c r="H150" s="115" t="s">
        <v>1051</v>
      </c>
    </row>
    <row r="151" spans="1:8" ht="19.899999999999999" customHeight="1">
      <c r="A151" s="121">
        <v>46033</v>
      </c>
      <c r="B151" s="112" t="s">
        <v>68</v>
      </c>
      <c r="C151" s="113" t="s">
        <v>1052</v>
      </c>
      <c r="D151" s="112" t="s">
        <v>1040</v>
      </c>
      <c r="E151" s="122">
        <v>1.336805555555556</v>
      </c>
      <c r="F151" s="112" t="s">
        <v>643</v>
      </c>
      <c r="G151" s="114">
        <v>9</v>
      </c>
      <c r="H151" s="115" t="s">
        <v>1053</v>
      </c>
    </row>
    <row r="152" spans="1:8" ht="19.899999999999999" customHeight="1">
      <c r="A152" s="121">
        <v>46033</v>
      </c>
      <c r="B152" s="112" t="s">
        <v>68</v>
      </c>
      <c r="C152" s="113" t="s">
        <v>1054</v>
      </c>
      <c r="D152" s="112" t="s">
        <v>1040</v>
      </c>
      <c r="E152" s="122">
        <v>1.979166666666667</v>
      </c>
      <c r="F152" s="112" t="s">
        <v>643</v>
      </c>
      <c r="G152" s="114">
        <v>9</v>
      </c>
      <c r="H152" s="115" t="s">
        <v>1053</v>
      </c>
    </row>
    <row r="153" spans="1:8" ht="19.899999999999999" customHeight="1">
      <c r="A153" s="121">
        <v>46033</v>
      </c>
      <c r="B153" s="112" t="s">
        <v>402</v>
      </c>
      <c r="C153" s="113" t="s">
        <v>1059</v>
      </c>
      <c r="D153" s="112" t="s">
        <v>1040</v>
      </c>
      <c r="E153" s="122">
        <v>1.756944444444444</v>
      </c>
      <c r="F153" s="112" t="s">
        <v>63</v>
      </c>
      <c r="G153" s="114">
        <v>2</v>
      </c>
      <c r="H153" s="115" t="s">
        <v>1058</v>
      </c>
    </row>
    <row r="154" spans="1:8" ht="19.899999999999999" customHeight="1">
      <c r="A154" s="121">
        <v>46033</v>
      </c>
      <c r="B154" s="112" t="s">
        <v>26</v>
      </c>
      <c r="C154" s="113" t="s">
        <v>1049</v>
      </c>
      <c r="D154" s="112" t="s">
        <v>1040</v>
      </c>
      <c r="E154" s="122">
        <v>1.9722222222222221</v>
      </c>
      <c r="F154" s="112" t="s">
        <v>31</v>
      </c>
      <c r="G154" s="114">
        <v>2</v>
      </c>
      <c r="H154" s="115" t="s">
        <v>35</v>
      </c>
    </row>
    <row r="155" spans="1:8" ht="19.899999999999999" customHeight="1">
      <c r="A155" s="121">
        <v>46033</v>
      </c>
      <c r="B155" s="112" t="s">
        <v>68</v>
      </c>
      <c r="C155" s="113" t="s">
        <v>1056</v>
      </c>
      <c r="D155" s="112" t="s">
        <v>1040</v>
      </c>
      <c r="E155" s="122">
        <v>1.6736111111111109</v>
      </c>
      <c r="F155" s="112" t="s">
        <v>70</v>
      </c>
      <c r="G155" s="114">
        <v>9</v>
      </c>
      <c r="H155" s="115" t="s">
        <v>1055</v>
      </c>
    </row>
    <row r="156" spans="1:8" ht="19.899999999999999" customHeight="1">
      <c r="A156" s="121">
        <v>46033</v>
      </c>
      <c r="B156" s="112" t="s">
        <v>38</v>
      </c>
      <c r="C156" s="113" t="s">
        <v>1041</v>
      </c>
      <c r="D156" s="112" t="s">
        <v>1040</v>
      </c>
      <c r="E156" s="122">
        <v>1.447916666666667</v>
      </c>
      <c r="F156" s="112" t="s">
        <v>43</v>
      </c>
      <c r="G156" s="114">
        <v>10</v>
      </c>
      <c r="H156" s="115" t="s">
        <v>162</v>
      </c>
    </row>
    <row r="157" spans="1:8" ht="19.899999999999999" customHeight="1">
      <c r="A157" s="121">
        <v>46033</v>
      </c>
      <c r="B157" s="112" t="s">
        <v>26</v>
      </c>
      <c r="C157" s="113" t="s">
        <v>1049</v>
      </c>
      <c r="D157" s="112" t="s">
        <v>1040</v>
      </c>
      <c r="E157" s="122">
        <v>1.9722222222222221</v>
      </c>
      <c r="F157" s="112" t="s">
        <v>34</v>
      </c>
      <c r="G157" s="114">
        <v>2</v>
      </c>
      <c r="H157" s="115" t="s">
        <v>503</v>
      </c>
    </row>
    <row r="158" spans="1:8" ht="19.899999999999999" customHeight="1">
      <c r="A158" s="121">
        <v>46033</v>
      </c>
      <c r="B158" s="112" t="s">
        <v>38</v>
      </c>
      <c r="C158" s="113" t="s">
        <v>1041</v>
      </c>
      <c r="D158" s="112" t="s">
        <v>1040</v>
      </c>
      <c r="E158" s="122">
        <v>1.447916666666667</v>
      </c>
      <c r="F158" s="112" t="s">
        <v>46</v>
      </c>
      <c r="G158" s="114">
        <v>10</v>
      </c>
      <c r="H158" s="115" t="s">
        <v>106</v>
      </c>
    </row>
    <row r="159" spans="1:8" ht="19.899999999999999" customHeight="1">
      <c r="A159" s="123">
        <v>46033</v>
      </c>
      <c r="B159" s="124" t="s">
        <v>48</v>
      </c>
      <c r="C159" s="125" t="s">
        <v>1060</v>
      </c>
      <c r="D159" s="124" t="s">
        <v>1040</v>
      </c>
      <c r="E159" s="126">
        <v>1.447916666666667</v>
      </c>
      <c r="F159" s="124" t="s">
        <v>53</v>
      </c>
      <c r="G159" s="127">
        <v>4</v>
      </c>
      <c r="H159" s="128" t="s">
        <v>946</v>
      </c>
    </row>
    <row r="160" spans="1:8" ht="19.899999999999999" customHeight="1">
      <c r="A160" s="121">
        <v>46034</v>
      </c>
      <c r="B160" s="112" t="s">
        <v>38</v>
      </c>
      <c r="C160" s="113" t="s">
        <v>1041</v>
      </c>
      <c r="D160" s="112" t="s">
        <v>1040</v>
      </c>
      <c r="E160" s="122">
        <v>1.447916666666667</v>
      </c>
      <c r="F160" s="112" t="s">
        <v>40</v>
      </c>
      <c r="G160" s="114">
        <v>10</v>
      </c>
      <c r="H160" s="115" t="s">
        <v>83</v>
      </c>
    </row>
    <row r="161" spans="1:8" ht="19.899999999999999" customHeight="1">
      <c r="A161" s="121">
        <v>46034</v>
      </c>
      <c r="B161" s="112" t="s">
        <v>26</v>
      </c>
      <c r="C161" s="113" t="s">
        <v>1047</v>
      </c>
      <c r="D161" s="112" t="s">
        <v>1040</v>
      </c>
      <c r="E161" s="122">
        <v>1.336805555555556</v>
      </c>
      <c r="F161" s="112" t="s">
        <v>28</v>
      </c>
      <c r="G161" s="114">
        <v>4</v>
      </c>
      <c r="H161" s="115" t="s">
        <v>349</v>
      </c>
    </row>
    <row r="162" spans="1:8" ht="19.899999999999999" customHeight="1">
      <c r="A162" s="121">
        <v>46034</v>
      </c>
      <c r="B162" s="112" t="s">
        <v>26</v>
      </c>
      <c r="C162" s="113" t="s">
        <v>1049</v>
      </c>
      <c r="D162" s="112" t="s">
        <v>1040</v>
      </c>
      <c r="E162" s="122">
        <v>1.9722222222222221</v>
      </c>
      <c r="F162" s="112" t="s">
        <v>28</v>
      </c>
      <c r="G162" s="114">
        <v>4</v>
      </c>
      <c r="H162" s="115" t="s">
        <v>349</v>
      </c>
    </row>
    <row r="163" spans="1:8" ht="19.899999999999999" customHeight="1">
      <c r="A163" s="121">
        <v>46034</v>
      </c>
      <c r="B163" s="112" t="s">
        <v>68</v>
      </c>
      <c r="C163" s="113" t="s">
        <v>1052</v>
      </c>
      <c r="D163" s="112" t="s">
        <v>1040</v>
      </c>
      <c r="E163" s="122">
        <v>1.336805555555556</v>
      </c>
      <c r="F163" s="112" t="s">
        <v>643</v>
      </c>
      <c r="G163" s="114">
        <v>9</v>
      </c>
      <c r="H163" s="115" t="s">
        <v>1053</v>
      </c>
    </row>
    <row r="164" spans="1:8" ht="19.899999999999999" customHeight="1">
      <c r="A164" s="121">
        <v>46034</v>
      </c>
      <c r="B164" s="112" t="s">
        <v>68</v>
      </c>
      <c r="C164" s="113" t="s">
        <v>1054</v>
      </c>
      <c r="D164" s="112" t="s">
        <v>1040</v>
      </c>
      <c r="E164" s="122">
        <v>1.979166666666667</v>
      </c>
      <c r="F164" s="112" t="s">
        <v>643</v>
      </c>
      <c r="G164" s="114">
        <v>9</v>
      </c>
      <c r="H164" s="115" t="s">
        <v>1053</v>
      </c>
    </row>
    <row r="165" spans="1:8" ht="19.899999999999999" customHeight="1">
      <c r="A165" s="121">
        <v>46034</v>
      </c>
      <c r="B165" s="112" t="s">
        <v>68</v>
      </c>
      <c r="C165" s="113" t="s">
        <v>1056</v>
      </c>
      <c r="D165" s="112" t="s">
        <v>1040</v>
      </c>
      <c r="E165" s="122">
        <v>1.6736111111111109</v>
      </c>
      <c r="F165" s="112" t="s">
        <v>643</v>
      </c>
      <c r="G165" s="114">
        <v>9</v>
      </c>
      <c r="H165" s="115" t="s">
        <v>1053</v>
      </c>
    </row>
    <row r="166" spans="1:8" ht="19.899999999999999" customHeight="1">
      <c r="A166" s="121">
        <v>46034</v>
      </c>
      <c r="B166" s="112" t="s">
        <v>402</v>
      </c>
      <c r="C166" s="113" t="s">
        <v>1064</v>
      </c>
      <c r="D166" s="112" t="s">
        <v>1040</v>
      </c>
      <c r="E166" s="122">
        <v>1.756944444444444</v>
      </c>
      <c r="F166" s="112" t="s">
        <v>63</v>
      </c>
      <c r="G166" s="114">
        <v>5</v>
      </c>
      <c r="H166" s="115" t="s">
        <v>1058</v>
      </c>
    </row>
    <row r="167" spans="1:8" ht="19.899999999999999" customHeight="1">
      <c r="A167" s="121">
        <v>46034</v>
      </c>
      <c r="B167" s="112" t="s">
        <v>26</v>
      </c>
      <c r="C167" s="113" t="s">
        <v>1047</v>
      </c>
      <c r="D167" s="112" t="s">
        <v>1040</v>
      </c>
      <c r="E167" s="122">
        <v>1.336805555555556</v>
      </c>
      <c r="F167" s="112" t="s">
        <v>31</v>
      </c>
      <c r="G167" s="114">
        <v>4</v>
      </c>
      <c r="H167" s="115" t="s">
        <v>35</v>
      </c>
    </row>
    <row r="168" spans="1:8" ht="19.899999999999999" customHeight="1">
      <c r="A168" s="121">
        <v>46034</v>
      </c>
      <c r="B168" s="112" t="s">
        <v>26</v>
      </c>
      <c r="C168" s="113" t="s">
        <v>1049</v>
      </c>
      <c r="D168" s="112" t="s">
        <v>1040</v>
      </c>
      <c r="E168" s="122">
        <v>1.9722222222222221</v>
      </c>
      <c r="F168" s="112" t="s">
        <v>31</v>
      </c>
      <c r="G168" s="114">
        <v>4</v>
      </c>
      <c r="H168" s="115" t="s">
        <v>35</v>
      </c>
    </row>
    <row r="169" spans="1:8" ht="19.899999999999999" customHeight="1">
      <c r="A169" s="121">
        <v>46034</v>
      </c>
      <c r="B169" s="112" t="s">
        <v>38</v>
      </c>
      <c r="C169" s="113" t="s">
        <v>1041</v>
      </c>
      <c r="D169" s="112" t="s">
        <v>1040</v>
      </c>
      <c r="E169" s="122">
        <v>1.447916666666667</v>
      </c>
      <c r="F169" s="112" t="s">
        <v>43</v>
      </c>
      <c r="G169" s="114">
        <v>10</v>
      </c>
      <c r="H169" s="115" t="s">
        <v>162</v>
      </c>
    </row>
    <row r="170" spans="1:8" ht="19.899999999999999" customHeight="1">
      <c r="A170" s="121">
        <v>46034</v>
      </c>
      <c r="B170" s="112" t="s">
        <v>26</v>
      </c>
      <c r="C170" s="113" t="s">
        <v>1047</v>
      </c>
      <c r="D170" s="112" t="s">
        <v>1040</v>
      </c>
      <c r="E170" s="122">
        <v>1.336805555555556</v>
      </c>
      <c r="F170" s="112" t="s">
        <v>34</v>
      </c>
      <c r="G170" s="114">
        <v>4</v>
      </c>
      <c r="H170" s="115" t="s">
        <v>503</v>
      </c>
    </row>
    <row r="171" spans="1:8" ht="19.899999999999999" customHeight="1">
      <c r="A171" s="121">
        <v>46034</v>
      </c>
      <c r="B171" s="112" t="s">
        <v>26</v>
      </c>
      <c r="C171" s="113" t="s">
        <v>1049</v>
      </c>
      <c r="D171" s="112" t="s">
        <v>1040</v>
      </c>
      <c r="E171" s="122">
        <v>1.9722222222222221</v>
      </c>
      <c r="F171" s="112" t="s">
        <v>34</v>
      </c>
      <c r="G171" s="114">
        <v>4</v>
      </c>
      <c r="H171" s="115" t="s">
        <v>503</v>
      </c>
    </row>
    <row r="172" spans="1:8" ht="19.899999999999999" customHeight="1">
      <c r="A172" s="121">
        <v>46034</v>
      </c>
      <c r="B172" s="112" t="s">
        <v>38</v>
      </c>
      <c r="C172" s="113" t="s">
        <v>1041</v>
      </c>
      <c r="D172" s="112" t="s">
        <v>1040</v>
      </c>
      <c r="E172" s="122">
        <v>1.447916666666667</v>
      </c>
      <c r="F172" s="112" t="s">
        <v>46</v>
      </c>
      <c r="G172" s="114">
        <v>10</v>
      </c>
      <c r="H172" s="115" t="s">
        <v>106</v>
      </c>
    </row>
    <row r="173" spans="1:8" ht="19.899999999999999" customHeight="1">
      <c r="A173" s="123">
        <v>46034</v>
      </c>
      <c r="B173" s="124" t="s">
        <v>48</v>
      </c>
      <c r="C173" s="125" t="s">
        <v>1060</v>
      </c>
      <c r="D173" s="124" t="s">
        <v>1040</v>
      </c>
      <c r="E173" s="126">
        <v>1.447916666666667</v>
      </c>
      <c r="F173" s="124" t="s">
        <v>53</v>
      </c>
      <c r="G173" s="127">
        <v>4</v>
      </c>
      <c r="H173" s="128" t="s">
        <v>946</v>
      </c>
    </row>
    <row r="174" spans="1:8" ht="19.899999999999999" customHeight="1">
      <c r="A174" s="129">
        <v>46035</v>
      </c>
      <c r="B174" s="117" t="s">
        <v>61</v>
      </c>
      <c r="C174" s="118" t="s">
        <v>1043</v>
      </c>
      <c r="D174" s="117" t="s">
        <v>1040</v>
      </c>
      <c r="E174" s="130">
        <v>1.069444444444444</v>
      </c>
      <c r="F174" s="117" t="s">
        <v>63</v>
      </c>
      <c r="G174" s="119">
        <v>6</v>
      </c>
      <c r="H174" s="120" t="s">
        <v>1044</v>
      </c>
    </row>
    <row r="175" spans="1:8" ht="19.899999999999999" customHeight="1">
      <c r="A175" s="121">
        <v>46035</v>
      </c>
      <c r="B175" s="112" t="s">
        <v>38</v>
      </c>
      <c r="C175" s="113" t="s">
        <v>1041</v>
      </c>
      <c r="D175" s="112" t="s">
        <v>1040</v>
      </c>
      <c r="E175" s="122">
        <v>1.447916666666667</v>
      </c>
      <c r="F175" s="112" t="s">
        <v>40</v>
      </c>
      <c r="G175" s="114">
        <v>10</v>
      </c>
      <c r="H175" s="115" t="s">
        <v>83</v>
      </c>
    </row>
    <row r="176" spans="1:8" ht="19.899999999999999" customHeight="1">
      <c r="A176" s="121">
        <v>46035</v>
      </c>
      <c r="B176" s="112" t="s">
        <v>26</v>
      </c>
      <c r="C176" s="113" t="s">
        <v>1047</v>
      </c>
      <c r="D176" s="112" t="s">
        <v>1040</v>
      </c>
      <c r="E176" s="122">
        <v>1.336805555555556</v>
      </c>
      <c r="F176" s="112" t="s">
        <v>28</v>
      </c>
      <c r="G176" s="114">
        <v>4</v>
      </c>
      <c r="H176" s="115" t="s">
        <v>349</v>
      </c>
    </row>
    <row r="177" spans="1:8" ht="19.899999999999999" customHeight="1">
      <c r="A177" s="121">
        <v>46035</v>
      </c>
      <c r="B177" s="112" t="s">
        <v>415</v>
      </c>
      <c r="C177" s="113" t="s">
        <v>1062</v>
      </c>
      <c r="D177" s="112" t="s">
        <v>1040</v>
      </c>
      <c r="E177" s="122">
        <v>1.006944444444444</v>
      </c>
      <c r="F177" s="112" t="s">
        <v>63</v>
      </c>
      <c r="G177" s="114">
        <v>7</v>
      </c>
      <c r="H177" s="115" t="s">
        <v>1051</v>
      </c>
    </row>
    <row r="178" spans="1:8" ht="19.899999999999999" customHeight="1">
      <c r="A178" s="121">
        <v>46035</v>
      </c>
      <c r="B178" s="112" t="s">
        <v>26</v>
      </c>
      <c r="C178" s="113" t="s">
        <v>1049</v>
      </c>
      <c r="D178" s="112" t="s">
        <v>1040</v>
      </c>
      <c r="E178" s="122">
        <v>1.9722222222222221</v>
      </c>
      <c r="F178" s="112" t="s">
        <v>28</v>
      </c>
      <c r="G178" s="114">
        <v>3</v>
      </c>
      <c r="H178" s="115" t="s">
        <v>426</v>
      </c>
    </row>
    <row r="179" spans="1:8" ht="19.899999999999999" customHeight="1">
      <c r="A179" s="121">
        <v>46035</v>
      </c>
      <c r="B179" s="112" t="s">
        <v>415</v>
      </c>
      <c r="C179" s="113" t="s">
        <v>1050</v>
      </c>
      <c r="D179" s="112" t="s">
        <v>1040</v>
      </c>
      <c r="E179" s="122">
        <v>1.881944444444444</v>
      </c>
      <c r="F179" s="112" t="s">
        <v>63</v>
      </c>
      <c r="G179" s="114">
        <v>6</v>
      </c>
      <c r="H179" s="115" t="s">
        <v>133</v>
      </c>
    </row>
    <row r="180" spans="1:8" ht="19.899999999999999" customHeight="1">
      <c r="A180" s="121">
        <v>46035</v>
      </c>
      <c r="B180" s="112" t="s">
        <v>68</v>
      </c>
      <c r="C180" s="113" t="s">
        <v>1052</v>
      </c>
      <c r="D180" s="112" t="s">
        <v>1040</v>
      </c>
      <c r="E180" s="122">
        <v>1.336805555555556</v>
      </c>
      <c r="F180" s="112" t="s">
        <v>643</v>
      </c>
      <c r="G180" s="114">
        <v>9</v>
      </c>
      <c r="H180" s="115" t="s">
        <v>1053</v>
      </c>
    </row>
    <row r="181" spans="1:8" ht="19.899999999999999" customHeight="1">
      <c r="A181" s="121">
        <v>46035</v>
      </c>
      <c r="B181" s="112" t="s">
        <v>68</v>
      </c>
      <c r="C181" s="113" t="s">
        <v>1054</v>
      </c>
      <c r="D181" s="112" t="s">
        <v>1040</v>
      </c>
      <c r="E181" s="122">
        <v>1.979166666666667</v>
      </c>
      <c r="F181" s="112" t="s">
        <v>643</v>
      </c>
      <c r="G181" s="114">
        <v>9</v>
      </c>
      <c r="H181" s="115" t="s">
        <v>1053</v>
      </c>
    </row>
    <row r="182" spans="1:8" ht="19.899999999999999" customHeight="1">
      <c r="A182" s="121">
        <v>46035</v>
      </c>
      <c r="B182" s="112" t="s">
        <v>402</v>
      </c>
      <c r="C182" s="113" t="s">
        <v>1057</v>
      </c>
      <c r="D182" s="112" t="s">
        <v>1040</v>
      </c>
      <c r="E182" s="122">
        <v>1.756944444444444</v>
      </c>
      <c r="F182" s="112" t="s">
        <v>63</v>
      </c>
      <c r="G182" s="114">
        <v>6</v>
      </c>
      <c r="H182" s="115" t="s">
        <v>1058</v>
      </c>
    </row>
    <row r="183" spans="1:8" ht="19.899999999999999" customHeight="1">
      <c r="A183" s="121">
        <v>46035</v>
      </c>
      <c r="B183" s="112" t="s">
        <v>26</v>
      </c>
      <c r="C183" s="113" t="s">
        <v>1047</v>
      </c>
      <c r="D183" s="112" t="s">
        <v>1040</v>
      </c>
      <c r="E183" s="122">
        <v>1.336805555555556</v>
      </c>
      <c r="F183" s="112" t="s">
        <v>31</v>
      </c>
      <c r="G183" s="114">
        <v>4</v>
      </c>
      <c r="H183" s="115" t="s">
        <v>35</v>
      </c>
    </row>
    <row r="184" spans="1:8" ht="19.899999999999999" customHeight="1">
      <c r="A184" s="121">
        <v>46035</v>
      </c>
      <c r="B184" s="112" t="s">
        <v>68</v>
      </c>
      <c r="C184" s="113" t="s">
        <v>1056</v>
      </c>
      <c r="D184" s="112" t="s">
        <v>1040</v>
      </c>
      <c r="E184" s="122">
        <v>1.6736111111111109</v>
      </c>
      <c r="F184" s="112" t="s">
        <v>70</v>
      </c>
      <c r="G184" s="114">
        <v>9</v>
      </c>
      <c r="H184" s="115" t="s">
        <v>1055</v>
      </c>
    </row>
    <row r="185" spans="1:8" ht="19.899999999999999" customHeight="1">
      <c r="A185" s="121">
        <v>46035</v>
      </c>
      <c r="B185" s="112" t="s">
        <v>38</v>
      </c>
      <c r="C185" s="113" t="s">
        <v>1041</v>
      </c>
      <c r="D185" s="112" t="s">
        <v>1040</v>
      </c>
      <c r="E185" s="122">
        <v>1.447916666666667</v>
      </c>
      <c r="F185" s="112" t="s">
        <v>43</v>
      </c>
      <c r="G185" s="114">
        <v>10</v>
      </c>
      <c r="H185" s="115" t="s">
        <v>162</v>
      </c>
    </row>
    <row r="186" spans="1:8" ht="19.899999999999999" customHeight="1">
      <c r="A186" s="121">
        <v>46035</v>
      </c>
      <c r="B186" s="112" t="s">
        <v>26</v>
      </c>
      <c r="C186" s="113" t="s">
        <v>1049</v>
      </c>
      <c r="D186" s="112" t="s">
        <v>1040</v>
      </c>
      <c r="E186" s="122">
        <v>1.9722222222222221</v>
      </c>
      <c r="F186" s="112" t="s">
        <v>31</v>
      </c>
      <c r="G186" s="114">
        <v>3</v>
      </c>
      <c r="H186" s="115" t="s">
        <v>150</v>
      </c>
    </row>
    <row r="187" spans="1:8" ht="19.899999999999999" customHeight="1">
      <c r="A187" s="121">
        <v>46035</v>
      </c>
      <c r="B187" s="112" t="s">
        <v>26</v>
      </c>
      <c r="C187" s="113" t="s">
        <v>1047</v>
      </c>
      <c r="D187" s="112" t="s">
        <v>1040</v>
      </c>
      <c r="E187" s="122">
        <v>1.336805555555556</v>
      </c>
      <c r="F187" s="112" t="s">
        <v>34</v>
      </c>
      <c r="G187" s="114">
        <v>4</v>
      </c>
      <c r="H187" s="115" t="s">
        <v>503</v>
      </c>
    </row>
    <row r="188" spans="1:8" ht="19.899999999999999" customHeight="1">
      <c r="A188" s="121">
        <v>46035</v>
      </c>
      <c r="B188" s="112" t="s">
        <v>26</v>
      </c>
      <c r="C188" s="113" t="s">
        <v>1049</v>
      </c>
      <c r="D188" s="112" t="s">
        <v>1040</v>
      </c>
      <c r="E188" s="122">
        <v>1.9722222222222221</v>
      </c>
      <c r="F188" s="112" t="s">
        <v>34</v>
      </c>
      <c r="G188" s="114">
        <v>3</v>
      </c>
      <c r="H188" s="115" t="s">
        <v>178</v>
      </c>
    </row>
    <row r="189" spans="1:8" ht="19.899999999999999" customHeight="1">
      <c r="A189" s="121">
        <v>46035</v>
      </c>
      <c r="B189" s="112" t="s">
        <v>38</v>
      </c>
      <c r="C189" s="113" t="s">
        <v>1041</v>
      </c>
      <c r="D189" s="112" t="s">
        <v>1040</v>
      </c>
      <c r="E189" s="122">
        <v>1.447916666666667</v>
      </c>
      <c r="F189" s="112" t="s">
        <v>46</v>
      </c>
      <c r="G189" s="114">
        <v>10</v>
      </c>
      <c r="H189" s="115" t="s">
        <v>106</v>
      </c>
    </row>
    <row r="190" spans="1:8" ht="19.899999999999999" customHeight="1">
      <c r="A190" s="123">
        <v>46035</v>
      </c>
      <c r="B190" s="124" t="s">
        <v>48</v>
      </c>
      <c r="C190" s="125" t="s">
        <v>1060</v>
      </c>
      <c r="D190" s="124" t="s">
        <v>1040</v>
      </c>
      <c r="E190" s="126">
        <v>1.447916666666667</v>
      </c>
      <c r="F190" s="124" t="s">
        <v>53</v>
      </c>
      <c r="G190" s="127">
        <v>4</v>
      </c>
      <c r="H190" s="128" t="s">
        <v>946</v>
      </c>
    </row>
    <row r="191" spans="1:8" ht="19.899999999999999" customHeight="1">
      <c r="A191" s="121">
        <v>46036</v>
      </c>
      <c r="B191" s="112" t="s">
        <v>359</v>
      </c>
      <c r="C191" s="113" t="s">
        <v>1065</v>
      </c>
      <c r="D191" s="112" t="s">
        <v>1040</v>
      </c>
      <c r="E191" s="122">
        <v>1.7847222222222221</v>
      </c>
      <c r="F191" s="112" t="s">
        <v>361</v>
      </c>
      <c r="G191" s="114">
        <v>9</v>
      </c>
      <c r="H191" s="115" t="s">
        <v>1083</v>
      </c>
    </row>
    <row r="192" spans="1:8" ht="19.899999999999999" customHeight="1">
      <c r="A192" s="121">
        <v>46036</v>
      </c>
      <c r="B192" s="112" t="s">
        <v>26</v>
      </c>
      <c r="C192" s="113" t="s">
        <v>1049</v>
      </c>
      <c r="D192" s="112" t="s">
        <v>1040</v>
      </c>
      <c r="E192" s="122">
        <v>1.9722222222222221</v>
      </c>
      <c r="F192" s="112" t="s">
        <v>28</v>
      </c>
      <c r="G192" s="114">
        <v>2</v>
      </c>
      <c r="H192" s="115" t="s">
        <v>426</v>
      </c>
    </row>
    <row r="193" spans="1:8" ht="19.899999999999999" customHeight="1">
      <c r="A193" s="121">
        <v>46036</v>
      </c>
      <c r="B193" s="112" t="s">
        <v>68</v>
      </c>
      <c r="C193" s="113" t="s">
        <v>1052</v>
      </c>
      <c r="D193" s="112" t="s">
        <v>1040</v>
      </c>
      <c r="E193" s="122">
        <v>1.336805555555556</v>
      </c>
      <c r="F193" s="112" t="s">
        <v>643</v>
      </c>
      <c r="G193" s="114">
        <v>9</v>
      </c>
      <c r="H193" s="115" t="s">
        <v>1053</v>
      </c>
    </row>
    <row r="194" spans="1:8" ht="19.899999999999999" customHeight="1">
      <c r="A194" s="121">
        <v>46036</v>
      </c>
      <c r="B194" s="112" t="s">
        <v>68</v>
      </c>
      <c r="C194" s="113" t="s">
        <v>1054</v>
      </c>
      <c r="D194" s="112" t="s">
        <v>1040</v>
      </c>
      <c r="E194" s="122">
        <v>1.979166666666667</v>
      </c>
      <c r="F194" s="112" t="s">
        <v>643</v>
      </c>
      <c r="G194" s="114">
        <v>9</v>
      </c>
      <c r="H194" s="115" t="s">
        <v>1053</v>
      </c>
    </row>
    <row r="195" spans="1:8" ht="19.899999999999999" customHeight="1">
      <c r="A195" s="121">
        <v>46036</v>
      </c>
      <c r="B195" s="112" t="s">
        <v>402</v>
      </c>
      <c r="C195" s="113" t="s">
        <v>1064</v>
      </c>
      <c r="D195" s="112" t="s">
        <v>1040</v>
      </c>
      <c r="E195" s="122">
        <v>1.694444444444444</v>
      </c>
      <c r="F195" s="112" t="s">
        <v>63</v>
      </c>
      <c r="G195" s="114">
        <v>3</v>
      </c>
      <c r="H195" s="115" t="s">
        <v>1058</v>
      </c>
    </row>
    <row r="196" spans="1:8" ht="19.899999999999999" customHeight="1">
      <c r="A196" s="121">
        <v>46036</v>
      </c>
      <c r="B196" s="112" t="s">
        <v>68</v>
      </c>
      <c r="C196" s="113" t="s">
        <v>1056</v>
      </c>
      <c r="D196" s="112" t="s">
        <v>1040</v>
      </c>
      <c r="E196" s="122">
        <v>1.6736111111111109</v>
      </c>
      <c r="F196" s="112" t="s">
        <v>70</v>
      </c>
      <c r="G196" s="114">
        <v>9</v>
      </c>
      <c r="H196" s="115" t="s">
        <v>1055</v>
      </c>
    </row>
    <row r="197" spans="1:8" ht="19.899999999999999" customHeight="1">
      <c r="A197" s="121">
        <v>46036</v>
      </c>
      <c r="B197" s="112" t="s">
        <v>26</v>
      </c>
      <c r="C197" s="113" t="s">
        <v>1049</v>
      </c>
      <c r="D197" s="112" t="s">
        <v>1040</v>
      </c>
      <c r="E197" s="122">
        <v>1.9722222222222221</v>
      </c>
      <c r="F197" s="112" t="s">
        <v>31</v>
      </c>
      <c r="G197" s="114">
        <v>2</v>
      </c>
      <c r="H197" s="115" t="s">
        <v>150</v>
      </c>
    </row>
    <row r="198" spans="1:8" ht="19.899999999999999" customHeight="1">
      <c r="A198" s="121">
        <v>46036</v>
      </c>
      <c r="B198" s="112" t="s">
        <v>359</v>
      </c>
      <c r="C198" s="113" t="s">
        <v>1065</v>
      </c>
      <c r="D198" s="112" t="s">
        <v>1040</v>
      </c>
      <c r="E198" s="122">
        <v>1.7847222222222221</v>
      </c>
      <c r="F198" s="112" t="s">
        <v>46</v>
      </c>
      <c r="G198" s="114">
        <v>9</v>
      </c>
      <c r="H198" s="115" t="s">
        <v>1084</v>
      </c>
    </row>
    <row r="199" spans="1:8" ht="19.899999999999999" customHeight="1">
      <c r="A199" s="121">
        <v>46036</v>
      </c>
      <c r="B199" s="112" t="s">
        <v>26</v>
      </c>
      <c r="C199" s="113" t="s">
        <v>1049</v>
      </c>
      <c r="D199" s="112" t="s">
        <v>1040</v>
      </c>
      <c r="E199" s="122">
        <v>1.9722222222222221</v>
      </c>
      <c r="F199" s="112" t="s">
        <v>34</v>
      </c>
      <c r="G199" s="114">
        <v>2</v>
      </c>
      <c r="H199" s="115" t="s">
        <v>178</v>
      </c>
    </row>
    <row r="200" spans="1:8" ht="19.899999999999999" customHeight="1">
      <c r="A200" s="121">
        <v>46036</v>
      </c>
      <c r="B200" s="112" t="s">
        <v>38</v>
      </c>
      <c r="C200" s="113" t="s">
        <v>1041</v>
      </c>
      <c r="D200" s="112" t="s">
        <v>1040</v>
      </c>
      <c r="E200" s="122">
        <v>1.447916666666667</v>
      </c>
      <c r="F200" s="112" t="s">
        <v>40</v>
      </c>
      <c r="G200" s="114">
        <v>8</v>
      </c>
      <c r="H200" s="115" t="s">
        <v>487</v>
      </c>
    </row>
    <row r="201" spans="1:8" ht="19.899999999999999" customHeight="1">
      <c r="A201" s="121">
        <v>46036</v>
      </c>
      <c r="B201" s="112" t="s">
        <v>38</v>
      </c>
      <c r="C201" s="113" t="s">
        <v>1041</v>
      </c>
      <c r="D201" s="112" t="s">
        <v>1040</v>
      </c>
      <c r="E201" s="122">
        <v>1.447916666666667</v>
      </c>
      <c r="F201" s="112" t="s">
        <v>43</v>
      </c>
      <c r="G201" s="114">
        <v>8</v>
      </c>
      <c r="H201" s="115" t="s">
        <v>105</v>
      </c>
    </row>
    <row r="202" spans="1:8" ht="19.899999999999999" customHeight="1">
      <c r="A202" s="121">
        <v>46036</v>
      </c>
      <c r="B202" s="112" t="s">
        <v>38</v>
      </c>
      <c r="C202" s="113" t="s">
        <v>1041</v>
      </c>
      <c r="D202" s="112" t="s">
        <v>1040</v>
      </c>
      <c r="E202" s="122">
        <v>1.447916666666667</v>
      </c>
      <c r="F202" s="112" t="s">
        <v>46</v>
      </c>
      <c r="G202" s="114">
        <v>8</v>
      </c>
      <c r="H202" s="115" t="s">
        <v>106</v>
      </c>
    </row>
    <row r="203" spans="1:8" ht="19.899999999999999" customHeight="1">
      <c r="A203" s="123">
        <v>46036</v>
      </c>
      <c r="B203" s="124" t="s">
        <v>48</v>
      </c>
      <c r="C203" s="125" t="s">
        <v>1060</v>
      </c>
      <c r="D203" s="124" t="s">
        <v>1040</v>
      </c>
      <c r="E203" s="126">
        <v>1.447916666666667</v>
      </c>
      <c r="F203" s="124" t="s">
        <v>53</v>
      </c>
      <c r="G203" s="127">
        <v>4</v>
      </c>
      <c r="H203" s="128" t="s">
        <v>942</v>
      </c>
    </row>
    <row r="204" spans="1:8" ht="19.899999999999999" customHeight="1">
      <c r="A204" s="121">
        <v>46037</v>
      </c>
      <c r="B204" s="112" t="s">
        <v>38</v>
      </c>
      <c r="C204" s="113" t="s">
        <v>1041</v>
      </c>
      <c r="D204" s="112" t="s">
        <v>1040</v>
      </c>
      <c r="E204" s="122">
        <v>1.447916666666667</v>
      </c>
      <c r="F204" s="112" t="s">
        <v>40</v>
      </c>
      <c r="G204" s="114">
        <v>10</v>
      </c>
      <c r="H204" s="115" t="s">
        <v>33</v>
      </c>
    </row>
    <row r="205" spans="1:8" ht="19.899999999999999" customHeight="1">
      <c r="A205" s="121">
        <v>46037</v>
      </c>
      <c r="B205" s="112" t="s">
        <v>26</v>
      </c>
      <c r="C205" s="113" t="s">
        <v>1047</v>
      </c>
      <c r="D205" s="112" t="s">
        <v>1040</v>
      </c>
      <c r="E205" s="122">
        <v>1.336805555555556</v>
      </c>
      <c r="F205" s="112" t="s">
        <v>28</v>
      </c>
      <c r="G205" s="114">
        <v>3</v>
      </c>
      <c r="H205" s="115" t="s">
        <v>426</v>
      </c>
    </row>
    <row r="206" spans="1:8" ht="19.899999999999999" customHeight="1">
      <c r="A206" s="121">
        <v>46037</v>
      </c>
      <c r="B206" s="112" t="s">
        <v>68</v>
      </c>
      <c r="C206" s="113" t="s">
        <v>1052</v>
      </c>
      <c r="D206" s="112" t="s">
        <v>1040</v>
      </c>
      <c r="E206" s="122">
        <v>1.336805555555556</v>
      </c>
      <c r="F206" s="112" t="s">
        <v>643</v>
      </c>
      <c r="G206" s="114">
        <v>9</v>
      </c>
      <c r="H206" s="115" t="s">
        <v>1053</v>
      </c>
    </row>
    <row r="207" spans="1:8" ht="19.899999999999999" customHeight="1">
      <c r="A207" s="129">
        <v>46037</v>
      </c>
      <c r="B207" s="117" t="s">
        <v>61</v>
      </c>
      <c r="C207" s="118" t="s">
        <v>1043</v>
      </c>
      <c r="D207" s="117" t="s">
        <v>1040</v>
      </c>
      <c r="E207" s="130">
        <v>1.7222222222222221</v>
      </c>
      <c r="F207" s="117" t="s">
        <v>63</v>
      </c>
      <c r="G207" s="119">
        <v>9</v>
      </c>
      <c r="H207" s="120" t="s">
        <v>138</v>
      </c>
    </row>
    <row r="208" spans="1:8" ht="19.899999999999999" customHeight="1">
      <c r="A208" s="121">
        <v>46037</v>
      </c>
      <c r="B208" s="112" t="s">
        <v>402</v>
      </c>
      <c r="C208" s="113" t="s">
        <v>1059</v>
      </c>
      <c r="D208" s="112" t="s">
        <v>1040</v>
      </c>
      <c r="E208" s="122">
        <v>1.3611111111111109</v>
      </c>
      <c r="F208" s="112" t="s">
        <v>63</v>
      </c>
      <c r="G208" s="114">
        <v>6</v>
      </c>
      <c r="H208" s="115" t="s">
        <v>1058</v>
      </c>
    </row>
    <row r="209" spans="1:8" ht="19.899999999999999" customHeight="1">
      <c r="A209" s="121">
        <v>46037</v>
      </c>
      <c r="B209" s="112" t="s">
        <v>402</v>
      </c>
      <c r="C209" s="113" t="s">
        <v>1057</v>
      </c>
      <c r="D209" s="112" t="s">
        <v>1040</v>
      </c>
      <c r="E209" s="122">
        <v>1.756944444444444</v>
      </c>
      <c r="F209" s="112" t="s">
        <v>63</v>
      </c>
      <c r="G209" s="114">
        <v>6</v>
      </c>
      <c r="H209" s="115" t="s">
        <v>857</v>
      </c>
    </row>
    <row r="210" spans="1:8" ht="19.899999999999999" customHeight="1">
      <c r="A210" s="121">
        <v>46037</v>
      </c>
      <c r="B210" s="112" t="s">
        <v>26</v>
      </c>
      <c r="C210" s="113" t="s">
        <v>1047</v>
      </c>
      <c r="D210" s="112" t="s">
        <v>1040</v>
      </c>
      <c r="E210" s="122">
        <v>1.336805555555556</v>
      </c>
      <c r="F210" s="112" t="s">
        <v>31</v>
      </c>
      <c r="G210" s="114">
        <v>3</v>
      </c>
      <c r="H210" s="115" t="s">
        <v>150</v>
      </c>
    </row>
    <row r="211" spans="1:8" ht="19.899999999999999" customHeight="1">
      <c r="A211" s="121">
        <v>46037</v>
      </c>
      <c r="B211" s="112" t="s">
        <v>26</v>
      </c>
      <c r="C211" s="113" t="s">
        <v>1049</v>
      </c>
      <c r="D211" s="112" t="s">
        <v>1040</v>
      </c>
      <c r="E211" s="122">
        <v>1.9722222222222221</v>
      </c>
      <c r="F211" s="112" t="s">
        <v>28</v>
      </c>
      <c r="G211" s="114">
        <v>9</v>
      </c>
      <c r="H211" s="115" t="s">
        <v>150</v>
      </c>
    </row>
    <row r="212" spans="1:8" ht="19.899999999999999" customHeight="1">
      <c r="A212" s="121">
        <v>46037</v>
      </c>
      <c r="B212" s="112" t="s">
        <v>68</v>
      </c>
      <c r="C212" s="113" t="s">
        <v>1054</v>
      </c>
      <c r="D212" s="112" t="s">
        <v>1040</v>
      </c>
      <c r="E212" s="122">
        <v>1.979166666666667</v>
      </c>
      <c r="F212" s="112" t="s">
        <v>70</v>
      </c>
      <c r="G212" s="114">
        <v>9</v>
      </c>
      <c r="H212" s="115" t="s">
        <v>1001</v>
      </c>
    </row>
    <row r="213" spans="1:8" ht="19.899999999999999" customHeight="1">
      <c r="A213" s="121">
        <v>46037</v>
      </c>
      <c r="B213" s="112" t="s">
        <v>38</v>
      </c>
      <c r="C213" s="113" t="s">
        <v>1041</v>
      </c>
      <c r="D213" s="112" t="s">
        <v>1040</v>
      </c>
      <c r="E213" s="122">
        <v>1.447916666666667</v>
      </c>
      <c r="F213" s="112" t="s">
        <v>43</v>
      </c>
      <c r="G213" s="114">
        <v>10</v>
      </c>
      <c r="H213" s="115" t="s">
        <v>926</v>
      </c>
    </row>
    <row r="214" spans="1:8" ht="19.899999999999999" customHeight="1">
      <c r="A214" s="121">
        <v>46037</v>
      </c>
      <c r="B214" s="112" t="s">
        <v>68</v>
      </c>
      <c r="C214" s="113" t="s">
        <v>1056</v>
      </c>
      <c r="D214" s="112" t="s">
        <v>1040</v>
      </c>
      <c r="E214" s="122">
        <v>1.6736111111111109</v>
      </c>
      <c r="F214" s="112" t="s">
        <v>70</v>
      </c>
      <c r="G214" s="114">
        <v>9</v>
      </c>
      <c r="H214" s="115" t="s">
        <v>858</v>
      </c>
    </row>
    <row r="215" spans="1:8" ht="19.899999999999999" customHeight="1">
      <c r="A215" s="121">
        <v>46037</v>
      </c>
      <c r="B215" s="112" t="s">
        <v>415</v>
      </c>
      <c r="C215" s="113" t="s">
        <v>1050</v>
      </c>
      <c r="D215" s="112" t="s">
        <v>1040</v>
      </c>
      <c r="E215" s="122">
        <v>1.756944444444444</v>
      </c>
      <c r="F215" s="112" t="s">
        <v>63</v>
      </c>
      <c r="G215" s="114">
        <v>7</v>
      </c>
      <c r="H215" s="115" t="s">
        <v>1086</v>
      </c>
    </row>
    <row r="216" spans="1:8" ht="19.899999999999999" customHeight="1">
      <c r="A216" s="121">
        <v>46037</v>
      </c>
      <c r="B216" s="112" t="s">
        <v>26</v>
      </c>
      <c r="C216" s="113" t="s">
        <v>1047</v>
      </c>
      <c r="D216" s="112" t="s">
        <v>1040</v>
      </c>
      <c r="E216" s="122">
        <v>1.336805555555556</v>
      </c>
      <c r="F216" s="112" t="s">
        <v>34</v>
      </c>
      <c r="G216" s="114">
        <v>3</v>
      </c>
      <c r="H216" s="115" t="s">
        <v>178</v>
      </c>
    </row>
    <row r="217" spans="1:8" ht="19.899999999999999" customHeight="1">
      <c r="A217" s="121">
        <v>46037</v>
      </c>
      <c r="B217" s="112" t="s">
        <v>26</v>
      </c>
      <c r="C217" s="113" t="s">
        <v>1049</v>
      </c>
      <c r="D217" s="112" t="s">
        <v>1040</v>
      </c>
      <c r="E217" s="122">
        <v>1.9722222222222221</v>
      </c>
      <c r="F217" s="112" t="s">
        <v>31</v>
      </c>
      <c r="G217" s="114">
        <v>9</v>
      </c>
      <c r="H217" s="115" t="s">
        <v>511</v>
      </c>
    </row>
    <row r="218" spans="1:8" ht="19.899999999999999" customHeight="1">
      <c r="A218" s="121">
        <v>46037</v>
      </c>
      <c r="B218" s="112" t="s">
        <v>26</v>
      </c>
      <c r="C218" s="113" t="s">
        <v>1049</v>
      </c>
      <c r="D218" s="112" t="s">
        <v>1040</v>
      </c>
      <c r="E218" s="122">
        <v>1.9722222222222221</v>
      </c>
      <c r="F218" s="112" t="s">
        <v>34</v>
      </c>
      <c r="G218" s="114">
        <v>9</v>
      </c>
      <c r="H218" s="115" t="s">
        <v>653</v>
      </c>
    </row>
    <row r="219" spans="1:8" ht="19.899999999999999" customHeight="1">
      <c r="A219" s="121">
        <v>46037</v>
      </c>
      <c r="B219" s="112" t="s">
        <v>38</v>
      </c>
      <c r="C219" s="113" t="s">
        <v>1041</v>
      </c>
      <c r="D219" s="112" t="s">
        <v>1040</v>
      </c>
      <c r="E219" s="122">
        <v>1.447916666666667</v>
      </c>
      <c r="F219" s="112" t="s">
        <v>46</v>
      </c>
      <c r="G219" s="114">
        <v>10</v>
      </c>
      <c r="H219" s="115" t="s">
        <v>106</v>
      </c>
    </row>
    <row r="220" spans="1:8" ht="19.899999999999999" customHeight="1">
      <c r="A220" s="123">
        <v>46037</v>
      </c>
      <c r="B220" s="124" t="s">
        <v>48</v>
      </c>
      <c r="C220" s="125" t="s">
        <v>1060</v>
      </c>
      <c r="D220" s="124" t="s">
        <v>1040</v>
      </c>
      <c r="E220" s="126">
        <v>1.447916666666667</v>
      </c>
      <c r="F220" s="124" t="s">
        <v>53</v>
      </c>
      <c r="G220" s="127">
        <v>4</v>
      </c>
      <c r="H220" s="128" t="s">
        <v>933</v>
      </c>
    </row>
    <row r="221" spans="1:8" ht="19.899999999999999" customHeight="1">
      <c r="A221" s="129">
        <v>46038</v>
      </c>
      <c r="B221" s="117" t="s">
        <v>61</v>
      </c>
      <c r="C221" s="118" t="s">
        <v>1043</v>
      </c>
      <c r="D221" s="117" t="s">
        <v>1040</v>
      </c>
      <c r="E221" s="130">
        <v>1.381944444444444</v>
      </c>
      <c r="F221" s="117" t="s">
        <v>63</v>
      </c>
      <c r="G221" s="119">
        <v>6</v>
      </c>
      <c r="H221" s="120" t="s">
        <v>138</v>
      </c>
    </row>
    <row r="222" spans="1:8" ht="19.899999999999999" customHeight="1">
      <c r="A222" s="121">
        <v>46038</v>
      </c>
      <c r="B222" s="112" t="s">
        <v>38</v>
      </c>
      <c r="C222" s="113" t="s">
        <v>1041</v>
      </c>
      <c r="D222" s="112" t="s">
        <v>1040</v>
      </c>
      <c r="E222" s="122">
        <v>1.447916666666667</v>
      </c>
      <c r="F222" s="112" t="s">
        <v>40</v>
      </c>
      <c r="G222" s="114">
        <v>10</v>
      </c>
      <c r="H222" s="115" t="s">
        <v>162</v>
      </c>
    </row>
    <row r="223" spans="1:8" ht="19.899999999999999" customHeight="1">
      <c r="A223" s="121">
        <v>46038</v>
      </c>
      <c r="B223" s="112" t="s">
        <v>26</v>
      </c>
      <c r="C223" s="113" t="s">
        <v>1049</v>
      </c>
      <c r="D223" s="112" t="s">
        <v>1040</v>
      </c>
      <c r="E223" s="122">
        <v>1.9722222222222221</v>
      </c>
      <c r="F223" s="112" t="s">
        <v>28</v>
      </c>
      <c r="G223" s="114">
        <v>6</v>
      </c>
      <c r="H223" s="115" t="s">
        <v>150</v>
      </c>
    </row>
    <row r="224" spans="1:8" ht="19.899999999999999" customHeight="1">
      <c r="A224" s="121">
        <v>46038</v>
      </c>
      <c r="B224" s="112" t="s">
        <v>402</v>
      </c>
      <c r="C224" s="113" t="s">
        <v>1064</v>
      </c>
      <c r="D224" s="112" t="s">
        <v>1040</v>
      </c>
      <c r="E224" s="122">
        <v>1.756944444444444</v>
      </c>
      <c r="F224" s="112" t="s">
        <v>63</v>
      </c>
      <c r="G224" s="114">
        <v>3</v>
      </c>
      <c r="H224" s="115" t="s">
        <v>938</v>
      </c>
    </row>
    <row r="225" spans="1:8" ht="19.899999999999999" customHeight="1">
      <c r="A225" s="121">
        <v>46038</v>
      </c>
      <c r="B225" s="112" t="s">
        <v>415</v>
      </c>
      <c r="C225" s="113" t="s">
        <v>1062</v>
      </c>
      <c r="D225" s="112" t="s">
        <v>1040</v>
      </c>
      <c r="E225" s="122">
        <v>1.006944444444444</v>
      </c>
      <c r="F225" s="112" t="s">
        <v>63</v>
      </c>
      <c r="G225" s="114">
        <v>4</v>
      </c>
      <c r="H225" s="115" t="s">
        <v>1086</v>
      </c>
    </row>
    <row r="226" spans="1:8" ht="19.899999999999999" customHeight="1">
      <c r="A226" s="121">
        <v>46038</v>
      </c>
      <c r="B226" s="112" t="s">
        <v>26</v>
      </c>
      <c r="C226" s="113" t="s">
        <v>1049</v>
      </c>
      <c r="D226" s="112" t="s">
        <v>1040</v>
      </c>
      <c r="E226" s="122">
        <v>1.9722222222222221</v>
      </c>
      <c r="F226" s="112" t="s">
        <v>31</v>
      </c>
      <c r="G226" s="114">
        <v>6</v>
      </c>
      <c r="H226" s="115" t="s">
        <v>511</v>
      </c>
    </row>
    <row r="227" spans="1:8" ht="19.899999999999999" customHeight="1">
      <c r="A227" s="121">
        <v>46038</v>
      </c>
      <c r="B227" s="112" t="s">
        <v>38</v>
      </c>
      <c r="C227" s="113" t="s">
        <v>1041</v>
      </c>
      <c r="D227" s="112" t="s">
        <v>1040</v>
      </c>
      <c r="E227" s="122">
        <v>1.447916666666667</v>
      </c>
      <c r="F227" s="112" t="s">
        <v>43</v>
      </c>
      <c r="G227" s="114">
        <v>10</v>
      </c>
      <c r="H227" s="115" t="s">
        <v>865</v>
      </c>
    </row>
    <row r="228" spans="1:8" ht="19.899999999999999" customHeight="1">
      <c r="A228" s="121">
        <v>46038</v>
      </c>
      <c r="B228" s="112" t="s">
        <v>68</v>
      </c>
      <c r="C228" s="113" t="s">
        <v>1052</v>
      </c>
      <c r="D228" s="112" t="s">
        <v>1040</v>
      </c>
      <c r="E228" s="122">
        <v>1.336805555555556</v>
      </c>
      <c r="F228" s="112" t="s">
        <v>70</v>
      </c>
      <c r="G228" s="114">
        <v>9</v>
      </c>
      <c r="H228" s="115" t="s">
        <v>1089</v>
      </c>
    </row>
    <row r="229" spans="1:8" ht="19.899999999999999" customHeight="1">
      <c r="A229" s="121">
        <v>46038</v>
      </c>
      <c r="B229" s="112" t="s">
        <v>26</v>
      </c>
      <c r="C229" s="113" t="s">
        <v>1049</v>
      </c>
      <c r="D229" s="112" t="s">
        <v>1040</v>
      </c>
      <c r="E229" s="122">
        <v>1.9722222222222221</v>
      </c>
      <c r="F229" s="112" t="s">
        <v>34</v>
      </c>
      <c r="G229" s="114">
        <v>6</v>
      </c>
      <c r="H229" s="115" t="s">
        <v>653</v>
      </c>
    </row>
    <row r="230" spans="1:8" ht="19.899999999999999" customHeight="1">
      <c r="A230" s="121">
        <v>46038</v>
      </c>
      <c r="B230" s="112" t="s">
        <v>68</v>
      </c>
      <c r="C230" s="113" t="s">
        <v>1054</v>
      </c>
      <c r="D230" s="112" t="s">
        <v>1040</v>
      </c>
      <c r="E230" s="122">
        <v>1.979166666666667</v>
      </c>
      <c r="F230" s="112" t="s">
        <v>70</v>
      </c>
      <c r="G230" s="114">
        <v>9</v>
      </c>
      <c r="H230" s="115" t="s">
        <v>1090</v>
      </c>
    </row>
    <row r="231" spans="1:8" ht="19.899999999999999" customHeight="1">
      <c r="A231" s="121">
        <v>46038</v>
      </c>
      <c r="B231" s="112" t="s">
        <v>38</v>
      </c>
      <c r="C231" s="113" t="s">
        <v>1041</v>
      </c>
      <c r="D231" s="112" t="s">
        <v>1040</v>
      </c>
      <c r="E231" s="122">
        <v>1.447916666666667</v>
      </c>
      <c r="F231" s="112" t="s">
        <v>46</v>
      </c>
      <c r="G231" s="114">
        <v>10</v>
      </c>
      <c r="H231" s="115" t="s">
        <v>106</v>
      </c>
    </row>
    <row r="232" spans="1:8" ht="19.899999999999999" customHeight="1">
      <c r="A232" s="121">
        <v>46038</v>
      </c>
      <c r="B232" s="112" t="s">
        <v>68</v>
      </c>
      <c r="C232" s="113" t="s">
        <v>1056</v>
      </c>
      <c r="D232" s="112" t="s">
        <v>1040</v>
      </c>
      <c r="E232" s="122">
        <v>1.6736111111111109</v>
      </c>
      <c r="F232" s="112" t="s">
        <v>70</v>
      </c>
      <c r="G232" s="114">
        <v>9</v>
      </c>
      <c r="H232" s="115" t="s">
        <v>1091</v>
      </c>
    </row>
    <row r="233" spans="1:8" ht="19.899999999999999" customHeight="1">
      <c r="A233" s="123">
        <v>46038</v>
      </c>
      <c r="B233" s="124" t="s">
        <v>48</v>
      </c>
      <c r="C233" s="125" t="s">
        <v>1060</v>
      </c>
      <c r="D233" s="124" t="s">
        <v>1040</v>
      </c>
      <c r="E233" s="126">
        <v>1.447916666666667</v>
      </c>
      <c r="F233" s="124" t="s">
        <v>53</v>
      </c>
      <c r="G233" s="127">
        <v>4</v>
      </c>
      <c r="H233" s="128" t="s">
        <v>871</v>
      </c>
    </row>
    <row r="234" spans="1:8" ht="19.899999999999999" customHeight="1">
      <c r="A234" s="121">
        <v>46039</v>
      </c>
      <c r="B234" s="112" t="s">
        <v>26</v>
      </c>
      <c r="C234" s="113" t="s">
        <v>1047</v>
      </c>
      <c r="D234" s="112" t="s">
        <v>1040</v>
      </c>
      <c r="E234" s="122">
        <v>1.336805555555556</v>
      </c>
      <c r="F234" s="112" t="s">
        <v>28</v>
      </c>
      <c r="G234" s="114">
        <v>9</v>
      </c>
      <c r="H234" s="115" t="s">
        <v>511</v>
      </c>
    </row>
    <row r="235" spans="1:8" ht="19.899999999999999" customHeight="1">
      <c r="A235" s="121">
        <v>46039</v>
      </c>
      <c r="B235" s="112" t="s">
        <v>26</v>
      </c>
      <c r="C235" s="113" t="s">
        <v>1049</v>
      </c>
      <c r="D235" s="112" t="s">
        <v>1040</v>
      </c>
      <c r="E235" s="122">
        <v>1.9722222222222221</v>
      </c>
      <c r="F235" s="112" t="s">
        <v>28</v>
      </c>
      <c r="G235" s="114">
        <v>4</v>
      </c>
      <c r="H235" s="115" t="s">
        <v>511</v>
      </c>
    </row>
    <row r="236" spans="1:8" ht="19.899999999999999" customHeight="1">
      <c r="A236" s="121">
        <v>46039</v>
      </c>
      <c r="B236" s="112" t="s">
        <v>38</v>
      </c>
      <c r="C236" s="113" t="s">
        <v>1041</v>
      </c>
      <c r="D236" s="112" t="s">
        <v>1040</v>
      </c>
      <c r="E236" s="122">
        <v>1.447916666666667</v>
      </c>
      <c r="F236" s="112" t="s">
        <v>40</v>
      </c>
      <c r="G236" s="114">
        <v>23</v>
      </c>
      <c r="H236" s="115" t="s">
        <v>487</v>
      </c>
    </row>
    <row r="237" spans="1:8" ht="19.899999999999999" customHeight="1">
      <c r="A237" s="121">
        <v>46039</v>
      </c>
      <c r="B237" s="112" t="s">
        <v>68</v>
      </c>
      <c r="C237" s="113" t="s">
        <v>1052</v>
      </c>
      <c r="D237" s="112" t="s">
        <v>1040</v>
      </c>
      <c r="E237" s="122">
        <v>1.336805555555556</v>
      </c>
      <c r="F237" s="112" t="s">
        <v>70</v>
      </c>
      <c r="G237" s="114">
        <v>9</v>
      </c>
      <c r="H237" s="115" t="s">
        <v>1063</v>
      </c>
    </row>
    <row r="238" spans="1:8" ht="19.899999999999999" customHeight="1">
      <c r="A238" s="121">
        <v>46039</v>
      </c>
      <c r="B238" s="112" t="s">
        <v>402</v>
      </c>
      <c r="C238" s="113" t="s">
        <v>1057</v>
      </c>
      <c r="D238" s="112" t="s">
        <v>1040</v>
      </c>
      <c r="E238" s="122">
        <v>1.694444444444444</v>
      </c>
      <c r="F238" s="112" t="s">
        <v>63</v>
      </c>
      <c r="G238" s="114">
        <v>8</v>
      </c>
      <c r="H238" s="115" t="s">
        <v>1089</v>
      </c>
    </row>
    <row r="239" spans="1:8" ht="19.899999999999999" customHeight="1">
      <c r="A239" s="129">
        <v>46039</v>
      </c>
      <c r="B239" s="117" t="s">
        <v>61</v>
      </c>
      <c r="C239" s="118" t="s">
        <v>1043</v>
      </c>
      <c r="D239" s="117" t="s">
        <v>1040</v>
      </c>
      <c r="E239" s="130">
        <v>1.7222222222222221</v>
      </c>
      <c r="F239" s="117" t="s">
        <v>63</v>
      </c>
      <c r="G239" s="119">
        <v>9</v>
      </c>
      <c r="H239" s="120" t="s">
        <v>1093</v>
      </c>
    </row>
    <row r="240" spans="1:8" ht="19.899999999999999" customHeight="1">
      <c r="A240" s="121">
        <v>46039</v>
      </c>
      <c r="B240" s="112" t="s">
        <v>26</v>
      </c>
      <c r="C240" s="113" t="s">
        <v>1047</v>
      </c>
      <c r="D240" s="112" t="s">
        <v>1040</v>
      </c>
      <c r="E240" s="122">
        <v>1.336805555555556</v>
      </c>
      <c r="F240" s="112" t="s">
        <v>31</v>
      </c>
      <c r="G240" s="114">
        <v>9</v>
      </c>
      <c r="H240" s="115" t="s">
        <v>47</v>
      </c>
    </row>
    <row r="241" spans="1:8" ht="19.899999999999999" customHeight="1">
      <c r="A241" s="121">
        <v>46039</v>
      </c>
      <c r="B241" s="112" t="s">
        <v>26</v>
      </c>
      <c r="C241" s="113" t="s">
        <v>1049</v>
      </c>
      <c r="D241" s="112" t="s">
        <v>1040</v>
      </c>
      <c r="E241" s="122">
        <v>1.9722222222222221</v>
      </c>
      <c r="F241" s="112" t="s">
        <v>31</v>
      </c>
      <c r="G241" s="114">
        <v>4</v>
      </c>
      <c r="H241" s="115" t="s">
        <v>47</v>
      </c>
    </row>
    <row r="242" spans="1:8" ht="19.899999999999999" customHeight="1">
      <c r="A242" s="121">
        <v>46039</v>
      </c>
      <c r="B242" s="112" t="s">
        <v>359</v>
      </c>
      <c r="C242" s="113" t="s">
        <v>1065</v>
      </c>
      <c r="D242" s="112" t="s">
        <v>1040</v>
      </c>
      <c r="E242" s="122">
        <v>1.7847222222222221</v>
      </c>
      <c r="F242" s="112" t="s">
        <v>361</v>
      </c>
      <c r="G242" s="114">
        <v>9</v>
      </c>
      <c r="H242" s="115" t="s">
        <v>1096</v>
      </c>
    </row>
    <row r="243" spans="1:8" ht="19.899999999999999" customHeight="1">
      <c r="A243" s="121">
        <v>46039</v>
      </c>
      <c r="B243" s="112" t="s">
        <v>38</v>
      </c>
      <c r="C243" s="113" t="s">
        <v>1041</v>
      </c>
      <c r="D243" s="112" t="s">
        <v>1040</v>
      </c>
      <c r="E243" s="122">
        <v>1.447916666666667</v>
      </c>
      <c r="F243" s="112" t="s">
        <v>43</v>
      </c>
      <c r="G243" s="114">
        <v>23</v>
      </c>
      <c r="H243" s="115" t="s">
        <v>105</v>
      </c>
    </row>
    <row r="244" spans="1:8" ht="19.899999999999999" customHeight="1">
      <c r="A244" s="121">
        <v>46039</v>
      </c>
      <c r="B244" s="112" t="s">
        <v>415</v>
      </c>
      <c r="C244" s="113" t="s">
        <v>1050</v>
      </c>
      <c r="D244" s="112" t="s">
        <v>1040</v>
      </c>
      <c r="E244" s="122">
        <v>1.3402777777777779</v>
      </c>
      <c r="F244" s="112" t="s">
        <v>63</v>
      </c>
      <c r="G244" s="114">
        <v>3</v>
      </c>
      <c r="H244" s="115" t="s">
        <v>1098</v>
      </c>
    </row>
    <row r="245" spans="1:8" ht="19.899999999999999" customHeight="1">
      <c r="A245" s="121">
        <v>46039</v>
      </c>
      <c r="B245" s="112" t="s">
        <v>68</v>
      </c>
      <c r="C245" s="113" t="s">
        <v>1054</v>
      </c>
      <c r="D245" s="112" t="s">
        <v>1040</v>
      </c>
      <c r="E245" s="122">
        <v>1.979166666666667</v>
      </c>
      <c r="F245" s="112" t="s">
        <v>70</v>
      </c>
      <c r="G245" s="114">
        <v>9</v>
      </c>
      <c r="H245" s="115" t="s">
        <v>1090</v>
      </c>
    </row>
    <row r="246" spans="1:8" ht="19.899999999999999" customHeight="1">
      <c r="A246" s="121">
        <v>46039</v>
      </c>
      <c r="B246" s="112" t="s">
        <v>26</v>
      </c>
      <c r="C246" s="113" t="s">
        <v>1047</v>
      </c>
      <c r="D246" s="112" t="s">
        <v>1040</v>
      </c>
      <c r="E246" s="122">
        <v>1.336805555555556</v>
      </c>
      <c r="F246" s="112" t="s">
        <v>34</v>
      </c>
      <c r="G246" s="114">
        <v>9</v>
      </c>
      <c r="H246" s="115" t="s">
        <v>932</v>
      </c>
    </row>
    <row r="247" spans="1:8" ht="19.899999999999999" customHeight="1">
      <c r="A247" s="121">
        <v>46039</v>
      </c>
      <c r="B247" s="112" t="s">
        <v>26</v>
      </c>
      <c r="C247" s="113" t="s">
        <v>1049</v>
      </c>
      <c r="D247" s="112" t="s">
        <v>1040</v>
      </c>
      <c r="E247" s="122">
        <v>1.9722222222222221</v>
      </c>
      <c r="F247" s="112" t="s">
        <v>34</v>
      </c>
      <c r="G247" s="114">
        <v>4</v>
      </c>
      <c r="H247" s="115" t="s">
        <v>932</v>
      </c>
    </row>
    <row r="248" spans="1:8" ht="19.899999999999999" customHeight="1">
      <c r="A248" s="121">
        <v>46039</v>
      </c>
      <c r="B248" s="112" t="s">
        <v>38</v>
      </c>
      <c r="C248" s="113" t="s">
        <v>1041</v>
      </c>
      <c r="D248" s="112" t="s">
        <v>1040</v>
      </c>
      <c r="E248" s="122">
        <v>1.447916666666667</v>
      </c>
      <c r="F248" s="112" t="s">
        <v>46</v>
      </c>
      <c r="G248" s="114">
        <v>23</v>
      </c>
      <c r="H248" s="115" t="s">
        <v>106</v>
      </c>
    </row>
    <row r="249" spans="1:8" ht="19.899999999999999" customHeight="1">
      <c r="A249" s="121">
        <v>46039</v>
      </c>
      <c r="B249" s="112" t="s">
        <v>68</v>
      </c>
      <c r="C249" s="113" t="s">
        <v>1056</v>
      </c>
      <c r="D249" s="112" t="s">
        <v>1040</v>
      </c>
      <c r="E249" s="122">
        <v>1.6736111111111109</v>
      </c>
      <c r="F249" s="112" t="s">
        <v>70</v>
      </c>
      <c r="G249" s="114">
        <v>9</v>
      </c>
      <c r="H249" s="115" t="s">
        <v>1091</v>
      </c>
    </row>
    <row r="250" spans="1:8" ht="19.899999999999999" customHeight="1">
      <c r="A250" s="121">
        <v>46039</v>
      </c>
      <c r="B250" s="112" t="s">
        <v>359</v>
      </c>
      <c r="C250" s="113" t="s">
        <v>1065</v>
      </c>
      <c r="D250" s="112" t="s">
        <v>1040</v>
      </c>
      <c r="E250" s="122">
        <v>1.7847222222222221</v>
      </c>
      <c r="F250" s="112" t="s">
        <v>46</v>
      </c>
      <c r="G250" s="114">
        <v>9</v>
      </c>
      <c r="H250" s="115" t="s">
        <v>1097</v>
      </c>
    </row>
    <row r="251" spans="1:8" ht="19.899999999999999" customHeight="1">
      <c r="A251" s="123">
        <v>46039</v>
      </c>
      <c r="B251" s="124" t="s">
        <v>48</v>
      </c>
      <c r="C251" s="125" t="s">
        <v>1060</v>
      </c>
      <c r="D251" s="124" t="s">
        <v>1040</v>
      </c>
      <c r="E251" s="126">
        <v>1.447916666666667</v>
      </c>
      <c r="F251" s="124" t="s">
        <v>53</v>
      </c>
      <c r="G251" s="127">
        <v>4</v>
      </c>
      <c r="H251" s="128" t="s">
        <v>942</v>
      </c>
    </row>
    <row r="252" spans="1:8" ht="19.899999999999999" customHeight="1">
      <c r="A252" s="121">
        <v>46040</v>
      </c>
      <c r="B252" s="112" t="s">
        <v>38</v>
      </c>
      <c r="C252" s="113" t="s">
        <v>1041</v>
      </c>
      <c r="D252" s="112" t="s">
        <v>1040</v>
      </c>
      <c r="E252" s="122">
        <v>1.447916666666667</v>
      </c>
      <c r="F252" s="112" t="s">
        <v>40</v>
      </c>
      <c r="G252" s="114">
        <v>11</v>
      </c>
      <c r="H252" s="115" t="s">
        <v>33</v>
      </c>
    </row>
    <row r="253" spans="1:8" ht="19.899999999999999" customHeight="1">
      <c r="A253" s="121">
        <v>46040</v>
      </c>
      <c r="B253" s="112" t="s">
        <v>26</v>
      </c>
      <c r="C253" s="113" t="s">
        <v>1049</v>
      </c>
      <c r="D253" s="112" t="s">
        <v>1040</v>
      </c>
      <c r="E253" s="122">
        <v>1.9722222222222221</v>
      </c>
      <c r="F253" s="112" t="s">
        <v>28</v>
      </c>
      <c r="G253" s="114">
        <v>2</v>
      </c>
      <c r="H253" s="115" t="s">
        <v>426</v>
      </c>
    </row>
    <row r="254" spans="1:8" ht="19.899999999999999" customHeight="1">
      <c r="A254" s="121">
        <v>46040</v>
      </c>
      <c r="B254" s="112" t="s">
        <v>402</v>
      </c>
      <c r="C254" s="113" t="s">
        <v>1059</v>
      </c>
      <c r="D254" s="112" t="s">
        <v>1040</v>
      </c>
      <c r="E254" s="122">
        <v>1.756944444444444</v>
      </c>
      <c r="F254" s="112" t="s">
        <v>63</v>
      </c>
      <c r="G254" s="114">
        <v>3</v>
      </c>
      <c r="H254" s="115" t="s">
        <v>857</v>
      </c>
    </row>
    <row r="255" spans="1:8" ht="19.899999999999999" customHeight="1">
      <c r="A255" s="121">
        <v>46040</v>
      </c>
      <c r="B255" s="112" t="s">
        <v>26</v>
      </c>
      <c r="C255" s="113" t="s">
        <v>1049</v>
      </c>
      <c r="D255" s="112" t="s">
        <v>1040</v>
      </c>
      <c r="E255" s="122">
        <v>1.9722222222222221</v>
      </c>
      <c r="F255" s="112" t="s">
        <v>31</v>
      </c>
      <c r="G255" s="114">
        <v>2</v>
      </c>
      <c r="H255" s="115" t="s">
        <v>150</v>
      </c>
    </row>
    <row r="256" spans="1:8" ht="19.899999999999999" customHeight="1">
      <c r="A256" s="121">
        <v>46040</v>
      </c>
      <c r="B256" s="112" t="s">
        <v>38</v>
      </c>
      <c r="C256" s="113" t="s">
        <v>1041</v>
      </c>
      <c r="D256" s="112" t="s">
        <v>1040</v>
      </c>
      <c r="E256" s="122">
        <v>1.447916666666667</v>
      </c>
      <c r="F256" s="112" t="s">
        <v>43</v>
      </c>
      <c r="G256" s="114">
        <v>11</v>
      </c>
      <c r="H256" s="115" t="s">
        <v>926</v>
      </c>
    </row>
    <row r="257" spans="1:8" ht="19.899999999999999" customHeight="1">
      <c r="A257" s="121">
        <v>46040</v>
      </c>
      <c r="B257" s="112" t="s">
        <v>415</v>
      </c>
      <c r="C257" s="113" t="s">
        <v>1062</v>
      </c>
      <c r="D257" s="112" t="s">
        <v>1040</v>
      </c>
      <c r="E257" s="122">
        <v>1.006944444444444</v>
      </c>
      <c r="F257" s="112" t="s">
        <v>63</v>
      </c>
      <c r="G257" s="114">
        <v>3</v>
      </c>
      <c r="H257" s="115" t="s">
        <v>1086</v>
      </c>
    </row>
    <row r="258" spans="1:8" ht="19.899999999999999" customHeight="1">
      <c r="A258" s="121">
        <v>46040</v>
      </c>
      <c r="B258" s="112" t="s">
        <v>415</v>
      </c>
      <c r="C258" s="113" t="s">
        <v>1071</v>
      </c>
      <c r="D258" s="112" t="s">
        <v>1040</v>
      </c>
      <c r="E258" s="122">
        <v>1.9201388888888891</v>
      </c>
      <c r="F258" s="112" t="s">
        <v>63</v>
      </c>
      <c r="G258" s="114">
        <v>9</v>
      </c>
      <c r="H258" s="115" t="s">
        <v>1086</v>
      </c>
    </row>
    <row r="259" spans="1:8" ht="19.899999999999999" customHeight="1">
      <c r="A259" s="121">
        <v>46040</v>
      </c>
      <c r="B259" s="112" t="s">
        <v>26</v>
      </c>
      <c r="C259" s="113" t="s">
        <v>1049</v>
      </c>
      <c r="D259" s="112" t="s">
        <v>1040</v>
      </c>
      <c r="E259" s="122">
        <v>1.9722222222222221</v>
      </c>
      <c r="F259" s="112" t="s">
        <v>34</v>
      </c>
      <c r="G259" s="114">
        <v>2</v>
      </c>
      <c r="H259" s="115" t="s">
        <v>178</v>
      </c>
    </row>
    <row r="260" spans="1:8" ht="19.899999999999999" customHeight="1">
      <c r="A260" s="121">
        <v>46040</v>
      </c>
      <c r="B260" s="112" t="s">
        <v>68</v>
      </c>
      <c r="C260" s="113" t="s">
        <v>1052</v>
      </c>
      <c r="D260" s="112" t="s">
        <v>1040</v>
      </c>
      <c r="E260" s="122">
        <v>1.336805555555556</v>
      </c>
      <c r="F260" s="112" t="s">
        <v>70</v>
      </c>
      <c r="G260" s="114">
        <v>9</v>
      </c>
      <c r="H260" s="115" t="s">
        <v>1063</v>
      </c>
    </row>
    <row r="261" spans="1:8" ht="19.899999999999999" customHeight="1">
      <c r="A261" s="121">
        <v>46040</v>
      </c>
      <c r="B261" s="112" t="s">
        <v>68</v>
      </c>
      <c r="C261" s="113" t="s">
        <v>1054</v>
      </c>
      <c r="D261" s="112" t="s">
        <v>1040</v>
      </c>
      <c r="E261" s="122">
        <v>1.979166666666667</v>
      </c>
      <c r="F261" s="112" t="s">
        <v>70</v>
      </c>
      <c r="G261" s="114">
        <v>9</v>
      </c>
      <c r="H261" s="115" t="s">
        <v>1063</v>
      </c>
    </row>
    <row r="262" spans="1:8" ht="19.899999999999999" customHeight="1">
      <c r="A262" s="121">
        <v>46040</v>
      </c>
      <c r="B262" s="112" t="s">
        <v>68</v>
      </c>
      <c r="C262" s="113" t="s">
        <v>1056</v>
      </c>
      <c r="D262" s="112" t="s">
        <v>1040</v>
      </c>
      <c r="E262" s="122">
        <v>1.6736111111111109</v>
      </c>
      <c r="F262" s="112" t="s">
        <v>70</v>
      </c>
      <c r="G262" s="114">
        <v>9</v>
      </c>
      <c r="H262" s="115" t="s">
        <v>1090</v>
      </c>
    </row>
    <row r="263" spans="1:8" ht="19.899999999999999" customHeight="1">
      <c r="A263" s="121">
        <v>46040</v>
      </c>
      <c r="B263" s="112" t="s">
        <v>38</v>
      </c>
      <c r="C263" s="113" t="s">
        <v>1041</v>
      </c>
      <c r="D263" s="112" t="s">
        <v>1040</v>
      </c>
      <c r="E263" s="122">
        <v>1.447916666666667</v>
      </c>
      <c r="F263" s="112" t="s">
        <v>46</v>
      </c>
      <c r="G263" s="114">
        <v>11</v>
      </c>
      <c r="H263" s="115" t="s">
        <v>106</v>
      </c>
    </row>
    <row r="264" spans="1:8" ht="19.899999999999999" customHeight="1">
      <c r="A264" s="123">
        <v>46040</v>
      </c>
      <c r="B264" s="124" t="s">
        <v>48</v>
      </c>
      <c r="C264" s="125" t="s">
        <v>1060</v>
      </c>
      <c r="D264" s="124" t="s">
        <v>1040</v>
      </c>
      <c r="E264" s="126">
        <v>1.447916666666667</v>
      </c>
      <c r="F264" s="124" t="s">
        <v>53</v>
      </c>
      <c r="G264" s="127">
        <v>4</v>
      </c>
      <c r="H264" s="128" t="s">
        <v>933</v>
      </c>
    </row>
    <row r="265" spans="1:8" ht="19.899999999999999" customHeight="1">
      <c r="A265" s="121">
        <v>46041</v>
      </c>
      <c r="B265" s="112" t="s">
        <v>38</v>
      </c>
      <c r="C265" s="113" t="s">
        <v>1041</v>
      </c>
      <c r="D265" s="112" t="s">
        <v>1040</v>
      </c>
      <c r="E265" s="122">
        <v>1.447916666666667</v>
      </c>
      <c r="F265" s="112" t="s">
        <v>40</v>
      </c>
      <c r="G265" s="114">
        <v>10</v>
      </c>
      <c r="H265" s="115" t="s">
        <v>83</v>
      </c>
    </row>
    <row r="266" spans="1:8" ht="19.899999999999999" customHeight="1">
      <c r="A266" s="121">
        <v>46041</v>
      </c>
      <c r="B266" s="112" t="s">
        <v>26</v>
      </c>
      <c r="C266" s="113" t="s">
        <v>1047</v>
      </c>
      <c r="D266" s="112" t="s">
        <v>1040</v>
      </c>
      <c r="E266" s="122">
        <v>1.336805555555556</v>
      </c>
      <c r="F266" s="112" t="s">
        <v>28</v>
      </c>
      <c r="G266" s="114">
        <v>5</v>
      </c>
      <c r="H266" s="115" t="s">
        <v>349</v>
      </c>
    </row>
    <row r="267" spans="1:8" ht="19.899999999999999" customHeight="1">
      <c r="A267" s="121">
        <v>46041</v>
      </c>
      <c r="B267" s="112" t="s">
        <v>26</v>
      </c>
      <c r="C267" s="113" t="s">
        <v>1049</v>
      </c>
      <c r="D267" s="112" t="s">
        <v>1040</v>
      </c>
      <c r="E267" s="122">
        <v>1.9722222222222221</v>
      </c>
      <c r="F267" s="112" t="s">
        <v>28</v>
      </c>
      <c r="G267" s="114">
        <v>3</v>
      </c>
      <c r="H267" s="115" t="s">
        <v>349</v>
      </c>
    </row>
    <row r="268" spans="1:8" ht="19.899999999999999" customHeight="1">
      <c r="A268" s="121">
        <v>46041</v>
      </c>
      <c r="B268" s="112" t="s">
        <v>68</v>
      </c>
      <c r="C268" s="113" t="s">
        <v>1052</v>
      </c>
      <c r="D268" s="112" t="s">
        <v>1040</v>
      </c>
      <c r="E268" s="122">
        <v>1.336805555555556</v>
      </c>
      <c r="F268" s="112" t="s">
        <v>643</v>
      </c>
      <c r="G268" s="114">
        <v>9</v>
      </c>
      <c r="H268" s="115" t="s">
        <v>1053</v>
      </c>
    </row>
    <row r="269" spans="1:8" ht="19.899999999999999" customHeight="1">
      <c r="A269" s="121">
        <v>46041</v>
      </c>
      <c r="B269" s="112" t="s">
        <v>68</v>
      </c>
      <c r="C269" s="113" t="s">
        <v>1054</v>
      </c>
      <c r="D269" s="112" t="s">
        <v>1040</v>
      </c>
      <c r="E269" s="122">
        <v>1.979166666666667</v>
      </c>
      <c r="F269" s="112" t="s">
        <v>643</v>
      </c>
      <c r="G269" s="114">
        <v>9</v>
      </c>
      <c r="H269" s="115" t="s">
        <v>1053</v>
      </c>
    </row>
    <row r="270" spans="1:8" ht="19.899999999999999" customHeight="1">
      <c r="A270" s="121">
        <v>46041</v>
      </c>
      <c r="B270" s="112" t="s">
        <v>402</v>
      </c>
      <c r="C270" s="113" t="s">
        <v>1064</v>
      </c>
      <c r="D270" s="112" t="s">
        <v>1040</v>
      </c>
      <c r="E270" s="122">
        <v>1.756944444444444</v>
      </c>
      <c r="F270" s="112" t="s">
        <v>63</v>
      </c>
      <c r="G270" s="114">
        <v>4</v>
      </c>
      <c r="H270" s="115" t="s">
        <v>1058</v>
      </c>
    </row>
    <row r="271" spans="1:8" ht="19.899999999999999" customHeight="1">
      <c r="A271" s="121">
        <v>46041</v>
      </c>
      <c r="B271" s="112" t="s">
        <v>26</v>
      </c>
      <c r="C271" s="113" t="s">
        <v>1047</v>
      </c>
      <c r="D271" s="112" t="s">
        <v>1040</v>
      </c>
      <c r="E271" s="122">
        <v>1.336805555555556</v>
      </c>
      <c r="F271" s="112" t="s">
        <v>31</v>
      </c>
      <c r="G271" s="114">
        <v>5</v>
      </c>
      <c r="H271" s="115" t="s">
        <v>35</v>
      </c>
    </row>
    <row r="272" spans="1:8" ht="19.899999999999999" customHeight="1">
      <c r="A272" s="121">
        <v>46041</v>
      </c>
      <c r="B272" s="112" t="s">
        <v>26</v>
      </c>
      <c r="C272" s="113" t="s">
        <v>1049</v>
      </c>
      <c r="D272" s="112" t="s">
        <v>1040</v>
      </c>
      <c r="E272" s="122">
        <v>1.9722222222222221</v>
      </c>
      <c r="F272" s="112" t="s">
        <v>31</v>
      </c>
      <c r="G272" s="114">
        <v>3</v>
      </c>
      <c r="H272" s="115" t="s">
        <v>35</v>
      </c>
    </row>
    <row r="273" spans="1:8" ht="19.899999999999999" customHeight="1">
      <c r="A273" s="121">
        <v>46041</v>
      </c>
      <c r="B273" s="112" t="s">
        <v>38</v>
      </c>
      <c r="C273" s="113" t="s">
        <v>1041</v>
      </c>
      <c r="D273" s="112" t="s">
        <v>1040</v>
      </c>
      <c r="E273" s="122">
        <v>1.447916666666667</v>
      </c>
      <c r="F273" s="112" t="s">
        <v>43</v>
      </c>
      <c r="G273" s="114">
        <v>10</v>
      </c>
      <c r="H273" s="115" t="s">
        <v>162</v>
      </c>
    </row>
    <row r="274" spans="1:8" ht="19.899999999999999" customHeight="1">
      <c r="A274" s="121">
        <v>46041</v>
      </c>
      <c r="B274" s="112" t="s">
        <v>68</v>
      </c>
      <c r="C274" s="113" t="s">
        <v>1056</v>
      </c>
      <c r="D274" s="112" t="s">
        <v>1040</v>
      </c>
      <c r="E274" s="122">
        <v>1.6736111111111109</v>
      </c>
      <c r="F274" s="112" t="s">
        <v>70</v>
      </c>
      <c r="G274" s="114">
        <v>9</v>
      </c>
      <c r="H274" s="115" t="s">
        <v>1001</v>
      </c>
    </row>
    <row r="275" spans="1:8" ht="19.899999999999999" customHeight="1">
      <c r="A275" s="121">
        <v>46041</v>
      </c>
      <c r="B275" s="112" t="s">
        <v>26</v>
      </c>
      <c r="C275" s="113" t="s">
        <v>1047</v>
      </c>
      <c r="D275" s="112" t="s">
        <v>1040</v>
      </c>
      <c r="E275" s="122">
        <v>1.336805555555556</v>
      </c>
      <c r="F275" s="112" t="s">
        <v>34</v>
      </c>
      <c r="G275" s="114">
        <v>5</v>
      </c>
      <c r="H275" s="115" t="s">
        <v>503</v>
      </c>
    </row>
    <row r="276" spans="1:8" ht="19.899999999999999" customHeight="1">
      <c r="A276" s="121">
        <v>46041</v>
      </c>
      <c r="B276" s="112" t="s">
        <v>26</v>
      </c>
      <c r="C276" s="113" t="s">
        <v>1049</v>
      </c>
      <c r="D276" s="112" t="s">
        <v>1040</v>
      </c>
      <c r="E276" s="122">
        <v>1.9722222222222221</v>
      </c>
      <c r="F276" s="112" t="s">
        <v>34</v>
      </c>
      <c r="G276" s="114">
        <v>3</v>
      </c>
      <c r="H276" s="115" t="s">
        <v>503</v>
      </c>
    </row>
    <row r="277" spans="1:8" ht="19.899999999999999" customHeight="1">
      <c r="A277" s="121">
        <v>46041</v>
      </c>
      <c r="B277" s="112" t="s">
        <v>38</v>
      </c>
      <c r="C277" s="113" t="s">
        <v>1041</v>
      </c>
      <c r="D277" s="112" t="s">
        <v>1040</v>
      </c>
      <c r="E277" s="122">
        <v>1.447916666666667</v>
      </c>
      <c r="F277" s="112" t="s">
        <v>46</v>
      </c>
      <c r="G277" s="114">
        <v>10</v>
      </c>
      <c r="H277" s="115" t="s">
        <v>106</v>
      </c>
    </row>
    <row r="278" spans="1:8" ht="19.899999999999999" customHeight="1">
      <c r="A278" s="123">
        <v>46041</v>
      </c>
      <c r="B278" s="124" t="s">
        <v>48</v>
      </c>
      <c r="C278" s="125" t="s">
        <v>1060</v>
      </c>
      <c r="D278" s="124" t="s">
        <v>1040</v>
      </c>
      <c r="E278" s="126">
        <v>1.447916666666667</v>
      </c>
      <c r="F278" s="124" t="s">
        <v>53</v>
      </c>
      <c r="G278" s="127">
        <v>4</v>
      </c>
      <c r="H278" s="128" t="s">
        <v>946</v>
      </c>
    </row>
    <row r="279" spans="1:8" ht="19.899999999999999" customHeight="1">
      <c r="A279" s="129">
        <v>46042</v>
      </c>
      <c r="B279" s="117" t="s">
        <v>61</v>
      </c>
      <c r="C279" s="118" t="s">
        <v>1043</v>
      </c>
      <c r="D279" s="117" t="s">
        <v>1040</v>
      </c>
      <c r="E279" s="130">
        <v>1.069444444444444</v>
      </c>
      <c r="F279" s="117" t="s">
        <v>63</v>
      </c>
      <c r="G279" s="119">
        <v>5</v>
      </c>
      <c r="H279" s="120" t="s">
        <v>1044</v>
      </c>
    </row>
    <row r="280" spans="1:8" ht="19.899999999999999" customHeight="1">
      <c r="A280" s="121">
        <v>46042</v>
      </c>
      <c r="B280" s="112" t="s">
        <v>38</v>
      </c>
      <c r="C280" s="113" t="s">
        <v>1041</v>
      </c>
      <c r="D280" s="112" t="s">
        <v>1040</v>
      </c>
      <c r="E280" s="122">
        <v>1.447916666666667</v>
      </c>
      <c r="F280" s="112" t="s">
        <v>40</v>
      </c>
      <c r="G280" s="114">
        <v>10</v>
      </c>
      <c r="H280" s="115" t="s">
        <v>83</v>
      </c>
    </row>
    <row r="281" spans="1:8" ht="19.899999999999999" customHeight="1">
      <c r="A281" s="121">
        <v>46042</v>
      </c>
      <c r="B281" s="112" t="s">
        <v>415</v>
      </c>
      <c r="C281" s="113" t="s">
        <v>1062</v>
      </c>
      <c r="D281" s="112" t="s">
        <v>1040</v>
      </c>
      <c r="E281" s="122">
        <v>1.006944444444444</v>
      </c>
      <c r="F281" s="112" t="s">
        <v>63</v>
      </c>
      <c r="G281" s="114">
        <v>6</v>
      </c>
      <c r="H281" s="115" t="s">
        <v>1051</v>
      </c>
    </row>
    <row r="282" spans="1:8" ht="19.899999999999999" customHeight="1">
      <c r="A282" s="121">
        <v>46042</v>
      </c>
      <c r="B282" s="112" t="s">
        <v>415</v>
      </c>
      <c r="C282" s="113" t="s">
        <v>1050</v>
      </c>
      <c r="D282" s="112" t="s">
        <v>1040</v>
      </c>
      <c r="E282" s="122">
        <v>1.881944444444444</v>
      </c>
      <c r="F282" s="112" t="s">
        <v>63</v>
      </c>
      <c r="G282" s="114">
        <v>3</v>
      </c>
      <c r="H282" s="115" t="s">
        <v>1051</v>
      </c>
    </row>
    <row r="283" spans="1:8" ht="19.899999999999999" customHeight="1">
      <c r="A283" s="121">
        <v>46042</v>
      </c>
      <c r="B283" s="112" t="s">
        <v>26</v>
      </c>
      <c r="C283" s="113" t="s">
        <v>1047</v>
      </c>
      <c r="D283" s="112" t="s">
        <v>1040</v>
      </c>
      <c r="E283" s="122">
        <v>1.336805555555556</v>
      </c>
      <c r="F283" s="112" t="s">
        <v>28</v>
      </c>
      <c r="G283" s="114">
        <v>2</v>
      </c>
      <c r="H283" s="115" t="s">
        <v>426</v>
      </c>
    </row>
    <row r="284" spans="1:8" ht="19.899999999999999" customHeight="1">
      <c r="A284" s="121">
        <v>46042</v>
      </c>
      <c r="B284" s="112" t="s">
        <v>26</v>
      </c>
      <c r="C284" s="113" t="s">
        <v>1049</v>
      </c>
      <c r="D284" s="112" t="s">
        <v>1040</v>
      </c>
      <c r="E284" s="122">
        <v>1.9722222222222221</v>
      </c>
      <c r="F284" s="112" t="s">
        <v>28</v>
      </c>
      <c r="G284" s="114">
        <v>5</v>
      </c>
      <c r="H284" s="115" t="s">
        <v>426</v>
      </c>
    </row>
    <row r="285" spans="1:8" ht="19.899999999999999" customHeight="1">
      <c r="A285" s="121">
        <v>46042</v>
      </c>
      <c r="B285" s="112" t="s">
        <v>68</v>
      </c>
      <c r="C285" s="113" t="s">
        <v>1052</v>
      </c>
      <c r="D285" s="112" t="s">
        <v>1040</v>
      </c>
      <c r="E285" s="122">
        <v>1.336805555555556</v>
      </c>
      <c r="F285" s="112" t="s">
        <v>643</v>
      </c>
      <c r="G285" s="114">
        <v>9</v>
      </c>
      <c r="H285" s="115" t="s">
        <v>1053</v>
      </c>
    </row>
    <row r="286" spans="1:8" ht="19.899999999999999" customHeight="1">
      <c r="A286" s="121">
        <v>46042</v>
      </c>
      <c r="B286" s="112" t="s">
        <v>68</v>
      </c>
      <c r="C286" s="113" t="s">
        <v>1054</v>
      </c>
      <c r="D286" s="112" t="s">
        <v>1040</v>
      </c>
      <c r="E286" s="122">
        <v>1.979166666666667</v>
      </c>
      <c r="F286" s="112" t="s">
        <v>643</v>
      </c>
      <c r="G286" s="114">
        <v>9</v>
      </c>
      <c r="H286" s="115" t="s">
        <v>1053</v>
      </c>
    </row>
    <row r="287" spans="1:8" ht="19.899999999999999" customHeight="1">
      <c r="A287" s="121">
        <v>46042</v>
      </c>
      <c r="B287" s="112" t="s">
        <v>402</v>
      </c>
      <c r="C287" s="113" t="s">
        <v>1057</v>
      </c>
      <c r="D287" s="112" t="s">
        <v>1040</v>
      </c>
      <c r="E287" s="122">
        <v>1.756944444444444</v>
      </c>
      <c r="F287" s="112" t="s">
        <v>63</v>
      </c>
      <c r="G287" s="114">
        <v>6</v>
      </c>
      <c r="H287" s="115" t="s">
        <v>1058</v>
      </c>
    </row>
    <row r="288" spans="1:8" ht="19.899999999999999" customHeight="1">
      <c r="A288" s="121">
        <v>46042</v>
      </c>
      <c r="B288" s="112" t="s">
        <v>38</v>
      </c>
      <c r="C288" s="113" t="s">
        <v>1041</v>
      </c>
      <c r="D288" s="112" t="s">
        <v>1040</v>
      </c>
      <c r="E288" s="122">
        <v>1.447916666666667</v>
      </c>
      <c r="F288" s="112" t="s">
        <v>43</v>
      </c>
      <c r="G288" s="114">
        <v>10</v>
      </c>
      <c r="H288" s="115" t="s">
        <v>162</v>
      </c>
    </row>
    <row r="289" spans="1:8" ht="19.899999999999999" customHeight="1">
      <c r="A289" s="121">
        <v>46042</v>
      </c>
      <c r="B289" s="112" t="s">
        <v>26</v>
      </c>
      <c r="C289" s="113" t="s">
        <v>1047</v>
      </c>
      <c r="D289" s="112" t="s">
        <v>1040</v>
      </c>
      <c r="E289" s="122">
        <v>1.336805555555556</v>
      </c>
      <c r="F289" s="112" t="s">
        <v>31</v>
      </c>
      <c r="G289" s="114">
        <v>2</v>
      </c>
      <c r="H289" s="115" t="s">
        <v>150</v>
      </c>
    </row>
    <row r="290" spans="1:8" ht="19.899999999999999" customHeight="1">
      <c r="A290" s="121">
        <v>46042</v>
      </c>
      <c r="B290" s="112" t="s">
        <v>26</v>
      </c>
      <c r="C290" s="113" t="s">
        <v>1049</v>
      </c>
      <c r="D290" s="112" t="s">
        <v>1040</v>
      </c>
      <c r="E290" s="122">
        <v>1.9722222222222221</v>
      </c>
      <c r="F290" s="112" t="s">
        <v>31</v>
      </c>
      <c r="G290" s="114">
        <v>5</v>
      </c>
      <c r="H290" s="115" t="s">
        <v>150</v>
      </c>
    </row>
    <row r="291" spans="1:8" ht="19.899999999999999" customHeight="1">
      <c r="A291" s="121">
        <v>46042</v>
      </c>
      <c r="B291" s="112" t="s">
        <v>68</v>
      </c>
      <c r="C291" s="113" t="s">
        <v>1056</v>
      </c>
      <c r="D291" s="112" t="s">
        <v>1040</v>
      </c>
      <c r="E291" s="122">
        <v>1.6736111111111109</v>
      </c>
      <c r="F291" s="112" t="s">
        <v>70</v>
      </c>
      <c r="G291" s="114">
        <v>9</v>
      </c>
      <c r="H291" s="115" t="s">
        <v>1001</v>
      </c>
    </row>
    <row r="292" spans="1:8" ht="19.899999999999999" customHeight="1">
      <c r="A292" s="121">
        <v>46042</v>
      </c>
      <c r="B292" s="112" t="s">
        <v>26</v>
      </c>
      <c r="C292" s="113" t="s">
        <v>1047</v>
      </c>
      <c r="D292" s="112" t="s">
        <v>1040</v>
      </c>
      <c r="E292" s="122">
        <v>1.336805555555556</v>
      </c>
      <c r="F292" s="112" t="s">
        <v>34</v>
      </c>
      <c r="G292" s="114">
        <v>2</v>
      </c>
      <c r="H292" s="115" t="s">
        <v>178</v>
      </c>
    </row>
    <row r="293" spans="1:8" ht="19.899999999999999" customHeight="1">
      <c r="A293" s="121">
        <v>46042</v>
      </c>
      <c r="B293" s="112" t="s">
        <v>26</v>
      </c>
      <c r="C293" s="113" t="s">
        <v>1049</v>
      </c>
      <c r="D293" s="112" t="s">
        <v>1040</v>
      </c>
      <c r="E293" s="122">
        <v>1.9722222222222221</v>
      </c>
      <c r="F293" s="112" t="s">
        <v>34</v>
      </c>
      <c r="G293" s="114">
        <v>5</v>
      </c>
      <c r="H293" s="115" t="s">
        <v>178</v>
      </c>
    </row>
    <row r="294" spans="1:8" ht="19.899999999999999" customHeight="1">
      <c r="A294" s="121">
        <v>46042</v>
      </c>
      <c r="B294" s="112" t="s">
        <v>38</v>
      </c>
      <c r="C294" s="113" t="s">
        <v>1041</v>
      </c>
      <c r="D294" s="112" t="s">
        <v>1040</v>
      </c>
      <c r="E294" s="122">
        <v>1.447916666666667</v>
      </c>
      <c r="F294" s="112" t="s">
        <v>46</v>
      </c>
      <c r="G294" s="114">
        <v>10</v>
      </c>
      <c r="H294" s="115" t="s">
        <v>106</v>
      </c>
    </row>
    <row r="295" spans="1:8" ht="19.899999999999999" customHeight="1">
      <c r="A295" s="123">
        <v>46042</v>
      </c>
      <c r="B295" s="124" t="s">
        <v>48</v>
      </c>
      <c r="C295" s="125" t="s">
        <v>1060</v>
      </c>
      <c r="D295" s="124" t="s">
        <v>1040</v>
      </c>
      <c r="E295" s="126">
        <v>1.447916666666667</v>
      </c>
      <c r="F295" s="124" t="s">
        <v>53</v>
      </c>
      <c r="G295" s="127">
        <v>4</v>
      </c>
      <c r="H295" s="128" t="s">
        <v>946</v>
      </c>
    </row>
    <row r="296" spans="1:8" ht="19.899999999999999" customHeight="1">
      <c r="A296" s="121">
        <v>46043</v>
      </c>
      <c r="B296" s="112" t="s">
        <v>38</v>
      </c>
      <c r="C296" s="113" t="s">
        <v>1041</v>
      </c>
      <c r="D296" s="112" t="s">
        <v>1040</v>
      </c>
      <c r="E296" s="122">
        <v>1.447916666666667</v>
      </c>
      <c r="F296" s="112" t="s">
        <v>40</v>
      </c>
      <c r="G296" s="114">
        <v>10</v>
      </c>
      <c r="H296" s="115" t="s">
        <v>83</v>
      </c>
    </row>
    <row r="297" spans="1:8" ht="19.899999999999999" customHeight="1">
      <c r="A297" s="121">
        <v>46043</v>
      </c>
      <c r="B297" s="112" t="s">
        <v>26</v>
      </c>
      <c r="C297" s="113" t="s">
        <v>1049</v>
      </c>
      <c r="D297" s="112" t="s">
        <v>1040</v>
      </c>
      <c r="E297" s="122">
        <v>1.9722222222222221</v>
      </c>
      <c r="F297" s="112" t="s">
        <v>28</v>
      </c>
      <c r="G297" s="114">
        <v>1</v>
      </c>
      <c r="H297" s="115" t="s">
        <v>349</v>
      </c>
    </row>
    <row r="298" spans="1:8" ht="19.899999999999999" customHeight="1">
      <c r="A298" s="121">
        <v>46043</v>
      </c>
      <c r="B298" s="112" t="s">
        <v>359</v>
      </c>
      <c r="C298" s="113" t="s">
        <v>1065</v>
      </c>
      <c r="D298" s="112" t="s">
        <v>1040</v>
      </c>
      <c r="E298" s="122">
        <v>1.7847222222222221</v>
      </c>
      <c r="F298" s="112" t="s">
        <v>361</v>
      </c>
      <c r="G298" s="114">
        <v>9</v>
      </c>
      <c r="H298" s="115" t="s">
        <v>1100</v>
      </c>
    </row>
    <row r="299" spans="1:8" ht="19.899999999999999" customHeight="1">
      <c r="A299" s="121">
        <v>46043</v>
      </c>
      <c r="B299" s="112" t="s">
        <v>68</v>
      </c>
      <c r="C299" s="113" t="s">
        <v>1052</v>
      </c>
      <c r="D299" s="112" t="s">
        <v>1040</v>
      </c>
      <c r="E299" s="122">
        <v>1.336805555555556</v>
      </c>
      <c r="F299" s="112" t="s">
        <v>643</v>
      </c>
      <c r="G299" s="114">
        <v>9</v>
      </c>
      <c r="H299" s="115" t="s">
        <v>1053</v>
      </c>
    </row>
    <row r="300" spans="1:8" ht="19.899999999999999" customHeight="1">
      <c r="A300" s="121">
        <v>46043</v>
      </c>
      <c r="B300" s="112" t="s">
        <v>68</v>
      </c>
      <c r="C300" s="113" t="s">
        <v>1054</v>
      </c>
      <c r="D300" s="112" t="s">
        <v>1040</v>
      </c>
      <c r="E300" s="122">
        <v>1.979166666666667</v>
      </c>
      <c r="F300" s="112" t="s">
        <v>643</v>
      </c>
      <c r="G300" s="114">
        <v>9</v>
      </c>
      <c r="H300" s="115" t="s">
        <v>1053</v>
      </c>
    </row>
    <row r="301" spans="1:8" ht="19.899999999999999" customHeight="1">
      <c r="A301" s="121">
        <v>46043</v>
      </c>
      <c r="B301" s="112" t="s">
        <v>68</v>
      </c>
      <c r="C301" s="113" t="s">
        <v>1056</v>
      </c>
      <c r="D301" s="112" t="s">
        <v>1040</v>
      </c>
      <c r="E301" s="122">
        <v>1.6736111111111109</v>
      </c>
      <c r="F301" s="112" t="s">
        <v>643</v>
      </c>
      <c r="G301" s="114">
        <v>9</v>
      </c>
      <c r="H301" s="115" t="s">
        <v>1053</v>
      </c>
    </row>
    <row r="302" spans="1:8" ht="19.899999999999999" customHeight="1">
      <c r="A302" s="121">
        <v>46043</v>
      </c>
      <c r="B302" s="112" t="s">
        <v>402</v>
      </c>
      <c r="C302" s="113" t="s">
        <v>1064</v>
      </c>
      <c r="D302" s="112" t="s">
        <v>1040</v>
      </c>
      <c r="E302" s="122">
        <v>1.694444444444444</v>
      </c>
      <c r="F302" s="112" t="s">
        <v>63</v>
      </c>
      <c r="G302" s="114">
        <v>6</v>
      </c>
      <c r="H302" s="115" t="s">
        <v>1058</v>
      </c>
    </row>
    <row r="303" spans="1:8" ht="19.899999999999999" customHeight="1">
      <c r="A303" s="121">
        <v>46043</v>
      </c>
      <c r="B303" s="112" t="s">
        <v>26</v>
      </c>
      <c r="C303" s="113" t="s">
        <v>1049</v>
      </c>
      <c r="D303" s="112" t="s">
        <v>1040</v>
      </c>
      <c r="E303" s="122">
        <v>1.9722222222222221</v>
      </c>
      <c r="F303" s="112" t="s">
        <v>31</v>
      </c>
      <c r="G303" s="114">
        <v>1</v>
      </c>
      <c r="H303" s="115" t="s">
        <v>35</v>
      </c>
    </row>
    <row r="304" spans="1:8" ht="19.899999999999999" customHeight="1">
      <c r="A304" s="121">
        <v>46043</v>
      </c>
      <c r="B304" s="112" t="s">
        <v>38</v>
      </c>
      <c r="C304" s="113" t="s">
        <v>1041</v>
      </c>
      <c r="D304" s="112" t="s">
        <v>1040</v>
      </c>
      <c r="E304" s="122">
        <v>1.447916666666667</v>
      </c>
      <c r="F304" s="112" t="s">
        <v>43</v>
      </c>
      <c r="G304" s="114">
        <v>10</v>
      </c>
      <c r="H304" s="115" t="s">
        <v>162</v>
      </c>
    </row>
    <row r="305" spans="1:8" ht="19.899999999999999" customHeight="1">
      <c r="A305" s="121">
        <v>46043</v>
      </c>
      <c r="B305" s="112" t="s">
        <v>26</v>
      </c>
      <c r="C305" s="113" t="s">
        <v>1049</v>
      </c>
      <c r="D305" s="112" t="s">
        <v>1040</v>
      </c>
      <c r="E305" s="122">
        <v>1.9722222222222221</v>
      </c>
      <c r="F305" s="112" t="s">
        <v>34</v>
      </c>
      <c r="G305" s="114">
        <v>1</v>
      </c>
      <c r="H305" s="115" t="s">
        <v>503</v>
      </c>
    </row>
    <row r="306" spans="1:8" ht="19.899999999999999" customHeight="1">
      <c r="A306" s="121">
        <v>46043</v>
      </c>
      <c r="B306" s="112" t="s">
        <v>359</v>
      </c>
      <c r="C306" s="113" t="s">
        <v>1065</v>
      </c>
      <c r="D306" s="112" t="s">
        <v>1040</v>
      </c>
      <c r="E306" s="122">
        <v>1.7847222222222221</v>
      </c>
      <c r="F306" s="112" t="s">
        <v>46</v>
      </c>
      <c r="G306" s="114">
        <v>9</v>
      </c>
      <c r="H306" s="115" t="s">
        <v>1101</v>
      </c>
    </row>
    <row r="307" spans="1:8" ht="19.899999999999999" customHeight="1">
      <c r="A307" s="121">
        <v>46043</v>
      </c>
      <c r="B307" s="112" t="s">
        <v>38</v>
      </c>
      <c r="C307" s="113" t="s">
        <v>1041</v>
      </c>
      <c r="D307" s="112" t="s">
        <v>1040</v>
      </c>
      <c r="E307" s="122">
        <v>1.447916666666667</v>
      </c>
      <c r="F307" s="112" t="s">
        <v>46</v>
      </c>
      <c r="G307" s="114">
        <v>10</v>
      </c>
      <c r="H307" s="115" t="s">
        <v>106</v>
      </c>
    </row>
    <row r="308" spans="1:8" ht="19.899999999999999" customHeight="1">
      <c r="A308" s="123">
        <v>46043</v>
      </c>
      <c r="B308" s="124" t="s">
        <v>48</v>
      </c>
      <c r="C308" s="125" t="s">
        <v>1060</v>
      </c>
      <c r="D308" s="124" t="s">
        <v>1040</v>
      </c>
      <c r="E308" s="126">
        <v>1.447916666666667</v>
      </c>
      <c r="F308" s="124" t="s">
        <v>53</v>
      </c>
      <c r="G308" s="127">
        <v>4</v>
      </c>
      <c r="H308" s="128" t="s">
        <v>946</v>
      </c>
    </row>
    <row r="309" spans="1:8" ht="19.899999999999999" customHeight="1">
      <c r="A309" s="121">
        <v>46044</v>
      </c>
      <c r="B309" s="112" t="s">
        <v>38</v>
      </c>
      <c r="C309" s="113" t="s">
        <v>1041</v>
      </c>
      <c r="D309" s="112" t="s">
        <v>1040</v>
      </c>
      <c r="E309" s="122">
        <v>1.447916666666667</v>
      </c>
      <c r="F309" s="112" t="s">
        <v>40</v>
      </c>
      <c r="G309" s="114">
        <v>10</v>
      </c>
      <c r="H309" s="115" t="s">
        <v>83</v>
      </c>
    </row>
    <row r="310" spans="1:8" ht="19.899999999999999" customHeight="1">
      <c r="A310" s="121">
        <v>46044</v>
      </c>
      <c r="B310" s="112" t="s">
        <v>26</v>
      </c>
      <c r="C310" s="113" t="s">
        <v>1047</v>
      </c>
      <c r="D310" s="112" t="s">
        <v>1040</v>
      </c>
      <c r="E310" s="122">
        <v>1.336805555555556</v>
      </c>
      <c r="F310" s="112" t="s">
        <v>28</v>
      </c>
      <c r="G310" s="114">
        <v>4</v>
      </c>
      <c r="H310" s="115" t="s">
        <v>349</v>
      </c>
    </row>
    <row r="311" spans="1:8" ht="19.899999999999999" customHeight="1">
      <c r="A311" s="121">
        <v>46044</v>
      </c>
      <c r="B311" s="112" t="s">
        <v>415</v>
      </c>
      <c r="C311" s="113" t="s">
        <v>1050</v>
      </c>
      <c r="D311" s="112" t="s">
        <v>1040</v>
      </c>
      <c r="E311" s="122">
        <v>1.756944444444444</v>
      </c>
      <c r="F311" s="112" t="s">
        <v>63</v>
      </c>
      <c r="G311" s="114">
        <v>7</v>
      </c>
      <c r="H311" s="115" t="s">
        <v>1051</v>
      </c>
    </row>
    <row r="312" spans="1:8" ht="19.899999999999999" customHeight="1">
      <c r="A312" s="121">
        <v>46044</v>
      </c>
      <c r="B312" s="112" t="s">
        <v>26</v>
      </c>
      <c r="C312" s="113" t="s">
        <v>1049</v>
      </c>
      <c r="D312" s="112" t="s">
        <v>1040</v>
      </c>
      <c r="E312" s="122">
        <v>1.9722222222222221</v>
      </c>
      <c r="F312" s="112" t="s">
        <v>28</v>
      </c>
      <c r="G312" s="114">
        <v>2</v>
      </c>
      <c r="H312" s="115" t="s">
        <v>426</v>
      </c>
    </row>
    <row r="313" spans="1:8" ht="19.899999999999999" customHeight="1">
      <c r="A313" s="129">
        <v>46044</v>
      </c>
      <c r="B313" s="117" t="s">
        <v>61</v>
      </c>
      <c r="C313" s="118" t="s">
        <v>1043</v>
      </c>
      <c r="D313" s="117" t="s">
        <v>1040</v>
      </c>
      <c r="E313" s="130">
        <v>1.7222222222222221</v>
      </c>
      <c r="F313" s="117" t="s">
        <v>63</v>
      </c>
      <c r="G313" s="119">
        <v>9</v>
      </c>
      <c r="H313" s="120" t="s">
        <v>1068</v>
      </c>
    </row>
    <row r="314" spans="1:8" ht="19.899999999999999" customHeight="1">
      <c r="A314" s="121">
        <v>46044</v>
      </c>
      <c r="B314" s="112" t="s">
        <v>68</v>
      </c>
      <c r="C314" s="113" t="s">
        <v>1052</v>
      </c>
      <c r="D314" s="112" t="s">
        <v>1040</v>
      </c>
      <c r="E314" s="122">
        <v>1.336805555555556</v>
      </c>
      <c r="F314" s="112" t="s">
        <v>643</v>
      </c>
      <c r="G314" s="114">
        <v>9</v>
      </c>
      <c r="H314" s="115" t="s">
        <v>1053</v>
      </c>
    </row>
    <row r="315" spans="1:8" ht="19.899999999999999" customHeight="1">
      <c r="A315" s="121">
        <v>46044</v>
      </c>
      <c r="B315" s="112" t="s">
        <v>402</v>
      </c>
      <c r="C315" s="113" t="s">
        <v>1057</v>
      </c>
      <c r="D315" s="112" t="s">
        <v>1040</v>
      </c>
      <c r="E315" s="122">
        <v>1.756944444444444</v>
      </c>
      <c r="F315" s="112" t="s">
        <v>63</v>
      </c>
      <c r="G315" s="114">
        <v>2</v>
      </c>
      <c r="H315" s="115" t="s">
        <v>1058</v>
      </c>
    </row>
    <row r="316" spans="1:8" ht="19.899999999999999" customHeight="1">
      <c r="A316" s="121">
        <v>46044</v>
      </c>
      <c r="B316" s="112" t="s">
        <v>402</v>
      </c>
      <c r="C316" s="113" t="s">
        <v>1059</v>
      </c>
      <c r="D316" s="112" t="s">
        <v>1040</v>
      </c>
      <c r="E316" s="122">
        <v>1.3611111111111109</v>
      </c>
      <c r="F316" s="112" t="s">
        <v>63</v>
      </c>
      <c r="G316" s="114">
        <v>6</v>
      </c>
      <c r="H316" s="115" t="s">
        <v>1058</v>
      </c>
    </row>
    <row r="317" spans="1:8" ht="19.899999999999999" customHeight="1">
      <c r="A317" s="121">
        <v>46044</v>
      </c>
      <c r="B317" s="112" t="s">
        <v>26</v>
      </c>
      <c r="C317" s="113" t="s">
        <v>1047</v>
      </c>
      <c r="D317" s="112" t="s">
        <v>1040</v>
      </c>
      <c r="E317" s="122">
        <v>1.336805555555556</v>
      </c>
      <c r="F317" s="112" t="s">
        <v>31</v>
      </c>
      <c r="G317" s="114">
        <v>4</v>
      </c>
      <c r="H317" s="115" t="s">
        <v>35</v>
      </c>
    </row>
    <row r="318" spans="1:8" ht="19.899999999999999" customHeight="1">
      <c r="A318" s="121">
        <v>46044</v>
      </c>
      <c r="B318" s="112" t="s">
        <v>68</v>
      </c>
      <c r="C318" s="113" t="s">
        <v>1056</v>
      </c>
      <c r="D318" s="112" t="s">
        <v>1040</v>
      </c>
      <c r="E318" s="122">
        <v>1.6736111111111109</v>
      </c>
      <c r="F318" s="112" t="s">
        <v>70</v>
      </c>
      <c r="G318" s="114">
        <v>9</v>
      </c>
      <c r="H318" s="115" t="s">
        <v>1055</v>
      </c>
    </row>
    <row r="319" spans="1:8" ht="19.899999999999999" customHeight="1">
      <c r="A319" s="121">
        <v>46044</v>
      </c>
      <c r="B319" s="112" t="s">
        <v>38</v>
      </c>
      <c r="C319" s="113" t="s">
        <v>1041</v>
      </c>
      <c r="D319" s="112" t="s">
        <v>1040</v>
      </c>
      <c r="E319" s="122">
        <v>1.447916666666667</v>
      </c>
      <c r="F319" s="112" t="s">
        <v>43</v>
      </c>
      <c r="G319" s="114">
        <v>10</v>
      </c>
      <c r="H319" s="115" t="s">
        <v>162</v>
      </c>
    </row>
    <row r="320" spans="1:8" ht="19.899999999999999" customHeight="1">
      <c r="A320" s="121">
        <v>46044</v>
      </c>
      <c r="B320" s="112" t="s">
        <v>26</v>
      </c>
      <c r="C320" s="113" t="s">
        <v>1049</v>
      </c>
      <c r="D320" s="112" t="s">
        <v>1040</v>
      </c>
      <c r="E320" s="122">
        <v>1.9722222222222221</v>
      </c>
      <c r="F320" s="112" t="s">
        <v>31</v>
      </c>
      <c r="G320" s="114">
        <v>2</v>
      </c>
      <c r="H320" s="115" t="s">
        <v>150</v>
      </c>
    </row>
    <row r="321" spans="1:8" ht="19.899999999999999" customHeight="1">
      <c r="A321" s="121">
        <v>46044</v>
      </c>
      <c r="B321" s="112" t="s">
        <v>68</v>
      </c>
      <c r="C321" s="113" t="s">
        <v>1054</v>
      </c>
      <c r="D321" s="112" t="s">
        <v>1040</v>
      </c>
      <c r="E321" s="122">
        <v>1.979166666666667</v>
      </c>
      <c r="F321" s="112" t="s">
        <v>70</v>
      </c>
      <c r="G321" s="114">
        <v>9</v>
      </c>
      <c r="H321" s="115" t="s">
        <v>1001</v>
      </c>
    </row>
    <row r="322" spans="1:8" ht="19.899999999999999" customHeight="1">
      <c r="A322" s="121">
        <v>46044</v>
      </c>
      <c r="B322" s="112" t="s">
        <v>26</v>
      </c>
      <c r="C322" s="113" t="s">
        <v>1047</v>
      </c>
      <c r="D322" s="112" t="s">
        <v>1040</v>
      </c>
      <c r="E322" s="122">
        <v>1.336805555555556</v>
      </c>
      <c r="F322" s="112" t="s">
        <v>34</v>
      </c>
      <c r="G322" s="114">
        <v>4</v>
      </c>
      <c r="H322" s="115" t="s">
        <v>503</v>
      </c>
    </row>
    <row r="323" spans="1:8" ht="19.899999999999999" customHeight="1">
      <c r="A323" s="121">
        <v>46044</v>
      </c>
      <c r="B323" s="112" t="s">
        <v>26</v>
      </c>
      <c r="C323" s="113" t="s">
        <v>1049</v>
      </c>
      <c r="D323" s="112" t="s">
        <v>1040</v>
      </c>
      <c r="E323" s="122">
        <v>1.9722222222222221</v>
      </c>
      <c r="F323" s="112" t="s">
        <v>34</v>
      </c>
      <c r="G323" s="114">
        <v>2</v>
      </c>
      <c r="H323" s="115" t="s">
        <v>178</v>
      </c>
    </row>
    <row r="324" spans="1:8" ht="19.899999999999999" customHeight="1">
      <c r="A324" s="121">
        <v>46044</v>
      </c>
      <c r="B324" s="112" t="s">
        <v>38</v>
      </c>
      <c r="C324" s="113" t="s">
        <v>1041</v>
      </c>
      <c r="D324" s="112" t="s">
        <v>1040</v>
      </c>
      <c r="E324" s="122">
        <v>1.447916666666667</v>
      </c>
      <c r="F324" s="112" t="s">
        <v>46</v>
      </c>
      <c r="G324" s="114">
        <v>10</v>
      </c>
      <c r="H324" s="115" t="s">
        <v>106</v>
      </c>
    </row>
    <row r="325" spans="1:8" ht="19.899999999999999" customHeight="1">
      <c r="A325" s="123">
        <v>46044</v>
      </c>
      <c r="B325" s="124" t="s">
        <v>48</v>
      </c>
      <c r="C325" s="125" t="s">
        <v>1060</v>
      </c>
      <c r="D325" s="124" t="s">
        <v>1040</v>
      </c>
      <c r="E325" s="126">
        <v>1.447916666666667</v>
      </c>
      <c r="F325" s="124" t="s">
        <v>53</v>
      </c>
      <c r="G325" s="127">
        <v>4</v>
      </c>
      <c r="H325" s="128" t="s">
        <v>946</v>
      </c>
    </row>
    <row r="326" spans="1:8" ht="19.899999999999999" customHeight="1">
      <c r="A326" s="121">
        <v>46045</v>
      </c>
      <c r="B326" s="112" t="s">
        <v>38</v>
      </c>
      <c r="C326" s="113" t="s">
        <v>1041</v>
      </c>
      <c r="D326" s="112" t="s">
        <v>1040</v>
      </c>
      <c r="E326" s="122">
        <v>1.447916666666667</v>
      </c>
      <c r="F326" s="112" t="s">
        <v>40</v>
      </c>
      <c r="G326" s="114">
        <v>10</v>
      </c>
      <c r="H326" s="115" t="s">
        <v>83</v>
      </c>
    </row>
    <row r="327" spans="1:8" ht="19.899999999999999" customHeight="1">
      <c r="A327" s="121">
        <v>46045</v>
      </c>
      <c r="B327" s="112" t="s">
        <v>415</v>
      </c>
      <c r="C327" s="113" t="s">
        <v>1062</v>
      </c>
      <c r="D327" s="112" t="s">
        <v>1040</v>
      </c>
      <c r="E327" s="122">
        <v>1.006944444444444</v>
      </c>
      <c r="F327" s="112" t="s">
        <v>63</v>
      </c>
      <c r="G327" s="114">
        <v>2</v>
      </c>
      <c r="H327" s="115" t="s">
        <v>1051</v>
      </c>
    </row>
    <row r="328" spans="1:8" ht="19.899999999999999" customHeight="1">
      <c r="A328" s="121">
        <v>46045</v>
      </c>
      <c r="B328" s="112" t="s">
        <v>26</v>
      </c>
      <c r="C328" s="113" t="s">
        <v>1049</v>
      </c>
      <c r="D328" s="112" t="s">
        <v>1040</v>
      </c>
      <c r="E328" s="122">
        <v>1.9722222222222221</v>
      </c>
      <c r="F328" s="112" t="s">
        <v>28</v>
      </c>
      <c r="G328" s="114">
        <v>4</v>
      </c>
      <c r="H328" s="115" t="s">
        <v>426</v>
      </c>
    </row>
    <row r="329" spans="1:8" ht="19.899999999999999" customHeight="1">
      <c r="A329" s="121">
        <v>46045</v>
      </c>
      <c r="B329" s="112" t="s">
        <v>68</v>
      </c>
      <c r="C329" s="113" t="s">
        <v>1052</v>
      </c>
      <c r="D329" s="112" t="s">
        <v>1040</v>
      </c>
      <c r="E329" s="122">
        <v>1.336805555555556</v>
      </c>
      <c r="F329" s="112" t="s">
        <v>643</v>
      </c>
      <c r="G329" s="114">
        <v>9</v>
      </c>
      <c r="H329" s="115" t="s">
        <v>830</v>
      </c>
    </row>
    <row r="330" spans="1:8" ht="19.899999999999999" customHeight="1">
      <c r="A330" s="129">
        <v>46045</v>
      </c>
      <c r="B330" s="117" t="s">
        <v>61</v>
      </c>
      <c r="C330" s="118" t="s">
        <v>1043</v>
      </c>
      <c r="D330" s="117" t="s">
        <v>1040</v>
      </c>
      <c r="E330" s="130">
        <v>1.381944444444444</v>
      </c>
      <c r="F330" s="117" t="s">
        <v>63</v>
      </c>
      <c r="G330" s="119">
        <v>1</v>
      </c>
      <c r="H330" s="120" t="s">
        <v>138</v>
      </c>
    </row>
    <row r="331" spans="1:8" ht="19.899999999999999" customHeight="1">
      <c r="A331" s="121">
        <v>46045</v>
      </c>
      <c r="B331" s="112" t="s">
        <v>402</v>
      </c>
      <c r="C331" s="113" t="s">
        <v>1064</v>
      </c>
      <c r="D331" s="112" t="s">
        <v>1040</v>
      </c>
      <c r="E331" s="122">
        <v>1.756944444444444</v>
      </c>
      <c r="F331" s="112" t="s">
        <v>63</v>
      </c>
      <c r="G331" s="114">
        <v>5</v>
      </c>
      <c r="H331" s="115" t="s">
        <v>1058</v>
      </c>
    </row>
    <row r="332" spans="1:8" ht="19.899999999999999" customHeight="1">
      <c r="A332" s="121">
        <v>46045</v>
      </c>
      <c r="B332" s="112" t="s">
        <v>68</v>
      </c>
      <c r="C332" s="113" t="s">
        <v>1054</v>
      </c>
      <c r="D332" s="112" t="s">
        <v>1040</v>
      </c>
      <c r="E332" s="122">
        <v>1.979166666666667</v>
      </c>
      <c r="F332" s="112" t="s">
        <v>70</v>
      </c>
      <c r="G332" s="114">
        <v>9</v>
      </c>
      <c r="H332" s="115" t="s">
        <v>1055</v>
      </c>
    </row>
    <row r="333" spans="1:8" ht="19.899999999999999" customHeight="1">
      <c r="A333" s="121">
        <v>46045</v>
      </c>
      <c r="B333" s="112" t="s">
        <v>38</v>
      </c>
      <c r="C333" s="113" t="s">
        <v>1041</v>
      </c>
      <c r="D333" s="112" t="s">
        <v>1040</v>
      </c>
      <c r="E333" s="122">
        <v>1.447916666666667</v>
      </c>
      <c r="F333" s="112" t="s">
        <v>43</v>
      </c>
      <c r="G333" s="114">
        <v>10</v>
      </c>
      <c r="H333" s="115" t="s">
        <v>162</v>
      </c>
    </row>
    <row r="334" spans="1:8" ht="19.899999999999999" customHeight="1">
      <c r="A334" s="121">
        <v>46045</v>
      </c>
      <c r="B334" s="112" t="s">
        <v>26</v>
      </c>
      <c r="C334" s="113" t="s">
        <v>1049</v>
      </c>
      <c r="D334" s="112" t="s">
        <v>1040</v>
      </c>
      <c r="E334" s="122">
        <v>1.9722222222222221</v>
      </c>
      <c r="F334" s="112" t="s">
        <v>31</v>
      </c>
      <c r="G334" s="114">
        <v>4</v>
      </c>
      <c r="H334" s="115" t="s">
        <v>150</v>
      </c>
    </row>
    <row r="335" spans="1:8" ht="19.899999999999999" customHeight="1">
      <c r="A335" s="121">
        <v>46045</v>
      </c>
      <c r="B335" s="112" t="s">
        <v>26</v>
      </c>
      <c r="C335" s="113" t="s">
        <v>1049</v>
      </c>
      <c r="D335" s="112" t="s">
        <v>1040</v>
      </c>
      <c r="E335" s="122">
        <v>1.9722222222222221</v>
      </c>
      <c r="F335" s="112" t="s">
        <v>34</v>
      </c>
      <c r="G335" s="114">
        <v>4</v>
      </c>
      <c r="H335" s="115" t="s">
        <v>178</v>
      </c>
    </row>
    <row r="336" spans="1:8" ht="19.899999999999999" customHeight="1">
      <c r="A336" s="121">
        <v>46045</v>
      </c>
      <c r="B336" s="112" t="s">
        <v>68</v>
      </c>
      <c r="C336" s="113" t="s">
        <v>1056</v>
      </c>
      <c r="D336" s="112" t="s">
        <v>1040</v>
      </c>
      <c r="E336" s="122">
        <v>1.6736111111111109</v>
      </c>
      <c r="F336" s="112" t="s">
        <v>70</v>
      </c>
      <c r="G336" s="114">
        <v>9</v>
      </c>
      <c r="H336" s="115" t="s">
        <v>1063</v>
      </c>
    </row>
    <row r="337" spans="1:8" ht="19.899999999999999" customHeight="1">
      <c r="A337" s="121">
        <v>46045</v>
      </c>
      <c r="B337" s="112" t="s">
        <v>38</v>
      </c>
      <c r="C337" s="113" t="s">
        <v>1041</v>
      </c>
      <c r="D337" s="112" t="s">
        <v>1040</v>
      </c>
      <c r="E337" s="122">
        <v>1.447916666666667</v>
      </c>
      <c r="F337" s="112" t="s">
        <v>46</v>
      </c>
      <c r="G337" s="114">
        <v>10</v>
      </c>
      <c r="H337" s="115" t="s">
        <v>106</v>
      </c>
    </row>
    <row r="338" spans="1:8" ht="19.899999999999999" customHeight="1">
      <c r="A338" s="123">
        <v>46045</v>
      </c>
      <c r="B338" s="124" t="s">
        <v>48</v>
      </c>
      <c r="C338" s="125" t="s">
        <v>1060</v>
      </c>
      <c r="D338" s="124" t="s">
        <v>1040</v>
      </c>
      <c r="E338" s="126">
        <v>1.447916666666667</v>
      </c>
      <c r="F338" s="124" t="s">
        <v>53</v>
      </c>
      <c r="G338" s="127">
        <v>4</v>
      </c>
      <c r="H338" s="128" t="s">
        <v>946</v>
      </c>
    </row>
    <row r="339" spans="1:8" ht="19.899999999999999" customHeight="1">
      <c r="A339" s="121">
        <v>46046</v>
      </c>
      <c r="B339" s="112" t="s">
        <v>38</v>
      </c>
      <c r="C339" s="113" t="s">
        <v>1041</v>
      </c>
      <c r="D339" s="112" t="s">
        <v>1040</v>
      </c>
      <c r="E339" s="122">
        <v>1.447916666666667</v>
      </c>
      <c r="F339" s="112" t="s">
        <v>40</v>
      </c>
      <c r="G339" s="114">
        <v>10</v>
      </c>
      <c r="H339" s="115" t="s">
        <v>83</v>
      </c>
    </row>
    <row r="340" spans="1:8" ht="19.899999999999999" customHeight="1">
      <c r="A340" s="121">
        <v>46046</v>
      </c>
      <c r="B340" s="112" t="s">
        <v>26</v>
      </c>
      <c r="C340" s="113" t="s">
        <v>1047</v>
      </c>
      <c r="D340" s="112" t="s">
        <v>1040</v>
      </c>
      <c r="E340" s="122">
        <v>1.336805555555556</v>
      </c>
      <c r="F340" s="112" t="s">
        <v>28</v>
      </c>
      <c r="G340" s="114">
        <v>3</v>
      </c>
      <c r="H340" s="115" t="s">
        <v>349</v>
      </c>
    </row>
    <row r="341" spans="1:8" ht="19.899999999999999" customHeight="1">
      <c r="A341" s="121">
        <v>46046</v>
      </c>
      <c r="B341" s="112" t="s">
        <v>26</v>
      </c>
      <c r="C341" s="113" t="s">
        <v>1049</v>
      </c>
      <c r="D341" s="112" t="s">
        <v>1040</v>
      </c>
      <c r="E341" s="122">
        <v>1.9722222222222221</v>
      </c>
      <c r="F341" s="112" t="s">
        <v>28</v>
      </c>
      <c r="G341" s="114">
        <v>3</v>
      </c>
      <c r="H341" s="115" t="s">
        <v>426</v>
      </c>
    </row>
    <row r="342" spans="1:8" ht="19.899999999999999" customHeight="1">
      <c r="A342" s="129">
        <v>46046</v>
      </c>
      <c r="B342" s="117" t="s">
        <v>61</v>
      </c>
      <c r="C342" s="118" t="s">
        <v>1043</v>
      </c>
      <c r="D342" s="117" t="s">
        <v>1040</v>
      </c>
      <c r="E342" s="130">
        <v>1.7222222222222221</v>
      </c>
      <c r="F342" s="117" t="s">
        <v>63</v>
      </c>
      <c r="G342" s="119">
        <v>2</v>
      </c>
      <c r="H342" s="120" t="s">
        <v>1068</v>
      </c>
    </row>
    <row r="343" spans="1:8" ht="19.899999999999999" customHeight="1">
      <c r="A343" s="121">
        <v>46046</v>
      </c>
      <c r="B343" s="112" t="s">
        <v>415</v>
      </c>
      <c r="C343" s="113" t="s">
        <v>1050</v>
      </c>
      <c r="D343" s="112" t="s">
        <v>1040</v>
      </c>
      <c r="E343" s="122">
        <v>1.3402777777777779</v>
      </c>
      <c r="F343" s="112" t="s">
        <v>63</v>
      </c>
      <c r="G343" s="114">
        <v>7</v>
      </c>
      <c r="H343" s="115" t="s">
        <v>133</v>
      </c>
    </row>
    <row r="344" spans="1:8" ht="19.899999999999999" customHeight="1">
      <c r="A344" s="121">
        <v>46046</v>
      </c>
      <c r="B344" s="112" t="s">
        <v>359</v>
      </c>
      <c r="C344" s="113" t="s">
        <v>1065</v>
      </c>
      <c r="D344" s="112" t="s">
        <v>1040</v>
      </c>
      <c r="E344" s="122">
        <v>1.7847222222222221</v>
      </c>
      <c r="F344" s="112" t="s">
        <v>361</v>
      </c>
      <c r="G344" s="114">
        <v>9</v>
      </c>
      <c r="H344" s="115" t="s">
        <v>1080</v>
      </c>
    </row>
    <row r="345" spans="1:8" ht="19.899999999999999" customHeight="1">
      <c r="A345" s="121">
        <v>46046</v>
      </c>
      <c r="B345" s="112" t="s">
        <v>402</v>
      </c>
      <c r="C345" s="113" t="s">
        <v>1057</v>
      </c>
      <c r="D345" s="112" t="s">
        <v>1040</v>
      </c>
      <c r="E345" s="122">
        <v>1.694444444444444</v>
      </c>
      <c r="F345" s="112" t="s">
        <v>63</v>
      </c>
      <c r="G345" s="114">
        <v>3</v>
      </c>
      <c r="H345" s="115" t="s">
        <v>1058</v>
      </c>
    </row>
    <row r="346" spans="1:8" ht="19.899999999999999" customHeight="1">
      <c r="A346" s="121">
        <v>46046</v>
      </c>
      <c r="B346" s="112" t="s">
        <v>26</v>
      </c>
      <c r="C346" s="113" t="s">
        <v>1047</v>
      </c>
      <c r="D346" s="112" t="s">
        <v>1040</v>
      </c>
      <c r="E346" s="122">
        <v>1.336805555555556</v>
      </c>
      <c r="F346" s="112" t="s">
        <v>31</v>
      </c>
      <c r="G346" s="114">
        <v>3</v>
      </c>
      <c r="H346" s="115" t="s">
        <v>35</v>
      </c>
    </row>
    <row r="347" spans="1:8" ht="19.899999999999999" customHeight="1">
      <c r="A347" s="121">
        <v>46046</v>
      </c>
      <c r="B347" s="112" t="s">
        <v>68</v>
      </c>
      <c r="C347" s="113" t="s">
        <v>1052</v>
      </c>
      <c r="D347" s="112" t="s">
        <v>1040</v>
      </c>
      <c r="E347" s="122">
        <v>1.336805555555556</v>
      </c>
      <c r="F347" s="112" t="s">
        <v>70</v>
      </c>
      <c r="G347" s="114">
        <v>9</v>
      </c>
      <c r="H347" s="115" t="s">
        <v>1055</v>
      </c>
    </row>
    <row r="348" spans="1:8" ht="19.899999999999999" customHeight="1">
      <c r="A348" s="121">
        <v>46046</v>
      </c>
      <c r="B348" s="112" t="s">
        <v>68</v>
      </c>
      <c r="C348" s="113" t="s">
        <v>1054</v>
      </c>
      <c r="D348" s="112" t="s">
        <v>1040</v>
      </c>
      <c r="E348" s="122">
        <v>1.979166666666667</v>
      </c>
      <c r="F348" s="112" t="s">
        <v>70</v>
      </c>
      <c r="G348" s="114">
        <v>9</v>
      </c>
      <c r="H348" s="115" t="s">
        <v>1055</v>
      </c>
    </row>
    <row r="349" spans="1:8" ht="19.899999999999999" customHeight="1">
      <c r="A349" s="121">
        <v>46046</v>
      </c>
      <c r="B349" s="112" t="s">
        <v>68</v>
      </c>
      <c r="C349" s="113" t="s">
        <v>1056</v>
      </c>
      <c r="D349" s="112" t="s">
        <v>1040</v>
      </c>
      <c r="E349" s="122">
        <v>1.6736111111111109</v>
      </c>
      <c r="F349" s="112" t="s">
        <v>70</v>
      </c>
      <c r="G349" s="114">
        <v>9</v>
      </c>
      <c r="H349" s="115" t="s">
        <v>1055</v>
      </c>
    </row>
    <row r="350" spans="1:8" ht="19.899999999999999" customHeight="1">
      <c r="A350" s="121">
        <v>46046</v>
      </c>
      <c r="B350" s="112" t="s">
        <v>38</v>
      </c>
      <c r="C350" s="113" t="s">
        <v>1041</v>
      </c>
      <c r="D350" s="112" t="s">
        <v>1040</v>
      </c>
      <c r="E350" s="122">
        <v>1.447916666666667</v>
      </c>
      <c r="F350" s="112" t="s">
        <v>43</v>
      </c>
      <c r="G350" s="114">
        <v>10</v>
      </c>
      <c r="H350" s="115" t="s">
        <v>162</v>
      </c>
    </row>
    <row r="351" spans="1:8" ht="19.899999999999999" customHeight="1">
      <c r="A351" s="121">
        <v>46046</v>
      </c>
      <c r="B351" s="112" t="s">
        <v>26</v>
      </c>
      <c r="C351" s="113" t="s">
        <v>1049</v>
      </c>
      <c r="D351" s="112" t="s">
        <v>1040</v>
      </c>
      <c r="E351" s="122">
        <v>1.9722222222222221</v>
      </c>
      <c r="F351" s="112" t="s">
        <v>31</v>
      </c>
      <c r="G351" s="114">
        <v>3</v>
      </c>
      <c r="H351" s="115" t="s">
        <v>150</v>
      </c>
    </row>
    <row r="352" spans="1:8" ht="19.899999999999999" customHeight="1">
      <c r="A352" s="121">
        <v>46046</v>
      </c>
      <c r="B352" s="112" t="s">
        <v>26</v>
      </c>
      <c r="C352" s="113" t="s">
        <v>1047</v>
      </c>
      <c r="D352" s="112" t="s">
        <v>1040</v>
      </c>
      <c r="E352" s="122">
        <v>1.336805555555556</v>
      </c>
      <c r="F352" s="112" t="s">
        <v>34</v>
      </c>
      <c r="G352" s="114">
        <v>3</v>
      </c>
      <c r="H352" s="115" t="s">
        <v>503</v>
      </c>
    </row>
    <row r="353" spans="1:8" ht="19.899999999999999" customHeight="1">
      <c r="A353" s="121">
        <v>46046</v>
      </c>
      <c r="B353" s="112" t="s">
        <v>26</v>
      </c>
      <c r="C353" s="113" t="s">
        <v>1049</v>
      </c>
      <c r="D353" s="112" t="s">
        <v>1040</v>
      </c>
      <c r="E353" s="122">
        <v>1.9722222222222221</v>
      </c>
      <c r="F353" s="112" t="s">
        <v>34</v>
      </c>
      <c r="G353" s="114">
        <v>3</v>
      </c>
      <c r="H353" s="115" t="s">
        <v>178</v>
      </c>
    </row>
    <row r="354" spans="1:8" ht="19.899999999999999" customHeight="1">
      <c r="A354" s="121">
        <v>46046</v>
      </c>
      <c r="B354" s="112" t="s">
        <v>359</v>
      </c>
      <c r="C354" s="113" t="s">
        <v>1065</v>
      </c>
      <c r="D354" s="112" t="s">
        <v>1040</v>
      </c>
      <c r="E354" s="122">
        <v>1.7847222222222221</v>
      </c>
      <c r="F354" s="112" t="s">
        <v>46</v>
      </c>
      <c r="G354" s="114">
        <v>9</v>
      </c>
      <c r="H354" s="115" t="s">
        <v>1081</v>
      </c>
    </row>
    <row r="355" spans="1:8" ht="19.899999999999999" customHeight="1">
      <c r="A355" s="121">
        <v>46046</v>
      </c>
      <c r="B355" s="112" t="s">
        <v>38</v>
      </c>
      <c r="C355" s="113" t="s">
        <v>1041</v>
      </c>
      <c r="D355" s="112" t="s">
        <v>1040</v>
      </c>
      <c r="E355" s="122">
        <v>1.447916666666667</v>
      </c>
      <c r="F355" s="112" t="s">
        <v>46</v>
      </c>
      <c r="G355" s="114">
        <v>10</v>
      </c>
      <c r="H355" s="115" t="s">
        <v>106</v>
      </c>
    </row>
    <row r="356" spans="1:8" ht="19.899999999999999" customHeight="1">
      <c r="A356" s="123">
        <v>46046</v>
      </c>
      <c r="B356" s="124" t="s">
        <v>48</v>
      </c>
      <c r="C356" s="125" t="s">
        <v>1060</v>
      </c>
      <c r="D356" s="124" t="s">
        <v>1040</v>
      </c>
      <c r="E356" s="126">
        <v>1.447916666666667</v>
      </c>
      <c r="F356" s="124" t="s">
        <v>53</v>
      </c>
      <c r="G356" s="127">
        <v>4</v>
      </c>
      <c r="H356" s="128" t="s">
        <v>946</v>
      </c>
    </row>
    <row r="357" spans="1:8" ht="19.899999999999999" customHeight="1">
      <c r="A357" s="121">
        <v>46047</v>
      </c>
      <c r="B357" s="112" t="s">
        <v>38</v>
      </c>
      <c r="C357" s="113" t="s">
        <v>1041</v>
      </c>
      <c r="D357" s="112" t="s">
        <v>1040</v>
      </c>
      <c r="E357" s="122">
        <v>1.447916666666667</v>
      </c>
      <c r="F357" s="112" t="s">
        <v>40</v>
      </c>
      <c r="G357" s="114">
        <v>10</v>
      </c>
      <c r="H357" s="115" t="s">
        <v>83</v>
      </c>
    </row>
    <row r="358" spans="1:8" ht="19.899999999999999" customHeight="1">
      <c r="A358" s="121">
        <v>46047</v>
      </c>
      <c r="B358" s="112" t="s">
        <v>415</v>
      </c>
      <c r="C358" s="113" t="s">
        <v>1071</v>
      </c>
      <c r="D358" s="112" t="s">
        <v>1040</v>
      </c>
      <c r="E358" s="122">
        <v>1.9201388888888891</v>
      </c>
      <c r="F358" s="112" t="s">
        <v>63</v>
      </c>
      <c r="G358" s="114">
        <v>1</v>
      </c>
      <c r="H358" s="115" t="s">
        <v>1051</v>
      </c>
    </row>
    <row r="359" spans="1:8" ht="19.899999999999999" customHeight="1">
      <c r="A359" s="121">
        <v>46047</v>
      </c>
      <c r="B359" s="112" t="s">
        <v>26</v>
      </c>
      <c r="C359" s="113" t="s">
        <v>1049</v>
      </c>
      <c r="D359" s="112" t="s">
        <v>1040</v>
      </c>
      <c r="E359" s="122">
        <v>1.9722222222222221</v>
      </c>
      <c r="F359" s="112" t="s">
        <v>28</v>
      </c>
      <c r="G359" s="114">
        <v>3</v>
      </c>
      <c r="H359" s="115" t="s">
        <v>426</v>
      </c>
    </row>
    <row r="360" spans="1:8" ht="19.899999999999999" customHeight="1">
      <c r="A360" s="121">
        <v>46047</v>
      </c>
      <c r="B360" s="112" t="s">
        <v>415</v>
      </c>
      <c r="C360" s="113" t="s">
        <v>1062</v>
      </c>
      <c r="D360" s="112" t="s">
        <v>1040</v>
      </c>
      <c r="E360" s="122">
        <v>1.006944444444444</v>
      </c>
      <c r="F360" s="112" t="s">
        <v>63</v>
      </c>
      <c r="G360" s="114">
        <v>7</v>
      </c>
      <c r="H360" s="115" t="s">
        <v>133</v>
      </c>
    </row>
    <row r="361" spans="1:8" ht="19.899999999999999" customHeight="1">
      <c r="A361" s="121">
        <v>46047</v>
      </c>
      <c r="B361" s="112" t="s">
        <v>68</v>
      </c>
      <c r="C361" s="113" t="s">
        <v>1052</v>
      </c>
      <c r="D361" s="112" t="s">
        <v>1040</v>
      </c>
      <c r="E361" s="122">
        <v>1.336805555555556</v>
      </c>
      <c r="F361" s="112" t="s">
        <v>643</v>
      </c>
      <c r="G361" s="114">
        <v>9</v>
      </c>
      <c r="H361" s="115" t="s">
        <v>1053</v>
      </c>
    </row>
    <row r="362" spans="1:8" ht="19.899999999999999" customHeight="1">
      <c r="A362" s="121">
        <v>46047</v>
      </c>
      <c r="B362" s="112" t="s">
        <v>68</v>
      </c>
      <c r="C362" s="113" t="s">
        <v>1054</v>
      </c>
      <c r="D362" s="112" t="s">
        <v>1040</v>
      </c>
      <c r="E362" s="122">
        <v>1.979166666666667</v>
      </c>
      <c r="F362" s="112" t="s">
        <v>643</v>
      </c>
      <c r="G362" s="114">
        <v>9</v>
      </c>
      <c r="H362" s="115" t="s">
        <v>1053</v>
      </c>
    </row>
    <row r="363" spans="1:8" ht="19.899999999999999" customHeight="1">
      <c r="A363" s="121">
        <v>46047</v>
      </c>
      <c r="B363" s="112" t="s">
        <v>402</v>
      </c>
      <c r="C363" s="113" t="s">
        <v>1059</v>
      </c>
      <c r="D363" s="112" t="s">
        <v>1040</v>
      </c>
      <c r="E363" s="122">
        <v>1.756944444444444</v>
      </c>
      <c r="F363" s="112" t="s">
        <v>63</v>
      </c>
      <c r="G363" s="114">
        <v>5</v>
      </c>
      <c r="H363" s="115" t="s">
        <v>1058</v>
      </c>
    </row>
    <row r="364" spans="1:8" ht="19.899999999999999" customHeight="1">
      <c r="A364" s="121">
        <v>46047</v>
      </c>
      <c r="B364" s="112" t="s">
        <v>68</v>
      </c>
      <c r="C364" s="113" t="s">
        <v>1056</v>
      </c>
      <c r="D364" s="112" t="s">
        <v>1040</v>
      </c>
      <c r="E364" s="122">
        <v>1.6736111111111109</v>
      </c>
      <c r="F364" s="112" t="s">
        <v>70</v>
      </c>
      <c r="G364" s="114">
        <v>9</v>
      </c>
      <c r="H364" s="115" t="s">
        <v>1055</v>
      </c>
    </row>
    <row r="365" spans="1:8" ht="19.899999999999999" customHeight="1">
      <c r="A365" s="121">
        <v>46047</v>
      </c>
      <c r="B365" s="112" t="s">
        <v>38</v>
      </c>
      <c r="C365" s="113" t="s">
        <v>1041</v>
      </c>
      <c r="D365" s="112" t="s">
        <v>1040</v>
      </c>
      <c r="E365" s="122">
        <v>1.447916666666667</v>
      </c>
      <c r="F365" s="112" t="s">
        <v>43</v>
      </c>
      <c r="G365" s="114">
        <v>10</v>
      </c>
      <c r="H365" s="115" t="s">
        <v>162</v>
      </c>
    </row>
    <row r="366" spans="1:8" ht="19.899999999999999" customHeight="1">
      <c r="A366" s="121">
        <v>46047</v>
      </c>
      <c r="B366" s="112" t="s">
        <v>26</v>
      </c>
      <c r="C366" s="113" t="s">
        <v>1049</v>
      </c>
      <c r="D366" s="112" t="s">
        <v>1040</v>
      </c>
      <c r="E366" s="122">
        <v>1.9722222222222221</v>
      </c>
      <c r="F366" s="112" t="s">
        <v>31</v>
      </c>
      <c r="G366" s="114">
        <v>3</v>
      </c>
      <c r="H366" s="115" t="s">
        <v>150</v>
      </c>
    </row>
    <row r="367" spans="1:8" ht="19.899999999999999" customHeight="1">
      <c r="A367" s="121">
        <v>46047</v>
      </c>
      <c r="B367" s="112" t="s">
        <v>26</v>
      </c>
      <c r="C367" s="113" t="s">
        <v>1049</v>
      </c>
      <c r="D367" s="112" t="s">
        <v>1040</v>
      </c>
      <c r="E367" s="122">
        <v>1.9722222222222221</v>
      </c>
      <c r="F367" s="112" t="s">
        <v>34</v>
      </c>
      <c r="G367" s="114">
        <v>3</v>
      </c>
      <c r="H367" s="115" t="s">
        <v>178</v>
      </c>
    </row>
    <row r="368" spans="1:8" ht="19.899999999999999" customHeight="1">
      <c r="A368" s="121">
        <v>46047</v>
      </c>
      <c r="B368" s="112" t="s">
        <v>38</v>
      </c>
      <c r="C368" s="113" t="s">
        <v>1041</v>
      </c>
      <c r="D368" s="112" t="s">
        <v>1040</v>
      </c>
      <c r="E368" s="122">
        <v>1.447916666666667</v>
      </c>
      <c r="F368" s="112" t="s">
        <v>46</v>
      </c>
      <c r="G368" s="114">
        <v>10</v>
      </c>
      <c r="H368" s="115" t="s">
        <v>106</v>
      </c>
    </row>
    <row r="369" spans="1:8" ht="19.899999999999999" customHeight="1">
      <c r="A369" s="123">
        <v>46047</v>
      </c>
      <c r="B369" s="124" t="s">
        <v>48</v>
      </c>
      <c r="C369" s="125" t="s">
        <v>1060</v>
      </c>
      <c r="D369" s="124" t="s">
        <v>1040</v>
      </c>
      <c r="E369" s="126">
        <v>1.447916666666667</v>
      </c>
      <c r="F369" s="124" t="s">
        <v>53</v>
      </c>
      <c r="G369" s="127">
        <v>4</v>
      </c>
      <c r="H369" s="128" t="s">
        <v>946</v>
      </c>
    </row>
    <row r="370" spans="1:8" ht="19.899999999999999" customHeight="1">
      <c r="A370" s="121">
        <v>46048</v>
      </c>
      <c r="B370" s="112" t="s">
        <v>38</v>
      </c>
      <c r="C370" s="113" t="s">
        <v>1041</v>
      </c>
      <c r="D370" s="112" t="s">
        <v>1040</v>
      </c>
      <c r="E370" s="122">
        <v>1.447916666666667</v>
      </c>
      <c r="F370" s="112" t="s">
        <v>40</v>
      </c>
      <c r="G370" s="114">
        <v>10</v>
      </c>
      <c r="H370" s="115" t="s">
        <v>83</v>
      </c>
    </row>
    <row r="371" spans="1:8" ht="19.899999999999999" customHeight="1">
      <c r="A371" s="121">
        <v>46048</v>
      </c>
      <c r="B371" s="112" t="s">
        <v>26</v>
      </c>
      <c r="C371" s="113" t="s">
        <v>1049</v>
      </c>
      <c r="D371" s="112" t="s">
        <v>1040</v>
      </c>
      <c r="E371" s="122">
        <v>1.9722222222222221</v>
      </c>
      <c r="F371" s="112" t="s">
        <v>28</v>
      </c>
      <c r="G371" s="114">
        <v>4</v>
      </c>
      <c r="H371" s="115" t="s">
        <v>349</v>
      </c>
    </row>
    <row r="372" spans="1:8" ht="19.899999999999999" customHeight="1">
      <c r="A372" s="121">
        <v>46048</v>
      </c>
      <c r="B372" s="112" t="s">
        <v>26</v>
      </c>
      <c r="C372" s="113" t="s">
        <v>1047</v>
      </c>
      <c r="D372" s="112" t="s">
        <v>1040</v>
      </c>
      <c r="E372" s="122">
        <v>1.336805555555556</v>
      </c>
      <c r="F372" s="112" t="s">
        <v>28</v>
      </c>
      <c r="G372" s="114">
        <v>5</v>
      </c>
      <c r="H372" s="115" t="s">
        <v>426</v>
      </c>
    </row>
    <row r="373" spans="1:8" ht="19.899999999999999" customHeight="1">
      <c r="A373" s="121">
        <v>46048</v>
      </c>
      <c r="B373" s="112" t="s">
        <v>68</v>
      </c>
      <c r="C373" s="113" t="s">
        <v>1052</v>
      </c>
      <c r="D373" s="112" t="s">
        <v>1040</v>
      </c>
      <c r="E373" s="122">
        <v>1.336805555555556</v>
      </c>
      <c r="F373" s="112" t="s">
        <v>643</v>
      </c>
      <c r="G373" s="114">
        <v>9</v>
      </c>
      <c r="H373" s="115" t="s">
        <v>1053</v>
      </c>
    </row>
    <row r="374" spans="1:8" ht="19.899999999999999" customHeight="1">
      <c r="A374" s="121">
        <v>46048</v>
      </c>
      <c r="B374" s="112" t="s">
        <v>68</v>
      </c>
      <c r="C374" s="113" t="s">
        <v>1054</v>
      </c>
      <c r="D374" s="112" t="s">
        <v>1040</v>
      </c>
      <c r="E374" s="122">
        <v>1.979166666666667</v>
      </c>
      <c r="F374" s="112" t="s">
        <v>643</v>
      </c>
      <c r="G374" s="114">
        <v>9</v>
      </c>
      <c r="H374" s="115" t="s">
        <v>1053</v>
      </c>
    </row>
    <row r="375" spans="1:8" ht="19.899999999999999" customHeight="1">
      <c r="A375" s="121">
        <v>46048</v>
      </c>
      <c r="B375" s="112" t="s">
        <v>68</v>
      </c>
      <c r="C375" s="113" t="s">
        <v>1056</v>
      </c>
      <c r="D375" s="112" t="s">
        <v>1040</v>
      </c>
      <c r="E375" s="122">
        <v>1.6736111111111109</v>
      </c>
      <c r="F375" s="112" t="s">
        <v>643</v>
      </c>
      <c r="G375" s="114">
        <v>9</v>
      </c>
      <c r="H375" s="115" t="s">
        <v>1053</v>
      </c>
    </row>
    <row r="376" spans="1:8" ht="19.899999999999999" customHeight="1">
      <c r="A376" s="121">
        <v>46048</v>
      </c>
      <c r="B376" s="112" t="s">
        <v>402</v>
      </c>
      <c r="C376" s="113" t="s">
        <v>1064</v>
      </c>
      <c r="D376" s="112" t="s">
        <v>1040</v>
      </c>
      <c r="E376" s="122">
        <v>1.756944444444444</v>
      </c>
      <c r="F376" s="112" t="s">
        <v>63</v>
      </c>
      <c r="G376" s="114">
        <v>7</v>
      </c>
      <c r="H376" s="115" t="s">
        <v>1058</v>
      </c>
    </row>
    <row r="377" spans="1:8" ht="19.899999999999999" customHeight="1">
      <c r="A377" s="121">
        <v>46048</v>
      </c>
      <c r="B377" s="112" t="s">
        <v>26</v>
      </c>
      <c r="C377" s="113" t="s">
        <v>1049</v>
      </c>
      <c r="D377" s="112" t="s">
        <v>1040</v>
      </c>
      <c r="E377" s="122">
        <v>1.9722222222222221</v>
      </c>
      <c r="F377" s="112" t="s">
        <v>31</v>
      </c>
      <c r="G377" s="114">
        <v>4</v>
      </c>
      <c r="H377" s="115" t="s">
        <v>35</v>
      </c>
    </row>
    <row r="378" spans="1:8" ht="19.899999999999999" customHeight="1">
      <c r="A378" s="121">
        <v>46048</v>
      </c>
      <c r="B378" s="112" t="s">
        <v>38</v>
      </c>
      <c r="C378" s="113" t="s">
        <v>1041</v>
      </c>
      <c r="D378" s="112" t="s">
        <v>1040</v>
      </c>
      <c r="E378" s="122">
        <v>1.447916666666667</v>
      </c>
      <c r="F378" s="112" t="s">
        <v>43</v>
      </c>
      <c r="G378" s="114">
        <v>10</v>
      </c>
      <c r="H378" s="115" t="s">
        <v>162</v>
      </c>
    </row>
    <row r="379" spans="1:8" ht="19.899999999999999" customHeight="1">
      <c r="A379" s="121">
        <v>46048</v>
      </c>
      <c r="B379" s="112" t="s">
        <v>26</v>
      </c>
      <c r="C379" s="113" t="s">
        <v>1047</v>
      </c>
      <c r="D379" s="112" t="s">
        <v>1040</v>
      </c>
      <c r="E379" s="122">
        <v>1.336805555555556</v>
      </c>
      <c r="F379" s="112" t="s">
        <v>31</v>
      </c>
      <c r="G379" s="114">
        <v>5</v>
      </c>
      <c r="H379" s="115" t="s">
        <v>150</v>
      </c>
    </row>
    <row r="380" spans="1:8" ht="19.899999999999999" customHeight="1">
      <c r="A380" s="121">
        <v>46048</v>
      </c>
      <c r="B380" s="112" t="s">
        <v>26</v>
      </c>
      <c r="C380" s="113" t="s">
        <v>1049</v>
      </c>
      <c r="D380" s="112" t="s">
        <v>1040</v>
      </c>
      <c r="E380" s="122">
        <v>1.9722222222222221</v>
      </c>
      <c r="F380" s="112" t="s">
        <v>34</v>
      </c>
      <c r="G380" s="114">
        <v>4</v>
      </c>
      <c r="H380" s="115" t="s">
        <v>503</v>
      </c>
    </row>
    <row r="381" spans="1:8" ht="19.899999999999999" customHeight="1">
      <c r="A381" s="121">
        <v>46048</v>
      </c>
      <c r="B381" s="112" t="s">
        <v>26</v>
      </c>
      <c r="C381" s="113" t="s">
        <v>1047</v>
      </c>
      <c r="D381" s="112" t="s">
        <v>1040</v>
      </c>
      <c r="E381" s="122">
        <v>1.336805555555556</v>
      </c>
      <c r="F381" s="112" t="s">
        <v>34</v>
      </c>
      <c r="G381" s="114">
        <v>5</v>
      </c>
      <c r="H381" s="115" t="s">
        <v>178</v>
      </c>
    </row>
    <row r="382" spans="1:8" ht="19.899999999999999" customHeight="1">
      <c r="A382" s="121">
        <v>46048</v>
      </c>
      <c r="B382" s="112" t="s">
        <v>38</v>
      </c>
      <c r="C382" s="113" t="s">
        <v>1041</v>
      </c>
      <c r="D382" s="112" t="s">
        <v>1040</v>
      </c>
      <c r="E382" s="122">
        <v>1.447916666666667</v>
      </c>
      <c r="F382" s="112" t="s">
        <v>46</v>
      </c>
      <c r="G382" s="114">
        <v>10</v>
      </c>
      <c r="H382" s="115" t="s">
        <v>106</v>
      </c>
    </row>
    <row r="383" spans="1:8" ht="19.899999999999999" customHeight="1">
      <c r="A383" s="123">
        <v>46048</v>
      </c>
      <c r="B383" s="124" t="s">
        <v>48</v>
      </c>
      <c r="C383" s="125" t="s">
        <v>1060</v>
      </c>
      <c r="D383" s="124" t="s">
        <v>1040</v>
      </c>
      <c r="E383" s="126">
        <v>1.447916666666667</v>
      </c>
      <c r="F383" s="124" t="s">
        <v>53</v>
      </c>
      <c r="G383" s="127">
        <v>4</v>
      </c>
      <c r="H383" s="128" t="s">
        <v>946</v>
      </c>
    </row>
    <row r="384" spans="1:8" ht="19.899999999999999" customHeight="1">
      <c r="A384" s="129">
        <v>46049</v>
      </c>
      <c r="B384" s="117" t="s">
        <v>61</v>
      </c>
      <c r="C384" s="118" t="s">
        <v>1043</v>
      </c>
      <c r="D384" s="117" t="s">
        <v>1040</v>
      </c>
      <c r="E384" s="130">
        <v>1.069444444444444</v>
      </c>
      <c r="F384" s="117" t="s">
        <v>63</v>
      </c>
      <c r="G384" s="119">
        <v>3</v>
      </c>
      <c r="H384" s="120" t="s">
        <v>1076</v>
      </c>
    </row>
    <row r="385" spans="1:8" ht="19.899999999999999" customHeight="1">
      <c r="A385" s="121">
        <v>46049</v>
      </c>
      <c r="B385" s="112" t="s">
        <v>38</v>
      </c>
      <c r="C385" s="113" t="s">
        <v>1041</v>
      </c>
      <c r="D385" s="112" t="s">
        <v>1040</v>
      </c>
      <c r="E385" s="122">
        <v>1.447916666666667</v>
      </c>
      <c r="F385" s="112" t="s">
        <v>40</v>
      </c>
      <c r="G385" s="114">
        <v>10</v>
      </c>
      <c r="H385" s="115" t="s">
        <v>83</v>
      </c>
    </row>
    <row r="386" spans="1:8" ht="19.899999999999999" customHeight="1">
      <c r="A386" s="121">
        <v>46049</v>
      </c>
      <c r="B386" s="112" t="s">
        <v>26</v>
      </c>
      <c r="C386" s="113" t="s">
        <v>1047</v>
      </c>
      <c r="D386" s="112" t="s">
        <v>1040</v>
      </c>
      <c r="E386" s="122">
        <v>1.336805555555556</v>
      </c>
      <c r="F386" s="112" t="s">
        <v>28</v>
      </c>
      <c r="G386" s="114">
        <v>2</v>
      </c>
      <c r="H386" s="115" t="s">
        <v>349</v>
      </c>
    </row>
    <row r="387" spans="1:8" ht="19.899999999999999" customHeight="1">
      <c r="A387" s="121">
        <v>46049</v>
      </c>
      <c r="B387" s="112" t="s">
        <v>26</v>
      </c>
      <c r="C387" s="113" t="s">
        <v>1049</v>
      </c>
      <c r="D387" s="112" t="s">
        <v>1040</v>
      </c>
      <c r="E387" s="122">
        <v>1.9722222222222221</v>
      </c>
      <c r="F387" s="112" t="s">
        <v>28</v>
      </c>
      <c r="G387" s="114">
        <v>3</v>
      </c>
      <c r="H387" s="115" t="s">
        <v>349</v>
      </c>
    </row>
    <row r="388" spans="1:8" ht="19.899999999999999" customHeight="1">
      <c r="A388" s="121">
        <v>46049</v>
      </c>
      <c r="B388" s="112" t="s">
        <v>415</v>
      </c>
      <c r="C388" s="113" t="s">
        <v>1062</v>
      </c>
      <c r="D388" s="112" t="s">
        <v>1040</v>
      </c>
      <c r="E388" s="122">
        <v>1.006944444444444</v>
      </c>
      <c r="F388" s="112" t="s">
        <v>63</v>
      </c>
      <c r="G388" s="114">
        <v>7</v>
      </c>
      <c r="H388" s="115" t="s">
        <v>1051</v>
      </c>
    </row>
    <row r="389" spans="1:8" ht="19.899999999999999" customHeight="1">
      <c r="A389" s="121">
        <v>46049</v>
      </c>
      <c r="B389" s="112" t="s">
        <v>415</v>
      </c>
      <c r="C389" s="113" t="s">
        <v>1050</v>
      </c>
      <c r="D389" s="112" t="s">
        <v>1040</v>
      </c>
      <c r="E389" s="122">
        <v>1.881944444444444</v>
      </c>
      <c r="F389" s="112" t="s">
        <v>63</v>
      </c>
      <c r="G389" s="114">
        <v>7</v>
      </c>
      <c r="H389" s="115" t="s">
        <v>1051</v>
      </c>
    </row>
    <row r="390" spans="1:8" ht="19.899999999999999" customHeight="1">
      <c r="A390" s="121">
        <v>46049</v>
      </c>
      <c r="B390" s="112" t="s">
        <v>68</v>
      </c>
      <c r="C390" s="113" t="s">
        <v>1052</v>
      </c>
      <c r="D390" s="112" t="s">
        <v>1040</v>
      </c>
      <c r="E390" s="122">
        <v>1.336805555555556</v>
      </c>
      <c r="F390" s="112" t="s">
        <v>643</v>
      </c>
      <c r="G390" s="114">
        <v>9</v>
      </c>
      <c r="H390" s="115" t="s">
        <v>1053</v>
      </c>
    </row>
    <row r="391" spans="1:8" ht="19.899999999999999" customHeight="1">
      <c r="A391" s="121">
        <v>46049</v>
      </c>
      <c r="B391" s="112" t="s">
        <v>68</v>
      </c>
      <c r="C391" s="113" t="s">
        <v>1054</v>
      </c>
      <c r="D391" s="112" t="s">
        <v>1040</v>
      </c>
      <c r="E391" s="122">
        <v>1.979166666666667</v>
      </c>
      <c r="F391" s="112" t="s">
        <v>643</v>
      </c>
      <c r="G391" s="114">
        <v>9</v>
      </c>
      <c r="H391" s="115" t="s">
        <v>1053</v>
      </c>
    </row>
    <row r="392" spans="1:8" ht="19.899999999999999" customHeight="1">
      <c r="A392" s="121">
        <v>46049</v>
      </c>
      <c r="B392" s="112" t="s">
        <v>68</v>
      </c>
      <c r="C392" s="113" t="s">
        <v>1056</v>
      </c>
      <c r="D392" s="112" t="s">
        <v>1040</v>
      </c>
      <c r="E392" s="122">
        <v>1.6736111111111109</v>
      </c>
      <c r="F392" s="112" t="s">
        <v>643</v>
      </c>
      <c r="G392" s="114">
        <v>9</v>
      </c>
      <c r="H392" s="115" t="s">
        <v>1053</v>
      </c>
    </row>
    <row r="393" spans="1:8" ht="19.899999999999999" customHeight="1">
      <c r="A393" s="121">
        <v>46049</v>
      </c>
      <c r="B393" s="112" t="s">
        <v>402</v>
      </c>
      <c r="C393" s="113" t="s">
        <v>1057</v>
      </c>
      <c r="D393" s="112" t="s">
        <v>1040</v>
      </c>
      <c r="E393" s="122">
        <v>1.756944444444444</v>
      </c>
      <c r="F393" s="112" t="s">
        <v>63</v>
      </c>
      <c r="G393" s="114">
        <v>5</v>
      </c>
      <c r="H393" s="115" t="s">
        <v>1058</v>
      </c>
    </row>
    <row r="394" spans="1:8" ht="19.899999999999999" customHeight="1">
      <c r="A394" s="121">
        <v>46049</v>
      </c>
      <c r="B394" s="112" t="s">
        <v>26</v>
      </c>
      <c r="C394" s="113" t="s">
        <v>1047</v>
      </c>
      <c r="D394" s="112" t="s">
        <v>1040</v>
      </c>
      <c r="E394" s="122">
        <v>1.336805555555556</v>
      </c>
      <c r="F394" s="112" t="s">
        <v>31</v>
      </c>
      <c r="G394" s="114">
        <v>2</v>
      </c>
      <c r="H394" s="115" t="s">
        <v>35</v>
      </c>
    </row>
    <row r="395" spans="1:8" ht="19.899999999999999" customHeight="1">
      <c r="A395" s="121">
        <v>46049</v>
      </c>
      <c r="B395" s="112" t="s">
        <v>26</v>
      </c>
      <c r="C395" s="113" t="s">
        <v>1049</v>
      </c>
      <c r="D395" s="112" t="s">
        <v>1040</v>
      </c>
      <c r="E395" s="122">
        <v>1.9722222222222221</v>
      </c>
      <c r="F395" s="112" t="s">
        <v>31</v>
      </c>
      <c r="G395" s="114">
        <v>3</v>
      </c>
      <c r="H395" s="115" t="s">
        <v>35</v>
      </c>
    </row>
    <row r="396" spans="1:8" ht="19.899999999999999" customHeight="1">
      <c r="A396" s="121">
        <v>46049</v>
      </c>
      <c r="B396" s="112" t="s">
        <v>38</v>
      </c>
      <c r="C396" s="113" t="s">
        <v>1041</v>
      </c>
      <c r="D396" s="112" t="s">
        <v>1040</v>
      </c>
      <c r="E396" s="122">
        <v>1.447916666666667</v>
      </c>
      <c r="F396" s="112" t="s">
        <v>43</v>
      </c>
      <c r="G396" s="114">
        <v>10</v>
      </c>
      <c r="H396" s="115" t="s">
        <v>162</v>
      </c>
    </row>
    <row r="397" spans="1:8" ht="19.899999999999999" customHeight="1">
      <c r="A397" s="121">
        <v>46049</v>
      </c>
      <c r="B397" s="112" t="s">
        <v>26</v>
      </c>
      <c r="C397" s="113" t="s">
        <v>1047</v>
      </c>
      <c r="D397" s="112" t="s">
        <v>1040</v>
      </c>
      <c r="E397" s="122">
        <v>1.336805555555556</v>
      </c>
      <c r="F397" s="112" t="s">
        <v>34</v>
      </c>
      <c r="G397" s="114">
        <v>2</v>
      </c>
      <c r="H397" s="115" t="s">
        <v>503</v>
      </c>
    </row>
    <row r="398" spans="1:8" ht="19.899999999999999" customHeight="1">
      <c r="A398" s="121">
        <v>46049</v>
      </c>
      <c r="B398" s="112" t="s">
        <v>26</v>
      </c>
      <c r="C398" s="113" t="s">
        <v>1049</v>
      </c>
      <c r="D398" s="112" t="s">
        <v>1040</v>
      </c>
      <c r="E398" s="122">
        <v>1.9722222222222221</v>
      </c>
      <c r="F398" s="112" t="s">
        <v>34</v>
      </c>
      <c r="G398" s="114">
        <v>3</v>
      </c>
      <c r="H398" s="115" t="s">
        <v>503</v>
      </c>
    </row>
    <row r="399" spans="1:8" ht="19.899999999999999" customHeight="1">
      <c r="A399" s="121">
        <v>46049</v>
      </c>
      <c r="B399" s="112" t="s">
        <v>38</v>
      </c>
      <c r="C399" s="113" t="s">
        <v>1041</v>
      </c>
      <c r="D399" s="112" t="s">
        <v>1040</v>
      </c>
      <c r="E399" s="122">
        <v>1.447916666666667</v>
      </c>
      <c r="F399" s="112" t="s">
        <v>46</v>
      </c>
      <c r="G399" s="114">
        <v>10</v>
      </c>
      <c r="H399" s="115" t="s">
        <v>106</v>
      </c>
    </row>
    <row r="400" spans="1:8" ht="19.899999999999999" customHeight="1">
      <c r="A400" s="123">
        <v>46049</v>
      </c>
      <c r="B400" s="124" t="s">
        <v>48</v>
      </c>
      <c r="C400" s="125" t="s">
        <v>1060</v>
      </c>
      <c r="D400" s="124" t="s">
        <v>1040</v>
      </c>
      <c r="E400" s="126">
        <v>1.447916666666667</v>
      </c>
      <c r="F400" s="124" t="s">
        <v>53</v>
      </c>
      <c r="G400" s="127">
        <v>4</v>
      </c>
      <c r="H400" s="128" t="s">
        <v>946</v>
      </c>
    </row>
    <row r="401" spans="1:8" ht="19.899999999999999" customHeight="1">
      <c r="A401" s="121">
        <v>46050</v>
      </c>
      <c r="B401" s="112" t="s">
        <v>38</v>
      </c>
      <c r="C401" s="113" t="s">
        <v>1041</v>
      </c>
      <c r="D401" s="112" t="s">
        <v>1040</v>
      </c>
      <c r="E401" s="122">
        <v>1.447916666666667</v>
      </c>
      <c r="F401" s="112" t="s">
        <v>40</v>
      </c>
      <c r="G401" s="114">
        <v>10</v>
      </c>
      <c r="H401" s="115" t="s">
        <v>83</v>
      </c>
    </row>
    <row r="402" spans="1:8" ht="19.899999999999999" customHeight="1">
      <c r="A402" s="121">
        <v>46050</v>
      </c>
      <c r="B402" s="112" t="s">
        <v>26</v>
      </c>
      <c r="C402" s="113" t="s">
        <v>1049</v>
      </c>
      <c r="D402" s="112" t="s">
        <v>1040</v>
      </c>
      <c r="E402" s="122">
        <v>1.9722222222222221</v>
      </c>
      <c r="F402" s="112" t="s">
        <v>28</v>
      </c>
      <c r="G402" s="114">
        <v>2</v>
      </c>
      <c r="H402" s="115" t="s">
        <v>349</v>
      </c>
    </row>
    <row r="403" spans="1:8" ht="19.899999999999999" customHeight="1">
      <c r="A403" s="121">
        <v>46050</v>
      </c>
      <c r="B403" s="112" t="s">
        <v>359</v>
      </c>
      <c r="C403" s="113" t="s">
        <v>1065</v>
      </c>
      <c r="D403" s="112" t="s">
        <v>1040</v>
      </c>
      <c r="E403" s="122">
        <v>1.7847222222222221</v>
      </c>
      <c r="F403" s="112" t="s">
        <v>361</v>
      </c>
      <c r="G403" s="114">
        <v>9</v>
      </c>
      <c r="H403" s="115" t="s">
        <v>1100</v>
      </c>
    </row>
    <row r="404" spans="1:8" ht="19.899999999999999" customHeight="1">
      <c r="A404" s="121">
        <v>46050</v>
      </c>
      <c r="B404" s="112" t="s">
        <v>68</v>
      </c>
      <c r="C404" s="113" t="s">
        <v>1052</v>
      </c>
      <c r="D404" s="112" t="s">
        <v>1040</v>
      </c>
      <c r="E404" s="122">
        <v>1.336805555555556</v>
      </c>
      <c r="F404" s="112" t="s">
        <v>643</v>
      </c>
      <c r="G404" s="114">
        <v>9</v>
      </c>
      <c r="H404" s="115" t="s">
        <v>1053</v>
      </c>
    </row>
    <row r="405" spans="1:8" ht="19.899999999999999" customHeight="1">
      <c r="A405" s="121">
        <v>46050</v>
      </c>
      <c r="B405" s="112" t="s">
        <v>68</v>
      </c>
      <c r="C405" s="113" t="s">
        <v>1054</v>
      </c>
      <c r="D405" s="112" t="s">
        <v>1040</v>
      </c>
      <c r="E405" s="122">
        <v>1.979166666666667</v>
      </c>
      <c r="F405" s="112" t="s">
        <v>643</v>
      </c>
      <c r="G405" s="114">
        <v>9</v>
      </c>
      <c r="H405" s="115" t="s">
        <v>1053</v>
      </c>
    </row>
    <row r="406" spans="1:8" ht="19.899999999999999" customHeight="1">
      <c r="A406" s="121">
        <v>46050</v>
      </c>
      <c r="B406" s="112" t="s">
        <v>68</v>
      </c>
      <c r="C406" s="113" t="s">
        <v>1056</v>
      </c>
      <c r="D406" s="112" t="s">
        <v>1040</v>
      </c>
      <c r="E406" s="122">
        <v>1.6736111111111109</v>
      </c>
      <c r="F406" s="112" t="s">
        <v>643</v>
      </c>
      <c r="G406" s="114">
        <v>9</v>
      </c>
      <c r="H406" s="115" t="s">
        <v>1053</v>
      </c>
    </row>
    <row r="407" spans="1:8" ht="19.899999999999999" customHeight="1">
      <c r="A407" s="121">
        <v>46050</v>
      </c>
      <c r="B407" s="112" t="s">
        <v>402</v>
      </c>
      <c r="C407" s="113" t="s">
        <v>1064</v>
      </c>
      <c r="D407" s="112" t="s">
        <v>1040</v>
      </c>
      <c r="E407" s="122">
        <v>1.694444444444444</v>
      </c>
      <c r="F407" s="112" t="s">
        <v>63</v>
      </c>
      <c r="G407" s="114">
        <v>6</v>
      </c>
      <c r="H407" s="115" t="s">
        <v>1058</v>
      </c>
    </row>
    <row r="408" spans="1:8" ht="19.899999999999999" customHeight="1">
      <c r="A408" s="121">
        <v>46050</v>
      </c>
      <c r="B408" s="112" t="s">
        <v>26</v>
      </c>
      <c r="C408" s="113" t="s">
        <v>1049</v>
      </c>
      <c r="D408" s="112" t="s">
        <v>1040</v>
      </c>
      <c r="E408" s="122">
        <v>1.9722222222222221</v>
      </c>
      <c r="F408" s="112" t="s">
        <v>31</v>
      </c>
      <c r="G408" s="114">
        <v>2</v>
      </c>
      <c r="H408" s="115" t="s">
        <v>35</v>
      </c>
    </row>
    <row r="409" spans="1:8" ht="19.899999999999999" customHeight="1">
      <c r="A409" s="121">
        <v>46050</v>
      </c>
      <c r="B409" s="112" t="s">
        <v>38</v>
      </c>
      <c r="C409" s="113" t="s">
        <v>1041</v>
      </c>
      <c r="D409" s="112" t="s">
        <v>1040</v>
      </c>
      <c r="E409" s="122">
        <v>1.447916666666667</v>
      </c>
      <c r="F409" s="112" t="s">
        <v>43</v>
      </c>
      <c r="G409" s="114">
        <v>10</v>
      </c>
      <c r="H409" s="115" t="s">
        <v>162</v>
      </c>
    </row>
    <row r="410" spans="1:8" ht="19.899999999999999" customHeight="1">
      <c r="A410" s="121">
        <v>46050</v>
      </c>
      <c r="B410" s="112" t="s">
        <v>26</v>
      </c>
      <c r="C410" s="113" t="s">
        <v>1049</v>
      </c>
      <c r="D410" s="112" t="s">
        <v>1040</v>
      </c>
      <c r="E410" s="122">
        <v>1.9722222222222221</v>
      </c>
      <c r="F410" s="112" t="s">
        <v>34</v>
      </c>
      <c r="G410" s="114">
        <v>2</v>
      </c>
      <c r="H410" s="115" t="s">
        <v>503</v>
      </c>
    </row>
    <row r="411" spans="1:8" ht="19.899999999999999" customHeight="1">
      <c r="A411" s="121">
        <v>46050</v>
      </c>
      <c r="B411" s="112" t="s">
        <v>359</v>
      </c>
      <c r="C411" s="113" t="s">
        <v>1065</v>
      </c>
      <c r="D411" s="112" t="s">
        <v>1040</v>
      </c>
      <c r="E411" s="122">
        <v>1.7847222222222221</v>
      </c>
      <c r="F411" s="112" t="s">
        <v>46</v>
      </c>
      <c r="G411" s="114">
        <v>9</v>
      </c>
      <c r="H411" s="115" t="s">
        <v>1101</v>
      </c>
    </row>
    <row r="412" spans="1:8" ht="19.899999999999999" customHeight="1">
      <c r="A412" s="121">
        <v>46050</v>
      </c>
      <c r="B412" s="112" t="s">
        <v>38</v>
      </c>
      <c r="C412" s="113" t="s">
        <v>1041</v>
      </c>
      <c r="D412" s="112" t="s">
        <v>1040</v>
      </c>
      <c r="E412" s="122">
        <v>1.447916666666667</v>
      </c>
      <c r="F412" s="112" t="s">
        <v>46</v>
      </c>
      <c r="G412" s="114">
        <v>10</v>
      </c>
      <c r="H412" s="115" t="s">
        <v>106</v>
      </c>
    </row>
    <row r="413" spans="1:8" ht="19.899999999999999" customHeight="1">
      <c r="A413" s="123">
        <v>46050</v>
      </c>
      <c r="B413" s="124" t="s">
        <v>48</v>
      </c>
      <c r="C413" s="125" t="s">
        <v>1060</v>
      </c>
      <c r="D413" s="124" t="s">
        <v>1040</v>
      </c>
      <c r="E413" s="126">
        <v>1.447916666666667</v>
      </c>
      <c r="F413" s="124" t="s">
        <v>53</v>
      </c>
      <c r="G413" s="127">
        <v>4</v>
      </c>
      <c r="H413" s="128" t="s">
        <v>946</v>
      </c>
    </row>
    <row r="414" spans="1:8" ht="19.899999999999999" customHeight="1">
      <c r="A414" s="129">
        <v>46051</v>
      </c>
      <c r="B414" s="117" t="s">
        <v>61</v>
      </c>
      <c r="C414" s="118" t="s">
        <v>1043</v>
      </c>
      <c r="D414" s="117" t="s">
        <v>1040</v>
      </c>
      <c r="E414" s="130">
        <v>1.7222222222222221</v>
      </c>
      <c r="F414" s="117" t="s">
        <v>63</v>
      </c>
      <c r="G414" s="119">
        <v>2</v>
      </c>
      <c r="H414" s="120" t="s">
        <v>856</v>
      </c>
    </row>
    <row r="415" spans="1:8" ht="19.899999999999999" customHeight="1">
      <c r="A415" s="121">
        <v>46051</v>
      </c>
      <c r="B415" s="112" t="s">
        <v>38</v>
      </c>
      <c r="C415" s="113" t="s">
        <v>1041</v>
      </c>
      <c r="D415" s="112" t="s">
        <v>1040</v>
      </c>
      <c r="E415" s="122">
        <v>1.447916666666667</v>
      </c>
      <c r="F415" s="112" t="s">
        <v>40</v>
      </c>
      <c r="G415" s="114">
        <v>10</v>
      </c>
      <c r="H415" s="115" t="s">
        <v>83</v>
      </c>
    </row>
    <row r="416" spans="1:8" ht="19.899999999999999" customHeight="1">
      <c r="A416" s="121">
        <v>46051</v>
      </c>
      <c r="B416" s="112" t="s">
        <v>26</v>
      </c>
      <c r="C416" s="113" t="s">
        <v>1047</v>
      </c>
      <c r="D416" s="112" t="s">
        <v>1040</v>
      </c>
      <c r="E416" s="122">
        <v>1.336805555555556</v>
      </c>
      <c r="F416" s="112" t="s">
        <v>28</v>
      </c>
      <c r="G416" s="114">
        <v>3</v>
      </c>
      <c r="H416" s="115" t="s">
        <v>349</v>
      </c>
    </row>
    <row r="417" spans="1:8" ht="19.899999999999999" customHeight="1">
      <c r="A417" s="121">
        <v>46051</v>
      </c>
      <c r="B417" s="112" t="s">
        <v>26</v>
      </c>
      <c r="C417" s="113" t="s">
        <v>1049</v>
      </c>
      <c r="D417" s="112" t="s">
        <v>1040</v>
      </c>
      <c r="E417" s="122">
        <v>1.9722222222222221</v>
      </c>
      <c r="F417" s="112" t="s">
        <v>28</v>
      </c>
      <c r="G417" s="114">
        <v>5</v>
      </c>
      <c r="H417" s="115" t="s">
        <v>349</v>
      </c>
    </row>
    <row r="418" spans="1:8" ht="19.899999999999999" customHeight="1">
      <c r="A418" s="121">
        <v>46051</v>
      </c>
      <c r="B418" s="112" t="s">
        <v>415</v>
      </c>
      <c r="C418" s="113" t="s">
        <v>1050</v>
      </c>
      <c r="D418" s="112" t="s">
        <v>1040</v>
      </c>
      <c r="E418" s="122">
        <v>1.756944444444444</v>
      </c>
      <c r="F418" s="112" t="s">
        <v>63</v>
      </c>
      <c r="G418" s="114">
        <v>7</v>
      </c>
      <c r="H418" s="115" t="s">
        <v>1051</v>
      </c>
    </row>
    <row r="419" spans="1:8" ht="19.899999999999999" customHeight="1">
      <c r="A419" s="121">
        <v>46051</v>
      </c>
      <c r="B419" s="112" t="s">
        <v>68</v>
      </c>
      <c r="C419" s="113" t="s">
        <v>1052</v>
      </c>
      <c r="D419" s="112" t="s">
        <v>1040</v>
      </c>
      <c r="E419" s="122">
        <v>1.336805555555556</v>
      </c>
      <c r="F419" s="112" t="s">
        <v>643</v>
      </c>
      <c r="G419" s="114">
        <v>9</v>
      </c>
      <c r="H419" s="115" t="s">
        <v>1053</v>
      </c>
    </row>
    <row r="420" spans="1:8" ht="19.899999999999999" customHeight="1">
      <c r="A420" s="121">
        <v>46051</v>
      </c>
      <c r="B420" s="112" t="s">
        <v>68</v>
      </c>
      <c r="C420" s="113" t="s">
        <v>1054</v>
      </c>
      <c r="D420" s="112" t="s">
        <v>1040</v>
      </c>
      <c r="E420" s="122">
        <v>1.979166666666667</v>
      </c>
      <c r="F420" s="112" t="s">
        <v>643</v>
      </c>
      <c r="G420" s="114">
        <v>9</v>
      </c>
      <c r="H420" s="115" t="s">
        <v>1053</v>
      </c>
    </row>
    <row r="421" spans="1:8" ht="19.899999999999999" customHeight="1">
      <c r="A421" s="121">
        <v>46051</v>
      </c>
      <c r="B421" s="112" t="s">
        <v>68</v>
      </c>
      <c r="C421" s="113" t="s">
        <v>1056</v>
      </c>
      <c r="D421" s="112" t="s">
        <v>1040</v>
      </c>
      <c r="E421" s="122">
        <v>1.6736111111111109</v>
      </c>
      <c r="F421" s="112" t="s">
        <v>643</v>
      </c>
      <c r="G421" s="114">
        <v>9</v>
      </c>
      <c r="H421" s="115" t="s">
        <v>1053</v>
      </c>
    </row>
    <row r="422" spans="1:8" ht="19.899999999999999" customHeight="1">
      <c r="A422" s="121">
        <v>46051</v>
      </c>
      <c r="B422" s="112" t="s">
        <v>402</v>
      </c>
      <c r="C422" s="113" t="s">
        <v>1057</v>
      </c>
      <c r="D422" s="112" t="s">
        <v>1040</v>
      </c>
      <c r="E422" s="122">
        <v>1.756944444444444</v>
      </c>
      <c r="F422" s="112" t="s">
        <v>63</v>
      </c>
      <c r="G422" s="114">
        <v>6</v>
      </c>
      <c r="H422" s="115" t="s">
        <v>1058</v>
      </c>
    </row>
    <row r="423" spans="1:8" ht="19.899999999999999" customHeight="1">
      <c r="A423" s="121">
        <v>46051</v>
      </c>
      <c r="B423" s="112" t="s">
        <v>402</v>
      </c>
      <c r="C423" s="113" t="s">
        <v>1059</v>
      </c>
      <c r="D423" s="112" t="s">
        <v>1040</v>
      </c>
      <c r="E423" s="122">
        <v>1.3611111111111109</v>
      </c>
      <c r="F423" s="112" t="s">
        <v>63</v>
      </c>
      <c r="G423" s="114">
        <v>7</v>
      </c>
      <c r="H423" s="115" t="s">
        <v>1058</v>
      </c>
    </row>
    <row r="424" spans="1:8" ht="19.899999999999999" customHeight="1">
      <c r="A424" s="121">
        <v>46051</v>
      </c>
      <c r="B424" s="112" t="s">
        <v>26</v>
      </c>
      <c r="C424" s="113" t="s">
        <v>1047</v>
      </c>
      <c r="D424" s="112" t="s">
        <v>1040</v>
      </c>
      <c r="E424" s="122">
        <v>1.336805555555556</v>
      </c>
      <c r="F424" s="112" t="s">
        <v>31</v>
      </c>
      <c r="G424" s="114">
        <v>3</v>
      </c>
      <c r="H424" s="115" t="s">
        <v>35</v>
      </c>
    </row>
    <row r="425" spans="1:8" ht="19.899999999999999" customHeight="1">
      <c r="A425" s="121">
        <v>46051</v>
      </c>
      <c r="B425" s="112" t="s">
        <v>26</v>
      </c>
      <c r="C425" s="113" t="s">
        <v>1049</v>
      </c>
      <c r="D425" s="112" t="s">
        <v>1040</v>
      </c>
      <c r="E425" s="122">
        <v>1.9722222222222221</v>
      </c>
      <c r="F425" s="112" t="s">
        <v>31</v>
      </c>
      <c r="G425" s="114">
        <v>5</v>
      </c>
      <c r="H425" s="115" t="s">
        <v>35</v>
      </c>
    </row>
    <row r="426" spans="1:8" ht="19.899999999999999" customHeight="1">
      <c r="A426" s="121">
        <v>46051</v>
      </c>
      <c r="B426" s="112" t="s">
        <v>38</v>
      </c>
      <c r="C426" s="113" t="s">
        <v>1041</v>
      </c>
      <c r="D426" s="112" t="s">
        <v>1040</v>
      </c>
      <c r="E426" s="122">
        <v>1.447916666666667</v>
      </c>
      <c r="F426" s="112" t="s">
        <v>43</v>
      </c>
      <c r="G426" s="114">
        <v>10</v>
      </c>
      <c r="H426" s="115" t="s">
        <v>162</v>
      </c>
    </row>
    <row r="427" spans="1:8" ht="19.899999999999999" customHeight="1">
      <c r="A427" s="121">
        <v>46051</v>
      </c>
      <c r="B427" s="112" t="s">
        <v>26</v>
      </c>
      <c r="C427" s="113" t="s">
        <v>1047</v>
      </c>
      <c r="D427" s="112" t="s">
        <v>1040</v>
      </c>
      <c r="E427" s="122">
        <v>1.336805555555556</v>
      </c>
      <c r="F427" s="112" t="s">
        <v>34</v>
      </c>
      <c r="G427" s="114">
        <v>3</v>
      </c>
      <c r="H427" s="115" t="s">
        <v>503</v>
      </c>
    </row>
    <row r="428" spans="1:8" ht="19.899999999999999" customHeight="1">
      <c r="A428" s="121">
        <v>46051</v>
      </c>
      <c r="B428" s="112" t="s">
        <v>26</v>
      </c>
      <c r="C428" s="113" t="s">
        <v>1049</v>
      </c>
      <c r="D428" s="112" t="s">
        <v>1040</v>
      </c>
      <c r="E428" s="122">
        <v>1.9722222222222221</v>
      </c>
      <c r="F428" s="112" t="s">
        <v>34</v>
      </c>
      <c r="G428" s="114">
        <v>5</v>
      </c>
      <c r="H428" s="115" t="s">
        <v>503</v>
      </c>
    </row>
    <row r="429" spans="1:8" ht="19.899999999999999" customHeight="1">
      <c r="A429" s="121">
        <v>46051</v>
      </c>
      <c r="B429" s="112" t="s">
        <v>38</v>
      </c>
      <c r="C429" s="113" t="s">
        <v>1041</v>
      </c>
      <c r="D429" s="112" t="s">
        <v>1040</v>
      </c>
      <c r="E429" s="122">
        <v>1.447916666666667</v>
      </c>
      <c r="F429" s="112" t="s">
        <v>46</v>
      </c>
      <c r="G429" s="114">
        <v>10</v>
      </c>
      <c r="H429" s="115" t="s">
        <v>106</v>
      </c>
    </row>
    <row r="430" spans="1:8" ht="19.899999999999999" customHeight="1">
      <c r="A430" s="123">
        <v>46051</v>
      </c>
      <c r="B430" s="124" t="s">
        <v>48</v>
      </c>
      <c r="C430" s="125" t="s">
        <v>1060</v>
      </c>
      <c r="D430" s="124" t="s">
        <v>1040</v>
      </c>
      <c r="E430" s="126">
        <v>1.447916666666667</v>
      </c>
      <c r="F430" s="124" t="s">
        <v>53</v>
      </c>
      <c r="G430" s="127">
        <v>4</v>
      </c>
      <c r="H430" s="128" t="s">
        <v>946</v>
      </c>
    </row>
    <row r="431" spans="1:8" ht="19.899999999999999" customHeight="1">
      <c r="A431" s="129">
        <v>46052</v>
      </c>
      <c r="B431" s="117" t="s">
        <v>61</v>
      </c>
      <c r="C431" s="118" t="s">
        <v>1043</v>
      </c>
      <c r="D431" s="117" t="s">
        <v>1040</v>
      </c>
      <c r="E431" s="130">
        <v>1.381944444444444</v>
      </c>
      <c r="F431" s="117" t="s">
        <v>63</v>
      </c>
      <c r="G431" s="119">
        <v>7</v>
      </c>
      <c r="H431" s="120" t="s">
        <v>856</v>
      </c>
    </row>
    <row r="432" spans="1:8" ht="19.899999999999999" customHeight="1">
      <c r="A432" s="121">
        <v>46052</v>
      </c>
      <c r="B432" s="112" t="s">
        <v>38</v>
      </c>
      <c r="C432" s="113" t="s">
        <v>1041</v>
      </c>
      <c r="D432" s="112" t="s">
        <v>1040</v>
      </c>
      <c r="E432" s="122">
        <v>1.447916666666667</v>
      </c>
      <c r="F432" s="112" t="s">
        <v>40</v>
      </c>
      <c r="G432" s="114">
        <v>10</v>
      </c>
      <c r="H432" s="115" t="s">
        <v>83</v>
      </c>
    </row>
    <row r="433" spans="1:8" ht="19.899999999999999" customHeight="1">
      <c r="A433" s="121">
        <v>46052</v>
      </c>
      <c r="B433" s="112" t="s">
        <v>26</v>
      </c>
      <c r="C433" s="113" t="s">
        <v>1049</v>
      </c>
      <c r="D433" s="112" t="s">
        <v>1040</v>
      </c>
      <c r="E433" s="122">
        <v>1.9722222222222221</v>
      </c>
      <c r="F433" s="112" t="s">
        <v>28</v>
      </c>
      <c r="G433" s="114">
        <v>3</v>
      </c>
      <c r="H433" s="115" t="s">
        <v>349</v>
      </c>
    </row>
    <row r="434" spans="1:8" ht="19.899999999999999" customHeight="1">
      <c r="A434" s="121">
        <v>46052</v>
      </c>
      <c r="B434" s="112" t="s">
        <v>415</v>
      </c>
      <c r="C434" s="113" t="s">
        <v>1062</v>
      </c>
      <c r="D434" s="112" t="s">
        <v>1040</v>
      </c>
      <c r="E434" s="122">
        <v>1.006944444444444</v>
      </c>
      <c r="F434" s="112" t="s">
        <v>63</v>
      </c>
      <c r="G434" s="114">
        <v>4</v>
      </c>
      <c r="H434" s="115" t="s">
        <v>1051</v>
      </c>
    </row>
    <row r="435" spans="1:8" ht="19.899999999999999" customHeight="1">
      <c r="A435" s="121">
        <v>46052</v>
      </c>
      <c r="B435" s="112" t="s">
        <v>68</v>
      </c>
      <c r="C435" s="113" t="s">
        <v>1052</v>
      </c>
      <c r="D435" s="112" t="s">
        <v>1040</v>
      </c>
      <c r="E435" s="122">
        <v>1.336805555555556</v>
      </c>
      <c r="F435" s="112" t="s">
        <v>643</v>
      </c>
      <c r="G435" s="114">
        <v>9</v>
      </c>
      <c r="H435" s="115" t="s">
        <v>830</v>
      </c>
    </row>
    <row r="436" spans="1:8" ht="19.899999999999999" customHeight="1">
      <c r="A436" s="121">
        <v>46052</v>
      </c>
      <c r="B436" s="112" t="s">
        <v>402</v>
      </c>
      <c r="C436" s="113" t="s">
        <v>1064</v>
      </c>
      <c r="D436" s="112" t="s">
        <v>1040</v>
      </c>
      <c r="E436" s="122">
        <v>1.756944444444444</v>
      </c>
      <c r="F436" s="112" t="s">
        <v>63</v>
      </c>
      <c r="G436" s="114">
        <v>3</v>
      </c>
      <c r="H436" s="115" t="s">
        <v>1058</v>
      </c>
    </row>
    <row r="437" spans="1:8" ht="19.899999999999999" customHeight="1">
      <c r="A437" s="121">
        <v>46052</v>
      </c>
      <c r="B437" s="112" t="s">
        <v>26</v>
      </c>
      <c r="C437" s="113" t="s">
        <v>1049</v>
      </c>
      <c r="D437" s="112" t="s">
        <v>1040</v>
      </c>
      <c r="E437" s="122">
        <v>1.9722222222222221</v>
      </c>
      <c r="F437" s="112" t="s">
        <v>31</v>
      </c>
      <c r="G437" s="114">
        <v>3</v>
      </c>
      <c r="H437" s="115" t="s">
        <v>35</v>
      </c>
    </row>
    <row r="438" spans="1:8" ht="19.899999999999999" customHeight="1">
      <c r="A438" s="121">
        <v>46052</v>
      </c>
      <c r="B438" s="112" t="s">
        <v>68</v>
      </c>
      <c r="C438" s="113" t="s">
        <v>1054</v>
      </c>
      <c r="D438" s="112" t="s">
        <v>1040</v>
      </c>
      <c r="E438" s="122">
        <v>1.979166666666667</v>
      </c>
      <c r="F438" s="112" t="s">
        <v>70</v>
      </c>
      <c r="G438" s="114">
        <v>9</v>
      </c>
      <c r="H438" s="115" t="s">
        <v>1055</v>
      </c>
    </row>
    <row r="439" spans="1:8" ht="19.899999999999999" customHeight="1">
      <c r="A439" s="121">
        <v>46052</v>
      </c>
      <c r="B439" s="112" t="s">
        <v>68</v>
      </c>
      <c r="C439" s="113" t="s">
        <v>1056</v>
      </c>
      <c r="D439" s="112" t="s">
        <v>1040</v>
      </c>
      <c r="E439" s="122">
        <v>1.6736111111111109</v>
      </c>
      <c r="F439" s="112" t="s">
        <v>70</v>
      </c>
      <c r="G439" s="114">
        <v>9</v>
      </c>
      <c r="H439" s="115" t="s">
        <v>1055</v>
      </c>
    </row>
    <row r="440" spans="1:8" ht="19.899999999999999" customHeight="1">
      <c r="A440" s="121">
        <v>46052</v>
      </c>
      <c r="B440" s="112" t="s">
        <v>38</v>
      </c>
      <c r="C440" s="113" t="s">
        <v>1041</v>
      </c>
      <c r="D440" s="112" t="s">
        <v>1040</v>
      </c>
      <c r="E440" s="122">
        <v>1.447916666666667</v>
      </c>
      <c r="F440" s="112" t="s">
        <v>43</v>
      </c>
      <c r="G440" s="114">
        <v>10</v>
      </c>
      <c r="H440" s="115" t="s">
        <v>162</v>
      </c>
    </row>
    <row r="441" spans="1:8" ht="19.899999999999999" customHeight="1">
      <c r="A441" s="121">
        <v>46052</v>
      </c>
      <c r="B441" s="112" t="s">
        <v>26</v>
      </c>
      <c r="C441" s="113" t="s">
        <v>1049</v>
      </c>
      <c r="D441" s="112" t="s">
        <v>1040</v>
      </c>
      <c r="E441" s="122">
        <v>1.9722222222222221</v>
      </c>
      <c r="F441" s="112" t="s">
        <v>34</v>
      </c>
      <c r="G441" s="114">
        <v>3</v>
      </c>
      <c r="H441" s="115" t="s">
        <v>503</v>
      </c>
    </row>
    <row r="442" spans="1:8" ht="19.899999999999999" customHeight="1">
      <c r="A442" s="121">
        <v>46052</v>
      </c>
      <c r="B442" s="112" t="s">
        <v>38</v>
      </c>
      <c r="C442" s="113" t="s">
        <v>1041</v>
      </c>
      <c r="D442" s="112" t="s">
        <v>1040</v>
      </c>
      <c r="E442" s="122">
        <v>1.447916666666667</v>
      </c>
      <c r="F442" s="112" t="s">
        <v>46</v>
      </c>
      <c r="G442" s="114">
        <v>10</v>
      </c>
      <c r="H442" s="115" t="s">
        <v>106</v>
      </c>
    </row>
    <row r="443" spans="1:8" ht="19.899999999999999" customHeight="1">
      <c r="A443" s="123">
        <v>46052</v>
      </c>
      <c r="B443" s="124" t="s">
        <v>48</v>
      </c>
      <c r="C443" s="125" t="s">
        <v>1060</v>
      </c>
      <c r="D443" s="124" t="s">
        <v>1040</v>
      </c>
      <c r="E443" s="126">
        <v>1.447916666666667</v>
      </c>
      <c r="F443" s="124" t="s">
        <v>53</v>
      </c>
      <c r="G443" s="127">
        <v>4</v>
      </c>
      <c r="H443" s="128" t="s">
        <v>946</v>
      </c>
    </row>
    <row r="444" spans="1:8" ht="19.899999999999999" customHeight="1">
      <c r="A444" s="121">
        <v>46053</v>
      </c>
      <c r="B444" s="112" t="s">
        <v>38</v>
      </c>
      <c r="C444" s="113" t="s">
        <v>1041</v>
      </c>
      <c r="D444" s="112" t="s">
        <v>1040</v>
      </c>
      <c r="E444" s="122">
        <v>1.447916666666667</v>
      </c>
      <c r="F444" s="112" t="s">
        <v>40</v>
      </c>
      <c r="G444" s="114">
        <v>10</v>
      </c>
      <c r="H444" s="115" t="s">
        <v>83</v>
      </c>
    </row>
    <row r="445" spans="1:8" ht="19.899999999999999" customHeight="1">
      <c r="A445" s="129">
        <v>46053</v>
      </c>
      <c r="B445" s="117" t="s">
        <v>61</v>
      </c>
      <c r="C445" s="118" t="s">
        <v>1043</v>
      </c>
      <c r="D445" s="117" t="s">
        <v>1040</v>
      </c>
      <c r="E445" s="130">
        <v>1.7222222222222221</v>
      </c>
      <c r="F445" s="117" t="s">
        <v>63</v>
      </c>
      <c r="G445" s="119">
        <v>6</v>
      </c>
      <c r="H445" s="120" t="s">
        <v>1106</v>
      </c>
    </row>
    <row r="446" spans="1:8" ht="19.899999999999999" customHeight="1">
      <c r="A446" s="121">
        <v>46053</v>
      </c>
      <c r="B446" s="112" t="s">
        <v>26</v>
      </c>
      <c r="C446" s="113" t="s">
        <v>1047</v>
      </c>
      <c r="D446" s="112" t="s">
        <v>1040</v>
      </c>
      <c r="E446" s="122">
        <v>1.336805555555556</v>
      </c>
      <c r="F446" s="112" t="s">
        <v>28</v>
      </c>
      <c r="G446" s="114">
        <v>5</v>
      </c>
      <c r="H446" s="115" t="s">
        <v>349</v>
      </c>
    </row>
    <row r="447" spans="1:8" ht="19.899999999999999" customHeight="1">
      <c r="A447" s="121">
        <v>46053</v>
      </c>
      <c r="B447" s="112" t="s">
        <v>26</v>
      </c>
      <c r="C447" s="113" t="s">
        <v>1049</v>
      </c>
      <c r="D447" s="112" t="s">
        <v>1040</v>
      </c>
      <c r="E447" s="122">
        <v>1.9722222222222221</v>
      </c>
      <c r="F447" s="112" t="s">
        <v>28</v>
      </c>
      <c r="G447" s="114">
        <v>1</v>
      </c>
      <c r="H447" s="115" t="s">
        <v>349</v>
      </c>
    </row>
    <row r="448" spans="1:8" ht="19.899999999999999" customHeight="1">
      <c r="A448" s="121">
        <v>46053</v>
      </c>
      <c r="B448" s="112" t="s">
        <v>415</v>
      </c>
      <c r="C448" s="113" t="s">
        <v>1050</v>
      </c>
      <c r="D448" s="112" t="s">
        <v>1040</v>
      </c>
      <c r="E448" s="122">
        <v>1.3402777777777779</v>
      </c>
      <c r="F448" s="112" t="s">
        <v>63</v>
      </c>
      <c r="G448" s="114">
        <v>4</v>
      </c>
      <c r="H448" s="115" t="s">
        <v>1051</v>
      </c>
    </row>
    <row r="449" spans="1:8" ht="19.899999999999999" customHeight="1">
      <c r="A449" s="121">
        <v>46053</v>
      </c>
      <c r="B449" s="112" t="s">
        <v>359</v>
      </c>
      <c r="C449" s="113" t="s">
        <v>1065</v>
      </c>
      <c r="D449" s="112" t="s">
        <v>1040</v>
      </c>
      <c r="E449" s="122">
        <v>1.7847222222222221</v>
      </c>
      <c r="F449" s="112" t="s">
        <v>361</v>
      </c>
      <c r="G449" s="114">
        <v>9</v>
      </c>
      <c r="H449" s="115" t="s">
        <v>1080</v>
      </c>
    </row>
    <row r="450" spans="1:8" ht="19.899999999999999" customHeight="1">
      <c r="A450" s="121">
        <v>46053</v>
      </c>
      <c r="B450" s="112" t="s">
        <v>402</v>
      </c>
      <c r="C450" s="113" t="s">
        <v>1057</v>
      </c>
      <c r="D450" s="112" t="s">
        <v>1040</v>
      </c>
      <c r="E450" s="122">
        <v>1.694444444444444</v>
      </c>
      <c r="F450" s="112" t="s">
        <v>63</v>
      </c>
      <c r="G450" s="114">
        <v>4</v>
      </c>
      <c r="H450" s="115" t="s">
        <v>1058</v>
      </c>
    </row>
    <row r="451" spans="1:8" ht="19.899999999999999" customHeight="1">
      <c r="A451" s="121">
        <v>46053</v>
      </c>
      <c r="B451" s="112" t="s">
        <v>26</v>
      </c>
      <c r="C451" s="113" t="s">
        <v>1047</v>
      </c>
      <c r="D451" s="112" t="s">
        <v>1040</v>
      </c>
      <c r="E451" s="122">
        <v>1.336805555555556</v>
      </c>
      <c r="F451" s="112" t="s">
        <v>31</v>
      </c>
      <c r="G451" s="114">
        <v>5</v>
      </c>
      <c r="H451" s="115" t="s">
        <v>35</v>
      </c>
    </row>
    <row r="452" spans="1:8" ht="19.899999999999999" customHeight="1">
      <c r="A452" s="121">
        <v>46053</v>
      </c>
      <c r="B452" s="112" t="s">
        <v>26</v>
      </c>
      <c r="C452" s="113" t="s">
        <v>1049</v>
      </c>
      <c r="D452" s="112" t="s">
        <v>1040</v>
      </c>
      <c r="E452" s="122">
        <v>1.9722222222222221</v>
      </c>
      <c r="F452" s="112" t="s">
        <v>31</v>
      </c>
      <c r="G452" s="114">
        <v>1</v>
      </c>
      <c r="H452" s="115" t="s">
        <v>35</v>
      </c>
    </row>
    <row r="453" spans="1:8" ht="19.899999999999999" customHeight="1">
      <c r="A453" s="121">
        <v>46053</v>
      </c>
      <c r="B453" s="112" t="s">
        <v>68</v>
      </c>
      <c r="C453" s="113" t="s">
        <v>1052</v>
      </c>
      <c r="D453" s="112" t="s">
        <v>1040</v>
      </c>
      <c r="E453" s="122">
        <v>1.336805555555556</v>
      </c>
      <c r="F453" s="112" t="s">
        <v>70</v>
      </c>
      <c r="G453" s="114">
        <v>9</v>
      </c>
      <c r="H453" s="115" t="s">
        <v>1055</v>
      </c>
    </row>
    <row r="454" spans="1:8" ht="19.899999999999999" customHeight="1">
      <c r="A454" s="121">
        <v>46053</v>
      </c>
      <c r="B454" s="112" t="s">
        <v>68</v>
      </c>
      <c r="C454" s="113" t="s">
        <v>1054</v>
      </c>
      <c r="D454" s="112" t="s">
        <v>1040</v>
      </c>
      <c r="E454" s="122">
        <v>1.979166666666667</v>
      </c>
      <c r="F454" s="112" t="s">
        <v>70</v>
      </c>
      <c r="G454" s="114">
        <v>9</v>
      </c>
      <c r="H454" s="115" t="s">
        <v>1055</v>
      </c>
    </row>
    <row r="455" spans="1:8" ht="19.899999999999999" customHeight="1">
      <c r="A455" s="121">
        <v>46053</v>
      </c>
      <c r="B455" s="112" t="s">
        <v>68</v>
      </c>
      <c r="C455" s="113" t="s">
        <v>1056</v>
      </c>
      <c r="D455" s="112" t="s">
        <v>1040</v>
      </c>
      <c r="E455" s="122">
        <v>1.6736111111111109</v>
      </c>
      <c r="F455" s="112" t="s">
        <v>70</v>
      </c>
      <c r="G455" s="114">
        <v>6</v>
      </c>
      <c r="H455" s="115" t="s">
        <v>1055</v>
      </c>
    </row>
    <row r="456" spans="1:8" ht="19.899999999999999" customHeight="1">
      <c r="A456" s="121">
        <v>46053</v>
      </c>
      <c r="B456" s="112" t="s">
        <v>38</v>
      </c>
      <c r="C456" s="113" t="s">
        <v>1041</v>
      </c>
      <c r="D456" s="112" t="s">
        <v>1040</v>
      </c>
      <c r="E456" s="122">
        <v>1.447916666666667</v>
      </c>
      <c r="F456" s="112" t="s">
        <v>43</v>
      </c>
      <c r="G456" s="114">
        <v>10</v>
      </c>
      <c r="H456" s="115" t="s">
        <v>162</v>
      </c>
    </row>
    <row r="457" spans="1:8" ht="19.899999999999999" customHeight="1">
      <c r="A457" s="121">
        <v>46053</v>
      </c>
      <c r="B457" s="112" t="s">
        <v>26</v>
      </c>
      <c r="C457" s="113" t="s">
        <v>1047</v>
      </c>
      <c r="D457" s="112" t="s">
        <v>1040</v>
      </c>
      <c r="E457" s="122">
        <v>1.336805555555556</v>
      </c>
      <c r="F457" s="112" t="s">
        <v>34</v>
      </c>
      <c r="G457" s="114">
        <v>5</v>
      </c>
      <c r="H457" s="115" t="s">
        <v>503</v>
      </c>
    </row>
    <row r="458" spans="1:8" ht="19.899999999999999" customHeight="1">
      <c r="A458" s="121">
        <v>46053</v>
      </c>
      <c r="B458" s="112" t="s">
        <v>26</v>
      </c>
      <c r="C458" s="113" t="s">
        <v>1049</v>
      </c>
      <c r="D458" s="112" t="s">
        <v>1040</v>
      </c>
      <c r="E458" s="122">
        <v>1.9722222222222221</v>
      </c>
      <c r="F458" s="112" t="s">
        <v>34</v>
      </c>
      <c r="G458" s="114">
        <v>1</v>
      </c>
      <c r="H458" s="115" t="s">
        <v>503</v>
      </c>
    </row>
    <row r="459" spans="1:8" ht="19.899999999999999" customHeight="1">
      <c r="A459" s="121">
        <v>46053</v>
      </c>
      <c r="B459" s="112" t="s">
        <v>359</v>
      </c>
      <c r="C459" s="113" t="s">
        <v>1065</v>
      </c>
      <c r="D459" s="112" t="s">
        <v>1040</v>
      </c>
      <c r="E459" s="122">
        <v>1.7847222222222221</v>
      </c>
      <c r="F459" s="112" t="s">
        <v>46</v>
      </c>
      <c r="G459" s="114">
        <v>9</v>
      </c>
      <c r="H459" s="115" t="s">
        <v>1081</v>
      </c>
    </row>
    <row r="460" spans="1:8" ht="19.899999999999999" customHeight="1">
      <c r="A460" s="121">
        <v>46053</v>
      </c>
      <c r="B460" s="112" t="s">
        <v>38</v>
      </c>
      <c r="C460" s="113" t="s">
        <v>1041</v>
      </c>
      <c r="D460" s="112" t="s">
        <v>1040</v>
      </c>
      <c r="E460" s="122">
        <v>1.447916666666667</v>
      </c>
      <c r="F460" s="112" t="s">
        <v>46</v>
      </c>
      <c r="G460" s="114">
        <v>10</v>
      </c>
      <c r="H460" s="115" t="s">
        <v>106</v>
      </c>
    </row>
    <row r="461" spans="1:8" ht="19.899999999999999" customHeight="1">
      <c r="A461" s="123">
        <v>46053</v>
      </c>
      <c r="B461" s="124" t="s">
        <v>48</v>
      </c>
      <c r="C461" s="125" t="s">
        <v>1060</v>
      </c>
      <c r="D461" s="124" t="s">
        <v>1040</v>
      </c>
      <c r="E461" s="126">
        <v>1.447916666666667</v>
      </c>
      <c r="F461" s="124" t="s">
        <v>53</v>
      </c>
      <c r="G461" s="127">
        <v>4</v>
      </c>
      <c r="H461" s="128" t="s">
        <v>946</v>
      </c>
    </row>
  </sheetData>
  <pageMargins left="0.75" right="0.75" top="1" bottom="1" header="0.5" footer="0.5"/>
  <legacyDrawing r:id="rId1"/>
  <tableParts count="1">
    <tablePart r:id="rId2"/>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185"/>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74.28515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31" t="s">
        <v>254</v>
      </c>
      <c r="B2" s="132" t="s">
        <v>61</v>
      </c>
      <c r="C2" s="133" t="s">
        <v>1043</v>
      </c>
      <c r="D2" s="132" t="s">
        <v>1040</v>
      </c>
      <c r="E2" s="132" t="s">
        <v>1108</v>
      </c>
      <c r="F2" s="132" t="s">
        <v>63</v>
      </c>
      <c r="G2" s="134">
        <v>1</v>
      </c>
      <c r="H2" s="135" t="s">
        <v>1044</v>
      </c>
    </row>
    <row r="3" spans="1:8" ht="19.899999999999999" customHeight="1">
      <c r="A3" s="136">
        <v>46024</v>
      </c>
      <c r="B3" s="132" t="s">
        <v>61</v>
      </c>
      <c r="C3" s="133" t="s">
        <v>1043</v>
      </c>
      <c r="D3" s="132" t="s">
        <v>1040</v>
      </c>
      <c r="E3" s="137">
        <v>1.381944444444444</v>
      </c>
      <c r="F3" s="132" t="s">
        <v>63</v>
      </c>
      <c r="G3" s="134">
        <v>6</v>
      </c>
      <c r="H3" s="135" t="s">
        <v>1044</v>
      </c>
    </row>
    <row r="4" spans="1:8" ht="19.899999999999999" customHeight="1">
      <c r="A4" s="136">
        <v>46025</v>
      </c>
      <c r="B4" s="132" t="s">
        <v>61</v>
      </c>
      <c r="C4" s="133" t="s">
        <v>1043</v>
      </c>
      <c r="D4" s="132" t="s">
        <v>1040</v>
      </c>
      <c r="E4" s="137">
        <v>1.7222222222222221</v>
      </c>
      <c r="F4" s="132" t="s">
        <v>63</v>
      </c>
      <c r="G4" s="134">
        <v>7</v>
      </c>
      <c r="H4" s="135" t="s">
        <v>1068</v>
      </c>
    </row>
    <row r="5" spans="1:8" ht="19.899999999999999" customHeight="1">
      <c r="A5" s="121">
        <v>46026</v>
      </c>
      <c r="B5" s="112" t="s">
        <v>38</v>
      </c>
      <c r="C5" s="113" t="s">
        <v>1041</v>
      </c>
      <c r="D5" s="112" t="s">
        <v>1040</v>
      </c>
      <c r="E5" s="122">
        <v>1.447916666666667</v>
      </c>
      <c r="F5" s="112" t="s">
        <v>40</v>
      </c>
      <c r="G5" s="114">
        <v>16</v>
      </c>
      <c r="H5" s="115" t="s">
        <v>149</v>
      </c>
    </row>
    <row r="6" spans="1:8" ht="19.899999999999999" customHeight="1">
      <c r="A6" s="121">
        <v>46026</v>
      </c>
      <c r="B6" s="112" t="s">
        <v>26</v>
      </c>
      <c r="C6" s="113" t="s">
        <v>1049</v>
      </c>
      <c r="D6" s="112" t="s">
        <v>1040</v>
      </c>
      <c r="E6" s="122">
        <v>1.9722222222222221</v>
      </c>
      <c r="F6" s="112" t="s">
        <v>28</v>
      </c>
      <c r="G6" s="114">
        <v>7</v>
      </c>
      <c r="H6" s="115" t="s">
        <v>349</v>
      </c>
    </row>
    <row r="7" spans="1:8" ht="19.899999999999999" customHeight="1">
      <c r="A7" s="121">
        <v>46026</v>
      </c>
      <c r="B7" s="112" t="s">
        <v>415</v>
      </c>
      <c r="C7" s="113" t="s">
        <v>1062</v>
      </c>
      <c r="D7" s="112" t="s">
        <v>1040</v>
      </c>
      <c r="E7" s="122">
        <v>1.006944444444444</v>
      </c>
      <c r="F7" s="112" t="s">
        <v>63</v>
      </c>
      <c r="G7" s="114">
        <v>7</v>
      </c>
      <c r="H7" s="115" t="s">
        <v>1051</v>
      </c>
    </row>
    <row r="8" spans="1:8" ht="19.899999999999999" customHeight="1">
      <c r="A8" s="121">
        <v>46026</v>
      </c>
      <c r="B8" s="112" t="s">
        <v>415</v>
      </c>
      <c r="C8" s="113" t="s">
        <v>1071</v>
      </c>
      <c r="D8" s="112" t="s">
        <v>1040</v>
      </c>
      <c r="E8" s="122">
        <v>1.9201388888888891</v>
      </c>
      <c r="F8" s="112" t="s">
        <v>63</v>
      </c>
      <c r="G8" s="114">
        <v>5</v>
      </c>
      <c r="H8" s="115" t="s">
        <v>1051</v>
      </c>
    </row>
    <row r="9" spans="1:8" ht="19.899999999999999" customHeight="1">
      <c r="A9" s="121">
        <v>46026</v>
      </c>
      <c r="B9" s="112" t="s">
        <v>402</v>
      </c>
      <c r="C9" s="113" t="s">
        <v>1059</v>
      </c>
      <c r="D9" s="112" t="s">
        <v>1040</v>
      </c>
      <c r="E9" s="122">
        <v>1.756944444444444</v>
      </c>
      <c r="F9" s="112" t="s">
        <v>63</v>
      </c>
      <c r="G9" s="114">
        <v>3</v>
      </c>
      <c r="H9" s="115" t="s">
        <v>1058</v>
      </c>
    </row>
    <row r="10" spans="1:8" ht="19.899999999999999" customHeight="1">
      <c r="A10" s="121">
        <v>46026</v>
      </c>
      <c r="B10" s="112" t="s">
        <v>38</v>
      </c>
      <c r="C10" s="113" t="s">
        <v>1041</v>
      </c>
      <c r="D10" s="112" t="s">
        <v>1040</v>
      </c>
      <c r="E10" s="122">
        <v>1.447916666666667</v>
      </c>
      <c r="F10" s="112" t="s">
        <v>43</v>
      </c>
      <c r="G10" s="114">
        <v>16</v>
      </c>
      <c r="H10" s="115" t="s">
        <v>35</v>
      </c>
    </row>
    <row r="11" spans="1:8" ht="19.899999999999999" customHeight="1">
      <c r="A11" s="121">
        <v>46026</v>
      </c>
      <c r="B11" s="112" t="s">
        <v>26</v>
      </c>
      <c r="C11" s="113" t="s">
        <v>1049</v>
      </c>
      <c r="D11" s="112" t="s">
        <v>1040</v>
      </c>
      <c r="E11" s="122">
        <v>1.9722222222222221</v>
      </c>
      <c r="F11" s="112" t="s">
        <v>31</v>
      </c>
      <c r="G11" s="114">
        <v>7</v>
      </c>
      <c r="H11" s="115" t="s">
        <v>35</v>
      </c>
    </row>
    <row r="12" spans="1:8" ht="19.899999999999999" customHeight="1">
      <c r="A12" s="121">
        <v>46026</v>
      </c>
      <c r="B12" s="112" t="s">
        <v>68</v>
      </c>
      <c r="C12" s="113" t="s">
        <v>1052</v>
      </c>
      <c r="D12" s="112" t="s">
        <v>1040</v>
      </c>
      <c r="E12" s="122">
        <v>1.336805555555556</v>
      </c>
      <c r="F12" s="112" t="s">
        <v>70</v>
      </c>
      <c r="G12" s="114">
        <v>9</v>
      </c>
      <c r="H12" s="115" t="s">
        <v>1055</v>
      </c>
    </row>
    <row r="13" spans="1:8" ht="19.899999999999999" customHeight="1">
      <c r="A13" s="121">
        <v>46026</v>
      </c>
      <c r="B13" s="112" t="s">
        <v>68</v>
      </c>
      <c r="C13" s="113" t="s">
        <v>1054</v>
      </c>
      <c r="D13" s="112" t="s">
        <v>1040</v>
      </c>
      <c r="E13" s="122">
        <v>1.979166666666667</v>
      </c>
      <c r="F13" s="112" t="s">
        <v>70</v>
      </c>
      <c r="G13" s="114">
        <v>9</v>
      </c>
      <c r="H13" s="115" t="s">
        <v>1001</v>
      </c>
    </row>
    <row r="14" spans="1:8" ht="19.899999999999999" customHeight="1">
      <c r="A14" s="121">
        <v>46026</v>
      </c>
      <c r="B14" s="112" t="s">
        <v>26</v>
      </c>
      <c r="C14" s="113" t="s">
        <v>1049</v>
      </c>
      <c r="D14" s="112" t="s">
        <v>1040</v>
      </c>
      <c r="E14" s="122">
        <v>1.9722222222222221</v>
      </c>
      <c r="F14" s="112" t="s">
        <v>34</v>
      </c>
      <c r="G14" s="114">
        <v>7</v>
      </c>
      <c r="H14" s="115" t="s">
        <v>503</v>
      </c>
    </row>
    <row r="15" spans="1:8" ht="19.899999999999999" customHeight="1">
      <c r="A15" s="121">
        <v>46026</v>
      </c>
      <c r="B15" s="112" t="s">
        <v>68</v>
      </c>
      <c r="C15" s="113" t="s">
        <v>1056</v>
      </c>
      <c r="D15" s="112" t="s">
        <v>1040</v>
      </c>
      <c r="E15" s="122">
        <v>1.6736111111111109</v>
      </c>
      <c r="F15" s="112" t="s">
        <v>70</v>
      </c>
      <c r="G15" s="114">
        <v>9</v>
      </c>
      <c r="H15" s="115" t="s">
        <v>1063</v>
      </c>
    </row>
    <row r="16" spans="1:8" ht="19.899999999999999" customHeight="1">
      <c r="A16" s="121">
        <v>46026</v>
      </c>
      <c r="B16" s="112" t="s">
        <v>38</v>
      </c>
      <c r="C16" s="113" t="s">
        <v>1041</v>
      </c>
      <c r="D16" s="112" t="s">
        <v>1040</v>
      </c>
      <c r="E16" s="122">
        <v>1.447916666666667</v>
      </c>
      <c r="F16" s="112" t="s">
        <v>46</v>
      </c>
      <c r="G16" s="114">
        <v>16</v>
      </c>
      <c r="H16" s="115" t="s">
        <v>106</v>
      </c>
    </row>
    <row r="17" spans="1:8" ht="19.899999999999999" customHeight="1">
      <c r="A17" s="121">
        <v>46026</v>
      </c>
      <c r="B17" s="112" t="s">
        <v>48</v>
      </c>
      <c r="C17" s="113" t="s">
        <v>1060</v>
      </c>
      <c r="D17" s="112" t="s">
        <v>1040</v>
      </c>
      <c r="E17" s="122">
        <v>1.447916666666667</v>
      </c>
      <c r="F17" s="112" t="s">
        <v>53</v>
      </c>
      <c r="G17" s="114">
        <v>4</v>
      </c>
      <c r="H17" s="115" t="s">
        <v>912</v>
      </c>
    </row>
    <row r="18" spans="1:8" ht="19.899999999999999" customHeight="1">
      <c r="A18" s="123">
        <v>46026</v>
      </c>
      <c r="B18" s="124" t="s">
        <v>48</v>
      </c>
      <c r="C18" s="125" t="s">
        <v>1060</v>
      </c>
      <c r="D18" s="124" t="s">
        <v>1040</v>
      </c>
      <c r="E18" s="126">
        <v>1.447916666666667</v>
      </c>
      <c r="F18" s="124" t="s">
        <v>70</v>
      </c>
      <c r="G18" s="127">
        <v>4</v>
      </c>
      <c r="H18" s="128" t="s">
        <v>912</v>
      </c>
    </row>
    <row r="19" spans="1:8" ht="19.899999999999999" customHeight="1">
      <c r="A19" s="121">
        <v>46027</v>
      </c>
      <c r="B19" s="112" t="s">
        <v>38</v>
      </c>
      <c r="C19" s="113" t="s">
        <v>1041</v>
      </c>
      <c r="D19" s="112" t="s">
        <v>1040</v>
      </c>
      <c r="E19" s="122">
        <v>1.447916666666667</v>
      </c>
      <c r="F19" s="112" t="s">
        <v>40</v>
      </c>
      <c r="G19" s="114">
        <v>10</v>
      </c>
      <c r="H19" s="115" t="s">
        <v>30</v>
      </c>
    </row>
    <row r="20" spans="1:8" ht="19.899999999999999" customHeight="1">
      <c r="A20" s="121">
        <v>46027</v>
      </c>
      <c r="B20" s="112" t="s">
        <v>26</v>
      </c>
      <c r="C20" s="113" t="s">
        <v>1047</v>
      </c>
      <c r="D20" s="112" t="s">
        <v>1040</v>
      </c>
      <c r="E20" s="122">
        <v>1.336805555555556</v>
      </c>
      <c r="F20" s="112" t="s">
        <v>28</v>
      </c>
      <c r="G20" s="114">
        <v>6</v>
      </c>
      <c r="H20" s="115" t="s">
        <v>42</v>
      </c>
    </row>
    <row r="21" spans="1:8" ht="19.899999999999999" customHeight="1">
      <c r="A21" s="121">
        <v>46027</v>
      </c>
      <c r="B21" s="112" t="s">
        <v>26</v>
      </c>
      <c r="C21" s="113" t="s">
        <v>1049</v>
      </c>
      <c r="D21" s="112" t="s">
        <v>1040</v>
      </c>
      <c r="E21" s="122">
        <v>1.9722222222222221</v>
      </c>
      <c r="F21" s="112" t="s">
        <v>28</v>
      </c>
      <c r="G21" s="114">
        <v>7</v>
      </c>
      <c r="H21" s="115" t="s">
        <v>42</v>
      </c>
    </row>
    <row r="22" spans="1:8" ht="19.899999999999999" customHeight="1">
      <c r="A22" s="121">
        <v>46027</v>
      </c>
      <c r="B22" s="112" t="s">
        <v>26</v>
      </c>
      <c r="C22" s="113" t="s">
        <v>1047</v>
      </c>
      <c r="D22" s="112" t="s">
        <v>1040</v>
      </c>
      <c r="E22" s="122">
        <v>1.336805555555556</v>
      </c>
      <c r="F22" s="112" t="s">
        <v>31</v>
      </c>
      <c r="G22" s="114">
        <v>6</v>
      </c>
      <c r="H22" s="115" t="s">
        <v>79</v>
      </c>
    </row>
    <row r="23" spans="1:8" ht="19.899999999999999" customHeight="1">
      <c r="A23" s="121">
        <v>46027</v>
      </c>
      <c r="B23" s="112" t="s">
        <v>26</v>
      </c>
      <c r="C23" s="113" t="s">
        <v>1049</v>
      </c>
      <c r="D23" s="112" t="s">
        <v>1040</v>
      </c>
      <c r="E23" s="122">
        <v>1.9722222222222221</v>
      </c>
      <c r="F23" s="112" t="s">
        <v>31</v>
      </c>
      <c r="G23" s="114">
        <v>7</v>
      </c>
      <c r="H23" s="115" t="s">
        <v>79</v>
      </c>
    </row>
    <row r="24" spans="1:8" ht="19.899999999999999" customHeight="1">
      <c r="A24" s="121">
        <v>46027</v>
      </c>
      <c r="B24" s="112" t="s">
        <v>38</v>
      </c>
      <c r="C24" s="113" t="s">
        <v>1041</v>
      </c>
      <c r="D24" s="112" t="s">
        <v>1040</v>
      </c>
      <c r="E24" s="122">
        <v>1.447916666666667</v>
      </c>
      <c r="F24" s="112" t="s">
        <v>43</v>
      </c>
      <c r="G24" s="114">
        <v>10</v>
      </c>
      <c r="H24" s="115" t="s">
        <v>420</v>
      </c>
    </row>
    <row r="25" spans="1:8" ht="19.899999999999999" customHeight="1">
      <c r="A25" s="121">
        <v>46027</v>
      </c>
      <c r="B25" s="112" t="s">
        <v>68</v>
      </c>
      <c r="C25" s="113" t="s">
        <v>1052</v>
      </c>
      <c r="D25" s="112" t="s">
        <v>1040</v>
      </c>
      <c r="E25" s="122">
        <v>1.336805555555556</v>
      </c>
      <c r="F25" s="112" t="s">
        <v>643</v>
      </c>
      <c r="G25" s="114">
        <v>9</v>
      </c>
      <c r="H25" s="115" t="s">
        <v>1053</v>
      </c>
    </row>
    <row r="26" spans="1:8" ht="19.899999999999999" customHeight="1">
      <c r="A26" s="121">
        <v>46027</v>
      </c>
      <c r="B26" s="112" t="s">
        <v>402</v>
      </c>
      <c r="C26" s="113" t="s">
        <v>1064</v>
      </c>
      <c r="D26" s="112" t="s">
        <v>1040</v>
      </c>
      <c r="E26" s="122">
        <v>1.756944444444444</v>
      </c>
      <c r="F26" s="112" t="s">
        <v>63</v>
      </c>
      <c r="G26" s="114">
        <v>4</v>
      </c>
      <c r="H26" s="115" t="s">
        <v>1058</v>
      </c>
    </row>
    <row r="27" spans="1:8" ht="19.899999999999999" customHeight="1">
      <c r="A27" s="121">
        <v>46027</v>
      </c>
      <c r="B27" s="112" t="s">
        <v>68</v>
      </c>
      <c r="C27" s="113" t="s">
        <v>1054</v>
      </c>
      <c r="D27" s="112" t="s">
        <v>1040</v>
      </c>
      <c r="E27" s="122">
        <v>1.979166666666667</v>
      </c>
      <c r="F27" s="112" t="s">
        <v>70</v>
      </c>
      <c r="G27" s="114">
        <v>9</v>
      </c>
      <c r="H27" s="115" t="s">
        <v>1055</v>
      </c>
    </row>
    <row r="28" spans="1:8" ht="19.899999999999999" customHeight="1">
      <c r="A28" s="121">
        <v>46027</v>
      </c>
      <c r="B28" s="112" t="s">
        <v>26</v>
      </c>
      <c r="C28" s="113" t="s">
        <v>1047</v>
      </c>
      <c r="D28" s="112" t="s">
        <v>1040</v>
      </c>
      <c r="E28" s="122">
        <v>1.336805555555556</v>
      </c>
      <c r="F28" s="112" t="s">
        <v>34</v>
      </c>
      <c r="G28" s="114">
        <v>6</v>
      </c>
      <c r="H28" s="115" t="s">
        <v>462</v>
      </c>
    </row>
    <row r="29" spans="1:8" ht="19.899999999999999" customHeight="1">
      <c r="A29" s="121">
        <v>46027</v>
      </c>
      <c r="B29" s="112" t="s">
        <v>26</v>
      </c>
      <c r="C29" s="113" t="s">
        <v>1049</v>
      </c>
      <c r="D29" s="112" t="s">
        <v>1040</v>
      </c>
      <c r="E29" s="122">
        <v>1.9722222222222221</v>
      </c>
      <c r="F29" s="112" t="s">
        <v>34</v>
      </c>
      <c r="G29" s="114">
        <v>7</v>
      </c>
      <c r="H29" s="115" t="s">
        <v>462</v>
      </c>
    </row>
    <row r="30" spans="1:8" ht="19.899999999999999" customHeight="1">
      <c r="A30" s="121">
        <v>46027</v>
      </c>
      <c r="B30" s="112" t="s">
        <v>68</v>
      </c>
      <c r="C30" s="113" t="s">
        <v>1056</v>
      </c>
      <c r="D30" s="112" t="s">
        <v>1040</v>
      </c>
      <c r="E30" s="122">
        <v>1.6736111111111109</v>
      </c>
      <c r="F30" s="112" t="s">
        <v>70</v>
      </c>
      <c r="G30" s="114">
        <v>9</v>
      </c>
      <c r="H30" s="115" t="s">
        <v>858</v>
      </c>
    </row>
    <row r="31" spans="1:8" ht="19.899999999999999" customHeight="1">
      <c r="A31" s="121">
        <v>46027</v>
      </c>
      <c r="B31" s="112" t="s">
        <v>38</v>
      </c>
      <c r="C31" s="113" t="s">
        <v>1041</v>
      </c>
      <c r="D31" s="112" t="s">
        <v>1040</v>
      </c>
      <c r="E31" s="122">
        <v>1.447916666666667</v>
      </c>
      <c r="F31" s="112" t="s">
        <v>46</v>
      </c>
      <c r="G31" s="114">
        <v>10</v>
      </c>
      <c r="H31" s="115" t="s">
        <v>106</v>
      </c>
    </row>
    <row r="32" spans="1:8" ht="19.899999999999999" customHeight="1">
      <c r="A32" s="123">
        <v>46027</v>
      </c>
      <c r="B32" s="124" t="s">
        <v>48</v>
      </c>
      <c r="C32" s="125" t="s">
        <v>1060</v>
      </c>
      <c r="D32" s="124" t="s">
        <v>1040</v>
      </c>
      <c r="E32" s="126">
        <v>1.447916666666667</v>
      </c>
      <c r="F32" s="124" t="s">
        <v>53</v>
      </c>
      <c r="G32" s="127">
        <v>4</v>
      </c>
      <c r="H32" s="128" t="s">
        <v>1072</v>
      </c>
    </row>
    <row r="33" spans="1:8" ht="19.899999999999999" customHeight="1">
      <c r="A33" s="136">
        <v>46028</v>
      </c>
      <c r="B33" s="132" t="s">
        <v>61</v>
      </c>
      <c r="C33" s="133" t="s">
        <v>1043</v>
      </c>
      <c r="D33" s="132" t="s">
        <v>1040</v>
      </c>
      <c r="E33" s="137">
        <v>1.069444444444444</v>
      </c>
      <c r="F33" s="132" t="s">
        <v>63</v>
      </c>
      <c r="G33" s="134">
        <v>7</v>
      </c>
      <c r="H33" s="135" t="s">
        <v>856</v>
      </c>
    </row>
    <row r="34" spans="1:8" ht="19.899999999999999" customHeight="1">
      <c r="A34" s="121">
        <v>46029</v>
      </c>
      <c r="B34" s="112" t="s">
        <v>26</v>
      </c>
      <c r="C34" s="113" t="s">
        <v>1049</v>
      </c>
      <c r="D34" s="112" t="s">
        <v>1040</v>
      </c>
      <c r="E34" s="122">
        <v>1.9722222222222221</v>
      </c>
      <c r="F34" s="112" t="s">
        <v>28</v>
      </c>
      <c r="G34" s="114">
        <v>4</v>
      </c>
      <c r="H34" s="115" t="s">
        <v>42</v>
      </c>
    </row>
    <row r="35" spans="1:8" ht="19.899999999999999" customHeight="1">
      <c r="A35" s="121">
        <v>46029</v>
      </c>
      <c r="B35" s="112" t="s">
        <v>359</v>
      </c>
      <c r="C35" s="113" t="s">
        <v>1065</v>
      </c>
      <c r="D35" s="112" t="s">
        <v>1040</v>
      </c>
      <c r="E35" s="122">
        <v>1.7847222222222221</v>
      </c>
      <c r="F35" s="112" t="s">
        <v>361</v>
      </c>
      <c r="G35" s="114">
        <v>9</v>
      </c>
      <c r="H35" s="115" t="s">
        <v>1074</v>
      </c>
    </row>
    <row r="36" spans="1:8" ht="19.899999999999999" customHeight="1">
      <c r="A36" s="121">
        <v>46029</v>
      </c>
      <c r="B36" s="112" t="s">
        <v>38</v>
      </c>
      <c r="C36" s="113" t="s">
        <v>1041</v>
      </c>
      <c r="D36" s="112" t="s">
        <v>1040</v>
      </c>
      <c r="E36" s="122">
        <v>1.447916666666667</v>
      </c>
      <c r="F36" s="112" t="s">
        <v>40</v>
      </c>
      <c r="G36" s="114">
        <v>6</v>
      </c>
      <c r="H36" s="115" t="s">
        <v>83</v>
      </c>
    </row>
    <row r="37" spans="1:8" ht="19.899999999999999" customHeight="1">
      <c r="A37" s="121">
        <v>46029</v>
      </c>
      <c r="B37" s="112" t="s">
        <v>26</v>
      </c>
      <c r="C37" s="113" t="s">
        <v>1049</v>
      </c>
      <c r="D37" s="112" t="s">
        <v>1040</v>
      </c>
      <c r="E37" s="122">
        <v>1.9722222222222221</v>
      </c>
      <c r="F37" s="112" t="s">
        <v>31</v>
      </c>
      <c r="G37" s="114">
        <v>4</v>
      </c>
      <c r="H37" s="115" t="s">
        <v>79</v>
      </c>
    </row>
    <row r="38" spans="1:8" ht="19.899999999999999" customHeight="1">
      <c r="A38" s="121">
        <v>46029</v>
      </c>
      <c r="B38" s="112" t="s">
        <v>68</v>
      </c>
      <c r="C38" s="113" t="s">
        <v>1052</v>
      </c>
      <c r="D38" s="112" t="s">
        <v>1040</v>
      </c>
      <c r="E38" s="122">
        <v>1.336805555555556</v>
      </c>
      <c r="F38" s="112" t="s">
        <v>643</v>
      </c>
      <c r="G38" s="114">
        <v>9</v>
      </c>
      <c r="H38" s="115" t="s">
        <v>1053</v>
      </c>
    </row>
    <row r="39" spans="1:8" ht="19.899999999999999" customHeight="1">
      <c r="A39" s="121">
        <v>46029</v>
      </c>
      <c r="B39" s="112" t="s">
        <v>68</v>
      </c>
      <c r="C39" s="113" t="s">
        <v>1054</v>
      </c>
      <c r="D39" s="112" t="s">
        <v>1040</v>
      </c>
      <c r="E39" s="122">
        <v>1.979166666666667</v>
      </c>
      <c r="F39" s="112" t="s">
        <v>643</v>
      </c>
      <c r="G39" s="114">
        <v>9</v>
      </c>
      <c r="H39" s="115" t="s">
        <v>1053</v>
      </c>
    </row>
    <row r="40" spans="1:8" ht="19.899999999999999" customHeight="1">
      <c r="A40" s="121">
        <v>46029</v>
      </c>
      <c r="B40" s="112" t="s">
        <v>402</v>
      </c>
      <c r="C40" s="113" t="s">
        <v>1064</v>
      </c>
      <c r="D40" s="112" t="s">
        <v>1040</v>
      </c>
      <c r="E40" s="122">
        <v>1.694444444444444</v>
      </c>
      <c r="F40" s="112" t="s">
        <v>63</v>
      </c>
      <c r="G40" s="114">
        <v>5</v>
      </c>
      <c r="H40" s="115" t="s">
        <v>1058</v>
      </c>
    </row>
    <row r="41" spans="1:8" ht="19.899999999999999" customHeight="1">
      <c r="A41" s="121">
        <v>46029</v>
      </c>
      <c r="B41" s="112" t="s">
        <v>26</v>
      </c>
      <c r="C41" s="113" t="s">
        <v>1049</v>
      </c>
      <c r="D41" s="112" t="s">
        <v>1040</v>
      </c>
      <c r="E41" s="122">
        <v>1.9722222222222221</v>
      </c>
      <c r="F41" s="112" t="s">
        <v>34</v>
      </c>
      <c r="G41" s="114">
        <v>4</v>
      </c>
      <c r="H41" s="115" t="s">
        <v>462</v>
      </c>
    </row>
    <row r="42" spans="1:8" ht="19.899999999999999" customHeight="1">
      <c r="A42" s="121">
        <v>46029</v>
      </c>
      <c r="B42" s="112" t="s">
        <v>38</v>
      </c>
      <c r="C42" s="113" t="s">
        <v>1041</v>
      </c>
      <c r="D42" s="112" t="s">
        <v>1040</v>
      </c>
      <c r="E42" s="122">
        <v>1.447916666666667</v>
      </c>
      <c r="F42" s="112" t="s">
        <v>43</v>
      </c>
      <c r="G42" s="114">
        <v>6</v>
      </c>
      <c r="H42" s="115" t="s">
        <v>162</v>
      </c>
    </row>
    <row r="43" spans="1:8" ht="19.899999999999999" customHeight="1">
      <c r="A43" s="121">
        <v>46029</v>
      </c>
      <c r="B43" s="112" t="s">
        <v>68</v>
      </c>
      <c r="C43" s="113" t="s">
        <v>1056</v>
      </c>
      <c r="D43" s="112" t="s">
        <v>1040</v>
      </c>
      <c r="E43" s="122">
        <v>1.6736111111111109</v>
      </c>
      <c r="F43" s="112" t="s">
        <v>70</v>
      </c>
      <c r="G43" s="114">
        <v>9</v>
      </c>
      <c r="H43" s="115" t="s">
        <v>1001</v>
      </c>
    </row>
    <row r="44" spans="1:8" ht="19.899999999999999" customHeight="1">
      <c r="A44" s="121">
        <v>46029</v>
      </c>
      <c r="B44" s="112" t="s">
        <v>359</v>
      </c>
      <c r="C44" s="113" t="s">
        <v>1065</v>
      </c>
      <c r="D44" s="112" t="s">
        <v>1040</v>
      </c>
      <c r="E44" s="122">
        <v>1.7847222222222221</v>
      </c>
      <c r="F44" s="112" t="s">
        <v>46</v>
      </c>
      <c r="G44" s="114">
        <v>9</v>
      </c>
      <c r="H44" s="115" t="s">
        <v>1075</v>
      </c>
    </row>
    <row r="45" spans="1:8" ht="19.899999999999999" customHeight="1">
      <c r="A45" s="121">
        <v>46029</v>
      </c>
      <c r="B45" s="112" t="s">
        <v>38</v>
      </c>
      <c r="C45" s="113" t="s">
        <v>1041</v>
      </c>
      <c r="D45" s="112" t="s">
        <v>1040</v>
      </c>
      <c r="E45" s="122">
        <v>1.447916666666667</v>
      </c>
      <c r="F45" s="112" t="s">
        <v>46</v>
      </c>
      <c r="G45" s="114">
        <v>6</v>
      </c>
      <c r="H45" s="115" t="s">
        <v>106</v>
      </c>
    </row>
    <row r="46" spans="1:8" ht="19.899999999999999" customHeight="1">
      <c r="A46" s="123">
        <v>46029</v>
      </c>
      <c r="B46" s="124" t="s">
        <v>48</v>
      </c>
      <c r="C46" s="125" t="s">
        <v>1060</v>
      </c>
      <c r="D46" s="124" t="s">
        <v>1040</v>
      </c>
      <c r="E46" s="126">
        <v>1.447916666666667</v>
      </c>
      <c r="F46" s="124" t="s">
        <v>53</v>
      </c>
      <c r="G46" s="127">
        <v>4</v>
      </c>
      <c r="H46" s="128" t="s">
        <v>946</v>
      </c>
    </row>
    <row r="47" spans="1:8" ht="19.899999999999999" customHeight="1">
      <c r="A47" s="136">
        <v>46030</v>
      </c>
      <c r="B47" s="132" t="s">
        <v>61</v>
      </c>
      <c r="C47" s="133" t="s">
        <v>1043</v>
      </c>
      <c r="D47" s="132" t="s">
        <v>1040</v>
      </c>
      <c r="E47" s="137">
        <v>1.7222222222222221</v>
      </c>
      <c r="F47" s="132" t="s">
        <v>63</v>
      </c>
      <c r="G47" s="134">
        <v>1</v>
      </c>
      <c r="H47" s="135" t="s">
        <v>1076</v>
      </c>
    </row>
    <row r="48" spans="1:8" ht="19.899999999999999" customHeight="1">
      <c r="A48" s="136">
        <v>46031</v>
      </c>
      <c r="B48" s="132" t="s">
        <v>61</v>
      </c>
      <c r="C48" s="133" t="s">
        <v>1043</v>
      </c>
      <c r="D48" s="132" t="s">
        <v>1040</v>
      </c>
      <c r="E48" s="137">
        <v>1.381944444444444</v>
      </c>
      <c r="F48" s="132" t="s">
        <v>63</v>
      </c>
      <c r="G48" s="134">
        <v>4</v>
      </c>
      <c r="H48" s="135" t="s">
        <v>856</v>
      </c>
    </row>
    <row r="49" spans="1:8" ht="19.899999999999999" customHeight="1">
      <c r="A49" s="136">
        <v>46032</v>
      </c>
      <c r="B49" s="132" t="s">
        <v>61</v>
      </c>
      <c r="C49" s="133" t="s">
        <v>1043</v>
      </c>
      <c r="D49" s="132" t="s">
        <v>1040</v>
      </c>
      <c r="E49" s="137">
        <v>1.7222222222222221</v>
      </c>
      <c r="F49" s="132" t="s">
        <v>63</v>
      </c>
      <c r="G49" s="134">
        <v>3</v>
      </c>
      <c r="H49" s="135" t="s">
        <v>711</v>
      </c>
    </row>
    <row r="50" spans="1:8" ht="19.899999999999999" customHeight="1">
      <c r="A50" s="121">
        <v>46033</v>
      </c>
      <c r="B50" s="112" t="s">
        <v>38</v>
      </c>
      <c r="C50" s="113" t="s">
        <v>1041</v>
      </c>
      <c r="D50" s="112" t="s">
        <v>1040</v>
      </c>
      <c r="E50" s="122">
        <v>1.447916666666667</v>
      </c>
      <c r="F50" s="112" t="s">
        <v>40</v>
      </c>
      <c r="G50" s="114">
        <v>10</v>
      </c>
      <c r="H50" s="115" t="s">
        <v>83</v>
      </c>
    </row>
    <row r="51" spans="1:8" ht="19.899999999999999" customHeight="1">
      <c r="A51" s="121">
        <v>46033</v>
      </c>
      <c r="B51" s="112" t="s">
        <v>26</v>
      </c>
      <c r="C51" s="113" t="s">
        <v>1049</v>
      </c>
      <c r="D51" s="112" t="s">
        <v>1040</v>
      </c>
      <c r="E51" s="122">
        <v>1.9722222222222221</v>
      </c>
      <c r="F51" s="112" t="s">
        <v>28</v>
      </c>
      <c r="G51" s="114">
        <v>2</v>
      </c>
      <c r="H51" s="115" t="s">
        <v>349</v>
      </c>
    </row>
    <row r="52" spans="1:8" ht="19.899999999999999" customHeight="1">
      <c r="A52" s="121">
        <v>46033</v>
      </c>
      <c r="B52" s="112" t="s">
        <v>415</v>
      </c>
      <c r="C52" s="113" t="s">
        <v>1062</v>
      </c>
      <c r="D52" s="112" t="s">
        <v>1040</v>
      </c>
      <c r="E52" s="122">
        <v>1.006944444444444</v>
      </c>
      <c r="F52" s="112" t="s">
        <v>63</v>
      </c>
      <c r="G52" s="114">
        <v>6</v>
      </c>
      <c r="H52" s="115" t="s">
        <v>1051</v>
      </c>
    </row>
    <row r="53" spans="1:8" ht="19.899999999999999" customHeight="1">
      <c r="A53" s="121">
        <v>46033</v>
      </c>
      <c r="B53" s="112" t="s">
        <v>415</v>
      </c>
      <c r="C53" s="113" t="s">
        <v>1071</v>
      </c>
      <c r="D53" s="112" t="s">
        <v>1040</v>
      </c>
      <c r="E53" s="122">
        <v>1.9201388888888891</v>
      </c>
      <c r="F53" s="112" t="s">
        <v>63</v>
      </c>
      <c r="G53" s="114">
        <v>5</v>
      </c>
      <c r="H53" s="115" t="s">
        <v>1051</v>
      </c>
    </row>
    <row r="54" spans="1:8" ht="19.899999999999999" customHeight="1">
      <c r="A54" s="121">
        <v>46033</v>
      </c>
      <c r="B54" s="112" t="s">
        <v>68</v>
      </c>
      <c r="C54" s="113" t="s">
        <v>1052</v>
      </c>
      <c r="D54" s="112" t="s">
        <v>1040</v>
      </c>
      <c r="E54" s="122">
        <v>1.336805555555556</v>
      </c>
      <c r="F54" s="112" t="s">
        <v>643</v>
      </c>
      <c r="G54" s="114">
        <v>9</v>
      </c>
      <c r="H54" s="115" t="s">
        <v>1053</v>
      </c>
    </row>
    <row r="55" spans="1:8" ht="19.899999999999999" customHeight="1">
      <c r="A55" s="121">
        <v>46033</v>
      </c>
      <c r="B55" s="112" t="s">
        <v>68</v>
      </c>
      <c r="C55" s="113" t="s">
        <v>1054</v>
      </c>
      <c r="D55" s="112" t="s">
        <v>1040</v>
      </c>
      <c r="E55" s="122">
        <v>1.979166666666667</v>
      </c>
      <c r="F55" s="112" t="s">
        <v>643</v>
      </c>
      <c r="G55" s="114">
        <v>9</v>
      </c>
      <c r="H55" s="115" t="s">
        <v>1053</v>
      </c>
    </row>
    <row r="56" spans="1:8" ht="19.899999999999999" customHeight="1">
      <c r="A56" s="121">
        <v>46033</v>
      </c>
      <c r="B56" s="112" t="s">
        <v>402</v>
      </c>
      <c r="C56" s="113" t="s">
        <v>1059</v>
      </c>
      <c r="D56" s="112" t="s">
        <v>1040</v>
      </c>
      <c r="E56" s="122">
        <v>1.756944444444444</v>
      </c>
      <c r="F56" s="112" t="s">
        <v>63</v>
      </c>
      <c r="G56" s="114">
        <v>2</v>
      </c>
      <c r="H56" s="115" t="s">
        <v>1058</v>
      </c>
    </row>
    <row r="57" spans="1:8" ht="19.899999999999999" customHeight="1">
      <c r="A57" s="121">
        <v>46033</v>
      </c>
      <c r="B57" s="112" t="s">
        <v>26</v>
      </c>
      <c r="C57" s="113" t="s">
        <v>1049</v>
      </c>
      <c r="D57" s="112" t="s">
        <v>1040</v>
      </c>
      <c r="E57" s="122">
        <v>1.9722222222222221</v>
      </c>
      <c r="F57" s="112" t="s">
        <v>31</v>
      </c>
      <c r="G57" s="114">
        <v>2</v>
      </c>
      <c r="H57" s="115" t="s">
        <v>35</v>
      </c>
    </row>
    <row r="58" spans="1:8" ht="19.899999999999999" customHeight="1">
      <c r="A58" s="121">
        <v>46033</v>
      </c>
      <c r="B58" s="112" t="s">
        <v>68</v>
      </c>
      <c r="C58" s="113" t="s">
        <v>1056</v>
      </c>
      <c r="D58" s="112" t="s">
        <v>1040</v>
      </c>
      <c r="E58" s="122">
        <v>1.6736111111111109</v>
      </c>
      <c r="F58" s="112" t="s">
        <v>70</v>
      </c>
      <c r="G58" s="114">
        <v>9</v>
      </c>
      <c r="H58" s="115" t="s">
        <v>1055</v>
      </c>
    </row>
    <row r="59" spans="1:8" ht="19.899999999999999" customHeight="1">
      <c r="A59" s="121">
        <v>46033</v>
      </c>
      <c r="B59" s="112" t="s">
        <v>38</v>
      </c>
      <c r="C59" s="113" t="s">
        <v>1041</v>
      </c>
      <c r="D59" s="112" t="s">
        <v>1040</v>
      </c>
      <c r="E59" s="122">
        <v>1.447916666666667</v>
      </c>
      <c r="F59" s="112" t="s">
        <v>43</v>
      </c>
      <c r="G59" s="114">
        <v>10</v>
      </c>
      <c r="H59" s="115" t="s">
        <v>162</v>
      </c>
    </row>
    <row r="60" spans="1:8" ht="19.899999999999999" customHeight="1">
      <c r="A60" s="121">
        <v>46033</v>
      </c>
      <c r="B60" s="112" t="s">
        <v>26</v>
      </c>
      <c r="C60" s="113" t="s">
        <v>1049</v>
      </c>
      <c r="D60" s="112" t="s">
        <v>1040</v>
      </c>
      <c r="E60" s="122">
        <v>1.9722222222222221</v>
      </c>
      <c r="F60" s="112" t="s">
        <v>34</v>
      </c>
      <c r="G60" s="114">
        <v>2</v>
      </c>
      <c r="H60" s="115" t="s">
        <v>503</v>
      </c>
    </row>
    <row r="61" spans="1:8" ht="19.899999999999999" customHeight="1">
      <c r="A61" s="121">
        <v>46033</v>
      </c>
      <c r="B61" s="112" t="s">
        <v>38</v>
      </c>
      <c r="C61" s="113" t="s">
        <v>1041</v>
      </c>
      <c r="D61" s="112" t="s">
        <v>1040</v>
      </c>
      <c r="E61" s="122">
        <v>1.447916666666667</v>
      </c>
      <c r="F61" s="112" t="s">
        <v>46</v>
      </c>
      <c r="G61" s="114">
        <v>10</v>
      </c>
      <c r="H61" s="115" t="s">
        <v>106</v>
      </c>
    </row>
    <row r="62" spans="1:8" ht="19.899999999999999" customHeight="1">
      <c r="A62" s="123">
        <v>46033</v>
      </c>
      <c r="B62" s="124" t="s">
        <v>48</v>
      </c>
      <c r="C62" s="125" t="s">
        <v>1060</v>
      </c>
      <c r="D62" s="124" t="s">
        <v>1040</v>
      </c>
      <c r="E62" s="126">
        <v>1.447916666666667</v>
      </c>
      <c r="F62" s="124" t="s">
        <v>53</v>
      </c>
      <c r="G62" s="127">
        <v>4</v>
      </c>
      <c r="H62" s="128" t="s">
        <v>946</v>
      </c>
    </row>
    <row r="63" spans="1:8" ht="19.899999999999999" customHeight="1">
      <c r="A63" s="121">
        <v>46034</v>
      </c>
      <c r="B63" s="112" t="s">
        <v>38</v>
      </c>
      <c r="C63" s="113" t="s">
        <v>1041</v>
      </c>
      <c r="D63" s="112" t="s">
        <v>1040</v>
      </c>
      <c r="E63" s="122">
        <v>1.447916666666667</v>
      </c>
      <c r="F63" s="112" t="s">
        <v>40</v>
      </c>
      <c r="G63" s="114">
        <v>10</v>
      </c>
      <c r="H63" s="115" t="s">
        <v>83</v>
      </c>
    </row>
    <row r="64" spans="1:8" ht="19.899999999999999" customHeight="1">
      <c r="A64" s="121">
        <v>46034</v>
      </c>
      <c r="B64" s="112" t="s">
        <v>26</v>
      </c>
      <c r="C64" s="113" t="s">
        <v>1047</v>
      </c>
      <c r="D64" s="112" t="s">
        <v>1040</v>
      </c>
      <c r="E64" s="122">
        <v>1.336805555555556</v>
      </c>
      <c r="F64" s="112" t="s">
        <v>28</v>
      </c>
      <c r="G64" s="114">
        <v>4</v>
      </c>
      <c r="H64" s="115" t="s">
        <v>349</v>
      </c>
    </row>
    <row r="65" spans="1:8" ht="19.899999999999999" customHeight="1">
      <c r="A65" s="121">
        <v>46034</v>
      </c>
      <c r="B65" s="112" t="s">
        <v>26</v>
      </c>
      <c r="C65" s="113" t="s">
        <v>1049</v>
      </c>
      <c r="D65" s="112" t="s">
        <v>1040</v>
      </c>
      <c r="E65" s="122">
        <v>1.9722222222222221</v>
      </c>
      <c r="F65" s="112" t="s">
        <v>28</v>
      </c>
      <c r="G65" s="114">
        <v>4</v>
      </c>
      <c r="H65" s="115" t="s">
        <v>349</v>
      </c>
    </row>
    <row r="66" spans="1:8" ht="19.899999999999999" customHeight="1">
      <c r="A66" s="121">
        <v>46034</v>
      </c>
      <c r="B66" s="112" t="s">
        <v>68</v>
      </c>
      <c r="C66" s="113" t="s">
        <v>1052</v>
      </c>
      <c r="D66" s="112" t="s">
        <v>1040</v>
      </c>
      <c r="E66" s="122">
        <v>1.336805555555556</v>
      </c>
      <c r="F66" s="112" t="s">
        <v>643</v>
      </c>
      <c r="G66" s="114">
        <v>9</v>
      </c>
      <c r="H66" s="115" t="s">
        <v>1053</v>
      </c>
    </row>
    <row r="67" spans="1:8" ht="19.899999999999999" customHeight="1">
      <c r="A67" s="121">
        <v>46034</v>
      </c>
      <c r="B67" s="112" t="s">
        <v>68</v>
      </c>
      <c r="C67" s="113" t="s">
        <v>1054</v>
      </c>
      <c r="D67" s="112" t="s">
        <v>1040</v>
      </c>
      <c r="E67" s="122">
        <v>1.979166666666667</v>
      </c>
      <c r="F67" s="112" t="s">
        <v>643</v>
      </c>
      <c r="G67" s="114">
        <v>9</v>
      </c>
      <c r="H67" s="115" t="s">
        <v>1053</v>
      </c>
    </row>
    <row r="68" spans="1:8" ht="19.899999999999999" customHeight="1">
      <c r="A68" s="121">
        <v>46034</v>
      </c>
      <c r="B68" s="112" t="s">
        <v>68</v>
      </c>
      <c r="C68" s="113" t="s">
        <v>1056</v>
      </c>
      <c r="D68" s="112" t="s">
        <v>1040</v>
      </c>
      <c r="E68" s="122">
        <v>1.6736111111111109</v>
      </c>
      <c r="F68" s="112" t="s">
        <v>643</v>
      </c>
      <c r="G68" s="114">
        <v>9</v>
      </c>
      <c r="H68" s="115" t="s">
        <v>1053</v>
      </c>
    </row>
    <row r="69" spans="1:8" ht="19.899999999999999" customHeight="1">
      <c r="A69" s="121">
        <v>46034</v>
      </c>
      <c r="B69" s="112" t="s">
        <v>402</v>
      </c>
      <c r="C69" s="113" t="s">
        <v>1064</v>
      </c>
      <c r="D69" s="112" t="s">
        <v>1040</v>
      </c>
      <c r="E69" s="122">
        <v>1.756944444444444</v>
      </c>
      <c r="F69" s="112" t="s">
        <v>63</v>
      </c>
      <c r="G69" s="114">
        <v>5</v>
      </c>
      <c r="H69" s="115" t="s">
        <v>1058</v>
      </c>
    </row>
    <row r="70" spans="1:8" ht="19.899999999999999" customHeight="1">
      <c r="A70" s="121">
        <v>46034</v>
      </c>
      <c r="B70" s="112" t="s">
        <v>26</v>
      </c>
      <c r="C70" s="113" t="s">
        <v>1047</v>
      </c>
      <c r="D70" s="112" t="s">
        <v>1040</v>
      </c>
      <c r="E70" s="122">
        <v>1.336805555555556</v>
      </c>
      <c r="F70" s="112" t="s">
        <v>31</v>
      </c>
      <c r="G70" s="114">
        <v>4</v>
      </c>
      <c r="H70" s="115" t="s">
        <v>35</v>
      </c>
    </row>
    <row r="71" spans="1:8" ht="19.899999999999999" customHeight="1">
      <c r="A71" s="121">
        <v>46034</v>
      </c>
      <c r="B71" s="112" t="s">
        <v>26</v>
      </c>
      <c r="C71" s="113" t="s">
        <v>1049</v>
      </c>
      <c r="D71" s="112" t="s">
        <v>1040</v>
      </c>
      <c r="E71" s="122">
        <v>1.9722222222222221</v>
      </c>
      <c r="F71" s="112" t="s">
        <v>31</v>
      </c>
      <c r="G71" s="114">
        <v>4</v>
      </c>
      <c r="H71" s="115" t="s">
        <v>35</v>
      </c>
    </row>
    <row r="72" spans="1:8" ht="19.899999999999999" customHeight="1">
      <c r="A72" s="121">
        <v>46034</v>
      </c>
      <c r="B72" s="112" t="s">
        <v>38</v>
      </c>
      <c r="C72" s="113" t="s">
        <v>1041</v>
      </c>
      <c r="D72" s="112" t="s">
        <v>1040</v>
      </c>
      <c r="E72" s="122">
        <v>1.447916666666667</v>
      </c>
      <c r="F72" s="112" t="s">
        <v>43</v>
      </c>
      <c r="G72" s="114">
        <v>10</v>
      </c>
      <c r="H72" s="115" t="s">
        <v>162</v>
      </c>
    </row>
    <row r="73" spans="1:8" ht="19.899999999999999" customHeight="1">
      <c r="A73" s="121">
        <v>46034</v>
      </c>
      <c r="B73" s="112" t="s">
        <v>26</v>
      </c>
      <c r="C73" s="113" t="s">
        <v>1047</v>
      </c>
      <c r="D73" s="112" t="s">
        <v>1040</v>
      </c>
      <c r="E73" s="122">
        <v>1.336805555555556</v>
      </c>
      <c r="F73" s="112" t="s">
        <v>34</v>
      </c>
      <c r="G73" s="114">
        <v>4</v>
      </c>
      <c r="H73" s="115" t="s">
        <v>503</v>
      </c>
    </row>
    <row r="74" spans="1:8" ht="19.899999999999999" customHeight="1">
      <c r="A74" s="121">
        <v>46034</v>
      </c>
      <c r="B74" s="112" t="s">
        <v>26</v>
      </c>
      <c r="C74" s="113" t="s">
        <v>1049</v>
      </c>
      <c r="D74" s="112" t="s">
        <v>1040</v>
      </c>
      <c r="E74" s="122">
        <v>1.9722222222222221</v>
      </c>
      <c r="F74" s="112" t="s">
        <v>34</v>
      </c>
      <c r="G74" s="114">
        <v>4</v>
      </c>
      <c r="H74" s="115" t="s">
        <v>503</v>
      </c>
    </row>
    <row r="75" spans="1:8" ht="19.899999999999999" customHeight="1">
      <c r="A75" s="121">
        <v>46034</v>
      </c>
      <c r="B75" s="112" t="s">
        <v>38</v>
      </c>
      <c r="C75" s="113" t="s">
        <v>1041</v>
      </c>
      <c r="D75" s="112" t="s">
        <v>1040</v>
      </c>
      <c r="E75" s="122">
        <v>1.447916666666667</v>
      </c>
      <c r="F75" s="112" t="s">
        <v>46</v>
      </c>
      <c r="G75" s="114">
        <v>10</v>
      </c>
      <c r="H75" s="115" t="s">
        <v>106</v>
      </c>
    </row>
    <row r="76" spans="1:8" ht="19.899999999999999" customHeight="1">
      <c r="A76" s="123">
        <v>46034</v>
      </c>
      <c r="B76" s="124" t="s">
        <v>48</v>
      </c>
      <c r="C76" s="125" t="s">
        <v>1060</v>
      </c>
      <c r="D76" s="124" t="s">
        <v>1040</v>
      </c>
      <c r="E76" s="126">
        <v>1.447916666666667</v>
      </c>
      <c r="F76" s="124" t="s">
        <v>53</v>
      </c>
      <c r="G76" s="127">
        <v>4</v>
      </c>
      <c r="H76" s="128" t="s">
        <v>946</v>
      </c>
    </row>
    <row r="77" spans="1:8" ht="19.899999999999999" customHeight="1">
      <c r="A77" s="136">
        <v>46035</v>
      </c>
      <c r="B77" s="132" t="s">
        <v>61</v>
      </c>
      <c r="C77" s="133" t="s">
        <v>1043</v>
      </c>
      <c r="D77" s="132" t="s">
        <v>1040</v>
      </c>
      <c r="E77" s="137">
        <v>1.069444444444444</v>
      </c>
      <c r="F77" s="132" t="s">
        <v>63</v>
      </c>
      <c r="G77" s="134">
        <v>6</v>
      </c>
      <c r="H77" s="135" t="s">
        <v>1044</v>
      </c>
    </row>
    <row r="78" spans="1:8" ht="19.899999999999999" customHeight="1">
      <c r="A78" s="121">
        <v>46036</v>
      </c>
      <c r="B78" s="112" t="s">
        <v>359</v>
      </c>
      <c r="C78" s="113" t="s">
        <v>1065</v>
      </c>
      <c r="D78" s="112" t="s">
        <v>1040</v>
      </c>
      <c r="E78" s="122">
        <v>1.7847222222222221</v>
      </c>
      <c r="F78" s="112" t="s">
        <v>361</v>
      </c>
      <c r="G78" s="114">
        <v>9</v>
      </c>
      <c r="H78" s="115" t="s">
        <v>1083</v>
      </c>
    </row>
    <row r="79" spans="1:8" ht="19.899999999999999" customHeight="1">
      <c r="A79" s="121">
        <v>46036</v>
      </c>
      <c r="B79" s="112" t="s">
        <v>26</v>
      </c>
      <c r="C79" s="113" t="s">
        <v>1049</v>
      </c>
      <c r="D79" s="112" t="s">
        <v>1040</v>
      </c>
      <c r="E79" s="122">
        <v>1.9722222222222221</v>
      </c>
      <c r="F79" s="112" t="s">
        <v>28</v>
      </c>
      <c r="G79" s="114">
        <v>2</v>
      </c>
      <c r="H79" s="115" t="s">
        <v>426</v>
      </c>
    </row>
    <row r="80" spans="1:8" ht="19.899999999999999" customHeight="1">
      <c r="A80" s="121">
        <v>46036</v>
      </c>
      <c r="B80" s="112" t="s">
        <v>68</v>
      </c>
      <c r="C80" s="113" t="s">
        <v>1052</v>
      </c>
      <c r="D80" s="112" t="s">
        <v>1040</v>
      </c>
      <c r="E80" s="122">
        <v>1.336805555555556</v>
      </c>
      <c r="F80" s="112" t="s">
        <v>643</v>
      </c>
      <c r="G80" s="114">
        <v>9</v>
      </c>
      <c r="H80" s="115" t="s">
        <v>1053</v>
      </c>
    </row>
    <row r="81" spans="1:8" ht="19.899999999999999" customHeight="1">
      <c r="A81" s="121">
        <v>46036</v>
      </c>
      <c r="B81" s="112" t="s">
        <v>68</v>
      </c>
      <c r="C81" s="113" t="s">
        <v>1054</v>
      </c>
      <c r="D81" s="112" t="s">
        <v>1040</v>
      </c>
      <c r="E81" s="122">
        <v>1.979166666666667</v>
      </c>
      <c r="F81" s="112" t="s">
        <v>643</v>
      </c>
      <c r="G81" s="114">
        <v>9</v>
      </c>
      <c r="H81" s="115" t="s">
        <v>1053</v>
      </c>
    </row>
    <row r="82" spans="1:8" ht="19.899999999999999" customHeight="1">
      <c r="A82" s="121">
        <v>46036</v>
      </c>
      <c r="B82" s="112" t="s">
        <v>402</v>
      </c>
      <c r="C82" s="113" t="s">
        <v>1064</v>
      </c>
      <c r="D82" s="112" t="s">
        <v>1040</v>
      </c>
      <c r="E82" s="122">
        <v>1.694444444444444</v>
      </c>
      <c r="F82" s="112" t="s">
        <v>63</v>
      </c>
      <c r="G82" s="114">
        <v>3</v>
      </c>
      <c r="H82" s="115" t="s">
        <v>1058</v>
      </c>
    </row>
    <row r="83" spans="1:8" ht="19.899999999999999" customHeight="1">
      <c r="A83" s="121">
        <v>46036</v>
      </c>
      <c r="B83" s="112" t="s">
        <v>68</v>
      </c>
      <c r="C83" s="113" t="s">
        <v>1056</v>
      </c>
      <c r="D83" s="112" t="s">
        <v>1040</v>
      </c>
      <c r="E83" s="122">
        <v>1.6736111111111109</v>
      </c>
      <c r="F83" s="112" t="s">
        <v>70</v>
      </c>
      <c r="G83" s="114">
        <v>9</v>
      </c>
      <c r="H83" s="115" t="s">
        <v>1055</v>
      </c>
    </row>
    <row r="84" spans="1:8" ht="19.899999999999999" customHeight="1">
      <c r="A84" s="121">
        <v>46036</v>
      </c>
      <c r="B84" s="112" t="s">
        <v>26</v>
      </c>
      <c r="C84" s="113" t="s">
        <v>1049</v>
      </c>
      <c r="D84" s="112" t="s">
        <v>1040</v>
      </c>
      <c r="E84" s="122">
        <v>1.9722222222222221</v>
      </c>
      <c r="F84" s="112" t="s">
        <v>31</v>
      </c>
      <c r="G84" s="114">
        <v>2</v>
      </c>
      <c r="H84" s="115" t="s">
        <v>150</v>
      </c>
    </row>
    <row r="85" spans="1:8" ht="19.899999999999999" customHeight="1">
      <c r="A85" s="121">
        <v>46036</v>
      </c>
      <c r="B85" s="112" t="s">
        <v>359</v>
      </c>
      <c r="C85" s="113" t="s">
        <v>1065</v>
      </c>
      <c r="D85" s="112" t="s">
        <v>1040</v>
      </c>
      <c r="E85" s="122">
        <v>1.7847222222222221</v>
      </c>
      <c r="F85" s="112" t="s">
        <v>46</v>
      </c>
      <c r="G85" s="114">
        <v>9</v>
      </c>
      <c r="H85" s="115" t="s">
        <v>1084</v>
      </c>
    </row>
    <row r="86" spans="1:8" ht="19.899999999999999" customHeight="1">
      <c r="A86" s="121">
        <v>46036</v>
      </c>
      <c r="B86" s="112" t="s">
        <v>26</v>
      </c>
      <c r="C86" s="113" t="s">
        <v>1049</v>
      </c>
      <c r="D86" s="112" t="s">
        <v>1040</v>
      </c>
      <c r="E86" s="122">
        <v>1.9722222222222221</v>
      </c>
      <c r="F86" s="112" t="s">
        <v>34</v>
      </c>
      <c r="G86" s="114">
        <v>2</v>
      </c>
      <c r="H86" s="115" t="s">
        <v>178</v>
      </c>
    </row>
    <row r="87" spans="1:8" ht="19.899999999999999" customHeight="1">
      <c r="A87" s="121">
        <v>46036</v>
      </c>
      <c r="B87" s="112" t="s">
        <v>38</v>
      </c>
      <c r="C87" s="113" t="s">
        <v>1041</v>
      </c>
      <c r="D87" s="112" t="s">
        <v>1040</v>
      </c>
      <c r="E87" s="122">
        <v>1.447916666666667</v>
      </c>
      <c r="F87" s="112" t="s">
        <v>40</v>
      </c>
      <c r="G87" s="114">
        <v>8</v>
      </c>
      <c r="H87" s="115" t="s">
        <v>487</v>
      </c>
    </row>
    <row r="88" spans="1:8" ht="19.899999999999999" customHeight="1">
      <c r="A88" s="121">
        <v>46036</v>
      </c>
      <c r="B88" s="112" t="s">
        <v>38</v>
      </c>
      <c r="C88" s="113" t="s">
        <v>1041</v>
      </c>
      <c r="D88" s="112" t="s">
        <v>1040</v>
      </c>
      <c r="E88" s="122">
        <v>1.447916666666667</v>
      </c>
      <c r="F88" s="112" t="s">
        <v>43</v>
      </c>
      <c r="G88" s="114">
        <v>8</v>
      </c>
      <c r="H88" s="115" t="s">
        <v>105</v>
      </c>
    </row>
    <row r="89" spans="1:8" ht="19.899999999999999" customHeight="1">
      <c r="A89" s="121">
        <v>46036</v>
      </c>
      <c r="B89" s="112" t="s">
        <v>38</v>
      </c>
      <c r="C89" s="113" t="s">
        <v>1041</v>
      </c>
      <c r="D89" s="112" t="s">
        <v>1040</v>
      </c>
      <c r="E89" s="122">
        <v>1.447916666666667</v>
      </c>
      <c r="F89" s="112" t="s">
        <v>46</v>
      </c>
      <c r="G89" s="114">
        <v>8</v>
      </c>
      <c r="H89" s="115" t="s">
        <v>106</v>
      </c>
    </row>
    <row r="90" spans="1:8" ht="19.899999999999999" customHeight="1">
      <c r="A90" s="123">
        <v>46036</v>
      </c>
      <c r="B90" s="124" t="s">
        <v>48</v>
      </c>
      <c r="C90" s="125" t="s">
        <v>1060</v>
      </c>
      <c r="D90" s="124" t="s">
        <v>1040</v>
      </c>
      <c r="E90" s="126">
        <v>1.447916666666667</v>
      </c>
      <c r="F90" s="124" t="s">
        <v>53</v>
      </c>
      <c r="G90" s="127">
        <v>4</v>
      </c>
      <c r="H90" s="128" t="s">
        <v>942</v>
      </c>
    </row>
    <row r="91" spans="1:8" ht="19.899999999999999" customHeight="1">
      <c r="A91" s="129">
        <v>46037</v>
      </c>
      <c r="B91" s="117" t="s">
        <v>61</v>
      </c>
      <c r="C91" s="118" t="s">
        <v>1043</v>
      </c>
      <c r="D91" s="117" t="s">
        <v>1040</v>
      </c>
      <c r="E91" s="130">
        <v>1.7222222222222221</v>
      </c>
      <c r="F91" s="117" t="s">
        <v>63</v>
      </c>
      <c r="G91" s="119">
        <v>9</v>
      </c>
      <c r="H91" s="120" t="s">
        <v>138</v>
      </c>
    </row>
    <row r="92" spans="1:8" ht="19.899999999999999" customHeight="1">
      <c r="A92" s="123">
        <v>46037</v>
      </c>
      <c r="B92" s="124" t="s">
        <v>402</v>
      </c>
      <c r="C92" s="125" t="s">
        <v>1059</v>
      </c>
      <c r="D92" s="124" t="s">
        <v>1040</v>
      </c>
      <c r="E92" s="126">
        <v>1.3611111111111109</v>
      </c>
      <c r="F92" s="124" t="s">
        <v>63</v>
      </c>
      <c r="G92" s="127">
        <v>6</v>
      </c>
      <c r="H92" s="128" t="s">
        <v>1058</v>
      </c>
    </row>
    <row r="93" spans="1:8" ht="19.899999999999999" customHeight="1">
      <c r="A93" s="136">
        <v>46038</v>
      </c>
      <c r="B93" s="132" t="s">
        <v>61</v>
      </c>
      <c r="C93" s="133" t="s">
        <v>1043</v>
      </c>
      <c r="D93" s="132" t="s">
        <v>1040</v>
      </c>
      <c r="E93" s="137">
        <v>1.381944444444444</v>
      </c>
      <c r="F93" s="132" t="s">
        <v>63</v>
      </c>
      <c r="G93" s="134">
        <v>6</v>
      </c>
      <c r="H93" s="135" t="s">
        <v>138</v>
      </c>
    </row>
    <row r="94" spans="1:8" ht="19.899999999999999" customHeight="1">
      <c r="A94" s="136">
        <v>46039</v>
      </c>
      <c r="B94" s="132" t="s">
        <v>61</v>
      </c>
      <c r="C94" s="133" t="s">
        <v>1043</v>
      </c>
      <c r="D94" s="132" t="s">
        <v>1040</v>
      </c>
      <c r="E94" s="137">
        <v>1.7222222222222221</v>
      </c>
      <c r="F94" s="132" t="s">
        <v>63</v>
      </c>
      <c r="G94" s="134">
        <v>9</v>
      </c>
      <c r="H94" s="135" t="s">
        <v>1093</v>
      </c>
    </row>
    <row r="95" spans="1:8" ht="19.899999999999999" customHeight="1">
      <c r="A95" s="121">
        <v>46040</v>
      </c>
      <c r="B95" s="112" t="s">
        <v>38</v>
      </c>
      <c r="C95" s="113" t="s">
        <v>1041</v>
      </c>
      <c r="D95" s="112" t="s">
        <v>1040</v>
      </c>
      <c r="E95" s="122">
        <v>1.447916666666667</v>
      </c>
      <c r="F95" s="112" t="s">
        <v>40</v>
      </c>
      <c r="G95" s="114">
        <v>11</v>
      </c>
      <c r="H95" s="115" t="s">
        <v>33</v>
      </c>
    </row>
    <row r="96" spans="1:8" ht="19.899999999999999" customHeight="1">
      <c r="A96" s="121">
        <v>46040</v>
      </c>
      <c r="B96" s="112" t="s">
        <v>26</v>
      </c>
      <c r="C96" s="113" t="s">
        <v>1049</v>
      </c>
      <c r="D96" s="112" t="s">
        <v>1040</v>
      </c>
      <c r="E96" s="122">
        <v>1.9722222222222221</v>
      </c>
      <c r="F96" s="112" t="s">
        <v>28</v>
      </c>
      <c r="G96" s="114">
        <v>2</v>
      </c>
      <c r="H96" s="115" t="s">
        <v>426</v>
      </c>
    </row>
    <row r="97" spans="1:8" ht="19.899999999999999" customHeight="1">
      <c r="A97" s="121">
        <v>46040</v>
      </c>
      <c r="B97" s="112" t="s">
        <v>402</v>
      </c>
      <c r="C97" s="113" t="s">
        <v>1059</v>
      </c>
      <c r="D97" s="112" t="s">
        <v>1040</v>
      </c>
      <c r="E97" s="122">
        <v>1.756944444444444</v>
      </c>
      <c r="F97" s="112" t="s">
        <v>63</v>
      </c>
      <c r="G97" s="114">
        <v>3</v>
      </c>
      <c r="H97" s="115" t="s">
        <v>857</v>
      </c>
    </row>
    <row r="98" spans="1:8" ht="19.899999999999999" customHeight="1">
      <c r="A98" s="121">
        <v>46040</v>
      </c>
      <c r="B98" s="112" t="s">
        <v>26</v>
      </c>
      <c r="C98" s="113" t="s">
        <v>1049</v>
      </c>
      <c r="D98" s="112" t="s">
        <v>1040</v>
      </c>
      <c r="E98" s="122">
        <v>1.9722222222222221</v>
      </c>
      <c r="F98" s="112" t="s">
        <v>31</v>
      </c>
      <c r="G98" s="114">
        <v>2</v>
      </c>
      <c r="H98" s="115" t="s">
        <v>150</v>
      </c>
    </row>
    <row r="99" spans="1:8" ht="19.899999999999999" customHeight="1">
      <c r="A99" s="121">
        <v>46040</v>
      </c>
      <c r="B99" s="112" t="s">
        <v>38</v>
      </c>
      <c r="C99" s="113" t="s">
        <v>1041</v>
      </c>
      <c r="D99" s="112" t="s">
        <v>1040</v>
      </c>
      <c r="E99" s="122">
        <v>1.447916666666667</v>
      </c>
      <c r="F99" s="112" t="s">
        <v>43</v>
      </c>
      <c r="G99" s="114">
        <v>11</v>
      </c>
      <c r="H99" s="115" t="s">
        <v>926</v>
      </c>
    </row>
    <row r="100" spans="1:8" ht="19.899999999999999" customHeight="1">
      <c r="A100" s="121">
        <v>46040</v>
      </c>
      <c r="B100" s="112" t="s">
        <v>415</v>
      </c>
      <c r="C100" s="113" t="s">
        <v>1062</v>
      </c>
      <c r="D100" s="112" t="s">
        <v>1040</v>
      </c>
      <c r="E100" s="122">
        <v>1.006944444444444</v>
      </c>
      <c r="F100" s="112" t="s">
        <v>63</v>
      </c>
      <c r="G100" s="114">
        <v>3</v>
      </c>
      <c r="H100" s="115" t="s">
        <v>1086</v>
      </c>
    </row>
    <row r="101" spans="1:8" ht="19.899999999999999" customHeight="1">
      <c r="A101" s="121">
        <v>46040</v>
      </c>
      <c r="B101" s="112" t="s">
        <v>415</v>
      </c>
      <c r="C101" s="113" t="s">
        <v>1071</v>
      </c>
      <c r="D101" s="112" t="s">
        <v>1040</v>
      </c>
      <c r="E101" s="122">
        <v>1.9201388888888891</v>
      </c>
      <c r="F101" s="112" t="s">
        <v>63</v>
      </c>
      <c r="G101" s="114">
        <v>9</v>
      </c>
      <c r="H101" s="115" t="s">
        <v>1086</v>
      </c>
    </row>
    <row r="102" spans="1:8" ht="19.899999999999999" customHeight="1">
      <c r="A102" s="121">
        <v>46040</v>
      </c>
      <c r="B102" s="112" t="s">
        <v>26</v>
      </c>
      <c r="C102" s="113" t="s">
        <v>1049</v>
      </c>
      <c r="D102" s="112" t="s">
        <v>1040</v>
      </c>
      <c r="E102" s="122">
        <v>1.9722222222222221</v>
      </c>
      <c r="F102" s="112" t="s">
        <v>34</v>
      </c>
      <c r="G102" s="114">
        <v>2</v>
      </c>
      <c r="H102" s="115" t="s">
        <v>178</v>
      </c>
    </row>
    <row r="103" spans="1:8" ht="19.899999999999999" customHeight="1">
      <c r="A103" s="121">
        <v>46040</v>
      </c>
      <c r="B103" s="112" t="s">
        <v>68</v>
      </c>
      <c r="C103" s="113" t="s">
        <v>1052</v>
      </c>
      <c r="D103" s="112" t="s">
        <v>1040</v>
      </c>
      <c r="E103" s="122">
        <v>1.336805555555556</v>
      </c>
      <c r="F103" s="112" t="s">
        <v>70</v>
      </c>
      <c r="G103" s="114">
        <v>9</v>
      </c>
      <c r="H103" s="115" t="s">
        <v>1063</v>
      </c>
    </row>
    <row r="104" spans="1:8" ht="19.899999999999999" customHeight="1">
      <c r="A104" s="121">
        <v>46040</v>
      </c>
      <c r="B104" s="112" t="s">
        <v>68</v>
      </c>
      <c r="C104" s="113" t="s">
        <v>1054</v>
      </c>
      <c r="D104" s="112" t="s">
        <v>1040</v>
      </c>
      <c r="E104" s="122">
        <v>1.979166666666667</v>
      </c>
      <c r="F104" s="112" t="s">
        <v>70</v>
      </c>
      <c r="G104" s="114">
        <v>9</v>
      </c>
      <c r="H104" s="115" t="s">
        <v>1063</v>
      </c>
    </row>
    <row r="105" spans="1:8" ht="19.899999999999999" customHeight="1">
      <c r="A105" s="121">
        <v>46040</v>
      </c>
      <c r="B105" s="112" t="s">
        <v>68</v>
      </c>
      <c r="C105" s="113" t="s">
        <v>1056</v>
      </c>
      <c r="D105" s="112" t="s">
        <v>1040</v>
      </c>
      <c r="E105" s="122">
        <v>1.6736111111111109</v>
      </c>
      <c r="F105" s="112" t="s">
        <v>70</v>
      </c>
      <c r="G105" s="114">
        <v>9</v>
      </c>
      <c r="H105" s="115" t="s">
        <v>1090</v>
      </c>
    </row>
    <row r="106" spans="1:8" ht="19.899999999999999" customHeight="1">
      <c r="A106" s="121">
        <v>46040</v>
      </c>
      <c r="B106" s="112" t="s">
        <v>38</v>
      </c>
      <c r="C106" s="113" t="s">
        <v>1041</v>
      </c>
      <c r="D106" s="112" t="s">
        <v>1040</v>
      </c>
      <c r="E106" s="122">
        <v>1.447916666666667</v>
      </c>
      <c r="F106" s="112" t="s">
        <v>46</v>
      </c>
      <c r="G106" s="114">
        <v>11</v>
      </c>
      <c r="H106" s="115" t="s">
        <v>106</v>
      </c>
    </row>
    <row r="107" spans="1:8" ht="19.899999999999999" customHeight="1">
      <c r="A107" s="123">
        <v>46040</v>
      </c>
      <c r="B107" s="124" t="s">
        <v>48</v>
      </c>
      <c r="C107" s="125" t="s">
        <v>1060</v>
      </c>
      <c r="D107" s="124" t="s">
        <v>1040</v>
      </c>
      <c r="E107" s="126">
        <v>1.447916666666667</v>
      </c>
      <c r="F107" s="124" t="s">
        <v>53</v>
      </c>
      <c r="G107" s="127">
        <v>4</v>
      </c>
      <c r="H107" s="128" t="s">
        <v>933</v>
      </c>
    </row>
    <row r="108" spans="1:8" ht="19.899999999999999" customHeight="1">
      <c r="A108" s="121">
        <v>46041</v>
      </c>
      <c r="B108" s="112" t="s">
        <v>38</v>
      </c>
      <c r="C108" s="113" t="s">
        <v>1041</v>
      </c>
      <c r="D108" s="112" t="s">
        <v>1040</v>
      </c>
      <c r="E108" s="122">
        <v>1.447916666666667</v>
      </c>
      <c r="F108" s="112" t="s">
        <v>40</v>
      </c>
      <c r="G108" s="114">
        <v>10</v>
      </c>
      <c r="H108" s="115" t="s">
        <v>83</v>
      </c>
    </row>
    <row r="109" spans="1:8" ht="19.899999999999999" customHeight="1">
      <c r="A109" s="121">
        <v>46041</v>
      </c>
      <c r="B109" s="112" t="s">
        <v>26</v>
      </c>
      <c r="C109" s="113" t="s">
        <v>1047</v>
      </c>
      <c r="D109" s="112" t="s">
        <v>1040</v>
      </c>
      <c r="E109" s="122">
        <v>1.336805555555556</v>
      </c>
      <c r="F109" s="112" t="s">
        <v>28</v>
      </c>
      <c r="G109" s="114">
        <v>5</v>
      </c>
      <c r="H109" s="115" t="s">
        <v>349</v>
      </c>
    </row>
    <row r="110" spans="1:8" ht="19.899999999999999" customHeight="1">
      <c r="A110" s="121">
        <v>46041</v>
      </c>
      <c r="B110" s="112" t="s">
        <v>26</v>
      </c>
      <c r="C110" s="113" t="s">
        <v>1049</v>
      </c>
      <c r="D110" s="112" t="s">
        <v>1040</v>
      </c>
      <c r="E110" s="122">
        <v>1.9722222222222221</v>
      </c>
      <c r="F110" s="112" t="s">
        <v>28</v>
      </c>
      <c r="G110" s="114">
        <v>3</v>
      </c>
      <c r="H110" s="115" t="s">
        <v>349</v>
      </c>
    </row>
    <row r="111" spans="1:8" ht="19.899999999999999" customHeight="1">
      <c r="A111" s="121">
        <v>46041</v>
      </c>
      <c r="B111" s="112" t="s">
        <v>68</v>
      </c>
      <c r="C111" s="113" t="s">
        <v>1052</v>
      </c>
      <c r="D111" s="112" t="s">
        <v>1040</v>
      </c>
      <c r="E111" s="122">
        <v>1.336805555555556</v>
      </c>
      <c r="F111" s="112" t="s">
        <v>643</v>
      </c>
      <c r="G111" s="114">
        <v>9</v>
      </c>
      <c r="H111" s="115" t="s">
        <v>1053</v>
      </c>
    </row>
    <row r="112" spans="1:8" ht="19.899999999999999" customHeight="1">
      <c r="A112" s="121">
        <v>46041</v>
      </c>
      <c r="B112" s="112" t="s">
        <v>68</v>
      </c>
      <c r="C112" s="113" t="s">
        <v>1054</v>
      </c>
      <c r="D112" s="112" t="s">
        <v>1040</v>
      </c>
      <c r="E112" s="122">
        <v>1.979166666666667</v>
      </c>
      <c r="F112" s="112" t="s">
        <v>643</v>
      </c>
      <c r="G112" s="114">
        <v>9</v>
      </c>
      <c r="H112" s="115" t="s">
        <v>1053</v>
      </c>
    </row>
    <row r="113" spans="1:8" ht="19.899999999999999" customHeight="1">
      <c r="A113" s="121">
        <v>46041</v>
      </c>
      <c r="B113" s="112" t="s">
        <v>402</v>
      </c>
      <c r="C113" s="113" t="s">
        <v>1064</v>
      </c>
      <c r="D113" s="112" t="s">
        <v>1040</v>
      </c>
      <c r="E113" s="122">
        <v>1.756944444444444</v>
      </c>
      <c r="F113" s="112" t="s">
        <v>63</v>
      </c>
      <c r="G113" s="114">
        <v>4</v>
      </c>
      <c r="H113" s="115" t="s">
        <v>1058</v>
      </c>
    </row>
    <row r="114" spans="1:8" ht="19.899999999999999" customHeight="1">
      <c r="A114" s="121">
        <v>46041</v>
      </c>
      <c r="B114" s="112" t="s">
        <v>26</v>
      </c>
      <c r="C114" s="113" t="s">
        <v>1047</v>
      </c>
      <c r="D114" s="112" t="s">
        <v>1040</v>
      </c>
      <c r="E114" s="122">
        <v>1.336805555555556</v>
      </c>
      <c r="F114" s="112" t="s">
        <v>31</v>
      </c>
      <c r="G114" s="114">
        <v>5</v>
      </c>
      <c r="H114" s="115" t="s">
        <v>35</v>
      </c>
    </row>
    <row r="115" spans="1:8" ht="19.899999999999999" customHeight="1">
      <c r="A115" s="121">
        <v>46041</v>
      </c>
      <c r="B115" s="112" t="s">
        <v>26</v>
      </c>
      <c r="C115" s="113" t="s">
        <v>1049</v>
      </c>
      <c r="D115" s="112" t="s">
        <v>1040</v>
      </c>
      <c r="E115" s="122">
        <v>1.9722222222222221</v>
      </c>
      <c r="F115" s="112" t="s">
        <v>31</v>
      </c>
      <c r="G115" s="114">
        <v>3</v>
      </c>
      <c r="H115" s="115" t="s">
        <v>35</v>
      </c>
    </row>
    <row r="116" spans="1:8" ht="19.899999999999999" customHeight="1">
      <c r="A116" s="121">
        <v>46041</v>
      </c>
      <c r="B116" s="112" t="s">
        <v>38</v>
      </c>
      <c r="C116" s="113" t="s">
        <v>1041</v>
      </c>
      <c r="D116" s="112" t="s">
        <v>1040</v>
      </c>
      <c r="E116" s="122">
        <v>1.447916666666667</v>
      </c>
      <c r="F116" s="112" t="s">
        <v>43</v>
      </c>
      <c r="G116" s="114">
        <v>10</v>
      </c>
      <c r="H116" s="115" t="s">
        <v>162</v>
      </c>
    </row>
    <row r="117" spans="1:8" ht="19.899999999999999" customHeight="1">
      <c r="A117" s="121">
        <v>46041</v>
      </c>
      <c r="B117" s="112" t="s">
        <v>68</v>
      </c>
      <c r="C117" s="113" t="s">
        <v>1056</v>
      </c>
      <c r="D117" s="112" t="s">
        <v>1040</v>
      </c>
      <c r="E117" s="122">
        <v>1.6736111111111109</v>
      </c>
      <c r="F117" s="112" t="s">
        <v>70</v>
      </c>
      <c r="G117" s="114">
        <v>9</v>
      </c>
      <c r="H117" s="115" t="s">
        <v>1001</v>
      </c>
    </row>
    <row r="118" spans="1:8" ht="19.899999999999999" customHeight="1">
      <c r="A118" s="121">
        <v>46041</v>
      </c>
      <c r="B118" s="112" t="s">
        <v>26</v>
      </c>
      <c r="C118" s="113" t="s">
        <v>1047</v>
      </c>
      <c r="D118" s="112" t="s">
        <v>1040</v>
      </c>
      <c r="E118" s="122">
        <v>1.336805555555556</v>
      </c>
      <c r="F118" s="112" t="s">
        <v>34</v>
      </c>
      <c r="G118" s="114">
        <v>5</v>
      </c>
      <c r="H118" s="115" t="s">
        <v>503</v>
      </c>
    </row>
    <row r="119" spans="1:8" ht="19.899999999999999" customHeight="1">
      <c r="A119" s="121">
        <v>46041</v>
      </c>
      <c r="B119" s="112" t="s">
        <v>26</v>
      </c>
      <c r="C119" s="113" t="s">
        <v>1049</v>
      </c>
      <c r="D119" s="112" t="s">
        <v>1040</v>
      </c>
      <c r="E119" s="122">
        <v>1.9722222222222221</v>
      </c>
      <c r="F119" s="112" t="s">
        <v>34</v>
      </c>
      <c r="G119" s="114">
        <v>3</v>
      </c>
      <c r="H119" s="115" t="s">
        <v>503</v>
      </c>
    </row>
    <row r="120" spans="1:8" ht="19.899999999999999" customHeight="1">
      <c r="A120" s="121">
        <v>46041</v>
      </c>
      <c r="B120" s="112" t="s">
        <v>38</v>
      </c>
      <c r="C120" s="113" t="s">
        <v>1041</v>
      </c>
      <c r="D120" s="112" t="s">
        <v>1040</v>
      </c>
      <c r="E120" s="122">
        <v>1.447916666666667</v>
      </c>
      <c r="F120" s="112" t="s">
        <v>46</v>
      </c>
      <c r="G120" s="114">
        <v>10</v>
      </c>
      <c r="H120" s="115" t="s">
        <v>106</v>
      </c>
    </row>
    <row r="121" spans="1:8" ht="19.899999999999999" customHeight="1">
      <c r="A121" s="123">
        <v>46041</v>
      </c>
      <c r="B121" s="124" t="s">
        <v>48</v>
      </c>
      <c r="C121" s="125" t="s">
        <v>1060</v>
      </c>
      <c r="D121" s="124" t="s">
        <v>1040</v>
      </c>
      <c r="E121" s="126">
        <v>1.447916666666667</v>
      </c>
      <c r="F121" s="124" t="s">
        <v>53</v>
      </c>
      <c r="G121" s="127">
        <v>4</v>
      </c>
      <c r="H121" s="128" t="s">
        <v>946</v>
      </c>
    </row>
    <row r="122" spans="1:8" ht="19.899999999999999" customHeight="1">
      <c r="A122" s="136">
        <v>46042</v>
      </c>
      <c r="B122" s="132" t="s">
        <v>61</v>
      </c>
      <c r="C122" s="133" t="s">
        <v>1043</v>
      </c>
      <c r="D122" s="132" t="s">
        <v>1040</v>
      </c>
      <c r="E122" s="137">
        <v>1.069444444444444</v>
      </c>
      <c r="F122" s="132" t="s">
        <v>63</v>
      </c>
      <c r="G122" s="134">
        <v>5</v>
      </c>
      <c r="H122" s="135" t="s">
        <v>1044</v>
      </c>
    </row>
    <row r="123" spans="1:8" ht="19.899999999999999" customHeight="1">
      <c r="A123" s="121">
        <v>46043</v>
      </c>
      <c r="B123" s="112" t="s">
        <v>38</v>
      </c>
      <c r="C123" s="113" t="s">
        <v>1041</v>
      </c>
      <c r="D123" s="112" t="s">
        <v>1040</v>
      </c>
      <c r="E123" s="122">
        <v>1.447916666666667</v>
      </c>
      <c r="F123" s="112" t="s">
        <v>40</v>
      </c>
      <c r="G123" s="114">
        <v>10</v>
      </c>
      <c r="H123" s="115" t="s">
        <v>83</v>
      </c>
    </row>
    <row r="124" spans="1:8" ht="19.899999999999999" customHeight="1">
      <c r="A124" s="121">
        <v>46043</v>
      </c>
      <c r="B124" s="112" t="s">
        <v>26</v>
      </c>
      <c r="C124" s="113" t="s">
        <v>1049</v>
      </c>
      <c r="D124" s="112" t="s">
        <v>1040</v>
      </c>
      <c r="E124" s="122">
        <v>1.9722222222222221</v>
      </c>
      <c r="F124" s="112" t="s">
        <v>28</v>
      </c>
      <c r="G124" s="114">
        <v>1</v>
      </c>
      <c r="H124" s="115" t="s">
        <v>349</v>
      </c>
    </row>
    <row r="125" spans="1:8" ht="19.899999999999999" customHeight="1">
      <c r="A125" s="121">
        <v>46043</v>
      </c>
      <c r="B125" s="112" t="s">
        <v>359</v>
      </c>
      <c r="C125" s="113" t="s">
        <v>1065</v>
      </c>
      <c r="D125" s="112" t="s">
        <v>1040</v>
      </c>
      <c r="E125" s="122">
        <v>1.7847222222222221</v>
      </c>
      <c r="F125" s="112" t="s">
        <v>361</v>
      </c>
      <c r="G125" s="114">
        <v>9</v>
      </c>
      <c r="H125" s="115" t="s">
        <v>1100</v>
      </c>
    </row>
    <row r="126" spans="1:8" ht="19.899999999999999" customHeight="1">
      <c r="A126" s="121">
        <v>46043</v>
      </c>
      <c r="B126" s="112" t="s">
        <v>68</v>
      </c>
      <c r="C126" s="113" t="s">
        <v>1052</v>
      </c>
      <c r="D126" s="112" t="s">
        <v>1040</v>
      </c>
      <c r="E126" s="122">
        <v>1.336805555555556</v>
      </c>
      <c r="F126" s="112" t="s">
        <v>643</v>
      </c>
      <c r="G126" s="114">
        <v>9</v>
      </c>
      <c r="H126" s="115" t="s">
        <v>1053</v>
      </c>
    </row>
    <row r="127" spans="1:8" ht="19.899999999999999" customHeight="1">
      <c r="A127" s="121">
        <v>46043</v>
      </c>
      <c r="B127" s="112" t="s">
        <v>68</v>
      </c>
      <c r="C127" s="113" t="s">
        <v>1054</v>
      </c>
      <c r="D127" s="112" t="s">
        <v>1040</v>
      </c>
      <c r="E127" s="122">
        <v>1.979166666666667</v>
      </c>
      <c r="F127" s="112" t="s">
        <v>643</v>
      </c>
      <c r="G127" s="114">
        <v>9</v>
      </c>
      <c r="H127" s="115" t="s">
        <v>1053</v>
      </c>
    </row>
    <row r="128" spans="1:8" ht="19.899999999999999" customHeight="1">
      <c r="A128" s="121">
        <v>46043</v>
      </c>
      <c r="B128" s="112" t="s">
        <v>68</v>
      </c>
      <c r="C128" s="113" t="s">
        <v>1056</v>
      </c>
      <c r="D128" s="112" t="s">
        <v>1040</v>
      </c>
      <c r="E128" s="122">
        <v>1.6736111111111109</v>
      </c>
      <c r="F128" s="112" t="s">
        <v>643</v>
      </c>
      <c r="G128" s="114">
        <v>9</v>
      </c>
      <c r="H128" s="115" t="s">
        <v>1053</v>
      </c>
    </row>
    <row r="129" spans="1:8" ht="19.899999999999999" customHeight="1">
      <c r="A129" s="121">
        <v>46043</v>
      </c>
      <c r="B129" s="112" t="s">
        <v>402</v>
      </c>
      <c r="C129" s="113" t="s">
        <v>1064</v>
      </c>
      <c r="D129" s="112" t="s">
        <v>1040</v>
      </c>
      <c r="E129" s="122">
        <v>1.694444444444444</v>
      </c>
      <c r="F129" s="112" t="s">
        <v>63</v>
      </c>
      <c r="G129" s="114">
        <v>6</v>
      </c>
      <c r="H129" s="115" t="s">
        <v>1058</v>
      </c>
    </row>
    <row r="130" spans="1:8" ht="19.899999999999999" customHeight="1">
      <c r="A130" s="121">
        <v>46043</v>
      </c>
      <c r="B130" s="112" t="s">
        <v>26</v>
      </c>
      <c r="C130" s="113" t="s">
        <v>1049</v>
      </c>
      <c r="D130" s="112" t="s">
        <v>1040</v>
      </c>
      <c r="E130" s="122">
        <v>1.9722222222222221</v>
      </c>
      <c r="F130" s="112" t="s">
        <v>31</v>
      </c>
      <c r="G130" s="114">
        <v>1</v>
      </c>
      <c r="H130" s="115" t="s">
        <v>35</v>
      </c>
    </row>
    <row r="131" spans="1:8" ht="19.899999999999999" customHeight="1">
      <c r="A131" s="121">
        <v>46043</v>
      </c>
      <c r="B131" s="112" t="s">
        <v>38</v>
      </c>
      <c r="C131" s="113" t="s">
        <v>1041</v>
      </c>
      <c r="D131" s="112" t="s">
        <v>1040</v>
      </c>
      <c r="E131" s="122">
        <v>1.447916666666667</v>
      </c>
      <c r="F131" s="112" t="s">
        <v>43</v>
      </c>
      <c r="G131" s="114">
        <v>10</v>
      </c>
      <c r="H131" s="115" t="s">
        <v>162</v>
      </c>
    </row>
    <row r="132" spans="1:8" ht="19.899999999999999" customHeight="1">
      <c r="A132" s="121">
        <v>46043</v>
      </c>
      <c r="B132" s="112" t="s">
        <v>26</v>
      </c>
      <c r="C132" s="113" t="s">
        <v>1049</v>
      </c>
      <c r="D132" s="112" t="s">
        <v>1040</v>
      </c>
      <c r="E132" s="122">
        <v>1.9722222222222221</v>
      </c>
      <c r="F132" s="112" t="s">
        <v>34</v>
      </c>
      <c r="G132" s="114">
        <v>1</v>
      </c>
      <c r="H132" s="115" t="s">
        <v>503</v>
      </c>
    </row>
    <row r="133" spans="1:8" ht="19.899999999999999" customHeight="1">
      <c r="A133" s="121">
        <v>46043</v>
      </c>
      <c r="B133" s="112" t="s">
        <v>359</v>
      </c>
      <c r="C133" s="113" t="s">
        <v>1065</v>
      </c>
      <c r="D133" s="112" t="s">
        <v>1040</v>
      </c>
      <c r="E133" s="122">
        <v>1.7847222222222221</v>
      </c>
      <c r="F133" s="112" t="s">
        <v>46</v>
      </c>
      <c r="G133" s="114">
        <v>9</v>
      </c>
      <c r="H133" s="115" t="s">
        <v>1101</v>
      </c>
    </row>
    <row r="134" spans="1:8" ht="19.899999999999999" customHeight="1">
      <c r="A134" s="121">
        <v>46043</v>
      </c>
      <c r="B134" s="112" t="s">
        <v>38</v>
      </c>
      <c r="C134" s="113" t="s">
        <v>1041</v>
      </c>
      <c r="D134" s="112" t="s">
        <v>1040</v>
      </c>
      <c r="E134" s="122">
        <v>1.447916666666667</v>
      </c>
      <c r="F134" s="112" t="s">
        <v>46</v>
      </c>
      <c r="G134" s="114">
        <v>10</v>
      </c>
      <c r="H134" s="115" t="s">
        <v>106</v>
      </c>
    </row>
    <row r="135" spans="1:8" ht="19.899999999999999" customHeight="1">
      <c r="A135" s="123">
        <v>46043</v>
      </c>
      <c r="B135" s="124" t="s">
        <v>48</v>
      </c>
      <c r="C135" s="125" t="s">
        <v>1060</v>
      </c>
      <c r="D135" s="124" t="s">
        <v>1040</v>
      </c>
      <c r="E135" s="126">
        <v>1.447916666666667</v>
      </c>
      <c r="F135" s="124" t="s">
        <v>53</v>
      </c>
      <c r="G135" s="127">
        <v>4</v>
      </c>
      <c r="H135" s="128" t="s">
        <v>946</v>
      </c>
    </row>
    <row r="136" spans="1:8" ht="19.899999999999999" customHeight="1">
      <c r="A136" s="136">
        <v>46044</v>
      </c>
      <c r="B136" s="132" t="s">
        <v>61</v>
      </c>
      <c r="C136" s="133" t="s">
        <v>1043</v>
      </c>
      <c r="D136" s="132" t="s">
        <v>1040</v>
      </c>
      <c r="E136" s="137">
        <v>1.7222222222222221</v>
      </c>
      <c r="F136" s="132" t="s">
        <v>63</v>
      </c>
      <c r="G136" s="134">
        <v>9</v>
      </c>
      <c r="H136" s="135" t="s">
        <v>1068</v>
      </c>
    </row>
    <row r="137" spans="1:8" ht="19.899999999999999" customHeight="1">
      <c r="A137" s="121">
        <v>46045</v>
      </c>
      <c r="B137" s="112" t="s">
        <v>68</v>
      </c>
      <c r="C137" s="113" t="s">
        <v>1052</v>
      </c>
      <c r="D137" s="112" t="s">
        <v>1040</v>
      </c>
      <c r="E137" s="122">
        <v>1.336805555555556</v>
      </c>
      <c r="F137" s="112" t="s">
        <v>643</v>
      </c>
      <c r="G137" s="114">
        <v>9</v>
      </c>
      <c r="H137" s="115" t="s">
        <v>830</v>
      </c>
    </row>
    <row r="138" spans="1:8" ht="19.899999999999999" customHeight="1">
      <c r="A138" s="129">
        <v>46045</v>
      </c>
      <c r="B138" s="117" t="s">
        <v>61</v>
      </c>
      <c r="C138" s="118" t="s">
        <v>1043</v>
      </c>
      <c r="D138" s="117" t="s">
        <v>1040</v>
      </c>
      <c r="E138" s="130">
        <v>1.381944444444444</v>
      </c>
      <c r="F138" s="117" t="s">
        <v>63</v>
      </c>
      <c r="G138" s="119">
        <v>1</v>
      </c>
      <c r="H138" s="120" t="s">
        <v>138</v>
      </c>
    </row>
    <row r="139" spans="1:8" ht="19.899999999999999" customHeight="1">
      <c r="A139" s="123">
        <v>46045</v>
      </c>
      <c r="B139" s="124" t="s">
        <v>402</v>
      </c>
      <c r="C139" s="125" t="s">
        <v>1064</v>
      </c>
      <c r="D139" s="124" t="s">
        <v>1040</v>
      </c>
      <c r="E139" s="126">
        <v>1.756944444444444</v>
      </c>
      <c r="F139" s="124" t="s">
        <v>63</v>
      </c>
      <c r="G139" s="127">
        <v>5</v>
      </c>
      <c r="H139" s="128" t="s">
        <v>1058</v>
      </c>
    </row>
    <row r="140" spans="1:8" ht="19.899999999999999" customHeight="1">
      <c r="A140" s="129">
        <v>46046</v>
      </c>
      <c r="B140" s="117" t="s">
        <v>61</v>
      </c>
      <c r="C140" s="118" t="s">
        <v>1043</v>
      </c>
      <c r="D140" s="117" t="s">
        <v>1040</v>
      </c>
      <c r="E140" s="130">
        <v>1.7222222222222221</v>
      </c>
      <c r="F140" s="117" t="s">
        <v>63</v>
      </c>
      <c r="G140" s="119">
        <v>2</v>
      </c>
      <c r="H140" s="120" t="s">
        <v>1068</v>
      </c>
    </row>
    <row r="141" spans="1:8" ht="19.899999999999999" customHeight="1">
      <c r="A141" s="123">
        <v>46046</v>
      </c>
      <c r="B141" s="124" t="s">
        <v>415</v>
      </c>
      <c r="C141" s="125" t="s">
        <v>1050</v>
      </c>
      <c r="D141" s="124" t="s">
        <v>1040</v>
      </c>
      <c r="E141" s="126">
        <v>1.3402777777777779</v>
      </c>
      <c r="F141" s="124" t="s">
        <v>63</v>
      </c>
      <c r="G141" s="127">
        <v>7</v>
      </c>
      <c r="H141" s="128" t="s">
        <v>133</v>
      </c>
    </row>
    <row r="142" spans="1:8" ht="19.899999999999999" customHeight="1">
      <c r="A142" s="121">
        <v>46047</v>
      </c>
      <c r="B142" s="112" t="s">
        <v>38</v>
      </c>
      <c r="C142" s="113" t="s">
        <v>1041</v>
      </c>
      <c r="D142" s="112" t="s">
        <v>1040</v>
      </c>
      <c r="E142" s="122">
        <v>1.447916666666667</v>
      </c>
      <c r="F142" s="112" t="s">
        <v>40</v>
      </c>
      <c r="G142" s="114">
        <v>10</v>
      </c>
      <c r="H142" s="115" t="s">
        <v>83</v>
      </c>
    </row>
    <row r="143" spans="1:8" ht="19.899999999999999" customHeight="1">
      <c r="A143" s="121">
        <v>46047</v>
      </c>
      <c r="B143" s="112" t="s">
        <v>415</v>
      </c>
      <c r="C143" s="113" t="s">
        <v>1071</v>
      </c>
      <c r="D143" s="112" t="s">
        <v>1040</v>
      </c>
      <c r="E143" s="122">
        <v>1.9201388888888891</v>
      </c>
      <c r="F143" s="112" t="s">
        <v>63</v>
      </c>
      <c r="G143" s="114">
        <v>1</v>
      </c>
      <c r="H143" s="115" t="s">
        <v>1051</v>
      </c>
    </row>
    <row r="144" spans="1:8" ht="19.899999999999999" customHeight="1">
      <c r="A144" s="121">
        <v>46047</v>
      </c>
      <c r="B144" s="112" t="s">
        <v>26</v>
      </c>
      <c r="C144" s="113" t="s">
        <v>1049</v>
      </c>
      <c r="D144" s="112" t="s">
        <v>1040</v>
      </c>
      <c r="E144" s="122">
        <v>1.9722222222222221</v>
      </c>
      <c r="F144" s="112" t="s">
        <v>28</v>
      </c>
      <c r="G144" s="114">
        <v>3</v>
      </c>
      <c r="H144" s="115" t="s">
        <v>426</v>
      </c>
    </row>
    <row r="145" spans="1:8" ht="19.899999999999999" customHeight="1">
      <c r="A145" s="121">
        <v>46047</v>
      </c>
      <c r="B145" s="112" t="s">
        <v>415</v>
      </c>
      <c r="C145" s="113" t="s">
        <v>1062</v>
      </c>
      <c r="D145" s="112" t="s">
        <v>1040</v>
      </c>
      <c r="E145" s="122">
        <v>1.006944444444444</v>
      </c>
      <c r="F145" s="112" t="s">
        <v>63</v>
      </c>
      <c r="G145" s="114">
        <v>7</v>
      </c>
      <c r="H145" s="115" t="s">
        <v>133</v>
      </c>
    </row>
    <row r="146" spans="1:8" ht="19.899999999999999" customHeight="1">
      <c r="A146" s="121">
        <v>46047</v>
      </c>
      <c r="B146" s="112" t="s">
        <v>68</v>
      </c>
      <c r="C146" s="113" t="s">
        <v>1052</v>
      </c>
      <c r="D146" s="112" t="s">
        <v>1040</v>
      </c>
      <c r="E146" s="122">
        <v>1.336805555555556</v>
      </c>
      <c r="F146" s="112" t="s">
        <v>643</v>
      </c>
      <c r="G146" s="114">
        <v>9</v>
      </c>
      <c r="H146" s="115" t="s">
        <v>1053</v>
      </c>
    </row>
    <row r="147" spans="1:8" ht="19.899999999999999" customHeight="1">
      <c r="A147" s="121">
        <v>46047</v>
      </c>
      <c r="B147" s="112" t="s">
        <v>68</v>
      </c>
      <c r="C147" s="113" t="s">
        <v>1054</v>
      </c>
      <c r="D147" s="112" t="s">
        <v>1040</v>
      </c>
      <c r="E147" s="122">
        <v>1.979166666666667</v>
      </c>
      <c r="F147" s="112" t="s">
        <v>643</v>
      </c>
      <c r="G147" s="114">
        <v>9</v>
      </c>
      <c r="H147" s="115" t="s">
        <v>1053</v>
      </c>
    </row>
    <row r="148" spans="1:8" ht="19.899999999999999" customHeight="1">
      <c r="A148" s="121">
        <v>46047</v>
      </c>
      <c r="B148" s="112" t="s">
        <v>402</v>
      </c>
      <c r="C148" s="113" t="s">
        <v>1059</v>
      </c>
      <c r="D148" s="112" t="s">
        <v>1040</v>
      </c>
      <c r="E148" s="122">
        <v>1.756944444444444</v>
      </c>
      <c r="F148" s="112" t="s">
        <v>63</v>
      </c>
      <c r="G148" s="114">
        <v>5</v>
      </c>
      <c r="H148" s="115" t="s">
        <v>1058</v>
      </c>
    </row>
    <row r="149" spans="1:8" ht="19.899999999999999" customHeight="1">
      <c r="A149" s="121">
        <v>46047</v>
      </c>
      <c r="B149" s="112" t="s">
        <v>68</v>
      </c>
      <c r="C149" s="113" t="s">
        <v>1056</v>
      </c>
      <c r="D149" s="112" t="s">
        <v>1040</v>
      </c>
      <c r="E149" s="122">
        <v>1.6736111111111109</v>
      </c>
      <c r="F149" s="112" t="s">
        <v>70</v>
      </c>
      <c r="G149" s="114">
        <v>9</v>
      </c>
      <c r="H149" s="115" t="s">
        <v>1055</v>
      </c>
    </row>
    <row r="150" spans="1:8" ht="19.899999999999999" customHeight="1">
      <c r="A150" s="121">
        <v>46047</v>
      </c>
      <c r="B150" s="112" t="s">
        <v>38</v>
      </c>
      <c r="C150" s="113" t="s">
        <v>1041</v>
      </c>
      <c r="D150" s="112" t="s">
        <v>1040</v>
      </c>
      <c r="E150" s="122">
        <v>1.447916666666667</v>
      </c>
      <c r="F150" s="112" t="s">
        <v>43</v>
      </c>
      <c r="G150" s="114">
        <v>10</v>
      </c>
      <c r="H150" s="115" t="s">
        <v>162</v>
      </c>
    </row>
    <row r="151" spans="1:8" ht="19.899999999999999" customHeight="1">
      <c r="A151" s="121">
        <v>46047</v>
      </c>
      <c r="B151" s="112" t="s">
        <v>26</v>
      </c>
      <c r="C151" s="113" t="s">
        <v>1049</v>
      </c>
      <c r="D151" s="112" t="s">
        <v>1040</v>
      </c>
      <c r="E151" s="122">
        <v>1.9722222222222221</v>
      </c>
      <c r="F151" s="112" t="s">
        <v>31</v>
      </c>
      <c r="G151" s="114">
        <v>3</v>
      </c>
      <c r="H151" s="115" t="s">
        <v>150</v>
      </c>
    </row>
    <row r="152" spans="1:8" ht="19.899999999999999" customHeight="1">
      <c r="A152" s="121">
        <v>46047</v>
      </c>
      <c r="B152" s="112" t="s">
        <v>26</v>
      </c>
      <c r="C152" s="113" t="s">
        <v>1049</v>
      </c>
      <c r="D152" s="112" t="s">
        <v>1040</v>
      </c>
      <c r="E152" s="122">
        <v>1.9722222222222221</v>
      </c>
      <c r="F152" s="112" t="s">
        <v>34</v>
      </c>
      <c r="G152" s="114">
        <v>3</v>
      </c>
      <c r="H152" s="115" t="s">
        <v>178</v>
      </c>
    </row>
    <row r="153" spans="1:8" ht="19.899999999999999" customHeight="1">
      <c r="A153" s="121">
        <v>46047</v>
      </c>
      <c r="B153" s="112" t="s">
        <v>38</v>
      </c>
      <c r="C153" s="113" t="s">
        <v>1041</v>
      </c>
      <c r="D153" s="112" t="s">
        <v>1040</v>
      </c>
      <c r="E153" s="122">
        <v>1.447916666666667</v>
      </c>
      <c r="F153" s="112" t="s">
        <v>46</v>
      </c>
      <c r="G153" s="114">
        <v>10</v>
      </c>
      <c r="H153" s="115" t="s">
        <v>106</v>
      </c>
    </row>
    <row r="154" spans="1:8" ht="19.899999999999999" customHeight="1">
      <c r="A154" s="123">
        <v>46047</v>
      </c>
      <c r="B154" s="124" t="s">
        <v>48</v>
      </c>
      <c r="C154" s="125" t="s">
        <v>1060</v>
      </c>
      <c r="D154" s="124" t="s">
        <v>1040</v>
      </c>
      <c r="E154" s="126">
        <v>1.447916666666667</v>
      </c>
      <c r="F154" s="124" t="s">
        <v>53</v>
      </c>
      <c r="G154" s="127">
        <v>4</v>
      </c>
      <c r="H154" s="128" t="s">
        <v>946</v>
      </c>
    </row>
    <row r="155" spans="1:8" ht="19.899999999999999" customHeight="1">
      <c r="A155" s="121">
        <v>46048</v>
      </c>
      <c r="B155" s="112" t="s">
        <v>38</v>
      </c>
      <c r="C155" s="113" t="s">
        <v>1041</v>
      </c>
      <c r="D155" s="112" t="s">
        <v>1040</v>
      </c>
      <c r="E155" s="122">
        <v>1.447916666666667</v>
      </c>
      <c r="F155" s="112" t="s">
        <v>40</v>
      </c>
      <c r="G155" s="114">
        <v>10</v>
      </c>
      <c r="H155" s="115" t="s">
        <v>83</v>
      </c>
    </row>
    <row r="156" spans="1:8" ht="19.899999999999999" customHeight="1">
      <c r="A156" s="121">
        <v>46048</v>
      </c>
      <c r="B156" s="112" t="s">
        <v>26</v>
      </c>
      <c r="C156" s="113" t="s">
        <v>1049</v>
      </c>
      <c r="D156" s="112" t="s">
        <v>1040</v>
      </c>
      <c r="E156" s="122">
        <v>1.9722222222222221</v>
      </c>
      <c r="F156" s="112" t="s">
        <v>28</v>
      </c>
      <c r="G156" s="114">
        <v>4</v>
      </c>
      <c r="H156" s="115" t="s">
        <v>349</v>
      </c>
    </row>
    <row r="157" spans="1:8" ht="19.899999999999999" customHeight="1">
      <c r="A157" s="121">
        <v>46048</v>
      </c>
      <c r="B157" s="112" t="s">
        <v>26</v>
      </c>
      <c r="C157" s="113" t="s">
        <v>1047</v>
      </c>
      <c r="D157" s="112" t="s">
        <v>1040</v>
      </c>
      <c r="E157" s="122">
        <v>1.336805555555556</v>
      </c>
      <c r="F157" s="112" t="s">
        <v>28</v>
      </c>
      <c r="G157" s="114">
        <v>5</v>
      </c>
      <c r="H157" s="115" t="s">
        <v>426</v>
      </c>
    </row>
    <row r="158" spans="1:8" ht="19.899999999999999" customHeight="1">
      <c r="A158" s="121">
        <v>46048</v>
      </c>
      <c r="B158" s="112" t="s">
        <v>68</v>
      </c>
      <c r="C158" s="113" t="s">
        <v>1052</v>
      </c>
      <c r="D158" s="112" t="s">
        <v>1040</v>
      </c>
      <c r="E158" s="122">
        <v>1.336805555555556</v>
      </c>
      <c r="F158" s="112" t="s">
        <v>643</v>
      </c>
      <c r="G158" s="114">
        <v>9</v>
      </c>
      <c r="H158" s="115" t="s">
        <v>1053</v>
      </c>
    </row>
    <row r="159" spans="1:8" ht="19.899999999999999" customHeight="1">
      <c r="A159" s="121">
        <v>46048</v>
      </c>
      <c r="B159" s="112" t="s">
        <v>68</v>
      </c>
      <c r="C159" s="113" t="s">
        <v>1054</v>
      </c>
      <c r="D159" s="112" t="s">
        <v>1040</v>
      </c>
      <c r="E159" s="122">
        <v>1.979166666666667</v>
      </c>
      <c r="F159" s="112" t="s">
        <v>643</v>
      </c>
      <c r="G159" s="114">
        <v>9</v>
      </c>
      <c r="H159" s="115" t="s">
        <v>1053</v>
      </c>
    </row>
    <row r="160" spans="1:8" ht="19.899999999999999" customHeight="1">
      <c r="A160" s="121">
        <v>46048</v>
      </c>
      <c r="B160" s="112" t="s">
        <v>68</v>
      </c>
      <c r="C160" s="113" t="s">
        <v>1056</v>
      </c>
      <c r="D160" s="112" t="s">
        <v>1040</v>
      </c>
      <c r="E160" s="122">
        <v>1.6736111111111109</v>
      </c>
      <c r="F160" s="112" t="s">
        <v>643</v>
      </c>
      <c r="G160" s="114">
        <v>9</v>
      </c>
      <c r="H160" s="115" t="s">
        <v>1053</v>
      </c>
    </row>
    <row r="161" spans="1:8" ht="19.899999999999999" customHeight="1">
      <c r="A161" s="121">
        <v>46048</v>
      </c>
      <c r="B161" s="112" t="s">
        <v>402</v>
      </c>
      <c r="C161" s="113" t="s">
        <v>1064</v>
      </c>
      <c r="D161" s="112" t="s">
        <v>1040</v>
      </c>
      <c r="E161" s="122">
        <v>1.756944444444444</v>
      </c>
      <c r="F161" s="112" t="s">
        <v>63</v>
      </c>
      <c r="G161" s="114">
        <v>7</v>
      </c>
      <c r="H161" s="115" t="s">
        <v>1058</v>
      </c>
    </row>
    <row r="162" spans="1:8" ht="19.899999999999999" customHeight="1">
      <c r="A162" s="121">
        <v>46048</v>
      </c>
      <c r="B162" s="112" t="s">
        <v>26</v>
      </c>
      <c r="C162" s="113" t="s">
        <v>1049</v>
      </c>
      <c r="D162" s="112" t="s">
        <v>1040</v>
      </c>
      <c r="E162" s="122">
        <v>1.9722222222222221</v>
      </c>
      <c r="F162" s="112" t="s">
        <v>31</v>
      </c>
      <c r="G162" s="114">
        <v>4</v>
      </c>
      <c r="H162" s="115" t="s">
        <v>35</v>
      </c>
    </row>
    <row r="163" spans="1:8" ht="19.899999999999999" customHeight="1">
      <c r="A163" s="121">
        <v>46048</v>
      </c>
      <c r="B163" s="112" t="s">
        <v>38</v>
      </c>
      <c r="C163" s="113" t="s">
        <v>1041</v>
      </c>
      <c r="D163" s="112" t="s">
        <v>1040</v>
      </c>
      <c r="E163" s="122">
        <v>1.447916666666667</v>
      </c>
      <c r="F163" s="112" t="s">
        <v>43</v>
      </c>
      <c r="G163" s="114">
        <v>10</v>
      </c>
      <c r="H163" s="115" t="s">
        <v>162</v>
      </c>
    </row>
    <row r="164" spans="1:8" ht="19.899999999999999" customHeight="1">
      <c r="A164" s="121">
        <v>46048</v>
      </c>
      <c r="B164" s="112" t="s">
        <v>26</v>
      </c>
      <c r="C164" s="113" t="s">
        <v>1047</v>
      </c>
      <c r="D164" s="112" t="s">
        <v>1040</v>
      </c>
      <c r="E164" s="122">
        <v>1.336805555555556</v>
      </c>
      <c r="F164" s="112" t="s">
        <v>31</v>
      </c>
      <c r="G164" s="114">
        <v>5</v>
      </c>
      <c r="H164" s="115" t="s">
        <v>150</v>
      </c>
    </row>
    <row r="165" spans="1:8" ht="19.899999999999999" customHeight="1">
      <c r="A165" s="121">
        <v>46048</v>
      </c>
      <c r="B165" s="112" t="s">
        <v>26</v>
      </c>
      <c r="C165" s="113" t="s">
        <v>1049</v>
      </c>
      <c r="D165" s="112" t="s">
        <v>1040</v>
      </c>
      <c r="E165" s="122">
        <v>1.9722222222222221</v>
      </c>
      <c r="F165" s="112" t="s">
        <v>34</v>
      </c>
      <c r="G165" s="114">
        <v>4</v>
      </c>
      <c r="H165" s="115" t="s">
        <v>503</v>
      </c>
    </row>
    <row r="166" spans="1:8" ht="19.899999999999999" customHeight="1">
      <c r="A166" s="121">
        <v>46048</v>
      </c>
      <c r="B166" s="112" t="s">
        <v>26</v>
      </c>
      <c r="C166" s="113" t="s">
        <v>1047</v>
      </c>
      <c r="D166" s="112" t="s">
        <v>1040</v>
      </c>
      <c r="E166" s="122">
        <v>1.336805555555556</v>
      </c>
      <c r="F166" s="112" t="s">
        <v>34</v>
      </c>
      <c r="G166" s="114">
        <v>5</v>
      </c>
      <c r="H166" s="115" t="s">
        <v>178</v>
      </c>
    </row>
    <row r="167" spans="1:8" ht="19.899999999999999" customHeight="1">
      <c r="A167" s="121">
        <v>46048</v>
      </c>
      <c r="B167" s="112" t="s">
        <v>38</v>
      </c>
      <c r="C167" s="113" t="s">
        <v>1041</v>
      </c>
      <c r="D167" s="112" t="s">
        <v>1040</v>
      </c>
      <c r="E167" s="122">
        <v>1.447916666666667</v>
      </c>
      <c r="F167" s="112" t="s">
        <v>46</v>
      </c>
      <c r="G167" s="114">
        <v>10</v>
      </c>
      <c r="H167" s="115" t="s">
        <v>106</v>
      </c>
    </row>
    <row r="168" spans="1:8" ht="19.899999999999999" customHeight="1">
      <c r="A168" s="123">
        <v>46048</v>
      </c>
      <c r="B168" s="124" t="s">
        <v>48</v>
      </c>
      <c r="C168" s="125" t="s">
        <v>1060</v>
      </c>
      <c r="D168" s="124" t="s">
        <v>1040</v>
      </c>
      <c r="E168" s="126">
        <v>1.447916666666667</v>
      </c>
      <c r="F168" s="124" t="s">
        <v>53</v>
      </c>
      <c r="G168" s="127">
        <v>4</v>
      </c>
      <c r="H168" s="128" t="s">
        <v>946</v>
      </c>
    </row>
    <row r="169" spans="1:8" ht="19.899999999999999" customHeight="1">
      <c r="A169" s="136">
        <v>46049</v>
      </c>
      <c r="B169" s="132" t="s">
        <v>61</v>
      </c>
      <c r="C169" s="133" t="s">
        <v>1043</v>
      </c>
      <c r="D169" s="132" t="s">
        <v>1040</v>
      </c>
      <c r="E169" s="137">
        <v>1.069444444444444</v>
      </c>
      <c r="F169" s="132" t="s">
        <v>63</v>
      </c>
      <c r="G169" s="134">
        <v>3</v>
      </c>
      <c r="H169" s="135" t="s">
        <v>1076</v>
      </c>
    </row>
    <row r="170" spans="1:8" ht="19.899999999999999" customHeight="1">
      <c r="A170" s="121">
        <v>46050</v>
      </c>
      <c r="B170" s="112" t="s">
        <v>38</v>
      </c>
      <c r="C170" s="113" t="s">
        <v>1041</v>
      </c>
      <c r="D170" s="112" t="s">
        <v>1040</v>
      </c>
      <c r="E170" s="122">
        <v>1.447916666666667</v>
      </c>
      <c r="F170" s="112" t="s">
        <v>40</v>
      </c>
      <c r="G170" s="114">
        <v>10</v>
      </c>
      <c r="H170" s="115" t="s">
        <v>83</v>
      </c>
    </row>
    <row r="171" spans="1:8" ht="19.899999999999999" customHeight="1">
      <c r="A171" s="121">
        <v>46050</v>
      </c>
      <c r="B171" s="112" t="s">
        <v>26</v>
      </c>
      <c r="C171" s="113" t="s">
        <v>1049</v>
      </c>
      <c r="D171" s="112" t="s">
        <v>1040</v>
      </c>
      <c r="E171" s="122">
        <v>1.9722222222222221</v>
      </c>
      <c r="F171" s="112" t="s">
        <v>28</v>
      </c>
      <c r="G171" s="114">
        <v>2</v>
      </c>
      <c r="H171" s="115" t="s">
        <v>349</v>
      </c>
    </row>
    <row r="172" spans="1:8" ht="19.899999999999999" customHeight="1">
      <c r="A172" s="121">
        <v>46050</v>
      </c>
      <c r="B172" s="112" t="s">
        <v>359</v>
      </c>
      <c r="C172" s="113" t="s">
        <v>1065</v>
      </c>
      <c r="D172" s="112" t="s">
        <v>1040</v>
      </c>
      <c r="E172" s="122">
        <v>1.7847222222222221</v>
      </c>
      <c r="F172" s="112" t="s">
        <v>361</v>
      </c>
      <c r="G172" s="114">
        <v>9</v>
      </c>
      <c r="H172" s="115" t="s">
        <v>1100</v>
      </c>
    </row>
    <row r="173" spans="1:8" ht="19.899999999999999" customHeight="1">
      <c r="A173" s="121">
        <v>46050</v>
      </c>
      <c r="B173" s="112" t="s">
        <v>68</v>
      </c>
      <c r="C173" s="113" t="s">
        <v>1052</v>
      </c>
      <c r="D173" s="112" t="s">
        <v>1040</v>
      </c>
      <c r="E173" s="122">
        <v>1.336805555555556</v>
      </c>
      <c r="F173" s="112" t="s">
        <v>643</v>
      </c>
      <c r="G173" s="114">
        <v>9</v>
      </c>
      <c r="H173" s="115" t="s">
        <v>1053</v>
      </c>
    </row>
    <row r="174" spans="1:8" ht="19.899999999999999" customHeight="1">
      <c r="A174" s="121">
        <v>46050</v>
      </c>
      <c r="B174" s="112" t="s">
        <v>68</v>
      </c>
      <c r="C174" s="113" t="s">
        <v>1054</v>
      </c>
      <c r="D174" s="112" t="s">
        <v>1040</v>
      </c>
      <c r="E174" s="122">
        <v>1.979166666666667</v>
      </c>
      <c r="F174" s="112" t="s">
        <v>643</v>
      </c>
      <c r="G174" s="114">
        <v>9</v>
      </c>
      <c r="H174" s="115" t="s">
        <v>1053</v>
      </c>
    </row>
    <row r="175" spans="1:8" ht="19.899999999999999" customHeight="1">
      <c r="A175" s="121">
        <v>46050</v>
      </c>
      <c r="B175" s="112" t="s">
        <v>68</v>
      </c>
      <c r="C175" s="113" t="s">
        <v>1056</v>
      </c>
      <c r="D175" s="112" t="s">
        <v>1040</v>
      </c>
      <c r="E175" s="122">
        <v>1.6736111111111109</v>
      </c>
      <c r="F175" s="112" t="s">
        <v>643</v>
      </c>
      <c r="G175" s="114">
        <v>9</v>
      </c>
      <c r="H175" s="115" t="s">
        <v>1053</v>
      </c>
    </row>
    <row r="176" spans="1:8" ht="19.899999999999999" customHeight="1">
      <c r="A176" s="121">
        <v>46050</v>
      </c>
      <c r="B176" s="112" t="s">
        <v>402</v>
      </c>
      <c r="C176" s="113" t="s">
        <v>1064</v>
      </c>
      <c r="D176" s="112" t="s">
        <v>1040</v>
      </c>
      <c r="E176" s="122">
        <v>1.694444444444444</v>
      </c>
      <c r="F176" s="112" t="s">
        <v>63</v>
      </c>
      <c r="G176" s="114">
        <v>6</v>
      </c>
      <c r="H176" s="115" t="s">
        <v>1058</v>
      </c>
    </row>
    <row r="177" spans="1:8" ht="19.899999999999999" customHeight="1">
      <c r="A177" s="121">
        <v>46050</v>
      </c>
      <c r="B177" s="112" t="s">
        <v>26</v>
      </c>
      <c r="C177" s="113" t="s">
        <v>1049</v>
      </c>
      <c r="D177" s="112" t="s">
        <v>1040</v>
      </c>
      <c r="E177" s="122">
        <v>1.9722222222222221</v>
      </c>
      <c r="F177" s="112" t="s">
        <v>31</v>
      </c>
      <c r="G177" s="114">
        <v>2</v>
      </c>
      <c r="H177" s="115" t="s">
        <v>35</v>
      </c>
    </row>
    <row r="178" spans="1:8" ht="19.899999999999999" customHeight="1">
      <c r="A178" s="121">
        <v>46050</v>
      </c>
      <c r="B178" s="112" t="s">
        <v>38</v>
      </c>
      <c r="C178" s="113" t="s">
        <v>1041</v>
      </c>
      <c r="D178" s="112" t="s">
        <v>1040</v>
      </c>
      <c r="E178" s="122">
        <v>1.447916666666667</v>
      </c>
      <c r="F178" s="112" t="s">
        <v>43</v>
      </c>
      <c r="G178" s="114">
        <v>10</v>
      </c>
      <c r="H178" s="115" t="s">
        <v>162</v>
      </c>
    </row>
    <row r="179" spans="1:8" ht="19.899999999999999" customHeight="1">
      <c r="A179" s="121">
        <v>46050</v>
      </c>
      <c r="B179" s="112" t="s">
        <v>26</v>
      </c>
      <c r="C179" s="113" t="s">
        <v>1049</v>
      </c>
      <c r="D179" s="112" t="s">
        <v>1040</v>
      </c>
      <c r="E179" s="122">
        <v>1.9722222222222221</v>
      </c>
      <c r="F179" s="112" t="s">
        <v>34</v>
      </c>
      <c r="G179" s="114">
        <v>2</v>
      </c>
      <c r="H179" s="115" t="s">
        <v>503</v>
      </c>
    </row>
    <row r="180" spans="1:8" ht="19.899999999999999" customHeight="1">
      <c r="A180" s="121">
        <v>46050</v>
      </c>
      <c r="B180" s="112" t="s">
        <v>359</v>
      </c>
      <c r="C180" s="113" t="s">
        <v>1065</v>
      </c>
      <c r="D180" s="112" t="s">
        <v>1040</v>
      </c>
      <c r="E180" s="122">
        <v>1.7847222222222221</v>
      </c>
      <c r="F180" s="112" t="s">
        <v>46</v>
      </c>
      <c r="G180" s="114">
        <v>9</v>
      </c>
      <c r="H180" s="115" t="s">
        <v>1101</v>
      </c>
    </row>
    <row r="181" spans="1:8" ht="19.899999999999999" customHeight="1">
      <c r="A181" s="121">
        <v>46050</v>
      </c>
      <c r="B181" s="112" t="s">
        <v>38</v>
      </c>
      <c r="C181" s="113" t="s">
        <v>1041</v>
      </c>
      <c r="D181" s="112" t="s">
        <v>1040</v>
      </c>
      <c r="E181" s="122">
        <v>1.447916666666667</v>
      </c>
      <c r="F181" s="112" t="s">
        <v>46</v>
      </c>
      <c r="G181" s="114">
        <v>10</v>
      </c>
      <c r="H181" s="115" t="s">
        <v>106</v>
      </c>
    </row>
    <row r="182" spans="1:8" ht="19.899999999999999" customHeight="1">
      <c r="A182" s="123">
        <v>46050</v>
      </c>
      <c r="B182" s="124" t="s">
        <v>48</v>
      </c>
      <c r="C182" s="125" t="s">
        <v>1060</v>
      </c>
      <c r="D182" s="124" t="s">
        <v>1040</v>
      </c>
      <c r="E182" s="126">
        <v>1.447916666666667</v>
      </c>
      <c r="F182" s="124" t="s">
        <v>53</v>
      </c>
      <c r="G182" s="127">
        <v>4</v>
      </c>
      <c r="H182" s="128" t="s">
        <v>946</v>
      </c>
    </row>
    <row r="183" spans="1:8" ht="19.899999999999999" customHeight="1">
      <c r="A183" s="136">
        <v>46051</v>
      </c>
      <c r="B183" s="132" t="s">
        <v>61</v>
      </c>
      <c r="C183" s="133" t="s">
        <v>1043</v>
      </c>
      <c r="D183" s="132" t="s">
        <v>1040</v>
      </c>
      <c r="E183" s="137">
        <v>1.7222222222222221</v>
      </c>
      <c r="F183" s="132" t="s">
        <v>63</v>
      </c>
      <c r="G183" s="134">
        <v>2</v>
      </c>
      <c r="H183" s="135" t="s">
        <v>856</v>
      </c>
    </row>
    <row r="184" spans="1:8" ht="19.899999999999999" customHeight="1">
      <c r="A184" s="136">
        <v>46052</v>
      </c>
      <c r="B184" s="132" t="s">
        <v>61</v>
      </c>
      <c r="C184" s="133" t="s">
        <v>1043</v>
      </c>
      <c r="D184" s="132" t="s">
        <v>1040</v>
      </c>
      <c r="E184" s="137">
        <v>1.381944444444444</v>
      </c>
      <c r="F184" s="132" t="s">
        <v>63</v>
      </c>
      <c r="G184" s="134">
        <v>7</v>
      </c>
      <c r="H184" s="135" t="s">
        <v>856</v>
      </c>
    </row>
    <row r="185" spans="1:8" ht="19.899999999999999" customHeight="1">
      <c r="A185" s="136">
        <v>46053</v>
      </c>
      <c r="B185" s="132" t="s">
        <v>61</v>
      </c>
      <c r="C185" s="133" t="s">
        <v>1043</v>
      </c>
      <c r="D185" s="132" t="s">
        <v>1040</v>
      </c>
      <c r="E185" s="137">
        <v>1.7222222222222221</v>
      </c>
      <c r="F185" s="132" t="s">
        <v>63</v>
      </c>
      <c r="G185" s="134">
        <v>6</v>
      </c>
      <c r="H185" s="135" t="s">
        <v>1106</v>
      </c>
    </row>
  </sheetData>
  <pageMargins left="0.75" right="0.75" top="1" bottom="1" header="0.5" footer="0.5"/>
  <legacyDrawing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139"/>
  <sheetViews>
    <sheetView workbookViewId="0"/>
  </sheetViews>
  <sheetFormatPr defaultRowHeight="14.45"/>
  <cols>
    <col min="1" max="2" width="15.7109375" bestFit="1" customWidth="1"/>
    <col min="3" max="3" width="14.7109375" bestFit="1" customWidth="1"/>
    <col min="4" max="4" width="33" bestFit="1" customWidth="1"/>
    <col min="5" max="5" width="20.140625" bestFit="1" customWidth="1"/>
    <col min="6" max="6" width="23.42578125" bestFit="1" customWidth="1"/>
    <col min="7" max="7" width="40.5703125" bestFit="1" customWidth="1"/>
    <col min="8" max="8" width="9.42578125" bestFit="1" customWidth="1"/>
    <col min="9" max="9" width="6.710937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6.28515625" bestFit="1" customWidth="1"/>
    <col min="17" max="17" width="12.28515625" bestFit="1" customWidth="1"/>
    <col min="18" max="18" width="16" bestFit="1" customWidth="1"/>
  </cols>
  <sheetData>
    <row r="1" spans="1:92" ht="28.9" customHeight="1">
      <c r="A1" s="291" t="s">
        <v>0</v>
      </c>
      <c r="B1" s="294"/>
      <c r="C1" s="294"/>
      <c r="D1" s="294"/>
      <c r="E1" s="294"/>
      <c r="F1" s="1" t="s">
        <v>1123</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45980.610418535478</v>
      </c>
      <c r="H2" s="294"/>
      <c r="I2" s="294"/>
      <c r="J2" s="294"/>
      <c r="K2" s="287">
        <v>45980.610418535893</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46024</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67" t="s">
        <v>61</v>
      </c>
      <c r="B6" s="67" t="s">
        <v>1124</v>
      </c>
      <c r="C6" s="68">
        <v>7.2916666666666671E-2</v>
      </c>
      <c r="D6" s="67" t="s">
        <v>63</v>
      </c>
      <c r="E6" s="67" t="s">
        <v>156</v>
      </c>
      <c r="F6" s="67" t="s">
        <v>1076</v>
      </c>
      <c r="G6" s="297"/>
      <c r="H6" s="69" t="s">
        <v>1125</v>
      </c>
      <c r="I6" s="70">
        <v>7.22E-2</v>
      </c>
      <c r="J6" s="71">
        <v>13</v>
      </c>
      <c r="K6" s="72">
        <v>46344</v>
      </c>
      <c r="L6" s="71">
        <v>13</v>
      </c>
      <c r="M6" s="71">
        <v>0</v>
      </c>
      <c r="N6" s="71">
        <v>0</v>
      </c>
      <c r="O6" s="73" t="s">
        <v>570</v>
      </c>
      <c r="P6" s="74">
        <v>7.2916666666666671E-2</v>
      </c>
      <c r="Q6" s="71">
        <v>180</v>
      </c>
      <c r="R6" s="75" t="s">
        <v>1126</v>
      </c>
    </row>
    <row r="7" spans="1:92" ht="18">
      <c r="A7" s="292" t="s">
        <v>1127</v>
      </c>
      <c r="B7" s="303"/>
      <c r="C7" s="303"/>
      <c r="D7" s="303"/>
      <c r="E7" s="303"/>
      <c r="F7" s="304"/>
      <c r="G7" s="298"/>
      <c r="H7" s="138"/>
      <c r="I7" s="138"/>
      <c r="J7" s="138"/>
      <c r="K7" s="138"/>
      <c r="L7" s="138"/>
      <c r="M7" s="138"/>
      <c r="N7" s="138"/>
      <c r="O7" s="139"/>
      <c r="P7" s="138"/>
      <c r="Q7" s="107"/>
      <c r="R7" s="107"/>
    </row>
    <row r="8" spans="1:92" ht="15" customHeight="1">
      <c r="A8" s="17" t="s">
        <v>38</v>
      </c>
      <c r="B8" s="17" t="s">
        <v>1041</v>
      </c>
      <c r="C8" s="18" t="s">
        <v>1122</v>
      </c>
      <c r="D8" s="17" t="s">
        <v>40</v>
      </c>
      <c r="E8" s="17" t="s">
        <v>652</v>
      </c>
      <c r="F8" s="17" t="s">
        <v>149</v>
      </c>
      <c r="G8" s="298"/>
      <c r="H8" s="138"/>
      <c r="I8" s="138"/>
      <c r="J8" s="138"/>
      <c r="K8" s="138"/>
      <c r="L8" s="138"/>
      <c r="M8" s="138"/>
      <c r="N8" s="138"/>
      <c r="O8" s="139"/>
      <c r="P8" s="138"/>
      <c r="Q8" s="107"/>
      <c r="R8" s="107"/>
    </row>
    <row r="9" spans="1:92" ht="15" customHeight="1">
      <c r="A9" s="17" t="s">
        <v>61</v>
      </c>
      <c r="B9" s="17" t="s">
        <v>1043</v>
      </c>
      <c r="C9" s="18" t="s">
        <v>231</v>
      </c>
      <c r="D9" s="17" t="s">
        <v>63</v>
      </c>
      <c r="E9" s="17" t="s">
        <v>636</v>
      </c>
      <c r="F9" s="17" t="s">
        <v>1044</v>
      </c>
      <c r="G9" s="298"/>
      <c r="H9" s="138"/>
      <c r="I9" s="138"/>
      <c r="J9" s="138"/>
      <c r="K9" s="138"/>
      <c r="L9" s="138"/>
      <c r="M9" s="138"/>
      <c r="N9" s="138"/>
      <c r="O9" s="139"/>
      <c r="P9" s="138"/>
      <c r="Q9" s="107"/>
      <c r="R9" s="107"/>
    </row>
    <row r="10" spans="1:92" ht="15" customHeight="1">
      <c r="A10" s="17" t="s">
        <v>26</v>
      </c>
      <c r="B10" s="17" t="s">
        <v>1049</v>
      </c>
      <c r="C10" s="18" t="s">
        <v>1128</v>
      </c>
      <c r="D10" s="17" t="s">
        <v>28</v>
      </c>
      <c r="E10" s="17" t="s">
        <v>286</v>
      </c>
      <c r="F10" s="17" t="s">
        <v>349</v>
      </c>
      <c r="G10" s="298"/>
      <c r="H10" s="138"/>
      <c r="I10" s="138"/>
      <c r="J10" s="138"/>
      <c r="K10" s="138"/>
      <c r="L10" s="138"/>
      <c r="M10" s="138"/>
      <c r="N10" s="138"/>
      <c r="O10" s="139"/>
      <c r="P10" s="138"/>
      <c r="Q10" s="107"/>
      <c r="R10" s="107"/>
    </row>
    <row r="11" spans="1:92" ht="15" customHeight="1">
      <c r="A11" s="17" t="s">
        <v>415</v>
      </c>
      <c r="B11" s="17" t="s">
        <v>1062</v>
      </c>
      <c r="C11" s="18" t="s">
        <v>1129</v>
      </c>
      <c r="D11" s="17" t="s">
        <v>63</v>
      </c>
      <c r="E11" s="17" t="s">
        <v>636</v>
      </c>
      <c r="F11" s="17" t="s">
        <v>1051</v>
      </c>
      <c r="G11" s="298"/>
      <c r="H11" s="138"/>
      <c r="I11" s="138"/>
      <c r="J11" s="138"/>
      <c r="K11" s="138"/>
      <c r="L11" s="138"/>
      <c r="M11" s="138"/>
      <c r="N11" s="138"/>
      <c r="O11" s="139"/>
      <c r="P11" s="138"/>
      <c r="Q11" s="107"/>
      <c r="R11" s="107"/>
    </row>
    <row r="12" spans="1:92" ht="15" customHeight="1">
      <c r="A12" s="17" t="s">
        <v>68</v>
      </c>
      <c r="B12" s="17" t="s">
        <v>1052</v>
      </c>
      <c r="C12" s="18" t="s">
        <v>282</v>
      </c>
      <c r="D12" s="17" t="s">
        <v>643</v>
      </c>
      <c r="E12" s="17" t="s">
        <v>269</v>
      </c>
      <c r="F12" s="17" t="s">
        <v>830</v>
      </c>
      <c r="G12" s="298"/>
      <c r="H12" s="138"/>
      <c r="I12" s="138"/>
      <c r="J12" s="138"/>
      <c r="K12" s="138"/>
      <c r="L12" s="138"/>
      <c r="M12" s="138"/>
      <c r="N12" s="138"/>
      <c r="O12" s="139"/>
      <c r="P12" s="138"/>
      <c r="Q12" s="107"/>
      <c r="R12" s="107"/>
    </row>
    <row r="13" spans="1:92" ht="15" customHeight="1">
      <c r="A13" s="17" t="s">
        <v>402</v>
      </c>
      <c r="B13" s="17" t="s">
        <v>1064</v>
      </c>
      <c r="C13" s="18" t="s">
        <v>578</v>
      </c>
      <c r="D13" s="17" t="s">
        <v>63</v>
      </c>
      <c r="E13" s="17" t="s">
        <v>286</v>
      </c>
      <c r="F13" s="17" t="s">
        <v>1058</v>
      </c>
      <c r="G13" s="298"/>
      <c r="H13" s="138"/>
      <c r="I13" s="138"/>
      <c r="J13" s="138"/>
      <c r="K13" s="138"/>
      <c r="L13" s="138"/>
      <c r="M13" s="138"/>
      <c r="N13" s="138"/>
      <c r="O13" s="139"/>
      <c r="P13" s="138"/>
      <c r="Q13" s="107"/>
      <c r="R13" s="107"/>
    </row>
    <row r="14" spans="1:92" ht="15" customHeight="1">
      <c r="A14" s="17" t="s">
        <v>38</v>
      </c>
      <c r="B14" s="17" t="s">
        <v>1041</v>
      </c>
      <c r="C14" s="18" t="s">
        <v>1122</v>
      </c>
      <c r="D14" s="17" t="s">
        <v>43</v>
      </c>
      <c r="E14" s="17" t="s">
        <v>652</v>
      </c>
      <c r="F14" s="17" t="s">
        <v>35</v>
      </c>
      <c r="G14" s="298"/>
      <c r="H14" s="138"/>
      <c r="I14" s="138"/>
      <c r="J14" s="138"/>
      <c r="K14" s="138"/>
      <c r="L14" s="138"/>
      <c r="M14" s="138"/>
      <c r="N14" s="138"/>
      <c r="O14" s="139"/>
      <c r="P14" s="138"/>
      <c r="Q14" s="107"/>
      <c r="R14" s="107"/>
    </row>
    <row r="15" spans="1:92" ht="15" customHeight="1">
      <c r="A15" s="17" t="s">
        <v>26</v>
      </c>
      <c r="B15" s="17" t="s">
        <v>1049</v>
      </c>
      <c r="C15" s="18" t="s">
        <v>1128</v>
      </c>
      <c r="D15" s="17" t="s">
        <v>31</v>
      </c>
      <c r="E15" s="17" t="s">
        <v>286</v>
      </c>
      <c r="F15" s="17" t="s">
        <v>35</v>
      </c>
      <c r="G15" s="298"/>
      <c r="H15" s="138"/>
      <c r="I15" s="138"/>
      <c r="J15" s="138"/>
      <c r="K15" s="138"/>
      <c r="L15" s="138"/>
      <c r="M15" s="138"/>
      <c r="N15" s="138"/>
      <c r="O15" s="139"/>
      <c r="P15" s="138"/>
      <c r="Q15" s="107"/>
      <c r="R15" s="107"/>
    </row>
    <row r="16" spans="1:92" ht="15" customHeight="1">
      <c r="A16" s="17" t="s">
        <v>68</v>
      </c>
      <c r="B16" s="17" t="s">
        <v>1054</v>
      </c>
      <c r="C16" s="18" t="s">
        <v>1130</v>
      </c>
      <c r="D16" s="17" t="s">
        <v>70</v>
      </c>
      <c r="E16" s="17" t="s">
        <v>269</v>
      </c>
      <c r="F16" s="17" t="s">
        <v>858</v>
      </c>
      <c r="G16" s="298"/>
      <c r="H16" s="138"/>
      <c r="I16" s="138"/>
      <c r="J16" s="138"/>
      <c r="K16" s="138"/>
      <c r="L16" s="138"/>
      <c r="M16" s="138"/>
      <c r="N16" s="138"/>
      <c r="O16" s="139"/>
      <c r="P16" s="138"/>
      <c r="Q16" s="107"/>
      <c r="R16" s="107"/>
    </row>
    <row r="17" spans="1:18" ht="15" customHeight="1" thickBot="1">
      <c r="A17" s="30" t="s">
        <v>26</v>
      </c>
      <c r="B17" s="30" t="s">
        <v>1049</v>
      </c>
      <c r="C17" s="31" t="s">
        <v>1128</v>
      </c>
      <c r="D17" s="30" t="s">
        <v>34</v>
      </c>
      <c r="E17" s="30" t="s">
        <v>286</v>
      </c>
      <c r="F17" s="30" t="s">
        <v>503</v>
      </c>
      <c r="G17" s="299"/>
      <c r="H17" s="140"/>
      <c r="I17" s="140"/>
      <c r="J17" s="140"/>
      <c r="K17" s="140"/>
      <c r="L17" s="140"/>
      <c r="M17" s="140"/>
      <c r="N17" s="140"/>
      <c r="O17" s="141"/>
      <c r="P17" s="140"/>
      <c r="Q17" s="142"/>
      <c r="R17" s="142"/>
    </row>
    <row r="18" spans="1:18" ht="17.45" customHeight="1" thickBot="1">
      <c r="A18" s="283"/>
      <c r="B18" s="284"/>
      <c r="C18" s="284"/>
      <c r="D18" s="284"/>
      <c r="E18" s="284"/>
      <c r="F18" s="284"/>
      <c r="G18" s="284"/>
      <c r="H18" s="284"/>
      <c r="I18" s="284"/>
      <c r="J18" s="284"/>
      <c r="K18" s="284"/>
      <c r="L18" s="284"/>
      <c r="M18" s="284"/>
      <c r="N18" s="284"/>
      <c r="O18" s="284"/>
      <c r="P18" s="284"/>
      <c r="Q18" s="284"/>
      <c r="R18" s="285"/>
    </row>
    <row r="19" spans="1:18" ht="22.15" customHeight="1" thickTop="1" thickBot="1">
      <c r="A19" s="279" t="s">
        <v>6</v>
      </c>
      <c r="B19" s="295"/>
      <c r="C19" s="295"/>
      <c r="D19" s="295"/>
      <c r="E19" s="295"/>
      <c r="F19" s="296"/>
      <c r="G19" s="32">
        <v>46027</v>
      </c>
      <c r="H19" s="278" t="s">
        <v>7</v>
      </c>
      <c r="I19" s="295"/>
      <c r="J19" s="295"/>
      <c r="K19" s="295"/>
      <c r="L19" s="295"/>
      <c r="M19" s="295"/>
      <c r="N19" s="295"/>
      <c r="O19" s="295"/>
      <c r="P19" s="295"/>
      <c r="Q19" s="295"/>
      <c r="R19" s="296"/>
    </row>
    <row r="20" spans="1:18" ht="24" customHeight="1">
      <c r="A20" s="33" t="s">
        <v>8</v>
      </c>
      <c r="B20" s="33" t="s">
        <v>9</v>
      </c>
      <c r="C20" s="34" t="s">
        <v>10</v>
      </c>
      <c r="D20" s="33" t="s">
        <v>11</v>
      </c>
      <c r="E20" s="33" t="s">
        <v>12</v>
      </c>
      <c r="F20" s="35" t="s">
        <v>13</v>
      </c>
      <c r="G20" s="36" t="s">
        <v>14</v>
      </c>
      <c r="H20" s="33" t="s">
        <v>15</v>
      </c>
      <c r="I20" s="37" t="s">
        <v>16</v>
      </c>
      <c r="J20" s="38" t="s">
        <v>17</v>
      </c>
      <c r="K20" s="39" t="s">
        <v>18</v>
      </c>
      <c r="L20" s="38" t="s">
        <v>19</v>
      </c>
      <c r="M20" s="38" t="s">
        <v>20</v>
      </c>
      <c r="N20" s="38" t="s">
        <v>21</v>
      </c>
      <c r="O20" s="33" t="s">
        <v>22</v>
      </c>
      <c r="P20" s="34" t="s">
        <v>23</v>
      </c>
      <c r="Q20" s="38" t="s">
        <v>24</v>
      </c>
      <c r="R20" s="33" t="s">
        <v>25</v>
      </c>
    </row>
    <row r="21" spans="1:18" ht="15" customHeight="1">
      <c r="A21" s="40" t="s">
        <v>61</v>
      </c>
      <c r="B21" s="40" t="s">
        <v>1124</v>
      </c>
      <c r="C21" s="41">
        <v>0.29166666666666669</v>
      </c>
      <c r="D21" s="40" t="s">
        <v>63</v>
      </c>
      <c r="E21" s="40" t="s">
        <v>107</v>
      </c>
      <c r="F21" s="40" t="s">
        <v>1076</v>
      </c>
      <c r="G21" s="297"/>
      <c r="H21" s="42" t="s">
        <v>1125</v>
      </c>
      <c r="I21" s="43">
        <v>3.8899999999999997E-2</v>
      </c>
      <c r="J21" s="44">
        <v>7</v>
      </c>
      <c r="K21" s="45">
        <v>46315</v>
      </c>
      <c r="L21" s="44">
        <v>7</v>
      </c>
      <c r="M21" s="44">
        <v>0</v>
      </c>
      <c r="N21" s="44">
        <v>0</v>
      </c>
      <c r="O21" s="46" t="s">
        <v>918</v>
      </c>
      <c r="P21" s="47">
        <v>0.29166666666666669</v>
      </c>
      <c r="Q21" s="44">
        <v>180</v>
      </c>
      <c r="R21" s="48" t="s">
        <v>1131</v>
      </c>
    </row>
    <row r="22" spans="1:18" ht="18">
      <c r="A22" s="292" t="s">
        <v>1127</v>
      </c>
      <c r="B22" s="303"/>
      <c r="C22" s="303"/>
      <c r="D22" s="303"/>
      <c r="E22" s="303"/>
      <c r="F22" s="304"/>
      <c r="G22" s="298"/>
      <c r="H22" s="138"/>
      <c r="I22" s="138"/>
      <c r="J22" s="138"/>
      <c r="K22" s="138"/>
      <c r="L22" s="138"/>
      <c r="M22" s="138"/>
      <c r="N22" s="138"/>
      <c r="O22" s="139"/>
      <c r="P22" s="138"/>
      <c r="Q22" s="107"/>
      <c r="R22" s="107"/>
    </row>
    <row r="23" spans="1:18" ht="15" customHeight="1">
      <c r="A23" s="17" t="s">
        <v>38</v>
      </c>
      <c r="B23" s="17" t="s">
        <v>1041</v>
      </c>
      <c r="C23" s="18" t="s">
        <v>1122</v>
      </c>
      <c r="D23" s="17" t="s">
        <v>40</v>
      </c>
      <c r="E23" s="17" t="s">
        <v>652</v>
      </c>
      <c r="F23" s="17" t="s">
        <v>30</v>
      </c>
      <c r="G23" s="298"/>
      <c r="H23" s="138"/>
      <c r="I23" s="138"/>
      <c r="J23" s="138"/>
      <c r="K23" s="138"/>
      <c r="L23" s="138"/>
      <c r="M23" s="138"/>
      <c r="N23" s="138"/>
      <c r="O23" s="139"/>
      <c r="P23" s="138"/>
      <c r="Q23" s="107"/>
      <c r="R23" s="107"/>
    </row>
    <row r="24" spans="1:18" ht="15" customHeight="1">
      <c r="A24" s="17" t="s">
        <v>26</v>
      </c>
      <c r="B24" s="17" t="s">
        <v>1047</v>
      </c>
      <c r="C24" s="18" t="s">
        <v>282</v>
      </c>
      <c r="D24" s="17" t="s">
        <v>28</v>
      </c>
      <c r="E24" s="17" t="s">
        <v>636</v>
      </c>
      <c r="F24" s="17" t="s">
        <v>42</v>
      </c>
      <c r="G24" s="298"/>
      <c r="H24" s="138"/>
      <c r="I24" s="138"/>
      <c r="J24" s="138"/>
      <c r="K24" s="138"/>
      <c r="L24" s="138"/>
      <c r="M24" s="138"/>
      <c r="N24" s="138"/>
      <c r="O24" s="139"/>
      <c r="P24" s="138"/>
      <c r="Q24" s="107"/>
      <c r="R24" s="107"/>
    </row>
    <row r="25" spans="1:18" ht="15" customHeight="1">
      <c r="A25" s="17" t="s">
        <v>26</v>
      </c>
      <c r="B25" s="17" t="s">
        <v>1049</v>
      </c>
      <c r="C25" s="18" t="s">
        <v>1128</v>
      </c>
      <c r="D25" s="17" t="s">
        <v>28</v>
      </c>
      <c r="E25" s="17" t="s">
        <v>303</v>
      </c>
      <c r="F25" s="17" t="s">
        <v>42</v>
      </c>
      <c r="G25" s="298"/>
      <c r="H25" s="138"/>
      <c r="I25" s="138"/>
      <c r="J25" s="138"/>
      <c r="K25" s="138"/>
      <c r="L25" s="138"/>
      <c r="M25" s="138"/>
      <c r="N25" s="138"/>
      <c r="O25" s="139"/>
      <c r="P25" s="138"/>
      <c r="Q25" s="107"/>
      <c r="R25" s="107"/>
    </row>
    <row r="26" spans="1:18" ht="15" customHeight="1">
      <c r="A26" s="17" t="s">
        <v>26</v>
      </c>
      <c r="B26" s="17" t="s">
        <v>1047</v>
      </c>
      <c r="C26" s="18" t="s">
        <v>282</v>
      </c>
      <c r="D26" s="17" t="s">
        <v>31</v>
      </c>
      <c r="E26" s="17" t="s">
        <v>636</v>
      </c>
      <c r="F26" s="17" t="s">
        <v>79</v>
      </c>
      <c r="G26" s="298"/>
      <c r="H26" s="138"/>
      <c r="I26" s="138"/>
      <c r="J26" s="138"/>
      <c r="K26" s="138"/>
      <c r="L26" s="138"/>
      <c r="M26" s="138"/>
      <c r="N26" s="138"/>
      <c r="O26" s="139"/>
      <c r="P26" s="138"/>
      <c r="Q26" s="107"/>
      <c r="R26" s="107"/>
    </row>
    <row r="27" spans="1:18" ht="15" customHeight="1">
      <c r="A27" s="17" t="s">
        <v>26</v>
      </c>
      <c r="B27" s="17" t="s">
        <v>1049</v>
      </c>
      <c r="C27" s="18" t="s">
        <v>1128</v>
      </c>
      <c r="D27" s="17" t="s">
        <v>31</v>
      </c>
      <c r="E27" s="17" t="s">
        <v>303</v>
      </c>
      <c r="F27" s="17" t="s">
        <v>79</v>
      </c>
      <c r="G27" s="298"/>
      <c r="H27" s="138"/>
      <c r="I27" s="138"/>
      <c r="J27" s="138"/>
      <c r="K27" s="138"/>
      <c r="L27" s="138"/>
      <c r="M27" s="138"/>
      <c r="N27" s="138"/>
      <c r="O27" s="139"/>
      <c r="P27" s="138"/>
      <c r="Q27" s="107"/>
      <c r="R27" s="107"/>
    </row>
    <row r="28" spans="1:18" ht="15" customHeight="1">
      <c r="A28" s="17" t="s">
        <v>38</v>
      </c>
      <c r="B28" s="17" t="s">
        <v>1041</v>
      </c>
      <c r="C28" s="18" t="s">
        <v>1122</v>
      </c>
      <c r="D28" s="17" t="s">
        <v>43</v>
      </c>
      <c r="E28" s="17" t="s">
        <v>652</v>
      </c>
      <c r="F28" s="17" t="s">
        <v>420</v>
      </c>
      <c r="G28" s="298"/>
      <c r="H28" s="138"/>
      <c r="I28" s="138"/>
      <c r="J28" s="138"/>
      <c r="K28" s="138"/>
      <c r="L28" s="138"/>
      <c r="M28" s="138"/>
      <c r="N28" s="138"/>
      <c r="O28" s="139"/>
      <c r="P28" s="138"/>
      <c r="Q28" s="107"/>
      <c r="R28" s="107"/>
    </row>
    <row r="29" spans="1:18" ht="15" customHeight="1">
      <c r="A29" s="17" t="s">
        <v>68</v>
      </c>
      <c r="B29" s="17" t="s">
        <v>1052</v>
      </c>
      <c r="C29" s="18" t="s">
        <v>282</v>
      </c>
      <c r="D29" s="17" t="s">
        <v>643</v>
      </c>
      <c r="E29" s="17" t="s">
        <v>269</v>
      </c>
      <c r="F29" s="17" t="s">
        <v>1053</v>
      </c>
      <c r="G29" s="298"/>
      <c r="H29" s="138"/>
      <c r="I29" s="138"/>
      <c r="J29" s="138"/>
      <c r="K29" s="138"/>
      <c r="L29" s="138"/>
      <c r="M29" s="138"/>
      <c r="N29" s="138"/>
      <c r="O29" s="139"/>
      <c r="P29" s="138"/>
      <c r="Q29" s="107"/>
      <c r="R29" s="107"/>
    </row>
    <row r="30" spans="1:18" ht="15" customHeight="1">
      <c r="A30" s="17" t="s">
        <v>402</v>
      </c>
      <c r="B30" s="17" t="s">
        <v>1064</v>
      </c>
      <c r="C30" s="18" t="s">
        <v>578</v>
      </c>
      <c r="D30" s="17" t="s">
        <v>63</v>
      </c>
      <c r="E30" s="17" t="s">
        <v>267</v>
      </c>
      <c r="F30" s="17" t="s">
        <v>1058</v>
      </c>
      <c r="G30" s="298"/>
      <c r="H30" s="138"/>
      <c r="I30" s="138"/>
      <c r="J30" s="138"/>
      <c r="K30" s="138"/>
      <c r="L30" s="138"/>
      <c r="M30" s="138"/>
      <c r="N30" s="138"/>
      <c r="O30" s="139"/>
      <c r="P30" s="138"/>
      <c r="Q30" s="107"/>
      <c r="R30" s="107"/>
    </row>
    <row r="31" spans="1:18" ht="15" customHeight="1">
      <c r="A31" s="17" t="s">
        <v>68</v>
      </c>
      <c r="B31" s="17" t="s">
        <v>1054</v>
      </c>
      <c r="C31" s="18" t="s">
        <v>1130</v>
      </c>
      <c r="D31" s="17" t="s">
        <v>70</v>
      </c>
      <c r="E31" s="17" t="s">
        <v>269</v>
      </c>
      <c r="F31" s="17" t="s">
        <v>1055</v>
      </c>
      <c r="G31" s="298"/>
      <c r="H31" s="138"/>
      <c r="I31" s="138"/>
      <c r="J31" s="138"/>
      <c r="K31" s="138"/>
      <c r="L31" s="138"/>
      <c r="M31" s="138"/>
      <c r="N31" s="138"/>
      <c r="O31" s="139"/>
      <c r="P31" s="138"/>
      <c r="Q31" s="107"/>
      <c r="R31" s="107"/>
    </row>
    <row r="32" spans="1:18" ht="15" customHeight="1" thickBot="1">
      <c r="A32" s="30" t="s">
        <v>26</v>
      </c>
      <c r="B32" s="30" t="s">
        <v>1047</v>
      </c>
      <c r="C32" s="31" t="s">
        <v>282</v>
      </c>
      <c r="D32" s="30" t="s">
        <v>34</v>
      </c>
      <c r="E32" s="30" t="s">
        <v>636</v>
      </c>
      <c r="F32" s="30" t="s">
        <v>462</v>
      </c>
      <c r="G32" s="299"/>
      <c r="H32" s="140"/>
      <c r="I32" s="140"/>
      <c r="J32" s="140"/>
      <c r="K32" s="140"/>
      <c r="L32" s="140"/>
      <c r="M32" s="140"/>
      <c r="N32" s="140"/>
      <c r="O32" s="141"/>
      <c r="P32" s="140"/>
      <c r="Q32" s="142"/>
      <c r="R32" s="142"/>
    </row>
    <row r="33" spans="1:18" ht="17.45" customHeight="1" thickBot="1">
      <c r="A33" s="283"/>
      <c r="B33" s="284"/>
      <c r="C33" s="284"/>
      <c r="D33" s="284"/>
      <c r="E33" s="284"/>
      <c r="F33" s="284"/>
      <c r="G33" s="284"/>
      <c r="H33" s="284"/>
      <c r="I33" s="284"/>
      <c r="J33" s="284"/>
      <c r="K33" s="284"/>
      <c r="L33" s="284"/>
      <c r="M33" s="284"/>
      <c r="N33" s="284"/>
      <c r="O33" s="284"/>
      <c r="P33" s="284"/>
      <c r="Q33" s="284"/>
      <c r="R33" s="285"/>
    </row>
    <row r="34" spans="1:18" ht="22.15" customHeight="1" thickTop="1" thickBot="1">
      <c r="A34" s="279" t="s">
        <v>6</v>
      </c>
      <c r="B34" s="295"/>
      <c r="C34" s="295"/>
      <c r="D34" s="295"/>
      <c r="E34" s="295"/>
      <c r="F34" s="296"/>
      <c r="G34" s="32">
        <v>46031</v>
      </c>
      <c r="H34" s="278" t="s">
        <v>7</v>
      </c>
      <c r="I34" s="295"/>
      <c r="J34" s="295"/>
      <c r="K34" s="295"/>
      <c r="L34" s="295"/>
      <c r="M34" s="295"/>
      <c r="N34" s="295"/>
      <c r="O34" s="295"/>
      <c r="P34" s="295"/>
      <c r="Q34" s="295"/>
      <c r="R34" s="296"/>
    </row>
    <row r="35" spans="1:18" ht="24" customHeight="1">
      <c r="A35" s="33" t="s">
        <v>8</v>
      </c>
      <c r="B35" s="33" t="s">
        <v>9</v>
      </c>
      <c r="C35" s="34" t="s">
        <v>10</v>
      </c>
      <c r="D35" s="33" t="s">
        <v>11</v>
      </c>
      <c r="E35" s="33" t="s">
        <v>12</v>
      </c>
      <c r="F35" s="35" t="s">
        <v>13</v>
      </c>
      <c r="G35" s="36" t="s">
        <v>14</v>
      </c>
      <c r="H35" s="33" t="s">
        <v>15</v>
      </c>
      <c r="I35" s="37" t="s">
        <v>16</v>
      </c>
      <c r="J35" s="38" t="s">
        <v>17</v>
      </c>
      <c r="K35" s="39" t="s">
        <v>18</v>
      </c>
      <c r="L35" s="38" t="s">
        <v>19</v>
      </c>
      <c r="M35" s="38" t="s">
        <v>20</v>
      </c>
      <c r="N35" s="38" t="s">
        <v>21</v>
      </c>
      <c r="O35" s="33" t="s">
        <v>22</v>
      </c>
      <c r="P35" s="34" t="s">
        <v>23</v>
      </c>
      <c r="Q35" s="38" t="s">
        <v>24</v>
      </c>
      <c r="R35" s="33" t="s">
        <v>25</v>
      </c>
    </row>
    <row r="36" spans="1:18" ht="15" customHeight="1">
      <c r="A36" s="87" t="s">
        <v>61</v>
      </c>
      <c r="B36" s="87" t="s">
        <v>1124</v>
      </c>
      <c r="C36" s="88">
        <v>7.2916666666666671E-2</v>
      </c>
      <c r="D36" s="87" t="s">
        <v>63</v>
      </c>
      <c r="E36" s="87" t="s">
        <v>107</v>
      </c>
      <c r="F36" s="87" t="s">
        <v>1076</v>
      </c>
      <c r="G36" s="297"/>
      <c r="H36" s="89" t="s">
        <v>1125</v>
      </c>
      <c r="I36" s="90">
        <v>3.8899999999999997E-2</v>
      </c>
      <c r="J36" s="91">
        <v>7</v>
      </c>
      <c r="K36" s="92">
        <v>46344</v>
      </c>
      <c r="L36" s="91">
        <v>7</v>
      </c>
      <c r="M36" s="91">
        <v>0</v>
      </c>
      <c r="N36" s="91">
        <v>0</v>
      </c>
      <c r="O36" s="93" t="s">
        <v>918</v>
      </c>
      <c r="P36" s="94">
        <v>7.2916666666666671E-2</v>
      </c>
      <c r="Q36" s="91">
        <v>180</v>
      </c>
      <c r="R36" s="95" t="s">
        <v>1132</v>
      </c>
    </row>
    <row r="37" spans="1:18" ht="18">
      <c r="A37" s="292" t="s">
        <v>1127</v>
      </c>
      <c r="B37" s="303"/>
      <c r="C37" s="303"/>
      <c r="D37" s="303"/>
      <c r="E37" s="303"/>
      <c r="F37" s="304"/>
      <c r="G37" s="298"/>
      <c r="H37" s="138"/>
      <c r="I37" s="138"/>
      <c r="J37" s="138"/>
      <c r="K37" s="138"/>
      <c r="L37" s="138"/>
      <c r="M37" s="138"/>
      <c r="N37" s="138"/>
      <c r="O37" s="139"/>
      <c r="P37" s="138"/>
      <c r="Q37" s="107"/>
      <c r="R37" s="107"/>
    </row>
    <row r="38" spans="1:18" ht="15" customHeight="1">
      <c r="A38" s="17" t="s">
        <v>38</v>
      </c>
      <c r="B38" s="17" t="s">
        <v>1041</v>
      </c>
      <c r="C38" s="18" t="s">
        <v>1122</v>
      </c>
      <c r="D38" s="17" t="s">
        <v>40</v>
      </c>
      <c r="E38" s="17" t="s">
        <v>652</v>
      </c>
      <c r="F38" s="17" t="s">
        <v>30</v>
      </c>
      <c r="G38" s="298"/>
      <c r="H38" s="138"/>
      <c r="I38" s="138"/>
      <c r="J38" s="138"/>
      <c r="K38" s="138"/>
      <c r="L38" s="138"/>
      <c r="M38" s="138"/>
      <c r="N38" s="138"/>
      <c r="O38" s="139"/>
      <c r="P38" s="138"/>
      <c r="Q38" s="107"/>
      <c r="R38" s="107"/>
    </row>
    <row r="39" spans="1:18" ht="15" customHeight="1">
      <c r="A39" s="17" t="s">
        <v>61</v>
      </c>
      <c r="B39" s="17" t="s">
        <v>1043</v>
      </c>
      <c r="C39" s="18" t="s">
        <v>231</v>
      </c>
      <c r="D39" s="17" t="s">
        <v>63</v>
      </c>
      <c r="E39" s="17" t="s">
        <v>267</v>
      </c>
      <c r="F39" s="17" t="s">
        <v>856</v>
      </c>
      <c r="G39" s="298"/>
      <c r="H39" s="138"/>
      <c r="I39" s="138"/>
      <c r="J39" s="138"/>
      <c r="K39" s="138"/>
      <c r="L39" s="138"/>
      <c r="M39" s="138"/>
      <c r="N39" s="138"/>
      <c r="O39" s="139"/>
      <c r="P39" s="138"/>
      <c r="Q39" s="107"/>
      <c r="R39" s="107"/>
    </row>
    <row r="40" spans="1:18" ht="15" customHeight="1">
      <c r="A40" s="17" t="s">
        <v>415</v>
      </c>
      <c r="B40" s="17" t="s">
        <v>1062</v>
      </c>
      <c r="C40" s="18" t="s">
        <v>1129</v>
      </c>
      <c r="D40" s="17" t="s">
        <v>63</v>
      </c>
      <c r="E40" s="17" t="s">
        <v>303</v>
      </c>
      <c r="F40" s="17" t="s">
        <v>1051</v>
      </c>
      <c r="G40" s="298"/>
      <c r="H40" s="138"/>
      <c r="I40" s="138"/>
      <c r="J40" s="138"/>
      <c r="K40" s="138"/>
      <c r="L40" s="138"/>
      <c r="M40" s="138"/>
      <c r="N40" s="138"/>
      <c r="O40" s="139"/>
      <c r="P40" s="138"/>
      <c r="Q40" s="107"/>
      <c r="R40" s="107"/>
    </row>
    <row r="41" spans="1:18" ht="15" customHeight="1">
      <c r="A41" s="17" t="s">
        <v>38</v>
      </c>
      <c r="B41" s="17" t="s">
        <v>1041</v>
      </c>
      <c r="C41" s="18" t="s">
        <v>1122</v>
      </c>
      <c r="D41" s="17" t="s">
        <v>43</v>
      </c>
      <c r="E41" s="17" t="s">
        <v>652</v>
      </c>
      <c r="F41" s="17" t="s">
        <v>420</v>
      </c>
      <c r="G41" s="298"/>
      <c r="H41" s="138"/>
      <c r="I41" s="138"/>
      <c r="J41" s="138"/>
      <c r="K41" s="138"/>
      <c r="L41" s="138"/>
      <c r="M41" s="138"/>
      <c r="N41" s="138"/>
      <c r="O41" s="139"/>
      <c r="P41" s="138"/>
      <c r="Q41" s="107"/>
      <c r="R41" s="107"/>
    </row>
    <row r="42" spans="1:18" ht="15" customHeight="1">
      <c r="A42" s="17" t="s">
        <v>68</v>
      </c>
      <c r="B42" s="17" t="s">
        <v>1052</v>
      </c>
      <c r="C42" s="18" t="s">
        <v>282</v>
      </c>
      <c r="D42" s="17" t="s">
        <v>643</v>
      </c>
      <c r="E42" s="17" t="s">
        <v>269</v>
      </c>
      <c r="F42" s="17" t="s">
        <v>830</v>
      </c>
      <c r="G42" s="298"/>
      <c r="H42" s="138"/>
      <c r="I42" s="138"/>
      <c r="J42" s="138"/>
      <c r="K42" s="138"/>
      <c r="L42" s="138"/>
      <c r="M42" s="138"/>
      <c r="N42" s="138"/>
      <c r="O42" s="139"/>
      <c r="P42" s="138"/>
      <c r="Q42" s="107"/>
      <c r="R42" s="107"/>
    </row>
    <row r="43" spans="1:18" ht="15" customHeight="1">
      <c r="A43" s="17" t="s">
        <v>26</v>
      </c>
      <c r="B43" s="17" t="s">
        <v>1049</v>
      </c>
      <c r="C43" s="18" t="s">
        <v>1128</v>
      </c>
      <c r="D43" s="17" t="s">
        <v>28</v>
      </c>
      <c r="E43" s="17" t="s">
        <v>267</v>
      </c>
      <c r="F43" s="17" t="s">
        <v>138</v>
      </c>
      <c r="G43" s="298"/>
      <c r="H43" s="138"/>
      <c r="I43" s="138"/>
      <c r="J43" s="138"/>
      <c r="K43" s="138"/>
      <c r="L43" s="138"/>
      <c r="M43" s="138"/>
      <c r="N43" s="138"/>
      <c r="O43" s="139"/>
      <c r="P43" s="138"/>
      <c r="Q43" s="107"/>
      <c r="R43" s="107"/>
    </row>
    <row r="44" spans="1:18" ht="15" customHeight="1">
      <c r="A44" s="17" t="s">
        <v>402</v>
      </c>
      <c r="B44" s="17" t="s">
        <v>1064</v>
      </c>
      <c r="C44" s="18" t="s">
        <v>578</v>
      </c>
      <c r="D44" s="17" t="s">
        <v>63</v>
      </c>
      <c r="E44" s="17" t="s">
        <v>636</v>
      </c>
      <c r="F44" s="17" t="s">
        <v>1058</v>
      </c>
      <c r="G44" s="298"/>
      <c r="H44" s="138"/>
      <c r="I44" s="138"/>
      <c r="J44" s="138"/>
      <c r="K44" s="138"/>
      <c r="L44" s="138"/>
      <c r="M44" s="138"/>
      <c r="N44" s="138"/>
      <c r="O44" s="139"/>
      <c r="P44" s="138"/>
      <c r="Q44" s="107"/>
      <c r="R44" s="107"/>
    </row>
    <row r="45" spans="1:18" ht="15" customHeight="1">
      <c r="A45" s="17" t="s">
        <v>68</v>
      </c>
      <c r="B45" s="17" t="s">
        <v>1054</v>
      </c>
      <c r="C45" s="18" t="s">
        <v>1130</v>
      </c>
      <c r="D45" s="17" t="s">
        <v>70</v>
      </c>
      <c r="E45" s="17" t="s">
        <v>269</v>
      </c>
      <c r="F45" s="17" t="s">
        <v>1055</v>
      </c>
      <c r="G45" s="298"/>
      <c r="H45" s="138"/>
      <c r="I45" s="138"/>
      <c r="J45" s="138"/>
      <c r="K45" s="138"/>
      <c r="L45" s="138"/>
      <c r="M45" s="138"/>
      <c r="N45" s="138"/>
      <c r="O45" s="139"/>
      <c r="P45" s="138"/>
      <c r="Q45" s="107"/>
      <c r="R45" s="107"/>
    </row>
    <row r="46" spans="1:18" ht="15" customHeight="1">
      <c r="A46" s="17" t="s">
        <v>68</v>
      </c>
      <c r="B46" s="17" t="s">
        <v>1056</v>
      </c>
      <c r="C46" s="18" t="s">
        <v>1133</v>
      </c>
      <c r="D46" s="17" t="s">
        <v>70</v>
      </c>
      <c r="E46" s="17" t="s">
        <v>269</v>
      </c>
      <c r="F46" s="17" t="s">
        <v>1001</v>
      </c>
      <c r="G46" s="298"/>
      <c r="H46" s="138"/>
      <c r="I46" s="138"/>
      <c r="J46" s="138"/>
      <c r="K46" s="138"/>
      <c r="L46" s="138"/>
      <c r="M46" s="138"/>
      <c r="N46" s="138"/>
      <c r="O46" s="139"/>
      <c r="P46" s="138"/>
      <c r="Q46" s="107"/>
      <c r="R46" s="107"/>
    </row>
    <row r="47" spans="1:18" ht="15" customHeight="1" thickBot="1">
      <c r="A47" s="30" t="s">
        <v>26</v>
      </c>
      <c r="B47" s="30" t="s">
        <v>1049</v>
      </c>
      <c r="C47" s="31" t="s">
        <v>1128</v>
      </c>
      <c r="D47" s="30" t="s">
        <v>31</v>
      </c>
      <c r="E47" s="30" t="s">
        <v>267</v>
      </c>
      <c r="F47" s="30" t="s">
        <v>503</v>
      </c>
      <c r="G47" s="299"/>
      <c r="H47" s="140"/>
      <c r="I47" s="140"/>
      <c r="J47" s="140"/>
      <c r="K47" s="140"/>
      <c r="L47" s="140"/>
      <c r="M47" s="140"/>
      <c r="N47" s="140"/>
      <c r="O47" s="141"/>
      <c r="P47" s="140"/>
      <c r="Q47" s="142"/>
      <c r="R47" s="142"/>
    </row>
    <row r="48" spans="1:18" ht="17.45" customHeight="1" thickBot="1">
      <c r="A48" s="283"/>
      <c r="B48" s="284"/>
      <c r="C48" s="284"/>
      <c r="D48" s="284"/>
      <c r="E48" s="284"/>
      <c r="F48" s="284"/>
      <c r="G48" s="284"/>
      <c r="H48" s="284"/>
      <c r="I48" s="284"/>
      <c r="J48" s="284"/>
      <c r="K48" s="284"/>
      <c r="L48" s="284"/>
      <c r="M48" s="284"/>
      <c r="N48" s="284"/>
      <c r="O48" s="284"/>
      <c r="P48" s="284"/>
      <c r="Q48" s="284"/>
      <c r="R48" s="285"/>
    </row>
    <row r="49" spans="1:18" ht="22.15" customHeight="1" thickTop="1" thickBot="1">
      <c r="A49" s="279" t="s">
        <v>6</v>
      </c>
      <c r="B49" s="295"/>
      <c r="C49" s="295"/>
      <c r="D49" s="295"/>
      <c r="E49" s="295"/>
      <c r="F49" s="296"/>
      <c r="G49" s="32">
        <v>46034</v>
      </c>
      <c r="H49" s="278" t="s">
        <v>7</v>
      </c>
      <c r="I49" s="295"/>
      <c r="J49" s="295"/>
      <c r="K49" s="295"/>
      <c r="L49" s="295"/>
      <c r="M49" s="295"/>
      <c r="N49" s="295"/>
      <c r="O49" s="295"/>
      <c r="P49" s="295"/>
      <c r="Q49" s="295"/>
      <c r="R49" s="296"/>
    </row>
    <row r="50" spans="1:18" ht="24" customHeight="1">
      <c r="A50" s="33" t="s">
        <v>8</v>
      </c>
      <c r="B50" s="33" t="s">
        <v>9</v>
      </c>
      <c r="C50" s="34" t="s">
        <v>10</v>
      </c>
      <c r="D50" s="33" t="s">
        <v>11</v>
      </c>
      <c r="E50" s="33" t="s">
        <v>12</v>
      </c>
      <c r="F50" s="35" t="s">
        <v>13</v>
      </c>
      <c r="G50" s="36" t="s">
        <v>14</v>
      </c>
      <c r="H50" s="33" t="s">
        <v>15</v>
      </c>
      <c r="I50" s="37" t="s">
        <v>16</v>
      </c>
      <c r="J50" s="38" t="s">
        <v>17</v>
      </c>
      <c r="K50" s="39" t="s">
        <v>18</v>
      </c>
      <c r="L50" s="38" t="s">
        <v>19</v>
      </c>
      <c r="M50" s="38" t="s">
        <v>20</v>
      </c>
      <c r="N50" s="38" t="s">
        <v>21</v>
      </c>
      <c r="O50" s="33" t="s">
        <v>22</v>
      </c>
      <c r="P50" s="34" t="s">
        <v>23</v>
      </c>
      <c r="Q50" s="38" t="s">
        <v>24</v>
      </c>
      <c r="R50" s="33" t="s">
        <v>25</v>
      </c>
    </row>
    <row r="51" spans="1:18" ht="15" customHeight="1">
      <c r="A51" s="87" t="s">
        <v>61</v>
      </c>
      <c r="B51" s="87" t="s">
        <v>1124</v>
      </c>
      <c r="C51" s="88">
        <v>0.29166666666666669</v>
      </c>
      <c r="D51" s="87" t="s">
        <v>63</v>
      </c>
      <c r="E51" s="87" t="s">
        <v>177</v>
      </c>
      <c r="F51" s="87" t="s">
        <v>1076</v>
      </c>
      <c r="G51" s="297"/>
      <c r="H51" s="89" t="s">
        <v>1125</v>
      </c>
      <c r="I51" s="90">
        <v>5.5599999999999997E-2</v>
      </c>
      <c r="J51" s="91">
        <v>10</v>
      </c>
      <c r="K51" s="92">
        <v>46345</v>
      </c>
      <c r="L51" s="91">
        <v>10</v>
      </c>
      <c r="M51" s="91">
        <v>0</v>
      </c>
      <c r="N51" s="91">
        <v>0</v>
      </c>
      <c r="O51" s="93" t="s">
        <v>905</v>
      </c>
      <c r="P51" s="94">
        <v>0.29166666666666669</v>
      </c>
      <c r="Q51" s="91">
        <v>180</v>
      </c>
      <c r="R51" s="95" t="s">
        <v>1134</v>
      </c>
    </row>
    <row r="52" spans="1:18" ht="18">
      <c r="A52" s="292" t="s">
        <v>1127</v>
      </c>
      <c r="B52" s="303"/>
      <c r="C52" s="303"/>
      <c r="D52" s="303"/>
      <c r="E52" s="303"/>
      <c r="F52" s="304"/>
      <c r="G52" s="298"/>
      <c r="H52" s="138"/>
      <c r="I52" s="138"/>
      <c r="J52" s="138"/>
      <c r="K52" s="138"/>
      <c r="L52" s="138"/>
      <c r="M52" s="138"/>
      <c r="N52" s="138"/>
      <c r="O52" s="139"/>
      <c r="P52" s="138"/>
      <c r="Q52" s="107"/>
      <c r="R52" s="107"/>
    </row>
    <row r="53" spans="1:18" ht="15" customHeight="1">
      <c r="A53" s="17" t="s">
        <v>38</v>
      </c>
      <c r="B53" s="17" t="s">
        <v>1041</v>
      </c>
      <c r="C53" s="18" t="s">
        <v>1122</v>
      </c>
      <c r="D53" s="17" t="s">
        <v>40</v>
      </c>
      <c r="E53" s="17" t="s">
        <v>652</v>
      </c>
      <c r="F53" s="17" t="s">
        <v>83</v>
      </c>
      <c r="G53" s="298"/>
      <c r="H53" s="138"/>
      <c r="I53" s="138"/>
      <c r="J53" s="138"/>
      <c r="K53" s="138"/>
      <c r="L53" s="138"/>
      <c r="M53" s="138"/>
      <c r="N53" s="138"/>
      <c r="O53" s="139"/>
      <c r="P53" s="138"/>
      <c r="Q53" s="107"/>
      <c r="R53" s="107"/>
    </row>
    <row r="54" spans="1:18" ht="15" customHeight="1">
      <c r="A54" s="17" t="s">
        <v>26</v>
      </c>
      <c r="B54" s="17" t="s">
        <v>1047</v>
      </c>
      <c r="C54" s="18" t="s">
        <v>282</v>
      </c>
      <c r="D54" s="17" t="s">
        <v>28</v>
      </c>
      <c r="E54" s="17" t="s">
        <v>267</v>
      </c>
      <c r="F54" s="17" t="s">
        <v>349</v>
      </c>
      <c r="G54" s="298"/>
      <c r="H54" s="138"/>
      <c r="I54" s="138"/>
      <c r="J54" s="138"/>
      <c r="K54" s="138"/>
      <c r="L54" s="138"/>
      <c r="M54" s="138"/>
      <c r="N54" s="138"/>
      <c r="O54" s="139"/>
      <c r="P54" s="138"/>
      <c r="Q54" s="107"/>
      <c r="R54" s="107"/>
    </row>
    <row r="55" spans="1:18" ht="15" customHeight="1">
      <c r="A55" s="17" t="s">
        <v>26</v>
      </c>
      <c r="B55" s="17" t="s">
        <v>1049</v>
      </c>
      <c r="C55" s="18" t="s">
        <v>1128</v>
      </c>
      <c r="D55" s="17" t="s">
        <v>28</v>
      </c>
      <c r="E55" s="17" t="s">
        <v>267</v>
      </c>
      <c r="F55" s="17" t="s">
        <v>349</v>
      </c>
      <c r="G55" s="298"/>
      <c r="H55" s="138"/>
      <c r="I55" s="138"/>
      <c r="J55" s="138"/>
      <c r="K55" s="138"/>
      <c r="L55" s="138"/>
      <c r="M55" s="138"/>
      <c r="N55" s="138"/>
      <c r="O55" s="139"/>
      <c r="P55" s="138"/>
      <c r="Q55" s="107"/>
      <c r="R55" s="107"/>
    </row>
    <row r="56" spans="1:18" ht="15" customHeight="1">
      <c r="A56" s="17" t="s">
        <v>68</v>
      </c>
      <c r="B56" s="17" t="s">
        <v>1052</v>
      </c>
      <c r="C56" s="18" t="s">
        <v>282</v>
      </c>
      <c r="D56" s="17" t="s">
        <v>643</v>
      </c>
      <c r="E56" s="17" t="s">
        <v>269</v>
      </c>
      <c r="F56" s="17" t="s">
        <v>1053</v>
      </c>
      <c r="G56" s="298"/>
      <c r="H56" s="138"/>
      <c r="I56" s="138"/>
      <c r="J56" s="138"/>
      <c r="K56" s="138"/>
      <c r="L56" s="138"/>
      <c r="M56" s="138"/>
      <c r="N56" s="138"/>
      <c r="O56" s="139"/>
      <c r="P56" s="138"/>
      <c r="Q56" s="107"/>
      <c r="R56" s="107"/>
    </row>
    <row r="57" spans="1:18" ht="15" customHeight="1">
      <c r="A57" s="17" t="s">
        <v>68</v>
      </c>
      <c r="B57" s="17" t="s">
        <v>1054</v>
      </c>
      <c r="C57" s="18" t="s">
        <v>1130</v>
      </c>
      <c r="D57" s="17" t="s">
        <v>643</v>
      </c>
      <c r="E57" s="17" t="s">
        <v>269</v>
      </c>
      <c r="F57" s="17" t="s">
        <v>1053</v>
      </c>
      <c r="G57" s="298"/>
      <c r="H57" s="138"/>
      <c r="I57" s="138"/>
      <c r="J57" s="138"/>
      <c r="K57" s="138"/>
      <c r="L57" s="138"/>
      <c r="M57" s="138"/>
      <c r="N57" s="138"/>
      <c r="O57" s="139"/>
      <c r="P57" s="138"/>
      <c r="Q57" s="107"/>
      <c r="R57" s="107"/>
    </row>
    <row r="58" spans="1:18" ht="15" customHeight="1">
      <c r="A58" s="17" t="s">
        <v>68</v>
      </c>
      <c r="B58" s="17" t="s">
        <v>1056</v>
      </c>
      <c r="C58" s="18" t="s">
        <v>1133</v>
      </c>
      <c r="D58" s="17" t="s">
        <v>643</v>
      </c>
      <c r="E58" s="17" t="s">
        <v>269</v>
      </c>
      <c r="F58" s="17" t="s">
        <v>1053</v>
      </c>
      <c r="G58" s="298"/>
      <c r="H58" s="138"/>
      <c r="I58" s="138"/>
      <c r="J58" s="138"/>
      <c r="K58" s="138"/>
      <c r="L58" s="138"/>
      <c r="M58" s="138"/>
      <c r="N58" s="138"/>
      <c r="O58" s="139"/>
      <c r="P58" s="138"/>
      <c r="Q58" s="107"/>
      <c r="R58" s="107"/>
    </row>
    <row r="59" spans="1:18" ht="15" customHeight="1">
      <c r="A59" s="17" t="s">
        <v>402</v>
      </c>
      <c r="B59" s="17" t="s">
        <v>1064</v>
      </c>
      <c r="C59" s="18" t="s">
        <v>578</v>
      </c>
      <c r="D59" s="17" t="s">
        <v>63</v>
      </c>
      <c r="E59" s="17" t="s">
        <v>277</v>
      </c>
      <c r="F59" s="17" t="s">
        <v>1058</v>
      </c>
      <c r="G59" s="298"/>
      <c r="H59" s="138"/>
      <c r="I59" s="138"/>
      <c r="J59" s="138"/>
      <c r="K59" s="138"/>
      <c r="L59" s="138"/>
      <c r="M59" s="138"/>
      <c r="N59" s="138"/>
      <c r="O59" s="139"/>
      <c r="P59" s="138"/>
      <c r="Q59" s="107"/>
      <c r="R59" s="107"/>
    </row>
    <row r="60" spans="1:18" ht="15" customHeight="1">
      <c r="A60" s="17" t="s">
        <v>26</v>
      </c>
      <c r="B60" s="17" t="s">
        <v>1047</v>
      </c>
      <c r="C60" s="18" t="s">
        <v>282</v>
      </c>
      <c r="D60" s="17" t="s">
        <v>31</v>
      </c>
      <c r="E60" s="17" t="s">
        <v>267</v>
      </c>
      <c r="F60" s="17" t="s">
        <v>35</v>
      </c>
      <c r="G60" s="298"/>
      <c r="H60" s="138"/>
      <c r="I60" s="138"/>
      <c r="J60" s="138"/>
      <c r="K60" s="138"/>
      <c r="L60" s="138"/>
      <c r="M60" s="138"/>
      <c r="N60" s="138"/>
      <c r="O60" s="139"/>
      <c r="P60" s="138"/>
      <c r="Q60" s="107"/>
      <c r="R60" s="107"/>
    </row>
    <row r="61" spans="1:18" ht="15" customHeight="1">
      <c r="A61" s="17" t="s">
        <v>26</v>
      </c>
      <c r="B61" s="17" t="s">
        <v>1049</v>
      </c>
      <c r="C61" s="18" t="s">
        <v>1128</v>
      </c>
      <c r="D61" s="17" t="s">
        <v>31</v>
      </c>
      <c r="E61" s="17" t="s">
        <v>267</v>
      </c>
      <c r="F61" s="17" t="s">
        <v>35</v>
      </c>
      <c r="G61" s="298"/>
      <c r="H61" s="138"/>
      <c r="I61" s="138"/>
      <c r="J61" s="138"/>
      <c r="K61" s="138"/>
      <c r="L61" s="138"/>
      <c r="M61" s="138"/>
      <c r="N61" s="138"/>
      <c r="O61" s="139"/>
      <c r="P61" s="138"/>
      <c r="Q61" s="107"/>
      <c r="R61" s="107"/>
    </row>
    <row r="62" spans="1:18" ht="15" customHeight="1" thickBot="1">
      <c r="A62" s="30" t="s">
        <v>38</v>
      </c>
      <c r="B62" s="30" t="s">
        <v>1041</v>
      </c>
      <c r="C62" s="31" t="s">
        <v>1122</v>
      </c>
      <c r="D62" s="30" t="s">
        <v>43</v>
      </c>
      <c r="E62" s="30" t="s">
        <v>652</v>
      </c>
      <c r="F62" s="30" t="s">
        <v>162</v>
      </c>
      <c r="G62" s="299"/>
      <c r="H62" s="140"/>
      <c r="I62" s="140"/>
      <c r="J62" s="140"/>
      <c r="K62" s="140"/>
      <c r="L62" s="140"/>
      <c r="M62" s="140"/>
      <c r="N62" s="140"/>
      <c r="O62" s="141"/>
      <c r="P62" s="140"/>
      <c r="Q62" s="142"/>
      <c r="R62" s="142"/>
    </row>
    <row r="63" spans="1:18" ht="17.45" customHeight="1" thickBot="1">
      <c r="A63" s="283"/>
      <c r="B63" s="284"/>
      <c r="C63" s="284"/>
      <c r="D63" s="284"/>
      <c r="E63" s="284"/>
      <c r="F63" s="284"/>
      <c r="G63" s="284"/>
      <c r="H63" s="284"/>
      <c r="I63" s="284"/>
      <c r="J63" s="284"/>
      <c r="K63" s="284"/>
      <c r="L63" s="284"/>
      <c r="M63" s="284"/>
      <c r="N63" s="284"/>
      <c r="O63" s="284"/>
      <c r="P63" s="284"/>
      <c r="Q63" s="284"/>
      <c r="R63" s="285"/>
    </row>
    <row r="64" spans="1:18" ht="22.15" customHeight="1" thickTop="1" thickBot="1">
      <c r="A64" s="279" t="s">
        <v>6</v>
      </c>
      <c r="B64" s="295"/>
      <c r="C64" s="295"/>
      <c r="D64" s="295"/>
      <c r="E64" s="295"/>
      <c r="F64" s="296"/>
      <c r="G64" s="32">
        <v>46038</v>
      </c>
      <c r="H64" s="278" t="s">
        <v>7</v>
      </c>
      <c r="I64" s="295"/>
      <c r="J64" s="295"/>
      <c r="K64" s="295"/>
      <c r="L64" s="295"/>
      <c r="M64" s="295"/>
      <c r="N64" s="295"/>
      <c r="O64" s="295"/>
      <c r="P64" s="295"/>
      <c r="Q64" s="295"/>
      <c r="R64" s="296"/>
    </row>
    <row r="65" spans="1:18" ht="24" customHeight="1">
      <c r="A65" s="33" t="s">
        <v>8</v>
      </c>
      <c r="B65" s="33" t="s">
        <v>9</v>
      </c>
      <c r="C65" s="34" t="s">
        <v>10</v>
      </c>
      <c r="D65" s="33" t="s">
        <v>11</v>
      </c>
      <c r="E65" s="33" t="s">
        <v>12</v>
      </c>
      <c r="F65" s="35" t="s">
        <v>13</v>
      </c>
      <c r="G65" s="36" t="s">
        <v>14</v>
      </c>
      <c r="H65" s="33" t="s">
        <v>15</v>
      </c>
      <c r="I65" s="37" t="s">
        <v>16</v>
      </c>
      <c r="J65" s="38" t="s">
        <v>17</v>
      </c>
      <c r="K65" s="39" t="s">
        <v>18</v>
      </c>
      <c r="L65" s="38" t="s">
        <v>19</v>
      </c>
      <c r="M65" s="38" t="s">
        <v>20</v>
      </c>
      <c r="N65" s="38" t="s">
        <v>21</v>
      </c>
      <c r="O65" s="33" t="s">
        <v>22</v>
      </c>
      <c r="P65" s="34" t="s">
        <v>23</v>
      </c>
      <c r="Q65" s="38" t="s">
        <v>24</v>
      </c>
      <c r="R65" s="33" t="s">
        <v>25</v>
      </c>
    </row>
    <row r="66" spans="1:18" ht="15" customHeight="1">
      <c r="A66" s="98" t="s">
        <v>61</v>
      </c>
      <c r="B66" s="98" t="s">
        <v>1124</v>
      </c>
      <c r="C66" s="99">
        <v>7.2916666666666671E-2</v>
      </c>
      <c r="D66" s="98" t="s">
        <v>63</v>
      </c>
      <c r="E66" s="98" t="s">
        <v>51</v>
      </c>
      <c r="F66" s="98" t="s">
        <v>138</v>
      </c>
      <c r="G66" s="302"/>
      <c r="H66" s="100" t="s">
        <v>1125</v>
      </c>
      <c r="I66" s="101">
        <v>1.11E-2</v>
      </c>
      <c r="J66" s="102">
        <v>2</v>
      </c>
      <c r="K66" s="103">
        <v>46320</v>
      </c>
      <c r="L66" s="102">
        <v>2</v>
      </c>
      <c r="M66" s="102">
        <v>0</v>
      </c>
      <c r="N66" s="102">
        <v>0</v>
      </c>
      <c r="O66" s="104" t="s">
        <v>667</v>
      </c>
      <c r="P66" s="105">
        <v>7.2916666666666671E-2</v>
      </c>
      <c r="Q66" s="102">
        <v>180</v>
      </c>
      <c r="R66" s="106" t="s">
        <v>1135</v>
      </c>
    </row>
    <row r="67" spans="1:18" ht="18">
      <c r="A67" s="292" t="s">
        <v>1127</v>
      </c>
      <c r="B67" s="303"/>
      <c r="C67" s="303"/>
      <c r="D67" s="303"/>
      <c r="E67" s="303"/>
      <c r="F67" s="304"/>
      <c r="G67" s="298"/>
      <c r="H67" s="138"/>
      <c r="I67" s="138"/>
      <c r="J67" s="138"/>
      <c r="K67" s="138"/>
      <c r="L67" s="138"/>
      <c r="M67" s="138"/>
      <c r="N67" s="138"/>
      <c r="O67" s="139"/>
      <c r="P67" s="138"/>
      <c r="Q67" s="107"/>
      <c r="R67" s="107"/>
    </row>
    <row r="68" spans="1:18" ht="15" customHeight="1">
      <c r="A68" s="17" t="s">
        <v>61</v>
      </c>
      <c r="B68" s="17" t="s">
        <v>1043</v>
      </c>
      <c r="C68" s="18" t="s">
        <v>231</v>
      </c>
      <c r="D68" s="17" t="s">
        <v>63</v>
      </c>
      <c r="E68" s="17" t="s">
        <v>636</v>
      </c>
      <c r="F68" s="17" t="s">
        <v>138</v>
      </c>
      <c r="G68" s="298"/>
      <c r="H68" s="138"/>
      <c r="I68" s="138"/>
      <c r="J68" s="138"/>
      <c r="K68" s="138"/>
      <c r="L68" s="138"/>
      <c r="M68" s="138"/>
      <c r="N68" s="138"/>
      <c r="O68" s="139"/>
      <c r="P68" s="138"/>
      <c r="Q68" s="107"/>
      <c r="R68" s="107"/>
    </row>
    <row r="69" spans="1:18" ht="15" customHeight="1">
      <c r="A69" s="17" t="s">
        <v>38</v>
      </c>
      <c r="B69" s="17" t="s">
        <v>1041</v>
      </c>
      <c r="C69" s="18" t="s">
        <v>1122</v>
      </c>
      <c r="D69" s="17" t="s">
        <v>40</v>
      </c>
      <c r="E69" s="17" t="s">
        <v>652</v>
      </c>
      <c r="F69" s="17" t="s">
        <v>162</v>
      </c>
      <c r="G69" s="298"/>
      <c r="H69" s="138"/>
      <c r="I69" s="138"/>
      <c r="J69" s="138"/>
      <c r="K69" s="138"/>
      <c r="L69" s="138"/>
      <c r="M69" s="138"/>
      <c r="N69" s="138"/>
      <c r="O69" s="139"/>
      <c r="P69" s="138"/>
      <c r="Q69" s="107"/>
      <c r="R69" s="107"/>
    </row>
    <row r="70" spans="1:18" ht="15" customHeight="1">
      <c r="A70" s="17" t="s">
        <v>26</v>
      </c>
      <c r="B70" s="17" t="s">
        <v>1049</v>
      </c>
      <c r="C70" s="18" t="s">
        <v>1128</v>
      </c>
      <c r="D70" s="17" t="s">
        <v>28</v>
      </c>
      <c r="E70" s="17" t="s">
        <v>636</v>
      </c>
      <c r="F70" s="17" t="s">
        <v>150</v>
      </c>
      <c r="G70" s="298"/>
      <c r="H70" s="138"/>
      <c r="I70" s="138"/>
      <c r="J70" s="138"/>
      <c r="K70" s="138"/>
      <c r="L70" s="138"/>
      <c r="M70" s="138"/>
      <c r="N70" s="138"/>
      <c r="O70" s="139"/>
      <c r="P70" s="138"/>
      <c r="Q70" s="107"/>
      <c r="R70" s="107"/>
    </row>
    <row r="71" spans="1:18" ht="15" customHeight="1">
      <c r="A71" s="17" t="s">
        <v>402</v>
      </c>
      <c r="B71" s="17" t="s">
        <v>1064</v>
      </c>
      <c r="C71" s="18" t="s">
        <v>578</v>
      </c>
      <c r="D71" s="17" t="s">
        <v>63</v>
      </c>
      <c r="E71" s="17" t="s">
        <v>286</v>
      </c>
      <c r="F71" s="17" t="s">
        <v>938</v>
      </c>
      <c r="G71" s="298"/>
      <c r="H71" s="138"/>
      <c r="I71" s="138"/>
      <c r="J71" s="138"/>
      <c r="K71" s="138"/>
      <c r="L71" s="138"/>
      <c r="M71" s="138"/>
      <c r="N71" s="138"/>
      <c r="O71" s="139"/>
      <c r="P71" s="138"/>
      <c r="Q71" s="107"/>
      <c r="R71" s="107"/>
    </row>
    <row r="72" spans="1:18" ht="15" customHeight="1">
      <c r="A72" s="17" t="s">
        <v>415</v>
      </c>
      <c r="B72" s="17" t="s">
        <v>1062</v>
      </c>
      <c r="C72" s="18" t="s">
        <v>1129</v>
      </c>
      <c r="D72" s="17" t="s">
        <v>63</v>
      </c>
      <c r="E72" s="17" t="s">
        <v>267</v>
      </c>
      <c r="F72" s="17" t="s">
        <v>1086</v>
      </c>
      <c r="G72" s="298"/>
      <c r="H72" s="138"/>
      <c r="I72" s="138"/>
      <c r="J72" s="138"/>
      <c r="K72" s="138"/>
      <c r="L72" s="138"/>
      <c r="M72" s="138"/>
      <c r="N72" s="138"/>
      <c r="O72" s="139"/>
      <c r="P72" s="138"/>
      <c r="Q72" s="107"/>
      <c r="R72" s="107"/>
    </row>
    <row r="73" spans="1:18" ht="15" customHeight="1">
      <c r="A73" s="17" t="s">
        <v>26</v>
      </c>
      <c r="B73" s="17" t="s">
        <v>1049</v>
      </c>
      <c r="C73" s="18" t="s">
        <v>1128</v>
      </c>
      <c r="D73" s="17" t="s">
        <v>31</v>
      </c>
      <c r="E73" s="17" t="s">
        <v>636</v>
      </c>
      <c r="F73" s="17" t="s">
        <v>511</v>
      </c>
      <c r="G73" s="298"/>
      <c r="H73" s="138"/>
      <c r="I73" s="138"/>
      <c r="J73" s="138"/>
      <c r="K73" s="138"/>
      <c r="L73" s="138"/>
      <c r="M73" s="138"/>
      <c r="N73" s="138"/>
      <c r="O73" s="139"/>
      <c r="P73" s="138"/>
      <c r="Q73" s="107"/>
      <c r="R73" s="107"/>
    </row>
    <row r="74" spans="1:18" ht="15" customHeight="1">
      <c r="A74" s="17" t="s">
        <v>38</v>
      </c>
      <c r="B74" s="17" t="s">
        <v>1041</v>
      </c>
      <c r="C74" s="18" t="s">
        <v>1122</v>
      </c>
      <c r="D74" s="17" t="s">
        <v>43</v>
      </c>
      <c r="E74" s="17" t="s">
        <v>652</v>
      </c>
      <c r="F74" s="17" t="s">
        <v>865</v>
      </c>
      <c r="G74" s="298"/>
      <c r="H74" s="138"/>
      <c r="I74" s="138"/>
      <c r="J74" s="138"/>
      <c r="K74" s="138"/>
      <c r="L74" s="138"/>
      <c r="M74" s="138"/>
      <c r="N74" s="138"/>
      <c r="O74" s="139"/>
      <c r="P74" s="138"/>
      <c r="Q74" s="107"/>
      <c r="R74" s="107"/>
    </row>
    <row r="75" spans="1:18" ht="15" customHeight="1">
      <c r="A75" s="17" t="s">
        <v>68</v>
      </c>
      <c r="B75" s="17" t="s">
        <v>1052</v>
      </c>
      <c r="C75" s="18" t="s">
        <v>282</v>
      </c>
      <c r="D75" s="17" t="s">
        <v>70</v>
      </c>
      <c r="E75" s="17" t="s">
        <v>269</v>
      </c>
      <c r="F75" s="17" t="s">
        <v>1089</v>
      </c>
      <c r="G75" s="298"/>
      <c r="H75" s="138"/>
      <c r="I75" s="138"/>
      <c r="J75" s="138"/>
      <c r="K75" s="138"/>
      <c r="L75" s="138"/>
      <c r="M75" s="138"/>
      <c r="N75" s="138"/>
      <c r="O75" s="139"/>
      <c r="P75" s="138"/>
      <c r="Q75" s="107"/>
      <c r="R75" s="107"/>
    </row>
    <row r="76" spans="1:18" ht="15" customHeight="1">
      <c r="A76" s="17" t="s">
        <v>26</v>
      </c>
      <c r="B76" s="17" t="s">
        <v>1049</v>
      </c>
      <c r="C76" s="18" t="s">
        <v>1128</v>
      </c>
      <c r="D76" s="17" t="s">
        <v>34</v>
      </c>
      <c r="E76" s="17" t="s">
        <v>636</v>
      </c>
      <c r="F76" s="17" t="s">
        <v>653</v>
      </c>
      <c r="G76" s="298"/>
      <c r="H76" s="138"/>
      <c r="I76" s="138"/>
      <c r="J76" s="138"/>
      <c r="K76" s="138"/>
      <c r="L76" s="138"/>
      <c r="M76" s="138"/>
      <c r="N76" s="138"/>
      <c r="O76" s="139"/>
      <c r="P76" s="138"/>
      <c r="Q76" s="107"/>
      <c r="R76" s="107"/>
    </row>
    <row r="77" spans="1:18" ht="15" customHeight="1" thickBot="1">
      <c r="A77" s="30" t="s">
        <v>68</v>
      </c>
      <c r="B77" s="30" t="s">
        <v>1054</v>
      </c>
      <c r="C77" s="31" t="s">
        <v>1130</v>
      </c>
      <c r="D77" s="30" t="s">
        <v>70</v>
      </c>
      <c r="E77" s="30" t="s">
        <v>269</v>
      </c>
      <c r="F77" s="30" t="s">
        <v>1090</v>
      </c>
      <c r="G77" s="299"/>
      <c r="H77" s="140"/>
      <c r="I77" s="140"/>
      <c r="J77" s="140"/>
      <c r="K77" s="140"/>
      <c r="L77" s="140"/>
      <c r="M77" s="140"/>
      <c r="N77" s="140"/>
      <c r="O77" s="141"/>
      <c r="P77" s="140"/>
      <c r="Q77" s="142"/>
      <c r="R77" s="142"/>
    </row>
    <row r="78" spans="1:18" ht="17.45" customHeight="1" thickBot="1">
      <c r="A78" s="283"/>
      <c r="B78" s="284"/>
      <c r="C78" s="284"/>
      <c r="D78" s="284"/>
      <c r="E78" s="284"/>
      <c r="F78" s="284"/>
      <c r="G78" s="284"/>
      <c r="H78" s="284"/>
      <c r="I78" s="284"/>
      <c r="J78" s="284"/>
      <c r="K78" s="284"/>
      <c r="L78" s="284"/>
      <c r="M78" s="284"/>
      <c r="N78" s="284"/>
      <c r="O78" s="284"/>
      <c r="P78" s="284"/>
      <c r="Q78" s="284"/>
      <c r="R78" s="285"/>
    </row>
    <row r="79" spans="1:18" ht="22.15" customHeight="1" thickTop="1" thickBot="1">
      <c r="A79" s="279" t="s">
        <v>6</v>
      </c>
      <c r="B79" s="295"/>
      <c r="C79" s="295"/>
      <c r="D79" s="295"/>
      <c r="E79" s="295"/>
      <c r="F79" s="296"/>
      <c r="G79" s="32">
        <v>46041</v>
      </c>
      <c r="H79" s="278" t="s">
        <v>7</v>
      </c>
      <c r="I79" s="295"/>
      <c r="J79" s="295"/>
      <c r="K79" s="295"/>
      <c r="L79" s="295"/>
      <c r="M79" s="295"/>
      <c r="N79" s="295"/>
      <c r="O79" s="295"/>
      <c r="P79" s="295"/>
      <c r="Q79" s="295"/>
      <c r="R79" s="296"/>
    </row>
    <row r="80" spans="1:18" ht="24" customHeight="1">
      <c r="A80" s="33" t="s">
        <v>8</v>
      </c>
      <c r="B80" s="33" t="s">
        <v>9</v>
      </c>
      <c r="C80" s="34" t="s">
        <v>10</v>
      </c>
      <c r="D80" s="33" t="s">
        <v>11</v>
      </c>
      <c r="E80" s="33" t="s">
        <v>12</v>
      </c>
      <c r="F80" s="35" t="s">
        <v>13</v>
      </c>
      <c r="G80" s="36" t="s">
        <v>14</v>
      </c>
      <c r="H80" s="33" t="s">
        <v>15</v>
      </c>
      <c r="I80" s="37" t="s">
        <v>16</v>
      </c>
      <c r="J80" s="38" t="s">
        <v>17</v>
      </c>
      <c r="K80" s="39" t="s">
        <v>18</v>
      </c>
      <c r="L80" s="38" t="s">
        <v>19</v>
      </c>
      <c r="M80" s="38" t="s">
        <v>20</v>
      </c>
      <c r="N80" s="38" t="s">
        <v>21</v>
      </c>
      <c r="O80" s="33" t="s">
        <v>22</v>
      </c>
      <c r="P80" s="34" t="s">
        <v>23</v>
      </c>
      <c r="Q80" s="38" t="s">
        <v>24</v>
      </c>
      <c r="R80" s="33" t="s">
        <v>25</v>
      </c>
    </row>
    <row r="81" spans="1:18" ht="15" customHeight="1">
      <c r="A81" s="67" t="s">
        <v>61</v>
      </c>
      <c r="B81" s="67" t="s">
        <v>1124</v>
      </c>
      <c r="C81" s="68">
        <v>0.29166666666666669</v>
      </c>
      <c r="D81" s="67" t="s">
        <v>63</v>
      </c>
      <c r="E81" s="67" t="s">
        <v>126</v>
      </c>
      <c r="F81" s="67" t="s">
        <v>1076</v>
      </c>
      <c r="G81" s="297"/>
      <c r="H81" s="69" t="s">
        <v>1125</v>
      </c>
      <c r="I81" s="70">
        <v>3.3300000000000003E-2</v>
      </c>
      <c r="J81" s="71">
        <v>6</v>
      </c>
      <c r="K81" s="72">
        <v>46340</v>
      </c>
      <c r="L81" s="71">
        <v>6</v>
      </c>
      <c r="M81" s="71">
        <v>0</v>
      </c>
      <c r="N81" s="71">
        <v>0</v>
      </c>
      <c r="O81" s="73" t="s">
        <v>967</v>
      </c>
      <c r="P81" s="74">
        <v>0.29166666666666669</v>
      </c>
      <c r="Q81" s="71">
        <v>180</v>
      </c>
      <c r="R81" s="75" t="s">
        <v>1136</v>
      </c>
    </row>
    <row r="82" spans="1:18" ht="18">
      <c r="A82" s="292" t="s">
        <v>1127</v>
      </c>
      <c r="B82" s="303"/>
      <c r="C82" s="303"/>
      <c r="D82" s="303"/>
      <c r="E82" s="303"/>
      <c r="F82" s="304"/>
      <c r="G82" s="298"/>
      <c r="H82" s="138"/>
      <c r="I82" s="138"/>
      <c r="J82" s="138"/>
      <c r="K82" s="138"/>
      <c r="L82" s="138"/>
      <c r="M82" s="138"/>
      <c r="N82" s="138"/>
      <c r="O82" s="139"/>
      <c r="P82" s="138"/>
      <c r="Q82" s="107"/>
      <c r="R82" s="107"/>
    </row>
    <row r="83" spans="1:18" ht="15" customHeight="1">
      <c r="A83" s="17" t="s">
        <v>38</v>
      </c>
      <c r="B83" s="17" t="s">
        <v>1041</v>
      </c>
      <c r="C83" s="18" t="s">
        <v>1122</v>
      </c>
      <c r="D83" s="17" t="s">
        <v>40</v>
      </c>
      <c r="E83" s="17" t="s">
        <v>652</v>
      </c>
      <c r="F83" s="17" t="s">
        <v>83</v>
      </c>
      <c r="G83" s="298"/>
      <c r="H83" s="138"/>
      <c r="I83" s="138"/>
      <c r="J83" s="138"/>
      <c r="K83" s="138"/>
      <c r="L83" s="138"/>
      <c r="M83" s="138"/>
      <c r="N83" s="138"/>
      <c r="O83" s="139"/>
      <c r="P83" s="138"/>
      <c r="Q83" s="107"/>
      <c r="R83" s="107"/>
    </row>
    <row r="84" spans="1:18" ht="15" customHeight="1">
      <c r="A84" s="17" t="s">
        <v>26</v>
      </c>
      <c r="B84" s="17" t="s">
        <v>1047</v>
      </c>
      <c r="C84" s="18" t="s">
        <v>282</v>
      </c>
      <c r="D84" s="17" t="s">
        <v>28</v>
      </c>
      <c r="E84" s="17" t="s">
        <v>277</v>
      </c>
      <c r="F84" s="17" t="s">
        <v>349</v>
      </c>
      <c r="G84" s="298"/>
      <c r="H84" s="138"/>
      <c r="I84" s="138"/>
      <c r="J84" s="138"/>
      <c r="K84" s="138"/>
      <c r="L84" s="138"/>
      <c r="M84" s="138"/>
      <c r="N84" s="138"/>
      <c r="O84" s="139"/>
      <c r="P84" s="138"/>
      <c r="Q84" s="107"/>
      <c r="R84" s="107"/>
    </row>
    <row r="85" spans="1:18" ht="15" customHeight="1">
      <c r="A85" s="17" t="s">
        <v>26</v>
      </c>
      <c r="B85" s="17" t="s">
        <v>1049</v>
      </c>
      <c r="C85" s="18" t="s">
        <v>1128</v>
      </c>
      <c r="D85" s="17" t="s">
        <v>28</v>
      </c>
      <c r="E85" s="17" t="s">
        <v>286</v>
      </c>
      <c r="F85" s="17" t="s">
        <v>349</v>
      </c>
      <c r="G85" s="298"/>
      <c r="H85" s="138"/>
      <c r="I85" s="138"/>
      <c r="J85" s="138"/>
      <c r="K85" s="138"/>
      <c r="L85" s="138"/>
      <c r="M85" s="138"/>
      <c r="N85" s="138"/>
      <c r="O85" s="139"/>
      <c r="P85" s="138"/>
      <c r="Q85" s="107"/>
      <c r="R85" s="107"/>
    </row>
    <row r="86" spans="1:18" ht="15" customHeight="1">
      <c r="A86" s="17" t="s">
        <v>68</v>
      </c>
      <c r="B86" s="17" t="s">
        <v>1052</v>
      </c>
      <c r="C86" s="18" t="s">
        <v>282</v>
      </c>
      <c r="D86" s="17" t="s">
        <v>643</v>
      </c>
      <c r="E86" s="17" t="s">
        <v>269</v>
      </c>
      <c r="F86" s="17" t="s">
        <v>1053</v>
      </c>
      <c r="G86" s="298"/>
      <c r="H86" s="138"/>
      <c r="I86" s="138"/>
      <c r="J86" s="138"/>
      <c r="K86" s="138"/>
      <c r="L86" s="138"/>
      <c r="M86" s="138"/>
      <c r="N86" s="138"/>
      <c r="O86" s="139"/>
      <c r="P86" s="138"/>
      <c r="Q86" s="107"/>
      <c r="R86" s="107"/>
    </row>
    <row r="87" spans="1:18" ht="15" customHeight="1">
      <c r="A87" s="17" t="s">
        <v>68</v>
      </c>
      <c r="B87" s="17" t="s">
        <v>1054</v>
      </c>
      <c r="C87" s="18" t="s">
        <v>1130</v>
      </c>
      <c r="D87" s="17" t="s">
        <v>643</v>
      </c>
      <c r="E87" s="17" t="s">
        <v>269</v>
      </c>
      <c r="F87" s="17" t="s">
        <v>1053</v>
      </c>
      <c r="G87" s="298"/>
      <c r="H87" s="138"/>
      <c r="I87" s="138"/>
      <c r="J87" s="138"/>
      <c r="K87" s="138"/>
      <c r="L87" s="138"/>
      <c r="M87" s="138"/>
      <c r="N87" s="138"/>
      <c r="O87" s="139"/>
      <c r="P87" s="138"/>
      <c r="Q87" s="107"/>
      <c r="R87" s="107"/>
    </row>
    <row r="88" spans="1:18" ht="15" customHeight="1">
      <c r="A88" s="17" t="s">
        <v>402</v>
      </c>
      <c r="B88" s="17" t="s">
        <v>1064</v>
      </c>
      <c r="C88" s="18" t="s">
        <v>578</v>
      </c>
      <c r="D88" s="17" t="s">
        <v>63</v>
      </c>
      <c r="E88" s="17" t="s">
        <v>267</v>
      </c>
      <c r="F88" s="17" t="s">
        <v>1058</v>
      </c>
      <c r="G88" s="298"/>
      <c r="H88" s="138"/>
      <c r="I88" s="138"/>
      <c r="J88" s="138"/>
      <c r="K88" s="138"/>
      <c r="L88" s="138"/>
      <c r="M88" s="138"/>
      <c r="N88" s="138"/>
      <c r="O88" s="139"/>
      <c r="P88" s="138"/>
      <c r="Q88" s="107"/>
      <c r="R88" s="107"/>
    </row>
    <row r="89" spans="1:18" ht="15" customHeight="1">
      <c r="A89" s="17" t="s">
        <v>26</v>
      </c>
      <c r="B89" s="17" t="s">
        <v>1047</v>
      </c>
      <c r="C89" s="18" t="s">
        <v>282</v>
      </c>
      <c r="D89" s="17" t="s">
        <v>31</v>
      </c>
      <c r="E89" s="17" t="s">
        <v>277</v>
      </c>
      <c r="F89" s="17" t="s">
        <v>35</v>
      </c>
      <c r="G89" s="298"/>
      <c r="H89" s="138"/>
      <c r="I89" s="138"/>
      <c r="J89" s="138"/>
      <c r="K89" s="138"/>
      <c r="L89" s="138"/>
      <c r="M89" s="138"/>
      <c r="N89" s="138"/>
      <c r="O89" s="139"/>
      <c r="P89" s="138"/>
      <c r="Q89" s="107"/>
      <c r="R89" s="107"/>
    </row>
    <row r="90" spans="1:18" ht="15" customHeight="1">
      <c r="A90" s="17" t="s">
        <v>26</v>
      </c>
      <c r="B90" s="17" t="s">
        <v>1049</v>
      </c>
      <c r="C90" s="18" t="s">
        <v>1128</v>
      </c>
      <c r="D90" s="17" t="s">
        <v>31</v>
      </c>
      <c r="E90" s="17" t="s">
        <v>286</v>
      </c>
      <c r="F90" s="17" t="s">
        <v>35</v>
      </c>
      <c r="G90" s="298"/>
      <c r="H90" s="138"/>
      <c r="I90" s="138"/>
      <c r="J90" s="138"/>
      <c r="K90" s="138"/>
      <c r="L90" s="138"/>
      <c r="M90" s="138"/>
      <c r="N90" s="138"/>
      <c r="O90" s="139"/>
      <c r="P90" s="138"/>
      <c r="Q90" s="107"/>
      <c r="R90" s="107"/>
    </row>
    <row r="91" spans="1:18" ht="15" customHeight="1">
      <c r="A91" s="17" t="s">
        <v>38</v>
      </c>
      <c r="B91" s="17" t="s">
        <v>1041</v>
      </c>
      <c r="C91" s="18" t="s">
        <v>1122</v>
      </c>
      <c r="D91" s="17" t="s">
        <v>43</v>
      </c>
      <c r="E91" s="17" t="s">
        <v>652</v>
      </c>
      <c r="F91" s="17" t="s">
        <v>162</v>
      </c>
      <c r="G91" s="298"/>
      <c r="H91" s="138"/>
      <c r="I91" s="138"/>
      <c r="J91" s="138"/>
      <c r="K91" s="138"/>
      <c r="L91" s="138"/>
      <c r="M91" s="138"/>
      <c r="N91" s="138"/>
      <c r="O91" s="139"/>
      <c r="P91" s="138"/>
      <c r="Q91" s="107"/>
      <c r="R91" s="107"/>
    </row>
    <row r="92" spans="1:18" ht="15" customHeight="1" thickBot="1">
      <c r="A92" s="30" t="s">
        <v>68</v>
      </c>
      <c r="B92" s="30" t="s">
        <v>1056</v>
      </c>
      <c r="C92" s="31" t="s">
        <v>1133</v>
      </c>
      <c r="D92" s="30" t="s">
        <v>70</v>
      </c>
      <c r="E92" s="30" t="s">
        <v>269</v>
      </c>
      <c r="F92" s="30" t="s">
        <v>1001</v>
      </c>
      <c r="G92" s="299"/>
      <c r="H92" s="140"/>
      <c r="I92" s="140"/>
      <c r="J92" s="140"/>
      <c r="K92" s="140"/>
      <c r="L92" s="140"/>
      <c r="M92" s="140"/>
      <c r="N92" s="140"/>
      <c r="O92" s="141"/>
      <c r="P92" s="140"/>
      <c r="Q92" s="142"/>
      <c r="R92" s="142"/>
    </row>
    <row r="93" spans="1:18" ht="17.45" customHeight="1" thickBot="1">
      <c r="A93" s="283"/>
      <c r="B93" s="284"/>
      <c r="C93" s="284"/>
      <c r="D93" s="284"/>
      <c r="E93" s="284"/>
      <c r="F93" s="284"/>
      <c r="G93" s="284"/>
      <c r="H93" s="284"/>
      <c r="I93" s="284"/>
      <c r="J93" s="284"/>
      <c r="K93" s="284"/>
      <c r="L93" s="284"/>
      <c r="M93" s="284"/>
      <c r="N93" s="284"/>
      <c r="O93" s="284"/>
      <c r="P93" s="284"/>
      <c r="Q93" s="284"/>
      <c r="R93" s="285"/>
    </row>
    <row r="94" spans="1:18" ht="22.15" customHeight="1" thickTop="1" thickBot="1">
      <c r="A94" s="279" t="s">
        <v>6</v>
      </c>
      <c r="B94" s="295"/>
      <c r="C94" s="295"/>
      <c r="D94" s="295"/>
      <c r="E94" s="295"/>
      <c r="F94" s="296"/>
      <c r="G94" s="32">
        <v>46045</v>
      </c>
      <c r="H94" s="278" t="s">
        <v>7</v>
      </c>
      <c r="I94" s="295"/>
      <c r="J94" s="295"/>
      <c r="K94" s="295"/>
      <c r="L94" s="295"/>
      <c r="M94" s="295"/>
      <c r="N94" s="295"/>
      <c r="O94" s="295"/>
      <c r="P94" s="295"/>
      <c r="Q94" s="295"/>
      <c r="R94" s="296"/>
    </row>
    <row r="95" spans="1:18" ht="24" customHeight="1">
      <c r="A95" s="33" t="s">
        <v>8</v>
      </c>
      <c r="B95" s="33" t="s">
        <v>9</v>
      </c>
      <c r="C95" s="34" t="s">
        <v>10</v>
      </c>
      <c r="D95" s="33" t="s">
        <v>11</v>
      </c>
      <c r="E95" s="33" t="s">
        <v>12</v>
      </c>
      <c r="F95" s="35" t="s">
        <v>13</v>
      </c>
      <c r="G95" s="36" t="s">
        <v>14</v>
      </c>
      <c r="H95" s="33" t="s">
        <v>15</v>
      </c>
      <c r="I95" s="37" t="s">
        <v>16</v>
      </c>
      <c r="J95" s="38" t="s">
        <v>17</v>
      </c>
      <c r="K95" s="39" t="s">
        <v>18</v>
      </c>
      <c r="L95" s="38" t="s">
        <v>19</v>
      </c>
      <c r="M95" s="38" t="s">
        <v>20</v>
      </c>
      <c r="N95" s="38" t="s">
        <v>21</v>
      </c>
      <c r="O95" s="33" t="s">
        <v>22</v>
      </c>
      <c r="P95" s="34" t="s">
        <v>23</v>
      </c>
      <c r="Q95" s="38" t="s">
        <v>24</v>
      </c>
      <c r="R95" s="33" t="s">
        <v>25</v>
      </c>
    </row>
    <row r="96" spans="1:18" ht="15" customHeight="1">
      <c r="A96" s="40" t="s">
        <v>61</v>
      </c>
      <c r="B96" s="40" t="s">
        <v>1124</v>
      </c>
      <c r="C96" s="41">
        <v>7.2916666666666671E-2</v>
      </c>
      <c r="D96" s="40" t="s">
        <v>63</v>
      </c>
      <c r="E96" s="40" t="s">
        <v>100</v>
      </c>
      <c r="F96" s="40" t="s">
        <v>711</v>
      </c>
      <c r="G96" s="302"/>
      <c r="H96" s="42" t="s">
        <v>1125</v>
      </c>
      <c r="I96" s="43">
        <v>5.5999999999999999E-3</v>
      </c>
      <c r="J96" s="44">
        <v>1</v>
      </c>
      <c r="K96" s="45">
        <v>46322</v>
      </c>
      <c r="L96" s="44">
        <v>1</v>
      </c>
      <c r="M96" s="44">
        <v>0</v>
      </c>
      <c r="N96" s="44">
        <v>0</v>
      </c>
      <c r="O96" s="46" t="s">
        <v>1137</v>
      </c>
      <c r="P96" s="47">
        <v>7.2916666666666671E-2</v>
      </c>
      <c r="Q96" s="44">
        <v>180</v>
      </c>
      <c r="R96" s="48" t="s">
        <v>686</v>
      </c>
    </row>
    <row r="97" spans="1:18" ht="18">
      <c r="A97" s="292" t="s">
        <v>1127</v>
      </c>
      <c r="B97" s="303"/>
      <c r="C97" s="303"/>
      <c r="D97" s="303"/>
      <c r="E97" s="303"/>
      <c r="F97" s="304"/>
      <c r="G97" s="298"/>
      <c r="H97" s="138"/>
      <c r="I97" s="138"/>
      <c r="J97" s="138"/>
      <c r="K97" s="138"/>
      <c r="L97" s="138"/>
      <c r="M97" s="138"/>
      <c r="N97" s="138"/>
      <c r="O97" s="139"/>
      <c r="P97" s="138"/>
      <c r="Q97" s="107"/>
      <c r="R97" s="107"/>
    </row>
    <row r="98" spans="1:18" ht="15" customHeight="1">
      <c r="A98" s="17" t="s">
        <v>38</v>
      </c>
      <c r="B98" s="17" t="s">
        <v>1041</v>
      </c>
      <c r="C98" s="18" t="s">
        <v>1122</v>
      </c>
      <c r="D98" s="17" t="s">
        <v>40</v>
      </c>
      <c r="E98" s="17" t="s">
        <v>652</v>
      </c>
      <c r="F98" s="17" t="s">
        <v>83</v>
      </c>
      <c r="G98" s="298"/>
      <c r="H98" s="138"/>
      <c r="I98" s="138"/>
      <c r="J98" s="138"/>
      <c r="K98" s="138"/>
      <c r="L98" s="138"/>
      <c r="M98" s="138"/>
      <c r="N98" s="138"/>
      <c r="O98" s="139"/>
      <c r="P98" s="138"/>
      <c r="Q98" s="107"/>
      <c r="R98" s="107"/>
    </row>
    <row r="99" spans="1:18" ht="15" customHeight="1">
      <c r="A99" s="17" t="s">
        <v>415</v>
      </c>
      <c r="B99" s="17" t="s">
        <v>1062</v>
      </c>
      <c r="C99" s="18" t="s">
        <v>1129</v>
      </c>
      <c r="D99" s="17" t="s">
        <v>63</v>
      </c>
      <c r="E99" s="17" t="s">
        <v>294</v>
      </c>
      <c r="F99" s="17" t="s">
        <v>1051</v>
      </c>
      <c r="G99" s="298"/>
      <c r="H99" s="138"/>
      <c r="I99" s="138"/>
      <c r="J99" s="138"/>
      <c r="K99" s="138"/>
      <c r="L99" s="138"/>
      <c r="M99" s="138"/>
      <c r="N99" s="138"/>
      <c r="O99" s="139"/>
      <c r="P99" s="138"/>
      <c r="Q99" s="107"/>
      <c r="R99" s="107"/>
    </row>
    <row r="100" spans="1:18" ht="15" customHeight="1">
      <c r="A100" s="17" t="s">
        <v>26</v>
      </c>
      <c r="B100" s="17" t="s">
        <v>1049</v>
      </c>
      <c r="C100" s="18" t="s">
        <v>1128</v>
      </c>
      <c r="D100" s="17" t="s">
        <v>28</v>
      </c>
      <c r="E100" s="17" t="s">
        <v>267</v>
      </c>
      <c r="F100" s="17" t="s">
        <v>426</v>
      </c>
      <c r="G100" s="298"/>
      <c r="H100" s="138"/>
      <c r="I100" s="138"/>
      <c r="J100" s="138"/>
      <c r="K100" s="138"/>
      <c r="L100" s="138"/>
      <c r="M100" s="138"/>
      <c r="N100" s="138"/>
      <c r="O100" s="139"/>
      <c r="P100" s="138"/>
      <c r="Q100" s="107"/>
      <c r="R100" s="107"/>
    </row>
    <row r="101" spans="1:18" ht="15" customHeight="1">
      <c r="A101" s="17" t="s">
        <v>68</v>
      </c>
      <c r="B101" s="17" t="s">
        <v>1052</v>
      </c>
      <c r="C101" s="18" t="s">
        <v>282</v>
      </c>
      <c r="D101" s="17" t="s">
        <v>643</v>
      </c>
      <c r="E101" s="17" t="s">
        <v>269</v>
      </c>
      <c r="F101" s="17" t="s">
        <v>830</v>
      </c>
      <c r="G101" s="298"/>
      <c r="H101" s="138"/>
      <c r="I101" s="138"/>
      <c r="J101" s="138"/>
      <c r="K101" s="138"/>
      <c r="L101" s="138"/>
      <c r="M101" s="138"/>
      <c r="N101" s="138"/>
      <c r="O101" s="139"/>
      <c r="P101" s="138"/>
      <c r="Q101" s="107"/>
      <c r="R101" s="107"/>
    </row>
    <row r="102" spans="1:18" ht="15" customHeight="1">
      <c r="A102" s="17" t="s">
        <v>61</v>
      </c>
      <c r="B102" s="17" t="s">
        <v>1043</v>
      </c>
      <c r="C102" s="18" t="s">
        <v>231</v>
      </c>
      <c r="D102" s="17" t="s">
        <v>63</v>
      </c>
      <c r="E102" s="17" t="s">
        <v>288</v>
      </c>
      <c r="F102" s="17" t="s">
        <v>138</v>
      </c>
      <c r="G102" s="298"/>
      <c r="H102" s="138"/>
      <c r="I102" s="138"/>
      <c r="J102" s="138"/>
      <c r="K102" s="138"/>
      <c r="L102" s="138"/>
      <c r="M102" s="138"/>
      <c r="N102" s="138"/>
      <c r="O102" s="139"/>
      <c r="P102" s="138"/>
      <c r="Q102" s="107"/>
      <c r="R102" s="107"/>
    </row>
    <row r="103" spans="1:18" ht="15" customHeight="1">
      <c r="A103" s="17" t="s">
        <v>402</v>
      </c>
      <c r="B103" s="17" t="s">
        <v>1064</v>
      </c>
      <c r="C103" s="18" t="s">
        <v>578</v>
      </c>
      <c r="D103" s="17" t="s">
        <v>63</v>
      </c>
      <c r="E103" s="17" t="s">
        <v>277</v>
      </c>
      <c r="F103" s="17" t="s">
        <v>1058</v>
      </c>
      <c r="G103" s="298"/>
      <c r="H103" s="138"/>
      <c r="I103" s="138"/>
      <c r="J103" s="138"/>
      <c r="K103" s="138"/>
      <c r="L103" s="138"/>
      <c r="M103" s="138"/>
      <c r="N103" s="138"/>
      <c r="O103" s="139"/>
      <c r="P103" s="138"/>
      <c r="Q103" s="107"/>
      <c r="R103" s="107"/>
    </row>
    <row r="104" spans="1:18" ht="15" customHeight="1">
      <c r="A104" s="17" t="s">
        <v>68</v>
      </c>
      <c r="B104" s="17" t="s">
        <v>1054</v>
      </c>
      <c r="C104" s="18" t="s">
        <v>1130</v>
      </c>
      <c r="D104" s="17" t="s">
        <v>70</v>
      </c>
      <c r="E104" s="17" t="s">
        <v>269</v>
      </c>
      <c r="F104" s="17" t="s">
        <v>1055</v>
      </c>
      <c r="G104" s="298"/>
      <c r="H104" s="138"/>
      <c r="I104" s="138"/>
      <c r="J104" s="138"/>
      <c r="K104" s="138"/>
      <c r="L104" s="138"/>
      <c r="M104" s="138"/>
      <c r="N104" s="138"/>
      <c r="O104" s="139"/>
      <c r="P104" s="138"/>
      <c r="Q104" s="107"/>
      <c r="R104" s="107"/>
    </row>
    <row r="105" spans="1:18" ht="15" customHeight="1">
      <c r="A105" s="17" t="s">
        <v>38</v>
      </c>
      <c r="B105" s="17" t="s">
        <v>1041</v>
      </c>
      <c r="C105" s="18" t="s">
        <v>1122</v>
      </c>
      <c r="D105" s="17" t="s">
        <v>43</v>
      </c>
      <c r="E105" s="17" t="s">
        <v>652</v>
      </c>
      <c r="F105" s="17" t="s">
        <v>162</v>
      </c>
      <c r="G105" s="298"/>
      <c r="H105" s="138"/>
      <c r="I105" s="138"/>
      <c r="J105" s="138"/>
      <c r="K105" s="138"/>
      <c r="L105" s="138"/>
      <c r="M105" s="138"/>
      <c r="N105" s="138"/>
      <c r="O105" s="139"/>
      <c r="P105" s="138"/>
      <c r="Q105" s="107"/>
      <c r="R105" s="107"/>
    </row>
    <row r="106" spans="1:18" ht="15" customHeight="1">
      <c r="A106" s="17" t="s">
        <v>26</v>
      </c>
      <c r="B106" s="17" t="s">
        <v>1049</v>
      </c>
      <c r="C106" s="18" t="s">
        <v>1128</v>
      </c>
      <c r="D106" s="17" t="s">
        <v>31</v>
      </c>
      <c r="E106" s="17" t="s">
        <v>267</v>
      </c>
      <c r="F106" s="17" t="s">
        <v>150</v>
      </c>
      <c r="G106" s="298"/>
      <c r="H106" s="138"/>
      <c r="I106" s="138"/>
      <c r="J106" s="138"/>
      <c r="K106" s="138"/>
      <c r="L106" s="138"/>
      <c r="M106" s="138"/>
      <c r="N106" s="138"/>
      <c r="O106" s="139"/>
      <c r="P106" s="138"/>
      <c r="Q106" s="107"/>
      <c r="R106" s="107"/>
    </row>
    <row r="107" spans="1:18" ht="15" customHeight="1" thickBot="1">
      <c r="A107" s="30" t="s">
        <v>26</v>
      </c>
      <c r="B107" s="30" t="s">
        <v>1049</v>
      </c>
      <c r="C107" s="31" t="s">
        <v>1128</v>
      </c>
      <c r="D107" s="30" t="s">
        <v>34</v>
      </c>
      <c r="E107" s="30" t="s">
        <v>267</v>
      </c>
      <c r="F107" s="30" t="s">
        <v>178</v>
      </c>
      <c r="G107" s="299"/>
      <c r="H107" s="140"/>
      <c r="I107" s="140"/>
      <c r="J107" s="140"/>
      <c r="K107" s="140"/>
      <c r="L107" s="140"/>
      <c r="M107" s="140"/>
      <c r="N107" s="140"/>
      <c r="O107" s="141"/>
      <c r="P107" s="140"/>
      <c r="Q107" s="142"/>
      <c r="R107" s="142"/>
    </row>
    <row r="108" spans="1:18" ht="17.45" customHeight="1" thickBot="1">
      <c r="A108" s="283"/>
      <c r="B108" s="284"/>
      <c r="C108" s="284"/>
      <c r="D108" s="284"/>
      <c r="E108" s="284"/>
      <c r="F108" s="284"/>
      <c r="G108" s="284"/>
      <c r="H108" s="284"/>
      <c r="I108" s="284"/>
      <c r="J108" s="284"/>
      <c r="K108" s="284"/>
      <c r="L108" s="284"/>
      <c r="M108" s="284"/>
      <c r="N108" s="284"/>
      <c r="O108" s="284"/>
      <c r="P108" s="284"/>
      <c r="Q108" s="284"/>
      <c r="R108" s="285"/>
    </row>
    <row r="109" spans="1:18" ht="22.15" customHeight="1" thickTop="1" thickBot="1">
      <c r="A109" s="279" t="s">
        <v>6</v>
      </c>
      <c r="B109" s="295"/>
      <c r="C109" s="295"/>
      <c r="D109" s="295"/>
      <c r="E109" s="295"/>
      <c r="F109" s="296"/>
      <c r="G109" s="32">
        <v>46048</v>
      </c>
      <c r="H109" s="278" t="s">
        <v>7</v>
      </c>
      <c r="I109" s="295"/>
      <c r="J109" s="295"/>
      <c r="K109" s="295"/>
      <c r="L109" s="295"/>
      <c r="M109" s="295"/>
      <c r="N109" s="295"/>
      <c r="O109" s="295"/>
      <c r="P109" s="295"/>
      <c r="Q109" s="295"/>
      <c r="R109" s="296"/>
    </row>
    <row r="110" spans="1:18" ht="24" customHeight="1">
      <c r="A110" s="33" t="s">
        <v>8</v>
      </c>
      <c r="B110" s="33" t="s">
        <v>9</v>
      </c>
      <c r="C110" s="34" t="s">
        <v>10</v>
      </c>
      <c r="D110" s="33" t="s">
        <v>11</v>
      </c>
      <c r="E110" s="33" t="s">
        <v>12</v>
      </c>
      <c r="F110" s="35" t="s">
        <v>13</v>
      </c>
      <c r="G110" s="36" t="s">
        <v>14</v>
      </c>
      <c r="H110" s="33" t="s">
        <v>15</v>
      </c>
      <c r="I110" s="37" t="s">
        <v>16</v>
      </c>
      <c r="J110" s="38" t="s">
        <v>17</v>
      </c>
      <c r="K110" s="39" t="s">
        <v>18</v>
      </c>
      <c r="L110" s="38" t="s">
        <v>19</v>
      </c>
      <c r="M110" s="38" t="s">
        <v>20</v>
      </c>
      <c r="N110" s="38" t="s">
        <v>21</v>
      </c>
      <c r="O110" s="33" t="s">
        <v>22</v>
      </c>
      <c r="P110" s="34" t="s">
        <v>23</v>
      </c>
      <c r="Q110" s="38" t="s">
        <v>24</v>
      </c>
      <c r="R110" s="33" t="s">
        <v>25</v>
      </c>
    </row>
    <row r="111" spans="1:18" ht="15" customHeight="1">
      <c r="A111" s="21" t="s">
        <v>61</v>
      </c>
      <c r="B111" s="21" t="s">
        <v>1124</v>
      </c>
      <c r="C111" s="22">
        <v>0.29166666666666669</v>
      </c>
      <c r="D111" s="21" t="s">
        <v>63</v>
      </c>
      <c r="E111" s="21" t="s">
        <v>126</v>
      </c>
      <c r="F111" s="21" t="s">
        <v>1076</v>
      </c>
      <c r="G111" s="302"/>
      <c r="H111" s="23" t="s">
        <v>1125</v>
      </c>
      <c r="I111" s="24">
        <v>1.11E-2</v>
      </c>
      <c r="J111" s="25">
        <v>2</v>
      </c>
      <c r="K111" s="26">
        <v>46334</v>
      </c>
      <c r="L111" s="25">
        <v>2</v>
      </c>
      <c r="M111" s="25">
        <v>0</v>
      </c>
      <c r="N111" s="25">
        <v>0</v>
      </c>
      <c r="O111" s="27" t="s">
        <v>967</v>
      </c>
      <c r="P111" s="28">
        <v>0.29166666666666669</v>
      </c>
      <c r="Q111" s="25">
        <v>180</v>
      </c>
      <c r="R111" s="29" t="s">
        <v>1138</v>
      </c>
    </row>
    <row r="112" spans="1:18" ht="18">
      <c r="A112" s="292" t="s">
        <v>1127</v>
      </c>
      <c r="B112" s="303"/>
      <c r="C112" s="303"/>
      <c r="D112" s="303"/>
      <c r="E112" s="303"/>
      <c r="F112" s="304"/>
      <c r="G112" s="298"/>
      <c r="H112" s="138"/>
      <c r="I112" s="138"/>
      <c r="J112" s="138"/>
      <c r="K112" s="138"/>
      <c r="L112" s="138"/>
      <c r="M112" s="138"/>
      <c r="N112" s="138"/>
      <c r="O112" s="139"/>
      <c r="P112" s="138"/>
      <c r="Q112" s="107"/>
      <c r="R112" s="107"/>
    </row>
    <row r="113" spans="1:18" ht="15" customHeight="1">
      <c r="A113" s="17" t="s">
        <v>38</v>
      </c>
      <c r="B113" s="17" t="s">
        <v>1041</v>
      </c>
      <c r="C113" s="18" t="s">
        <v>1122</v>
      </c>
      <c r="D113" s="17" t="s">
        <v>40</v>
      </c>
      <c r="E113" s="17" t="s">
        <v>652</v>
      </c>
      <c r="F113" s="17" t="s">
        <v>83</v>
      </c>
      <c r="G113" s="298"/>
      <c r="H113" s="138"/>
      <c r="I113" s="138"/>
      <c r="J113" s="138"/>
      <c r="K113" s="138"/>
      <c r="L113" s="138"/>
      <c r="M113" s="138"/>
      <c r="N113" s="138"/>
      <c r="O113" s="139"/>
      <c r="P113" s="138"/>
      <c r="Q113" s="107"/>
      <c r="R113" s="107"/>
    </row>
    <row r="114" spans="1:18" ht="15" customHeight="1">
      <c r="A114" s="17" t="s">
        <v>26</v>
      </c>
      <c r="B114" s="17" t="s">
        <v>1049</v>
      </c>
      <c r="C114" s="18" t="s">
        <v>1128</v>
      </c>
      <c r="D114" s="17" t="s">
        <v>28</v>
      </c>
      <c r="E114" s="17" t="s">
        <v>267</v>
      </c>
      <c r="F114" s="17" t="s">
        <v>349</v>
      </c>
      <c r="G114" s="298"/>
      <c r="H114" s="138"/>
      <c r="I114" s="138"/>
      <c r="J114" s="138"/>
      <c r="K114" s="138"/>
      <c r="L114" s="138"/>
      <c r="M114" s="138"/>
      <c r="N114" s="138"/>
      <c r="O114" s="139"/>
      <c r="P114" s="138"/>
      <c r="Q114" s="107"/>
      <c r="R114" s="107"/>
    </row>
    <row r="115" spans="1:18" ht="15" customHeight="1">
      <c r="A115" s="17" t="s">
        <v>26</v>
      </c>
      <c r="B115" s="17" t="s">
        <v>1047</v>
      </c>
      <c r="C115" s="18" t="s">
        <v>282</v>
      </c>
      <c r="D115" s="17" t="s">
        <v>28</v>
      </c>
      <c r="E115" s="17" t="s">
        <v>277</v>
      </c>
      <c r="F115" s="17" t="s">
        <v>426</v>
      </c>
      <c r="G115" s="298"/>
      <c r="H115" s="138"/>
      <c r="I115" s="138"/>
      <c r="J115" s="138"/>
      <c r="K115" s="138"/>
      <c r="L115" s="138"/>
      <c r="M115" s="138"/>
      <c r="N115" s="138"/>
      <c r="O115" s="139"/>
      <c r="P115" s="138"/>
      <c r="Q115" s="107"/>
      <c r="R115" s="107"/>
    </row>
    <row r="116" spans="1:18" ht="15" customHeight="1">
      <c r="A116" s="17" t="s">
        <v>68</v>
      </c>
      <c r="B116" s="17" t="s">
        <v>1052</v>
      </c>
      <c r="C116" s="18" t="s">
        <v>282</v>
      </c>
      <c r="D116" s="17" t="s">
        <v>643</v>
      </c>
      <c r="E116" s="17" t="s">
        <v>269</v>
      </c>
      <c r="F116" s="17" t="s">
        <v>1053</v>
      </c>
      <c r="G116" s="298"/>
      <c r="H116" s="138"/>
      <c r="I116" s="138"/>
      <c r="J116" s="138"/>
      <c r="K116" s="138"/>
      <c r="L116" s="138"/>
      <c r="M116" s="138"/>
      <c r="N116" s="138"/>
      <c r="O116" s="139"/>
      <c r="P116" s="138"/>
      <c r="Q116" s="107"/>
      <c r="R116" s="107"/>
    </row>
    <row r="117" spans="1:18" ht="15" customHeight="1">
      <c r="A117" s="17" t="s">
        <v>68</v>
      </c>
      <c r="B117" s="17" t="s">
        <v>1054</v>
      </c>
      <c r="C117" s="18" t="s">
        <v>1130</v>
      </c>
      <c r="D117" s="17" t="s">
        <v>643</v>
      </c>
      <c r="E117" s="17" t="s">
        <v>269</v>
      </c>
      <c r="F117" s="17" t="s">
        <v>1053</v>
      </c>
      <c r="G117" s="298"/>
      <c r="H117" s="138"/>
      <c r="I117" s="138"/>
      <c r="J117" s="138"/>
      <c r="K117" s="138"/>
      <c r="L117" s="138"/>
      <c r="M117" s="138"/>
      <c r="N117" s="138"/>
      <c r="O117" s="139"/>
      <c r="P117" s="138"/>
      <c r="Q117" s="107"/>
      <c r="R117" s="107"/>
    </row>
    <row r="118" spans="1:18" ht="15" customHeight="1">
      <c r="A118" s="17" t="s">
        <v>68</v>
      </c>
      <c r="B118" s="17" t="s">
        <v>1056</v>
      </c>
      <c r="C118" s="18" t="s">
        <v>1133</v>
      </c>
      <c r="D118" s="17" t="s">
        <v>643</v>
      </c>
      <c r="E118" s="17" t="s">
        <v>269</v>
      </c>
      <c r="F118" s="17" t="s">
        <v>1053</v>
      </c>
      <c r="G118" s="298"/>
      <c r="H118" s="138"/>
      <c r="I118" s="138"/>
      <c r="J118" s="138"/>
      <c r="K118" s="138"/>
      <c r="L118" s="138"/>
      <c r="M118" s="138"/>
      <c r="N118" s="138"/>
      <c r="O118" s="139"/>
      <c r="P118" s="138"/>
      <c r="Q118" s="107"/>
      <c r="R118" s="107"/>
    </row>
    <row r="119" spans="1:18" ht="15" customHeight="1">
      <c r="A119" s="17" t="s">
        <v>402</v>
      </c>
      <c r="B119" s="17" t="s">
        <v>1064</v>
      </c>
      <c r="C119" s="18" t="s">
        <v>578</v>
      </c>
      <c r="D119" s="17" t="s">
        <v>63</v>
      </c>
      <c r="E119" s="17" t="s">
        <v>303</v>
      </c>
      <c r="F119" s="17" t="s">
        <v>1058</v>
      </c>
      <c r="G119" s="298"/>
      <c r="H119" s="138"/>
      <c r="I119" s="138"/>
      <c r="J119" s="138"/>
      <c r="K119" s="138"/>
      <c r="L119" s="138"/>
      <c r="M119" s="138"/>
      <c r="N119" s="138"/>
      <c r="O119" s="139"/>
      <c r="P119" s="138"/>
      <c r="Q119" s="107"/>
      <c r="R119" s="107"/>
    </row>
    <row r="120" spans="1:18" ht="15" customHeight="1">
      <c r="A120" s="17" t="s">
        <v>26</v>
      </c>
      <c r="B120" s="17" t="s">
        <v>1049</v>
      </c>
      <c r="C120" s="18" t="s">
        <v>1128</v>
      </c>
      <c r="D120" s="17" t="s">
        <v>31</v>
      </c>
      <c r="E120" s="17" t="s">
        <v>267</v>
      </c>
      <c r="F120" s="17" t="s">
        <v>35</v>
      </c>
      <c r="G120" s="298"/>
      <c r="H120" s="138"/>
      <c r="I120" s="138"/>
      <c r="J120" s="138"/>
      <c r="K120" s="138"/>
      <c r="L120" s="138"/>
      <c r="M120" s="138"/>
      <c r="N120" s="138"/>
      <c r="O120" s="139"/>
      <c r="P120" s="138"/>
      <c r="Q120" s="107"/>
      <c r="R120" s="107"/>
    </row>
    <row r="121" spans="1:18" ht="15" customHeight="1">
      <c r="A121" s="17" t="s">
        <v>38</v>
      </c>
      <c r="B121" s="17" t="s">
        <v>1041</v>
      </c>
      <c r="C121" s="18" t="s">
        <v>1122</v>
      </c>
      <c r="D121" s="17" t="s">
        <v>43</v>
      </c>
      <c r="E121" s="17" t="s">
        <v>652</v>
      </c>
      <c r="F121" s="17" t="s">
        <v>162</v>
      </c>
      <c r="G121" s="298"/>
      <c r="H121" s="138"/>
      <c r="I121" s="138"/>
      <c r="J121" s="138"/>
      <c r="K121" s="138"/>
      <c r="L121" s="138"/>
      <c r="M121" s="138"/>
      <c r="N121" s="138"/>
      <c r="O121" s="139"/>
      <c r="P121" s="138"/>
      <c r="Q121" s="107"/>
      <c r="R121" s="107"/>
    </row>
    <row r="122" spans="1:18" ht="15" customHeight="1" thickBot="1">
      <c r="A122" s="30" t="s">
        <v>26</v>
      </c>
      <c r="B122" s="30" t="s">
        <v>1047</v>
      </c>
      <c r="C122" s="31" t="s">
        <v>282</v>
      </c>
      <c r="D122" s="30" t="s">
        <v>31</v>
      </c>
      <c r="E122" s="30" t="s">
        <v>277</v>
      </c>
      <c r="F122" s="30" t="s">
        <v>150</v>
      </c>
      <c r="G122" s="299"/>
      <c r="H122" s="140"/>
      <c r="I122" s="140"/>
      <c r="J122" s="140"/>
      <c r="K122" s="140"/>
      <c r="L122" s="140"/>
      <c r="M122" s="140"/>
      <c r="N122" s="140"/>
      <c r="O122" s="141"/>
      <c r="P122" s="140"/>
      <c r="Q122" s="142"/>
      <c r="R122" s="142"/>
    </row>
    <row r="123" spans="1:18" ht="17.45" customHeight="1" thickBot="1">
      <c r="A123" s="283"/>
      <c r="B123" s="284"/>
      <c r="C123" s="284"/>
      <c r="D123" s="284"/>
      <c r="E123" s="284"/>
      <c r="F123" s="284"/>
      <c r="G123" s="284"/>
      <c r="H123" s="284"/>
      <c r="I123" s="284"/>
      <c r="J123" s="284"/>
      <c r="K123" s="284"/>
      <c r="L123" s="284"/>
      <c r="M123" s="284"/>
      <c r="N123" s="284"/>
      <c r="O123" s="284"/>
      <c r="P123" s="284"/>
      <c r="Q123" s="284"/>
      <c r="R123" s="285"/>
    </row>
    <row r="124" spans="1:18" ht="22.15" customHeight="1" thickTop="1" thickBot="1">
      <c r="A124" s="279" t="s">
        <v>6</v>
      </c>
      <c r="B124" s="295"/>
      <c r="C124" s="295"/>
      <c r="D124" s="295"/>
      <c r="E124" s="295"/>
      <c r="F124" s="296"/>
      <c r="G124" s="32">
        <v>46052</v>
      </c>
      <c r="H124" s="278" t="s">
        <v>7</v>
      </c>
      <c r="I124" s="295"/>
      <c r="J124" s="295"/>
      <c r="K124" s="295"/>
      <c r="L124" s="295"/>
      <c r="M124" s="295"/>
      <c r="N124" s="295"/>
      <c r="O124" s="295"/>
      <c r="P124" s="295"/>
      <c r="Q124" s="295"/>
      <c r="R124" s="296"/>
    </row>
    <row r="125" spans="1:18" ht="24" customHeight="1">
      <c r="A125" s="33" t="s">
        <v>8</v>
      </c>
      <c r="B125" s="33" t="s">
        <v>9</v>
      </c>
      <c r="C125" s="34" t="s">
        <v>10</v>
      </c>
      <c r="D125" s="33" t="s">
        <v>11</v>
      </c>
      <c r="E125" s="33" t="s">
        <v>12</v>
      </c>
      <c r="F125" s="35" t="s">
        <v>13</v>
      </c>
      <c r="G125" s="36" t="s">
        <v>14</v>
      </c>
      <c r="H125" s="33" t="s">
        <v>15</v>
      </c>
      <c r="I125" s="37" t="s">
        <v>16</v>
      </c>
      <c r="J125" s="38" t="s">
        <v>17</v>
      </c>
      <c r="K125" s="39" t="s">
        <v>18</v>
      </c>
      <c r="L125" s="38" t="s">
        <v>19</v>
      </c>
      <c r="M125" s="38" t="s">
        <v>20</v>
      </c>
      <c r="N125" s="38" t="s">
        <v>21</v>
      </c>
      <c r="O125" s="33" t="s">
        <v>22</v>
      </c>
      <c r="P125" s="34" t="s">
        <v>23</v>
      </c>
      <c r="Q125" s="38" t="s">
        <v>24</v>
      </c>
      <c r="R125" s="33" t="s">
        <v>25</v>
      </c>
    </row>
    <row r="126" spans="1:18" ht="15" customHeight="1">
      <c r="A126" s="21" t="s">
        <v>61</v>
      </c>
      <c r="B126" s="21" t="s">
        <v>1124</v>
      </c>
      <c r="C126" s="22">
        <v>7.2916666666666671E-2</v>
      </c>
      <c r="D126" s="21" t="s">
        <v>63</v>
      </c>
      <c r="E126" s="21" t="s">
        <v>156</v>
      </c>
      <c r="F126" s="21" t="s">
        <v>1076</v>
      </c>
      <c r="G126" s="302"/>
      <c r="H126" s="23" t="s">
        <v>1125</v>
      </c>
      <c r="I126" s="24">
        <v>2.2200000000000001E-2</v>
      </c>
      <c r="J126" s="25">
        <v>4</v>
      </c>
      <c r="K126" s="26">
        <v>46331</v>
      </c>
      <c r="L126" s="25">
        <v>4</v>
      </c>
      <c r="M126" s="25">
        <v>0</v>
      </c>
      <c r="N126" s="25">
        <v>0</v>
      </c>
      <c r="O126" s="27" t="s">
        <v>570</v>
      </c>
      <c r="P126" s="28">
        <v>7.2916666666666671E-2</v>
      </c>
      <c r="Q126" s="25">
        <v>180</v>
      </c>
      <c r="R126" s="29" t="s">
        <v>1139</v>
      </c>
    </row>
    <row r="127" spans="1:18" ht="18">
      <c r="A127" s="292" t="s">
        <v>1127</v>
      </c>
      <c r="B127" s="303"/>
      <c r="C127" s="303"/>
      <c r="D127" s="303"/>
      <c r="E127" s="303"/>
      <c r="F127" s="304"/>
      <c r="G127" s="298"/>
      <c r="H127" s="138"/>
      <c r="I127" s="138"/>
      <c r="J127" s="138"/>
      <c r="K127" s="138"/>
      <c r="L127" s="138"/>
      <c r="M127" s="138"/>
      <c r="N127" s="138"/>
      <c r="O127" s="139"/>
      <c r="P127" s="138"/>
      <c r="Q127" s="107"/>
      <c r="R127" s="107"/>
    </row>
    <row r="128" spans="1:18" ht="15" customHeight="1">
      <c r="A128" s="17" t="s">
        <v>61</v>
      </c>
      <c r="B128" s="17" t="s">
        <v>1043</v>
      </c>
      <c r="C128" s="18" t="s">
        <v>231</v>
      </c>
      <c r="D128" s="17" t="s">
        <v>63</v>
      </c>
      <c r="E128" s="17" t="s">
        <v>303</v>
      </c>
      <c r="F128" s="17" t="s">
        <v>856</v>
      </c>
      <c r="G128" s="298"/>
      <c r="H128" s="138"/>
      <c r="I128" s="138"/>
      <c r="J128" s="138"/>
      <c r="K128" s="138"/>
      <c r="L128" s="138"/>
      <c r="M128" s="138"/>
      <c r="N128" s="138"/>
      <c r="O128" s="139"/>
      <c r="P128" s="138"/>
      <c r="Q128" s="107"/>
      <c r="R128" s="107"/>
    </row>
    <row r="129" spans="1:18" ht="15" customHeight="1">
      <c r="A129" s="17" t="s">
        <v>38</v>
      </c>
      <c r="B129" s="17" t="s">
        <v>1041</v>
      </c>
      <c r="C129" s="18" t="s">
        <v>1122</v>
      </c>
      <c r="D129" s="17" t="s">
        <v>40</v>
      </c>
      <c r="E129" s="17" t="s">
        <v>652</v>
      </c>
      <c r="F129" s="17" t="s">
        <v>83</v>
      </c>
      <c r="G129" s="298"/>
      <c r="H129" s="138"/>
      <c r="I129" s="138"/>
      <c r="J129" s="138"/>
      <c r="K129" s="138"/>
      <c r="L129" s="138"/>
      <c r="M129" s="138"/>
      <c r="N129" s="138"/>
      <c r="O129" s="139"/>
      <c r="P129" s="138"/>
      <c r="Q129" s="107"/>
      <c r="R129" s="107"/>
    </row>
    <row r="130" spans="1:18" ht="15" customHeight="1">
      <c r="A130" s="17" t="s">
        <v>26</v>
      </c>
      <c r="B130" s="17" t="s">
        <v>1049</v>
      </c>
      <c r="C130" s="18" t="s">
        <v>1128</v>
      </c>
      <c r="D130" s="17" t="s">
        <v>28</v>
      </c>
      <c r="E130" s="17" t="s">
        <v>286</v>
      </c>
      <c r="F130" s="17" t="s">
        <v>349</v>
      </c>
      <c r="G130" s="298"/>
      <c r="H130" s="138"/>
      <c r="I130" s="138"/>
      <c r="J130" s="138"/>
      <c r="K130" s="138"/>
      <c r="L130" s="138"/>
      <c r="M130" s="138"/>
      <c r="N130" s="138"/>
      <c r="O130" s="139"/>
      <c r="P130" s="138"/>
      <c r="Q130" s="107"/>
      <c r="R130" s="107"/>
    </row>
    <row r="131" spans="1:18" ht="15" customHeight="1">
      <c r="A131" s="17" t="s">
        <v>415</v>
      </c>
      <c r="B131" s="17" t="s">
        <v>1062</v>
      </c>
      <c r="C131" s="18" t="s">
        <v>1129</v>
      </c>
      <c r="D131" s="17" t="s">
        <v>63</v>
      </c>
      <c r="E131" s="17" t="s">
        <v>267</v>
      </c>
      <c r="F131" s="17" t="s">
        <v>1051</v>
      </c>
      <c r="G131" s="298"/>
      <c r="H131" s="138"/>
      <c r="I131" s="138"/>
      <c r="J131" s="138"/>
      <c r="K131" s="138"/>
      <c r="L131" s="138"/>
      <c r="M131" s="138"/>
      <c r="N131" s="138"/>
      <c r="O131" s="139"/>
      <c r="P131" s="138"/>
      <c r="Q131" s="107"/>
      <c r="R131" s="107"/>
    </row>
    <row r="132" spans="1:18" ht="15" customHeight="1">
      <c r="A132" s="17" t="s">
        <v>68</v>
      </c>
      <c r="B132" s="17" t="s">
        <v>1052</v>
      </c>
      <c r="C132" s="18" t="s">
        <v>282</v>
      </c>
      <c r="D132" s="17" t="s">
        <v>643</v>
      </c>
      <c r="E132" s="17" t="s">
        <v>269</v>
      </c>
      <c r="F132" s="17" t="s">
        <v>830</v>
      </c>
      <c r="G132" s="298"/>
      <c r="H132" s="138"/>
      <c r="I132" s="138"/>
      <c r="J132" s="138"/>
      <c r="K132" s="138"/>
      <c r="L132" s="138"/>
      <c r="M132" s="138"/>
      <c r="N132" s="138"/>
      <c r="O132" s="139"/>
      <c r="P132" s="138"/>
      <c r="Q132" s="107"/>
      <c r="R132" s="107"/>
    </row>
    <row r="133" spans="1:18" ht="15" customHeight="1">
      <c r="A133" s="17" t="s">
        <v>402</v>
      </c>
      <c r="B133" s="17" t="s">
        <v>1064</v>
      </c>
      <c r="C133" s="18" t="s">
        <v>578</v>
      </c>
      <c r="D133" s="17" t="s">
        <v>63</v>
      </c>
      <c r="E133" s="17" t="s">
        <v>286</v>
      </c>
      <c r="F133" s="17" t="s">
        <v>1058</v>
      </c>
      <c r="G133" s="298"/>
      <c r="H133" s="138"/>
      <c r="I133" s="138"/>
      <c r="J133" s="138"/>
      <c r="K133" s="138"/>
      <c r="L133" s="138"/>
      <c r="M133" s="138"/>
      <c r="N133" s="138"/>
      <c r="O133" s="139"/>
      <c r="P133" s="138"/>
      <c r="Q133" s="107"/>
      <c r="R133" s="107"/>
    </row>
    <row r="134" spans="1:18" ht="15" customHeight="1">
      <c r="A134" s="17" t="s">
        <v>26</v>
      </c>
      <c r="B134" s="17" t="s">
        <v>1049</v>
      </c>
      <c r="C134" s="18" t="s">
        <v>1128</v>
      </c>
      <c r="D134" s="17" t="s">
        <v>31</v>
      </c>
      <c r="E134" s="17" t="s">
        <v>286</v>
      </c>
      <c r="F134" s="17" t="s">
        <v>35</v>
      </c>
      <c r="G134" s="298"/>
      <c r="H134" s="138"/>
      <c r="I134" s="138"/>
      <c r="J134" s="138"/>
      <c r="K134" s="138"/>
      <c r="L134" s="138"/>
      <c r="M134" s="138"/>
      <c r="N134" s="138"/>
      <c r="O134" s="139"/>
      <c r="P134" s="138"/>
      <c r="Q134" s="107"/>
      <c r="R134" s="107"/>
    </row>
    <row r="135" spans="1:18" ht="15" customHeight="1">
      <c r="A135" s="17" t="s">
        <v>68</v>
      </c>
      <c r="B135" s="17" t="s">
        <v>1054</v>
      </c>
      <c r="C135" s="18" t="s">
        <v>1130</v>
      </c>
      <c r="D135" s="17" t="s">
        <v>70</v>
      </c>
      <c r="E135" s="17" t="s">
        <v>269</v>
      </c>
      <c r="F135" s="17" t="s">
        <v>1055</v>
      </c>
      <c r="G135" s="298"/>
      <c r="H135" s="138"/>
      <c r="I135" s="138"/>
      <c r="J135" s="138"/>
      <c r="K135" s="138"/>
      <c r="L135" s="138"/>
      <c r="M135" s="138"/>
      <c r="N135" s="138"/>
      <c r="O135" s="139"/>
      <c r="P135" s="138"/>
      <c r="Q135" s="107"/>
      <c r="R135" s="107"/>
    </row>
    <row r="136" spans="1:18" ht="15" customHeight="1">
      <c r="A136" s="17" t="s">
        <v>68</v>
      </c>
      <c r="B136" s="17" t="s">
        <v>1056</v>
      </c>
      <c r="C136" s="18" t="s">
        <v>1133</v>
      </c>
      <c r="D136" s="17" t="s">
        <v>70</v>
      </c>
      <c r="E136" s="17" t="s">
        <v>269</v>
      </c>
      <c r="F136" s="17" t="s">
        <v>1055</v>
      </c>
      <c r="G136" s="298"/>
      <c r="H136" s="138"/>
      <c r="I136" s="138"/>
      <c r="J136" s="138"/>
      <c r="K136" s="138"/>
      <c r="L136" s="138"/>
      <c r="M136" s="138"/>
      <c r="N136" s="138"/>
      <c r="O136" s="139"/>
      <c r="P136" s="138"/>
      <c r="Q136" s="107"/>
      <c r="R136" s="107"/>
    </row>
    <row r="137" spans="1:18" ht="15" customHeight="1" thickBot="1">
      <c r="A137" s="30" t="s">
        <v>38</v>
      </c>
      <c r="B137" s="30" t="s">
        <v>1041</v>
      </c>
      <c r="C137" s="31" t="s">
        <v>1122</v>
      </c>
      <c r="D137" s="30" t="s">
        <v>43</v>
      </c>
      <c r="E137" s="30" t="s">
        <v>652</v>
      </c>
      <c r="F137" s="30" t="s">
        <v>162</v>
      </c>
      <c r="G137" s="299"/>
      <c r="H137" s="140"/>
      <c r="I137" s="140"/>
      <c r="J137" s="140"/>
      <c r="K137" s="140"/>
      <c r="L137" s="140"/>
      <c r="M137" s="140"/>
      <c r="N137" s="140"/>
      <c r="O137" s="141"/>
      <c r="P137" s="140"/>
      <c r="Q137" s="142"/>
      <c r="R137" s="142"/>
    </row>
    <row r="138" spans="1:18" ht="17.45" customHeight="1" thickBot="1">
      <c r="A138" s="283"/>
      <c r="B138" s="284"/>
      <c r="C138" s="284"/>
      <c r="D138" s="284"/>
      <c r="E138" s="284"/>
      <c r="F138" s="284"/>
      <c r="G138" s="284"/>
      <c r="H138" s="284"/>
      <c r="I138" s="284"/>
      <c r="J138" s="284"/>
      <c r="K138" s="284"/>
      <c r="L138" s="284"/>
      <c r="M138" s="284"/>
      <c r="N138" s="284"/>
      <c r="O138" s="284"/>
      <c r="P138" s="284"/>
      <c r="Q138" s="284"/>
      <c r="R138" s="285"/>
    </row>
    <row r="139" spans="1:18" ht="15" thickTop="1"/>
  </sheetData>
  <mergeCells count="52">
    <mergeCell ref="H34:R34"/>
    <mergeCell ref="A33:R33"/>
    <mergeCell ref="G81:G92"/>
    <mergeCell ref="G96:G107"/>
    <mergeCell ref="G21:G32"/>
    <mergeCell ref="H64:R64"/>
    <mergeCell ref="A1:E1"/>
    <mergeCell ref="H4:R4"/>
    <mergeCell ref="A18:R18"/>
    <mergeCell ref="A2:F2"/>
    <mergeCell ref="A3:R3"/>
    <mergeCell ref="N1:R1"/>
    <mergeCell ref="H94:R94"/>
    <mergeCell ref="H79:R79"/>
    <mergeCell ref="A52:F52"/>
    <mergeCell ref="K2:R2"/>
    <mergeCell ref="G6:G17"/>
    <mergeCell ref="A7:F7"/>
    <mergeCell ref="A22:F22"/>
    <mergeCell ref="G2:J2"/>
    <mergeCell ref="H49:R49"/>
    <mergeCell ref="A4:F4"/>
    <mergeCell ref="G36:G47"/>
    <mergeCell ref="A78:R78"/>
    <mergeCell ref="G51:G62"/>
    <mergeCell ref="A37:F37"/>
    <mergeCell ref="H1:L1"/>
    <mergeCell ref="A19:F19"/>
    <mergeCell ref="G66:G77"/>
    <mergeCell ref="A63:R63"/>
    <mergeCell ref="H109:R109"/>
    <mergeCell ref="A67:F67"/>
    <mergeCell ref="A93:R93"/>
    <mergeCell ref="A34:F34"/>
    <mergeCell ref="H19:R19"/>
    <mergeCell ref="A64:F64"/>
    <mergeCell ref="A48:R48"/>
    <mergeCell ref="A49:F49"/>
    <mergeCell ref="A82:F82"/>
    <mergeCell ref="A94:F94"/>
    <mergeCell ref="A109:F109"/>
    <mergeCell ref="A97:F97"/>
    <mergeCell ref="A108:R108"/>
    <mergeCell ref="H124:R124"/>
    <mergeCell ref="A79:F79"/>
    <mergeCell ref="A123:R123"/>
    <mergeCell ref="A138:R138"/>
    <mergeCell ref="A124:F124"/>
    <mergeCell ref="G126:G137"/>
    <mergeCell ref="A112:F112"/>
    <mergeCell ref="A127:F127"/>
    <mergeCell ref="G111:G122"/>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J11"/>
  <sheetViews>
    <sheetView workbookViewId="0"/>
  </sheetViews>
  <sheetFormatPr defaultColWidth="8.85546875" defaultRowHeight="15.6" outlineLevelCol="1"/>
  <cols>
    <col min="1" max="1" width="8.7109375" style="266" bestFit="1" customWidth="1"/>
    <col min="2" max="2" width="9.7109375" style="266" bestFit="1" customWidth="1"/>
    <col min="3" max="3" width="6.7109375" style="266" bestFit="1" customWidth="1"/>
    <col min="4" max="4" width="5.5703125" style="266" bestFit="1" customWidth="1"/>
    <col min="5" max="5" width="9.42578125" style="266" bestFit="1" customWidth="1"/>
    <col min="6" max="6" width="4.28515625" style="266" bestFit="1" customWidth="1"/>
    <col min="7" max="7" width="8.42578125" style="266" bestFit="1" customWidth="1"/>
    <col min="8" max="8" width="8.5703125" style="266" bestFit="1" customWidth="1"/>
    <col min="9"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6" width="3.85546875" style="266" bestFit="1" customWidth="1"/>
    <col min="27" max="27" width="4" style="266" bestFit="1" customWidth="1"/>
    <col min="28"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560</v>
      </c>
      <c r="B2" s="268">
        <v>46024</v>
      </c>
      <c r="C2" s="269" t="s">
        <v>1125</v>
      </c>
      <c r="D2" s="270" t="s">
        <v>1140</v>
      </c>
      <c r="E2" s="269" t="s">
        <v>1123</v>
      </c>
      <c r="F2" s="269" t="s">
        <v>232</v>
      </c>
      <c r="G2" s="271">
        <v>7.22E-2</v>
      </c>
      <c r="H2" s="272">
        <v>180</v>
      </c>
      <c r="I2" s="272">
        <v>13</v>
      </c>
      <c r="J2" s="272">
        <v>0</v>
      </c>
      <c r="K2" s="269" t="s">
        <v>233</v>
      </c>
      <c r="L2" s="273">
        <v>46344</v>
      </c>
      <c r="M2" s="272">
        <v>0</v>
      </c>
      <c r="N2" s="272">
        <v>0</v>
      </c>
      <c r="O2" s="272">
        <v>13</v>
      </c>
      <c r="P2" s="269" t="s">
        <v>570</v>
      </c>
      <c r="Q2" s="265"/>
      <c r="R2" s="265"/>
      <c r="S2" s="265"/>
      <c r="T2" s="265"/>
      <c r="U2" s="265"/>
      <c r="V2" s="265"/>
      <c r="W2" s="265"/>
      <c r="X2" s="265"/>
      <c r="Y2" s="265"/>
      <c r="Z2" s="265"/>
      <c r="AA2" s="265"/>
      <c r="AB2" s="265"/>
      <c r="AC2" s="272" t="s">
        <v>306</v>
      </c>
      <c r="AD2" s="265"/>
      <c r="AE2" s="272" t="s">
        <v>905</v>
      </c>
      <c r="AF2" s="272" t="s">
        <v>571</v>
      </c>
      <c r="AG2" s="265"/>
      <c r="AH2" s="265"/>
      <c r="AI2" s="265"/>
      <c r="AJ2" s="265"/>
    </row>
    <row r="3" spans="1:36">
      <c r="A3" s="267" t="s">
        <v>240</v>
      </c>
      <c r="B3" s="268">
        <v>46027</v>
      </c>
      <c r="C3" s="269" t="s">
        <v>1125</v>
      </c>
      <c r="D3" s="270" t="s">
        <v>1141</v>
      </c>
      <c r="E3" s="269" t="s">
        <v>1123</v>
      </c>
      <c r="F3" s="269" t="s">
        <v>232</v>
      </c>
      <c r="G3" s="271">
        <v>3.8899999999999997E-2</v>
      </c>
      <c r="H3" s="272">
        <v>180</v>
      </c>
      <c r="I3" s="272">
        <v>7</v>
      </c>
      <c r="J3" s="272">
        <v>0</v>
      </c>
      <c r="K3" s="269" t="s">
        <v>233</v>
      </c>
      <c r="L3" s="273">
        <v>46315</v>
      </c>
      <c r="M3" s="272">
        <v>0</v>
      </c>
      <c r="N3" s="272">
        <v>0</v>
      </c>
      <c r="O3" s="272">
        <v>7</v>
      </c>
      <c r="P3" s="269" t="s">
        <v>918</v>
      </c>
      <c r="Q3" s="265"/>
      <c r="R3" s="265"/>
      <c r="S3" s="265"/>
      <c r="T3" s="265"/>
      <c r="U3" s="265"/>
      <c r="V3" s="265"/>
      <c r="W3" s="265"/>
      <c r="X3" s="265"/>
      <c r="Y3" s="265"/>
      <c r="Z3" s="265"/>
      <c r="AA3" s="265"/>
      <c r="AB3" s="265"/>
      <c r="AC3" s="272" t="s">
        <v>306</v>
      </c>
      <c r="AD3" s="265"/>
      <c r="AE3" s="265"/>
      <c r="AF3" s="272" t="s">
        <v>571</v>
      </c>
      <c r="AG3" s="265"/>
      <c r="AH3" s="265"/>
      <c r="AI3" s="265"/>
      <c r="AJ3" s="265"/>
    </row>
    <row r="4" spans="1:36">
      <c r="A4" s="267" t="s">
        <v>560</v>
      </c>
      <c r="B4" s="268">
        <v>46031</v>
      </c>
      <c r="C4" s="269" t="s">
        <v>1125</v>
      </c>
      <c r="D4" s="270" t="s">
        <v>1140</v>
      </c>
      <c r="E4" s="269" t="s">
        <v>1123</v>
      </c>
      <c r="F4" s="269" t="s">
        <v>232</v>
      </c>
      <c r="G4" s="271">
        <v>3.8899999999999997E-2</v>
      </c>
      <c r="H4" s="272">
        <v>180</v>
      </c>
      <c r="I4" s="272">
        <v>7</v>
      </c>
      <c r="J4" s="272">
        <v>0</v>
      </c>
      <c r="K4" s="269" t="s">
        <v>233</v>
      </c>
      <c r="L4" s="273">
        <v>46344</v>
      </c>
      <c r="M4" s="272">
        <v>0</v>
      </c>
      <c r="N4" s="272">
        <v>0</v>
      </c>
      <c r="O4" s="272">
        <v>7</v>
      </c>
      <c r="P4" s="269" t="s">
        <v>918</v>
      </c>
      <c r="Q4" s="265"/>
      <c r="R4" s="265"/>
      <c r="S4" s="265"/>
      <c r="T4" s="265"/>
      <c r="U4" s="265"/>
      <c r="V4" s="265"/>
      <c r="W4" s="265"/>
      <c r="X4" s="265"/>
      <c r="Y4" s="265"/>
      <c r="Z4" s="265"/>
      <c r="AA4" s="265"/>
      <c r="AB4" s="265"/>
      <c r="AC4" s="272" t="s">
        <v>302</v>
      </c>
      <c r="AD4" s="265"/>
      <c r="AE4" s="265"/>
      <c r="AF4" s="272" t="s">
        <v>900</v>
      </c>
      <c r="AG4" s="265"/>
      <c r="AH4" s="265"/>
      <c r="AI4" s="265"/>
      <c r="AJ4" s="265"/>
    </row>
    <row r="5" spans="1:36">
      <c r="A5" s="267" t="s">
        <v>240</v>
      </c>
      <c r="B5" s="268">
        <v>46034</v>
      </c>
      <c r="C5" s="269" t="s">
        <v>1125</v>
      </c>
      <c r="D5" s="270" t="s">
        <v>1141</v>
      </c>
      <c r="E5" s="269" t="s">
        <v>1123</v>
      </c>
      <c r="F5" s="269" t="s">
        <v>232</v>
      </c>
      <c r="G5" s="271">
        <v>5.5599999999999997E-2</v>
      </c>
      <c r="H5" s="272">
        <v>180</v>
      </c>
      <c r="I5" s="272">
        <v>10</v>
      </c>
      <c r="J5" s="272">
        <v>0</v>
      </c>
      <c r="K5" s="269" t="s">
        <v>233</v>
      </c>
      <c r="L5" s="273">
        <v>46345</v>
      </c>
      <c r="M5" s="272">
        <v>0</v>
      </c>
      <c r="N5" s="272">
        <v>0</v>
      </c>
      <c r="O5" s="272">
        <v>10</v>
      </c>
      <c r="P5" s="269" t="s">
        <v>905</v>
      </c>
      <c r="Q5" s="265"/>
      <c r="R5" s="265"/>
      <c r="S5" s="265"/>
      <c r="T5" s="265"/>
      <c r="U5" s="265"/>
      <c r="V5" s="265"/>
      <c r="W5" s="265"/>
      <c r="X5" s="265"/>
      <c r="Y5" s="265"/>
      <c r="Z5" s="265"/>
      <c r="AA5" s="272" t="s">
        <v>318</v>
      </c>
      <c r="AB5" s="265"/>
      <c r="AC5" s="265"/>
      <c r="AD5" s="265"/>
      <c r="AE5" s="272" t="s">
        <v>570</v>
      </c>
      <c r="AF5" s="272" t="s">
        <v>374</v>
      </c>
      <c r="AG5" s="265"/>
      <c r="AH5" s="265"/>
      <c r="AI5" s="265"/>
      <c r="AJ5" s="265"/>
    </row>
    <row r="6" spans="1:36">
      <c r="A6" s="267" t="s">
        <v>560</v>
      </c>
      <c r="B6" s="268">
        <v>46038</v>
      </c>
      <c r="C6" s="269" t="s">
        <v>1125</v>
      </c>
      <c r="D6" s="270" t="s">
        <v>1140</v>
      </c>
      <c r="E6" s="269" t="s">
        <v>1123</v>
      </c>
      <c r="F6" s="269" t="s">
        <v>232</v>
      </c>
      <c r="G6" s="271">
        <v>1.11E-2</v>
      </c>
      <c r="H6" s="272">
        <v>180</v>
      </c>
      <c r="I6" s="272">
        <v>2</v>
      </c>
      <c r="J6" s="272">
        <v>0</v>
      </c>
      <c r="K6" s="269" t="s">
        <v>233</v>
      </c>
      <c r="L6" s="273">
        <v>46320</v>
      </c>
      <c r="M6" s="272">
        <v>0</v>
      </c>
      <c r="N6" s="272">
        <v>0</v>
      </c>
      <c r="O6" s="272">
        <v>2</v>
      </c>
      <c r="P6" s="269" t="s">
        <v>667</v>
      </c>
      <c r="Q6" s="265"/>
      <c r="R6" s="265"/>
      <c r="S6" s="265"/>
      <c r="T6" s="265"/>
      <c r="U6" s="265"/>
      <c r="V6" s="265"/>
      <c r="W6" s="265"/>
      <c r="X6" s="265"/>
      <c r="Y6" s="272" t="s">
        <v>1034</v>
      </c>
      <c r="Z6" s="265"/>
      <c r="AA6" s="265"/>
      <c r="AB6" s="265"/>
      <c r="AC6" s="272" t="s">
        <v>302</v>
      </c>
      <c r="AD6" s="265"/>
      <c r="AE6" s="265"/>
      <c r="AF6" s="265"/>
      <c r="AG6" s="265"/>
      <c r="AH6" s="265"/>
      <c r="AI6" s="265"/>
      <c r="AJ6" s="265"/>
    </row>
    <row r="7" spans="1:36">
      <c r="A7" s="267" t="s">
        <v>240</v>
      </c>
      <c r="B7" s="268">
        <v>46041</v>
      </c>
      <c r="C7" s="269" t="s">
        <v>1125</v>
      </c>
      <c r="D7" s="270" t="s">
        <v>1141</v>
      </c>
      <c r="E7" s="269" t="s">
        <v>1123</v>
      </c>
      <c r="F7" s="269" t="s">
        <v>232</v>
      </c>
      <c r="G7" s="271">
        <v>3.3300000000000003E-2</v>
      </c>
      <c r="H7" s="272">
        <v>180</v>
      </c>
      <c r="I7" s="272">
        <v>6</v>
      </c>
      <c r="J7" s="272">
        <v>0</v>
      </c>
      <c r="K7" s="269" t="s">
        <v>233</v>
      </c>
      <c r="L7" s="273">
        <v>46340</v>
      </c>
      <c r="M7" s="272">
        <v>0</v>
      </c>
      <c r="N7" s="272">
        <v>0</v>
      </c>
      <c r="O7" s="272">
        <v>6</v>
      </c>
      <c r="P7" s="269" t="s">
        <v>967</v>
      </c>
      <c r="Q7" s="265"/>
      <c r="R7" s="265"/>
      <c r="S7" s="265"/>
      <c r="T7" s="265"/>
      <c r="U7" s="265"/>
      <c r="V7" s="265"/>
      <c r="W7" s="265"/>
      <c r="X7" s="265"/>
      <c r="Y7" s="265"/>
      <c r="Z7" s="265"/>
      <c r="AA7" s="265"/>
      <c r="AB7" s="265"/>
      <c r="AC7" s="265"/>
      <c r="AD7" s="272" t="s">
        <v>431</v>
      </c>
      <c r="AE7" s="272" t="s">
        <v>570</v>
      </c>
      <c r="AF7" s="265"/>
      <c r="AG7" s="265"/>
      <c r="AH7" s="265"/>
      <c r="AI7" s="265"/>
      <c r="AJ7" s="265"/>
    </row>
    <row r="8" spans="1:36">
      <c r="A8" s="267" t="s">
        <v>560</v>
      </c>
      <c r="B8" s="268">
        <v>46045</v>
      </c>
      <c r="C8" s="269" t="s">
        <v>1125</v>
      </c>
      <c r="D8" s="270" t="s">
        <v>1140</v>
      </c>
      <c r="E8" s="269" t="s">
        <v>1123</v>
      </c>
      <c r="F8" s="269" t="s">
        <v>232</v>
      </c>
      <c r="G8" s="271">
        <v>5.5999999999999999E-3</v>
      </c>
      <c r="H8" s="272">
        <v>180</v>
      </c>
      <c r="I8" s="272">
        <v>1</v>
      </c>
      <c r="J8" s="272">
        <v>0</v>
      </c>
      <c r="K8" s="269" t="s">
        <v>233</v>
      </c>
      <c r="L8" s="273">
        <v>46322</v>
      </c>
      <c r="M8" s="272">
        <v>0</v>
      </c>
      <c r="N8" s="272">
        <v>0</v>
      </c>
      <c r="O8" s="272">
        <v>1</v>
      </c>
      <c r="P8" s="269" t="s">
        <v>1137</v>
      </c>
      <c r="Q8" s="265"/>
      <c r="R8" s="265"/>
      <c r="S8" s="265"/>
      <c r="T8" s="265"/>
      <c r="U8" s="265"/>
      <c r="V8" s="265"/>
      <c r="W8" s="265"/>
      <c r="X8" s="265"/>
      <c r="Y8" s="265"/>
      <c r="Z8" s="265"/>
      <c r="AA8" s="272" t="s">
        <v>686</v>
      </c>
      <c r="AB8" s="265"/>
      <c r="AC8" s="265"/>
      <c r="AD8" s="265"/>
      <c r="AE8" s="265"/>
      <c r="AF8" s="265"/>
      <c r="AG8" s="265"/>
      <c r="AH8" s="265"/>
      <c r="AI8" s="265"/>
      <c r="AJ8" s="265"/>
    </row>
    <row r="9" spans="1:36">
      <c r="A9" s="267" t="s">
        <v>240</v>
      </c>
      <c r="B9" s="268">
        <v>46048</v>
      </c>
      <c r="C9" s="269" t="s">
        <v>1125</v>
      </c>
      <c r="D9" s="270" t="s">
        <v>1141</v>
      </c>
      <c r="E9" s="269" t="s">
        <v>1123</v>
      </c>
      <c r="F9" s="269" t="s">
        <v>232</v>
      </c>
      <c r="G9" s="271">
        <v>1.11E-2</v>
      </c>
      <c r="H9" s="272">
        <v>180</v>
      </c>
      <c r="I9" s="272">
        <v>2</v>
      </c>
      <c r="J9" s="272">
        <v>0</v>
      </c>
      <c r="K9" s="269" t="s">
        <v>233</v>
      </c>
      <c r="L9" s="273">
        <v>46334</v>
      </c>
      <c r="M9" s="272">
        <v>0</v>
      </c>
      <c r="N9" s="272">
        <v>0</v>
      </c>
      <c r="O9" s="272">
        <v>2</v>
      </c>
      <c r="P9" s="269" t="s">
        <v>967</v>
      </c>
      <c r="Q9" s="265"/>
      <c r="R9" s="265"/>
      <c r="S9" s="265"/>
      <c r="T9" s="265"/>
      <c r="U9" s="265"/>
      <c r="V9" s="265"/>
      <c r="W9" s="265"/>
      <c r="X9" s="265"/>
      <c r="Y9" s="265"/>
      <c r="Z9" s="265"/>
      <c r="AA9" s="265"/>
      <c r="AB9" s="265"/>
      <c r="AC9" s="272" t="s">
        <v>302</v>
      </c>
      <c r="AD9" s="265"/>
      <c r="AE9" s="272" t="s">
        <v>570</v>
      </c>
      <c r="AF9" s="265"/>
      <c r="AG9" s="265"/>
      <c r="AH9" s="265"/>
      <c r="AI9" s="265"/>
      <c r="AJ9" s="265"/>
    </row>
    <row r="10" spans="1:36">
      <c r="A10" s="267" t="s">
        <v>560</v>
      </c>
      <c r="B10" s="268">
        <v>46052</v>
      </c>
      <c r="C10" s="269" t="s">
        <v>1125</v>
      </c>
      <c r="D10" s="270" t="s">
        <v>1140</v>
      </c>
      <c r="E10" s="269" t="s">
        <v>1123</v>
      </c>
      <c r="F10" s="269" t="s">
        <v>232</v>
      </c>
      <c r="G10" s="271">
        <v>2.2200000000000001E-2</v>
      </c>
      <c r="H10" s="272">
        <v>180</v>
      </c>
      <c r="I10" s="272">
        <v>4</v>
      </c>
      <c r="J10" s="272">
        <v>0</v>
      </c>
      <c r="K10" s="269" t="s">
        <v>233</v>
      </c>
      <c r="L10" s="273">
        <v>46331</v>
      </c>
      <c r="M10" s="272">
        <v>0</v>
      </c>
      <c r="N10" s="272">
        <v>0</v>
      </c>
      <c r="O10" s="272">
        <v>4</v>
      </c>
      <c r="P10" s="269" t="s">
        <v>570</v>
      </c>
      <c r="Q10" s="265"/>
      <c r="R10" s="265"/>
      <c r="S10" s="265"/>
      <c r="T10" s="265"/>
      <c r="U10" s="265"/>
      <c r="V10" s="265"/>
      <c r="W10" s="265"/>
      <c r="X10" s="265"/>
      <c r="Y10" s="265"/>
      <c r="Z10" s="265"/>
      <c r="AA10" s="265"/>
      <c r="AB10" s="265"/>
      <c r="AC10" s="272" t="s">
        <v>302</v>
      </c>
      <c r="AD10" s="265"/>
      <c r="AE10" s="272" t="s">
        <v>967</v>
      </c>
      <c r="AF10" s="265"/>
      <c r="AG10" s="265"/>
      <c r="AH10" s="265"/>
      <c r="AI10" s="265"/>
      <c r="AJ10" s="265"/>
    </row>
    <row r="11" spans="1:36" ht="21">
      <c r="A11" s="274" t="s">
        <v>251</v>
      </c>
      <c r="B11" s="275"/>
      <c r="C11" s="274">
        <f>SUBTOTAL(103,ATZ_DMM_LF_LEGACY[Flt])</f>
        <v>9</v>
      </c>
      <c r="D11" s="274"/>
      <c r="E11" s="274">
        <f>SUBTOTAL(103,ATZ_DMM_LF_LEGACY[Brd-Off])</f>
        <v>9</v>
      </c>
      <c r="F11" s="274"/>
      <c r="G11" s="276">
        <f>SUBTOTAL(101,ATZ_DMM_LF_LEGACY[LF%])</f>
        <v>3.2099999999999997E-2</v>
      </c>
      <c r="H11" s="277">
        <f>SUBTOTAL(109,ATZ_DMM_LF_LEGACY[CAP])</f>
        <v>1620</v>
      </c>
      <c r="I11" s="277">
        <f>SUBTOTAL(109,ATZ_DMM_LF_LEGACY[BKG(Y)])</f>
        <v>52</v>
      </c>
      <c r="J11" s="277">
        <f>SUBTOTAL(109,ATZ_DMM_LF_LEGACY[GRP(Y)])</f>
        <v>0</v>
      </c>
      <c r="K11" s="274"/>
      <c r="L11" s="275"/>
      <c r="M11" s="277">
        <f>SUBTOTAL(109,ATZ_DMM_LF_LEGACY[TO-DAY])</f>
        <v>0</v>
      </c>
      <c r="N11" s="277">
        <f>SUBTOTAL(109,ATZ_DMM_LF_LEGACY[Y-DAY])</f>
        <v>0</v>
      </c>
      <c r="O11" s="277">
        <f>SUBTOTAL(109,ATZ_DMM_LF_LEGACY[WEEKLY])</f>
        <v>52</v>
      </c>
      <c r="P11" s="274"/>
      <c r="Q11" s="277">
        <f>SUBTOTAL(109,ATZ_DMM_LF_LEGACY[Y])</f>
        <v>0</v>
      </c>
      <c r="R11" s="277">
        <f>SUBTOTAL(109,ATZ_DMM_LF_LEGACY[B])</f>
        <v>0</v>
      </c>
      <c r="S11" s="277">
        <f>SUBTOTAL(109,ATZ_DMM_LF_LEGACY[M])</f>
        <v>0</v>
      </c>
      <c r="T11" s="277">
        <f>SUBTOTAL(109,ATZ_DMM_LF_LEGACY[H])</f>
        <v>0</v>
      </c>
      <c r="U11" s="277">
        <f>SUBTOTAL(109,ATZ_DMM_LF_LEGACY[Q])</f>
        <v>0</v>
      </c>
      <c r="V11" s="277">
        <f>SUBTOTAL(109,ATZ_DMM_LF_LEGACY[K])</f>
        <v>0</v>
      </c>
      <c r="W11" s="277">
        <f>SUBTOTAL(109,ATZ_DMM_LF_LEGACY[V])</f>
        <v>0</v>
      </c>
      <c r="X11" s="277">
        <f>SUBTOTAL(109,ATZ_DMM_LF_LEGACY[L])</f>
        <v>0</v>
      </c>
      <c r="Y11" s="277">
        <f>SUBTOTAL(109,ATZ_DMM_LF_LEGACY[G])</f>
        <v>0</v>
      </c>
      <c r="Z11" s="277">
        <f>SUBTOTAL(109,ATZ_DMM_LF_LEGACY[S])</f>
        <v>0</v>
      </c>
      <c r="AA11" s="277">
        <f>SUBTOTAL(109,ATZ_DMM_LF_LEGACY[W])</f>
        <v>0</v>
      </c>
      <c r="AB11" s="277">
        <f>SUBTOTAL(109,ATZ_DMM_LF_LEGACY[T])</f>
        <v>0</v>
      </c>
      <c r="AC11" s="277">
        <f>SUBTOTAL(109,ATZ_DMM_LF_LEGACY[X])</f>
        <v>0</v>
      </c>
      <c r="AD11" s="277">
        <f>SUBTOTAL(109,ATZ_DMM_LF_LEGACY[U])</f>
        <v>0</v>
      </c>
      <c r="AE11" s="277">
        <f>SUBTOTAL(109,ATZ_DMM_LF_LEGACY[O])</f>
        <v>0</v>
      </c>
      <c r="AF11" s="277">
        <f>SUBTOTAL(109,ATZ_DMM_LF_LEGACY[I])</f>
        <v>0</v>
      </c>
      <c r="AG11" s="277">
        <f>SUBTOTAL(109,ATZ_DMM_LF_LEGACY[E])</f>
        <v>0</v>
      </c>
      <c r="AH11" s="277">
        <f>SUBTOTAL(109,ATZ_DMM_LF_LEGACY[A])</f>
        <v>0</v>
      </c>
      <c r="AI11" s="277">
        <f>SUBTOTAL(109,ATZ_DMM_LF_LEGACY[P])</f>
        <v>0</v>
      </c>
      <c r="AJ11" s="277">
        <f>SUBTOTAL(103,ATZ_DMM_LF_LEGACY[N])</f>
        <v>0</v>
      </c>
    </row>
  </sheetData>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351"/>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4.140625" bestFit="1" customWidth="1"/>
    <col min="7" max="7" width="20" bestFit="1" customWidth="1"/>
    <col min="8" max="8" width="23.7109375" bestFit="1" customWidth="1"/>
    <col min="9" max="9" width="157.140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43"/>
      <c r="B2" s="144"/>
      <c r="C2" s="144"/>
      <c r="D2" s="144"/>
      <c r="E2" s="144"/>
      <c r="F2" s="145" t="s">
        <v>1142</v>
      </c>
      <c r="G2" s="144"/>
      <c r="H2" s="146"/>
    </row>
    <row r="3" spans="1:8" ht="19.899999999999999" customHeight="1">
      <c r="A3" s="111" t="s">
        <v>254</v>
      </c>
      <c r="B3" s="112" t="s">
        <v>38</v>
      </c>
      <c r="C3" s="113" t="s">
        <v>1041</v>
      </c>
      <c r="D3" s="112" t="s">
        <v>1040</v>
      </c>
      <c r="E3" s="112" t="s">
        <v>1122</v>
      </c>
      <c r="F3" s="112" t="s">
        <v>440</v>
      </c>
      <c r="G3" s="114">
        <v>8</v>
      </c>
      <c r="H3" s="115" t="s">
        <v>1042</v>
      </c>
    </row>
    <row r="4" spans="1:8" ht="19.899999999999999" customHeight="1">
      <c r="A4" s="111" t="s">
        <v>254</v>
      </c>
      <c r="B4" s="112" t="s">
        <v>61</v>
      </c>
      <c r="C4" s="113" t="s">
        <v>1043</v>
      </c>
      <c r="D4" s="112" t="s">
        <v>1040</v>
      </c>
      <c r="E4" s="112" t="s">
        <v>1108</v>
      </c>
      <c r="F4" s="112" t="s">
        <v>63</v>
      </c>
      <c r="G4" s="114">
        <v>1</v>
      </c>
      <c r="H4" s="115" t="s">
        <v>1044</v>
      </c>
    </row>
    <row r="5" spans="1:8" ht="19.899999999999999" customHeight="1">
      <c r="A5" s="111" t="s">
        <v>254</v>
      </c>
      <c r="B5" s="112" t="s">
        <v>26</v>
      </c>
      <c r="C5" s="113" t="s">
        <v>1047</v>
      </c>
      <c r="D5" s="112" t="s">
        <v>1040</v>
      </c>
      <c r="E5" s="112" t="s">
        <v>282</v>
      </c>
      <c r="F5" s="112" t="s">
        <v>451</v>
      </c>
      <c r="G5" s="114">
        <v>5</v>
      </c>
      <c r="H5" s="115" t="s">
        <v>1048</v>
      </c>
    </row>
    <row r="6" spans="1:8" ht="19.899999999999999" customHeight="1">
      <c r="A6" s="111" t="s">
        <v>254</v>
      </c>
      <c r="B6" s="112" t="s">
        <v>26</v>
      </c>
      <c r="C6" s="113" t="s">
        <v>1049</v>
      </c>
      <c r="D6" s="112" t="s">
        <v>1040</v>
      </c>
      <c r="E6" s="112" t="s">
        <v>1128</v>
      </c>
      <c r="F6" s="112" t="s">
        <v>28</v>
      </c>
      <c r="G6" s="114">
        <v>5</v>
      </c>
      <c r="H6" s="115" t="s">
        <v>1048</v>
      </c>
    </row>
    <row r="7" spans="1:8" ht="19.899999999999999" customHeight="1">
      <c r="A7" s="111" t="s">
        <v>254</v>
      </c>
      <c r="B7" s="112" t="s">
        <v>415</v>
      </c>
      <c r="C7" s="113" t="s">
        <v>1050</v>
      </c>
      <c r="D7" s="112" t="s">
        <v>1040</v>
      </c>
      <c r="E7" s="112" t="s">
        <v>1143</v>
      </c>
      <c r="F7" s="112" t="s">
        <v>63</v>
      </c>
      <c r="G7" s="114">
        <v>7</v>
      </c>
      <c r="H7" s="115" t="s">
        <v>1051</v>
      </c>
    </row>
    <row r="8" spans="1:8" ht="19.899999999999999" customHeight="1">
      <c r="A8" s="111" t="s">
        <v>254</v>
      </c>
      <c r="B8" s="112" t="s">
        <v>26</v>
      </c>
      <c r="C8" s="113" t="s">
        <v>1049</v>
      </c>
      <c r="D8" s="112" t="s">
        <v>1040</v>
      </c>
      <c r="E8" s="112" t="s">
        <v>1128</v>
      </c>
      <c r="F8" s="112" t="s">
        <v>31</v>
      </c>
      <c r="G8" s="114">
        <v>5</v>
      </c>
      <c r="H8" s="115" t="s">
        <v>420</v>
      </c>
    </row>
    <row r="9" spans="1:8" ht="19.899999999999999" customHeight="1">
      <c r="A9" s="111" t="s">
        <v>254</v>
      </c>
      <c r="B9" s="112" t="s">
        <v>68</v>
      </c>
      <c r="C9" s="113" t="s">
        <v>1052</v>
      </c>
      <c r="D9" s="112" t="s">
        <v>1040</v>
      </c>
      <c r="E9" s="112" t="s">
        <v>282</v>
      </c>
      <c r="F9" s="112" t="s">
        <v>643</v>
      </c>
      <c r="G9" s="114">
        <v>9</v>
      </c>
      <c r="H9" s="115" t="s">
        <v>1053</v>
      </c>
    </row>
    <row r="10" spans="1:8" ht="19.899999999999999" customHeight="1">
      <c r="A10" s="111" t="s">
        <v>254</v>
      </c>
      <c r="B10" s="112" t="s">
        <v>402</v>
      </c>
      <c r="C10" s="113" t="s">
        <v>1057</v>
      </c>
      <c r="D10" s="112" t="s">
        <v>1040</v>
      </c>
      <c r="E10" s="112" t="s">
        <v>578</v>
      </c>
      <c r="F10" s="112" t="s">
        <v>63</v>
      </c>
      <c r="G10" s="114">
        <v>2</v>
      </c>
      <c r="H10" s="115" t="s">
        <v>1058</v>
      </c>
    </row>
    <row r="11" spans="1:8" ht="19.899999999999999" customHeight="1">
      <c r="A11" s="111" t="s">
        <v>254</v>
      </c>
      <c r="B11" s="112" t="s">
        <v>402</v>
      </c>
      <c r="C11" s="113" t="s">
        <v>1059</v>
      </c>
      <c r="D11" s="112" t="s">
        <v>1040</v>
      </c>
      <c r="E11" s="112" t="s">
        <v>702</v>
      </c>
      <c r="F11" s="112" t="s">
        <v>63</v>
      </c>
      <c r="G11" s="114">
        <v>7</v>
      </c>
      <c r="H11" s="115" t="s">
        <v>1058</v>
      </c>
    </row>
    <row r="12" spans="1:8" ht="19.899999999999999" customHeight="1">
      <c r="A12" s="147" t="s">
        <v>254</v>
      </c>
      <c r="B12" s="124" t="s">
        <v>68</v>
      </c>
      <c r="C12" s="125" t="s">
        <v>1054</v>
      </c>
      <c r="D12" s="124" t="s">
        <v>1040</v>
      </c>
      <c r="E12" s="124" t="s">
        <v>1130</v>
      </c>
      <c r="F12" s="124" t="s">
        <v>70</v>
      </c>
      <c r="G12" s="127">
        <v>9</v>
      </c>
      <c r="H12" s="128" t="s">
        <v>1055</v>
      </c>
    </row>
    <row r="13" spans="1:8" ht="19.899999999999999" customHeight="1">
      <c r="A13" s="116" t="s">
        <v>339</v>
      </c>
      <c r="B13" s="117" t="s">
        <v>61</v>
      </c>
      <c r="C13" s="118" t="s">
        <v>1124</v>
      </c>
      <c r="D13" s="117" t="s">
        <v>1123</v>
      </c>
      <c r="E13" s="117" t="s">
        <v>1140</v>
      </c>
      <c r="F13" s="117" t="s">
        <v>63</v>
      </c>
      <c r="G13" s="119">
        <v>1</v>
      </c>
      <c r="H13" s="120" t="s">
        <v>1076</v>
      </c>
    </row>
    <row r="14" spans="1:8" ht="19.899999999999999" customHeight="1">
      <c r="A14" s="143"/>
      <c r="B14" s="144"/>
      <c r="C14" s="144"/>
      <c r="D14" s="144"/>
      <c r="E14" s="144"/>
      <c r="F14" s="145" t="s">
        <v>1142</v>
      </c>
      <c r="G14" s="144"/>
      <c r="H14" s="146"/>
    </row>
    <row r="15" spans="1:8" ht="19.899999999999999" customHeight="1">
      <c r="A15" s="121">
        <v>46024</v>
      </c>
      <c r="B15" s="112" t="s">
        <v>38</v>
      </c>
      <c r="C15" s="113" t="s">
        <v>1041</v>
      </c>
      <c r="D15" s="112" t="s">
        <v>1040</v>
      </c>
      <c r="E15" s="122">
        <v>1.447916666666667</v>
      </c>
      <c r="F15" s="112" t="s">
        <v>40</v>
      </c>
      <c r="G15" s="114">
        <v>10</v>
      </c>
      <c r="H15" s="115" t="s">
        <v>149</v>
      </c>
    </row>
    <row r="16" spans="1:8" ht="19.899999999999999" customHeight="1">
      <c r="A16" s="121">
        <v>46024</v>
      </c>
      <c r="B16" s="112" t="s">
        <v>61</v>
      </c>
      <c r="C16" s="113" t="s">
        <v>1043</v>
      </c>
      <c r="D16" s="112" t="s">
        <v>1040</v>
      </c>
      <c r="E16" s="122">
        <v>1.381944444444444</v>
      </c>
      <c r="F16" s="112" t="s">
        <v>63</v>
      </c>
      <c r="G16" s="114">
        <v>6</v>
      </c>
      <c r="H16" s="115" t="s">
        <v>1044</v>
      </c>
    </row>
    <row r="17" spans="1:8" ht="19.899999999999999" customHeight="1">
      <c r="A17" s="121">
        <v>46024</v>
      </c>
      <c r="B17" s="112" t="s">
        <v>26</v>
      </c>
      <c r="C17" s="113" t="s">
        <v>1049</v>
      </c>
      <c r="D17" s="112" t="s">
        <v>1040</v>
      </c>
      <c r="E17" s="122">
        <v>1.9722222222222221</v>
      </c>
      <c r="F17" s="112" t="s">
        <v>28</v>
      </c>
      <c r="G17" s="114">
        <v>3</v>
      </c>
      <c r="H17" s="115" t="s">
        <v>349</v>
      </c>
    </row>
    <row r="18" spans="1:8" ht="19.899999999999999" customHeight="1">
      <c r="A18" s="121">
        <v>46024</v>
      </c>
      <c r="B18" s="112" t="s">
        <v>415</v>
      </c>
      <c r="C18" s="113" t="s">
        <v>1062</v>
      </c>
      <c r="D18" s="112" t="s">
        <v>1040</v>
      </c>
      <c r="E18" s="122">
        <v>1.006944444444444</v>
      </c>
      <c r="F18" s="112" t="s">
        <v>63</v>
      </c>
      <c r="G18" s="114">
        <v>6</v>
      </c>
      <c r="H18" s="115" t="s">
        <v>1051</v>
      </c>
    </row>
    <row r="19" spans="1:8" ht="19.899999999999999" customHeight="1">
      <c r="A19" s="121">
        <v>46024</v>
      </c>
      <c r="B19" s="112" t="s">
        <v>68</v>
      </c>
      <c r="C19" s="113" t="s">
        <v>1052</v>
      </c>
      <c r="D19" s="112" t="s">
        <v>1040</v>
      </c>
      <c r="E19" s="122">
        <v>1.336805555555556</v>
      </c>
      <c r="F19" s="112" t="s">
        <v>643</v>
      </c>
      <c r="G19" s="114">
        <v>9</v>
      </c>
      <c r="H19" s="115" t="s">
        <v>830</v>
      </c>
    </row>
    <row r="20" spans="1:8" ht="19.899999999999999" customHeight="1">
      <c r="A20" s="121">
        <v>46024</v>
      </c>
      <c r="B20" s="112" t="s">
        <v>402</v>
      </c>
      <c r="C20" s="113" t="s">
        <v>1064</v>
      </c>
      <c r="D20" s="112" t="s">
        <v>1040</v>
      </c>
      <c r="E20" s="122">
        <v>1.756944444444444</v>
      </c>
      <c r="F20" s="112" t="s">
        <v>63</v>
      </c>
      <c r="G20" s="114">
        <v>3</v>
      </c>
      <c r="H20" s="115" t="s">
        <v>1058</v>
      </c>
    </row>
    <row r="21" spans="1:8" ht="19.899999999999999" customHeight="1">
      <c r="A21" s="121">
        <v>46024</v>
      </c>
      <c r="B21" s="112" t="s">
        <v>38</v>
      </c>
      <c r="C21" s="113" t="s">
        <v>1041</v>
      </c>
      <c r="D21" s="112" t="s">
        <v>1040</v>
      </c>
      <c r="E21" s="122">
        <v>1.447916666666667</v>
      </c>
      <c r="F21" s="112" t="s">
        <v>43</v>
      </c>
      <c r="G21" s="114">
        <v>10</v>
      </c>
      <c r="H21" s="115" t="s">
        <v>35</v>
      </c>
    </row>
    <row r="22" spans="1:8" ht="19.899999999999999" customHeight="1">
      <c r="A22" s="121">
        <v>46024</v>
      </c>
      <c r="B22" s="112" t="s">
        <v>26</v>
      </c>
      <c r="C22" s="113" t="s">
        <v>1049</v>
      </c>
      <c r="D22" s="112" t="s">
        <v>1040</v>
      </c>
      <c r="E22" s="122">
        <v>1.9722222222222221</v>
      </c>
      <c r="F22" s="112" t="s">
        <v>31</v>
      </c>
      <c r="G22" s="114">
        <v>3</v>
      </c>
      <c r="H22" s="115" t="s">
        <v>35</v>
      </c>
    </row>
    <row r="23" spans="1:8" ht="19.899999999999999" customHeight="1">
      <c r="A23" s="121">
        <v>46024</v>
      </c>
      <c r="B23" s="112" t="s">
        <v>68</v>
      </c>
      <c r="C23" s="113" t="s">
        <v>1054</v>
      </c>
      <c r="D23" s="112" t="s">
        <v>1040</v>
      </c>
      <c r="E23" s="122">
        <v>1.979166666666667</v>
      </c>
      <c r="F23" s="112" t="s">
        <v>70</v>
      </c>
      <c r="G23" s="114">
        <v>9</v>
      </c>
      <c r="H23" s="115" t="s">
        <v>858</v>
      </c>
    </row>
    <row r="24" spans="1:8" ht="19.899999999999999" customHeight="1">
      <c r="A24" s="123">
        <v>46024</v>
      </c>
      <c r="B24" s="124" t="s">
        <v>26</v>
      </c>
      <c r="C24" s="125" t="s">
        <v>1049</v>
      </c>
      <c r="D24" s="124" t="s">
        <v>1040</v>
      </c>
      <c r="E24" s="126">
        <v>1.9722222222222221</v>
      </c>
      <c r="F24" s="124" t="s">
        <v>34</v>
      </c>
      <c r="G24" s="127">
        <v>3</v>
      </c>
      <c r="H24" s="128" t="s">
        <v>503</v>
      </c>
    </row>
    <row r="25" spans="1:8" ht="19.899999999999999" customHeight="1">
      <c r="A25" s="143"/>
      <c r="B25" s="144"/>
      <c r="C25" s="144"/>
      <c r="D25" s="144"/>
      <c r="E25" s="144"/>
      <c r="F25" s="145" t="s">
        <v>1142</v>
      </c>
      <c r="G25" s="144"/>
      <c r="H25" s="146"/>
    </row>
    <row r="26" spans="1:8" ht="19.899999999999999" customHeight="1">
      <c r="A26" s="121">
        <v>46025</v>
      </c>
      <c r="B26" s="112" t="s">
        <v>359</v>
      </c>
      <c r="C26" s="113" t="s">
        <v>1065</v>
      </c>
      <c r="D26" s="112" t="s">
        <v>1040</v>
      </c>
      <c r="E26" s="122">
        <v>1.7847222222222221</v>
      </c>
      <c r="F26" s="112" t="s">
        <v>361</v>
      </c>
      <c r="G26" s="114">
        <v>9</v>
      </c>
      <c r="H26" s="115" t="s">
        <v>1066</v>
      </c>
    </row>
    <row r="27" spans="1:8" ht="19.899999999999999" customHeight="1">
      <c r="A27" s="121">
        <v>46025</v>
      </c>
      <c r="B27" s="112" t="s">
        <v>38</v>
      </c>
      <c r="C27" s="113" t="s">
        <v>1041</v>
      </c>
      <c r="D27" s="112" t="s">
        <v>1040</v>
      </c>
      <c r="E27" s="122">
        <v>1.447916666666667</v>
      </c>
      <c r="F27" s="112" t="s">
        <v>40</v>
      </c>
      <c r="G27" s="114">
        <v>16</v>
      </c>
      <c r="H27" s="115" t="s">
        <v>83</v>
      </c>
    </row>
    <row r="28" spans="1:8" ht="19.899999999999999" customHeight="1">
      <c r="A28" s="121">
        <v>46025</v>
      </c>
      <c r="B28" s="112" t="s">
        <v>26</v>
      </c>
      <c r="C28" s="113" t="s">
        <v>1047</v>
      </c>
      <c r="D28" s="112" t="s">
        <v>1040</v>
      </c>
      <c r="E28" s="122">
        <v>1.336805555555556</v>
      </c>
      <c r="F28" s="112" t="s">
        <v>451</v>
      </c>
      <c r="G28" s="114">
        <v>6</v>
      </c>
      <c r="H28" s="115" t="s">
        <v>349</v>
      </c>
    </row>
    <row r="29" spans="1:8" ht="19.899999999999999" customHeight="1">
      <c r="A29" s="121">
        <v>46025</v>
      </c>
      <c r="B29" s="112" t="s">
        <v>26</v>
      </c>
      <c r="C29" s="113" t="s">
        <v>1049</v>
      </c>
      <c r="D29" s="112" t="s">
        <v>1040</v>
      </c>
      <c r="E29" s="122">
        <v>1.9722222222222221</v>
      </c>
      <c r="F29" s="112" t="s">
        <v>451</v>
      </c>
      <c r="G29" s="114">
        <v>3</v>
      </c>
      <c r="H29" s="115" t="s">
        <v>426</v>
      </c>
    </row>
    <row r="30" spans="1:8" ht="19.899999999999999" customHeight="1">
      <c r="A30" s="121">
        <v>46025</v>
      </c>
      <c r="B30" s="112" t="s">
        <v>61</v>
      </c>
      <c r="C30" s="113" t="s">
        <v>1043</v>
      </c>
      <c r="D30" s="112" t="s">
        <v>1040</v>
      </c>
      <c r="E30" s="122">
        <v>1.7222222222222221</v>
      </c>
      <c r="F30" s="112" t="s">
        <v>63</v>
      </c>
      <c r="G30" s="114">
        <v>7</v>
      </c>
      <c r="H30" s="115" t="s">
        <v>1068</v>
      </c>
    </row>
    <row r="31" spans="1:8" ht="19.899999999999999" customHeight="1">
      <c r="A31" s="121">
        <v>46025</v>
      </c>
      <c r="B31" s="112" t="s">
        <v>402</v>
      </c>
      <c r="C31" s="113" t="s">
        <v>1057</v>
      </c>
      <c r="D31" s="112" t="s">
        <v>1040</v>
      </c>
      <c r="E31" s="122">
        <v>1.694444444444444</v>
      </c>
      <c r="F31" s="112" t="s">
        <v>63</v>
      </c>
      <c r="G31" s="114">
        <v>7</v>
      </c>
      <c r="H31" s="115" t="s">
        <v>1058</v>
      </c>
    </row>
    <row r="32" spans="1:8" ht="19.899999999999999" customHeight="1">
      <c r="A32" s="121">
        <v>46025</v>
      </c>
      <c r="B32" s="112" t="s">
        <v>68</v>
      </c>
      <c r="C32" s="113" t="s">
        <v>1052</v>
      </c>
      <c r="D32" s="112" t="s">
        <v>1040</v>
      </c>
      <c r="E32" s="122">
        <v>1.336805555555556</v>
      </c>
      <c r="F32" s="112" t="s">
        <v>70</v>
      </c>
      <c r="G32" s="114">
        <v>9</v>
      </c>
      <c r="H32" s="115" t="s">
        <v>1055</v>
      </c>
    </row>
    <row r="33" spans="1:8" ht="19.899999999999999" customHeight="1">
      <c r="A33" s="121">
        <v>46025</v>
      </c>
      <c r="B33" s="112" t="s">
        <v>38</v>
      </c>
      <c r="C33" s="113" t="s">
        <v>1041</v>
      </c>
      <c r="D33" s="112" t="s">
        <v>1040</v>
      </c>
      <c r="E33" s="122">
        <v>1.447916666666667</v>
      </c>
      <c r="F33" s="112" t="s">
        <v>43</v>
      </c>
      <c r="G33" s="114">
        <v>16</v>
      </c>
      <c r="H33" s="115" t="s">
        <v>162</v>
      </c>
    </row>
    <row r="34" spans="1:8" ht="19.899999999999999" customHeight="1">
      <c r="A34" s="121">
        <v>46025</v>
      </c>
      <c r="B34" s="112" t="s">
        <v>359</v>
      </c>
      <c r="C34" s="113" t="s">
        <v>1065</v>
      </c>
      <c r="D34" s="112" t="s">
        <v>1040</v>
      </c>
      <c r="E34" s="122">
        <v>1.7847222222222221</v>
      </c>
      <c r="F34" s="112" t="s">
        <v>46</v>
      </c>
      <c r="G34" s="114">
        <v>9</v>
      </c>
      <c r="H34" s="115" t="s">
        <v>1067</v>
      </c>
    </row>
    <row r="35" spans="1:8" ht="19.899999999999999" customHeight="1">
      <c r="A35" s="123">
        <v>46025</v>
      </c>
      <c r="B35" s="124" t="s">
        <v>68</v>
      </c>
      <c r="C35" s="125" t="s">
        <v>1054</v>
      </c>
      <c r="D35" s="124" t="s">
        <v>1040</v>
      </c>
      <c r="E35" s="126">
        <v>1.979166666666667</v>
      </c>
      <c r="F35" s="124" t="s">
        <v>70</v>
      </c>
      <c r="G35" s="127">
        <v>9</v>
      </c>
      <c r="H35" s="128" t="s">
        <v>1063</v>
      </c>
    </row>
    <row r="36" spans="1:8" ht="19.899999999999999" customHeight="1">
      <c r="A36" s="143"/>
      <c r="B36" s="144"/>
      <c r="C36" s="144"/>
      <c r="D36" s="144"/>
      <c r="E36" s="144"/>
      <c r="F36" s="145" t="s">
        <v>1142</v>
      </c>
      <c r="G36" s="144"/>
      <c r="H36" s="146"/>
    </row>
    <row r="37" spans="1:8" ht="19.899999999999999" customHeight="1">
      <c r="A37" s="121">
        <v>46026</v>
      </c>
      <c r="B37" s="112" t="s">
        <v>38</v>
      </c>
      <c r="C37" s="113" t="s">
        <v>1041</v>
      </c>
      <c r="D37" s="112" t="s">
        <v>1040</v>
      </c>
      <c r="E37" s="122">
        <v>1.447916666666667</v>
      </c>
      <c r="F37" s="112" t="s">
        <v>40</v>
      </c>
      <c r="G37" s="114">
        <v>16</v>
      </c>
      <c r="H37" s="115" t="s">
        <v>149</v>
      </c>
    </row>
    <row r="38" spans="1:8" ht="19.899999999999999" customHeight="1">
      <c r="A38" s="121">
        <v>46026</v>
      </c>
      <c r="B38" s="112" t="s">
        <v>26</v>
      </c>
      <c r="C38" s="113" t="s">
        <v>1049</v>
      </c>
      <c r="D38" s="112" t="s">
        <v>1040</v>
      </c>
      <c r="E38" s="122">
        <v>1.9722222222222221</v>
      </c>
      <c r="F38" s="112" t="s">
        <v>28</v>
      </c>
      <c r="G38" s="114">
        <v>7</v>
      </c>
      <c r="H38" s="115" t="s">
        <v>349</v>
      </c>
    </row>
    <row r="39" spans="1:8" ht="19.899999999999999" customHeight="1">
      <c r="A39" s="121">
        <v>46026</v>
      </c>
      <c r="B39" s="112" t="s">
        <v>415</v>
      </c>
      <c r="C39" s="113" t="s">
        <v>1062</v>
      </c>
      <c r="D39" s="112" t="s">
        <v>1040</v>
      </c>
      <c r="E39" s="122">
        <v>1.006944444444444</v>
      </c>
      <c r="F39" s="112" t="s">
        <v>63</v>
      </c>
      <c r="G39" s="114">
        <v>7</v>
      </c>
      <c r="H39" s="115" t="s">
        <v>1051</v>
      </c>
    </row>
    <row r="40" spans="1:8" ht="19.899999999999999" customHeight="1">
      <c r="A40" s="121">
        <v>46026</v>
      </c>
      <c r="B40" s="112" t="s">
        <v>415</v>
      </c>
      <c r="C40" s="113" t="s">
        <v>1071</v>
      </c>
      <c r="D40" s="112" t="s">
        <v>1040</v>
      </c>
      <c r="E40" s="122">
        <v>1.9201388888888891</v>
      </c>
      <c r="F40" s="112" t="s">
        <v>63</v>
      </c>
      <c r="G40" s="114">
        <v>5</v>
      </c>
      <c r="H40" s="115" t="s">
        <v>1051</v>
      </c>
    </row>
    <row r="41" spans="1:8" ht="19.899999999999999" customHeight="1">
      <c r="A41" s="121">
        <v>46026</v>
      </c>
      <c r="B41" s="112" t="s">
        <v>402</v>
      </c>
      <c r="C41" s="113" t="s">
        <v>1059</v>
      </c>
      <c r="D41" s="112" t="s">
        <v>1040</v>
      </c>
      <c r="E41" s="122">
        <v>1.756944444444444</v>
      </c>
      <c r="F41" s="112" t="s">
        <v>63</v>
      </c>
      <c r="G41" s="114">
        <v>3</v>
      </c>
      <c r="H41" s="115" t="s">
        <v>1058</v>
      </c>
    </row>
    <row r="42" spans="1:8" ht="19.899999999999999" customHeight="1">
      <c r="A42" s="121">
        <v>46026</v>
      </c>
      <c r="B42" s="112" t="s">
        <v>38</v>
      </c>
      <c r="C42" s="113" t="s">
        <v>1041</v>
      </c>
      <c r="D42" s="112" t="s">
        <v>1040</v>
      </c>
      <c r="E42" s="122">
        <v>1.447916666666667</v>
      </c>
      <c r="F42" s="112" t="s">
        <v>43</v>
      </c>
      <c r="G42" s="114">
        <v>16</v>
      </c>
      <c r="H42" s="115" t="s">
        <v>35</v>
      </c>
    </row>
    <row r="43" spans="1:8" ht="19.899999999999999" customHeight="1">
      <c r="A43" s="121">
        <v>46026</v>
      </c>
      <c r="B43" s="112" t="s">
        <v>26</v>
      </c>
      <c r="C43" s="113" t="s">
        <v>1049</v>
      </c>
      <c r="D43" s="112" t="s">
        <v>1040</v>
      </c>
      <c r="E43" s="122">
        <v>1.9722222222222221</v>
      </c>
      <c r="F43" s="112" t="s">
        <v>31</v>
      </c>
      <c r="G43" s="114">
        <v>7</v>
      </c>
      <c r="H43" s="115" t="s">
        <v>35</v>
      </c>
    </row>
    <row r="44" spans="1:8" ht="19.899999999999999" customHeight="1">
      <c r="A44" s="121">
        <v>46026</v>
      </c>
      <c r="B44" s="112" t="s">
        <v>68</v>
      </c>
      <c r="C44" s="113" t="s">
        <v>1052</v>
      </c>
      <c r="D44" s="112" t="s">
        <v>1040</v>
      </c>
      <c r="E44" s="122">
        <v>1.336805555555556</v>
      </c>
      <c r="F44" s="112" t="s">
        <v>70</v>
      </c>
      <c r="G44" s="114">
        <v>9</v>
      </c>
      <c r="H44" s="115" t="s">
        <v>1055</v>
      </c>
    </row>
    <row r="45" spans="1:8" ht="19.899999999999999" customHeight="1">
      <c r="A45" s="121">
        <v>46026</v>
      </c>
      <c r="B45" s="112" t="s">
        <v>68</v>
      </c>
      <c r="C45" s="113" t="s">
        <v>1054</v>
      </c>
      <c r="D45" s="112" t="s">
        <v>1040</v>
      </c>
      <c r="E45" s="122">
        <v>1.979166666666667</v>
      </c>
      <c r="F45" s="112" t="s">
        <v>70</v>
      </c>
      <c r="G45" s="114">
        <v>9</v>
      </c>
      <c r="H45" s="115" t="s">
        <v>1001</v>
      </c>
    </row>
    <row r="46" spans="1:8" ht="19.899999999999999" customHeight="1">
      <c r="A46" s="123">
        <v>46026</v>
      </c>
      <c r="B46" s="124" t="s">
        <v>26</v>
      </c>
      <c r="C46" s="125" t="s">
        <v>1049</v>
      </c>
      <c r="D46" s="124" t="s">
        <v>1040</v>
      </c>
      <c r="E46" s="126">
        <v>1.9722222222222221</v>
      </c>
      <c r="F46" s="124" t="s">
        <v>34</v>
      </c>
      <c r="G46" s="127">
        <v>7</v>
      </c>
      <c r="H46" s="128" t="s">
        <v>503</v>
      </c>
    </row>
    <row r="47" spans="1:8" ht="19.899999999999999" customHeight="1">
      <c r="A47" s="129">
        <v>46027</v>
      </c>
      <c r="B47" s="117" t="s">
        <v>61</v>
      </c>
      <c r="C47" s="118" t="s">
        <v>1124</v>
      </c>
      <c r="D47" s="117" t="s">
        <v>1123</v>
      </c>
      <c r="E47" s="130">
        <v>1.291666666666667</v>
      </c>
      <c r="F47" s="117" t="s">
        <v>63</v>
      </c>
      <c r="G47" s="119">
        <v>7</v>
      </c>
      <c r="H47" s="120" t="s">
        <v>1076</v>
      </c>
    </row>
    <row r="48" spans="1:8" ht="19.899999999999999" customHeight="1">
      <c r="A48" s="143"/>
      <c r="B48" s="144"/>
      <c r="C48" s="144"/>
      <c r="D48" s="144"/>
      <c r="E48" s="144"/>
      <c r="F48" s="145" t="s">
        <v>1142</v>
      </c>
      <c r="G48" s="144"/>
      <c r="H48" s="146"/>
    </row>
    <row r="49" spans="1:8" ht="19.899999999999999" customHeight="1">
      <c r="A49" s="121">
        <v>46027</v>
      </c>
      <c r="B49" s="112" t="s">
        <v>38</v>
      </c>
      <c r="C49" s="113" t="s">
        <v>1041</v>
      </c>
      <c r="D49" s="112" t="s">
        <v>1040</v>
      </c>
      <c r="E49" s="122">
        <v>1.447916666666667</v>
      </c>
      <c r="F49" s="112" t="s">
        <v>40</v>
      </c>
      <c r="G49" s="114">
        <v>10</v>
      </c>
      <c r="H49" s="115" t="s">
        <v>30</v>
      </c>
    </row>
    <row r="50" spans="1:8" ht="19.899999999999999" customHeight="1">
      <c r="A50" s="121">
        <v>46027</v>
      </c>
      <c r="B50" s="112" t="s">
        <v>26</v>
      </c>
      <c r="C50" s="113" t="s">
        <v>1047</v>
      </c>
      <c r="D50" s="112" t="s">
        <v>1040</v>
      </c>
      <c r="E50" s="122">
        <v>1.336805555555556</v>
      </c>
      <c r="F50" s="112" t="s">
        <v>28</v>
      </c>
      <c r="G50" s="114">
        <v>6</v>
      </c>
      <c r="H50" s="115" t="s">
        <v>42</v>
      </c>
    </row>
    <row r="51" spans="1:8" ht="19.899999999999999" customHeight="1">
      <c r="A51" s="121">
        <v>46027</v>
      </c>
      <c r="B51" s="112" t="s">
        <v>26</v>
      </c>
      <c r="C51" s="113" t="s">
        <v>1049</v>
      </c>
      <c r="D51" s="112" t="s">
        <v>1040</v>
      </c>
      <c r="E51" s="122">
        <v>1.9722222222222221</v>
      </c>
      <c r="F51" s="112" t="s">
        <v>28</v>
      </c>
      <c r="G51" s="114">
        <v>7</v>
      </c>
      <c r="H51" s="115" t="s">
        <v>42</v>
      </c>
    </row>
    <row r="52" spans="1:8" ht="19.899999999999999" customHeight="1">
      <c r="A52" s="121">
        <v>46027</v>
      </c>
      <c r="B52" s="112" t="s">
        <v>26</v>
      </c>
      <c r="C52" s="113" t="s">
        <v>1047</v>
      </c>
      <c r="D52" s="112" t="s">
        <v>1040</v>
      </c>
      <c r="E52" s="122">
        <v>1.336805555555556</v>
      </c>
      <c r="F52" s="112" t="s">
        <v>31</v>
      </c>
      <c r="G52" s="114">
        <v>6</v>
      </c>
      <c r="H52" s="115" t="s">
        <v>79</v>
      </c>
    </row>
    <row r="53" spans="1:8" ht="19.899999999999999" customHeight="1">
      <c r="A53" s="121">
        <v>46027</v>
      </c>
      <c r="B53" s="112" t="s">
        <v>26</v>
      </c>
      <c r="C53" s="113" t="s">
        <v>1049</v>
      </c>
      <c r="D53" s="112" t="s">
        <v>1040</v>
      </c>
      <c r="E53" s="122">
        <v>1.9722222222222221</v>
      </c>
      <c r="F53" s="112" t="s">
        <v>31</v>
      </c>
      <c r="G53" s="114">
        <v>7</v>
      </c>
      <c r="H53" s="115" t="s">
        <v>79</v>
      </c>
    </row>
    <row r="54" spans="1:8" ht="19.899999999999999" customHeight="1">
      <c r="A54" s="121">
        <v>46027</v>
      </c>
      <c r="B54" s="112" t="s">
        <v>38</v>
      </c>
      <c r="C54" s="113" t="s">
        <v>1041</v>
      </c>
      <c r="D54" s="112" t="s">
        <v>1040</v>
      </c>
      <c r="E54" s="122">
        <v>1.447916666666667</v>
      </c>
      <c r="F54" s="112" t="s">
        <v>43</v>
      </c>
      <c r="G54" s="114">
        <v>10</v>
      </c>
      <c r="H54" s="115" t="s">
        <v>420</v>
      </c>
    </row>
    <row r="55" spans="1:8" ht="19.899999999999999" customHeight="1">
      <c r="A55" s="121">
        <v>46027</v>
      </c>
      <c r="B55" s="112" t="s">
        <v>68</v>
      </c>
      <c r="C55" s="113" t="s">
        <v>1052</v>
      </c>
      <c r="D55" s="112" t="s">
        <v>1040</v>
      </c>
      <c r="E55" s="122">
        <v>1.336805555555556</v>
      </c>
      <c r="F55" s="112" t="s">
        <v>643</v>
      </c>
      <c r="G55" s="114">
        <v>9</v>
      </c>
      <c r="H55" s="115" t="s">
        <v>1053</v>
      </c>
    </row>
    <row r="56" spans="1:8" ht="19.899999999999999" customHeight="1">
      <c r="A56" s="121">
        <v>46027</v>
      </c>
      <c r="B56" s="112" t="s">
        <v>402</v>
      </c>
      <c r="C56" s="113" t="s">
        <v>1064</v>
      </c>
      <c r="D56" s="112" t="s">
        <v>1040</v>
      </c>
      <c r="E56" s="122">
        <v>1.756944444444444</v>
      </c>
      <c r="F56" s="112" t="s">
        <v>63</v>
      </c>
      <c r="G56" s="114">
        <v>4</v>
      </c>
      <c r="H56" s="115" t="s">
        <v>1058</v>
      </c>
    </row>
    <row r="57" spans="1:8" ht="19.899999999999999" customHeight="1">
      <c r="A57" s="121">
        <v>46027</v>
      </c>
      <c r="B57" s="112" t="s">
        <v>68</v>
      </c>
      <c r="C57" s="113" t="s">
        <v>1054</v>
      </c>
      <c r="D57" s="112" t="s">
        <v>1040</v>
      </c>
      <c r="E57" s="122">
        <v>1.979166666666667</v>
      </c>
      <c r="F57" s="112" t="s">
        <v>70</v>
      </c>
      <c r="G57" s="114">
        <v>9</v>
      </c>
      <c r="H57" s="115" t="s">
        <v>1055</v>
      </c>
    </row>
    <row r="58" spans="1:8" ht="19.899999999999999" customHeight="1">
      <c r="A58" s="123">
        <v>46027</v>
      </c>
      <c r="B58" s="124" t="s">
        <v>26</v>
      </c>
      <c r="C58" s="125" t="s">
        <v>1047</v>
      </c>
      <c r="D58" s="124" t="s">
        <v>1040</v>
      </c>
      <c r="E58" s="126">
        <v>1.336805555555556</v>
      </c>
      <c r="F58" s="124" t="s">
        <v>34</v>
      </c>
      <c r="G58" s="127">
        <v>6</v>
      </c>
      <c r="H58" s="128" t="s">
        <v>462</v>
      </c>
    </row>
    <row r="59" spans="1:8" ht="19.899999999999999" customHeight="1">
      <c r="A59" s="143"/>
      <c r="B59" s="144"/>
      <c r="C59" s="144"/>
      <c r="D59" s="144"/>
      <c r="E59" s="144"/>
      <c r="F59" s="145" t="s">
        <v>1142</v>
      </c>
      <c r="G59" s="144"/>
      <c r="H59" s="146"/>
    </row>
    <row r="60" spans="1:8" ht="19.899999999999999" customHeight="1">
      <c r="A60" s="121">
        <v>46028</v>
      </c>
      <c r="B60" s="112" t="s">
        <v>38</v>
      </c>
      <c r="C60" s="113" t="s">
        <v>1041</v>
      </c>
      <c r="D60" s="112" t="s">
        <v>1040</v>
      </c>
      <c r="E60" s="122">
        <v>1.447916666666667</v>
      </c>
      <c r="F60" s="112" t="s">
        <v>40</v>
      </c>
      <c r="G60" s="114">
        <v>10</v>
      </c>
      <c r="H60" s="115" t="s">
        <v>30</v>
      </c>
    </row>
    <row r="61" spans="1:8" ht="19.899999999999999" customHeight="1">
      <c r="A61" s="121">
        <v>46028</v>
      </c>
      <c r="B61" s="112" t="s">
        <v>26</v>
      </c>
      <c r="C61" s="113" t="s">
        <v>1047</v>
      </c>
      <c r="D61" s="112" t="s">
        <v>1040</v>
      </c>
      <c r="E61" s="122">
        <v>1.336805555555556</v>
      </c>
      <c r="F61" s="112" t="s">
        <v>28</v>
      </c>
      <c r="G61" s="114">
        <v>7</v>
      </c>
      <c r="H61" s="115" t="s">
        <v>42</v>
      </c>
    </row>
    <row r="62" spans="1:8" ht="19.899999999999999" customHeight="1">
      <c r="A62" s="121">
        <v>46028</v>
      </c>
      <c r="B62" s="112" t="s">
        <v>61</v>
      </c>
      <c r="C62" s="113" t="s">
        <v>1043</v>
      </c>
      <c r="D62" s="112" t="s">
        <v>1040</v>
      </c>
      <c r="E62" s="122">
        <v>1.069444444444444</v>
      </c>
      <c r="F62" s="112" t="s">
        <v>63</v>
      </c>
      <c r="G62" s="114">
        <v>7</v>
      </c>
      <c r="H62" s="115" t="s">
        <v>856</v>
      </c>
    </row>
    <row r="63" spans="1:8" ht="19.899999999999999" customHeight="1">
      <c r="A63" s="121">
        <v>46028</v>
      </c>
      <c r="B63" s="112" t="s">
        <v>26</v>
      </c>
      <c r="C63" s="113" t="s">
        <v>1049</v>
      </c>
      <c r="D63" s="112" t="s">
        <v>1040</v>
      </c>
      <c r="E63" s="122">
        <v>1.9722222222222221</v>
      </c>
      <c r="F63" s="112" t="s">
        <v>28</v>
      </c>
      <c r="G63" s="114">
        <v>6</v>
      </c>
      <c r="H63" s="115" t="s">
        <v>1048</v>
      </c>
    </row>
    <row r="64" spans="1:8" ht="19.899999999999999" customHeight="1">
      <c r="A64" s="121">
        <v>46028</v>
      </c>
      <c r="B64" s="112" t="s">
        <v>26</v>
      </c>
      <c r="C64" s="113" t="s">
        <v>1047</v>
      </c>
      <c r="D64" s="112" t="s">
        <v>1040</v>
      </c>
      <c r="E64" s="122">
        <v>1.336805555555556</v>
      </c>
      <c r="F64" s="112" t="s">
        <v>31</v>
      </c>
      <c r="G64" s="114">
        <v>7</v>
      </c>
      <c r="H64" s="115" t="s">
        <v>79</v>
      </c>
    </row>
    <row r="65" spans="1:8" ht="19.899999999999999" customHeight="1">
      <c r="A65" s="121">
        <v>46028</v>
      </c>
      <c r="B65" s="112" t="s">
        <v>415</v>
      </c>
      <c r="C65" s="113" t="s">
        <v>1062</v>
      </c>
      <c r="D65" s="112" t="s">
        <v>1040</v>
      </c>
      <c r="E65" s="122">
        <v>1.006944444444444</v>
      </c>
      <c r="F65" s="112" t="s">
        <v>63</v>
      </c>
      <c r="G65" s="114">
        <v>7</v>
      </c>
      <c r="H65" s="115" t="s">
        <v>1051</v>
      </c>
    </row>
    <row r="66" spans="1:8" ht="19.899999999999999" customHeight="1">
      <c r="A66" s="121">
        <v>46028</v>
      </c>
      <c r="B66" s="112" t="s">
        <v>415</v>
      </c>
      <c r="C66" s="113" t="s">
        <v>1050</v>
      </c>
      <c r="D66" s="112" t="s">
        <v>1040</v>
      </c>
      <c r="E66" s="122">
        <v>1.881944444444444</v>
      </c>
      <c r="F66" s="112" t="s">
        <v>63</v>
      </c>
      <c r="G66" s="114">
        <v>7</v>
      </c>
      <c r="H66" s="115" t="s">
        <v>1051</v>
      </c>
    </row>
    <row r="67" spans="1:8" ht="19.899999999999999" customHeight="1">
      <c r="A67" s="121">
        <v>46028</v>
      </c>
      <c r="B67" s="112" t="s">
        <v>38</v>
      </c>
      <c r="C67" s="113" t="s">
        <v>1041</v>
      </c>
      <c r="D67" s="112" t="s">
        <v>1040</v>
      </c>
      <c r="E67" s="122">
        <v>1.447916666666667</v>
      </c>
      <c r="F67" s="112" t="s">
        <v>43</v>
      </c>
      <c r="G67" s="114">
        <v>10</v>
      </c>
      <c r="H67" s="115" t="s">
        <v>420</v>
      </c>
    </row>
    <row r="68" spans="1:8" ht="19.899999999999999" customHeight="1">
      <c r="A68" s="121">
        <v>46028</v>
      </c>
      <c r="B68" s="112" t="s">
        <v>26</v>
      </c>
      <c r="C68" s="113" t="s">
        <v>1049</v>
      </c>
      <c r="D68" s="112" t="s">
        <v>1040</v>
      </c>
      <c r="E68" s="122">
        <v>1.9722222222222221</v>
      </c>
      <c r="F68" s="112" t="s">
        <v>31</v>
      </c>
      <c r="G68" s="114">
        <v>6</v>
      </c>
      <c r="H68" s="115" t="s">
        <v>420</v>
      </c>
    </row>
    <row r="69" spans="1:8" ht="19.899999999999999" customHeight="1">
      <c r="A69" s="123">
        <v>46028</v>
      </c>
      <c r="B69" s="124" t="s">
        <v>68</v>
      </c>
      <c r="C69" s="125" t="s">
        <v>1052</v>
      </c>
      <c r="D69" s="124" t="s">
        <v>1040</v>
      </c>
      <c r="E69" s="126">
        <v>1.336805555555556</v>
      </c>
      <c r="F69" s="124" t="s">
        <v>643</v>
      </c>
      <c r="G69" s="127">
        <v>9</v>
      </c>
      <c r="H69" s="128" t="s">
        <v>1053</v>
      </c>
    </row>
    <row r="70" spans="1:8" ht="19.899999999999999" customHeight="1">
      <c r="A70" s="143"/>
      <c r="B70" s="144"/>
      <c r="C70" s="144"/>
      <c r="D70" s="144"/>
      <c r="E70" s="144"/>
      <c r="F70" s="145" t="s">
        <v>1142</v>
      </c>
      <c r="G70" s="144"/>
      <c r="H70" s="146"/>
    </row>
    <row r="71" spans="1:8" ht="19.899999999999999" customHeight="1">
      <c r="A71" s="121">
        <v>46029</v>
      </c>
      <c r="B71" s="112" t="s">
        <v>26</v>
      </c>
      <c r="C71" s="113" t="s">
        <v>1049</v>
      </c>
      <c r="D71" s="112" t="s">
        <v>1040</v>
      </c>
      <c r="E71" s="122">
        <v>1.9722222222222221</v>
      </c>
      <c r="F71" s="112" t="s">
        <v>28</v>
      </c>
      <c r="G71" s="114">
        <v>4</v>
      </c>
      <c r="H71" s="115" t="s">
        <v>42</v>
      </c>
    </row>
    <row r="72" spans="1:8" ht="19.899999999999999" customHeight="1">
      <c r="A72" s="121">
        <v>46029</v>
      </c>
      <c r="B72" s="112" t="s">
        <v>359</v>
      </c>
      <c r="C72" s="113" t="s">
        <v>1065</v>
      </c>
      <c r="D72" s="112" t="s">
        <v>1040</v>
      </c>
      <c r="E72" s="122">
        <v>1.7847222222222221</v>
      </c>
      <c r="F72" s="112" t="s">
        <v>361</v>
      </c>
      <c r="G72" s="114">
        <v>9</v>
      </c>
      <c r="H72" s="115" t="s">
        <v>1074</v>
      </c>
    </row>
    <row r="73" spans="1:8" ht="19.899999999999999" customHeight="1">
      <c r="A73" s="121">
        <v>46029</v>
      </c>
      <c r="B73" s="112" t="s">
        <v>38</v>
      </c>
      <c r="C73" s="113" t="s">
        <v>1041</v>
      </c>
      <c r="D73" s="112" t="s">
        <v>1040</v>
      </c>
      <c r="E73" s="122">
        <v>1.447916666666667</v>
      </c>
      <c r="F73" s="112" t="s">
        <v>40</v>
      </c>
      <c r="G73" s="114">
        <v>6</v>
      </c>
      <c r="H73" s="115" t="s">
        <v>83</v>
      </c>
    </row>
    <row r="74" spans="1:8" ht="19.899999999999999" customHeight="1">
      <c r="A74" s="121">
        <v>46029</v>
      </c>
      <c r="B74" s="112" t="s">
        <v>26</v>
      </c>
      <c r="C74" s="113" t="s">
        <v>1049</v>
      </c>
      <c r="D74" s="112" t="s">
        <v>1040</v>
      </c>
      <c r="E74" s="122">
        <v>1.9722222222222221</v>
      </c>
      <c r="F74" s="112" t="s">
        <v>31</v>
      </c>
      <c r="G74" s="114">
        <v>4</v>
      </c>
      <c r="H74" s="115" t="s">
        <v>79</v>
      </c>
    </row>
    <row r="75" spans="1:8" ht="19.899999999999999" customHeight="1">
      <c r="A75" s="121">
        <v>46029</v>
      </c>
      <c r="B75" s="112" t="s">
        <v>68</v>
      </c>
      <c r="C75" s="113" t="s">
        <v>1052</v>
      </c>
      <c r="D75" s="112" t="s">
        <v>1040</v>
      </c>
      <c r="E75" s="122">
        <v>1.336805555555556</v>
      </c>
      <c r="F75" s="112" t="s">
        <v>643</v>
      </c>
      <c r="G75" s="114">
        <v>9</v>
      </c>
      <c r="H75" s="115" t="s">
        <v>1053</v>
      </c>
    </row>
    <row r="76" spans="1:8" ht="19.899999999999999" customHeight="1">
      <c r="A76" s="121">
        <v>46029</v>
      </c>
      <c r="B76" s="112" t="s">
        <v>68</v>
      </c>
      <c r="C76" s="113" t="s">
        <v>1054</v>
      </c>
      <c r="D76" s="112" t="s">
        <v>1040</v>
      </c>
      <c r="E76" s="122">
        <v>1.979166666666667</v>
      </c>
      <c r="F76" s="112" t="s">
        <v>643</v>
      </c>
      <c r="G76" s="114">
        <v>9</v>
      </c>
      <c r="H76" s="115" t="s">
        <v>1053</v>
      </c>
    </row>
    <row r="77" spans="1:8" ht="19.899999999999999" customHeight="1">
      <c r="A77" s="121">
        <v>46029</v>
      </c>
      <c r="B77" s="112" t="s">
        <v>402</v>
      </c>
      <c r="C77" s="113" t="s">
        <v>1064</v>
      </c>
      <c r="D77" s="112" t="s">
        <v>1040</v>
      </c>
      <c r="E77" s="122">
        <v>1.694444444444444</v>
      </c>
      <c r="F77" s="112" t="s">
        <v>63</v>
      </c>
      <c r="G77" s="114">
        <v>5</v>
      </c>
      <c r="H77" s="115" t="s">
        <v>1058</v>
      </c>
    </row>
    <row r="78" spans="1:8" ht="19.899999999999999" customHeight="1">
      <c r="A78" s="121">
        <v>46029</v>
      </c>
      <c r="B78" s="112" t="s">
        <v>26</v>
      </c>
      <c r="C78" s="113" t="s">
        <v>1049</v>
      </c>
      <c r="D78" s="112" t="s">
        <v>1040</v>
      </c>
      <c r="E78" s="122">
        <v>1.9722222222222221</v>
      </c>
      <c r="F78" s="112" t="s">
        <v>34</v>
      </c>
      <c r="G78" s="114">
        <v>4</v>
      </c>
      <c r="H78" s="115" t="s">
        <v>462</v>
      </c>
    </row>
    <row r="79" spans="1:8" ht="19.899999999999999" customHeight="1">
      <c r="A79" s="121">
        <v>46029</v>
      </c>
      <c r="B79" s="112" t="s">
        <v>38</v>
      </c>
      <c r="C79" s="113" t="s">
        <v>1041</v>
      </c>
      <c r="D79" s="112" t="s">
        <v>1040</v>
      </c>
      <c r="E79" s="122">
        <v>1.447916666666667</v>
      </c>
      <c r="F79" s="112" t="s">
        <v>43</v>
      </c>
      <c r="G79" s="114">
        <v>6</v>
      </c>
      <c r="H79" s="115" t="s">
        <v>162</v>
      </c>
    </row>
    <row r="80" spans="1:8" ht="19.899999999999999" customHeight="1">
      <c r="A80" s="123">
        <v>46029</v>
      </c>
      <c r="B80" s="124" t="s">
        <v>68</v>
      </c>
      <c r="C80" s="125" t="s">
        <v>1056</v>
      </c>
      <c r="D80" s="124" t="s">
        <v>1040</v>
      </c>
      <c r="E80" s="126">
        <v>1.6736111111111109</v>
      </c>
      <c r="F80" s="124" t="s">
        <v>70</v>
      </c>
      <c r="G80" s="127">
        <v>9</v>
      </c>
      <c r="H80" s="128" t="s">
        <v>1001</v>
      </c>
    </row>
    <row r="81" spans="1:8" ht="19.899999999999999" customHeight="1">
      <c r="A81" s="143"/>
      <c r="B81" s="144"/>
      <c r="C81" s="144"/>
      <c r="D81" s="144"/>
      <c r="E81" s="144"/>
      <c r="F81" s="145" t="s">
        <v>1142</v>
      </c>
      <c r="G81" s="144"/>
      <c r="H81" s="146"/>
    </row>
    <row r="82" spans="1:8" ht="19.899999999999999" customHeight="1">
      <c r="A82" s="121">
        <v>46030</v>
      </c>
      <c r="B82" s="112" t="s">
        <v>38</v>
      </c>
      <c r="C82" s="113" t="s">
        <v>1041</v>
      </c>
      <c r="D82" s="112" t="s">
        <v>1040</v>
      </c>
      <c r="E82" s="122">
        <v>1.447916666666667</v>
      </c>
      <c r="F82" s="112" t="s">
        <v>40</v>
      </c>
      <c r="G82" s="114">
        <v>10</v>
      </c>
      <c r="H82" s="115" t="s">
        <v>30</v>
      </c>
    </row>
    <row r="83" spans="1:8" ht="19.899999999999999" customHeight="1">
      <c r="A83" s="121">
        <v>46030</v>
      </c>
      <c r="B83" s="112" t="s">
        <v>61</v>
      </c>
      <c r="C83" s="113" t="s">
        <v>1043</v>
      </c>
      <c r="D83" s="112" t="s">
        <v>1040</v>
      </c>
      <c r="E83" s="122">
        <v>1.7222222222222221</v>
      </c>
      <c r="F83" s="112" t="s">
        <v>63</v>
      </c>
      <c r="G83" s="114">
        <v>1</v>
      </c>
      <c r="H83" s="115" t="s">
        <v>1076</v>
      </c>
    </row>
    <row r="84" spans="1:8" ht="19.899999999999999" customHeight="1">
      <c r="A84" s="121">
        <v>46030</v>
      </c>
      <c r="B84" s="112" t="s">
        <v>26</v>
      </c>
      <c r="C84" s="113" t="s">
        <v>1047</v>
      </c>
      <c r="D84" s="112" t="s">
        <v>1040</v>
      </c>
      <c r="E84" s="122">
        <v>1.336805555555556</v>
      </c>
      <c r="F84" s="112" t="s">
        <v>28</v>
      </c>
      <c r="G84" s="114">
        <v>7</v>
      </c>
      <c r="H84" s="115" t="s">
        <v>42</v>
      </c>
    </row>
    <row r="85" spans="1:8" ht="19.899999999999999" customHeight="1">
      <c r="A85" s="121">
        <v>46030</v>
      </c>
      <c r="B85" s="112" t="s">
        <v>26</v>
      </c>
      <c r="C85" s="113" t="s">
        <v>1049</v>
      </c>
      <c r="D85" s="112" t="s">
        <v>1040</v>
      </c>
      <c r="E85" s="122">
        <v>1.9722222222222221</v>
      </c>
      <c r="F85" s="112" t="s">
        <v>28</v>
      </c>
      <c r="G85" s="114">
        <v>6</v>
      </c>
      <c r="H85" s="115" t="s">
        <v>42</v>
      </c>
    </row>
    <row r="86" spans="1:8" ht="19.899999999999999" customHeight="1">
      <c r="A86" s="121">
        <v>46030</v>
      </c>
      <c r="B86" s="112" t="s">
        <v>26</v>
      </c>
      <c r="C86" s="113" t="s">
        <v>1047</v>
      </c>
      <c r="D86" s="112" t="s">
        <v>1040</v>
      </c>
      <c r="E86" s="122">
        <v>1.336805555555556</v>
      </c>
      <c r="F86" s="112" t="s">
        <v>31</v>
      </c>
      <c r="G86" s="114">
        <v>7</v>
      </c>
      <c r="H86" s="115" t="s">
        <v>79</v>
      </c>
    </row>
    <row r="87" spans="1:8" ht="19.899999999999999" customHeight="1">
      <c r="A87" s="121">
        <v>46030</v>
      </c>
      <c r="B87" s="112" t="s">
        <v>26</v>
      </c>
      <c r="C87" s="113" t="s">
        <v>1049</v>
      </c>
      <c r="D87" s="112" t="s">
        <v>1040</v>
      </c>
      <c r="E87" s="122">
        <v>1.9722222222222221</v>
      </c>
      <c r="F87" s="112" t="s">
        <v>31</v>
      </c>
      <c r="G87" s="114">
        <v>6</v>
      </c>
      <c r="H87" s="115" t="s">
        <v>79</v>
      </c>
    </row>
    <row r="88" spans="1:8" ht="19.899999999999999" customHeight="1">
      <c r="A88" s="121">
        <v>46030</v>
      </c>
      <c r="B88" s="112" t="s">
        <v>415</v>
      </c>
      <c r="C88" s="113" t="s">
        <v>1050</v>
      </c>
      <c r="D88" s="112" t="s">
        <v>1040</v>
      </c>
      <c r="E88" s="122">
        <v>1.756944444444444</v>
      </c>
      <c r="F88" s="112" t="s">
        <v>63</v>
      </c>
      <c r="G88" s="114">
        <v>3</v>
      </c>
      <c r="H88" s="115" t="s">
        <v>1051</v>
      </c>
    </row>
    <row r="89" spans="1:8" ht="19.899999999999999" customHeight="1">
      <c r="A89" s="121">
        <v>46030</v>
      </c>
      <c r="B89" s="112" t="s">
        <v>38</v>
      </c>
      <c r="C89" s="113" t="s">
        <v>1041</v>
      </c>
      <c r="D89" s="112" t="s">
        <v>1040</v>
      </c>
      <c r="E89" s="122">
        <v>1.447916666666667</v>
      </c>
      <c r="F89" s="112" t="s">
        <v>43</v>
      </c>
      <c r="G89" s="114">
        <v>10</v>
      </c>
      <c r="H89" s="115" t="s">
        <v>420</v>
      </c>
    </row>
    <row r="90" spans="1:8" ht="19.899999999999999" customHeight="1">
      <c r="A90" s="121">
        <v>46030</v>
      </c>
      <c r="B90" s="112" t="s">
        <v>68</v>
      </c>
      <c r="C90" s="113" t="s">
        <v>1052</v>
      </c>
      <c r="D90" s="112" t="s">
        <v>1040</v>
      </c>
      <c r="E90" s="122">
        <v>1.336805555555556</v>
      </c>
      <c r="F90" s="112" t="s">
        <v>643</v>
      </c>
      <c r="G90" s="114">
        <v>9</v>
      </c>
      <c r="H90" s="115" t="s">
        <v>1053</v>
      </c>
    </row>
    <row r="91" spans="1:8" ht="19.899999999999999" customHeight="1">
      <c r="A91" s="123">
        <v>46030</v>
      </c>
      <c r="B91" s="124" t="s">
        <v>68</v>
      </c>
      <c r="C91" s="125" t="s">
        <v>1054</v>
      </c>
      <c r="D91" s="124" t="s">
        <v>1040</v>
      </c>
      <c r="E91" s="126">
        <v>1.979166666666667</v>
      </c>
      <c r="F91" s="124" t="s">
        <v>643</v>
      </c>
      <c r="G91" s="127">
        <v>9</v>
      </c>
      <c r="H91" s="128" t="s">
        <v>1053</v>
      </c>
    </row>
    <row r="92" spans="1:8" ht="19.899999999999999" customHeight="1">
      <c r="A92" s="129">
        <v>46031</v>
      </c>
      <c r="B92" s="117" t="s">
        <v>61</v>
      </c>
      <c r="C92" s="118" t="s">
        <v>1124</v>
      </c>
      <c r="D92" s="117" t="s">
        <v>1123</v>
      </c>
      <c r="E92" s="130">
        <v>1.072916666666667</v>
      </c>
      <c r="F92" s="117" t="s">
        <v>63</v>
      </c>
      <c r="G92" s="119">
        <v>7</v>
      </c>
      <c r="H92" s="120" t="s">
        <v>1076</v>
      </c>
    </row>
    <row r="93" spans="1:8" ht="19.899999999999999" customHeight="1">
      <c r="A93" s="143"/>
      <c r="B93" s="144"/>
      <c r="C93" s="144"/>
      <c r="D93" s="144"/>
      <c r="E93" s="144"/>
      <c r="F93" s="145" t="s">
        <v>1142</v>
      </c>
      <c r="G93" s="144"/>
      <c r="H93" s="146"/>
    </row>
    <row r="94" spans="1:8" ht="19.899999999999999" customHeight="1">
      <c r="A94" s="121">
        <v>46031</v>
      </c>
      <c r="B94" s="112" t="s">
        <v>38</v>
      </c>
      <c r="C94" s="113" t="s">
        <v>1041</v>
      </c>
      <c r="D94" s="112" t="s">
        <v>1040</v>
      </c>
      <c r="E94" s="122">
        <v>1.447916666666667</v>
      </c>
      <c r="F94" s="112" t="s">
        <v>40</v>
      </c>
      <c r="G94" s="114">
        <v>10</v>
      </c>
      <c r="H94" s="115" t="s">
        <v>30</v>
      </c>
    </row>
    <row r="95" spans="1:8" ht="19.899999999999999" customHeight="1">
      <c r="A95" s="121">
        <v>46031</v>
      </c>
      <c r="B95" s="112" t="s">
        <v>61</v>
      </c>
      <c r="C95" s="113" t="s">
        <v>1043</v>
      </c>
      <c r="D95" s="112" t="s">
        <v>1040</v>
      </c>
      <c r="E95" s="122">
        <v>1.381944444444444</v>
      </c>
      <c r="F95" s="112" t="s">
        <v>63</v>
      </c>
      <c r="G95" s="114">
        <v>4</v>
      </c>
      <c r="H95" s="115" t="s">
        <v>856</v>
      </c>
    </row>
    <row r="96" spans="1:8" ht="19.899999999999999" customHeight="1">
      <c r="A96" s="121">
        <v>46031</v>
      </c>
      <c r="B96" s="112" t="s">
        <v>415</v>
      </c>
      <c r="C96" s="113" t="s">
        <v>1062</v>
      </c>
      <c r="D96" s="112" t="s">
        <v>1040</v>
      </c>
      <c r="E96" s="122">
        <v>1.006944444444444</v>
      </c>
      <c r="F96" s="112" t="s">
        <v>63</v>
      </c>
      <c r="G96" s="114">
        <v>7</v>
      </c>
      <c r="H96" s="115" t="s">
        <v>1051</v>
      </c>
    </row>
    <row r="97" spans="1:8" ht="19.899999999999999" customHeight="1">
      <c r="A97" s="121">
        <v>46031</v>
      </c>
      <c r="B97" s="112" t="s">
        <v>38</v>
      </c>
      <c r="C97" s="113" t="s">
        <v>1041</v>
      </c>
      <c r="D97" s="112" t="s">
        <v>1040</v>
      </c>
      <c r="E97" s="122">
        <v>1.447916666666667</v>
      </c>
      <c r="F97" s="112" t="s">
        <v>43</v>
      </c>
      <c r="G97" s="114">
        <v>10</v>
      </c>
      <c r="H97" s="115" t="s">
        <v>420</v>
      </c>
    </row>
    <row r="98" spans="1:8" ht="19.899999999999999" customHeight="1">
      <c r="A98" s="121">
        <v>46031</v>
      </c>
      <c r="B98" s="112" t="s">
        <v>68</v>
      </c>
      <c r="C98" s="113" t="s">
        <v>1052</v>
      </c>
      <c r="D98" s="112" t="s">
        <v>1040</v>
      </c>
      <c r="E98" s="122">
        <v>1.336805555555556</v>
      </c>
      <c r="F98" s="112" t="s">
        <v>643</v>
      </c>
      <c r="G98" s="114">
        <v>9</v>
      </c>
      <c r="H98" s="115" t="s">
        <v>830</v>
      </c>
    </row>
    <row r="99" spans="1:8" ht="19.899999999999999" customHeight="1">
      <c r="A99" s="121">
        <v>46031</v>
      </c>
      <c r="B99" s="112" t="s">
        <v>26</v>
      </c>
      <c r="C99" s="113" t="s">
        <v>1049</v>
      </c>
      <c r="D99" s="112" t="s">
        <v>1040</v>
      </c>
      <c r="E99" s="122">
        <v>1.9722222222222221</v>
      </c>
      <c r="F99" s="112" t="s">
        <v>28</v>
      </c>
      <c r="G99" s="114">
        <v>4</v>
      </c>
      <c r="H99" s="115" t="s">
        <v>138</v>
      </c>
    </row>
    <row r="100" spans="1:8" ht="19.899999999999999" customHeight="1">
      <c r="A100" s="121">
        <v>46031</v>
      </c>
      <c r="B100" s="112" t="s">
        <v>402</v>
      </c>
      <c r="C100" s="113" t="s">
        <v>1064</v>
      </c>
      <c r="D100" s="112" t="s">
        <v>1040</v>
      </c>
      <c r="E100" s="122">
        <v>1.756944444444444</v>
      </c>
      <c r="F100" s="112" t="s">
        <v>63</v>
      </c>
      <c r="G100" s="114">
        <v>6</v>
      </c>
      <c r="H100" s="115" t="s">
        <v>1058</v>
      </c>
    </row>
    <row r="101" spans="1:8" ht="19.899999999999999" customHeight="1">
      <c r="A101" s="121">
        <v>46031</v>
      </c>
      <c r="B101" s="112" t="s">
        <v>68</v>
      </c>
      <c r="C101" s="113" t="s">
        <v>1054</v>
      </c>
      <c r="D101" s="112" t="s">
        <v>1040</v>
      </c>
      <c r="E101" s="122">
        <v>1.979166666666667</v>
      </c>
      <c r="F101" s="112" t="s">
        <v>70</v>
      </c>
      <c r="G101" s="114">
        <v>9</v>
      </c>
      <c r="H101" s="115" t="s">
        <v>1055</v>
      </c>
    </row>
    <row r="102" spans="1:8" ht="19.899999999999999" customHeight="1">
      <c r="A102" s="121">
        <v>46031</v>
      </c>
      <c r="B102" s="112" t="s">
        <v>68</v>
      </c>
      <c r="C102" s="113" t="s">
        <v>1056</v>
      </c>
      <c r="D102" s="112" t="s">
        <v>1040</v>
      </c>
      <c r="E102" s="122">
        <v>1.6736111111111109</v>
      </c>
      <c r="F102" s="112" t="s">
        <v>70</v>
      </c>
      <c r="G102" s="114">
        <v>9</v>
      </c>
      <c r="H102" s="115" t="s">
        <v>1001</v>
      </c>
    </row>
    <row r="103" spans="1:8" ht="19.899999999999999" customHeight="1">
      <c r="A103" s="123">
        <v>46031</v>
      </c>
      <c r="B103" s="124" t="s">
        <v>26</v>
      </c>
      <c r="C103" s="125" t="s">
        <v>1049</v>
      </c>
      <c r="D103" s="124" t="s">
        <v>1040</v>
      </c>
      <c r="E103" s="126">
        <v>1.9722222222222221</v>
      </c>
      <c r="F103" s="124" t="s">
        <v>31</v>
      </c>
      <c r="G103" s="127">
        <v>4</v>
      </c>
      <c r="H103" s="128" t="s">
        <v>503</v>
      </c>
    </row>
    <row r="104" spans="1:8" ht="19.899999999999999" customHeight="1">
      <c r="A104" s="143"/>
      <c r="B104" s="144"/>
      <c r="C104" s="144"/>
      <c r="D104" s="144"/>
      <c r="E104" s="144"/>
      <c r="F104" s="145" t="s">
        <v>1142</v>
      </c>
      <c r="G104" s="144"/>
      <c r="H104" s="146"/>
    </row>
    <row r="105" spans="1:8" ht="19.899999999999999" customHeight="1">
      <c r="A105" s="121">
        <v>46032</v>
      </c>
      <c r="B105" s="112" t="s">
        <v>38</v>
      </c>
      <c r="C105" s="113" t="s">
        <v>1041</v>
      </c>
      <c r="D105" s="112" t="s">
        <v>1040</v>
      </c>
      <c r="E105" s="122">
        <v>1.447916666666667</v>
      </c>
      <c r="F105" s="112" t="s">
        <v>40</v>
      </c>
      <c r="G105" s="114">
        <v>10</v>
      </c>
      <c r="H105" s="115" t="s">
        <v>33</v>
      </c>
    </row>
    <row r="106" spans="1:8" ht="19.899999999999999" customHeight="1">
      <c r="A106" s="121">
        <v>46032</v>
      </c>
      <c r="B106" s="112" t="s">
        <v>61</v>
      </c>
      <c r="C106" s="113" t="s">
        <v>1043</v>
      </c>
      <c r="D106" s="112" t="s">
        <v>1040</v>
      </c>
      <c r="E106" s="122">
        <v>1.7222222222222221</v>
      </c>
      <c r="F106" s="112" t="s">
        <v>63</v>
      </c>
      <c r="G106" s="114">
        <v>3</v>
      </c>
      <c r="H106" s="115" t="s">
        <v>711</v>
      </c>
    </row>
    <row r="107" spans="1:8" ht="19.899999999999999" customHeight="1">
      <c r="A107" s="121">
        <v>46032</v>
      </c>
      <c r="B107" s="112" t="s">
        <v>26</v>
      </c>
      <c r="C107" s="113" t="s">
        <v>1047</v>
      </c>
      <c r="D107" s="112" t="s">
        <v>1040</v>
      </c>
      <c r="E107" s="122">
        <v>1.336805555555556</v>
      </c>
      <c r="F107" s="112" t="s">
        <v>28</v>
      </c>
      <c r="G107" s="114">
        <v>1</v>
      </c>
      <c r="H107" s="115" t="s">
        <v>426</v>
      </c>
    </row>
    <row r="108" spans="1:8" ht="19.899999999999999" customHeight="1">
      <c r="A108" s="121">
        <v>46032</v>
      </c>
      <c r="B108" s="112" t="s">
        <v>359</v>
      </c>
      <c r="C108" s="113" t="s">
        <v>1065</v>
      </c>
      <c r="D108" s="112" t="s">
        <v>1040</v>
      </c>
      <c r="E108" s="122">
        <v>1.7847222222222221</v>
      </c>
      <c r="F108" s="112" t="s">
        <v>361</v>
      </c>
      <c r="G108" s="114">
        <v>9</v>
      </c>
      <c r="H108" s="115" t="s">
        <v>1080</v>
      </c>
    </row>
    <row r="109" spans="1:8" ht="19.899999999999999" customHeight="1">
      <c r="A109" s="121">
        <v>46032</v>
      </c>
      <c r="B109" s="112" t="s">
        <v>68</v>
      </c>
      <c r="C109" s="113" t="s">
        <v>1052</v>
      </c>
      <c r="D109" s="112" t="s">
        <v>1040</v>
      </c>
      <c r="E109" s="122">
        <v>1.336805555555556</v>
      </c>
      <c r="F109" s="112" t="s">
        <v>643</v>
      </c>
      <c r="G109" s="114">
        <v>9</v>
      </c>
      <c r="H109" s="115" t="s">
        <v>1053</v>
      </c>
    </row>
    <row r="110" spans="1:8" ht="19.899999999999999" customHeight="1">
      <c r="A110" s="121">
        <v>46032</v>
      </c>
      <c r="B110" s="112" t="s">
        <v>26</v>
      </c>
      <c r="C110" s="113" t="s">
        <v>1049</v>
      </c>
      <c r="D110" s="112" t="s">
        <v>1040</v>
      </c>
      <c r="E110" s="122">
        <v>1.9722222222222221</v>
      </c>
      <c r="F110" s="112" t="s">
        <v>28</v>
      </c>
      <c r="G110" s="114">
        <v>9</v>
      </c>
      <c r="H110" s="115" t="s">
        <v>138</v>
      </c>
    </row>
    <row r="111" spans="1:8" ht="19.899999999999999" customHeight="1">
      <c r="A111" s="121">
        <v>46032</v>
      </c>
      <c r="B111" s="112" t="s">
        <v>402</v>
      </c>
      <c r="C111" s="113" t="s">
        <v>1057</v>
      </c>
      <c r="D111" s="112" t="s">
        <v>1040</v>
      </c>
      <c r="E111" s="122">
        <v>1.694444444444444</v>
      </c>
      <c r="F111" s="112" t="s">
        <v>63</v>
      </c>
      <c r="G111" s="114">
        <v>4</v>
      </c>
      <c r="H111" s="115" t="s">
        <v>1058</v>
      </c>
    </row>
    <row r="112" spans="1:8" ht="19.899999999999999" customHeight="1">
      <c r="A112" s="121">
        <v>46032</v>
      </c>
      <c r="B112" s="112" t="s">
        <v>68</v>
      </c>
      <c r="C112" s="113" t="s">
        <v>1054</v>
      </c>
      <c r="D112" s="112" t="s">
        <v>1040</v>
      </c>
      <c r="E112" s="122">
        <v>1.979166666666667</v>
      </c>
      <c r="F112" s="112" t="s">
        <v>70</v>
      </c>
      <c r="G112" s="114">
        <v>9</v>
      </c>
      <c r="H112" s="115" t="s">
        <v>1055</v>
      </c>
    </row>
    <row r="113" spans="1:8" ht="19.899999999999999" customHeight="1">
      <c r="A113" s="121">
        <v>46032</v>
      </c>
      <c r="B113" s="112" t="s">
        <v>26</v>
      </c>
      <c r="C113" s="113" t="s">
        <v>1047</v>
      </c>
      <c r="D113" s="112" t="s">
        <v>1040</v>
      </c>
      <c r="E113" s="122">
        <v>1.336805555555556</v>
      </c>
      <c r="F113" s="112" t="s">
        <v>31</v>
      </c>
      <c r="G113" s="114">
        <v>1</v>
      </c>
      <c r="H113" s="115" t="s">
        <v>150</v>
      </c>
    </row>
    <row r="114" spans="1:8" ht="19.899999999999999" customHeight="1">
      <c r="A114" s="123">
        <v>46032</v>
      </c>
      <c r="B114" s="124" t="s">
        <v>68</v>
      </c>
      <c r="C114" s="125" t="s">
        <v>1056</v>
      </c>
      <c r="D114" s="124" t="s">
        <v>1040</v>
      </c>
      <c r="E114" s="126">
        <v>1.6736111111111109</v>
      </c>
      <c r="F114" s="124" t="s">
        <v>70</v>
      </c>
      <c r="G114" s="127">
        <v>9</v>
      </c>
      <c r="H114" s="128" t="s">
        <v>1001</v>
      </c>
    </row>
    <row r="115" spans="1:8" ht="19.899999999999999" customHeight="1">
      <c r="A115" s="143"/>
      <c r="B115" s="144"/>
      <c r="C115" s="144"/>
      <c r="D115" s="144"/>
      <c r="E115" s="144"/>
      <c r="F115" s="145" t="s">
        <v>1142</v>
      </c>
      <c r="G115" s="144"/>
      <c r="H115" s="146"/>
    </row>
    <row r="116" spans="1:8" ht="19.899999999999999" customHeight="1">
      <c r="A116" s="121">
        <v>46033</v>
      </c>
      <c r="B116" s="112" t="s">
        <v>38</v>
      </c>
      <c r="C116" s="113" t="s">
        <v>1041</v>
      </c>
      <c r="D116" s="112" t="s">
        <v>1040</v>
      </c>
      <c r="E116" s="122">
        <v>1.447916666666667</v>
      </c>
      <c r="F116" s="112" t="s">
        <v>40</v>
      </c>
      <c r="G116" s="114">
        <v>10</v>
      </c>
      <c r="H116" s="115" t="s">
        <v>83</v>
      </c>
    </row>
    <row r="117" spans="1:8" ht="19.899999999999999" customHeight="1">
      <c r="A117" s="121">
        <v>46033</v>
      </c>
      <c r="B117" s="112" t="s">
        <v>26</v>
      </c>
      <c r="C117" s="113" t="s">
        <v>1049</v>
      </c>
      <c r="D117" s="112" t="s">
        <v>1040</v>
      </c>
      <c r="E117" s="122">
        <v>1.9722222222222221</v>
      </c>
      <c r="F117" s="112" t="s">
        <v>28</v>
      </c>
      <c r="G117" s="114">
        <v>2</v>
      </c>
      <c r="H117" s="115" t="s">
        <v>349</v>
      </c>
    </row>
    <row r="118" spans="1:8" ht="19.899999999999999" customHeight="1">
      <c r="A118" s="121">
        <v>46033</v>
      </c>
      <c r="B118" s="112" t="s">
        <v>415</v>
      </c>
      <c r="C118" s="113" t="s">
        <v>1062</v>
      </c>
      <c r="D118" s="112" t="s">
        <v>1040</v>
      </c>
      <c r="E118" s="122">
        <v>1.006944444444444</v>
      </c>
      <c r="F118" s="112" t="s">
        <v>63</v>
      </c>
      <c r="G118" s="114">
        <v>6</v>
      </c>
      <c r="H118" s="115" t="s">
        <v>1051</v>
      </c>
    </row>
    <row r="119" spans="1:8" ht="19.899999999999999" customHeight="1">
      <c r="A119" s="121">
        <v>46033</v>
      </c>
      <c r="B119" s="112" t="s">
        <v>415</v>
      </c>
      <c r="C119" s="113" t="s">
        <v>1071</v>
      </c>
      <c r="D119" s="112" t="s">
        <v>1040</v>
      </c>
      <c r="E119" s="122">
        <v>1.9201388888888891</v>
      </c>
      <c r="F119" s="112" t="s">
        <v>63</v>
      </c>
      <c r="G119" s="114">
        <v>5</v>
      </c>
      <c r="H119" s="115" t="s">
        <v>1051</v>
      </c>
    </row>
    <row r="120" spans="1:8" ht="19.899999999999999" customHeight="1">
      <c r="A120" s="121">
        <v>46033</v>
      </c>
      <c r="B120" s="112" t="s">
        <v>68</v>
      </c>
      <c r="C120" s="113" t="s">
        <v>1052</v>
      </c>
      <c r="D120" s="112" t="s">
        <v>1040</v>
      </c>
      <c r="E120" s="122">
        <v>1.336805555555556</v>
      </c>
      <c r="F120" s="112" t="s">
        <v>643</v>
      </c>
      <c r="G120" s="114">
        <v>9</v>
      </c>
      <c r="H120" s="115" t="s">
        <v>1053</v>
      </c>
    </row>
    <row r="121" spans="1:8" ht="19.899999999999999" customHeight="1">
      <c r="A121" s="121">
        <v>46033</v>
      </c>
      <c r="B121" s="112" t="s">
        <v>68</v>
      </c>
      <c r="C121" s="113" t="s">
        <v>1054</v>
      </c>
      <c r="D121" s="112" t="s">
        <v>1040</v>
      </c>
      <c r="E121" s="122">
        <v>1.979166666666667</v>
      </c>
      <c r="F121" s="112" t="s">
        <v>643</v>
      </c>
      <c r="G121" s="114">
        <v>9</v>
      </c>
      <c r="H121" s="115" t="s">
        <v>1053</v>
      </c>
    </row>
    <row r="122" spans="1:8" ht="19.899999999999999" customHeight="1">
      <c r="A122" s="121">
        <v>46033</v>
      </c>
      <c r="B122" s="112" t="s">
        <v>402</v>
      </c>
      <c r="C122" s="113" t="s">
        <v>1059</v>
      </c>
      <c r="D122" s="112" t="s">
        <v>1040</v>
      </c>
      <c r="E122" s="122">
        <v>1.756944444444444</v>
      </c>
      <c r="F122" s="112" t="s">
        <v>63</v>
      </c>
      <c r="G122" s="114">
        <v>2</v>
      </c>
      <c r="H122" s="115" t="s">
        <v>1058</v>
      </c>
    </row>
    <row r="123" spans="1:8" ht="19.899999999999999" customHeight="1">
      <c r="A123" s="121">
        <v>46033</v>
      </c>
      <c r="B123" s="112" t="s">
        <v>26</v>
      </c>
      <c r="C123" s="113" t="s">
        <v>1049</v>
      </c>
      <c r="D123" s="112" t="s">
        <v>1040</v>
      </c>
      <c r="E123" s="122">
        <v>1.9722222222222221</v>
      </c>
      <c r="F123" s="112" t="s">
        <v>31</v>
      </c>
      <c r="G123" s="114">
        <v>2</v>
      </c>
      <c r="H123" s="115" t="s">
        <v>35</v>
      </c>
    </row>
    <row r="124" spans="1:8" ht="19.899999999999999" customHeight="1">
      <c r="A124" s="121">
        <v>46033</v>
      </c>
      <c r="B124" s="112" t="s">
        <v>68</v>
      </c>
      <c r="C124" s="113" t="s">
        <v>1056</v>
      </c>
      <c r="D124" s="112" t="s">
        <v>1040</v>
      </c>
      <c r="E124" s="122">
        <v>1.6736111111111109</v>
      </c>
      <c r="F124" s="112" t="s">
        <v>70</v>
      </c>
      <c r="G124" s="114">
        <v>9</v>
      </c>
      <c r="H124" s="115" t="s">
        <v>1055</v>
      </c>
    </row>
    <row r="125" spans="1:8" ht="19.899999999999999" customHeight="1">
      <c r="A125" s="123">
        <v>46033</v>
      </c>
      <c r="B125" s="124" t="s">
        <v>38</v>
      </c>
      <c r="C125" s="125" t="s">
        <v>1041</v>
      </c>
      <c r="D125" s="124" t="s">
        <v>1040</v>
      </c>
      <c r="E125" s="126">
        <v>1.447916666666667</v>
      </c>
      <c r="F125" s="124" t="s">
        <v>43</v>
      </c>
      <c r="G125" s="127">
        <v>10</v>
      </c>
      <c r="H125" s="128" t="s">
        <v>162</v>
      </c>
    </row>
    <row r="126" spans="1:8" ht="19.899999999999999" customHeight="1">
      <c r="A126" s="129">
        <v>46034</v>
      </c>
      <c r="B126" s="117" t="s">
        <v>61</v>
      </c>
      <c r="C126" s="118" t="s">
        <v>1124</v>
      </c>
      <c r="D126" s="117" t="s">
        <v>1123</v>
      </c>
      <c r="E126" s="130">
        <v>1.291666666666667</v>
      </c>
      <c r="F126" s="117" t="s">
        <v>63</v>
      </c>
      <c r="G126" s="119">
        <v>6</v>
      </c>
      <c r="H126" s="120" t="s">
        <v>1076</v>
      </c>
    </row>
    <row r="127" spans="1:8" ht="19.899999999999999" customHeight="1">
      <c r="A127" s="143"/>
      <c r="B127" s="144"/>
      <c r="C127" s="144"/>
      <c r="D127" s="144"/>
      <c r="E127" s="144"/>
      <c r="F127" s="145" t="s">
        <v>1142</v>
      </c>
      <c r="G127" s="144"/>
      <c r="H127" s="146"/>
    </row>
    <row r="128" spans="1:8" ht="19.899999999999999" customHeight="1">
      <c r="A128" s="121">
        <v>46034</v>
      </c>
      <c r="B128" s="112" t="s">
        <v>38</v>
      </c>
      <c r="C128" s="113" t="s">
        <v>1041</v>
      </c>
      <c r="D128" s="112" t="s">
        <v>1040</v>
      </c>
      <c r="E128" s="122">
        <v>1.447916666666667</v>
      </c>
      <c r="F128" s="112" t="s">
        <v>40</v>
      </c>
      <c r="G128" s="114">
        <v>10</v>
      </c>
      <c r="H128" s="115" t="s">
        <v>83</v>
      </c>
    </row>
    <row r="129" spans="1:8" ht="19.899999999999999" customHeight="1">
      <c r="A129" s="121">
        <v>46034</v>
      </c>
      <c r="B129" s="112" t="s">
        <v>26</v>
      </c>
      <c r="C129" s="113" t="s">
        <v>1047</v>
      </c>
      <c r="D129" s="112" t="s">
        <v>1040</v>
      </c>
      <c r="E129" s="122">
        <v>1.336805555555556</v>
      </c>
      <c r="F129" s="112" t="s">
        <v>28</v>
      </c>
      <c r="G129" s="114">
        <v>4</v>
      </c>
      <c r="H129" s="115" t="s">
        <v>349</v>
      </c>
    </row>
    <row r="130" spans="1:8" ht="19.899999999999999" customHeight="1">
      <c r="A130" s="121">
        <v>46034</v>
      </c>
      <c r="B130" s="112" t="s">
        <v>26</v>
      </c>
      <c r="C130" s="113" t="s">
        <v>1049</v>
      </c>
      <c r="D130" s="112" t="s">
        <v>1040</v>
      </c>
      <c r="E130" s="122">
        <v>1.9722222222222221</v>
      </c>
      <c r="F130" s="112" t="s">
        <v>28</v>
      </c>
      <c r="G130" s="114">
        <v>4</v>
      </c>
      <c r="H130" s="115" t="s">
        <v>349</v>
      </c>
    </row>
    <row r="131" spans="1:8" ht="19.899999999999999" customHeight="1">
      <c r="A131" s="121">
        <v>46034</v>
      </c>
      <c r="B131" s="112" t="s">
        <v>68</v>
      </c>
      <c r="C131" s="113" t="s">
        <v>1052</v>
      </c>
      <c r="D131" s="112" t="s">
        <v>1040</v>
      </c>
      <c r="E131" s="122">
        <v>1.336805555555556</v>
      </c>
      <c r="F131" s="112" t="s">
        <v>643</v>
      </c>
      <c r="G131" s="114">
        <v>9</v>
      </c>
      <c r="H131" s="115" t="s">
        <v>1053</v>
      </c>
    </row>
    <row r="132" spans="1:8" ht="19.899999999999999" customHeight="1">
      <c r="A132" s="121">
        <v>46034</v>
      </c>
      <c r="B132" s="112" t="s">
        <v>68</v>
      </c>
      <c r="C132" s="113" t="s">
        <v>1054</v>
      </c>
      <c r="D132" s="112" t="s">
        <v>1040</v>
      </c>
      <c r="E132" s="122">
        <v>1.979166666666667</v>
      </c>
      <c r="F132" s="112" t="s">
        <v>643</v>
      </c>
      <c r="G132" s="114">
        <v>9</v>
      </c>
      <c r="H132" s="115" t="s">
        <v>1053</v>
      </c>
    </row>
    <row r="133" spans="1:8" ht="19.899999999999999" customHeight="1">
      <c r="A133" s="121">
        <v>46034</v>
      </c>
      <c r="B133" s="112" t="s">
        <v>68</v>
      </c>
      <c r="C133" s="113" t="s">
        <v>1056</v>
      </c>
      <c r="D133" s="112" t="s">
        <v>1040</v>
      </c>
      <c r="E133" s="122">
        <v>1.6736111111111109</v>
      </c>
      <c r="F133" s="112" t="s">
        <v>643</v>
      </c>
      <c r="G133" s="114">
        <v>9</v>
      </c>
      <c r="H133" s="115" t="s">
        <v>1053</v>
      </c>
    </row>
    <row r="134" spans="1:8" ht="19.899999999999999" customHeight="1">
      <c r="A134" s="121">
        <v>46034</v>
      </c>
      <c r="B134" s="112" t="s">
        <v>402</v>
      </c>
      <c r="C134" s="113" t="s">
        <v>1064</v>
      </c>
      <c r="D134" s="112" t="s">
        <v>1040</v>
      </c>
      <c r="E134" s="122">
        <v>1.756944444444444</v>
      </c>
      <c r="F134" s="112" t="s">
        <v>63</v>
      </c>
      <c r="G134" s="114">
        <v>5</v>
      </c>
      <c r="H134" s="115" t="s">
        <v>1058</v>
      </c>
    </row>
    <row r="135" spans="1:8" ht="19.899999999999999" customHeight="1">
      <c r="A135" s="121">
        <v>46034</v>
      </c>
      <c r="B135" s="112" t="s">
        <v>26</v>
      </c>
      <c r="C135" s="113" t="s">
        <v>1047</v>
      </c>
      <c r="D135" s="112" t="s">
        <v>1040</v>
      </c>
      <c r="E135" s="122">
        <v>1.336805555555556</v>
      </c>
      <c r="F135" s="112" t="s">
        <v>31</v>
      </c>
      <c r="G135" s="114">
        <v>4</v>
      </c>
      <c r="H135" s="115" t="s">
        <v>35</v>
      </c>
    </row>
    <row r="136" spans="1:8" ht="19.899999999999999" customHeight="1">
      <c r="A136" s="121">
        <v>46034</v>
      </c>
      <c r="B136" s="112" t="s">
        <v>26</v>
      </c>
      <c r="C136" s="113" t="s">
        <v>1049</v>
      </c>
      <c r="D136" s="112" t="s">
        <v>1040</v>
      </c>
      <c r="E136" s="122">
        <v>1.9722222222222221</v>
      </c>
      <c r="F136" s="112" t="s">
        <v>31</v>
      </c>
      <c r="G136" s="114">
        <v>4</v>
      </c>
      <c r="H136" s="115" t="s">
        <v>35</v>
      </c>
    </row>
    <row r="137" spans="1:8" ht="19.899999999999999" customHeight="1">
      <c r="A137" s="123">
        <v>46034</v>
      </c>
      <c r="B137" s="124" t="s">
        <v>38</v>
      </c>
      <c r="C137" s="125" t="s">
        <v>1041</v>
      </c>
      <c r="D137" s="124" t="s">
        <v>1040</v>
      </c>
      <c r="E137" s="126">
        <v>1.447916666666667</v>
      </c>
      <c r="F137" s="124" t="s">
        <v>43</v>
      </c>
      <c r="G137" s="127">
        <v>10</v>
      </c>
      <c r="H137" s="128" t="s">
        <v>162</v>
      </c>
    </row>
    <row r="138" spans="1:8" ht="19.899999999999999" customHeight="1">
      <c r="A138" s="143"/>
      <c r="B138" s="144"/>
      <c r="C138" s="144"/>
      <c r="D138" s="144"/>
      <c r="E138" s="144"/>
      <c r="F138" s="145" t="s">
        <v>1142</v>
      </c>
      <c r="G138" s="144"/>
      <c r="H138" s="146"/>
    </row>
    <row r="139" spans="1:8" ht="19.899999999999999" customHeight="1">
      <c r="A139" s="121">
        <v>46035</v>
      </c>
      <c r="B139" s="112" t="s">
        <v>61</v>
      </c>
      <c r="C139" s="113" t="s">
        <v>1043</v>
      </c>
      <c r="D139" s="112" t="s">
        <v>1040</v>
      </c>
      <c r="E139" s="122">
        <v>1.069444444444444</v>
      </c>
      <c r="F139" s="112" t="s">
        <v>63</v>
      </c>
      <c r="G139" s="114">
        <v>6</v>
      </c>
      <c r="H139" s="115" t="s">
        <v>1044</v>
      </c>
    </row>
    <row r="140" spans="1:8" ht="19.899999999999999" customHeight="1">
      <c r="A140" s="121">
        <v>46035</v>
      </c>
      <c r="B140" s="112" t="s">
        <v>38</v>
      </c>
      <c r="C140" s="113" t="s">
        <v>1041</v>
      </c>
      <c r="D140" s="112" t="s">
        <v>1040</v>
      </c>
      <c r="E140" s="122">
        <v>1.447916666666667</v>
      </c>
      <c r="F140" s="112" t="s">
        <v>40</v>
      </c>
      <c r="G140" s="114">
        <v>10</v>
      </c>
      <c r="H140" s="115" t="s">
        <v>83</v>
      </c>
    </row>
    <row r="141" spans="1:8" ht="19.899999999999999" customHeight="1">
      <c r="A141" s="121">
        <v>46035</v>
      </c>
      <c r="B141" s="112" t="s">
        <v>26</v>
      </c>
      <c r="C141" s="113" t="s">
        <v>1047</v>
      </c>
      <c r="D141" s="112" t="s">
        <v>1040</v>
      </c>
      <c r="E141" s="122">
        <v>1.336805555555556</v>
      </c>
      <c r="F141" s="112" t="s">
        <v>28</v>
      </c>
      <c r="G141" s="114">
        <v>4</v>
      </c>
      <c r="H141" s="115" t="s">
        <v>349</v>
      </c>
    </row>
    <row r="142" spans="1:8" ht="19.899999999999999" customHeight="1">
      <c r="A142" s="121">
        <v>46035</v>
      </c>
      <c r="B142" s="112" t="s">
        <v>415</v>
      </c>
      <c r="C142" s="113" t="s">
        <v>1062</v>
      </c>
      <c r="D142" s="112" t="s">
        <v>1040</v>
      </c>
      <c r="E142" s="122">
        <v>1.006944444444444</v>
      </c>
      <c r="F142" s="112" t="s">
        <v>63</v>
      </c>
      <c r="G142" s="114">
        <v>7</v>
      </c>
      <c r="H142" s="115" t="s">
        <v>1051</v>
      </c>
    </row>
    <row r="143" spans="1:8" ht="19.899999999999999" customHeight="1">
      <c r="A143" s="121">
        <v>46035</v>
      </c>
      <c r="B143" s="112" t="s">
        <v>26</v>
      </c>
      <c r="C143" s="113" t="s">
        <v>1049</v>
      </c>
      <c r="D143" s="112" t="s">
        <v>1040</v>
      </c>
      <c r="E143" s="122">
        <v>1.9722222222222221</v>
      </c>
      <c r="F143" s="112" t="s">
        <v>28</v>
      </c>
      <c r="G143" s="114">
        <v>3</v>
      </c>
      <c r="H143" s="115" t="s">
        <v>426</v>
      </c>
    </row>
    <row r="144" spans="1:8" ht="19.899999999999999" customHeight="1">
      <c r="A144" s="121">
        <v>46035</v>
      </c>
      <c r="B144" s="112" t="s">
        <v>415</v>
      </c>
      <c r="C144" s="113" t="s">
        <v>1050</v>
      </c>
      <c r="D144" s="112" t="s">
        <v>1040</v>
      </c>
      <c r="E144" s="122">
        <v>1.881944444444444</v>
      </c>
      <c r="F144" s="112" t="s">
        <v>63</v>
      </c>
      <c r="G144" s="114">
        <v>6</v>
      </c>
      <c r="H144" s="115" t="s">
        <v>133</v>
      </c>
    </row>
    <row r="145" spans="1:8" ht="19.899999999999999" customHeight="1">
      <c r="A145" s="121">
        <v>46035</v>
      </c>
      <c r="B145" s="112" t="s">
        <v>68</v>
      </c>
      <c r="C145" s="113" t="s">
        <v>1052</v>
      </c>
      <c r="D145" s="112" t="s">
        <v>1040</v>
      </c>
      <c r="E145" s="122">
        <v>1.336805555555556</v>
      </c>
      <c r="F145" s="112" t="s">
        <v>643</v>
      </c>
      <c r="G145" s="114">
        <v>9</v>
      </c>
      <c r="H145" s="115" t="s">
        <v>1053</v>
      </c>
    </row>
    <row r="146" spans="1:8" ht="19.899999999999999" customHeight="1">
      <c r="A146" s="121">
        <v>46035</v>
      </c>
      <c r="B146" s="112" t="s">
        <v>68</v>
      </c>
      <c r="C146" s="113" t="s">
        <v>1054</v>
      </c>
      <c r="D146" s="112" t="s">
        <v>1040</v>
      </c>
      <c r="E146" s="122">
        <v>1.979166666666667</v>
      </c>
      <c r="F146" s="112" t="s">
        <v>643</v>
      </c>
      <c r="G146" s="114">
        <v>9</v>
      </c>
      <c r="H146" s="115" t="s">
        <v>1053</v>
      </c>
    </row>
    <row r="147" spans="1:8" ht="19.899999999999999" customHeight="1">
      <c r="A147" s="121">
        <v>46035</v>
      </c>
      <c r="B147" s="112" t="s">
        <v>402</v>
      </c>
      <c r="C147" s="113" t="s">
        <v>1057</v>
      </c>
      <c r="D147" s="112" t="s">
        <v>1040</v>
      </c>
      <c r="E147" s="122">
        <v>1.756944444444444</v>
      </c>
      <c r="F147" s="112" t="s">
        <v>63</v>
      </c>
      <c r="G147" s="114">
        <v>6</v>
      </c>
      <c r="H147" s="115" t="s">
        <v>1058</v>
      </c>
    </row>
    <row r="148" spans="1:8" ht="19.899999999999999" customHeight="1">
      <c r="A148" s="123">
        <v>46035</v>
      </c>
      <c r="B148" s="124" t="s">
        <v>26</v>
      </c>
      <c r="C148" s="125" t="s">
        <v>1047</v>
      </c>
      <c r="D148" s="124" t="s">
        <v>1040</v>
      </c>
      <c r="E148" s="126">
        <v>1.336805555555556</v>
      </c>
      <c r="F148" s="124" t="s">
        <v>31</v>
      </c>
      <c r="G148" s="127">
        <v>4</v>
      </c>
      <c r="H148" s="128" t="s">
        <v>35</v>
      </c>
    </row>
    <row r="149" spans="1:8" ht="19.899999999999999" customHeight="1">
      <c r="A149" s="143"/>
      <c r="B149" s="144"/>
      <c r="C149" s="144"/>
      <c r="D149" s="144"/>
      <c r="E149" s="144"/>
      <c r="F149" s="145" t="s">
        <v>1142</v>
      </c>
      <c r="G149" s="144"/>
      <c r="H149" s="146"/>
    </row>
    <row r="150" spans="1:8" ht="19.899999999999999" customHeight="1">
      <c r="A150" s="121">
        <v>46036</v>
      </c>
      <c r="B150" s="112" t="s">
        <v>359</v>
      </c>
      <c r="C150" s="113" t="s">
        <v>1065</v>
      </c>
      <c r="D150" s="112" t="s">
        <v>1040</v>
      </c>
      <c r="E150" s="122">
        <v>1.7847222222222221</v>
      </c>
      <c r="F150" s="112" t="s">
        <v>361</v>
      </c>
      <c r="G150" s="114">
        <v>9</v>
      </c>
      <c r="H150" s="115" t="s">
        <v>1083</v>
      </c>
    </row>
    <row r="151" spans="1:8" ht="19.899999999999999" customHeight="1">
      <c r="A151" s="121">
        <v>46036</v>
      </c>
      <c r="B151" s="112" t="s">
        <v>26</v>
      </c>
      <c r="C151" s="113" t="s">
        <v>1049</v>
      </c>
      <c r="D151" s="112" t="s">
        <v>1040</v>
      </c>
      <c r="E151" s="122">
        <v>1.9722222222222221</v>
      </c>
      <c r="F151" s="112" t="s">
        <v>28</v>
      </c>
      <c r="G151" s="114">
        <v>2</v>
      </c>
      <c r="H151" s="115" t="s">
        <v>426</v>
      </c>
    </row>
    <row r="152" spans="1:8" ht="19.899999999999999" customHeight="1">
      <c r="A152" s="121">
        <v>46036</v>
      </c>
      <c r="B152" s="112" t="s">
        <v>68</v>
      </c>
      <c r="C152" s="113" t="s">
        <v>1052</v>
      </c>
      <c r="D152" s="112" t="s">
        <v>1040</v>
      </c>
      <c r="E152" s="122">
        <v>1.336805555555556</v>
      </c>
      <c r="F152" s="112" t="s">
        <v>643</v>
      </c>
      <c r="G152" s="114">
        <v>9</v>
      </c>
      <c r="H152" s="115" t="s">
        <v>1053</v>
      </c>
    </row>
    <row r="153" spans="1:8" ht="19.899999999999999" customHeight="1">
      <c r="A153" s="121">
        <v>46036</v>
      </c>
      <c r="B153" s="112" t="s">
        <v>68</v>
      </c>
      <c r="C153" s="113" t="s">
        <v>1054</v>
      </c>
      <c r="D153" s="112" t="s">
        <v>1040</v>
      </c>
      <c r="E153" s="122">
        <v>1.979166666666667</v>
      </c>
      <c r="F153" s="112" t="s">
        <v>643</v>
      </c>
      <c r="G153" s="114">
        <v>9</v>
      </c>
      <c r="H153" s="115" t="s">
        <v>1053</v>
      </c>
    </row>
    <row r="154" spans="1:8" ht="19.899999999999999" customHeight="1">
      <c r="A154" s="121">
        <v>46036</v>
      </c>
      <c r="B154" s="112" t="s">
        <v>402</v>
      </c>
      <c r="C154" s="113" t="s">
        <v>1064</v>
      </c>
      <c r="D154" s="112" t="s">
        <v>1040</v>
      </c>
      <c r="E154" s="122">
        <v>1.694444444444444</v>
      </c>
      <c r="F154" s="112" t="s">
        <v>63</v>
      </c>
      <c r="G154" s="114">
        <v>3</v>
      </c>
      <c r="H154" s="115" t="s">
        <v>1058</v>
      </c>
    </row>
    <row r="155" spans="1:8" ht="19.899999999999999" customHeight="1">
      <c r="A155" s="121">
        <v>46036</v>
      </c>
      <c r="B155" s="112" t="s">
        <v>68</v>
      </c>
      <c r="C155" s="113" t="s">
        <v>1056</v>
      </c>
      <c r="D155" s="112" t="s">
        <v>1040</v>
      </c>
      <c r="E155" s="122">
        <v>1.6736111111111109</v>
      </c>
      <c r="F155" s="112" t="s">
        <v>70</v>
      </c>
      <c r="G155" s="114">
        <v>9</v>
      </c>
      <c r="H155" s="115" t="s">
        <v>1055</v>
      </c>
    </row>
    <row r="156" spans="1:8" ht="19.899999999999999" customHeight="1">
      <c r="A156" s="121">
        <v>46036</v>
      </c>
      <c r="B156" s="112" t="s">
        <v>26</v>
      </c>
      <c r="C156" s="113" t="s">
        <v>1049</v>
      </c>
      <c r="D156" s="112" t="s">
        <v>1040</v>
      </c>
      <c r="E156" s="122">
        <v>1.9722222222222221</v>
      </c>
      <c r="F156" s="112" t="s">
        <v>31</v>
      </c>
      <c r="G156" s="114">
        <v>2</v>
      </c>
      <c r="H156" s="115" t="s">
        <v>150</v>
      </c>
    </row>
    <row r="157" spans="1:8" ht="19.899999999999999" customHeight="1">
      <c r="A157" s="121">
        <v>46036</v>
      </c>
      <c r="B157" s="112" t="s">
        <v>359</v>
      </c>
      <c r="C157" s="113" t="s">
        <v>1065</v>
      </c>
      <c r="D157" s="112" t="s">
        <v>1040</v>
      </c>
      <c r="E157" s="122">
        <v>1.7847222222222221</v>
      </c>
      <c r="F157" s="112" t="s">
        <v>46</v>
      </c>
      <c r="G157" s="114">
        <v>9</v>
      </c>
      <c r="H157" s="115" t="s">
        <v>1084</v>
      </c>
    </row>
    <row r="158" spans="1:8" ht="19.899999999999999" customHeight="1">
      <c r="A158" s="121">
        <v>46036</v>
      </c>
      <c r="B158" s="112" t="s">
        <v>26</v>
      </c>
      <c r="C158" s="113" t="s">
        <v>1049</v>
      </c>
      <c r="D158" s="112" t="s">
        <v>1040</v>
      </c>
      <c r="E158" s="122">
        <v>1.9722222222222221</v>
      </c>
      <c r="F158" s="112" t="s">
        <v>34</v>
      </c>
      <c r="G158" s="114">
        <v>2</v>
      </c>
      <c r="H158" s="115" t="s">
        <v>178</v>
      </c>
    </row>
    <row r="159" spans="1:8" ht="19.899999999999999" customHeight="1">
      <c r="A159" s="123">
        <v>46036</v>
      </c>
      <c r="B159" s="124" t="s">
        <v>38</v>
      </c>
      <c r="C159" s="125" t="s">
        <v>1041</v>
      </c>
      <c r="D159" s="124" t="s">
        <v>1040</v>
      </c>
      <c r="E159" s="126">
        <v>1.447916666666667</v>
      </c>
      <c r="F159" s="124" t="s">
        <v>40</v>
      </c>
      <c r="G159" s="127">
        <v>8</v>
      </c>
      <c r="H159" s="128" t="s">
        <v>487</v>
      </c>
    </row>
    <row r="160" spans="1:8" ht="19.899999999999999" customHeight="1">
      <c r="A160" s="143"/>
      <c r="B160" s="144"/>
      <c r="C160" s="144"/>
      <c r="D160" s="144"/>
      <c r="E160" s="144"/>
      <c r="F160" s="145" t="s">
        <v>1142</v>
      </c>
      <c r="G160" s="144"/>
      <c r="H160" s="146"/>
    </row>
    <row r="161" spans="1:8" ht="19.899999999999999" customHeight="1">
      <c r="A161" s="121">
        <v>46037</v>
      </c>
      <c r="B161" s="112" t="s">
        <v>38</v>
      </c>
      <c r="C161" s="113" t="s">
        <v>1041</v>
      </c>
      <c r="D161" s="112" t="s">
        <v>1040</v>
      </c>
      <c r="E161" s="122">
        <v>1.447916666666667</v>
      </c>
      <c r="F161" s="112" t="s">
        <v>40</v>
      </c>
      <c r="G161" s="114">
        <v>10</v>
      </c>
      <c r="H161" s="115" t="s">
        <v>33</v>
      </c>
    </row>
    <row r="162" spans="1:8" ht="19.899999999999999" customHeight="1">
      <c r="A162" s="121">
        <v>46037</v>
      </c>
      <c r="B162" s="112" t="s">
        <v>26</v>
      </c>
      <c r="C162" s="113" t="s">
        <v>1047</v>
      </c>
      <c r="D162" s="112" t="s">
        <v>1040</v>
      </c>
      <c r="E162" s="122">
        <v>1.336805555555556</v>
      </c>
      <c r="F162" s="112" t="s">
        <v>28</v>
      </c>
      <c r="G162" s="114">
        <v>3</v>
      </c>
      <c r="H162" s="115" t="s">
        <v>426</v>
      </c>
    </row>
    <row r="163" spans="1:8" ht="19.899999999999999" customHeight="1">
      <c r="A163" s="121">
        <v>46037</v>
      </c>
      <c r="B163" s="112" t="s">
        <v>68</v>
      </c>
      <c r="C163" s="113" t="s">
        <v>1052</v>
      </c>
      <c r="D163" s="112" t="s">
        <v>1040</v>
      </c>
      <c r="E163" s="122">
        <v>1.336805555555556</v>
      </c>
      <c r="F163" s="112" t="s">
        <v>643</v>
      </c>
      <c r="G163" s="114">
        <v>9</v>
      </c>
      <c r="H163" s="115" t="s">
        <v>1053</v>
      </c>
    </row>
    <row r="164" spans="1:8" ht="19.899999999999999" customHeight="1">
      <c r="A164" s="121">
        <v>46037</v>
      </c>
      <c r="B164" s="112" t="s">
        <v>61</v>
      </c>
      <c r="C164" s="113" t="s">
        <v>1043</v>
      </c>
      <c r="D164" s="112" t="s">
        <v>1040</v>
      </c>
      <c r="E164" s="122">
        <v>1.7222222222222221</v>
      </c>
      <c r="F164" s="112" t="s">
        <v>63</v>
      </c>
      <c r="G164" s="114">
        <v>9</v>
      </c>
      <c r="H164" s="115" t="s">
        <v>138</v>
      </c>
    </row>
    <row r="165" spans="1:8" ht="19.899999999999999" customHeight="1">
      <c r="A165" s="121">
        <v>46037</v>
      </c>
      <c r="B165" s="112" t="s">
        <v>402</v>
      </c>
      <c r="C165" s="113" t="s">
        <v>1059</v>
      </c>
      <c r="D165" s="112" t="s">
        <v>1040</v>
      </c>
      <c r="E165" s="122">
        <v>1.3611111111111109</v>
      </c>
      <c r="F165" s="112" t="s">
        <v>63</v>
      </c>
      <c r="G165" s="114">
        <v>6</v>
      </c>
      <c r="H165" s="115" t="s">
        <v>1058</v>
      </c>
    </row>
    <row r="166" spans="1:8" ht="19.899999999999999" customHeight="1">
      <c r="A166" s="121">
        <v>46037</v>
      </c>
      <c r="B166" s="112" t="s">
        <v>402</v>
      </c>
      <c r="C166" s="113" t="s">
        <v>1057</v>
      </c>
      <c r="D166" s="112" t="s">
        <v>1040</v>
      </c>
      <c r="E166" s="122">
        <v>1.756944444444444</v>
      </c>
      <c r="F166" s="112" t="s">
        <v>63</v>
      </c>
      <c r="G166" s="114">
        <v>6</v>
      </c>
      <c r="H166" s="115" t="s">
        <v>857</v>
      </c>
    </row>
    <row r="167" spans="1:8" ht="19.899999999999999" customHeight="1">
      <c r="A167" s="121">
        <v>46037</v>
      </c>
      <c r="B167" s="112" t="s">
        <v>26</v>
      </c>
      <c r="C167" s="113" t="s">
        <v>1047</v>
      </c>
      <c r="D167" s="112" t="s">
        <v>1040</v>
      </c>
      <c r="E167" s="122">
        <v>1.336805555555556</v>
      </c>
      <c r="F167" s="112" t="s">
        <v>31</v>
      </c>
      <c r="G167" s="114">
        <v>3</v>
      </c>
      <c r="H167" s="115" t="s">
        <v>150</v>
      </c>
    </row>
    <row r="168" spans="1:8" ht="19.899999999999999" customHeight="1">
      <c r="A168" s="121">
        <v>46037</v>
      </c>
      <c r="B168" s="112" t="s">
        <v>26</v>
      </c>
      <c r="C168" s="113" t="s">
        <v>1049</v>
      </c>
      <c r="D168" s="112" t="s">
        <v>1040</v>
      </c>
      <c r="E168" s="122">
        <v>1.9722222222222221</v>
      </c>
      <c r="F168" s="112" t="s">
        <v>28</v>
      </c>
      <c r="G168" s="114">
        <v>9</v>
      </c>
      <c r="H168" s="115" t="s">
        <v>150</v>
      </c>
    </row>
    <row r="169" spans="1:8" ht="19.899999999999999" customHeight="1">
      <c r="A169" s="121">
        <v>46037</v>
      </c>
      <c r="B169" s="112" t="s">
        <v>68</v>
      </c>
      <c r="C169" s="113" t="s">
        <v>1054</v>
      </c>
      <c r="D169" s="112" t="s">
        <v>1040</v>
      </c>
      <c r="E169" s="122">
        <v>1.979166666666667</v>
      </c>
      <c r="F169" s="112" t="s">
        <v>70</v>
      </c>
      <c r="G169" s="114">
        <v>9</v>
      </c>
      <c r="H169" s="115" t="s">
        <v>1001</v>
      </c>
    </row>
    <row r="170" spans="1:8" ht="19.899999999999999" customHeight="1">
      <c r="A170" s="123">
        <v>46037</v>
      </c>
      <c r="B170" s="124" t="s">
        <v>38</v>
      </c>
      <c r="C170" s="125" t="s">
        <v>1041</v>
      </c>
      <c r="D170" s="124" t="s">
        <v>1040</v>
      </c>
      <c r="E170" s="126">
        <v>1.447916666666667</v>
      </c>
      <c r="F170" s="124" t="s">
        <v>43</v>
      </c>
      <c r="G170" s="127">
        <v>10</v>
      </c>
      <c r="H170" s="128" t="s">
        <v>926</v>
      </c>
    </row>
    <row r="171" spans="1:8" ht="19.899999999999999" customHeight="1">
      <c r="A171" s="129">
        <v>46038</v>
      </c>
      <c r="B171" s="117" t="s">
        <v>61</v>
      </c>
      <c r="C171" s="118" t="s">
        <v>1124</v>
      </c>
      <c r="D171" s="117" t="s">
        <v>1123</v>
      </c>
      <c r="E171" s="130">
        <v>1.072916666666667</v>
      </c>
      <c r="F171" s="117" t="s">
        <v>63</v>
      </c>
      <c r="G171" s="119">
        <v>9</v>
      </c>
      <c r="H171" s="120" t="s">
        <v>138</v>
      </c>
    </row>
    <row r="172" spans="1:8" ht="19.899999999999999" customHeight="1">
      <c r="A172" s="143"/>
      <c r="B172" s="144"/>
      <c r="C172" s="144"/>
      <c r="D172" s="144"/>
      <c r="E172" s="144"/>
      <c r="F172" s="145" t="s">
        <v>1142</v>
      </c>
      <c r="G172" s="144"/>
      <c r="H172" s="146"/>
    </row>
    <row r="173" spans="1:8" ht="19.899999999999999" customHeight="1">
      <c r="A173" s="121">
        <v>46038</v>
      </c>
      <c r="B173" s="112" t="s">
        <v>61</v>
      </c>
      <c r="C173" s="113" t="s">
        <v>1043</v>
      </c>
      <c r="D173" s="112" t="s">
        <v>1040</v>
      </c>
      <c r="E173" s="122">
        <v>1.381944444444444</v>
      </c>
      <c r="F173" s="112" t="s">
        <v>63</v>
      </c>
      <c r="G173" s="114">
        <v>6</v>
      </c>
      <c r="H173" s="115" t="s">
        <v>138</v>
      </c>
    </row>
    <row r="174" spans="1:8" ht="19.899999999999999" customHeight="1">
      <c r="A174" s="121">
        <v>46038</v>
      </c>
      <c r="B174" s="112" t="s">
        <v>38</v>
      </c>
      <c r="C174" s="113" t="s">
        <v>1041</v>
      </c>
      <c r="D174" s="112" t="s">
        <v>1040</v>
      </c>
      <c r="E174" s="122">
        <v>1.447916666666667</v>
      </c>
      <c r="F174" s="112" t="s">
        <v>40</v>
      </c>
      <c r="G174" s="114">
        <v>10</v>
      </c>
      <c r="H174" s="115" t="s">
        <v>162</v>
      </c>
    </row>
    <row r="175" spans="1:8" ht="19.899999999999999" customHeight="1">
      <c r="A175" s="121">
        <v>46038</v>
      </c>
      <c r="B175" s="112" t="s">
        <v>26</v>
      </c>
      <c r="C175" s="113" t="s">
        <v>1049</v>
      </c>
      <c r="D175" s="112" t="s">
        <v>1040</v>
      </c>
      <c r="E175" s="122">
        <v>1.9722222222222221</v>
      </c>
      <c r="F175" s="112" t="s">
        <v>28</v>
      </c>
      <c r="G175" s="114">
        <v>6</v>
      </c>
      <c r="H175" s="115" t="s">
        <v>150</v>
      </c>
    </row>
    <row r="176" spans="1:8" ht="19.899999999999999" customHeight="1">
      <c r="A176" s="121">
        <v>46038</v>
      </c>
      <c r="B176" s="112" t="s">
        <v>402</v>
      </c>
      <c r="C176" s="113" t="s">
        <v>1064</v>
      </c>
      <c r="D176" s="112" t="s">
        <v>1040</v>
      </c>
      <c r="E176" s="122">
        <v>1.756944444444444</v>
      </c>
      <c r="F176" s="112" t="s">
        <v>63</v>
      </c>
      <c r="G176" s="114">
        <v>3</v>
      </c>
      <c r="H176" s="115" t="s">
        <v>938</v>
      </c>
    </row>
    <row r="177" spans="1:8" ht="19.899999999999999" customHeight="1">
      <c r="A177" s="121">
        <v>46038</v>
      </c>
      <c r="B177" s="112" t="s">
        <v>415</v>
      </c>
      <c r="C177" s="113" t="s">
        <v>1062</v>
      </c>
      <c r="D177" s="112" t="s">
        <v>1040</v>
      </c>
      <c r="E177" s="122">
        <v>1.006944444444444</v>
      </c>
      <c r="F177" s="112" t="s">
        <v>63</v>
      </c>
      <c r="G177" s="114">
        <v>4</v>
      </c>
      <c r="H177" s="115" t="s">
        <v>1086</v>
      </c>
    </row>
    <row r="178" spans="1:8" ht="19.899999999999999" customHeight="1">
      <c r="A178" s="121">
        <v>46038</v>
      </c>
      <c r="B178" s="112" t="s">
        <v>26</v>
      </c>
      <c r="C178" s="113" t="s">
        <v>1049</v>
      </c>
      <c r="D178" s="112" t="s">
        <v>1040</v>
      </c>
      <c r="E178" s="122">
        <v>1.9722222222222221</v>
      </c>
      <c r="F178" s="112" t="s">
        <v>31</v>
      </c>
      <c r="G178" s="114">
        <v>6</v>
      </c>
      <c r="H178" s="115" t="s">
        <v>511</v>
      </c>
    </row>
    <row r="179" spans="1:8" ht="19.899999999999999" customHeight="1">
      <c r="A179" s="121">
        <v>46038</v>
      </c>
      <c r="B179" s="112" t="s">
        <v>38</v>
      </c>
      <c r="C179" s="113" t="s">
        <v>1041</v>
      </c>
      <c r="D179" s="112" t="s">
        <v>1040</v>
      </c>
      <c r="E179" s="122">
        <v>1.447916666666667</v>
      </c>
      <c r="F179" s="112" t="s">
        <v>43</v>
      </c>
      <c r="G179" s="114">
        <v>10</v>
      </c>
      <c r="H179" s="115" t="s">
        <v>865</v>
      </c>
    </row>
    <row r="180" spans="1:8" ht="19.899999999999999" customHeight="1">
      <c r="A180" s="121">
        <v>46038</v>
      </c>
      <c r="B180" s="112" t="s">
        <v>68</v>
      </c>
      <c r="C180" s="113" t="s">
        <v>1052</v>
      </c>
      <c r="D180" s="112" t="s">
        <v>1040</v>
      </c>
      <c r="E180" s="122">
        <v>1.336805555555556</v>
      </c>
      <c r="F180" s="112" t="s">
        <v>70</v>
      </c>
      <c r="G180" s="114">
        <v>9</v>
      </c>
      <c r="H180" s="115" t="s">
        <v>1089</v>
      </c>
    </row>
    <row r="181" spans="1:8" ht="19.899999999999999" customHeight="1">
      <c r="A181" s="121">
        <v>46038</v>
      </c>
      <c r="B181" s="112" t="s">
        <v>26</v>
      </c>
      <c r="C181" s="113" t="s">
        <v>1049</v>
      </c>
      <c r="D181" s="112" t="s">
        <v>1040</v>
      </c>
      <c r="E181" s="122">
        <v>1.9722222222222221</v>
      </c>
      <c r="F181" s="112" t="s">
        <v>34</v>
      </c>
      <c r="G181" s="114">
        <v>6</v>
      </c>
      <c r="H181" s="115" t="s">
        <v>653</v>
      </c>
    </row>
    <row r="182" spans="1:8" ht="19.899999999999999" customHeight="1">
      <c r="A182" s="123">
        <v>46038</v>
      </c>
      <c r="B182" s="124" t="s">
        <v>68</v>
      </c>
      <c r="C182" s="125" t="s">
        <v>1054</v>
      </c>
      <c r="D182" s="124" t="s">
        <v>1040</v>
      </c>
      <c r="E182" s="126">
        <v>1.979166666666667</v>
      </c>
      <c r="F182" s="124" t="s">
        <v>70</v>
      </c>
      <c r="G182" s="127">
        <v>9</v>
      </c>
      <c r="H182" s="128" t="s">
        <v>1090</v>
      </c>
    </row>
    <row r="183" spans="1:8" ht="19.899999999999999" customHeight="1">
      <c r="A183" s="143"/>
      <c r="B183" s="144"/>
      <c r="C183" s="144"/>
      <c r="D183" s="144"/>
      <c r="E183" s="144"/>
      <c r="F183" s="145" t="s">
        <v>1142</v>
      </c>
      <c r="G183" s="144"/>
      <c r="H183" s="146"/>
    </row>
    <row r="184" spans="1:8" ht="19.899999999999999" customHeight="1">
      <c r="A184" s="121">
        <v>46039</v>
      </c>
      <c r="B184" s="112" t="s">
        <v>26</v>
      </c>
      <c r="C184" s="113" t="s">
        <v>1047</v>
      </c>
      <c r="D184" s="112" t="s">
        <v>1040</v>
      </c>
      <c r="E184" s="122">
        <v>1.336805555555556</v>
      </c>
      <c r="F184" s="112" t="s">
        <v>28</v>
      </c>
      <c r="G184" s="114">
        <v>9</v>
      </c>
      <c r="H184" s="115" t="s">
        <v>511</v>
      </c>
    </row>
    <row r="185" spans="1:8" ht="19.899999999999999" customHeight="1">
      <c r="A185" s="121">
        <v>46039</v>
      </c>
      <c r="B185" s="112" t="s">
        <v>26</v>
      </c>
      <c r="C185" s="113" t="s">
        <v>1049</v>
      </c>
      <c r="D185" s="112" t="s">
        <v>1040</v>
      </c>
      <c r="E185" s="122">
        <v>1.9722222222222221</v>
      </c>
      <c r="F185" s="112" t="s">
        <v>28</v>
      </c>
      <c r="G185" s="114">
        <v>4</v>
      </c>
      <c r="H185" s="115" t="s">
        <v>511</v>
      </c>
    </row>
    <row r="186" spans="1:8" ht="19.899999999999999" customHeight="1">
      <c r="A186" s="121">
        <v>46039</v>
      </c>
      <c r="B186" s="112" t="s">
        <v>38</v>
      </c>
      <c r="C186" s="113" t="s">
        <v>1041</v>
      </c>
      <c r="D186" s="112" t="s">
        <v>1040</v>
      </c>
      <c r="E186" s="122">
        <v>1.447916666666667</v>
      </c>
      <c r="F186" s="112" t="s">
        <v>40</v>
      </c>
      <c r="G186" s="114">
        <v>23</v>
      </c>
      <c r="H186" s="115" t="s">
        <v>487</v>
      </c>
    </row>
    <row r="187" spans="1:8" ht="19.899999999999999" customHeight="1">
      <c r="A187" s="121">
        <v>46039</v>
      </c>
      <c r="B187" s="112" t="s">
        <v>68</v>
      </c>
      <c r="C187" s="113" t="s">
        <v>1052</v>
      </c>
      <c r="D187" s="112" t="s">
        <v>1040</v>
      </c>
      <c r="E187" s="122">
        <v>1.336805555555556</v>
      </c>
      <c r="F187" s="112" t="s">
        <v>70</v>
      </c>
      <c r="G187" s="114">
        <v>9</v>
      </c>
      <c r="H187" s="115" t="s">
        <v>1063</v>
      </c>
    </row>
    <row r="188" spans="1:8" ht="19.899999999999999" customHeight="1">
      <c r="A188" s="121">
        <v>46039</v>
      </c>
      <c r="B188" s="112" t="s">
        <v>402</v>
      </c>
      <c r="C188" s="113" t="s">
        <v>1057</v>
      </c>
      <c r="D188" s="112" t="s">
        <v>1040</v>
      </c>
      <c r="E188" s="122">
        <v>1.694444444444444</v>
      </c>
      <c r="F188" s="112" t="s">
        <v>63</v>
      </c>
      <c r="G188" s="114">
        <v>8</v>
      </c>
      <c r="H188" s="115" t="s">
        <v>1089</v>
      </c>
    </row>
    <row r="189" spans="1:8" ht="19.899999999999999" customHeight="1">
      <c r="A189" s="121">
        <v>46039</v>
      </c>
      <c r="B189" s="112" t="s">
        <v>61</v>
      </c>
      <c r="C189" s="113" t="s">
        <v>1043</v>
      </c>
      <c r="D189" s="112" t="s">
        <v>1040</v>
      </c>
      <c r="E189" s="122">
        <v>1.7222222222222221</v>
      </c>
      <c r="F189" s="112" t="s">
        <v>63</v>
      </c>
      <c r="G189" s="114">
        <v>9</v>
      </c>
      <c r="H189" s="115" t="s">
        <v>1093</v>
      </c>
    </row>
    <row r="190" spans="1:8" ht="19.899999999999999" customHeight="1">
      <c r="A190" s="121">
        <v>46039</v>
      </c>
      <c r="B190" s="112" t="s">
        <v>26</v>
      </c>
      <c r="C190" s="113" t="s">
        <v>1047</v>
      </c>
      <c r="D190" s="112" t="s">
        <v>1040</v>
      </c>
      <c r="E190" s="122">
        <v>1.336805555555556</v>
      </c>
      <c r="F190" s="112" t="s">
        <v>31</v>
      </c>
      <c r="G190" s="114">
        <v>9</v>
      </c>
      <c r="H190" s="115" t="s">
        <v>47</v>
      </c>
    </row>
    <row r="191" spans="1:8" ht="19.899999999999999" customHeight="1">
      <c r="A191" s="121">
        <v>46039</v>
      </c>
      <c r="B191" s="112" t="s">
        <v>26</v>
      </c>
      <c r="C191" s="113" t="s">
        <v>1049</v>
      </c>
      <c r="D191" s="112" t="s">
        <v>1040</v>
      </c>
      <c r="E191" s="122">
        <v>1.9722222222222221</v>
      </c>
      <c r="F191" s="112" t="s">
        <v>31</v>
      </c>
      <c r="G191" s="114">
        <v>4</v>
      </c>
      <c r="H191" s="115" t="s">
        <v>47</v>
      </c>
    </row>
    <row r="192" spans="1:8" ht="19.899999999999999" customHeight="1">
      <c r="A192" s="121">
        <v>46039</v>
      </c>
      <c r="B192" s="112" t="s">
        <v>359</v>
      </c>
      <c r="C192" s="113" t="s">
        <v>1065</v>
      </c>
      <c r="D192" s="112" t="s">
        <v>1040</v>
      </c>
      <c r="E192" s="122">
        <v>1.7847222222222221</v>
      </c>
      <c r="F192" s="112" t="s">
        <v>361</v>
      </c>
      <c r="G192" s="114">
        <v>9</v>
      </c>
      <c r="H192" s="115" t="s">
        <v>1096</v>
      </c>
    </row>
    <row r="193" spans="1:8" ht="19.899999999999999" customHeight="1">
      <c r="A193" s="123">
        <v>46039</v>
      </c>
      <c r="B193" s="124" t="s">
        <v>38</v>
      </c>
      <c r="C193" s="125" t="s">
        <v>1041</v>
      </c>
      <c r="D193" s="124" t="s">
        <v>1040</v>
      </c>
      <c r="E193" s="126">
        <v>1.447916666666667</v>
      </c>
      <c r="F193" s="124" t="s">
        <v>43</v>
      </c>
      <c r="G193" s="127">
        <v>23</v>
      </c>
      <c r="H193" s="128" t="s">
        <v>105</v>
      </c>
    </row>
    <row r="194" spans="1:8" ht="19.899999999999999" customHeight="1">
      <c r="A194" s="143"/>
      <c r="B194" s="144"/>
      <c r="C194" s="144"/>
      <c r="D194" s="144"/>
      <c r="E194" s="144"/>
      <c r="F194" s="145" t="s">
        <v>1142</v>
      </c>
      <c r="G194" s="144"/>
      <c r="H194" s="146"/>
    </row>
    <row r="195" spans="1:8" ht="19.899999999999999" customHeight="1">
      <c r="A195" s="121">
        <v>46040</v>
      </c>
      <c r="B195" s="112" t="s">
        <v>38</v>
      </c>
      <c r="C195" s="113" t="s">
        <v>1041</v>
      </c>
      <c r="D195" s="112" t="s">
        <v>1040</v>
      </c>
      <c r="E195" s="122">
        <v>1.447916666666667</v>
      </c>
      <c r="F195" s="112" t="s">
        <v>40</v>
      </c>
      <c r="G195" s="114">
        <v>11</v>
      </c>
      <c r="H195" s="115" t="s">
        <v>33</v>
      </c>
    </row>
    <row r="196" spans="1:8" ht="19.899999999999999" customHeight="1">
      <c r="A196" s="121">
        <v>46040</v>
      </c>
      <c r="B196" s="112" t="s">
        <v>26</v>
      </c>
      <c r="C196" s="113" t="s">
        <v>1049</v>
      </c>
      <c r="D196" s="112" t="s">
        <v>1040</v>
      </c>
      <c r="E196" s="122">
        <v>1.9722222222222221</v>
      </c>
      <c r="F196" s="112" t="s">
        <v>28</v>
      </c>
      <c r="G196" s="114">
        <v>2</v>
      </c>
      <c r="H196" s="115" t="s">
        <v>426</v>
      </c>
    </row>
    <row r="197" spans="1:8" ht="19.899999999999999" customHeight="1">
      <c r="A197" s="121">
        <v>46040</v>
      </c>
      <c r="B197" s="112" t="s">
        <v>402</v>
      </c>
      <c r="C197" s="113" t="s">
        <v>1059</v>
      </c>
      <c r="D197" s="112" t="s">
        <v>1040</v>
      </c>
      <c r="E197" s="122">
        <v>1.756944444444444</v>
      </c>
      <c r="F197" s="112" t="s">
        <v>63</v>
      </c>
      <c r="G197" s="114">
        <v>3</v>
      </c>
      <c r="H197" s="115" t="s">
        <v>857</v>
      </c>
    </row>
    <row r="198" spans="1:8" ht="19.899999999999999" customHeight="1">
      <c r="A198" s="121">
        <v>46040</v>
      </c>
      <c r="B198" s="112" t="s">
        <v>26</v>
      </c>
      <c r="C198" s="113" t="s">
        <v>1049</v>
      </c>
      <c r="D198" s="112" t="s">
        <v>1040</v>
      </c>
      <c r="E198" s="122">
        <v>1.9722222222222221</v>
      </c>
      <c r="F198" s="112" t="s">
        <v>31</v>
      </c>
      <c r="G198" s="114">
        <v>2</v>
      </c>
      <c r="H198" s="115" t="s">
        <v>150</v>
      </c>
    </row>
    <row r="199" spans="1:8" ht="19.899999999999999" customHeight="1">
      <c r="A199" s="121">
        <v>46040</v>
      </c>
      <c r="B199" s="112" t="s">
        <v>38</v>
      </c>
      <c r="C199" s="113" t="s">
        <v>1041</v>
      </c>
      <c r="D199" s="112" t="s">
        <v>1040</v>
      </c>
      <c r="E199" s="122">
        <v>1.447916666666667</v>
      </c>
      <c r="F199" s="112" t="s">
        <v>43</v>
      </c>
      <c r="G199" s="114">
        <v>11</v>
      </c>
      <c r="H199" s="115" t="s">
        <v>926</v>
      </c>
    </row>
    <row r="200" spans="1:8" ht="19.899999999999999" customHeight="1">
      <c r="A200" s="121">
        <v>46040</v>
      </c>
      <c r="B200" s="112" t="s">
        <v>415</v>
      </c>
      <c r="C200" s="113" t="s">
        <v>1062</v>
      </c>
      <c r="D200" s="112" t="s">
        <v>1040</v>
      </c>
      <c r="E200" s="122">
        <v>1.006944444444444</v>
      </c>
      <c r="F200" s="112" t="s">
        <v>63</v>
      </c>
      <c r="G200" s="114">
        <v>3</v>
      </c>
      <c r="H200" s="115" t="s">
        <v>1086</v>
      </c>
    </row>
    <row r="201" spans="1:8" ht="19.899999999999999" customHeight="1">
      <c r="A201" s="121">
        <v>46040</v>
      </c>
      <c r="B201" s="112" t="s">
        <v>415</v>
      </c>
      <c r="C201" s="113" t="s">
        <v>1071</v>
      </c>
      <c r="D201" s="112" t="s">
        <v>1040</v>
      </c>
      <c r="E201" s="122">
        <v>1.9201388888888891</v>
      </c>
      <c r="F201" s="112" t="s">
        <v>63</v>
      </c>
      <c r="G201" s="114">
        <v>9</v>
      </c>
      <c r="H201" s="115" t="s">
        <v>1086</v>
      </c>
    </row>
    <row r="202" spans="1:8" ht="19.899999999999999" customHeight="1">
      <c r="A202" s="121">
        <v>46040</v>
      </c>
      <c r="B202" s="112" t="s">
        <v>26</v>
      </c>
      <c r="C202" s="113" t="s">
        <v>1049</v>
      </c>
      <c r="D202" s="112" t="s">
        <v>1040</v>
      </c>
      <c r="E202" s="122">
        <v>1.9722222222222221</v>
      </c>
      <c r="F202" s="112" t="s">
        <v>34</v>
      </c>
      <c r="G202" s="114">
        <v>2</v>
      </c>
      <c r="H202" s="115" t="s">
        <v>178</v>
      </c>
    </row>
    <row r="203" spans="1:8" ht="19.899999999999999" customHeight="1">
      <c r="A203" s="121">
        <v>46040</v>
      </c>
      <c r="B203" s="112" t="s">
        <v>68</v>
      </c>
      <c r="C203" s="113" t="s">
        <v>1052</v>
      </c>
      <c r="D203" s="112" t="s">
        <v>1040</v>
      </c>
      <c r="E203" s="122">
        <v>1.336805555555556</v>
      </c>
      <c r="F203" s="112" t="s">
        <v>70</v>
      </c>
      <c r="G203" s="114">
        <v>9</v>
      </c>
      <c r="H203" s="115" t="s">
        <v>1063</v>
      </c>
    </row>
    <row r="204" spans="1:8" ht="19.899999999999999" customHeight="1">
      <c r="A204" s="123">
        <v>46040</v>
      </c>
      <c r="B204" s="124" t="s">
        <v>68</v>
      </c>
      <c r="C204" s="125" t="s">
        <v>1054</v>
      </c>
      <c r="D204" s="124" t="s">
        <v>1040</v>
      </c>
      <c r="E204" s="126">
        <v>1.979166666666667</v>
      </c>
      <c r="F204" s="124" t="s">
        <v>70</v>
      </c>
      <c r="G204" s="127">
        <v>9</v>
      </c>
      <c r="H204" s="128" t="s">
        <v>1063</v>
      </c>
    </row>
    <row r="205" spans="1:8" ht="19.899999999999999" customHeight="1">
      <c r="A205" s="129">
        <v>46041</v>
      </c>
      <c r="B205" s="117" t="s">
        <v>61</v>
      </c>
      <c r="C205" s="118" t="s">
        <v>1124</v>
      </c>
      <c r="D205" s="117" t="s">
        <v>1123</v>
      </c>
      <c r="E205" s="130">
        <v>1.291666666666667</v>
      </c>
      <c r="F205" s="117" t="s">
        <v>63</v>
      </c>
      <c r="G205" s="119">
        <v>3</v>
      </c>
      <c r="H205" s="120" t="s">
        <v>1076</v>
      </c>
    </row>
    <row r="206" spans="1:8" ht="19.899999999999999" customHeight="1">
      <c r="A206" s="143"/>
      <c r="B206" s="144"/>
      <c r="C206" s="144"/>
      <c r="D206" s="144"/>
      <c r="E206" s="144"/>
      <c r="F206" s="145" t="s">
        <v>1142</v>
      </c>
      <c r="G206" s="144"/>
      <c r="H206" s="146"/>
    </row>
    <row r="207" spans="1:8" ht="19.899999999999999" customHeight="1">
      <c r="A207" s="121">
        <v>46041</v>
      </c>
      <c r="B207" s="112" t="s">
        <v>38</v>
      </c>
      <c r="C207" s="113" t="s">
        <v>1041</v>
      </c>
      <c r="D207" s="112" t="s">
        <v>1040</v>
      </c>
      <c r="E207" s="122">
        <v>1.447916666666667</v>
      </c>
      <c r="F207" s="112" t="s">
        <v>40</v>
      </c>
      <c r="G207" s="114">
        <v>10</v>
      </c>
      <c r="H207" s="115" t="s">
        <v>83</v>
      </c>
    </row>
    <row r="208" spans="1:8" ht="19.899999999999999" customHeight="1">
      <c r="A208" s="121">
        <v>46041</v>
      </c>
      <c r="B208" s="112" t="s">
        <v>26</v>
      </c>
      <c r="C208" s="113" t="s">
        <v>1047</v>
      </c>
      <c r="D208" s="112" t="s">
        <v>1040</v>
      </c>
      <c r="E208" s="122">
        <v>1.336805555555556</v>
      </c>
      <c r="F208" s="112" t="s">
        <v>28</v>
      </c>
      <c r="G208" s="114">
        <v>5</v>
      </c>
      <c r="H208" s="115" t="s">
        <v>349</v>
      </c>
    </row>
    <row r="209" spans="1:8" ht="19.899999999999999" customHeight="1">
      <c r="A209" s="121">
        <v>46041</v>
      </c>
      <c r="B209" s="112" t="s">
        <v>26</v>
      </c>
      <c r="C209" s="113" t="s">
        <v>1049</v>
      </c>
      <c r="D209" s="112" t="s">
        <v>1040</v>
      </c>
      <c r="E209" s="122">
        <v>1.9722222222222221</v>
      </c>
      <c r="F209" s="112" t="s">
        <v>28</v>
      </c>
      <c r="G209" s="114">
        <v>3</v>
      </c>
      <c r="H209" s="115" t="s">
        <v>349</v>
      </c>
    </row>
    <row r="210" spans="1:8" ht="19.899999999999999" customHeight="1">
      <c r="A210" s="121">
        <v>46041</v>
      </c>
      <c r="B210" s="112" t="s">
        <v>68</v>
      </c>
      <c r="C210" s="113" t="s">
        <v>1052</v>
      </c>
      <c r="D210" s="112" t="s">
        <v>1040</v>
      </c>
      <c r="E210" s="122">
        <v>1.336805555555556</v>
      </c>
      <c r="F210" s="112" t="s">
        <v>643</v>
      </c>
      <c r="G210" s="114">
        <v>9</v>
      </c>
      <c r="H210" s="115" t="s">
        <v>1053</v>
      </c>
    </row>
    <row r="211" spans="1:8" ht="19.899999999999999" customHeight="1">
      <c r="A211" s="121">
        <v>46041</v>
      </c>
      <c r="B211" s="112" t="s">
        <v>68</v>
      </c>
      <c r="C211" s="113" t="s">
        <v>1054</v>
      </c>
      <c r="D211" s="112" t="s">
        <v>1040</v>
      </c>
      <c r="E211" s="122">
        <v>1.979166666666667</v>
      </c>
      <c r="F211" s="112" t="s">
        <v>643</v>
      </c>
      <c r="G211" s="114">
        <v>9</v>
      </c>
      <c r="H211" s="115" t="s">
        <v>1053</v>
      </c>
    </row>
    <row r="212" spans="1:8" ht="19.899999999999999" customHeight="1">
      <c r="A212" s="121">
        <v>46041</v>
      </c>
      <c r="B212" s="112" t="s">
        <v>402</v>
      </c>
      <c r="C212" s="113" t="s">
        <v>1064</v>
      </c>
      <c r="D212" s="112" t="s">
        <v>1040</v>
      </c>
      <c r="E212" s="122">
        <v>1.756944444444444</v>
      </c>
      <c r="F212" s="112" t="s">
        <v>63</v>
      </c>
      <c r="G212" s="114">
        <v>4</v>
      </c>
      <c r="H212" s="115" t="s">
        <v>1058</v>
      </c>
    </row>
    <row r="213" spans="1:8" ht="19.899999999999999" customHeight="1">
      <c r="A213" s="121">
        <v>46041</v>
      </c>
      <c r="B213" s="112" t="s">
        <v>26</v>
      </c>
      <c r="C213" s="113" t="s">
        <v>1047</v>
      </c>
      <c r="D213" s="112" t="s">
        <v>1040</v>
      </c>
      <c r="E213" s="122">
        <v>1.336805555555556</v>
      </c>
      <c r="F213" s="112" t="s">
        <v>31</v>
      </c>
      <c r="G213" s="114">
        <v>5</v>
      </c>
      <c r="H213" s="115" t="s">
        <v>35</v>
      </c>
    </row>
    <row r="214" spans="1:8" ht="19.899999999999999" customHeight="1">
      <c r="A214" s="121">
        <v>46041</v>
      </c>
      <c r="B214" s="112" t="s">
        <v>26</v>
      </c>
      <c r="C214" s="113" t="s">
        <v>1049</v>
      </c>
      <c r="D214" s="112" t="s">
        <v>1040</v>
      </c>
      <c r="E214" s="122">
        <v>1.9722222222222221</v>
      </c>
      <c r="F214" s="112" t="s">
        <v>31</v>
      </c>
      <c r="G214" s="114">
        <v>3</v>
      </c>
      <c r="H214" s="115" t="s">
        <v>35</v>
      </c>
    </row>
    <row r="215" spans="1:8" ht="19.899999999999999" customHeight="1">
      <c r="A215" s="121">
        <v>46041</v>
      </c>
      <c r="B215" s="112" t="s">
        <v>38</v>
      </c>
      <c r="C215" s="113" t="s">
        <v>1041</v>
      </c>
      <c r="D215" s="112" t="s">
        <v>1040</v>
      </c>
      <c r="E215" s="122">
        <v>1.447916666666667</v>
      </c>
      <c r="F215" s="112" t="s">
        <v>43</v>
      </c>
      <c r="G215" s="114">
        <v>10</v>
      </c>
      <c r="H215" s="115" t="s">
        <v>162</v>
      </c>
    </row>
    <row r="216" spans="1:8" ht="19.899999999999999" customHeight="1">
      <c r="A216" s="123">
        <v>46041</v>
      </c>
      <c r="B216" s="124" t="s">
        <v>68</v>
      </c>
      <c r="C216" s="125" t="s">
        <v>1056</v>
      </c>
      <c r="D216" s="124" t="s">
        <v>1040</v>
      </c>
      <c r="E216" s="126">
        <v>1.6736111111111109</v>
      </c>
      <c r="F216" s="124" t="s">
        <v>70</v>
      </c>
      <c r="G216" s="127">
        <v>9</v>
      </c>
      <c r="H216" s="128" t="s">
        <v>1001</v>
      </c>
    </row>
    <row r="217" spans="1:8" ht="19.899999999999999" customHeight="1">
      <c r="A217" s="143"/>
      <c r="B217" s="144"/>
      <c r="C217" s="144"/>
      <c r="D217" s="144"/>
      <c r="E217" s="144"/>
      <c r="F217" s="145" t="s">
        <v>1142</v>
      </c>
      <c r="G217" s="144"/>
      <c r="H217" s="146"/>
    </row>
    <row r="218" spans="1:8" ht="19.899999999999999" customHeight="1">
      <c r="A218" s="121">
        <v>46042</v>
      </c>
      <c r="B218" s="112" t="s">
        <v>61</v>
      </c>
      <c r="C218" s="113" t="s">
        <v>1043</v>
      </c>
      <c r="D218" s="112" t="s">
        <v>1040</v>
      </c>
      <c r="E218" s="122">
        <v>1.069444444444444</v>
      </c>
      <c r="F218" s="112" t="s">
        <v>63</v>
      </c>
      <c r="G218" s="114">
        <v>5</v>
      </c>
      <c r="H218" s="115" t="s">
        <v>1044</v>
      </c>
    </row>
    <row r="219" spans="1:8" ht="19.899999999999999" customHeight="1">
      <c r="A219" s="121">
        <v>46042</v>
      </c>
      <c r="B219" s="112" t="s">
        <v>38</v>
      </c>
      <c r="C219" s="113" t="s">
        <v>1041</v>
      </c>
      <c r="D219" s="112" t="s">
        <v>1040</v>
      </c>
      <c r="E219" s="122">
        <v>1.447916666666667</v>
      </c>
      <c r="F219" s="112" t="s">
        <v>40</v>
      </c>
      <c r="G219" s="114">
        <v>10</v>
      </c>
      <c r="H219" s="115" t="s">
        <v>83</v>
      </c>
    </row>
    <row r="220" spans="1:8" ht="19.899999999999999" customHeight="1">
      <c r="A220" s="121">
        <v>46042</v>
      </c>
      <c r="B220" s="112" t="s">
        <v>415</v>
      </c>
      <c r="C220" s="113" t="s">
        <v>1062</v>
      </c>
      <c r="D220" s="112" t="s">
        <v>1040</v>
      </c>
      <c r="E220" s="122">
        <v>1.006944444444444</v>
      </c>
      <c r="F220" s="112" t="s">
        <v>63</v>
      </c>
      <c r="G220" s="114">
        <v>6</v>
      </c>
      <c r="H220" s="115" t="s">
        <v>1051</v>
      </c>
    </row>
    <row r="221" spans="1:8" ht="19.899999999999999" customHeight="1">
      <c r="A221" s="121">
        <v>46042</v>
      </c>
      <c r="B221" s="112" t="s">
        <v>415</v>
      </c>
      <c r="C221" s="113" t="s">
        <v>1050</v>
      </c>
      <c r="D221" s="112" t="s">
        <v>1040</v>
      </c>
      <c r="E221" s="122">
        <v>1.881944444444444</v>
      </c>
      <c r="F221" s="112" t="s">
        <v>63</v>
      </c>
      <c r="G221" s="114">
        <v>3</v>
      </c>
      <c r="H221" s="115" t="s">
        <v>1051</v>
      </c>
    </row>
    <row r="222" spans="1:8" ht="19.899999999999999" customHeight="1">
      <c r="A222" s="121">
        <v>46042</v>
      </c>
      <c r="B222" s="112" t="s">
        <v>26</v>
      </c>
      <c r="C222" s="113" t="s">
        <v>1047</v>
      </c>
      <c r="D222" s="112" t="s">
        <v>1040</v>
      </c>
      <c r="E222" s="122">
        <v>1.336805555555556</v>
      </c>
      <c r="F222" s="112" t="s">
        <v>28</v>
      </c>
      <c r="G222" s="114">
        <v>2</v>
      </c>
      <c r="H222" s="115" t="s">
        <v>426</v>
      </c>
    </row>
    <row r="223" spans="1:8" ht="19.899999999999999" customHeight="1">
      <c r="A223" s="121">
        <v>46042</v>
      </c>
      <c r="B223" s="112" t="s">
        <v>26</v>
      </c>
      <c r="C223" s="113" t="s">
        <v>1049</v>
      </c>
      <c r="D223" s="112" t="s">
        <v>1040</v>
      </c>
      <c r="E223" s="122">
        <v>1.9722222222222221</v>
      </c>
      <c r="F223" s="112" t="s">
        <v>28</v>
      </c>
      <c r="G223" s="114">
        <v>5</v>
      </c>
      <c r="H223" s="115" t="s">
        <v>426</v>
      </c>
    </row>
    <row r="224" spans="1:8" ht="19.899999999999999" customHeight="1">
      <c r="A224" s="121">
        <v>46042</v>
      </c>
      <c r="B224" s="112" t="s">
        <v>68</v>
      </c>
      <c r="C224" s="113" t="s">
        <v>1052</v>
      </c>
      <c r="D224" s="112" t="s">
        <v>1040</v>
      </c>
      <c r="E224" s="122">
        <v>1.336805555555556</v>
      </c>
      <c r="F224" s="112" t="s">
        <v>643</v>
      </c>
      <c r="G224" s="114">
        <v>9</v>
      </c>
      <c r="H224" s="115" t="s">
        <v>1053</v>
      </c>
    </row>
    <row r="225" spans="1:8" ht="19.899999999999999" customHeight="1">
      <c r="A225" s="121">
        <v>46042</v>
      </c>
      <c r="B225" s="112" t="s">
        <v>68</v>
      </c>
      <c r="C225" s="113" t="s">
        <v>1054</v>
      </c>
      <c r="D225" s="112" t="s">
        <v>1040</v>
      </c>
      <c r="E225" s="122">
        <v>1.979166666666667</v>
      </c>
      <c r="F225" s="112" t="s">
        <v>643</v>
      </c>
      <c r="G225" s="114">
        <v>9</v>
      </c>
      <c r="H225" s="115" t="s">
        <v>1053</v>
      </c>
    </row>
    <row r="226" spans="1:8" ht="19.899999999999999" customHeight="1">
      <c r="A226" s="121">
        <v>46042</v>
      </c>
      <c r="B226" s="112" t="s">
        <v>402</v>
      </c>
      <c r="C226" s="113" t="s">
        <v>1057</v>
      </c>
      <c r="D226" s="112" t="s">
        <v>1040</v>
      </c>
      <c r="E226" s="122">
        <v>1.756944444444444</v>
      </c>
      <c r="F226" s="112" t="s">
        <v>63</v>
      </c>
      <c r="G226" s="114">
        <v>6</v>
      </c>
      <c r="H226" s="115" t="s">
        <v>1058</v>
      </c>
    </row>
    <row r="227" spans="1:8" ht="19.899999999999999" customHeight="1">
      <c r="A227" s="123">
        <v>46042</v>
      </c>
      <c r="B227" s="124" t="s">
        <v>38</v>
      </c>
      <c r="C227" s="125" t="s">
        <v>1041</v>
      </c>
      <c r="D227" s="124" t="s">
        <v>1040</v>
      </c>
      <c r="E227" s="126">
        <v>1.447916666666667</v>
      </c>
      <c r="F227" s="124" t="s">
        <v>43</v>
      </c>
      <c r="G227" s="127">
        <v>10</v>
      </c>
      <c r="H227" s="128" t="s">
        <v>162</v>
      </c>
    </row>
    <row r="228" spans="1:8" ht="19.899999999999999" customHeight="1">
      <c r="A228" s="143"/>
      <c r="B228" s="144"/>
      <c r="C228" s="144"/>
      <c r="D228" s="144"/>
      <c r="E228" s="144"/>
      <c r="F228" s="145" t="s">
        <v>1142</v>
      </c>
      <c r="G228" s="144"/>
      <c r="H228" s="146"/>
    </row>
    <row r="229" spans="1:8" ht="19.899999999999999" customHeight="1">
      <c r="A229" s="121">
        <v>46043</v>
      </c>
      <c r="B229" s="112" t="s">
        <v>38</v>
      </c>
      <c r="C229" s="113" t="s">
        <v>1041</v>
      </c>
      <c r="D229" s="112" t="s">
        <v>1040</v>
      </c>
      <c r="E229" s="122">
        <v>1.447916666666667</v>
      </c>
      <c r="F229" s="112" t="s">
        <v>40</v>
      </c>
      <c r="G229" s="114">
        <v>10</v>
      </c>
      <c r="H229" s="115" t="s">
        <v>83</v>
      </c>
    </row>
    <row r="230" spans="1:8" ht="19.899999999999999" customHeight="1">
      <c r="A230" s="121">
        <v>46043</v>
      </c>
      <c r="B230" s="112" t="s">
        <v>26</v>
      </c>
      <c r="C230" s="113" t="s">
        <v>1049</v>
      </c>
      <c r="D230" s="112" t="s">
        <v>1040</v>
      </c>
      <c r="E230" s="122">
        <v>1.9722222222222221</v>
      </c>
      <c r="F230" s="112" t="s">
        <v>28</v>
      </c>
      <c r="G230" s="114">
        <v>1</v>
      </c>
      <c r="H230" s="115" t="s">
        <v>349</v>
      </c>
    </row>
    <row r="231" spans="1:8" ht="19.899999999999999" customHeight="1">
      <c r="A231" s="121">
        <v>46043</v>
      </c>
      <c r="B231" s="112" t="s">
        <v>359</v>
      </c>
      <c r="C231" s="113" t="s">
        <v>1065</v>
      </c>
      <c r="D231" s="112" t="s">
        <v>1040</v>
      </c>
      <c r="E231" s="122">
        <v>1.7847222222222221</v>
      </c>
      <c r="F231" s="112" t="s">
        <v>361</v>
      </c>
      <c r="G231" s="114">
        <v>9</v>
      </c>
      <c r="H231" s="115" t="s">
        <v>1100</v>
      </c>
    </row>
    <row r="232" spans="1:8" ht="19.899999999999999" customHeight="1">
      <c r="A232" s="121">
        <v>46043</v>
      </c>
      <c r="B232" s="112" t="s">
        <v>68</v>
      </c>
      <c r="C232" s="113" t="s">
        <v>1052</v>
      </c>
      <c r="D232" s="112" t="s">
        <v>1040</v>
      </c>
      <c r="E232" s="122">
        <v>1.336805555555556</v>
      </c>
      <c r="F232" s="112" t="s">
        <v>643</v>
      </c>
      <c r="G232" s="114">
        <v>9</v>
      </c>
      <c r="H232" s="115" t="s">
        <v>1053</v>
      </c>
    </row>
    <row r="233" spans="1:8" ht="19.899999999999999" customHeight="1">
      <c r="A233" s="121">
        <v>46043</v>
      </c>
      <c r="B233" s="112" t="s">
        <v>68</v>
      </c>
      <c r="C233" s="113" t="s">
        <v>1054</v>
      </c>
      <c r="D233" s="112" t="s">
        <v>1040</v>
      </c>
      <c r="E233" s="122">
        <v>1.979166666666667</v>
      </c>
      <c r="F233" s="112" t="s">
        <v>643</v>
      </c>
      <c r="G233" s="114">
        <v>9</v>
      </c>
      <c r="H233" s="115" t="s">
        <v>1053</v>
      </c>
    </row>
    <row r="234" spans="1:8" ht="19.899999999999999" customHeight="1">
      <c r="A234" s="121">
        <v>46043</v>
      </c>
      <c r="B234" s="112" t="s">
        <v>68</v>
      </c>
      <c r="C234" s="113" t="s">
        <v>1056</v>
      </c>
      <c r="D234" s="112" t="s">
        <v>1040</v>
      </c>
      <c r="E234" s="122">
        <v>1.6736111111111109</v>
      </c>
      <c r="F234" s="112" t="s">
        <v>643</v>
      </c>
      <c r="G234" s="114">
        <v>9</v>
      </c>
      <c r="H234" s="115" t="s">
        <v>1053</v>
      </c>
    </row>
    <row r="235" spans="1:8" ht="19.899999999999999" customHeight="1">
      <c r="A235" s="121">
        <v>46043</v>
      </c>
      <c r="B235" s="112" t="s">
        <v>402</v>
      </c>
      <c r="C235" s="113" t="s">
        <v>1064</v>
      </c>
      <c r="D235" s="112" t="s">
        <v>1040</v>
      </c>
      <c r="E235" s="122">
        <v>1.694444444444444</v>
      </c>
      <c r="F235" s="112" t="s">
        <v>63</v>
      </c>
      <c r="G235" s="114">
        <v>6</v>
      </c>
      <c r="H235" s="115" t="s">
        <v>1058</v>
      </c>
    </row>
    <row r="236" spans="1:8" ht="19.899999999999999" customHeight="1">
      <c r="A236" s="121">
        <v>46043</v>
      </c>
      <c r="B236" s="112" t="s">
        <v>26</v>
      </c>
      <c r="C236" s="113" t="s">
        <v>1049</v>
      </c>
      <c r="D236" s="112" t="s">
        <v>1040</v>
      </c>
      <c r="E236" s="122">
        <v>1.9722222222222221</v>
      </c>
      <c r="F236" s="112" t="s">
        <v>31</v>
      </c>
      <c r="G236" s="114">
        <v>1</v>
      </c>
      <c r="H236" s="115" t="s">
        <v>35</v>
      </c>
    </row>
    <row r="237" spans="1:8" ht="19.899999999999999" customHeight="1">
      <c r="A237" s="121">
        <v>46043</v>
      </c>
      <c r="B237" s="112" t="s">
        <v>38</v>
      </c>
      <c r="C237" s="113" t="s">
        <v>1041</v>
      </c>
      <c r="D237" s="112" t="s">
        <v>1040</v>
      </c>
      <c r="E237" s="122">
        <v>1.447916666666667</v>
      </c>
      <c r="F237" s="112" t="s">
        <v>43</v>
      </c>
      <c r="G237" s="114">
        <v>10</v>
      </c>
      <c r="H237" s="115" t="s">
        <v>162</v>
      </c>
    </row>
    <row r="238" spans="1:8" ht="19.899999999999999" customHeight="1">
      <c r="A238" s="123">
        <v>46043</v>
      </c>
      <c r="B238" s="124" t="s">
        <v>26</v>
      </c>
      <c r="C238" s="125" t="s">
        <v>1049</v>
      </c>
      <c r="D238" s="124" t="s">
        <v>1040</v>
      </c>
      <c r="E238" s="126">
        <v>1.9722222222222221</v>
      </c>
      <c r="F238" s="124" t="s">
        <v>34</v>
      </c>
      <c r="G238" s="127">
        <v>1</v>
      </c>
      <c r="H238" s="128" t="s">
        <v>503</v>
      </c>
    </row>
    <row r="239" spans="1:8" ht="19.899999999999999" customHeight="1">
      <c r="A239" s="143"/>
      <c r="B239" s="144"/>
      <c r="C239" s="144"/>
      <c r="D239" s="144"/>
      <c r="E239" s="144"/>
      <c r="F239" s="145" t="s">
        <v>1142</v>
      </c>
      <c r="G239" s="144"/>
      <c r="H239" s="146"/>
    </row>
    <row r="240" spans="1:8" ht="19.899999999999999" customHeight="1">
      <c r="A240" s="121">
        <v>46044</v>
      </c>
      <c r="B240" s="112" t="s">
        <v>38</v>
      </c>
      <c r="C240" s="113" t="s">
        <v>1041</v>
      </c>
      <c r="D240" s="112" t="s">
        <v>1040</v>
      </c>
      <c r="E240" s="122">
        <v>1.447916666666667</v>
      </c>
      <c r="F240" s="112" t="s">
        <v>40</v>
      </c>
      <c r="G240" s="114">
        <v>10</v>
      </c>
      <c r="H240" s="115" t="s">
        <v>83</v>
      </c>
    </row>
    <row r="241" spans="1:8" ht="19.899999999999999" customHeight="1">
      <c r="A241" s="121">
        <v>46044</v>
      </c>
      <c r="B241" s="112" t="s">
        <v>26</v>
      </c>
      <c r="C241" s="113" t="s">
        <v>1047</v>
      </c>
      <c r="D241" s="112" t="s">
        <v>1040</v>
      </c>
      <c r="E241" s="122">
        <v>1.336805555555556</v>
      </c>
      <c r="F241" s="112" t="s">
        <v>28</v>
      </c>
      <c r="G241" s="114">
        <v>4</v>
      </c>
      <c r="H241" s="115" t="s">
        <v>349</v>
      </c>
    </row>
    <row r="242" spans="1:8" ht="19.899999999999999" customHeight="1">
      <c r="A242" s="121">
        <v>46044</v>
      </c>
      <c r="B242" s="112" t="s">
        <v>415</v>
      </c>
      <c r="C242" s="113" t="s">
        <v>1050</v>
      </c>
      <c r="D242" s="112" t="s">
        <v>1040</v>
      </c>
      <c r="E242" s="122">
        <v>1.756944444444444</v>
      </c>
      <c r="F242" s="112" t="s">
        <v>63</v>
      </c>
      <c r="G242" s="114">
        <v>7</v>
      </c>
      <c r="H242" s="115" t="s">
        <v>1051</v>
      </c>
    </row>
    <row r="243" spans="1:8" ht="19.899999999999999" customHeight="1">
      <c r="A243" s="121">
        <v>46044</v>
      </c>
      <c r="B243" s="112" t="s">
        <v>26</v>
      </c>
      <c r="C243" s="113" t="s">
        <v>1049</v>
      </c>
      <c r="D243" s="112" t="s">
        <v>1040</v>
      </c>
      <c r="E243" s="122">
        <v>1.9722222222222221</v>
      </c>
      <c r="F243" s="112" t="s">
        <v>28</v>
      </c>
      <c r="G243" s="114">
        <v>2</v>
      </c>
      <c r="H243" s="115" t="s">
        <v>426</v>
      </c>
    </row>
    <row r="244" spans="1:8" ht="19.899999999999999" customHeight="1">
      <c r="A244" s="121">
        <v>46044</v>
      </c>
      <c r="B244" s="112" t="s">
        <v>61</v>
      </c>
      <c r="C244" s="113" t="s">
        <v>1043</v>
      </c>
      <c r="D244" s="112" t="s">
        <v>1040</v>
      </c>
      <c r="E244" s="122">
        <v>1.7222222222222221</v>
      </c>
      <c r="F244" s="112" t="s">
        <v>63</v>
      </c>
      <c r="G244" s="114">
        <v>9</v>
      </c>
      <c r="H244" s="115" t="s">
        <v>1068</v>
      </c>
    </row>
    <row r="245" spans="1:8" ht="19.899999999999999" customHeight="1">
      <c r="A245" s="121">
        <v>46044</v>
      </c>
      <c r="B245" s="112" t="s">
        <v>68</v>
      </c>
      <c r="C245" s="113" t="s">
        <v>1052</v>
      </c>
      <c r="D245" s="112" t="s">
        <v>1040</v>
      </c>
      <c r="E245" s="122">
        <v>1.336805555555556</v>
      </c>
      <c r="F245" s="112" t="s">
        <v>643</v>
      </c>
      <c r="G245" s="114">
        <v>9</v>
      </c>
      <c r="H245" s="115" t="s">
        <v>1053</v>
      </c>
    </row>
    <row r="246" spans="1:8" ht="19.899999999999999" customHeight="1">
      <c r="A246" s="121">
        <v>46044</v>
      </c>
      <c r="B246" s="112" t="s">
        <v>402</v>
      </c>
      <c r="C246" s="113" t="s">
        <v>1057</v>
      </c>
      <c r="D246" s="112" t="s">
        <v>1040</v>
      </c>
      <c r="E246" s="122">
        <v>1.756944444444444</v>
      </c>
      <c r="F246" s="112" t="s">
        <v>63</v>
      </c>
      <c r="G246" s="114">
        <v>2</v>
      </c>
      <c r="H246" s="115" t="s">
        <v>1058</v>
      </c>
    </row>
    <row r="247" spans="1:8" ht="19.899999999999999" customHeight="1">
      <c r="A247" s="121">
        <v>46044</v>
      </c>
      <c r="B247" s="112" t="s">
        <v>402</v>
      </c>
      <c r="C247" s="113" t="s">
        <v>1059</v>
      </c>
      <c r="D247" s="112" t="s">
        <v>1040</v>
      </c>
      <c r="E247" s="122">
        <v>1.3611111111111109</v>
      </c>
      <c r="F247" s="112" t="s">
        <v>63</v>
      </c>
      <c r="G247" s="114">
        <v>6</v>
      </c>
      <c r="H247" s="115" t="s">
        <v>1058</v>
      </c>
    </row>
    <row r="248" spans="1:8" ht="19.899999999999999" customHeight="1">
      <c r="A248" s="121">
        <v>46044</v>
      </c>
      <c r="B248" s="112" t="s">
        <v>26</v>
      </c>
      <c r="C248" s="113" t="s">
        <v>1047</v>
      </c>
      <c r="D248" s="112" t="s">
        <v>1040</v>
      </c>
      <c r="E248" s="122">
        <v>1.336805555555556</v>
      </c>
      <c r="F248" s="112" t="s">
        <v>31</v>
      </c>
      <c r="G248" s="114">
        <v>4</v>
      </c>
      <c r="H248" s="115" t="s">
        <v>35</v>
      </c>
    </row>
    <row r="249" spans="1:8" ht="19.899999999999999" customHeight="1">
      <c r="A249" s="123">
        <v>46044</v>
      </c>
      <c r="B249" s="124" t="s">
        <v>68</v>
      </c>
      <c r="C249" s="125" t="s">
        <v>1056</v>
      </c>
      <c r="D249" s="124" t="s">
        <v>1040</v>
      </c>
      <c r="E249" s="126">
        <v>1.6736111111111109</v>
      </c>
      <c r="F249" s="124" t="s">
        <v>70</v>
      </c>
      <c r="G249" s="127">
        <v>9</v>
      </c>
      <c r="H249" s="128" t="s">
        <v>1055</v>
      </c>
    </row>
    <row r="250" spans="1:8" ht="19.899999999999999" customHeight="1">
      <c r="A250" s="129">
        <v>46045</v>
      </c>
      <c r="B250" s="117" t="s">
        <v>61</v>
      </c>
      <c r="C250" s="118" t="s">
        <v>1124</v>
      </c>
      <c r="D250" s="117" t="s">
        <v>1123</v>
      </c>
      <c r="E250" s="130">
        <v>1.072916666666667</v>
      </c>
      <c r="F250" s="117" t="s">
        <v>63</v>
      </c>
      <c r="G250" s="119">
        <v>8</v>
      </c>
      <c r="H250" s="120" t="s">
        <v>711</v>
      </c>
    </row>
    <row r="251" spans="1:8" ht="19.899999999999999" customHeight="1">
      <c r="A251" s="143"/>
      <c r="B251" s="144"/>
      <c r="C251" s="144"/>
      <c r="D251" s="144"/>
      <c r="E251" s="144"/>
      <c r="F251" s="145" t="s">
        <v>1142</v>
      </c>
      <c r="G251" s="144"/>
      <c r="H251" s="146"/>
    </row>
    <row r="252" spans="1:8" ht="19.899999999999999" customHeight="1">
      <c r="A252" s="121">
        <v>46045</v>
      </c>
      <c r="B252" s="112" t="s">
        <v>38</v>
      </c>
      <c r="C252" s="113" t="s">
        <v>1041</v>
      </c>
      <c r="D252" s="112" t="s">
        <v>1040</v>
      </c>
      <c r="E252" s="122">
        <v>1.447916666666667</v>
      </c>
      <c r="F252" s="112" t="s">
        <v>40</v>
      </c>
      <c r="G252" s="114">
        <v>10</v>
      </c>
      <c r="H252" s="115" t="s">
        <v>83</v>
      </c>
    </row>
    <row r="253" spans="1:8" ht="19.899999999999999" customHeight="1">
      <c r="A253" s="121">
        <v>46045</v>
      </c>
      <c r="B253" s="112" t="s">
        <v>415</v>
      </c>
      <c r="C253" s="113" t="s">
        <v>1062</v>
      </c>
      <c r="D253" s="112" t="s">
        <v>1040</v>
      </c>
      <c r="E253" s="122">
        <v>1.006944444444444</v>
      </c>
      <c r="F253" s="112" t="s">
        <v>63</v>
      </c>
      <c r="G253" s="114">
        <v>2</v>
      </c>
      <c r="H253" s="115" t="s">
        <v>1051</v>
      </c>
    </row>
    <row r="254" spans="1:8" ht="19.899999999999999" customHeight="1">
      <c r="A254" s="121">
        <v>46045</v>
      </c>
      <c r="B254" s="112" t="s">
        <v>26</v>
      </c>
      <c r="C254" s="113" t="s">
        <v>1049</v>
      </c>
      <c r="D254" s="112" t="s">
        <v>1040</v>
      </c>
      <c r="E254" s="122">
        <v>1.9722222222222221</v>
      </c>
      <c r="F254" s="112" t="s">
        <v>28</v>
      </c>
      <c r="G254" s="114">
        <v>4</v>
      </c>
      <c r="H254" s="115" t="s">
        <v>426</v>
      </c>
    </row>
    <row r="255" spans="1:8" ht="19.899999999999999" customHeight="1">
      <c r="A255" s="121">
        <v>46045</v>
      </c>
      <c r="B255" s="112" t="s">
        <v>68</v>
      </c>
      <c r="C255" s="113" t="s">
        <v>1052</v>
      </c>
      <c r="D255" s="112" t="s">
        <v>1040</v>
      </c>
      <c r="E255" s="122">
        <v>1.336805555555556</v>
      </c>
      <c r="F255" s="112" t="s">
        <v>643</v>
      </c>
      <c r="G255" s="114">
        <v>9</v>
      </c>
      <c r="H255" s="115" t="s">
        <v>830</v>
      </c>
    </row>
    <row r="256" spans="1:8" ht="19.899999999999999" customHeight="1">
      <c r="A256" s="121">
        <v>46045</v>
      </c>
      <c r="B256" s="112" t="s">
        <v>61</v>
      </c>
      <c r="C256" s="113" t="s">
        <v>1043</v>
      </c>
      <c r="D256" s="112" t="s">
        <v>1040</v>
      </c>
      <c r="E256" s="122">
        <v>1.381944444444444</v>
      </c>
      <c r="F256" s="112" t="s">
        <v>63</v>
      </c>
      <c r="G256" s="114">
        <v>1</v>
      </c>
      <c r="H256" s="115" t="s">
        <v>138</v>
      </c>
    </row>
    <row r="257" spans="1:8" ht="19.899999999999999" customHeight="1">
      <c r="A257" s="121">
        <v>46045</v>
      </c>
      <c r="B257" s="112" t="s">
        <v>402</v>
      </c>
      <c r="C257" s="113" t="s">
        <v>1064</v>
      </c>
      <c r="D257" s="112" t="s">
        <v>1040</v>
      </c>
      <c r="E257" s="122">
        <v>1.756944444444444</v>
      </c>
      <c r="F257" s="112" t="s">
        <v>63</v>
      </c>
      <c r="G257" s="114">
        <v>5</v>
      </c>
      <c r="H257" s="115" t="s">
        <v>1058</v>
      </c>
    </row>
    <row r="258" spans="1:8" ht="19.899999999999999" customHeight="1">
      <c r="A258" s="121">
        <v>46045</v>
      </c>
      <c r="B258" s="112" t="s">
        <v>68</v>
      </c>
      <c r="C258" s="113" t="s">
        <v>1054</v>
      </c>
      <c r="D258" s="112" t="s">
        <v>1040</v>
      </c>
      <c r="E258" s="122">
        <v>1.979166666666667</v>
      </c>
      <c r="F258" s="112" t="s">
        <v>70</v>
      </c>
      <c r="G258" s="114">
        <v>9</v>
      </c>
      <c r="H258" s="115" t="s">
        <v>1055</v>
      </c>
    </row>
    <row r="259" spans="1:8" ht="19.899999999999999" customHeight="1">
      <c r="A259" s="121">
        <v>46045</v>
      </c>
      <c r="B259" s="112" t="s">
        <v>38</v>
      </c>
      <c r="C259" s="113" t="s">
        <v>1041</v>
      </c>
      <c r="D259" s="112" t="s">
        <v>1040</v>
      </c>
      <c r="E259" s="122">
        <v>1.447916666666667</v>
      </c>
      <c r="F259" s="112" t="s">
        <v>43</v>
      </c>
      <c r="G259" s="114">
        <v>10</v>
      </c>
      <c r="H259" s="115" t="s">
        <v>162</v>
      </c>
    </row>
    <row r="260" spans="1:8" ht="19.899999999999999" customHeight="1">
      <c r="A260" s="121">
        <v>46045</v>
      </c>
      <c r="B260" s="112" t="s">
        <v>26</v>
      </c>
      <c r="C260" s="113" t="s">
        <v>1049</v>
      </c>
      <c r="D260" s="112" t="s">
        <v>1040</v>
      </c>
      <c r="E260" s="122">
        <v>1.9722222222222221</v>
      </c>
      <c r="F260" s="112" t="s">
        <v>31</v>
      </c>
      <c r="G260" s="114">
        <v>4</v>
      </c>
      <c r="H260" s="115" t="s">
        <v>150</v>
      </c>
    </row>
    <row r="261" spans="1:8" ht="19.899999999999999" customHeight="1">
      <c r="A261" s="123">
        <v>46045</v>
      </c>
      <c r="B261" s="124" t="s">
        <v>26</v>
      </c>
      <c r="C261" s="125" t="s">
        <v>1049</v>
      </c>
      <c r="D261" s="124" t="s">
        <v>1040</v>
      </c>
      <c r="E261" s="126">
        <v>1.9722222222222221</v>
      </c>
      <c r="F261" s="124" t="s">
        <v>34</v>
      </c>
      <c r="G261" s="127">
        <v>4</v>
      </c>
      <c r="H261" s="128" t="s">
        <v>178</v>
      </c>
    </row>
    <row r="262" spans="1:8" ht="19.899999999999999" customHeight="1">
      <c r="A262" s="143"/>
      <c r="B262" s="144"/>
      <c r="C262" s="144"/>
      <c r="D262" s="144"/>
      <c r="E262" s="144"/>
      <c r="F262" s="145" t="s">
        <v>1142</v>
      </c>
      <c r="G262" s="144"/>
      <c r="H262" s="146"/>
    </row>
    <row r="263" spans="1:8" ht="19.899999999999999" customHeight="1">
      <c r="A263" s="121">
        <v>46046</v>
      </c>
      <c r="B263" s="112" t="s">
        <v>38</v>
      </c>
      <c r="C263" s="113" t="s">
        <v>1041</v>
      </c>
      <c r="D263" s="112" t="s">
        <v>1040</v>
      </c>
      <c r="E263" s="122">
        <v>1.447916666666667</v>
      </c>
      <c r="F263" s="112" t="s">
        <v>40</v>
      </c>
      <c r="G263" s="114">
        <v>10</v>
      </c>
      <c r="H263" s="115" t="s">
        <v>83</v>
      </c>
    </row>
    <row r="264" spans="1:8" ht="19.899999999999999" customHeight="1">
      <c r="A264" s="121">
        <v>46046</v>
      </c>
      <c r="B264" s="112" t="s">
        <v>26</v>
      </c>
      <c r="C264" s="113" t="s">
        <v>1047</v>
      </c>
      <c r="D264" s="112" t="s">
        <v>1040</v>
      </c>
      <c r="E264" s="122">
        <v>1.336805555555556</v>
      </c>
      <c r="F264" s="112" t="s">
        <v>28</v>
      </c>
      <c r="G264" s="114">
        <v>3</v>
      </c>
      <c r="H264" s="115" t="s">
        <v>349</v>
      </c>
    </row>
    <row r="265" spans="1:8" ht="19.899999999999999" customHeight="1">
      <c r="A265" s="121">
        <v>46046</v>
      </c>
      <c r="B265" s="112" t="s">
        <v>26</v>
      </c>
      <c r="C265" s="113" t="s">
        <v>1049</v>
      </c>
      <c r="D265" s="112" t="s">
        <v>1040</v>
      </c>
      <c r="E265" s="122">
        <v>1.9722222222222221</v>
      </c>
      <c r="F265" s="112" t="s">
        <v>28</v>
      </c>
      <c r="G265" s="114">
        <v>3</v>
      </c>
      <c r="H265" s="115" t="s">
        <v>426</v>
      </c>
    </row>
    <row r="266" spans="1:8" ht="19.899999999999999" customHeight="1">
      <c r="A266" s="121">
        <v>46046</v>
      </c>
      <c r="B266" s="112" t="s">
        <v>61</v>
      </c>
      <c r="C266" s="113" t="s">
        <v>1043</v>
      </c>
      <c r="D266" s="112" t="s">
        <v>1040</v>
      </c>
      <c r="E266" s="122">
        <v>1.7222222222222221</v>
      </c>
      <c r="F266" s="112" t="s">
        <v>63</v>
      </c>
      <c r="G266" s="114">
        <v>2</v>
      </c>
      <c r="H266" s="115" t="s">
        <v>1068</v>
      </c>
    </row>
    <row r="267" spans="1:8" ht="19.899999999999999" customHeight="1">
      <c r="A267" s="121">
        <v>46046</v>
      </c>
      <c r="B267" s="112" t="s">
        <v>415</v>
      </c>
      <c r="C267" s="113" t="s">
        <v>1050</v>
      </c>
      <c r="D267" s="112" t="s">
        <v>1040</v>
      </c>
      <c r="E267" s="122">
        <v>1.3402777777777779</v>
      </c>
      <c r="F267" s="112" t="s">
        <v>63</v>
      </c>
      <c r="G267" s="114">
        <v>7</v>
      </c>
      <c r="H267" s="115" t="s">
        <v>133</v>
      </c>
    </row>
    <row r="268" spans="1:8" ht="19.899999999999999" customHeight="1">
      <c r="A268" s="121">
        <v>46046</v>
      </c>
      <c r="B268" s="112" t="s">
        <v>359</v>
      </c>
      <c r="C268" s="113" t="s">
        <v>1065</v>
      </c>
      <c r="D268" s="112" t="s">
        <v>1040</v>
      </c>
      <c r="E268" s="122">
        <v>1.7847222222222221</v>
      </c>
      <c r="F268" s="112" t="s">
        <v>361</v>
      </c>
      <c r="G268" s="114">
        <v>9</v>
      </c>
      <c r="H268" s="115" t="s">
        <v>1080</v>
      </c>
    </row>
    <row r="269" spans="1:8" ht="19.899999999999999" customHeight="1">
      <c r="A269" s="121">
        <v>46046</v>
      </c>
      <c r="B269" s="112" t="s">
        <v>402</v>
      </c>
      <c r="C269" s="113" t="s">
        <v>1057</v>
      </c>
      <c r="D269" s="112" t="s">
        <v>1040</v>
      </c>
      <c r="E269" s="122">
        <v>1.694444444444444</v>
      </c>
      <c r="F269" s="112" t="s">
        <v>63</v>
      </c>
      <c r="G269" s="114">
        <v>3</v>
      </c>
      <c r="H269" s="115" t="s">
        <v>1058</v>
      </c>
    </row>
    <row r="270" spans="1:8" ht="19.899999999999999" customHeight="1">
      <c r="A270" s="121">
        <v>46046</v>
      </c>
      <c r="B270" s="112" t="s">
        <v>26</v>
      </c>
      <c r="C270" s="113" t="s">
        <v>1047</v>
      </c>
      <c r="D270" s="112" t="s">
        <v>1040</v>
      </c>
      <c r="E270" s="122">
        <v>1.336805555555556</v>
      </c>
      <c r="F270" s="112" t="s">
        <v>31</v>
      </c>
      <c r="G270" s="114">
        <v>3</v>
      </c>
      <c r="H270" s="115" t="s">
        <v>35</v>
      </c>
    </row>
    <row r="271" spans="1:8" ht="19.899999999999999" customHeight="1">
      <c r="A271" s="121">
        <v>46046</v>
      </c>
      <c r="B271" s="112" t="s">
        <v>68</v>
      </c>
      <c r="C271" s="113" t="s">
        <v>1052</v>
      </c>
      <c r="D271" s="112" t="s">
        <v>1040</v>
      </c>
      <c r="E271" s="122">
        <v>1.336805555555556</v>
      </c>
      <c r="F271" s="112" t="s">
        <v>70</v>
      </c>
      <c r="G271" s="114">
        <v>9</v>
      </c>
      <c r="H271" s="115" t="s">
        <v>1055</v>
      </c>
    </row>
    <row r="272" spans="1:8" ht="19.899999999999999" customHeight="1">
      <c r="A272" s="123">
        <v>46046</v>
      </c>
      <c r="B272" s="124" t="s">
        <v>68</v>
      </c>
      <c r="C272" s="125" t="s">
        <v>1054</v>
      </c>
      <c r="D272" s="124" t="s">
        <v>1040</v>
      </c>
      <c r="E272" s="126">
        <v>1.979166666666667</v>
      </c>
      <c r="F272" s="124" t="s">
        <v>70</v>
      </c>
      <c r="G272" s="127">
        <v>9</v>
      </c>
      <c r="H272" s="128" t="s">
        <v>1055</v>
      </c>
    </row>
    <row r="273" spans="1:8" ht="19.899999999999999" customHeight="1">
      <c r="A273" s="143"/>
      <c r="B273" s="144"/>
      <c r="C273" s="144"/>
      <c r="D273" s="144"/>
      <c r="E273" s="144"/>
      <c r="F273" s="145" t="s">
        <v>1142</v>
      </c>
      <c r="G273" s="144"/>
      <c r="H273" s="146"/>
    </row>
    <row r="274" spans="1:8" ht="19.899999999999999" customHeight="1">
      <c r="A274" s="121">
        <v>46047</v>
      </c>
      <c r="B274" s="112" t="s">
        <v>38</v>
      </c>
      <c r="C274" s="113" t="s">
        <v>1041</v>
      </c>
      <c r="D274" s="112" t="s">
        <v>1040</v>
      </c>
      <c r="E274" s="122">
        <v>1.447916666666667</v>
      </c>
      <c r="F274" s="112" t="s">
        <v>40</v>
      </c>
      <c r="G274" s="114">
        <v>10</v>
      </c>
      <c r="H274" s="115" t="s">
        <v>83</v>
      </c>
    </row>
    <row r="275" spans="1:8" ht="19.899999999999999" customHeight="1">
      <c r="A275" s="121">
        <v>46047</v>
      </c>
      <c r="B275" s="112" t="s">
        <v>415</v>
      </c>
      <c r="C275" s="113" t="s">
        <v>1071</v>
      </c>
      <c r="D275" s="112" t="s">
        <v>1040</v>
      </c>
      <c r="E275" s="122">
        <v>1.9201388888888891</v>
      </c>
      <c r="F275" s="112" t="s">
        <v>63</v>
      </c>
      <c r="G275" s="114">
        <v>1</v>
      </c>
      <c r="H275" s="115" t="s">
        <v>1051</v>
      </c>
    </row>
    <row r="276" spans="1:8" ht="19.899999999999999" customHeight="1">
      <c r="A276" s="121">
        <v>46047</v>
      </c>
      <c r="B276" s="112" t="s">
        <v>26</v>
      </c>
      <c r="C276" s="113" t="s">
        <v>1049</v>
      </c>
      <c r="D276" s="112" t="s">
        <v>1040</v>
      </c>
      <c r="E276" s="122">
        <v>1.9722222222222221</v>
      </c>
      <c r="F276" s="112" t="s">
        <v>28</v>
      </c>
      <c r="G276" s="114">
        <v>3</v>
      </c>
      <c r="H276" s="115" t="s">
        <v>426</v>
      </c>
    </row>
    <row r="277" spans="1:8" ht="19.899999999999999" customHeight="1">
      <c r="A277" s="121">
        <v>46047</v>
      </c>
      <c r="B277" s="112" t="s">
        <v>415</v>
      </c>
      <c r="C277" s="113" t="s">
        <v>1062</v>
      </c>
      <c r="D277" s="112" t="s">
        <v>1040</v>
      </c>
      <c r="E277" s="122">
        <v>1.006944444444444</v>
      </c>
      <c r="F277" s="112" t="s">
        <v>63</v>
      </c>
      <c r="G277" s="114">
        <v>7</v>
      </c>
      <c r="H277" s="115" t="s">
        <v>133</v>
      </c>
    </row>
    <row r="278" spans="1:8" ht="19.899999999999999" customHeight="1">
      <c r="A278" s="121">
        <v>46047</v>
      </c>
      <c r="B278" s="112" t="s">
        <v>68</v>
      </c>
      <c r="C278" s="113" t="s">
        <v>1052</v>
      </c>
      <c r="D278" s="112" t="s">
        <v>1040</v>
      </c>
      <c r="E278" s="122">
        <v>1.336805555555556</v>
      </c>
      <c r="F278" s="112" t="s">
        <v>643</v>
      </c>
      <c r="G278" s="114">
        <v>9</v>
      </c>
      <c r="H278" s="115" t="s">
        <v>1053</v>
      </c>
    </row>
    <row r="279" spans="1:8" ht="19.899999999999999" customHeight="1">
      <c r="A279" s="121">
        <v>46047</v>
      </c>
      <c r="B279" s="112" t="s">
        <v>68</v>
      </c>
      <c r="C279" s="113" t="s">
        <v>1054</v>
      </c>
      <c r="D279" s="112" t="s">
        <v>1040</v>
      </c>
      <c r="E279" s="122">
        <v>1.979166666666667</v>
      </c>
      <c r="F279" s="112" t="s">
        <v>643</v>
      </c>
      <c r="G279" s="114">
        <v>9</v>
      </c>
      <c r="H279" s="115" t="s">
        <v>1053</v>
      </c>
    </row>
    <row r="280" spans="1:8" ht="19.899999999999999" customHeight="1">
      <c r="A280" s="121">
        <v>46047</v>
      </c>
      <c r="B280" s="112" t="s">
        <v>402</v>
      </c>
      <c r="C280" s="113" t="s">
        <v>1059</v>
      </c>
      <c r="D280" s="112" t="s">
        <v>1040</v>
      </c>
      <c r="E280" s="122">
        <v>1.756944444444444</v>
      </c>
      <c r="F280" s="112" t="s">
        <v>63</v>
      </c>
      <c r="G280" s="114">
        <v>5</v>
      </c>
      <c r="H280" s="115" t="s">
        <v>1058</v>
      </c>
    </row>
    <row r="281" spans="1:8" ht="19.899999999999999" customHeight="1">
      <c r="A281" s="121">
        <v>46047</v>
      </c>
      <c r="B281" s="112" t="s">
        <v>68</v>
      </c>
      <c r="C281" s="113" t="s">
        <v>1056</v>
      </c>
      <c r="D281" s="112" t="s">
        <v>1040</v>
      </c>
      <c r="E281" s="122">
        <v>1.6736111111111109</v>
      </c>
      <c r="F281" s="112" t="s">
        <v>70</v>
      </c>
      <c r="G281" s="114">
        <v>9</v>
      </c>
      <c r="H281" s="115" t="s">
        <v>1055</v>
      </c>
    </row>
    <row r="282" spans="1:8" ht="19.899999999999999" customHeight="1">
      <c r="A282" s="121">
        <v>46047</v>
      </c>
      <c r="B282" s="112" t="s">
        <v>38</v>
      </c>
      <c r="C282" s="113" t="s">
        <v>1041</v>
      </c>
      <c r="D282" s="112" t="s">
        <v>1040</v>
      </c>
      <c r="E282" s="122">
        <v>1.447916666666667</v>
      </c>
      <c r="F282" s="112" t="s">
        <v>43</v>
      </c>
      <c r="G282" s="114">
        <v>10</v>
      </c>
      <c r="H282" s="115" t="s">
        <v>162</v>
      </c>
    </row>
    <row r="283" spans="1:8" ht="19.899999999999999" customHeight="1">
      <c r="A283" s="123">
        <v>46047</v>
      </c>
      <c r="B283" s="124" t="s">
        <v>26</v>
      </c>
      <c r="C283" s="125" t="s">
        <v>1049</v>
      </c>
      <c r="D283" s="124" t="s">
        <v>1040</v>
      </c>
      <c r="E283" s="126">
        <v>1.9722222222222221</v>
      </c>
      <c r="F283" s="124" t="s">
        <v>31</v>
      </c>
      <c r="G283" s="127">
        <v>3</v>
      </c>
      <c r="H283" s="128" t="s">
        <v>150</v>
      </c>
    </row>
    <row r="284" spans="1:8" ht="19.899999999999999" customHeight="1">
      <c r="A284" s="129">
        <v>46048</v>
      </c>
      <c r="B284" s="117" t="s">
        <v>61</v>
      </c>
      <c r="C284" s="118" t="s">
        <v>1124</v>
      </c>
      <c r="D284" s="117" t="s">
        <v>1123</v>
      </c>
      <c r="E284" s="130">
        <v>1.291666666666667</v>
      </c>
      <c r="F284" s="117" t="s">
        <v>63</v>
      </c>
      <c r="G284" s="119">
        <v>3</v>
      </c>
      <c r="H284" s="120" t="s">
        <v>1076</v>
      </c>
    </row>
    <row r="285" spans="1:8" ht="19.899999999999999" customHeight="1">
      <c r="A285" s="143"/>
      <c r="B285" s="144"/>
      <c r="C285" s="144"/>
      <c r="D285" s="144"/>
      <c r="E285" s="144"/>
      <c r="F285" s="145" t="s">
        <v>1142</v>
      </c>
      <c r="G285" s="144"/>
      <c r="H285" s="146"/>
    </row>
    <row r="286" spans="1:8" ht="19.899999999999999" customHeight="1">
      <c r="A286" s="121">
        <v>46048</v>
      </c>
      <c r="B286" s="112" t="s">
        <v>38</v>
      </c>
      <c r="C286" s="113" t="s">
        <v>1041</v>
      </c>
      <c r="D286" s="112" t="s">
        <v>1040</v>
      </c>
      <c r="E286" s="122">
        <v>1.447916666666667</v>
      </c>
      <c r="F286" s="112" t="s">
        <v>40</v>
      </c>
      <c r="G286" s="114">
        <v>10</v>
      </c>
      <c r="H286" s="115" t="s">
        <v>83</v>
      </c>
    </row>
    <row r="287" spans="1:8" ht="19.899999999999999" customHeight="1">
      <c r="A287" s="121">
        <v>46048</v>
      </c>
      <c r="B287" s="112" t="s">
        <v>26</v>
      </c>
      <c r="C287" s="113" t="s">
        <v>1049</v>
      </c>
      <c r="D287" s="112" t="s">
        <v>1040</v>
      </c>
      <c r="E287" s="122">
        <v>1.9722222222222221</v>
      </c>
      <c r="F287" s="112" t="s">
        <v>28</v>
      </c>
      <c r="G287" s="114">
        <v>4</v>
      </c>
      <c r="H287" s="115" t="s">
        <v>349</v>
      </c>
    </row>
    <row r="288" spans="1:8" ht="19.899999999999999" customHeight="1">
      <c r="A288" s="121">
        <v>46048</v>
      </c>
      <c r="B288" s="112" t="s">
        <v>26</v>
      </c>
      <c r="C288" s="113" t="s">
        <v>1047</v>
      </c>
      <c r="D288" s="112" t="s">
        <v>1040</v>
      </c>
      <c r="E288" s="122">
        <v>1.336805555555556</v>
      </c>
      <c r="F288" s="112" t="s">
        <v>28</v>
      </c>
      <c r="G288" s="114">
        <v>5</v>
      </c>
      <c r="H288" s="115" t="s">
        <v>426</v>
      </c>
    </row>
    <row r="289" spans="1:8" ht="19.899999999999999" customHeight="1">
      <c r="A289" s="121">
        <v>46048</v>
      </c>
      <c r="B289" s="112" t="s">
        <v>68</v>
      </c>
      <c r="C289" s="113" t="s">
        <v>1052</v>
      </c>
      <c r="D289" s="112" t="s">
        <v>1040</v>
      </c>
      <c r="E289" s="122">
        <v>1.336805555555556</v>
      </c>
      <c r="F289" s="112" t="s">
        <v>643</v>
      </c>
      <c r="G289" s="114">
        <v>9</v>
      </c>
      <c r="H289" s="115" t="s">
        <v>1053</v>
      </c>
    </row>
    <row r="290" spans="1:8" ht="19.899999999999999" customHeight="1">
      <c r="A290" s="121">
        <v>46048</v>
      </c>
      <c r="B290" s="112" t="s">
        <v>68</v>
      </c>
      <c r="C290" s="113" t="s">
        <v>1054</v>
      </c>
      <c r="D290" s="112" t="s">
        <v>1040</v>
      </c>
      <c r="E290" s="122">
        <v>1.979166666666667</v>
      </c>
      <c r="F290" s="112" t="s">
        <v>643</v>
      </c>
      <c r="G290" s="114">
        <v>9</v>
      </c>
      <c r="H290" s="115" t="s">
        <v>1053</v>
      </c>
    </row>
    <row r="291" spans="1:8" ht="19.899999999999999" customHeight="1">
      <c r="A291" s="121">
        <v>46048</v>
      </c>
      <c r="B291" s="112" t="s">
        <v>68</v>
      </c>
      <c r="C291" s="113" t="s">
        <v>1056</v>
      </c>
      <c r="D291" s="112" t="s">
        <v>1040</v>
      </c>
      <c r="E291" s="122">
        <v>1.6736111111111109</v>
      </c>
      <c r="F291" s="112" t="s">
        <v>643</v>
      </c>
      <c r="G291" s="114">
        <v>9</v>
      </c>
      <c r="H291" s="115" t="s">
        <v>1053</v>
      </c>
    </row>
    <row r="292" spans="1:8" ht="19.899999999999999" customHeight="1">
      <c r="A292" s="121">
        <v>46048</v>
      </c>
      <c r="B292" s="112" t="s">
        <v>402</v>
      </c>
      <c r="C292" s="113" t="s">
        <v>1064</v>
      </c>
      <c r="D292" s="112" t="s">
        <v>1040</v>
      </c>
      <c r="E292" s="122">
        <v>1.756944444444444</v>
      </c>
      <c r="F292" s="112" t="s">
        <v>63</v>
      </c>
      <c r="G292" s="114">
        <v>7</v>
      </c>
      <c r="H292" s="115" t="s">
        <v>1058</v>
      </c>
    </row>
    <row r="293" spans="1:8" ht="19.899999999999999" customHeight="1">
      <c r="A293" s="121">
        <v>46048</v>
      </c>
      <c r="B293" s="112" t="s">
        <v>26</v>
      </c>
      <c r="C293" s="113" t="s">
        <v>1049</v>
      </c>
      <c r="D293" s="112" t="s">
        <v>1040</v>
      </c>
      <c r="E293" s="122">
        <v>1.9722222222222221</v>
      </c>
      <c r="F293" s="112" t="s">
        <v>31</v>
      </c>
      <c r="G293" s="114">
        <v>4</v>
      </c>
      <c r="H293" s="115" t="s">
        <v>35</v>
      </c>
    </row>
    <row r="294" spans="1:8" ht="19.899999999999999" customHeight="1">
      <c r="A294" s="121">
        <v>46048</v>
      </c>
      <c r="B294" s="112" t="s">
        <v>38</v>
      </c>
      <c r="C294" s="113" t="s">
        <v>1041</v>
      </c>
      <c r="D294" s="112" t="s">
        <v>1040</v>
      </c>
      <c r="E294" s="122">
        <v>1.447916666666667</v>
      </c>
      <c r="F294" s="112" t="s">
        <v>43</v>
      </c>
      <c r="G294" s="114">
        <v>10</v>
      </c>
      <c r="H294" s="115" t="s">
        <v>162</v>
      </c>
    </row>
    <row r="295" spans="1:8" ht="19.899999999999999" customHeight="1">
      <c r="A295" s="123">
        <v>46048</v>
      </c>
      <c r="B295" s="124" t="s">
        <v>26</v>
      </c>
      <c r="C295" s="125" t="s">
        <v>1047</v>
      </c>
      <c r="D295" s="124" t="s">
        <v>1040</v>
      </c>
      <c r="E295" s="126">
        <v>1.336805555555556</v>
      </c>
      <c r="F295" s="124" t="s">
        <v>31</v>
      </c>
      <c r="G295" s="127">
        <v>5</v>
      </c>
      <c r="H295" s="128" t="s">
        <v>150</v>
      </c>
    </row>
    <row r="296" spans="1:8" ht="19.899999999999999" customHeight="1">
      <c r="A296" s="143"/>
      <c r="B296" s="144"/>
      <c r="C296" s="144"/>
      <c r="D296" s="144"/>
      <c r="E296" s="144"/>
      <c r="F296" s="145" t="s">
        <v>1142</v>
      </c>
      <c r="G296" s="144"/>
      <c r="H296" s="146"/>
    </row>
    <row r="297" spans="1:8" ht="19.899999999999999" customHeight="1">
      <c r="A297" s="121">
        <v>46049</v>
      </c>
      <c r="B297" s="112" t="s">
        <v>61</v>
      </c>
      <c r="C297" s="113" t="s">
        <v>1043</v>
      </c>
      <c r="D297" s="112" t="s">
        <v>1040</v>
      </c>
      <c r="E297" s="122">
        <v>1.069444444444444</v>
      </c>
      <c r="F297" s="112" t="s">
        <v>63</v>
      </c>
      <c r="G297" s="114">
        <v>3</v>
      </c>
      <c r="H297" s="115" t="s">
        <v>1076</v>
      </c>
    </row>
    <row r="298" spans="1:8" ht="19.899999999999999" customHeight="1">
      <c r="A298" s="121">
        <v>46049</v>
      </c>
      <c r="B298" s="112" t="s">
        <v>38</v>
      </c>
      <c r="C298" s="113" t="s">
        <v>1041</v>
      </c>
      <c r="D298" s="112" t="s">
        <v>1040</v>
      </c>
      <c r="E298" s="122">
        <v>1.447916666666667</v>
      </c>
      <c r="F298" s="112" t="s">
        <v>40</v>
      </c>
      <c r="G298" s="114">
        <v>10</v>
      </c>
      <c r="H298" s="115" t="s">
        <v>83</v>
      </c>
    </row>
    <row r="299" spans="1:8" ht="19.899999999999999" customHeight="1">
      <c r="A299" s="121">
        <v>46049</v>
      </c>
      <c r="B299" s="112" t="s">
        <v>26</v>
      </c>
      <c r="C299" s="113" t="s">
        <v>1047</v>
      </c>
      <c r="D299" s="112" t="s">
        <v>1040</v>
      </c>
      <c r="E299" s="122">
        <v>1.336805555555556</v>
      </c>
      <c r="F299" s="112" t="s">
        <v>28</v>
      </c>
      <c r="G299" s="114">
        <v>2</v>
      </c>
      <c r="H299" s="115" t="s">
        <v>349</v>
      </c>
    </row>
    <row r="300" spans="1:8" ht="19.899999999999999" customHeight="1">
      <c r="A300" s="121">
        <v>46049</v>
      </c>
      <c r="B300" s="112" t="s">
        <v>26</v>
      </c>
      <c r="C300" s="113" t="s">
        <v>1049</v>
      </c>
      <c r="D300" s="112" t="s">
        <v>1040</v>
      </c>
      <c r="E300" s="122">
        <v>1.9722222222222221</v>
      </c>
      <c r="F300" s="112" t="s">
        <v>28</v>
      </c>
      <c r="G300" s="114">
        <v>3</v>
      </c>
      <c r="H300" s="115" t="s">
        <v>349</v>
      </c>
    </row>
    <row r="301" spans="1:8" ht="19.899999999999999" customHeight="1">
      <c r="A301" s="121">
        <v>46049</v>
      </c>
      <c r="B301" s="112" t="s">
        <v>415</v>
      </c>
      <c r="C301" s="113" t="s">
        <v>1062</v>
      </c>
      <c r="D301" s="112" t="s">
        <v>1040</v>
      </c>
      <c r="E301" s="122">
        <v>1.006944444444444</v>
      </c>
      <c r="F301" s="112" t="s">
        <v>63</v>
      </c>
      <c r="G301" s="114">
        <v>7</v>
      </c>
      <c r="H301" s="115" t="s">
        <v>1051</v>
      </c>
    </row>
    <row r="302" spans="1:8" ht="19.899999999999999" customHeight="1">
      <c r="A302" s="121">
        <v>46049</v>
      </c>
      <c r="B302" s="112" t="s">
        <v>415</v>
      </c>
      <c r="C302" s="113" t="s">
        <v>1050</v>
      </c>
      <c r="D302" s="112" t="s">
        <v>1040</v>
      </c>
      <c r="E302" s="122">
        <v>1.881944444444444</v>
      </c>
      <c r="F302" s="112" t="s">
        <v>63</v>
      </c>
      <c r="G302" s="114">
        <v>7</v>
      </c>
      <c r="H302" s="115" t="s">
        <v>1051</v>
      </c>
    </row>
    <row r="303" spans="1:8" ht="19.899999999999999" customHeight="1">
      <c r="A303" s="121">
        <v>46049</v>
      </c>
      <c r="B303" s="112" t="s">
        <v>68</v>
      </c>
      <c r="C303" s="113" t="s">
        <v>1052</v>
      </c>
      <c r="D303" s="112" t="s">
        <v>1040</v>
      </c>
      <c r="E303" s="122">
        <v>1.336805555555556</v>
      </c>
      <c r="F303" s="112" t="s">
        <v>643</v>
      </c>
      <c r="G303" s="114">
        <v>9</v>
      </c>
      <c r="H303" s="115" t="s">
        <v>1053</v>
      </c>
    </row>
    <row r="304" spans="1:8" ht="19.899999999999999" customHeight="1">
      <c r="A304" s="121">
        <v>46049</v>
      </c>
      <c r="B304" s="112" t="s">
        <v>68</v>
      </c>
      <c r="C304" s="113" t="s">
        <v>1054</v>
      </c>
      <c r="D304" s="112" t="s">
        <v>1040</v>
      </c>
      <c r="E304" s="122">
        <v>1.979166666666667</v>
      </c>
      <c r="F304" s="112" t="s">
        <v>643</v>
      </c>
      <c r="G304" s="114">
        <v>9</v>
      </c>
      <c r="H304" s="115" t="s">
        <v>1053</v>
      </c>
    </row>
    <row r="305" spans="1:8" ht="19.899999999999999" customHeight="1">
      <c r="A305" s="121">
        <v>46049</v>
      </c>
      <c r="B305" s="112" t="s">
        <v>68</v>
      </c>
      <c r="C305" s="113" t="s">
        <v>1056</v>
      </c>
      <c r="D305" s="112" t="s">
        <v>1040</v>
      </c>
      <c r="E305" s="122">
        <v>1.6736111111111109</v>
      </c>
      <c r="F305" s="112" t="s">
        <v>643</v>
      </c>
      <c r="G305" s="114">
        <v>9</v>
      </c>
      <c r="H305" s="115" t="s">
        <v>1053</v>
      </c>
    </row>
    <row r="306" spans="1:8" ht="19.899999999999999" customHeight="1">
      <c r="A306" s="123">
        <v>46049</v>
      </c>
      <c r="B306" s="124" t="s">
        <v>402</v>
      </c>
      <c r="C306" s="125" t="s">
        <v>1057</v>
      </c>
      <c r="D306" s="124" t="s">
        <v>1040</v>
      </c>
      <c r="E306" s="126">
        <v>1.756944444444444</v>
      </c>
      <c r="F306" s="124" t="s">
        <v>63</v>
      </c>
      <c r="G306" s="127">
        <v>5</v>
      </c>
      <c r="H306" s="128" t="s">
        <v>1058</v>
      </c>
    </row>
    <row r="307" spans="1:8" ht="19.899999999999999" customHeight="1">
      <c r="A307" s="143"/>
      <c r="B307" s="144"/>
      <c r="C307" s="144"/>
      <c r="D307" s="144"/>
      <c r="E307" s="144"/>
      <c r="F307" s="145" t="s">
        <v>1142</v>
      </c>
      <c r="G307" s="144"/>
      <c r="H307" s="146"/>
    </row>
    <row r="308" spans="1:8" ht="19.899999999999999" customHeight="1">
      <c r="A308" s="121">
        <v>46050</v>
      </c>
      <c r="B308" s="112" t="s">
        <v>38</v>
      </c>
      <c r="C308" s="113" t="s">
        <v>1041</v>
      </c>
      <c r="D308" s="112" t="s">
        <v>1040</v>
      </c>
      <c r="E308" s="122">
        <v>1.447916666666667</v>
      </c>
      <c r="F308" s="112" t="s">
        <v>40</v>
      </c>
      <c r="G308" s="114">
        <v>10</v>
      </c>
      <c r="H308" s="115" t="s">
        <v>83</v>
      </c>
    </row>
    <row r="309" spans="1:8" ht="19.899999999999999" customHeight="1">
      <c r="A309" s="121">
        <v>46050</v>
      </c>
      <c r="B309" s="112" t="s">
        <v>26</v>
      </c>
      <c r="C309" s="113" t="s">
        <v>1049</v>
      </c>
      <c r="D309" s="112" t="s">
        <v>1040</v>
      </c>
      <c r="E309" s="122">
        <v>1.9722222222222221</v>
      </c>
      <c r="F309" s="112" t="s">
        <v>28</v>
      </c>
      <c r="G309" s="114">
        <v>2</v>
      </c>
      <c r="H309" s="115" t="s">
        <v>349</v>
      </c>
    </row>
    <row r="310" spans="1:8" ht="19.899999999999999" customHeight="1">
      <c r="A310" s="121">
        <v>46050</v>
      </c>
      <c r="B310" s="112" t="s">
        <v>359</v>
      </c>
      <c r="C310" s="113" t="s">
        <v>1065</v>
      </c>
      <c r="D310" s="112" t="s">
        <v>1040</v>
      </c>
      <c r="E310" s="122">
        <v>1.7847222222222221</v>
      </c>
      <c r="F310" s="112" t="s">
        <v>361</v>
      </c>
      <c r="G310" s="114">
        <v>9</v>
      </c>
      <c r="H310" s="115" t="s">
        <v>1100</v>
      </c>
    </row>
    <row r="311" spans="1:8" ht="19.899999999999999" customHeight="1">
      <c r="A311" s="121">
        <v>46050</v>
      </c>
      <c r="B311" s="112" t="s">
        <v>68</v>
      </c>
      <c r="C311" s="113" t="s">
        <v>1052</v>
      </c>
      <c r="D311" s="112" t="s">
        <v>1040</v>
      </c>
      <c r="E311" s="122">
        <v>1.336805555555556</v>
      </c>
      <c r="F311" s="112" t="s">
        <v>643</v>
      </c>
      <c r="G311" s="114">
        <v>9</v>
      </c>
      <c r="H311" s="115" t="s">
        <v>1053</v>
      </c>
    </row>
    <row r="312" spans="1:8" ht="19.899999999999999" customHeight="1">
      <c r="A312" s="121">
        <v>46050</v>
      </c>
      <c r="B312" s="112" t="s">
        <v>68</v>
      </c>
      <c r="C312" s="113" t="s">
        <v>1054</v>
      </c>
      <c r="D312" s="112" t="s">
        <v>1040</v>
      </c>
      <c r="E312" s="122">
        <v>1.979166666666667</v>
      </c>
      <c r="F312" s="112" t="s">
        <v>643</v>
      </c>
      <c r="G312" s="114">
        <v>9</v>
      </c>
      <c r="H312" s="115" t="s">
        <v>1053</v>
      </c>
    </row>
    <row r="313" spans="1:8" ht="19.899999999999999" customHeight="1">
      <c r="A313" s="121">
        <v>46050</v>
      </c>
      <c r="B313" s="112" t="s">
        <v>68</v>
      </c>
      <c r="C313" s="113" t="s">
        <v>1056</v>
      </c>
      <c r="D313" s="112" t="s">
        <v>1040</v>
      </c>
      <c r="E313" s="122">
        <v>1.6736111111111109</v>
      </c>
      <c r="F313" s="112" t="s">
        <v>643</v>
      </c>
      <c r="G313" s="114">
        <v>9</v>
      </c>
      <c r="H313" s="115" t="s">
        <v>1053</v>
      </c>
    </row>
    <row r="314" spans="1:8" ht="19.899999999999999" customHeight="1">
      <c r="A314" s="121">
        <v>46050</v>
      </c>
      <c r="B314" s="112" t="s">
        <v>402</v>
      </c>
      <c r="C314" s="113" t="s">
        <v>1064</v>
      </c>
      <c r="D314" s="112" t="s">
        <v>1040</v>
      </c>
      <c r="E314" s="122">
        <v>1.694444444444444</v>
      </c>
      <c r="F314" s="112" t="s">
        <v>63</v>
      </c>
      <c r="G314" s="114">
        <v>6</v>
      </c>
      <c r="H314" s="115" t="s">
        <v>1058</v>
      </c>
    </row>
    <row r="315" spans="1:8" ht="19.899999999999999" customHeight="1">
      <c r="A315" s="121">
        <v>46050</v>
      </c>
      <c r="B315" s="112" t="s">
        <v>26</v>
      </c>
      <c r="C315" s="113" t="s">
        <v>1049</v>
      </c>
      <c r="D315" s="112" t="s">
        <v>1040</v>
      </c>
      <c r="E315" s="122">
        <v>1.9722222222222221</v>
      </c>
      <c r="F315" s="112" t="s">
        <v>31</v>
      </c>
      <c r="G315" s="114">
        <v>2</v>
      </c>
      <c r="H315" s="115" t="s">
        <v>35</v>
      </c>
    </row>
    <row r="316" spans="1:8" ht="19.899999999999999" customHeight="1">
      <c r="A316" s="121">
        <v>46050</v>
      </c>
      <c r="B316" s="112" t="s">
        <v>38</v>
      </c>
      <c r="C316" s="113" t="s">
        <v>1041</v>
      </c>
      <c r="D316" s="112" t="s">
        <v>1040</v>
      </c>
      <c r="E316" s="122">
        <v>1.447916666666667</v>
      </c>
      <c r="F316" s="112" t="s">
        <v>43</v>
      </c>
      <c r="G316" s="114">
        <v>10</v>
      </c>
      <c r="H316" s="115" t="s">
        <v>162</v>
      </c>
    </row>
    <row r="317" spans="1:8" ht="19.899999999999999" customHeight="1">
      <c r="A317" s="123">
        <v>46050</v>
      </c>
      <c r="B317" s="124" t="s">
        <v>26</v>
      </c>
      <c r="C317" s="125" t="s">
        <v>1049</v>
      </c>
      <c r="D317" s="124" t="s">
        <v>1040</v>
      </c>
      <c r="E317" s="126">
        <v>1.9722222222222221</v>
      </c>
      <c r="F317" s="124" t="s">
        <v>34</v>
      </c>
      <c r="G317" s="127">
        <v>2</v>
      </c>
      <c r="H317" s="128" t="s">
        <v>503</v>
      </c>
    </row>
    <row r="318" spans="1:8" ht="19.899999999999999" customHeight="1">
      <c r="A318" s="143"/>
      <c r="B318" s="144"/>
      <c r="C318" s="144"/>
      <c r="D318" s="144"/>
      <c r="E318" s="144"/>
      <c r="F318" s="145" t="s">
        <v>1142</v>
      </c>
      <c r="G318" s="144"/>
      <c r="H318" s="146"/>
    </row>
    <row r="319" spans="1:8" ht="19.899999999999999" customHeight="1">
      <c r="A319" s="121">
        <v>46051</v>
      </c>
      <c r="B319" s="112" t="s">
        <v>61</v>
      </c>
      <c r="C319" s="113" t="s">
        <v>1043</v>
      </c>
      <c r="D319" s="112" t="s">
        <v>1040</v>
      </c>
      <c r="E319" s="122">
        <v>1.7222222222222221</v>
      </c>
      <c r="F319" s="112" t="s">
        <v>63</v>
      </c>
      <c r="G319" s="114">
        <v>2</v>
      </c>
      <c r="H319" s="115" t="s">
        <v>856</v>
      </c>
    </row>
    <row r="320" spans="1:8" ht="19.899999999999999" customHeight="1">
      <c r="A320" s="121">
        <v>46051</v>
      </c>
      <c r="B320" s="112" t="s">
        <v>38</v>
      </c>
      <c r="C320" s="113" t="s">
        <v>1041</v>
      </c>
      <c r="D320" s="112" t="s">
        <v>1040</v>
      </c>
      <c r="E320" s="122">
        <v>1.447916666666667</v>
      </c>
      <c r="F320" s="112" t="s">
        <v>40</v>
      </c>
      <c r="G320" s="114">
        <v>10</v>
      </c>
      <c r="H320" s="115" t="s">
        <v>83</v>
      </c>
    </row>
    <row r="321" spans="1:8" ht="19.899999999999999" customHeight="1">
      <c r="A321" s="121">
        <v>46051</v>
      </c>
      <c r="B321" s="112" t="s">
        <v>26</v>
      </c>
      <c r="C321" s="113" t="s">
        <v>1047</v>
      </c>
      <c r="D321" s="112" t="s">
        <v>1040</v>
      </c>
      <c r="E321" s="122">
        <v>1.336805555555556</v>
      </c>
      <c r="F321" s="112" t="s">
        <v>28</v>
      </c>
      <c r="G321" s="114">
        <v>3</v>
      </c>
      <c r="H321" s="115" t="s">
        <v>349</v>
      </c>
    </row>
    <row r="322" spans="1:8" ht="19.899999999999999" customHeight="1">
      <c r="A322" s="121">
        <v>46051</v>
      </c>
      <c r="B322" s="112" t="s">
        <v>26</v>
      </c>
      <c r="C322" s="113" t="s">
        <v>1049</v>
      </c>
      <c r="D322" s="112" t="s">
        <v>1040</v>
      </c>
      <c r="E322" s="122">
        <v>1.9722222222222221</v>
      </c>
      <c r="F322" s="112" t="s">
        <v>28</v>
      </c>
      <c r="G322" s="114">
        <v>5</v>
      </c>
      <c r="H322" s="115" t="s">
        <v>349</v>
      </c>
    </row>
    <row r="323" spans="1:8" ht="19.899999999999999" customHeight="1">
      <c r="A323" s="121">
        <v>46051</v>
      </c>
      <c r="B323" s="112" t="s">
        <v>415</v>
      </c>
      <c r="C323" s="113" t="s">
        <v>1050</v>
      </c>
      <c r="D323" s="112" t="s">
        <v>1040</v>
      </c>
      <c r="E323" s="122">
        <v>1.756944444444444</v>
      </c>
      <c r="F323" s="112" t="s">
        <v>63</v>
      </c>
      <c r="G323" s="114">
        <v>7</v>
      </c>
      <c r="H323" s="115" t="s">
        <v>1051</v>
      </c>
    </row>
    <row r="324" spans="1:8" ht="19.899999999999999" customHeight="1">
      <c r="A324" s="121">
        <v>46051</v>
      </c>
      <c r="B324" s="112" t="s">
        <v>68</v>
      </c>
      <c r="C324" s="113" t="s">
        <v>1052</v>
      </c>
      <c r="D324" s="112" t="s">
        <v>1040</v>
      </c>
      <c r="E324" s="122">
        <v>1.336805555555556</v>
      </c>
      <c r="F324" s="112" t="s">
        <v>643</v>
      </c>
      <c r="G324" s="114">
        <v>9</v>
      </c>
      <c r="H324" s="115" t="s">
        <v>1053</v>
      </c>
    </row>
    <row r="325" spans="1:8" ht="19.899999999999999" customHeight="1">
      <c r="A325" s="121">
        <v>46051</v>
      </c>
      <c r="B325" s="112" t="s">
        <v>68</v>
      </c>
      <c r="C325" s="113" t="s">
        <v>1054</v>
      </c>
      <c r="D325" s="112" t="s">
        <v>1040</v>
      </c>
      <c r="E325" s="122">
        <v>1.979166666666667</v>
      </c>
      <c r="F325" s="112" t="s">
        <v>643</v>
      </c>
      <c r="G325" s="114">
        <v>9</v>
      </c>
      <c r="H325" s="115" t="s">
        <v>1053</v>
      </c>
    </row>
    <row r="326" spans="1:8" ht="19.899999999999999" customHeight="1">
      <c r="A326" s="121">
        <v>46051</v>
      </c>
      <c r="B326" s="112" t="s">
        <v>68</v>
      </c>
      <c r="C326" s="113" t="s">
        <v>1056</v>
      </c>
      <c r="D326" s="112" t="s">
        <v>1040</v>
      </c>
      <c r="E326" s="122">
        <v>1.6736111111111109</v>
      </c>
      <c r="F326" s="112" t="s">
        <v>643</v>
      </c>
      <c r="G326" s="114">
        <v>9</v>
      </c>
      <c r="H326" s="115" t="s">
        <v>1053</v>
      </c>
    </row>
    <row r="327" spans="1:8" ht="19.899999999999999" customHeight="1">
      <c r="A327" s="121">
        <v>46051</v>
      </c>
      <c r="B327" s="112" t="s">
        <v>402</v>
      </c>
      <c r="C327" s="113" t="s">
        <v>1057</v>
      </c>
      <c r="D327" s="112" t="s">
        <v>1040</v>
      </c>
      <c r="E327" s="122">
        <v>1.756944444444444</v>
      </c>
      <c r="F327" s="112" t="s">
        <v>63</v>
      </c>
      <c r="G327" s="114">
        <v>6</v>
      </c>
      <c r="H327" s="115" t="s">
        <v>1058</v>
      </c>
    </row>
    <row r="328" spans="1:8" ht="19.899999999999999" customHeight="1">
      <c r="A328" s="123">
        <v>46051</v>
      </c>
      <c r="B328" s="124" t="s">
        <v>402</v>
      </c>
      <c r="C328" s="125" t="s">
        <v>1059</v>
      </c>
      <c r="D328" s="124" t="s">
        <v>1040</v>
      </c>
      <c r="E328" s="126">
        <v>1.3611111111111109</v>
      </c>
      <c r="F328" s="124" t="s">
        <v>63</v>
      </c>
      <c r="G328" s="127">
        <v>7</v>
      </c>
      <c r="H328" s="128" t="s">
        <v>1058</v>
      </c>
    </row>
    <row r="329" spans="1:8" ht="19.899999999999999" customHeight="1">
      <c r="A329" s="129">
        <v>46052</v>
      </c>
      <c r="B329" s="117" t="s">
        <v>61</v>
      </c>
      <c r="C329" s="118" t="s">
        <v>1124</v>
      </c>
      <c r="D329" s="117" t="s">
        <v>1123</v>
      </c>
      <c r="E329" s="130">
        <v>1.072916666666667</v>
      </c>
      <c r="F329" s="117" t="s">
        <v>63</v>
      </c>
      <c r="G329" s="119">
        <v>1</v>
      </c>
      <c r="H329" s="120" t="s">
        <v>1076</v>
      </c>
    </row>
    <row r="330" spans="1:8" ht="19.899999999999999" customHeight="1">
      <c r="A330" s="143"/>
      <c r="B330" s="144"/>
      <c r="C330" s="144"/>
      <c r="D330" s="144"/>
      <c r="E330" s="144"/>
      <c r="F330" s="145" t="s">
        <v>1142</v>
      </c>
      <c r="G330" s="144"/>
      <c r="H330" s="146"/>
    </row>
    <row r="331" spans="1:8" ht="19.899999999999999" customHeight="1">
      <c r="A331" s="121">
        <v>46052</v>
      </c>
      <c r="B331" s="112" t="s">
        <v>61</v>
      </c>
      <c r="C331" s="113" t="s">
        <v>1043</v>
      </c>
      <c r="D331" s="112" t="s">
        <v>1040</v>
      </c>
      <c r="E331" s="122">
        <v>1.381944444444444</v>
      </c>
      <c r="F331" s="112" t="s">
        <v>63</v>
      </c>
      <c r="G331" s="114">
        <v>7</v>
      </c>
      <c r="H331" s="115" t="s">
        <v>856</v>
      </c>
    </row>
    <row r="332" spans="1:8" ht="19.899999999999999" customHeight="1">
      <c r="A332" s="121">
        <v>46052</v>
      </c>
      <c r="B332" s="112" t="s">
        <v>38</v>
      </c>
      <c r="C332" s="113" t="s">
        <v>1041</v>
      </c>
      <c r="D332" s="112" t="s">
        <v>1040</v>
      </c>
      <c r="E332" s="122">
        <v>1.447916666666667</v>
      </c>
      <c r="F332" s="112" t="s">
        <v>40</v>
      </c>
      <c r="G332" s="114">
        <v>10</v>
      </c>
      <c r="H332" s="115" t="s">
        <v>83</v>
      </c>
    </row>
    <row r="333" spans="1:8" ht="19.899999999999999" customHeight="1">
      <c r="A333" s="121">
        <v>46052</v>
      </c>
      <c r="B333" s="112" t="s">
        <v>26</v>
      </c>
      <c r="C333" s="113" t="s">
        <v>1049</v>
      </c>
      <c r="D333" s="112" t="s">
        <v>1040</v>
      </c>
      <c r="E333" s="122">
        <v>1.9722222222222221</v>
      </c>
      <c r="F333" s="112" t="s">
        <v>28</v>
      </c>
      <c r="G333" s="114">
        <v>3</v>
      </c>
      <c r="H333" s="115" t="s">
        <v>349</v>
      </c>
    </row>
    <row r="334" spans="1:8" ht="19.899999999999999" customHeight="1">
      <c r="A334" s="121">
        <v>46052</v>
      </c>
      <c r="B334" s="112" t="s">
        <v>415</v>
      </c>
      <c r="C334" s="113" t="s">
        <v>1062</v>
      </c>
      <c r="D334" s="112" t="s">
        <v>1040</v>
      </c>
      <c r="E334" s="122">
        <v>1.006944444444444</v>
      </c>
      <c r="F334" s="112" t="s">
        <v>63</v>
      </c>
      <c r="G334" s="114">
        <v>4</v>
      </c>
      <c r="H334" s="115" t="s">
        <v>1051</v>
      </c>
    </row>
    <row r="335" spans="1:8" ht="19.899999999999999" customHeight="1">
      <c r="A335" s="121">
        <v>46052</v>
      </c>
      <c r="B335" s="112" t="s">
        <v>68</v>
      </c>
      <c r="C335" s="113" t="s">
        <v>1052</v>
      </c>
      <c r="D335" s="112" t="s">
        <v>1040</v>
      </c>
      <c r="E335" s="122">
        <v>1.336805555555556</v>
      </c>
      <c r="F335" s="112" t="s">
        <v>643</v>
      </c>
      <c r="G335" s="114">
        <v>9</v>
      </c>
      <c r="H335" s="115" t="s">
        <v>830</v>
      </c>
    </row>
    <row r="336" spans="1:8" ht="19.899999999999999" customHeight="1">
      <c r="A336" s="121">
        <v>46052</v>
      </c>
      <c r="B336" s="112" t="s">
        <v>402</v>
      </c>
      <c r="C336" s="113" t="s">
        <v>1064</v>
      </c>
      <c r="D336" s="112" t="s">
        <v>1040</v>
      </c>
      <c r="E336" s="122">
        <v>1.756944444444444</v>
      </c>
      <c r="F336" s="112" t="s">
        <v>63</v>
      </c>
      <c r="G336" s="114">
        <v>3</v>
      </c>
      <c r="H336" s="115" t="s">
        <v>1058</v>
      </c>
    </row>
    <row r="337" spans="1:8" ht="19.899999999999999" customHeight="1">
      <c r="A337" s="121">
        <v>46052</v>
      </c>
      <c r="B337" s="112" t="s">
        <v>26</v>
      </c>
      <c r="C337" s="113" t="s">
        <v>1049</v>
      </c>
      <c r="D337" s="112" t="s">
        <v>1040</v>
      </c>
      <c r="E337" s="122">
        <v>1.9722222222222221</v>
      </c>
      <c r="F337" s="112" t="s">
        <v>31</v>
      </c>
      <c r="G337" s="114">
        <v>3</v>
      </c>
      <c r="H337" s="115" t="s">
        <v>35</v>
      </c>
    </row>
    <row r="338" spans="1:8" ht="19.899999999999999" customHeight="1">
      <c r="A338" s="121">
        <v>46052</v>
      </c>
      <c r="B338" s="112" t="s">
        <v>68</v>
      </c>
      <c r="C338" s="113" t="s">
        <v>1054</v>
      </c>
      <c r="D338" s="112" t="s">
        <v>1040</v>
      </c>
      <c r="E338" s="122">
        <v>1.979166666666667</v>
      </c>
      <c r="F338" s="112" t="s">
        <v>70</v>
      </c>
      <c r="G338" s="114">
        <v>9</v>
      </c>
      <c r="H338" s="115" t="s">
        <v>1055</v>
      </c>
    </row>
    <row r="339" spans="1:8" ht="19.899999999999999" customHeight="1">
      <c r="A339" s="121">
        <v>46052</v>
      </c>
      <c r="B339" s="112" t="s">
        <v>68</v>
      </c>
      <c r="C339" s="113" t="s">
        <v>1056</v>
      </c>
      <c r="D339" s="112" t="s">
        <v>1040</v>
      </c>
      <c r="E339" s="122">
        <v>1.6736111111111109</v>
      </c>
      <c r="F339" s="112" t="s">
        <v>70</v>
      </c>
      <c r="G339" s="114">
        <v>9</v>
      </c>
      <c r="H339" s="115" t="s">
        <v>1055</v>
      </c>
    </row>
    <row r="340" spans="1:8" ht="19.899999999999999" customHeight="1">
      <c r="A340" s="123">
        <v>46052</v>
      </c>
      <c r="B340" s="124" t="s">
        <v>38</v>
      </c>
      <c r="C340" s="125" t="s">
        <v>1041</v>
      </c>
      <c r="D340" s="124" t="s">
        <v>1040</v>
      </c>
      <c r="E340" s="126">
        <v>1.447916666666667</v>
      </c>
      <c r="F340" s="124" t="s">
        <v>43</v>
      </c>
      <c r="G340" s="127">
        <v>10</v>
      </c>
      <c r="H340" s="128" t="s">
        <v>162</v>
      </c>
    </row>
    <row r="341" spans="1:8" ht="19.899999999999999" customHeight="1">
      <c r="A341" s="143"/>
      <c r="B341" s="144"/>
      <c r="C341" s="144"/>
      <c r="D341" s="144"/>
      <c r="E341" s="144"/>
      <c r="F341" s="145" t="s">
        <v>1142</v>
      </c>
      <c r="G341" s="144"/>
      <c r="H341" s="146"/>
    </row>
    <row r="342" spans="1:8" ht="19.899999999999999" customHeight="1">
      <c r="A342" s="121">
        <v>46053</v>
      </c>
      <c r="B342" s="112" t="s">
        <v>38</v>
      </c>
      <c r="C342" s="113" t="s">
        <v>1041</v>
      </c>
      <c r="D342" s="112" t="s">
        <v>1040</v>
      </c>
      <c r="E342" s="122">
        <v>1.447916666666667</v>
      </c>
      <c r="F342" s="112" t="s">
        <v>40</v>
      </c>
      <c r="G342" s="114">
        <v>10</v>
      </c>
      <c r="H342" s="115" t="s">
        <v>83</v>
      </c>
    </row>
    <row r="343" spans="1:8" ht="19.899999999999999" customHeight="1">
      <c r="A343" s="121">
        <v>46053</v>
      </c>
      <c r="B343" s="112" t="s">
        <v>61</v>
      </c>
      <c r="C343" s="113" t="s">
        <v>1043</v>
      </c>
      <c r="D343" s="112" t="s">
        <v>1040</v>
      </c>
      <c r="E343" s="122">
        <v>1.7222222222222221</v>
      </c>
      <c r="F343" s="112" t="s">
        <v>63</v>
      </c>
      <c r="G343" s="114">
        <v>6</v>
      </c>
      <c r="H343" s="115" t="s">
        <v>1106</v>
      </c>
    </row>
    <row r="344" spans="1:8" ht="19.899999999999999" customHeight="1">
      <c r="A344" s="121">
        <v>46053</v>
      </c>
      <c r="B344" s="112" t="s">
        <v>26</v>
      </c>
      <c r="C344" s="113" t="s">
        <v>1047</v>
      </c>
      <c r="D344" s="112" t="s">
        <v>1040</v>
      </c>
      <c r="E344" s="122">
        <v>1.336805555555556</v>
      </c>
      <c r="F344" s="112" t="s">
        <v>28</v>
      </c>
      <c r="G344" s="114">
        <v>5</v>
      </c>
      <c r="H344" s="115" t="s">
        <v>349</v>
      </c>
    </row>
    <row r="345" spans="1:8" ht="19.899999999999999" customHeight="1">
      <c r="A345" s="121">
        <v>46053</v>
      </c>
      <c r="B345" s="112" t="s">
        <v>26</v>
      </c>
      <c r="C345" s="113" t="s">
        <v>1049</v>
      </c>
      <c r="D345" s="112" t="s">
        <v>1040</v>
      </c>
      <c r="E345" s="122">
        <v>1.9722222222222221</v>
      </c>
      <c r="F345" s="112" t="s">
        <v>28</v>
      </c>
      <c r="G345" s="114">
        <v>1</v>
      </c>
      <c r="H345" s="115" t="s">
        <v>349</v>
      </c>
    </row>
    <row r="346" spans="1:8" ht="19.899999999999999" customHeight="1">
      <c r="A346" s="121">
        <v>46053</v>
      </c>
      <c r="B346" s="112" t="s">
        <v>415</v>
      </c>
      <c r="C346" s="113" t="s">
        <v>1050</v>
      </c>
      <c r="D346" s="112" t="s">
        <v>1040</v>
      </c>
      <c r="E346" s="122">
        <v>1.3402777777777779</v>
      </c>
      <c r="F346" s="112" t="s">
        <v>63</v>
      </c>
      <c r="G346" s="114">
        <v>4</v>
      </c>
      <c r="H346" s="115" t="s">
        <v>1051</v>
      </c>
    </row>
    <row r="347" spans="1:8" ht="19.899999999999999" customHeight="1">
      <c r="A347" s="121">
        <v>46053</v>
      </c>
      <c r="B347" s="112" t="s">
        <v>359</v>
      </c>
      <c r="C347" s="113" t="s">
        <v>1065</v>
      </c>
      <c r="D347" s="112" t="s">
        <v>1040</v>
      </c>
      <c r="E347" s="122">
        <v>1.7847222222222221</v>
      </c>
      <c r="F347" s="112" t="s">
        <v>361</v>
      </c>
      <c r="G347" s="114">
        <v>9</v>
      </c>
      <c r="H347" s="115" t="s">
        <v>1080</v>
      </c>
    </row>
    <row r="348" spans="1:8" ht="19.899999999999999" customHeight="1">
      <c r="A348" s="121">
        <v>46053</v>
      </c>
      <c r="B348" s="112" t="s">
        <v>402</v>
      </c>
      <c r="C348" s="113" t="s">
        <v>1057</v>
      </c>
      <c r="D348" s="112" t="s">
        <v>1040</v>
      </c>
      <c r="E348" s="122">
        <v>1.694444444444444</v>
      </c>
      <c r="F348" s="112" t="s">
        <v>63</v>
      </c>
      <c r="G348" s="114">
        <v>4</v>
      </c>
      <c r="H348" s="115" t="s">
        <v>1058</v>
      </c>
    </row>
    <row r="349" spans="1:8" ht="19.899999999999999" customHeight="1">
      <c r="A349" s="121">
        <v>46053</v>
      </c>
      <c r="B349" s="112" t="s">
        <v>26</v>
      </c>
      <c r="C349" s="113" t="s">
        <v>1047</v>
      </c>
      <c r="D349" s="112" t="s">
        <v>1040</v>
      </c>
      <c r="E349" s="122">
        <v>1.336805555555556</v>
      </c>
      <c r="F349" s="112" t="s">
        <v>31</v>
      </c>
      <c r="G349" s="114">
        <v>5</v>
      </c>
      <c r="H349" s="115" t="s">
        <v>35</v>
      </c>
    </row>
    <row r="350" spans="1:8" ht="19.899999999999999" customHeight="1">
      <c r="A350" s="121">
        <v>46053</v>
      </c>
      <c r="B350" s="112" t="s">
        <v>26</v>
      </c>
      <c r="C350" s="113" t="s">
        <v>1049</v>
      </c>
      <c r="D350" s="112" t="s">
        <v>1040</v>
      </c>
      <c r="E350" s="122">
        <v>1.9722222222222221</v>
      </c>
      <c r="F350" s="112" t="s">
        <v>31</v>
      </c>
      <c r="G350" s="114">
        <v>1</v>
      </c>
      <c r="H350" s="115" t="s">
        <v>35</v>
      </c>
    </row>
    <row r="351" spans="1:8" ht="19.899999999999999" customHeight="1">
      <c r="A351" s="123">
        <v>46053</v>
      </c>
      <c r="B351" s="124" t="s">
        <v>68</v>
      </c>
      <c r="C351" s="125" t="s">
        <v>1052</v>
      </c>
      <c r="D351" s="124" t="s">
        <v>1040</v>
      </c>
      <c r="E351" s="126">
        <v>1.336805555555556</v>
      </c>
      <c r="F351" s="124" t="s">
        <v>70</v>
      </c>
      <c r="G351" s="127">
        <v>9</v>
      </c>
      <c r="H351" s="128" t="s">
        <v>1055</v>
      </c>
    </row>
  </sheetData>
  <pageMargins left="0.75" right="0.75" top="1" bottom="1" header="0.5" footer="0.5"/>
  <legacyDrawing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220"/>
  <sheetViews>
    <sheetView workbookViewId="0"/>
  </sheetViews>
  <sheetFormatPr defaultRowHeight="14.45"/>
  <cols>
    <col min="1" max="1" width="17.28515625" bestFit="1" customWidth="1"/>
    <col min="2" max="2" width="15.7109375" bestFit="1" customWidth="1"/>
    <col min="3" max="3" width="14.7109375" bestFit="1" customWidth="1"/>
    <col min="4" max="4" width="32.85546875" bestFit="1" customWidth="1"/>
    <col min="5" max="5" width="18.5703125" bestFit="1" customWidth="1"/>
    <col min="6" max="6" width="23.42578125" bestFit="1" customWidth="1"/>
    <col min="7" max="7" width="45.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16.7109375" bestFit="1" customWidth="1"/>
  </cols>
  <sheetData>
    <row r="1" spans="1:92" ht="28.9" customHeight="1">
      <c r="A1" s="291" t="s">
        <v>0</v>
      </c>
      <c r="B1" s="294"/>
      <c r="C1" s="294"/>
      <c r="D1" s="294"/>
      <c r="E1" s="294"/>
      <c r="F1" s="1" t="s">
        <v>1144</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45980.610452195338</v>
      </c>
      <c r="H2" s="294"/>
      <c r="I2" s="294"/>
      <c r="J2" s="294"/>
      <c r="K2" s="287">
        <v>45980.610452195651</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46023</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8" t="s">
        <v>402</v>
      </c>
      <c r="B6" s="8" t="s">
        <v>1145</v>
      </c>
      <c r="C6" s="9">
        <v>0.75694444444444453</v>
      </c>
      <c r="D6" s="8" t="s">
        <v>63</v>
      </c>
      <c r="E6" s="8" t="s">
        <v>126</v>
      </c>
      <c r="F6" s="8" t="s">
        <v>1146</v>
      </c>
      <c r="G6" s="297"/>
      <c r="H6" s="10"/>
      <c r="I6" s="11"/>
      <c r="J6" s="11"/>
      <c r="K6" s="11"/>
      <c r="L6" s="11"/>
      <c r="M6" s="11"/>
      <c r="N6" s="11"/>
      <c r="O6" s="12"/>
      <c r="P6" s="11"/>
      <c r="Q6" s="13"/>
      <c r="R6" s="14"/>
    </row>
    <row r="7" spans="1:92" ht="49.9" customHeight="1">
      <c r="A7" s="87" t="s">
        <v>61</v>
      </c>
      <c r="B7" s="87" t="s">
        <v>1147</v>
      </c>
      <c r="C7" s="88">
        <v>0.71180555555555547</v>
      </c>
      <c r="D7" s="87" t="s">
        <v>63</v>
      </c>
      <c r="E7" s="87" t="s">
        <v>29</v>
      </c>
      <c r="F7" s="87" t="s">
        <v>33</v>
      </c>
      <c r="G7" s="298"/>
      <c r="H7" s="89" t="s">
        <v>1148</v>
      </c>
      <c r="I7" s="90">
        <v>1.6799999999999999E-2</v>
      </c>
      <c r="J7" s="91">
        <v>3</v>
      </c>
      <c r="K7" s="92">
        <v>46337</v>
      </c>
      <c r="L7" s="91">
        <v>3</v>
      </c>
      <c r="M7" s="91">
        <v>0</v>
      </c>
      <c r="N7" s="91">
        <v>0</v>
      </c>
      <c r="O7" s="93" t="s">
        <v>901</v>
      </c>
      <c r="P7" s="94">
        <v>0.71180555555555547</v>
      </c>
      <c r="Q7" s="91">
        <v>179</v>
      </c>
      <c r="R7" s="95" t="s">
        <v>819</v>
      </c>
    </row>
    <row r="8" spans="1:92" ht="49.9" customHeight="1">
      <c r="A8" s="19" t="s">
        <v>68</v>
      </c>
      <c r="B8" s="19" t="s">
        <v>1149</v>
      </c>
      <c r="C8" s="20">
        <v>0.98263888888888884</v>
      </c>
      <c r="D8" s="19" t="s">
        <v>643</v>
      </c>
      <c r="E8" s="19" t="s">
        <v>51</v>
      </c>
      <c r="F8" s="19" t="s">
        <v>33</v>
      </c>
      <c r="G8" s="298"/>
      <c r="H8" s="10"/>
      <c r="I8" s="11"/>
      <c r="J8" s="11"/>
      <c r="K8" s="11"/>
      <c r="L8" s="11"/>
      <c r="M8" s="11"/>
      <c r="N8" s="11"/>
      <c r="O8" s="12"/>
      <c r="P8" s="11"/>
      <c r="Q8" s="13"/>
      <c r="R8" s="14"/>
    </row>
    <row r="9" spans="1:92" ht="49.9" customHeight="1" thickBot="1">
      <c r="A9" s="96" t="s">
        <v>415</v>
      </c>
      <c r="B9" s="96" t="s">
        <v>1150</v>
      </c>
      <c r="C9" s="97">
        <v>0.80555555555555547</v>
      </c>
      <c r="D9" s="96" t="s">
        <v>63</v>
      </c>
      <c r="E9" s="96" t="s">
        <v>100</v>
      </c>
      <c r="F9" s="96" t="s">
        <v>1151</v>
      </c>
      <c r="G9" s="299"/>
      <c r="H9" s="300"/>
      <c r="I9" s="140"/>
      <c r="J9" s="140"/>
      <c r="K9" s="140"/>
      <c r="L9" s="140"/>
      <c r="M9" s="140"/>
      <c r="N9" s="140"/>
      <c r="O9" s="141"/>
      <c r="P9" s="140"/>
      <c r="Q9" s="142"/>
      <c r="R9" s="301"/>
    </row>
    <row r="10" spans="1:92" ht="17.45" customHeight="1" thickBot="1">
      <c r="A10" s="283"/>
      <c r="B10" s="284"/>
      <c r="C10" s="284"/>
      <c r="D10" s="284"/>
      <c r="E10" s="284"/>
      <c r="F10" s="284"/>
      <c r="G10" s="284"/>
      <c r="H10" s="284"/>
      <c r="I10" s="284"/>
      <c r="J10" s="284"/>
      <c r="K10" s="284"/>
      <c r="L10" s="284"/>
      <c r="M10" s="284"/>
      <c r="N10" s="284"/>
      <c r="O10" s="284"/>
      <c r="P10" s="284"/>
      <c r="Q10" s="284"/>
      <c r="R10" s="285"/>
    </row>
    <row r="11" spans="1:92" ht="22.15" customHeight="1" thickTop="1" thickBot="1">
      <c r="A11" s="279" t="s">
        <v>6</v>
      </c>
      <c r="B11" s="295"/>
      <c r="C11" s="295"/>
      <c r="D11" s="295"/>
      <c r="E11" s="295"/>
      <c r="F11" s="296"/>
      <c r="G11" s="32">
        <v>46024</v>
      </c>
      <c r="H11" s="278" t="s">
        <v>7</v>
      </c>
      <c r="I11" s="295"/>
      <c r="J11" s="295"/>
      <c r="K11" s="295"/>
      <c r="L11" s="295"/>
      <c r="M11" s="295"/>
      <c r="N11" s="295"/>
      <c r="O11" s="295"/>
      <c r="P11" s="295"/>
      <c r="Q11" s="295"/>
      <c r="R11" s="296"/>
    </row>
    <row r="12" spans="1:92" ht="24" customHeight="1">
      <c r="A12" s="33" t="s">
        <v>8</v>
      </c>
      <c r="B12" s="33" t="s">
        <v>9</v>
      </c>
      <c r="C12" s="34" t="s">
        <v>10</v>
      </c>
      <c r="D12" s="33" t="s">
        <v>11</v>
      </c>
      <c r="E12" s="33" t="s">
        <v>12</v>
      </c>
      <c r="F12" s="35" t="s">
        <v>13</v>
      </c>
      <c r="G12" s="36" t="s">
        <v>14</v>
      </c>
      <c r="H12" s="33" t="s">
        <v>15</v>
      </c>
      <c r="I12" s="37" t="s">
        <v>16</v>
      </c>
      <c r="J12" s="38" t="s">
        <v>17</v>
      </c>
      <c r="K12" s="39" t="s">
        <v>18</v>
      </c>
      <c r="L12" s="38" t="s">
        <v>19</v>
      </c>
      <c r="M12" s="38" t="s">
        <v>20</v>
      </c>
      <c r="N12" s="38" t="s">
        <v>21</v>
      </c>
      <c r="O12" s="33" t="s">
        <v>22</v>
      </c>
      <c r="P12" s="34" t="s">
        <v>23</v>
      </c>
      <c r="Q12" s="38" t="s">
        <v>24</v>
      </c>
      <c r="R12" s="33" t="s">
        <v>25</v>
      </c>
    </row>
    <row r="13" spans="1:92" ht="49.9" customHeight="1">
      <c r="A13" s="8" t="s">
        <v>359</v>
      </c>
      <c r="B13" s="8" t="s">
        <v>1152</v>
      </c>
      <c r="C13" s="9">
        <v>0.49652777777777768</v>
      </c>
      <c r="D13" s="8" t="s">
        <v>361</v>
      </c>
      <c r="E13" s="8" t="s">
        <v>80</v>
      </c>
      <c r="F13" s="8" t="s">
        <v>1153</v>
      </c>
      <c r="G13" s="302"/>
      <c r="H13" s="10"/>
      <c r="I13" s="11"/>
      <c r="J13" s="11"/>
      <c r="K13" s="11"/>
      <c r="L13" s="11"/>
      <c r="M13" s="11"/>
      <c r="N13" s="11"/>
      <c r="O13" s="12"/>
      <c r="P13" s="11"/>
      <c r="Q13" s="13"/>
      <c r="R13" s="14"/>
    </row>
    <row r="14" spans="1:92" ht="49.9" customHeight="1">
      <c r="A14" s="15" t="s">
        <v>359</v>
      </c>
      <c r="B14" s="15" t="s">
        <v>1152</v>
      </c>
      <c r="C14" s="16">
        <v>0.49652777777777768</v>
      </c>
      <c r="D14" s="15" t="s">
        <v>46</v>
      </c>
      <c r="E14" s="15" t="s">
        <v>82</v>
      </c>
      <c r="F14" s="15" t="s">
        <v>1154</v>
      </c>
      <c r="G14" s="298"/>
      <c r="H14" s="10"/>
      <c r="I14" s="11"/>
      <c r="J14" s="11"/>
      <c r="K14" s="11"/>
      <c r="L14" s="11"/>
      <c r="M14" s="11"/>
      <c r="N14" s="11"/>
      <c r="O14" s="12"/>
      <c r="P14" s="11"/>
      <c r="Q14" s="13"/>
      <c r="R14" s="14"/>
    </row>
    <row r="15" spans="1:92" ht="49.9" customHeight="1">
      <c r="A15" s="19" t="s">
        <v>402</v>
      </c>
      <c r="B15" s="19" t="s">
        <v>1155</v>
      </c>
      <c r="C15" s="20">
        <v>0.75694444444444453</v>
      </c>
      <c r="D15" s="19" t="s">
        <v>63</v>
      </c>
      <c r="E15" s="19" t="s">
        <v>29</v>
      </c>
      <c r="F15" s="19" t="s">
        <v>1146</v>
      </c>
      <c r="G15" s="298"/>
      <c r="H15" s="10"/>
      <c r="I15" s="11"/>
      <c r="J15" s="11"/>
      <c r="K15" s="11"/>
      <c r="L15" s="11"/>
      <c r="M15" s="11"/>
      <c r="N15" s="11"/>
      <c r="O15" s="12"/>
      <c r="P15" s="11"/>
      <c r="Q15" s="13"/>
      <c r="R15" s="14"/>
    </row>
    <row r="16" spans="1:92" ht="49.9" customHeight="1">
      <c r="A16" s="19" t="s">
        <v>68</v>
      </c>
      <c r="B16" s="19" t="s">
        <v>1149</v>
      </c>
      <c r="C16" s="20">
        <v>0.98263888888888884</v>
      </c>
      <c r="D16" s="19" t="s">
        <v>70</v>
      </c>
      <c r="E16" s="19" t="s">
        <v>51</v>
      </c>
      <c r="F16" s="19" t="s">
        <v>1156</v>
      </c>
      <c r="G16" s="298"/>
      <c r="H16" s="10"/>
      <c r="I16" s="11"/>
      <c r="J16" s="11"/>
      <c r="K16" s="11"/>
      <c r="L16" s="11"/>
      <c r="M16" s="11"/>
      <c r="N16" s="11"/>
      <c r="O16" s="12"/>
      <c r="P16" s="11"/>
      <c r="Q16" s="13"/>
      <c r="R16" s="14"/>
    </row>
    <row r="17" spans="1:18" ht="49.9" customHeight="1" thickBot="1">
      <c r="A17" s="96" t="s">
        <v>415</v>
      </c>
      <c r="B17" s="96" t="s">
        <v>1150</v>
      </c>
      <c r="C17" s="97">
        <v>0.85416666666666663</v>
      </c>
      <c r="D17" s="96" t="s">
        <v>63</v>
      </c>
      <c r="E17" s="96" t="s">
        <v>107</v>
      </c>
      <c r="F17" s="96" t="s">
        <v>1151</v>
      </c>
      <c r="G17" s="299"/>
      <c r="H17" s="300"/>
      <c r="I17" s="140"/>
      <c r="J17" s="140"/>
      <c r="K17" s="140"/>
      <c r="L17" s="140"/>
      <c r="M17" s="140"/>
      <c r="N17" s="140"/>
      <c r="O17" s="141"/>
      <c r="P17" s="140"/>
      <c r="Q17" s="142"/>
      <c r="R17" s="301"/>
    </row>
    <row r="18" spans="1:18" ht="17.45" customHeight="1" thickBot="1">
      <c r="A18" s="283"/>
      <c r="B18" s="284"/>
      <c r="C18" s="284"/>
      <c r="D18" s="284"/>
      <c r="E18" s="284"/>
      <c r="F18" s="284"/>
      <c r="G18" s="284"/>
      <c r="H18" s="284"/>
      <c r="I18" s="284"/>
      <c r="J18" s="284"/>
      <c r="K18" s="284"/>
      <c r="L18" s="284"/>
      <c r="M18" s="284"/>
      <c r="N18" s="284"/>
      <c r="O18" s="284"/>
      <c r="P18" s="284"/>
      <c r="Q18" s="284"/>
      <c r="R18" s="285"/>
    </row>
    <row r="19" spans="1:18" ht="22.15" customHeight="1" thickTop="1" thickBot="1">
      <c r="A19" s="279" t="s">
        <v>6</v>
      </c>
      <c r="B19" s="295"/>
      <c r="C19" s="295"/>
      <c r="D19" s="295"/>
      <c r="E19" s="295"/>
      <c r="F19" s="296"/>
      <c r="G19" s="32">
        <v>46025</v>
      </c>
      <c r="H19" s="278" t="s">
        <v>7</v>
      </c>
      <c r="I19" s="295"/>
      <c r="J19" s="295"/>
      <c r="K19" s="295"/>
      <c r="L19" s="295"/>
      <c r="M19" s="295"/>
      <c r="N19" s="295"/>
      <c r="O19" s="295"/>
      <c r="P19" s="295"/>
      <c r="Q19" s="295"/>
      <c r="R19" s="296"/>
    </row>
    <row r="20" spans="1:18" ht="24" customHeight="1">
      <c r="A20" s="33" t="s">
        <v>8</v>
      </c>
      <c r="B20" s="33" t="s">
        <v>9</v>
      </c>
      <c r="C20" s="34" t="s">
        <v>10</v>
      </c>
      <c r="D20" s="33" t="s">
        <v>11</v>
      </c>
      <c r="E20" s="33" t="s">
        <v>12</v>
      </c>
      <c r="F20" s="35" t="s">
        <v>13</v>
      </c>
      <c r="G20" s="36" t="s">
        <v>14</v>
      </c>
      <c r="H20" s="33" t="s">
        <v>15</v>
      </c>
      <c r="I20" s="37" t="s">
        <v>16</v>
      </c>
      <c r="J20" s="38" t="s">
        <v>17</v>
      </c>
      <c r="K20" s="39" t="s">
        <v>18</v>
      </c>
      <c r="L20" s="38" t="s">
        <v>19</v>
      </c>
      <c r="M20" s="38" t="s">
        <v>20</v>
      </c>
      <c r="N20" s="38" t="s">
        <v>21</v>
      </c>
      <c r="O20" s="33" t="s">
        <v>22</v>
      </c>
      <c r="P20" s="34" t="s">
        <v>23</v>
      </c>
      <c r="Q20" s="38" t="s">
        <v>24</v>
      </c>
      <c r="R20" s="33" t="s">
        <v>25</v>
      </c>
    </row>
    <row r="21" spans="1:18" ht="49.9" customHeight="1">
      <c r="A21" s="8" t="s">
        <v>402</v>
      </c>
      <c r="B21" s="8" t="s">
        <v>1145</v>
      </c>
      <c r="C21" s="9">
        <v>0.75694444444444453</v>
      </c>
      <c r="D21" s="8" t="s">
        <v>63</v>
      </c>
      <c r="E21" s="8" t="s">
        <v>103</v>
      </c>
      <c r="F21" s="8" t="s">
        <v>1146</v>
      </c>
      <c r="G21" s="297"/>
      <c r="H21" s="10"/>
      <c r="I21" s="11"/>
      <c r="J21" s="11"/>
      <c r="K21" s="11"/>
      <c r="L21" s="11"/>
      <c r="M21" s="11"/>
      <c r="N21" s="11"/>
      <c r="O21" s="12"/>
      <c r="P21" s="11"/>
      <c r="Q21" s="13"/>
      <c r="R21" s="14"/>
    </row>
    <row r="22" spans="1:18" ht="49.9" customHeight="1" thickTop="1" thickBot="1">
      <c r="A22" s="245" t="s">
        <v>61</v>
      </c>
      <c r="B22" s="245" t="s">
        <v>1147</v>
      </c>
      <c r="C22" s="246">
        <v>0.83680555555555547</v>
      </c>
      <c r="D22" s="245" t="s">
        <v>63</v>
      </c>
      <c r="E22" s="245" t="s">
        <v>29</v>
      </c>
      <c r="F22" s="245" t="s">
        <v>1157</v>
      </c>
      <c r="G22" s="299"/>
      <c r="H22" s="232" t="s">
        <v>1148</v>
      </c>
      <c r="I22" s="233">
        <v>6.7000000000000004E-2</v>
      </c>
      <c r="J22" s="234">
        <v>12</v>
      </c>
      <c r="K22" s="235">
        <v>46339</v>
      </c>
      <c r="L22" s="234">
        <v>12</v>
      </c>
      <c r="M22" s="234">
        <v>0</v>
      </c>
      <c r="N22" s="234">
        <v>0</v>
      </c>
      <c r="O22" s="236" t="s">
        <v>951</v>
      </c>
      <c r="P22" s="237">
        <v>0.83680555555555547</v>
      </c>
      <c r="Q22" s="234">
        <v>179</v>
      </c>
      <c r="R22" s="238" t="s">
        <v>1158</v>
      </c>
    </row>
    <row r="23" spans="1:18" ht="17.45" customHeight="1" thickBot="1">
      <c r="A23" s="283"/>
      <c r="B23" s="284"/>
      <c r="C23" s="284"/>
      <c r="D23" s="284"/>
      <c r="E23" s="284"/>
      <c r="F23" s="284"/>
      <c r="G23" s="284"/>
      <c r="H23" s="284"/>
      <c r="I23" s="284"/>
      <c r="J23" s="284"/>
      <c r="K23" s="284"/>
      <c r="L23" s="284"/>
      <c r="M23" s="284"/>
      <c r="N23" s="284"/>
      <c r="O23" s="284"/>
      <c r="P23" s="284"/>
      <c r="Q23" s="284"/>
      <c r="R23" s="285"/>
    </row>
    <row r="24" spans="1:18" ht="22.15" customHeight="1" thickTop="1" thickBot="1">
      <c r="A24" s="279" t="s">
        <v>6</v>
      </c>
      <c r="B24" s="295"/>
      <c r="C24" s="295"/>
      <c r="D24" s="295"/>
      <c r="E24" s="295"/>
      <c r="F24" s="296"/>
      <c r="G24" s="32">
        <v>46026</v>
      </c>
      <c r="H24" s="278" t="s">
        <v>7</v>
      </c>
      <c r="I24" s="295"/>
      <c r="J24" s="295"/>
      <c r="K24" s="295"/>
      <c r="L24" s="295"/>
      <c r="M24" s="295"/>
      <c r="N24" s="295"/>
      <c r="O24" s="295"/>
      <c r="P24" s="295"/>
      <c r="Q24" s="295"/>
      <c r="R24" s="296"/>
    </row>
    <row r="25" spans="1:18" ht="24" customHeight="1">
      <c r="A25" s="33" t="s">
        <v>8</v>
      </c>
      <c r="B25" s="33" t="s">
        <v>9</v>
      </c>
      <c r="C25" s="34" t="s">
        <v>10</v>
      </c>
      <c r="D25" s="33" t="s">
        <v>11</v>
      </c>
      <c r="E25" s="33" t="s">
        <v>12</v>
      </c>
      <c r="F25" s="35" t="s">
        <v>13</v>
      </c>
      <c r="G25" s="36" t="s">
        <v>14</v>
      </c>
      <c r="H25" s="33" t="s">
        <v>15</v>
      </c>
      <c r="I25" s="37" t="s">
        <v>16</v>
      </c>
      <c r="J25" s="38" t="s">
        <v>17</v>
      </c>
      <c r="K25" s="39" t="s">
        <v>18</v>
      </c>
      <c r="L25" s="38" t="s">
        <v>19</v>
      </c>
      <c r="M25" s="38" t="s">
        <v>20</v>
      </c>
      <c r="N25" s="38" t="s">
        <v>21</v>
      </c>
      <c r="O25" s="33" t="s">
        <v>22</v>
      </c>
      <c r="P25" s="34" t="s">
        <v>23</v>
      </c>
      <c r="Q25" s="38" t="s">
        <v>24</v>
      </c>
      <c r="R25" s="33" t="s">
        <v>25</v>
      </c>
    </row>
    <row r="26" spans="1:18" ht="49.9" customHeight="1">
      <c r="A26" s="8" t="s">
        <v>359</v>
      </c>
      <c r="B26" s="8" t="s">
        <v>1152</v>
      </c>
      <c r="C26" s="9">
        <v>0.53819444444444442</v>
      </c>
      <c r="D26" s="8" t="s">
        <v>361</v>
      </c>
      <c r="E26" s="8" t="s">
        <v>80</v>
      </c>
      <c r="F26" s="8" t="s">
        <v>1153</v>
      </c>
      <c r="G26" s="297"/>
      <c r="H26" s="10"/>
      <c r="I26" s="11"/>
      <c r="J26" s="11"/>
      <c r="K26" s="11"/>
      <c r="L26" s="11"/>
      <c r="M26" s="11"/>
      <c r="N26" s="11"/>
      <c r="O26" s="12"/>
      <c r="P26" s="11"/>
      <c r="Q26" s="13"/>
      <c r="R26" s="14"/>
    </row>
    <row r="27" spans="1:18" ht="49.9" customHeight="1">
      <c r="A27" s="15" t="s">
        <v>359</v>
      </c>
      <c r="B27" s="15" t="s">
        <v>1152</v>
      </c>
      <c r="C27" s="16">
        <v>0.53819444444444442</v>
      </c>
      <c r="D27" s="15" t="s">
        <v>46</v>
      </c>
      <c r="E27" s="15" t="s">
        <v>82</v>
      </c>
      <c r="F27" s="15" t="s">
        <v>1154</v>
      </c>
      <c r="G27" s="298"/>
      <c r="H27" s="10"/>
      <c r="I27" s="11"/>
      <c r="J27" s="11"/>
      <c r="K27" s="11"/>
      <c r="L27" s="11"/>
      <c r="M27" s="11"/>
      <c r="N27" s="11"/>
      <c r="O27" s="12"/>
      <c r="P27" s="11"/>
      <c r="Q27" s="13"/>
      <c r="R27" s="14"/>
    </row>
    <row r="28" spans="1:18" ht="49.9" customHeight="1">
      <c r="A28" s="19" t="s">
        <v>402</v>
      </c>
      <c r="B28" s="19" t="s">
        <v>1159</v>
      </c>
      <c r="C28" s="20">
        <v>0.75694444444444453</v>
      </c>
      <c r="D28" s="19" t="s">
        <v>63</v>
      </c>
      <c r="E28" s="19" t="s">
        <v>103</v>
      </c>
      <c r="F28" s="19" t="s">
        <v>1146</v>
      </c>
      <c r="G28" s="298"/>
      <c r="H28" s="10"/>
      <c r="I28" s="11"/>
      <c r="J28" s="11"/>
      <c r="K28" s="11"/>
      <c r="L28" s="11"/>
      <c r="M28" s="11"/>
      <c r="N28" s="11"/>
      <c r="O28" s="12"/>
      <c r="P28" s="11"/>
      <c r="Q28" s="13"/>
      <c r="R28" s="14"/>
    </row>
    <row r="29" spans="1:18" ht="49.9" customHeight="1" thickBot="1">
      <c r="A29" s="96" t="s">
        <v>415</v>
      </c>
      <c r="B29" s="96" t="s">
        <v>1150</v>
      </c>
      <c r="C29" s="97">
        <v>0.80555555555555547</v>
      </c>
      <c r="D29" s="96" t="s">
        <v>63</v>
      </c>
      <c r="E29" s="96" t="s">
        <v>100</v>
      </c>
      <c r="F29" s="96" t="s">
        <v>1151</v>
      </c>
      <c r="G29" s="299"/>
      <c r="H29" s="300"/>
      <c r="I29" s="140"/>
      <c r="J29" s="140"/>
      <c r="K29" s="140"/>
      <c r="L29" s="140"/>
      <c r="M29" s="140"/>
      <c r="N29" s="140"/>
      <c r="O29" s="141"/>
      <c r="P29" s="140"/>
      <c r="Q29" s="142"/>
      <c r="R29" s="301"/>
    </row>
    <row r="30" spans="1:18" ht="17.45" customHeight="1" thickBot="1">
      <c r="A30" s="283"/>
      <c r="B30" s="284"/>
      <c r="C30" s="284"/>
      <c r="D30" s="284"/>
      <c r="E30" s="284"/>
      <c r="F30" s="284"/>
      <c r="G30" s="284"/>
      <c r="H30" s="284"/>
      <c r="I30" s="284"/>
      <c r="J30" s="284"/>
      <c r="K30" s="284"/>
      <c r="L30" s="284"/>
      <c r="M30" s="284"/>
      <c r="N30" s="284"/>
      <c r="O30" s="284"/>
      <c r="P30" s="284"/>
      <c r="Q30" s="284"/>
      <c r="R30" s="285"/>
    </row>
    <row r="31" spans="1:18" ht="22.15" customHeight="1" thickTop="1" thickBot="1">
      <c r="A31" s="279" t="s">
        <v>6</v>
      </c>
      <c r="B31" s="295"/>
      <c r="C31" s="295"/>
      <c r="D31" s="295"/>
      <c r="E31" s="295"/>
      <c r="F31" s="296"/>
      <c r="G31" s="32">
        <v>46027</v>
      </c>
      <c r="H31" s="278" t="s">
        <v>7</v>
      </c>
      <c r="I31" s="295"/>
      <c r="J31" s="295"/>
      <c r="K31" s="295"/>
      <c r="L31" s="295"/>
      <c r="M31" s="295"/>
      <c r="N31" s="295"/>
      <c r="O31" s="295"/>
      <c r="P31" s="295"/>
      <c r="Q31" s="295"/>
      <c r="R31" s="296"/>
    </row>
    <row r="32" spans="1:18" ht="24" customHeight="1">
      <c r="A32" s="33" t="s">
        <v>8</v>
      </c>
      <c r="B32" s="33" t="s">
        <v>9</v>
      </c>
      <c r="C32" s="34" t="s">
        <v>10</v>
      </c>
      <c r="D32" s="33" t="s">
        <v>11</v>
      </c>
      <c r="E32" s="33" t="s">
        <v>12</v>
      </c>
      <c r="F32" s="35" t="s">
        <v>13</v>
      </c>
      <c r="G32" s="36" t="s">
        <v>14</v>
      </c>
      <c r="H32" s="33" t="s">
        <v>15</v>
      </c>
      <c r="I32" s="37" t="s">
        <v>16</v>
      </c>
      <c r="J32" s="38" t="s">
        <v>17</v>
      </c>
      <c r="K32" s="39" t="s">
        <v>18</v>
      </c>
      <c r="L32" s="38" t="s">
        <v>19</v>
      </c>
      <c r="M32" s="38" t="s">
        <v>20</v>
      </c>
      <c r="N32" s="38" t="s">
        <v>21</v>
      </c>
      <c r="O32" s="33" t="s">
        <v>22</v>
      </c>
      <c r="P32" s="34" t="s">
        <v>23</v>
      </c>
      <c r="Q32" s="38" t="s">
        <v>24</v>
      </c>
      <c r="R32" s="33" t="s">
        <v>25</v>
      </c>
    </row>
    <row r="33" spans="1:18" ht="49.9" customHeight="1">
      <c r="A33" s="8" t="s">
        <v>359</v>
      </c>
      <c r="B33" s="8" t="s">
        <v>1152</v>
      </c>
      <c r="C33" s="9">
        <v>0.53819444444444442</v>
      </c>
      <c r="D33" s="8" t="s">
        <v>361</v>
      </c>
      <c r="E33" s="8" t="s">
        <v>80</v>
      </c>
      <c r="F33" s="8" t="s">
        <v>1160</v>
      </c>
      <c r="G33" s="297"/>
      <c r="H33" s="10"/>
      <c r="I33" s="11"/>
      <c r="J33" s="11"/>
      <c r="K33" s="11"/>
      <c r="L33" s="11"/>
      <c r="M33" s="11"/>
      <c r="N33" s="11"/>
      <c r="O33" s="12"/>
      <c r="P33" s="11"/>
      <c r="Q33" s="13"/>
      <c r="R33" s="14"/>
    </row>
    <row r="34" spans="1:18" ht="49.9" customHeight="1">
      <c r="A34" s="15" t="s">
        <v>359</v>
      </c>
      <c r="B34" s="15" t="s">
        <v>1152</v>
      </c>
      <c r="C34" s="16">
        <v>0.53819444444444442</v>
      </c>
      <c r="D34" s="15" t="s">
        <v>46</v>
      </c>
      <c r="E34" s="15" t="s">
        <v>82</v>
      </c>
      <c r="F34" s="15" t="s">
        <v>1161</v>
      </c>
      <c r="G34" s="298"/>
      <c r="H34" s="10"/>
      <c r="I34" s="11"/>
      <c r="J34" s="11"/>
      <c r="K34" s="11"/>
      <c r="L34" s="11"/>
      <c r="M34" s="11"/>
      <c r="N34" s="11"/>
      <c r="O34" s="12"/>
      <c r="P34" s="11"/>
      <c r="Q34" s="13"/>
      <c r="R34" s="14"/>
    </row>
    <row r="35" spans="1:18" ht="49.9" customHeight="1">
      <c r="A35" s="19" t="s">
        <v>402</v>
      </c>
      <c r="B35" s="19" t="s">
        <v>1155</v>
      </c>
      <c r="C35" s="20">
        <v>0.71527777777777779</v>
      </c>
      <c r="D35" s="19" t="s">
        <v>63</v>
      </c>
      <c r="E35" s="19" t="s">
        <v>126</v>
      </c>
      <c r="F35" s="19" t="s">
        <v>1146</v>
      </c>
      <c r="G35" s="298"/>
      <c r="H35" s="10"/>
      <c r="I35" s="11"/>
      <c r="J35" s="11"/>
      <c r="K35" s="11"/>
      <c r="L35" s="11"/>
      <c r="M35" s="11"/>
      <c r="N35" s="11"/>
      <c r="O35" s="12"/>
      <c r="P35" s="11"/>
      <c r="Q35" s="13"/>
      <c r="R35" s="14"/>
    </row>
    <row r="36" spans="1:18" ht="49.9" customHeight="1" thickBot="1">
      <c r="A36" s="96" t="s">
        <v>68</v>
      </c>
      <c r="B36" s="96" t="s">
        <v>1149</v>
      </c>
      <c r="C36" s="97">
        <v>0.98263888888888884</v>
      </c>
      <c r="D36" s="96" t="s">
        <v>70</v>
      </c>
      <c r="E36" s="96" t="s">
        <v>51</v>
      </c>
      <c r="F36" s="96" t="s">
        <v>1156</v>
      </c>
      <c r="G36" s="299"/>
      <c r="H36" s="300"/>
      <c r="I36" s="140"/>
      <c r="J36" s="140"/>
      <c r="K36" s="140"/>
      <c r="L36" s="140"/>
      <c r="M36" s="140"/>
      <c r="N36" s="140"/>
      <c r="O36" s="141"/>
      <c r="P36" s="140"/>
      <c r="Q36" s="142"/>
      <c r="R36" s="301"/>
    </row>
    <row r="37" spans="1:18" ht="17.45" customHeight="1" thickBot="1">
      <c r="A37" s="283"/>
      <c r="B37" s="284"/>
      <c r="C37" s="284"/>
      <c r="D37" s="284"/>
      <c r="E37" s="284"/>
      <c r="F37" s="284"/>
      <c r="G37" s="284"/>
      <c r="H37" s="284"/>
      <c r="I37" s="284"/>
      <c r="J37" s="284"/>
      <c r="K37" s="284"/>
      <c r="L37" s="284"/>
      <c r="M37" s="284"/>
      <c r="N37" s="284"/>
      <c r="O37" s="284"/>
      <c r="P37" s="284"/>
      <c r="Q37" s="284"/>
      <c r="R37" s="285"/>
    </row>
    <row r="38" spans="1:18" ht="22.15" customHeight="1" thickTop="1" thickBot="1">
      <c r="A38" s="279" t="s">
        <v>6</v>
      </c>
      <c r="B38" s="295"/>
      <c r="C38" s="295"/>
      <c r="D38" s="295"/>
      <c r="E38" s="295"/>
      <c r="F38" s="296"/>
      <c r="G38" s="32">
        <v>46028</v>
      </c>
      <c r="H38" s="278" t="s">
        <v>7</v>
      </c>
      <c r="I38" s="295"/>
      <c r="J38" s="295"/>
      <c r="K38" s="295"/>
      <c r="L38" s="295"/>
      <c r="M38" s="295"/>
      <c r="N38" s="295"/>
      <c r="O38" s="295"/>
      <c r="P38" s="295"/>
      <c r="Q38" s="295"/>
      <c r="R38" s="296"/>
    </row>
    <row r="39" spans="1:18" ht="24" customHeight="1">
      <c r="A39" s="33" t="s">
        <v>8</v>
      </c>
      <c r="B39" s="33" t="s">
        <v>9</v>
      </c>
      <c r="C39" s="34" t="s">
        <v>10</v>
      </c>
      <c r="D39" s="33" t="s">
        <v>11</v>
      </c>
      <c r="E39" s="33" t="s">
        <v>12</v>
      </c>
      <c r="F39" s="35" t="s">
        <v>13</v>
      </c>
      <c r="G39" s="36" t="s">
        <v>14</v>
      </c>
      <c r="H39" s="33" t="s">
        <v>15</v>
      </c>
      <c r="I39" s="37" t="s">
        <v>16</v>
      </c>
      <c r="J39" s="38" t="s">
        <v>17</v>
      </c>
      <c r="K39" s="39" t="s">
        <v>18</v>
      </c>
      <c r="L39" s="38" t="s">
        <v>19</v>
      </c>
      <c r="M39" s="38" t="s">
        <v>20</v>
      </c>
      <c r="N39" s="38" t="s">
        <v>21</v>
      </c>
      <c r="O39" s="33" t="s">
        <v>22</v>
      </c>
      <c r="P39" s="34" t="s">
        <v>23</v>
      </c>
      <c r="Q39" s="38" t="s">
        <v>24</v>
      </c>
      <c r="R39" s="33" t="s">
        <v>25</v>
      </c>
    </row>
    <row r="40" spans="1:18" ht="49.9" customHeight="1">
      <c r="A40" s="8" t="s">
        <v>402</v>
      </c>
      <c r="B40" s="8" t="s">
        <v>1145</v>
      </c>
      <c r="C40" s="9">
        <v>0.71527777777777779</v>
      </c>
      <c r="D40" s="8" t="s">
        <v>63</v>
      </c>
      <c r="E40" s="8" t="s">
        <v>103</v>
      </c>
      <c r="F40" s="8" t="s">
        <v>1146</v>
      </c>
      <c r="G40" s="302"/>
      <c r="H40" s="10"/>
      <c r="I40" s="11"/>
      <c r="J40" s="11"/>
      <c r="K40" s="11"/>
      <c r="L40" s="11"/>
      <c r="M40" s="11"/>
      <c r="N40" s="11"/>
      <c r="O40" s="12"/>
      <c r="P40" s="11"/>
      <c r="Q40" s="13"/>
      <c r="R40" s="14"/>
    </row>
    <row r="41" spans="1:18" ht="49.9" customHeight="1" thickTop="1" thickBot="1">
      <c r="A41" s="96" t="s">
        <v>415</v>
      </c>
      <c r="B41" s="96" t="s">
        <v>1150</v>
      </c>
      <c r="C41" s="97">
        <v>0.78125</v>
      </c>
      <c r="D41" s="96" t="s">
        <v>63</v>
      </c>
      <c r="E41" s="96" t="s">
        <v>107</v>
      </c>
      <c r="F41" s="96" t="s">
        <v>1151</v>
      </c>
      <c r="G41" s="299"/>
      <c r="H41" s="300"/>
      <c r="I41" s="140"/>
      <c r="J41" s="140"/>
      <c r="K41" s="140"/>
      <c r="L41" s="140"/>
      <c r="M41" s="140"/>
      <c r="N41" s="140"/>
      <c r="O41" s="141"/>
      <c r="P41" s="140"/>
      <c r="Q41" s="142"/>
      <c r="R41" s="301"/>
    </row>
    <row r="42" spans="1:18" ht="17.45" customHeight="1" thickBot="1">
      <c r="A42" s="283"/>
      <c r="B42" s="284"/>
      <c r="C42" s="284"/>
      <c r="D42" s="284"/>
      <c r="E42" s="284"/>
      <c r="F42" s="284"/>
      <c r="G42" s="284"/>
      <c r="H42" s="284"/>
      <c r="I42" s="284"/>
      <c r="J42" s="284"/>
      <c r="K42" s="284"/>
      <c r="L42" s="284"/>
      <c r="M42" s="284"/>
      <c r="N42" s="284"/>
      <c r="O42" s="284"/>
      <c r="P42" s="284"/>
      <c r="Q42" s="284"/>
      <c r="R42" s="285"/>
    </row>
    <row r="43" spans="1:18" ht="22.15" customHeight="1" thickTop="1" thickBot="1">
      <c r="A43" s="279" t="s">
        <v>6</v>
      </c>
      <c r="B43" s="295"/>
      <c r="C43" s="295"/>
      <c r="D43" s="295"/>
      <c r="E43" s="295"/>
      <c r="F43" s="296"/>
      <c r="G43" s="32">
        <v>46029</v>
      </c>
      <c r="H43" s="278" t="s">
        <v>7</v>
      </c>
      <c r="I43" s="295"/>
      <c r="J43" s="295"/>
      <c r="K43" s="295"/>
      <c r="L43" s="295"/>
      <c r="M43" s="295"/>
      <c r="N43" s="295"/>
      <c r="O43" s="295"/>
      <c r="P43" s="295"/>
      <c r="Q43" s="295"/>
      <c r="R43" s="296"/>
    </row>
    <row r="44" spans="1:18" ht="24" customHeight="1">
      <c r="A44" s="33" t="s">
        <v>8</v>
      </c>
      <c r="B44" s="33" t="s">
        <v>9</v>
      </c>
      <c r="C44" s="34" t="s">
        <v>10</v>
      </c>
      <c r="D44" s="33" t="s">
        <v>11</v>
      </c>
      <c r="E44" s="33" t="s">
        <v>12</v>
      </c>
      <c r="F44" s="35" t="s">
        <v>13</v>
      </c>
      <c r="G44" s="36" t="s">
        <v>14</v>
      </c>
      <c r="H44" s="33" t="s">
        <v>15</v>
      </c>
      <c r="I44" s="37" t="s">
        <v>16</v>
      </c>
      <c r="J44" s="38" t="s">
        <v>17</v>
      </c>
      <c r="K44" s="39" t="s">
        <v>18</v>
      </c>
      <c r="L44" s="38" t="s">
        <v>19</v>
      </c>
      <c r="M44" s="38" t="s">
        <v>20</v>
      </c>
      <c r="N44" s="38" t="s">
        <v>21</v>
      </c>
      <c r="O44" s="33" t="s">
        <v>22</v>
      </c>
      <c r="P44" s="34" t="s">
        <v>23</v>
      </c>
      <c r="Q44" s="38" t="s">
        <v>24</v>
      </c>
      <c r="R44" s="33" t="s">
        <v>25</v>
      </c>
    </row>
    <row r="45" spans="1:18" ht="15" customHeight="1">
      <c r="A45" s="8" t="s">
        <v>359</v>
      </c>
      <c r="B45" s="8" t="s">
        <v>1152</v>
      </c>
      <c r="C45" s="9">
        <v>0.49652777777777768</v>
      </c>
      <c r="D45" s="8" t="s">
        <v>361</v>
      </c>
      <c r="E45" s="8" t="s">
        <v>80</v>
      </c>
      <c r="F45" s="8" t="s">
        <v>1160</v>
      </c>
      <c r="G45" s="297"/>
      <c r="H45" s="10"/>
      <c r="I45" s="11"/>
      <c r="J45" s="11"/>
      <c r="K45" s="11"/>
      <c r="L45" s="11"/>
      <c r="M45" s="11"/>
      <c r="N45" s="11"/>
      <c r="O45" s="12"/>
      <c r="P45" s="11"/>
      <c r="Q45" s="13"/>
      <c r="R45" s="14"/>
    </row>
    <row r="46" spans="1:18" ht="15" customHeight="1">
      <c r="A46" s="15" t="s">
        <v>359</v>
      </c>
      <c r="B46" s="15" t="s">
        <v>1152</v>
      </c>
      <c r="C46" s="16">
        <v>0.49652777777777768</v>
      </c>
      <c r="D46" s="15" t="s">
        <v>46</v>
      </c>
      <c r="E46" s="15" t="s">
        <v>82</v>
      </c>
      <c r="F46" s="15" t="s">
        <v>1161</v>
      </c>
      <c r="G46" s="298"/>
      <c r="H46" s="10"/>
      <c r="I46" s="11"/>
      <c r="J46" s="11"/>
      <c r="K46" s="11"/>
      <c r="L46" s="11"/>
      <c r="M46" s="11"/>
      <c r="N46" s="11"/>
      <c r="O46" s="12"/>
      <c r="P46" s="11"/>
      <c r="Q46" s="13"/>
      <c r="R46" s="14"/>
    </row>
    <row r="47" spans="1:18" ht="15" customHeight="1">
      <c r="A47" s="19" t="s">
        <v>402</v>
      </c>
      <c r="B47" s="19" t="s">
        <v>1155</v>
      </c>
      <c r="C47" s="20">
        <v>0.75694444444444453</v>
      </c>
      <c r="D47" s="19" t="s">
        <v>63</v>
      </c>
      <c r="E47" s="19" t="s">
        <v>103</v>
      </c>
      <c r="F47" s="19" t="s">
        <v>1146</v>
      </c>
      <c r="G47" s="298"/>
      <c r="H47" s="10"/>
      <c r="I47" s="11"/>
      <c r="J47" s="11"/>
      <c r="K47" s="11"/>
      <c r="L47" s="11"/>
      <c r="M47" s="11"/>
      <c r="N47" s="11"/>
      <c r="O47" s="12"/>
      <c r="P47" s="11"/>
      <c r="Q47" s="13"/>
      <c r="R47" s="14"/>
    </row>
    <row r="48" spans="1:18" ht="15" customHeight="1">
      <c r="A48" s="21" t="s">
        <v>61</v>
      </c>
      <c r="B48" s="21" t="s">
        <v>1147</v>
      </c>
      <c r="C48" s="22">
        <v>0.71180555555555547</v>
      </c>
      <c r="D48" s="21" t="s">
        <v>63</v>
      </c>
      <c r="E48" s="21" t="s">
        <v>126</v>
      </c>
      <c r="F48" s="21" t="s">
        <v>33</v>
      </c>
      <c r="G48" s="298"/>
      <c r="H48" s="23" t="s">
        <v>1148</v>
      </c>
      <c r="I48" s="24">
        <v>2.23E-2</v>
      </c>
      <c r="J48" s="25">
        <v>4</v>
      </c>
      <c r="K48" s="26">
        <v>46328</v>
      </c>
      <c r="L48" s="25">
        <v>4</v>
      </c>
      <c r="M48" s="25">
        <v>0</v>
      </c>
      <c r="N48" s="25">
        <v>0</v>
      </c>
      <c r="O48" s="27" t="s">
        <v>819</v>
      </c>
      <c r="P48" s="28">
        <v>0.71180555555555547</v>
      </c>
      <c r="Q48" s="25">
        <v>179</v>
      </c>
      <c r="R48" s="29" t="s">
        <v>901</v>
      </c>
    </row>
    <row r="49" spans="1:18" ht="15" customHeight="1">
      <c r="A49" s="19" t="s">
        <v>68</v>
      </c>
      <c r="B49" s="19" t="s">
        <v>1149</v>
      </c>
      <c r="C49" s="20">
        <v>0.98263888888888884</v>
      </c>
      <c r="D49" s="19" t="s">
        <v>70</v>
      </c>
      <c r="E49" s="19" t="s">
        <v>51</v>
      </c>
      <c r="F49" s="19" t="s">
        <v>1156</v>
      </c>
      <c r="G49" s="298"/>
      <c r="H49" s="10"/>
      <c r="I49" s="11"/>
      <c r="J49" s="11"/>
      <c r="K49" s="11"/>
      <c r="L49" s="11"/>
      <c r="M49" s="11"/>
      <c r="N49" s="11"/>
      <c r="O49" s="12"/>
      <c r="P49" s="11"/>
      <c r="Q49" s="13"/>
      <c r="R49" s="14"/>
    </row>
    <row r="50" spans="1:18" ht="15" customHeight="1" thickBot="1">
      <c r="A50" s="96" t="s">
        <v>415</v>
      </c>
      <c r="B50" s="96" t="s">
        <v>1150</v>
      </c>
      <c r="C50" s="97">
        <v>0.80555555555555547</v>
      </c>
      <c r="D50" s="96" t="s">
        <v>63</v>
      </c>
      <c r="E50" s="96" t="s">
        <v>51</v>
      </c>
      <c r="F50" s="96" t="s">
        <v>1151</v>
      </c>
      <c r="G50" s="299"/>
      <c r="H50" s="300"/>
      <c r="I50" s="140"/>
      <c r="J50" s="140"/>
      <c r="K50" s="140"/>
      <c r="L50" s="140"/>
      <c r="M50" s="140"/>
      <c r="N50" s="140"/>
      <c r="O50" s="141"/>
      <c r="P50" s="140"/>
      <c r="Q50" s="142"/>
      <c r="R50" s="301"/>
    </row>
    <row r="51" spans="1:18" ht="17.45" customHeight="1" thickBot="1">
      <c r="A51" s="283"/>
      <c r="B51" s="284"/>
      <c r="C51" s="284"/>
      <c r="D51" s="284"/>
      <c r="E51" s="284"/>
      <c r="F51" s="284"/>
      <c r="G51" s="284"/>
      <c r="H51" s="284"/>
      <c r="I51" s="284"/>
      <c r="J51" s="284"/>
      <c r="K51" s="284"/>
      <c r="L51" s="284"/>
      <c r="M51" s="284"/>
      <c r="N51" s="284"/>
      <c r="O51" s="284"/>
      <c r="P51" s="284"/>
      <c r="Q51" s="284"/>
      <c r="R51" s="285"/>
    </row>
    <row r="52" spans="1:18" ht="22.15" customHeight="1" thickTop="1" thickBot="1">
      <c r="A52" s="279" t="s">
        <v>6</v>
      </c>
      <c r="B52" s="295"/>
      <c r="C52" s="295"/>
      <c r="D52" s="295"/>
      <c r="E52" s="295"/>
      <c r="F52" s="296"/>
      <c r="G52" s="32">
        <v>46030</v>
      </c>
      <c r="H52" s="278" t="s">
        <v>7</v>
      </c>
      <c r="I52" s="295"/>
      <c r="J52" s="295"/>
      <c r="K52" s="295"/>
      <c r="L52" s="295"/>
      <c r="M52" s="295"/>
      <c r="N52" s="295"/>
      <c r="O52" s="295"/>
      <c r="P52" s="295"/>
      <c r="Q52" s="295"/>
      <c r="R52" s="296"/>
    </row>
    <row r="53" spans="1:18" ht="24" customHeight="1">
      <c r="A53" s="33" t="s">
        <v>8</v>
      </c>
      <c r="B53" s="33" t="s">
        <v>9</v>
      </c>
      <c r="C53" s="34" t="s">
        <v>10</v>
      </c>
      <c r="D53" s="33" t="s">
        <v>11</v>
      </c>
      <c r="E53" s="33" t="s">
        <v>12</v>
      </c>
      <c r="F53" s="35" t="s">
        <v>13</v>
      </c>
      <c r="G53" s="36" t="s">
        <v>14</v>
      </c>
      <c r="H53" s="33" t="s">
        <v>15</v>
      </c>
      <c r="I53" s="37" t="s">
        <v>16</v>
      </c>
      <c r="J53" s="38" t="s">
        <v>17</v>
      </c>
      <c r="K53" s="39" t="s">
        <v>18</v>
      </c>
      <c r="L53" s="38" t="s">
        <v>19</v>
      </c>
      <c r="M53" s="38" t="s">
        <v>20</v>
      </c>
      <c r="N53" s="38" t="s">
        <v>21</v>
      </c>
      <c r="O53" s="33" t="s">
        <v>22</v>
      </c>
      <c r="P53" s="34" t="s">
        <v>23</v>
      </c>
      <c r="Q53" s="38" t="s">
        <v>24</v>
      </c>
      <c r="R53" s="33" t="s">
        <v>25</v>
      </c>
    </row>
    <row r="54" spans="1:18" ht="49.9" customHeight="1">
      <c r="A54" s="8" t="s">
        <v>402</v>
      </c>
      <c r="B54" s="8" t="s">
        <v>1145</v>
      </c>
      <c r="C54" s="9">
        <v>0.75694444444444453</v>
      </c>
      <c r="D54" s="8" t="s">
        <v>63</v>
      </c>
      <c r="E54" s="8" t="s">
        <v>143</v>
      </c>
      <c r="F54" s="8" t="s">
        <v>1146</v>
      </c>
      <c r="G54" s="297"/>
      <c r="H54" s="10"/>
      <c r="I54" s="11"/>
      <c r="J54" s="11"/>
      <c r="K54" s="11"/>
      <c r="L54" s="11"/>
      <c r="M54" s="11"/>
      <c r="N54" s="11"/>
      <c r="O54" s="12"/>
      <c r="P54" s="11"/>
      <c r="Q54" s="13"/>
      <c r="R54" s="14"/>
    </row>
    <row r="55" spans="1:18" ht="49.9" customHeight="1">
      <c r="A55" s="49" t="s">
        <v>61</v>
      </c>
      <c r="B55" s="49" t="s">
        <v>1147</v>
      </c>
      <c r="C55" s="50">
        <v>0.71180555555555547</v>
      </c>
      <c r="D55" s="49" t="s">
        <v>63</v>
      </c>
      <c r="E55" s="49" t="s">
        <v>156</v>
      </c>
      <c r="F55" s="49" t="s">
        <v>33</v>
      </c>
      <c r="G55" s="298"/>
      <c r="H55" s="51" t="s">
        <v>1148</v>
      </c>
      <c r="I55" s="52">
        <v>3.3500000000000002E-2</v>
      </c>
      <c r="J55" s="53">
        <v>6</v>
      </c>
      <c r="K55" s="54">
        <v>46338</v>
      </c>
      <c r="L55" s="53">
        <v>6</v>
      </c>
      <c r="M55" s="53">
        <v>0</v>
      </c>
      <c r="N55" s="53">
        <v>0</v>
      </c>
      <c r="O55" s="55" t="s">
        <v>244</v>
      </c>
      <c r="P55" s="56">
        <v>0.71180555555555547</v>
      </c>
      <c r="Q55" s="53">
        <v>179</v>
      </c>
      <c r="R55" s="57" t="s">
        <v>900</v>
      </c>
    </row>
    <row r="56" spans="1:18" ht="49.9" customHeight="1">
      <c r="A56" s="19" t="s">
        <v>68</v>
      </c>
      <c r="B56" s="19" t="s">
        <v>1149</v>
      </c>
      <c r="C56" s="20">
        <v>0.98263888888888884</v>
      </c>
      <c r="D56" s="19" t="s">
        <v>643</v>
      </c>
      <c r="E56" s="19" t="s">
        <v>51</v>
      </c>
      <c r="F56" s="19" t="s">
        <v>33</v>
      </c>
      <c r="G56" s="298"/>
      <c r="H56" s="10"/>
      <c r="I56" s="11"/>
      <c r="J56" s="11"/>
      <c r="K56" s="11"/>
      <c r="L56" s="11"/>
      <c r="M56" s="11"/>
      <c r="N56" s="11"/>
      <c r="O56" s="12"/>
      <c r="P56" s="11"/>
      <c r="Q56" s="13"/>
      <c r="R56" s="14"/>
    </row>
    <row r="57" spans="1:18" ht="49.9" customHeight="1" thickBot="1">
      <c r="A57" s="96" t="s">
        <v>415</v>
      </c>
      <c r="B57" s="96" t="s">
        <v>1150</v>
      </c>
      <c r="C57" s="97">
        <v>0.80555555555555547</v>
      </c>
      <c r="D57" s="96" t="s">
        <v>63</v>
      </c>
      <c r="E57" s="96" t="s">
        <v>51</v>
      </c>
      <c r="F57" s="96" t="s">
        <v>1151</v>
      </c>
      <c r="G57" s="299"/>
      <c r="H57" s="300"/>
      <c r="I57" s="140"/>
      <c r="J57" s="140"/>
      <c r="K57" s="140"/>
      <c r="L57" s="140"/>
      <c r="M57" s="140"/>
      <c r="N57" s="140"/>
      <c r="O57" s="141"/>
      <c r="P57" s="140"/>
      <c r="Q57" s="142"/>
      <c r="R57" s="301"/>
    </row>
    <row r="58" spans="1:18" ht="17.45" customHeight="1" thickBot="1">
      <c r="A58" s="283"/>
      <c r="B58" s="284"/>
      <c r="C58" s="284"/>
      <c r="D58" s="284"/>
      <c r="E58" s="284"/>
      <c r="F58" s="284"/>
      <c r="G58" s="284"/>
      <c r="H58" s="284"/>
      <c r="I58" s="284"/>
      <c r="J58" s="284"/>
      <c r="K58" s="284"/>
      <c r="L58" s="284"/>
      <c r="M58" s="284"/>
      <c r="N58" s="284"/>
      <c r="O58" s="284"/>
      <c r="P58" s="284"/>
      <c r="Q58" s="284"/>
      <c r="R58" s="285"/>
    </row>
    <row r="59" spans="1:18" ht="22.15" customHeight="1" thickTop="1" thickBot="1">
      <c r="A59" s="279" t="s">
        <v>6</v>
      </c>
      <c r="B59" s="295"/>
      <c r="C59" s="295"/>
      <c r="D59" s="295"/>
      <c r="E59" s="295"/>
      <c r="F59" s="296"/>
      <c r="G59" s="32">
        <v>46031</v>
      </c>
      <c r="H59" s="278" t="s">
        <v>7</v>
      </c>
      <c r="I59" s="295"/>
      <c r="J59" s="295"/>
      <c r="K59" s="295"/>
      <c r="L59" s="295"/>
      <c r="M59" s="295"/>
      <c r="N59" s="295"/>
      <c r="O59" s="295"/>
      <c r="P59" s="295"/>
      <c r="Q59" s="295"/>
      <c r="R59" s="296"/>
    </row>
    <row r="60" spans="1:18" ht="24" customHeight="1">
      <c r="A60" s="33" t="s">
        <v>8</v>
      </c>
      <c r="B60" s="33" t="s">
        <v>9</v>
      </c>
      <c r="C60" s="34" t="s">
        <v>10</v>
      </c>
      <c r="D60" s="33" t="s">
        <v>11</v>
      </c>
      <c r="E60" s="33" t="s">
        <v>12</v>
      </c>
      <c r="F60" s="35" t="s">
        <v>13</v>
      </c>
      <c r="G60" s="36" t="s">
        <v>14</v>
      </c>
      <c r="H60" s="33" t="s">
        <v>15</v>
      </c>
      <c r="I60" s="37" t="s">
        <v>16</v>
      </c>
      <c r="J60" s="38" t="s">
        <v>17</v>
      </c>
      <c r="K60" s="39" t="s">
        <v>18</v>
      </c>
      <c r="L60" s="38" t="s">
        <v>19</v>
      </c>
      <c r="M60" s="38" t="s">
        <v>20</v>
      </c>
      <c r="N60" s="38" t="s">
        <v>21</v>
      </c>
      <c r="O60" s="33" t="s">
        <v>22</v>
      </c>
      <c r="P60" s="34" t="s">
        <v>23</v>
      </c>
      <c r="Q60" s="38" t="s">
        <v>24</v>
      </c>
      <c r="R60" s="33" t="s">
        <v>25</v>
      </c>
    </row>
    <row r="61" spans="1:18" ht="49.9" customHeight="1">
      <c r="A61" s="8" t="s">
        <v>359</v>
      </c>
      <c r="B61" s="8" t="s">
        <v>1152</v>
      </c>
      <c r="C61" s="9">
        <v>0.49652777777777768</v>
      </c>
      <c r="D61" s="8" t="s">
        <v>361</v>
      </c>
      <c r="E61" s="8" t="s">
        <v>80</v>
      </c>
      <c r="F61" s="8" t="s">
        <v>1153</v>
      </c>
      <c r="G61" s="297"/>
      <c r="H61" s="10"/>
      <c r="I61" s="11"/>
      <c r="J61" s="11"/>
      <c r="K61" s="11"/>
      <c r="L61" s="11"/>
      <c r="M61" s="11"/>
      <c r="N61" s="11"/>
      <c r="O61" s="12"/>
      <c r="P61" s="11"/>
      <c r="Q61" s="13"/>
      <c r="R61" s="14"/>
    </row>
    <row r="62" spans="1:18" ht="49.9" customHeight="1">
      <c r="A62" s="15" t="s">
        <v>359</v>
      </c>
      <c r="B62" s="15" t="s">
        <v>1152</v>
      </c>
      <c r="C62" s="16">
        <v>0.49652777777777768</v>
      </c>
      <c r="D62" s="15" t="s">
        <v>46</v>
      </c>
      <c r="E62" s="15" t="s">
        <v>82</v>
      </c>
      <c r="F62" s="15" t="s">
        <v>1154</v>
      </c>
      <c r="G62" s="298"/>
      <c r="H62" s="10"/>
      <c r="I62" s="11"/>
      <c r="J62" s="11"/>
      <c r="K62" s="11"/>
      <c r="L62" s="11"/>
      <c r="M62" s="11"/>
      <c r="N62" s="11"/>
      <c r="O62" s="12"/>
      <c r="P62" s="11"/>
      <c r="Q62" s="13"/>
      <c r="R62" s="14"/>
    </row>
    <row r="63" spans="1:18" ht="49.9" customHeight="1">
      <c r="A63" s="19" t="s">
        <v>402</v>
      </c>
      <c r="B63" s="19" t="s">
        <v>1155</v>
      </c>
      <c r="C63" s="20">
        <v>0.75694444444444453</v>
      </c>
      <c r="D63" s="19" t="s">
        <v>63</v>
      </c>
      <c r="E63" s="19" t="s">
        <v>143</v>
      </c>
      <c r="F63" s="19" t="s">
        <v>1146</v>
      </c>
      <c r="G63" s="298"/>
      <c r="H63" s="10"/>
      <c r="I63" s="11"/>
      <c r="J63" s="11"/>
      <c r="K63" s="11"/>
      <c r="L63" s="11"/>
      <c r="M63" s="11"/>
      <c r="N63" s="11"/>
      <c r="O63" s="12"/>
      <c r="P63" s="11"/>
      <c r="Q63" s="13"/>
      <c r="R63" s="14"/>
    </row>
    <row r="64" spans="1:18" ht="49.9" customHeight="1">
      <c r="A64" s="19" t="s">
        <v>68</v>
      </c>
      <c r="B64" s="19" t="s">
        <v>1149</v>
      </c>
      <c r="C64" s="20">
        <v>0.98263888888888884</v>
      </c>
      <c r="D64" s="19" t="s">
        <v>70</v>
      </c>
      <c r="E64" s="19" t="s">
        <v>51</v>
      </c>
      <c r="F64" s="19" t="s">
        <v>908</v>
      </c>
      <c r="G64" s="298"/>
      <c r="H64" s="10"/>
      <c r="I64" s="11"/>
      <c r="J64" s="11"/>
      <c r="K64" s="11"/>
      <c r="L64" s="11"/>
      <c r="M64" s="11"/>
      <c r="N64" s="11"/>
      <c r="O64" s="12"/>
      <c r="P64" s="11"/>
      <c r="Q64" s="13"/>
      <c r="R64" s="14"/>
    </row>
    <row r="65" spans="1:18" ht="49.9" customHeight="1" thickBot="1">
      <c r="A65" s="96" t="s">
        <v>415</v>
      </c>
      <c r="B65" s="96" t="s">
        <v>1150</v>
      </c>
      <c r="C65" s="97">
        <v>0.85416666666666663</v>
      </c>
      <c r="D65" s="96" t="s">
        <v>63</v>
      </c>
      <c r="E65" s="96" t="s">
        <v>100</v>
      </c>
      <c r="F65" s="96" t="s">
        <v>1151</v>
      </c>
      <c r="G65" s="299"/>
      <c r="H65" s="300"/>
      <c r="I65" s="140"/>
      <c r="J65" s="140"/>
      <c r="K65" s="140"/>
      <c r="L65" s="140"/>
      <c r="M65" s="140"/>
      <c r="N65" s="140"/>
      <c r="O65" s="141"/>
      <c r="P65" s="140"/>
      <c r="Q65" s="142"/>
      <c r="R65" s="301"/>
    </row>
    <row r="66" spans="1:18" ht="17.45" customHeight="1" thickBot="1">
      <c r="A66" s="283"/>
      <c r="B66" s="284"/>
      <c r="C66" s="284"/>
      <c r="D66" s="284"/>
      <c r="E66" s="284"/>
      <c r="F66" s="284"/>
      <c r="G66" s="284"/>
      <c r="H66" s="284"/>
      <c r="I66" s="284"/>
      <c r="J66" s="284"/>
      <c r="K66" s="284"/>
      <c r="L66" s="284"/>
      <c r="M66" s="284"/>
      <c r="N66" s="284"/>
      <c r="O66" s="284"/>
      <c r="P66" s="284"/>
      <c r="Q66" s="284"/>
      <c r="R66" s="285"/>
    </row>
    <row r="67" spans="1:18" ht="22.15" customHeight="1" thickTop="1" thickBot="1">
      <c r="A67" s="279" t="s">
        <v>6</v>
      </c>
      <c r="B67" s="295"/>
      <c r="C67" s="295"/>
      <c r="D67" s="295"/>
      <c r="E67" s="295"/>
      <c r="F67" s="296"/>
      <c r="G67" s="32">
        <v>46032</v>
      </c>
      <c r="H67" s="278" t="s">
        <v>7</v>
      </c>
      <c r="I67" s="295"/>
      <c r="J67" s="295"/>
      <c r="K67" s="295"/>
      <c r="L67" s="295"/>
      <c r="M67" s="295"/>
      <c r="N67" s="295"/>
      <c r="O67" s="295"/>
      <c r="P67" s="295"/>
      <c r="Q67" s="295"/>
      <c r="R67" s="296"/>
    </row>
    <row r="68" spans="1:18" ht="24" customHeight="1">
      <c r="A68" s="33" t="s">
        <v>8</v>
      </c>
      <c r="B68" s="33" t="s">
        <v>9</v>
      </c>
      <c r="C68" s="34" t="s">
        <v>10</v>
      </c>
      <c r="D68" s="33" t="s">
        <v>11</v>
      </c>
      <c r="E68" s="33" t="s">
        <v>12</v>
      </c>
      <c r="F68" s="35" t="s">
        <v>13</v>
      </c>
      <c r="G68" s="36" t="s">
        <v>14</v>
      </c>
      <c r="H68" s="33" t="s">
        <v>15</v>
      </c>
      <c r="I68" s="37" t="s">
        <v>16</v>
      </c>
      <c r="J68" s="38" t="s">
        <v>17</v>
      </c>
      <c r="K68" s="39" t="s">
        <v>18</v>
      </c>
      <c r="L68" s="38" t="s">
        <v>19</v>
      </c>
      <c r="M68" s="38" t="s">
        <v>20</v>
      </c>
      <c r="N68" s="38" t="s">
        <v>21</v>
      </c>
      <c r="O68" s="33" t="s">
        <v>22</v>
      </c>
      <c r="P68" s="34" t="s">
        <v>23</v>
      </c>
      <c r="Q68" s="38" t="s">
        <v>24</v>
      </c>
      <c r="R68" s="33" t="s">
        <v>25</v>
      </c>
    </row>
    <row r="69" spans="1:18" ht="49.9" customHeight="1">
      <c r="A69" s="8" t="s">
        <v>402</v>
      </c>
      <c r="B69" s="8" t="s">
        <v>1145</v>
      </c>
      <c r="C69" s="9">
        <v>0.75694444444444453</v>
      </c>
      <c r="D69" s="8" t="s">
        <v>63</v>
      </c>
      <c r="E69" s="8" t="s">
        <v>29</v>
      </c>
      <c r="F69" s="8" t="s">
        <v>1146</v>
      </c>
      <c r="G69" s="297"/>
      <c r="H69" s="10"/>
      <c r="I69" s="11"/>
      <c r="J69" s="11"/>
      <c r="K69" s="11"/>
      <c r="L69" s="11"/>
      <c r="M69" s="11"/>
      <c r="N69" s="11"/>
      <c r="O69" s="12"/>
      <c r="P69" s="11"/>
      <c r="Q69" s="13"/>
      <c r="R69" s="14"/>
    </row>
    <row r="70" spans="1:18" ht="49.9" customHeight="1" thickTop="1" thickBot="1">
      <c r="A70" s="247" t="s">
        <v>61</v>
      </c>
      <c r="B70" s="247" t="s">
        <v>1147</v>
      </c>
      <c r="C70" s="248">
        <v>0.83680555555555547</v>
      </c>
      <c r="D70" s="247" t="s">
        <v>63</v>
      </c>
      <c r="E70" s="247" t="s">
        <v>143</v>
      </c>
      <c r="F70" s="247" t="s">
        <v>33</v>
      </c>
      <c r="G70" s="299"/>
      <c r="H70" s="201" t="s">
        <v>1148</v>
      </c>
      <c r="I70" s="202">
        <v>2.7900000000000001E-2</v>
      </c>
      <c r="J70" s="203">
        <v>5</v>
      </c>
      <c r="K70" s="204">
        <v>46342</v>
      </c>
      <c r="L70" s="203">
        <v>5</v>
      </c>
      <c r="M70" s="203">
        <v>0</v>
      </c>
      <c r="N70" s="203">
        <v>0</v>
      </c>
      <c r="O70" s="205" t="s">
        <v>571</v>
      </c>
      <c r="P70" s="206">
        <v>0.83680555555555547</v>
      </c>
      <c r="Q70" s="203">
        <v>179</v>
      </c>
      <c r="R70" s="207" t="s">
        <v>591</v>
      </c>
    </row>
    <row r="71" spans="1:18" ht="17.45" customHeight="1" thickBot="1">
      <c r="A71" s="283"/>
      <c r="B71" s="284"/>
      <c r="C71" s="284"/>
      <c r="D71" s="284"/>
      <c r="E71" s="284"/>
      <c r="F71" s="284"/>
      <c r="G71" s="284"/>
      <c r="H71" s="284"/>
      <c r="I71" s="284"/>
      <c r="J71" s="284"/>
      <c r="K71" s="284"/>
      <c r="L71" s="284"/>
      <c r="M71" s="284"/>
      <c r="N71" s="284"/>
      <c r="O71" s="284"/>
      <c r="P71" s="284"/>
      <c r="Q71" s="284"/>
      <c r="R71" s="285"/>
    </row>
    <row r="72" spans="1:18" ht="22.15" customHeight="1" thickTop="1" thickBot="1">
      <c r="A72" s="279" t="s">
        <v>6</v>
      </c>
      <c r="B72" s="295"/>
      <c r="C72" s="295"/>
      <c r="D72" s="295"/>
      <c r="E72" s="295"/>
      <c r="F72" s="296"/>
      <c r="G72" s="32">
        <v>46033</v>
      </c>
      <c r="H72" s="278" t="s">
        <v>7</v>
      </c>
      <c r="I72" s="295"/>
      <c r="J72" s="295"/>
      <c r="K72" s="295"/>
      <c r="L72" s="295"/>
      <c r="M72" s="295"/>
      <c r="N72" s="295"/>
      <c r="O72" s="295"/>
      <c r="P72" s="295"/>
      <c r="Q72" s="295"/>
      <c r="R72" s="296"/>
    </row>
    <row r="73" spans="1:18" ht="24" customHeight="1">
      <c r="A73" s="33" t="s">
        <v>8</v>
      </c>
      <c r="B73" s="33" t="s">
        <v>9</v>
      </c>
      <c r="C73" s="34" t="s">
        <v>10</v>
      </c>
      <c r="D73" s="33" t="s">
        <v>11</v>
      </c>
      <c r="E73" s="33" t="s">
        <v>12</v>
      </c>
      <c r="F73" s="35" t="s">
        <v>13</v>
      </c>
      <c r="G73" s="36" t="s">
        <v>14</v>
      </c>
      <c r="H73" s="33" t="s">
        <v>15</v>
      </c>
      <c r="I73" s="37" t="s">
        <v>16</v>
      </c>
      <c r="J73" s="38" t="s">
        <v>17</v>
      </c>
      <c r="K73" s="39" t="s">
        <v>18</v>
      </c>
      <c r="L73" s="38" t="s">
        <v>19</v>
      </c>
      <c r="M73" s="38" t="s">
        <v>20</v>
      </c>
      <c r="N73" s="38" t="s">
        <v>21</v>
      </c>
      <c r="O73" s="33" t="s">
        <v>22</v>
      </c>
      <c r="P73" s="34" t="s">
        <v>23</v>
      </c>
      <c r="Q73" s="38" t="s">
        <v>24</v>
      </c>
      <c r="R73" s="33" t="s">
        <v>25</v>
      </c>
    </row>
    <row r="74" spans="1:18" ht="49.9" customHeight="1">
      <c r="A74" s="8" t="s">
        <v>359</v>
      </c>
      <c r="B74" s="8" t="s">
        <v>1152</v>
      </c>
      <c r="C74" s="9">
        <v>0.53819444444444442</v>
      </c>
      <c r="D74" s="8" t="s">
        <v>361</v>
      </c>
      <c r="E74" s="8" t="s">
        <v>80</v>
      </c>
      <c r="F74" s="8" t="s">
        <v>1153</v>
      </c>
      <c r="G74" s="297"/>
      <c r="H74" s="10"/>
      <c r="I74" s="11"/>
      <c r="J74" s="11"/>
      <c r="K74" s="11"/>
      <c r="L74" s="11"/>
      <c r="M74" s="11"/>
      <c r="N74" s="11"/>
      <c r="O74" s="12"/>
      <c r="P74" s="11"/>
      <c r="Q74" s="13"/>
      <c r="R74" s="14"/>
    </row>
    <row r="75" spans="1:18" ht="49.9" customHeight="1">
      <c r="A75" s="15" t="s">
        <v>359</v>
      </c>
      <c r="B75" s="15" t="s">
        <v>1152</v>
      </c>
      <c r="C75" s="16">
        <v>0.53819444444444442</v>
      </c>
      <c r="D75" s="15" t="s">
        <v>46</v>
      </c>
      <c r="E75" s="15" t="s">
        <v>82</v>
      </c>
      <c r="F75" s="15" t="s">
        <v>1154</v>
      </c>
      <c r="G75" s="298"/>
      <c r="H75" s="10"/>
      <c r="I75" s="11"/>
      <c r="J75" s="11"/>
      <c r="K75" s="11"/>
      <c r="L75" s="11"/>
      <c r="M75" s="11"/>
      <c r="N75" s="11"/>
      <c r="O75" s="12"/>
      <c r="P75" s="11"/>
      <c r="Q75" s="13"/>
      <c r="R75" s="14"/>
    </row>
    <row r="76" spans="1:18" ht="49.9" customHeight="1">
      <c r="A76" s="19" t="s">
        <v>402</v>
      </c>
      <c r="B76" s="19" t="s">
        <v>1159</v>
      </c>
      <c r="C76" s="20">
        <v>0.75694444444444453</v>
      </c>
      <c r="D76" s="19" t="s">
        <v>63</v>
      </c>
      <c r="E76" s="19" t="s">
        <v>103</v>
      </c>
      <c r="F76" s="19" t="s">
        <v>1162</v>
      </c>
      <c r="G76" s="298"/>
      <c r="H76" s="10"/>
      <c r="I76" s="11"/>
      <c r="J76" s="11"/>
      <c r="K76" s="11"/>
      <c r="L76" s="11"/>
      <c r="M76" s="11"/>
      <c r="N76" s="11"/>
      <c r="O76" s="12"/>
      <c r="P76" s="11"/>
      <c r="Q76" s="13"/>
      <c r="R76" s="14"/>
    </row>
    <row r="77" spans="1:18" ht="49.9" customHeight="1" thickBot="1">
      <c r="A77" s="96" t="s">
        <v>415</v>
      </c>
      <c r="B77" s="96" t="s">
        <v>1150</v>
      </c>
      <c r="C77" s="97">
        <v>0.80555555555555547</v>
      </c>
      <c r="D77" s="96" t="s">
        <v>63</v>
      </c>
      <c r="E77" s="96" t="s">
        <v>51</v>
      </c>
      <c r="F77" s="96" t="s">
        <v>1163</v>
      </c>
      <c r="G77" s="299"/>
      <c r="H77" s="300"/>
      <c r="I77" s="140"/>
      <c r="J77" s="140"/>
      <c r="K77" s="140"/>
      <c r="L77" s="140"/>
      <c r="M77" s="140"/>
      <c r="N77" s="140"/>
      <c r="O77" s="141"/>
      <c r="P77" s="140"/>
      <c r="Q77" s="142"/>
      <c r="R77" s="301"/>
    </row>
    <row r="78" spans="1:18" ht="17.45" customHeight="1" thickBot="1">
      <c r="A78" s="283"/>
      <c r="B78" s="284"/>
      <c r="C78" s="284"/>
      <c r="D78" s="284"/>
      <c r="E78" s="284"/>
      <c r="F78" s="284"/>
      <c r="G78" s="284"/>
      <c r="H78" s="284"/>
      <c r="I78" s="284"/>
      <c r="J78" s="284"/>
      <c r="K78" s="284"/>
      <c r="L78" s="284"/>
      <c r="M78" s="284"/>
      <c r="N78" s="284"/>
      <c r="O78" s="284"/>
      <c r="P78" s="284"/>
      <c r="Q78" s="284"/>
      <c r="R78" s="285"/>
    </row>
    <row r="79" spans="1:18" ht="22.15" customHeight="1" thickTop="1" thickBot="1">
      <c r="A79" s="279" t="s">
        <v>6</v>
      </c>
      <c r="B79" s="295"/>
      <c r="C79" s="295"/>
      <c r="D79" s="295"/>
      <c r="E79" s="295"/>
      <c r="F79" s="296"/>
      <c r="G79" s="32">
        <v>46034</v>
      </c>
      <c r="H79" s="278" t="s">
        <v>7</v>
      </c>
      <c r="I79" s="295"/>
      <c r="J79" s="295"/>
      <c r="K79" s="295"/>
      <c r="L79" s="295"/>
      <c r="M79" s="295"/>
      <c r="N79" s="295"/>
      <c r="O79" s="295"/>
      <c r="P79" s="295"/>
      <c r="Q79" s="295"/>
      <c r="R79" s="296"/>
    </row>
    <row r="80" spans="1:18" ht="24" customHeight="1">
      <c r="A80" s="33" t="s">
        <v>8</v>
      </c>
      <c r="B80" s="33" t="s">
        <v>9</v>
      </c>
      <c r="C80" s="34" t="s">
        <v>10</v>
      </c>
      <c r="D80" s="33" t="s">
        <v>11</v>
      </c>
      <c r="E80" s="33" t="s">
        <v>12</v>
      </c>
      <c r="F80" s="35" t="s">
        <v>13</v>
      </c>
      <c r="G80" s="36" t="s">
        <v>14</v>
      </c>
      <c r="H80" s="33" t="s">
        <v>15</v>
      </c>
      <c r="I80" s="37" t="s">
        <v>16</v>
      </c>
      <c r="J80" s="38" t="s">
        <v>17</v>
      </c>
      <c r="K80" s="39" t="s">
        <v>18</v>
      </c>
      <c r="L80" s="38" t="s">
        <v>19</v>
      </c>
      <c r="M80" s="38" t="s">
        <v>20</v>
      </c>
      <c r="N80" s="38" t="s">
        <v>21</v>
      </c>
      <c r="O80" s="33" t="s">
        <v>22</v>
      </c>
      <c r="P80" s="34" t="s">
        <v>23</v>
      </c>
      <c r="Q80" s="38" t="s">
        <v>24</v>
      </c>
      <c r="R80" s="33" t="s">
        <v>25</v>
      </c>
    </row>
    <row r="81" spans="1:18" ht="49.9" customHeight="1">
      <c r="A81" s="8" t="s">
        <v>359</v>
      </c>
      <c r="B81" s="8" t="s">
        <v>1152</v>
      </c>
      <c r="C81" s="9">
        <v>0.53819444444444442</v>
      </c>
      <c r="D81" s="8" t="s">
        <v>361</v>
      </c>
      <c r="E81" s="8" t="s">
        <v>80</v>
      </c>
      <c r="F81" s="8" t="s">
        <v>1160</v>
      </c>
      <c r="G81" s="297"/>
      <c r="H81" s="10"/>
      <c r="I81" s="11"/>
      <c r="J81" s="11"/>
      <c r="K81" s="11"/>
      <c r="L81" s="11"/>
      <c r="M81" s="11"/>
      <c r="N81" s="11"/>
      <c r="O81" s="12"/>
      <c r="P81" s="11"/>
      <c r="Q81" s="13"/>
      <c r="R81" s="14"/>
    </row>
    <row r="82" spans="1:18" ht="49.9" customHeight="1">
      <c r="A82" s="15" t="s">
        <v>359</v>
      </c>
      <c r="B82" s="15" t="s">
        <v>1152</v>
      </c>
      <c r="C82" s="16">
        <v>0.53819444444444442</v>
      </c>
      <c r="D82" s="15" t="s">
        <v>46</v>
      </c>
      <c r="E82" s="15" t="s">
        <v>82</v>
      </c>
      <c r="F82" s="15" t="s">
        <v>1161</v>
      </c>
      <c r="G82" s="298"/>
      <c r="H82" s="10"/>
      <c r="I82" s="11"/>
      <c r="J82" s="11"/>
      <c r="K82" s="11"/>
      <c r="L82" s="11"/>
      <c r="M82" s="11"/>
      <c r="N82" s="11"/>
      <c r="O82" s="12"/>
      <c r="P82" s="11"/>
      <c r="Q82" s="13"/>
      <c r="R82" s="14"/>
    </row>
    <row r="83" spans="1:18" ht="49.9" customHeight="1">
      <c r="A83" s="19" t="s">
        <v>68</v>
      </c>
      <c r="B83" s="19" t="s">
        <v>1149</v>
      </c>
      <c r="C83" s="20">
        <v>0.98263888888888884</v>
      </c>
      <c r="D83" s="19" t="s">
        <v>643</v>
      </c>
      <c r="E83" s="19" t="s">
        <v>51</v>
      </c>
      <c r="F83" s="19" t="s">
        <v>33</v>
      </c>
      <c r="G83" s="298"/>
      <c r="H83" s="10"/>
      <c r="I83" s="11"/>
      <c r="J83" s="11"/>
      <c r="K83" s="11"/>
      <c r="L83" s="11"/>
      <c r="M83" s="11"/>
      <c r="N83" s="11"/>
      <c r="O83" s="12"/>
      <c r="P83" s="11"/>
      <c r="Q83" s="13"/>
      <c r="R83" s="14"/>
    </row>
    <row r="84" spans="1:18" ht="49.9" customHeight="1">
      <c r="A84" s="19" t="s">
        <v>402</v>
      </c>
      <c r="B84" s="19" t="s">
        <v>1155</v>
      </c>
      <c r="C84" s="20">
        <v>0.71527777777777779</v>
      </c>
      <c r="D84" s="19" t="s">
        <v>63</v>
      </c>
      <c r="E84" s="19" t="s">
        <v>103</v>
      </c>
      <c r="F84" s="19" t="s">
        <v>1162</v>
      </c>
      <c r="G84" s="298"/>
      <c r="H84" s="10"/>
      <c r="I84" s="11"/>
      <c r="J84" s="11"/>
      <c r="K84" s="11"/>
      <c r="L84" s="11"/>
      <c r="M84" s="11"/>
      <c r="N84" s="11"/>
      <c r="O84" s="12"/>
      <c r="P84" s="11"/>
      <c r="Q84" s="13"/>
      <c r="R84" s="14"/>
    </row>
    <row r="85" spans="1:18" ht="49.9" customHeight="1" thickBot="1">
      <c r="A85" s="96" t="s">
        <v>415</v>
      </c>
      <c r="B85" s="96" t="s">
        <v>1150</v>
      </c>
      <c r="C85" s="97">
        <v>0.78125</v>
      </c>
      <c r="D85" s="96" t="s">
        <v>63</v>
      </c>
      <c r="E85" s="96" t="s">
        <v>51</v>
      </c>
      <c r="F85" s="96" t="s">
        <v>1163</v>
      </c>
      <c r="G85" s="299"/>
      <c r="H85" s="300"/>
      <c r="I85" s="140"/>
      <c r="J85" s="140"/>
      <c r="K85" s="140"/>
      <c r="L85" s="140"/>
      <c r="M85" s="140"/>
      <c r="N85" s="140"/>
      <c r="O85" s="141"/>
      <c r="P85" s="140"/>
      <c r="Q85" s="142"/>
      <c r="R85" s="301"/>
    </row>
    <row r="86" spans="1:18" ht="17.45" customHeight="1" thickBot="1">
      <c r="A86" s="283"/>
      <c r="B86" s="284"/>
      <c r="C86" s="284"/>
      <c r="D86" s="284"/>
      <c r="E86" s="284"/>
      <c r="F86" s="284"/>
      <c r="G86" s="284"/>
      <c r="H86" s="284"/>
      <c r="I86" s="284"/>
      <c r="J86" s="284"/>
      <c r="K86" s="284"/>
      <c r="L86" s="284"/>
      <c r="M86" s="284"/>
      <c r="N86" s="284"/>
      <c r="O86" s="284"/>
      <c r="P86" s="284"/>
      <c r="Q86" s="284"/>
      <c r="R86" s="285"/>
    </row>
    <row r="87" spans="1:18" ht="22.15" customHeight="1" thickTop="1" thickBot="1">
      <c r="A87" s="279" t="s">
        <v>6</v>
      </c>
      <c r="B87" s="295"/>
      <c r="C87" s="295"/>
      <c r="D87" s="295"/>
      <c r="E87" s="295"/>
      <c r="F87" s="296"/>
      <c r="G87" s="32">
        <v>46035</v>
      </c>
      <c r="H87" s="278" t="s">
        <v>7</v>
      </c>
      <c r="I87" s="295"/>
      <c r="J87" s="295"/>
      <c r="K87" s="295"/>
      <c r="L87" s="295"/>
      <c r="M87" s="295"/>
      <c r="N87" s="295"/>
      <c r="O87" s="295"/>
      <c r="P87" s="295"/>
      <c r="Q87" s="295"/>
      <c r="R87" s="296"/>
    </row>
    <row r="88" spans="1:18" ht="24" customHeight="1">
      <c r="A88" s="33" t="s">
        <v>8</v>
      </c>
      <c r="B88" s="33" t="s">
        <v>9</v>
      </c>
      <c r="C88" s="34" t="s">
        <v>10</v>
      </c>
      <c r="D88" s="33" t="s">
        <v>11</v>
      </c>
      <c r="E88" s="33" t="s">
        <v>12</v>
      </c>
      <c r="F88" s="35" t="s">
        <v>13</v>
      </c>
      <c r="G88" s="36" t="s">
        <v>14</v>
      </c>
      <c r="H88" s="33" t="s">
        <v>15</v>
      </c>
      <c r="I88" s="37" t="s">
        <v>16</v>
      </c>
      <c r="J88" s="38" t="s">
        <v>17</v>
      </c>
      <c r="K88" s="39" t="s">
        <v>18</v>
      </c>
      <c r="L88" s="38" t="s">
        <v>19</v>
      </c>
      <c r="M88" s="38" t="s">
        <v>20</v>
      </c>
      <c r="N88" s="38" t="s">
        <v>21</v>
      </c>
      <c r="O88" s="33" t="s">
        <v>22</v>
      </c>
      <c r="P88" s="34" t="s">
        <v>23</v>
      </c>
      <c r="Q88" s="38" t="s">
        <v>24</v>
      </c>
      <c r="R88" s="33" t="s">
        <v>25</v>
      </c>
    </row>
    <row r="89" spans="1:18" ht="49.9" customHeight="1">
      <c r="A89" s="8" t="s">
        <v>402</v>
      </c>
      <c r="B89" s="8" t="s">
        <v>1145</v>
      </c>
      <c r="C89" s="9">
        <v>0.71527777777777779</v>
      </c>
      <c r="D89" s="8" t="s">
        <v>63</v>
      </c>
      <c r="E89" s="8" t="s">
        <v>103</v>
      </c>
      <c r="F89" s="8" t="s">
        <v>1162</v>
      </c>
      <c r="G89" s="297"/>
      <c r="H89" s="10"/>
      <c r="I89" s="11"/>
      <c r="J89" s="11"/>
      <c r="K89" s="11"/>
      <c r="L89" s="11"/>
      <c r="M89" s="11"/>
      <c r="N89" s="11"/>
      <c r="O89" s="12"/>
      <c r="P89" s="11"/>
      <c r="Q89" s="13"/>
      <c r="R89" s="14"/>
    </row>
    <row r="90" spans="1:18" ht="49.9" customHeight="1" thickTop="1" thickBot="1">
      <c r="A90" s="96" t="s">
        <v>415</v>
      </c>
      <c r="B90" s="96" t="s">
        <v>1150</v>
      </c>
      <c r="C90" s="97">
        <v>0.78125</v>
      </c>
      <c r="D90" s="96" t="s">
        <v>63</v>
      </c>
      <c r="E90" s="96" t="s">
        <v>51</v>
      </c>
      <c r="F90" s="96" t="s">
        <v>1163</v>
      </c>
      <c r="G90" s="299"/>
      <c r="H90" s="300"/>
      <c r="I90" s="140"/>
      <c r="J90" s="140"/>
      <c r="K90" s="140"/>
      <c r="L90" s="140"/>
      <c r="M90" s="140"/>
      <c r="N90" s="140"/>
      <c r="O90" s="141"/>
      <c r="P90" s="140"/>
      <c r="Q90" s="142"/>
      <c r="R90" s="301"/>
    </row>
    <row r="91" spans="1:18" ht="17.45" customHeight="1" thickBot="1">
      <c r="A91" s="283"/>
      <c r="B91" s="284"/>
      <c r="C91" s="284"/>
      <c r="D91" s="284"/>
      <c r="E91" s="284"/>
      <c r="F91" s="284"/>
      <c r="G91" s="284"/>
      <c r="H91" s="284"/>
      <c r="I91" s="284"/>
      <c r="J91" s="284"/>
      <c r="K91" s="284"/>
      <c r="L91" s="284"/>
      <c r="M91" s="284"/>
      <c r="N91" s="284"/>
      <c r="O91" s="284"/>
      <c r="P91" s="284"/>
      <c r="Q91" s="284"/>
      <c r="R91" s="285"/>
    </row>
    <row r="92" spans="1:18" ht="22.15" customHeight="1" thickTop="1" thickBot="1">
      <c r="A92" s="279" t="s">
        <v>6</v>
      </c>
      <c r="B92" s="295"/>
      <c r="C92" s="295"/>
      <c r="D92" s="295"/>
      <c r="E92" s="295"/>
      <c r="F92" s="296"/>
      <c r="G92" s="32">
        <v>46036</v>
      </c>
      <c r="H92" s="278" t="s">
        <v>7</v>
      </c>
      <c r="I92" s="295"/>
      <c r="J92" s="295"/>
      <c r="K92" s="295"/>
      <c r="L92" s="295"/>
      <c r="M92" s="295"/>
      <c r="N92" s="295"/>
      <c r="O92" s="295"/>
      <c r="P92" s="295"/>
      <c r="Q92" s="295"/>
      <c r="R92" s="296"/>
    </row>
    <row r="93" spans="1:18" ht="24" customHeight="1">
      <c r="A93" s="33" t="s">
        <v>8</v>
      </c>
      <c r="B93" s="33" t="s">
        <v>9</v>
      </c>
      <c r="C93" s="34" t="s">
        <v>10</v>
      </c>
      <c r="D93" s="33" t="s">
        <v>11</v>
      </c>
      <c r="E93" s="33" t="s">
        <v>12</v>
      </c>
      <c r="F93" s="35" t="s">
        <v>13</v>
      </c>
      <c r="G93" s="36" t="s">
        <v>14</v>
      </c>
      <c r="H93" s="33" t="s">
        <v>15</v>
      </c>
      <c r="I93" s="37" t="s">
        <v>16</v>
      </c>
      <c r="J93" s="38" t="s">
        <v>17</v>
      </c>
      <c r="K93" s="39" t="s">
        <v>18</v>
      </c>
      <c r="L93" s="38" t="s">
        <v>19</v>
      </c>
      <c r="M93" s="38" t="s">
        <v>20</v>
      </c>
      <c r="N93" s="38" t="s">
        <v>21</v>
      </c>
      <c r="O93" s="33" t="s">
        <v>22</v>
      </c>
      <c r="P93" s="34" t="s">
        <v>23</v>
      </c>
      <c r="Q93" s="38" t="s">
        <v>24</v>
      </c>
      <c r="R93" s="33" t="s">
        <v>25</v>
      </c>
    </row>
    <row r="94" spans="1:18" ht="15" customHeight="1">
      <c r="A94" s="58" t="s">
        <v>61</v>
      </c>
      <c r="B94" s="58" t="s">
        <v>1147</v>
      </c>
      <c r="C94" s="59">
        <v>0.71180555555555547</v>
      </c>
      <c r="D94" s="58" t="s">
        <v>63</v>
      </c>
      <c r="E94" s="58" t="s">
        <v>29</v>
      </c>
      <c r="F94" s="58" t="s">
        <v>33</v>
      </c>
      <c r="G94" s="297"/>
      <c r="H94" s="60" t="s">
        <v>1148</v>
      </c>
      <c r="I94" s="61">
        <v>1.6799999999999999E-2</v>
      </c>
      <c r="J94" s="62">
        <v>3</v>
      </c>
      <c r="K94" s="63">
        <v>46332</v>
      </c>
      <c r="L94" s="62">
        <v>3</v>
      </c>
      <c r="M94" s="62">
        <v>0</v>
      </c>
      <c r="N94" s="62">
        <v>0</v>
      </c>
      <c r="O94" s="64" t="s">
        <v>901</v>
      </c>
      <c r="P94" s="65">
        <v>0.71180555555555547</v>
      </c>
      <c r="Q94" s="62">
        <v>179</v>
      </c>
      <c r="R94" s="66" t="s">
        <v>1164</v>
      </c>
    </row>
    <row r="95" spans="1:18" ht="15" customHeight="1">
      <c r="A95" s="19" t="s">
        <v>68</v>
      </c>
      <c r="B95" s="19" t="s">
        <v>1149</v>
      </c>
      <c r="C95" s="20">
        <v>0.98263888888888884</v>
      </c>
      <c r="D95" s="19" t="s">
        <v>643</v>
      </c>
      <c r="E95" s="19" t="s">
        <v>51</v>
      </c>
      <c r="F95" s="19" t="s">
        <v>33</v>
      </c>
      <c r="G95" s="298"/>
      <c r="H95" s="10"/>
      <c r="I95" s="11"/>
      <c r="J95" s="11"/>
      <c r="K95" s="11"/>
      <c r="L95" s="11"/>
      <c r="M95" s="11"/>
      <c r="N95" s="11"/>
      <c r="O95" s="12"/>
      <c r="P95" s="11"/>
      <c r="Q95" s="13"/>
      <c r="R95" s="14"/>
    </row>
    <row r="96" spans="1:18" ht="15" customHeight="1">
      <c r="A96" s="19" t="s">
        <v>359</v>
      </c>
      <c r="B96" s="19" t="s">
        <v>1152</v>
      </c>
      <c r="C96" s="20">
        <v>0.49652777777777768</v>
      </c>
      <c r="D96" s="19" t="s">
        <v>361</v>
      </c>
      <c r="E96" s="19" t="s">
        <v>80</v>
      </c>
      <c r="F96" s="19" t="s">
        <v>1165</v>
      </c>
      <c r="G96" s="298"/>
      <c r="H96" s="10"/>
      <c r="I96" s="11"/>
      <c r="J96" s="11"/>
      <c r="K96" s="11"/>
      <c r="L96" s="11"/>
      <c r="M96" s="11"/>
      <c r="N96" s="11"/>
      <c r="O96" s="12"/>
      <c r="P96" s="11"/>
      <c r="Q96" s="13"/>
      <c r="R96" s="14"/>
    </row>
    <row r="97" spans="1:18" ht="15" customHeight="1">
      <c r="A97" s="15" t="s">
        <v>359</v>
      </c>
      <c r="B97" s="15" t="s">
        <v>1152</v>
      </c>
      <c r="C97" s="16">
        <v>0.49652777777777768</v>
      </c>
      <c r="D97" s="15" t="s">
        <v>46</v>
      </c>
      <c r="E97" s="15" t="s">
        <v>82</v>
      </c>
      <c r="F97" s="15" t="s">
        <v>1166</v>
      </c>
      <c r="G97" s="298"/>
      <c r="H97" s="10"/>
      <c r="I97" s="11"/>
      <c r="J97" s="11"/>
      <c r="K97" s="11"/>
      <c r="L97" s="11"/>
      <c r="M97" s="11"/>
      <c r="N97" s="11"/>
      <c r="O97" s="12"/>
      <c r="P97" s="11"/>
      <c r="Q97" s="13"/>
      <c r="R97" s="14"/>
    </row>
    <row r="98" spans="1:18" ht="15" customHeight="1">
      <c r="A98" s="19" t="s">
        <v>402</v>
      </c>
      <c r="B98" s="19" t="s">
        <v>1155</v>
      </c>
      <c r="C98" s="20">
        <v>0.75694444444444453</v>
      </c>
      <c r="D98" s="19" t="s">
        <v>63</v>
      </c>
      <c r="E98" s="19" t="s">
        <v>103</v>
      </c>
      <c r="F98" s="19" t="s">
        <v>1162</v>
      </c>
      <c r="G98" s="298"/>
      <c r="H98" s="10"/>
      <c r="I98" s="11"/>
      <c r="J98" s="11"/>
      <c r="K98" s="11"/>
      <c r="L98" s="11"/>
      <c r="M98" s="11"/>
      <c r="N98" s="11"/>
      <c r="O98" s="12"/>
      <c r="P98" s="11"/>
      <c r="Q98" s="13"/>
      <c r="R98" s="14"/>
    </row>
    <row r="99" spans="1:18" ht="15" customHeight="1" thickBot="1">
      <c r="A99" s="96" t="s">
        <v>415</v>
      </c>
      <c r="B99" s="96" t="s">
        <v>1150</v>
      </c>
      <c r="C99" s="97">
        <v>0.80555555555555547</v>
      </c>
      <c r="D99" s="96" t="s">
        <v>63</v>
      </c>
      <c r="E99" s="96" t="s">
        <v>51</v>
      </c>
      <c r="F99" s="96" t="s">
        <v>1163</v>
      </c>
      <c r="G99" s="299"/>
      <c r="H99" s="300"/>
      <c r="I99" s="140"/>
      <c r="J99" s="140"/>
      <c r="K99" s="140"/>
      <c r="L99" s="140"/>
      <c r="M99" s="140"/>
      <c r="N99" s="140"/>
      <c r="O99" s="141"/>
      <c r="P99" s="140"/>
      <c r="Q99" s="142"/>
      <c r="R99" s="301"/>
    </row>
    <row r="100" spans="1:18" ht="17.45" customHeight="1" thickBot="1">
      <c r="A100" s="283"/>
      <c r="B100" s="284"/>
      <c r="C100" s="284"/>
      <c r="D100" s="284"/>
      <c r="E100" s="284"/>
      <c r="F100" s="284"/>
      <c r="G100" s="284"/>
      <c r="H100" s="284"/>
      <c r="I100" s="284"/>
      <c r="J100" s="284"/>
      <c r="K100" s="284"/>
      <c r="L100" s="284"/>
      <c r="M100" s="284"/>
      <c r="N100" s="284"/>
      <c r="O100" s="284"/>
      <c r="P100" s="284"/>
      <c r="Q100" s="284"/>
      <c r="R100" s="285"/>
    </row>
    <row r="101" spans="1:18" ht="22.15" customHeight="1" thickTop="1" thickBot="1">
      <c r="A101" s="279" t="s">
        <v>6</v>
      </c>
      <c r="B101" s="295"/>
      <c r="C101" s="295"/>
      <c r="D101" s="295"/>
      <c r="E101" s="295"/>
      <c r="F101" s="296"/>
      <c r="G101" s="32">
        <v>46037</v>
      </c>
      <c r="H101" s="278" t="s">
        <v>7</v>
      </c>
      <c r="I101" s="295"/>
      <c r="J101" s="295"/>
      <c r="K101" s="295"/>
      <c r="L101" s="295"/>
      <c r="M101" s="295"/>
      <c r="N101" s="295"/>
      <c r="O101" s="295"/>
      <c r="P101" s="295"/>
      <c r="Q101" s="295"/>
      <c r="R101" s="296"/>
    </row>
    <row r="102" spans="1:18" ht="24" customHeight="1">
      <c r="A102" s="33" t="s">
        <v>8</v>
      </c>
      <c r="B102" s="33" t="s">
        <v>9</v>
      </c>
      <c r="C102" s="34" t="s">
        <v>10</v>
      </c>
      <c r="D102" s="33" t="s">
        <v>11</v>
      </c>
      <c r="E102" s="33" t="s">
        <v>12</v>
      </c>
      <c r="F102" s="35" t="s">
        <v>13</v>
      </c>
      <c r="G102" s="36" t="s">
        <v>14</v>
      </c>
      <c r="H102" s="33" t="s">
        <v>15</v>
      </c>
      <c r="I102" s="37" t="s">
        <v>16</v>
      </c>
      <c r="J102" s="38" t="s">
        <v>17</v>
      </c>
      <c r="K102" s="39" t="s">
        <v>18</v>
      </c>
      <c r="L102" s="38" t="s">
        <v>19</v>
      </c>
      <c r="M102" s="38" t="s">
        <v>20</v>
      </c>
      <c r="N102" s="38" t="s">
        <v>21</v>
      </c>
      <c r="O102" s="33" t="s">
        <v>22</v>
      </c>
      <c r="P102" s="34" t="s">
        <v>23</v>
      </c>
      <c r="Q102" s="38" t="s">
        <v>24</v>
      </c>
      <c r="R102" s="33" t="s">
        <v>25</v>
      </c>
    </row>
    <row r="103" spans="1:18" ht="49.9" customHeight="1">
      <c r="A103" s="8" t="s">
        <v>68</v>
      </c>
      <c r="B103" s="8" t="s">
        <v>1149</v>
      </c>
      <c r="C103" s="9">
        <v>0.98263888888888884</v>
      </c>
      <c r="D103" s="8" t="s">
        <v>70</v>
      </c>
      <c r="E103" s="8" t="s">
        <v>51</v>
      </c>
      <c r="F103" s="8" t="s">
        <v>1156</v>
      </c>
      <c r="G103" s="297"/>
      <c r="H103" s="10"/>
      <c r="I103" s="11"/>
      <c r="J103" s="11"/>
      <c r="K103" s="11"/>
      <c r="L103" s="11"/>
      <c r="M103" s="11"/>
      <c r="N103" s="11"/>
      <c r="O103" s="12"/>
      <c r="P103" s="11"/>
      <c r="Q103" s="13"/>
      <c r="R103" s="14"/>
    </row>
    <row r="104" spans="1:18" ht="49.9" customHeight="1">
      <c r="A104" s="19" t="s">
        <v>402</v>
      </c>
      <c r="B104" s="19" t="s">
        <v>1145</v>
      </c>
      <c r="C104" s="20">
        <v>0.75694444444444453</v>
      </c>
      <c r="D104" s="19" t="s">
        <v>63</v>
      </c>
      <c r="E104" s="19" t="s">
        <v>103</v>
      </c>
      <c r="F104" s="19" t="s">
        <v>1162</v>
      </c>
      <c r="G104" s="298"/>
      <c r="H104" s="10"/>
      <c r="I104" s="11"/>
      <c r="J104" s="11"/>
      <c r="K104" s="11"/>
      <c r="L104" s="11"/>
      <c r="M104" s="11"/>
      <c r="N104" s="11"/>
      <c r="O104" s="12"/>
      <c r="P104" s="11"/>
      <c r="Q104" s="13"/>
      <c r="R104" s="14"/>
    </row>
    <row r="105" spans="1:18" ht="49.9" customHeight="1">
      <c r="A105" s="87" t="s">
        <v>61</v>
      </c>
      <c r="B105" s="87" t="s">
        <v>1147</v>
      </c>
      <c r="C105" s="88">
        <v>0.71180555555555547</v>
      </c>
      <c r="D105" s="87" t="s">
        <v>63</v>
      </c>
      <c r="E105" s="87" t="s">
        <v>51</v>
      </c>
      <c r="F105" s="87" t="s">
        <v>179</v>
      </c>
      <c r="G105" s="298"/>
      <c r="H105" s="89" t="s">
        <v>1148</v>
      </c>
      <c r="I105" s="90">
        <v>1.6799999999999999E-2</v>
      </c>
      <c r="J105" s="91">
        <v>3</v>
      </c>
      <c r="K105" s="92">
        <v>46294</v>
      </c>
      <c r="L105" s="91">
        <v>3</v>
      </c>
      <c r="M105" s="91">
        <v>0</v>
      </c>
      <c r="N105" s="91">
        <v>0</v>
      </c>
      <c r="O105" s="93" t="s">
        <v>667</v>
      </c>
      <c r="P105" s="94">
        <v>0.71180555555555547</v>
      </c>
      <c r="Q105" s="91">
        <v>179</v>
      </c>
      <c r="R105" s="95" t="s">
        <v>304</v>
      </c>
    </row>
    <row r="106" spans="1:18" ht="49.9" customHeight="1" thickBot="1">
      <c r="A106" s="96" t="s">
        <v>415</v>
      </c>
      <c r="B106" s="96" t="s">
        <v>1150</v>
      </c>
      <c r="C106" s="97">
        <v>0.80555555555555547</v>
      </c>
      <c r="D106" s="96" t="s">
        <v>63</v>
      </c>
      <c r="E106" s="96" t="s">
        <v>51</v>
      </c>
      <c r="F106" s="96" t="s">
        <v>1163</v>
      </c>
      <c r="G106" s="299"/>
      <c r="H106" s="300"/>
      <c r="I106" s="140"/>
      <c r="J106" s="140"/>
      <c r="K106" s="140"/>
      <c r="L106" s="140"/>
      <c r="M106" s="140"/>
      <c r="N106" s="140"/>
      <c r="O106" s="141"/>
      <c r="P106" s="140"/>
      <c r="Q106" s="142"/>
      <c r="R106" s="301"/>
    </row>
    <row r="107" spans="1:18" ht="17.45" customHeight="1" thickBot="1">
      <c r="A107" s="283"/>
      <c r="B107" s="284"/>
      <c r="C107" s="284"/>
      <c r="D107" s="284"/>
      <c r="E107" s="284"/>
      <c r="F107" s="284"/>
      <c r="G107" s="284"/>
      <c r="H107" s="284"/>
      <c r="I107" s="284"/>
      <c r="J107" s="284"/>
      <c r="K107" s="284"/>
      <c r="L107" s="284"/>
      <c r="M107" s="284"/>
      <c r="N107" s="284"/>
      <c r="O107" s="284"/>
      <c r="P107" s="284"/>
      <c r="Q107" s="284"/>
      <c r="R107" s="285"/>
    </row>
    <row r="108" spans="1:18" ht="22.15" customHeight="1" thickTop="1" thickBot="1">
      <c r="A108" s="279" t="s">
        <v>6</v>
      </c>
      <c r="B108" s="295"/>
      <c r="C108" s="295"/>
      <c r="D108" s="295"/>
      <c r="E108" s="295"/>
      <c r="F108" s="296"/>
      <c r="G108" s="32">
        <v>46038</v>
      </c>
      <c r="H108" s="278" t="s">
        <v>7</v>
      </c>
      <c r="I108" s="295"/>
      <c r="J108" s="295"/>
      <c r="K108" s="295"/>
      <c r="L108" s="295"/>
      <c r="M108" s="295"/>
      <c r="N108" s="295"/>
      <c r="O108" s="295"/>
      <c r="P108" s="295"/>
      <c r="Q108" s="295"/>
      <c r="R108" s="296"/>
    </row>
    <row r="109" spans="1:18" ht="24" customHeight="1">
      <c r="A109" s="33" t="s">
        <v>8</v>
      </c>
      <c r="B109" s="33" t="s">
        <v>9</v>
      </c>
      <c r="C109" s="34" t="s">
        <v>10</v>
      </c>
      <c r="D109" s="33" t="s">
        <v>11</v>
      </c>
      <c r="E109" s="33" t="s">
        <v>12</v>
      </c>
      <c r="F109" s="35" t="s">
        <v>13</v>
      </c>
      <c r="G109" s="36" t="s">
        <v>14</v>
      </c>
      <c r="H109" s="33" t="s">
        <v>15</v>
      </c>
      <c r="I109" s="37" t="s">
        <v>16</v>
      </c>
      <c r="J109" s="38" t="s">
        <v>17</v>
      </c>
      <c r="K109" s="39" t="s">
        <v>18</v>
      </c>
      <c r="L109" s="38" t="s">
        <v>19</v>
      </c>
      <c r="M109" s="38" t="s">
        <v>20</v>
      </c>
      <c r="N109" s="38" t="s">
        <v>21</v>
      </c>
      <c r="O109" s="33" t="s">
        <v>22</v>
      </c>
      <c r="P109" s="34" t="s">
        <v>23</v>
      </c>
      <c r="Q109" s="38" t="s">
        <v>24</v>
      </c>
      <c r="R109" s="33" t="s">
        <v>25</v>
      </c>
    </row>
    <row r="110" spans="1:18" ht="49.9" customHeight="1">
      <c r="A110" s="8" t="s">
        <v>359</v>
      </c>
      <c r="B110" s="8" t="s">
        <v>1152</v>
      </c>
      <c r="C110" s="9">
        <v>0.49652777777777768</v>
      </c>
      <c r="D110" s="8" t="s">
        <v>361</v>
      </c>
      <c r="E110" s="8" t="s">
        <v>80</v>
      </c>
      <c r="F110" s="8" t="s">
        <v>1167</v>
      </c>
      <c r="G110" s="297"/>
      <c r="H110" s="10"/>
      <c r="I110" s="11"/>
      <c r="J110" s="11"/>
      <c r="K110" s="11"/>
      <c r="L110" s="11"/>
      <c r="M110" s="11"/>
      <c r="N110" s="11"/>
      <c r="O110" s="12"/>
      <c r="P110" s="11"/>
      <c r="Q110" s="13"/>
      <c r="R110" s="14"/>
    </row>
    <row r="111" spans="1:18" ht="49.9" customHeight="1">
      <c r="A111" s="15" t="s">
        <v>359</v>
      </c>
      <c r="B111" s="15" t="s">
        <v>1152</v>
      </c>
      <c r="C111" s="16">
        <v>0.49652777777777768</v>
      </c>
      <c r="D111" s="15" t="s">
        <v>46</v>
      </c>
      <c r="E111" s="15" t="s">
        <v>82</v>
      </c>
      <c r="F111" s="15" t="s">
        <v>1168</v>
      </c>
      <c r="G111" s="298"/>
      <c r="H111" s="10"/>
      <c r="I111" s="11"/>
      <c r="J111" s="11"/>
      <c r="K111" s="11"/>
      <c r="L111" s="11"/>
      <c r="M111" s="11"/>
      <c r="N111" s="11"/>
      <c r="O111" s="12"/>
      <c r="P111" s="11"/>
      <c r="Q111" s="13"/>
      <c r="R111" s="14"/>
    </row>
    <row r="112" spans="1:18" ht="49.9" customHeight="1">
      <c r="A112" s="19" t="s">
        <v>402</v>
      </c>
      <c r="B112" s="19" t="s">
        <v>1155</v>
      </c>
      <c r="C112" s="20">
        <v>0.75694444444444453</v>
      </c>
      <c r="D112" s="19" t="s">
        <v>63</v>
      </c>
      <c r="E112" s="19" t="s">
        <v>103</v>
      </c>
      <c r="F112" s="19" t="s">
        <v>1162</v>
      </c>
      <c r="G112" s="298"/>
      <c r="H112" s="10"/>
      <c r="I112" s="11"/>
      <c r="J112" s="11"/>
      <c r="K112" s="11"/>
      <c r="L112" s="11"/>
      <c r="M112" s="11"/>
      <c r="N112" s="11"/>
      <c r="O112" s="12"/>
      <c r="P112" s="11"/>
      <c r="Q112" s="13"/>
      <c r="R112" s="14"/>
    </row>
    <row r="113" spans="1:18" ht="49.9" customHeight="1">
      <c r="A113" s="19" t="s">
        <v>68</v>
      </c>
      <c r="B113" s="19" t="s">
        <v>1149</v>
      </c>
      <c r="C113" s="20">
        <v>0.98263888888888884</v>
      </c>
      <c r="D113" s="19" t="s">
        <v>70</v>
      </c>
      <c r="E113" s="19" t="s">
        <v>51</v>
      </c>
      <c r="F113" s="19" t="s">
        <v>1093</v>
      </c>
      <c r="G113" s="298"/>
      <c r="H113" s="10"/>
      <c r="I113" s="11"/>
      <c r="J113" s="11"/>
      <c r="K113" s="11"/>
      <c r="L113" s="11"/>
      <c r="M113" s="11"/>
      <c r="N113" s="11"/>
      <c r="O113" s="12"/>
      <c r="P113" s="11"/>
      <c r="Q113" s="13"/>
      <c r="R113" s="14"/>
    </row>
    <row r="114" spans="1:18" ht="49.9" customHeight="1" thickBot="1">
      <c r="A114" s="96" t="s">
        <v>415</v>
      </c>
      <c r="B114" s="96" t="s">
        <v>1150</v>
      </c>
      <c r="C114" s="97">
        <v>0.85416666666666663</v>
      </c>
      <c r="D114" s="96" t="s">
        <v>63</v>
      </c>
      <c r="E114" s="96" t="s">
        <v>100</v>
      </c>
      <c r="F114" s="96" t="s">
        <v>1163</v>
      </c>
      <c r="G114" s="299"/>
      <c r="H114" s="300"/>
      <c r="I114" s="140"/>
      <c r="J114" s="140"/>
      <c r="K114" s="140"/>
      <c r="L114" s="140"/>
      <c r="M114" s="140"/>
      <c r="N114" s="140"/>
      <c r="O114" s="141"/>
      <c r="P114" s="140"/>
      <c r="Q114" s="142"/>
      <c r="R114" s="301"/>
    </row>
    <row r="115" spans="1:18" ht="17.45" customHeight="1" thickBot="1">
      <c r="A115" s="283"/>
      <c r="B115" s="284"/>
      <c r="C115" s="284"/>
      <c r="D115" s="284"/>
      <c r="E115" s="284"/>
      <c r="F115" s="284"/>
      <c r="G115" s="284"/>
      <c r="H115" s="284"/>
      <c r="I115" s="284"/>
      <c r="J115" s="284"/>
      <c r="K115" s="284"/>
      <c r="L115" s="284"/>
      <c r="M115" s="284"/>
      <c r="N115" s="284"/>
      <c r="O115" s="284"/>
      <c r="P115" s="284"/>
      <c r="Q115" s="284"/>
      <c r="R115" s="285"/>
    </row>
    <row r="116" spans="1:18" ht="22.15" customHeight="1" thickTop="1" thickBot="1">
      <c r="A116" s="279" t="s">
        <v>6</v>
      </c>
      <c r="B116" s="295"/>
      <c r="C116" s="295"/>
      <c r="D116" s="295"/>
      <c r="E116" s="295"/>
      <c r="F116" s="296"/>
      <c r="G116" s="32">
        <v>46039</v>
      </c>
      <c r="H116" s="278" t="s">
        <v>7</v>
      </c>
      <c r="I116" s="295"/>
      <c r="J116" s="295"/>
      <c r="K116" s="295"/>
      <c r="L116" s="295"/>
      <c r="M116" s="295"/>
      <c r="N116" s="295"/>
      <c r="O116" s="295"/>
      <c r="P116" s="295"/>
      <c r="Q116" s="295"/>
      <c r="R116" s="296"/>
    </row>
    <row r="117" spans="1:18" ht="24" customHeight="1">
      <c r="A117" s="33" t="s">
        <v>8</v>
      </c>
      <c r="B117" s="33" t="s">
        <v>9</v>
      </c>
      <c r="C117" s="34" t="s">
        <v>10</v>
      </c>
      <c r="D117" s="33" t="s">
        <v>11</v>
      </c>
      <c r="E117" s="33" t="s">
        <v>12</v>
      </c>
      <c r="F117" s="35" t="s">
        <v>13</v>
      </c>
      <c r="G117" s="36" t="s">
        <v>14</v>
      </c>
      <c r="H117" s="33" t="s">
        <v>15</v>
      </c>
      <c r="I117" s="37" t="s">
        <v>16</v>
      </c>
      <c r="J117" s="38" t="s">
        <v>17</v>
      </c>
      <c r="K117" s="39" t="s">
        <v>18</v>
      </c>
      <c r="L117" s="38" t="s">
        <v>19</v>
      </c>
      <c r="M117" s="38" t="s">
        <v>20</v>
      </c>
      <c r="N117" s="38" t="s">
        <v>21</v>
      </c>
      <c r="O117" s="33" t="s">
        <v>22</v>
      </c>
      <c r="P117" s="34" t="s">
        <v>23</v>
      </c>
      <c r="Q117" s="38" t="s">
        <v>24</v>
      </c>
      <c r="R117" s="33" t="s">
        <v>25</v>
      </c>
    </row>
    <row r="118" spans="1:18" ht="49.9" customHeight="1">
      <c r="A118" s="8" t="s">
        <v>402</v>
      </c>
      <c r="B118" s="8" t="s">
        <v>1145</v>
      </c>
      <c r="C118" s="9">
        <v>0.75694444444444453</v>
      </c>
      <c r="D118" s="8" t="s">
        <v>63</v>
      </c>
      <c r="E118" s="8" t="s">
        <v>103</v>
      </c>
      <c r="F118" s="8" t="s">
        <v>1019</v>
      </c>
      <c r="G118" s="297"/>
      <c r="H118" s="10"/>
      <c r="I118" s="11"/>
      <c r="J118" s="11"/>
      <c r="K118" s="11"/>
      <c r="L118" s="11"/>
      <c r="M118" s="11"/>
      <c r="N118" s="11"/>
      <c r="O118" s="12"/>
      <c r="P118" s="11"/>
      <c r="Q118" s="13"/>
      <c r="R118" s="14"/>
    </row>
    <row r="119" spans="1:18" ht="49.9" customHeight="1">
      <c r="A119" s="21" t="s">
        <v>61</v>
      </c>
      <c r="B119" s="21" t="s">
        <v>1147</v>
      </c>
      <c r="C119" s="22">
        <v>0.83680555555555547</v>
      </c>
      <c r="D119" s="21" t="s">
        <v>63</v>
      </c>
      <c r="E119" s="21" t="s">
        <v>29</v>
      </c>
      <c r="F119" s="21" t="s">
        <v>1021</v>
      </c>
      <c r="G119" s="298"/>
      <c r="H119" s="23" t="s">
        <v>1148</v>
      </c>
      <c r="I119" s="24">
        <v>0.1173</v>
      </c>
      <c r="J119" s="25">
        <v>21</v>
      </c>
      <c r="K119" s="26">
        <v>46307</v>
      </c>
      <c r="L119" s="25">
        <v>21</v>
      </c>
      <c r="M119" s="25">
        <v>0</v>
      </c>
      <c r="N119" s="25">
        <v>0</v>
      </c>
      <c r="O119" s="27" t="s">
        <v>1169</v>
      </c>
      <c r="P119" s="28">
        <v>0.83680555555555547</v>
      </c>
      <c r="Q119" s="25">
        <v>179</v>
      </c>
      <c r="R119" s="29" t="s">
        <v>1170</v>
      </c>
    </row>
    <row r="120" spans="1:18" ht="49.9" customHeight="1" thickBot="1">
      <c r="A120" s="96" t="s">
        <v>415</v>
      </c>
      <c r="B120" s="96" t="s">
        <v>1171</v>
      </c>
      <c r="C120" s="97">
        <v>0.67361111111111116</v>
      </c>
      <c r="D120" s="96" t="s">
        <v>63</v>
      </c>
      <c r="E120" s="96" t="s">
        <v>143</v>
      </c>
      <c r="F120" s="96" t="s">
        <v>1163</v>
      </c>
      <c r="G120" s="299"/>
      <c r="H120" s="300"/>
      <c r="I120" s="140"/>
      <c r="J120" s="140"/>
      <c r="K120" s="140"/>
      <c r="L120" s="140"/>
      <c r="M120" s="140"/>
      <c r="N120" s="140"/>
      <c r="O120" s="141"/>
      <c r="P120" s="140"/>
      <c r="Q120" s="142"/>
      <c r="R120" s="301"/>
    </row>
    <row r="121" spans="1:18" ht="17.45" customHeight="1" thickBot="1">
      <c r="A121" s="283"/>
      <c r="B121" s="284"/>
      <c r="C121" s="284"/>
      <c r="D121" s="284"/>
      <c r="E121" s="284"/>
      <c r="F121" s="284"/>
      <c r="G121" s="284"/>
      <c r="H121" s="284"/>
      <c r="I121" s="284"/>
      <c r="J121" s="284"/>
      <c r="K121" s="284"/>
      <c r="L121" s="284"/>
      <c r="M121" s="284"/>
      <c r="N121" s="284"/>
      <c r="O121" s="284"/>
      <c r="P121" s="284"/>
      <c r="Q121" s="284"/>
      <c r="R121" s="285"/>
    </row>
    <row r="122" spans="1:18" ht="22.15" customHeight="1" thickTop="1" thickBot="1">
      <c r="A122" s="279" t="s">
        <v>6</v>
      </c>
      <c r="B122" s="295"/>
      <c r="C122" s="295"/>
      <c r="D122" s="295"/>
      <c r="E122" s="295"/>
      <c r="F122" s="296"/>
      <c r="G122" s="32">
        <v>46040</v>
      </c>
      <c r="H122" s="278" t="s">
        <v>7</v>
      </c>
      <c r="I122" s="295"/>
      <c r="J122" s="295"/>
      <c r="K122" s="295"/>
      <c r="L122" s="295"/>
      <c r="M122" s="295"/>
      <c r="N122" s="295"/>
      <c r="O122" s="295"/>
      <c r="P122" s="295"/>
      <c r="Q122" s="295"/>
      <c r="R122" s="296"/>
    </row>
    <row r="123" spans="1:18" ht="24" customHeight="1">
      <c r="A123" s="33" t="s">
        <v>8</v>
      </c>
      <c r="B123" s="33" t="s">
        <v>9</v>
      </c>
      <c r="C123" s="34" t="s">
        <v>10</v>
      </c>
      <c r="D123" s="33" t="s">
        <v>11</v>
      </c>
      <c r="E123" s="33" t="s">
        <v>12</v>
      </c>
      <c r="F123" s="35" t="s">
        <v>13</v>
      </c>
      <c r="G123" s="36" t="s">
        <v>14</v>
      </c>
      <c r="H123" s="33" t="s">
        <v>15</v>
      </c>
      <c r="I123" s="37" t="s">
        <v>16</v>
      </c>
      <c r="J123" s="38" t="s">
        <v>17</v>
      </c>
      <c r="K123" s="39" t="s">
        <v>18</v>
      </c>
      <c r="L123" s="38" t="s">
        <v>19</v>
      </c>
      <c r="M123" s="38" t="s">
        <v>20</v>
      </c>
      <c r="N123" s="38" t="s">
        <v>21</v>
      </c>
      <c r="O123" s="33" t="s">
        <v>22</v>
      </c>
      <c r="P123" s="34" t="s">
        <v>23</v>
      </c>
      <c r="Q123" s="38" t="s">
        <v>24</v>
      </c>
      <c r="R123" s="33" t="s">
        <v>25</v>
      </c>
    </row>
    <row r="124" spans="1:18" ht="49.9" customHeight="1">
      <c r="A124" s="8" t="s">
        <v>359</v>
      </c>
      <c r="B124" s="8" t="s">
        <v>1152</v>
      </c>
      <c r="C124" s="9">
        <v>0.53819444444444442</v>
      </c>
      <c r="D124" s="8" t="s">
        <v>361</v>
      </c>
      <c r="E124" s="8" t="s">
        <v>80</v>
      </c>
      <c r="F124" s="8" t="s">
        <v>1167</v>
      </c>
      <c r="G124" s="297"/>
      <c r="H124" s="10"/>
      <c r="I124" s="11"/>
      <c r="J124" s="11"/>
      <c r="K124" s="11"/>
      <c r="L124" s="11"/>
      <c r="M124" s="11"/>
      <c r="N124" s="11"/>
      <c r="O124" s="12"/>
      <c r="P124" s="11"/>
      <c r="Q124" s="13"/>
      <c r="R124" s="14"/>
    </row>
    <row r="125" spans="1:18" ht="49.9" customHeight="1">
      <c r="A125" s="15" t="s">
        <v>359</v>
      </c>
      <c r="B125" s="15" t="s">
        <v>1152</v>
      </c>
      <c r="C125" s="16">
        <v>0.53819444444444442</v>
      </c>
      <c r="D125" s="15" t="s">
        <v>46</v>
      </c>
      <c r="E125" s="15" t="s">
        <v>82</v>
      </c>
      <c r="F125" s="15" t="s">
        <v>1168</v>
      </c>
      <c r="G125" s="298"/>
      <c r="H125" s="10"/>
      <c r="I125" s="11"/>
      <c r="J125" s="11"/>
      <c r="K125" s="11"/>
      <c r="L125" s="11"/>
      <c r="M125" s="11"/>
      <c r="N125" s="11"/>
      <c r="O125" s="12"/>
      <c r="P125" s="11"/>
      <c r="Q125" s="13"/>
      <c r="R125" s="14"/>
    </row>
    <row r="126" spans="1:18" ht="49.9" customHeight="1">
      <c r="A126" s="19" t="s">
        <v>402</v>
      </c>
      <c r="B126" s="19" t="s">
        <v>1159</v>
      </c>
      <c r="C126" s="20">
        <v>0.75694444444444453</v>
      </c>
      <c r="D126" s="19" t="s">
        <v>63</v>
      </c>
      <c r="E126" s="19" t="s">
        <v>103</v>
      </c>
      <c r="F126" s="19" t="s">
        <v>1162</v>
      </c>
      <c r="G126" s="298"/>
      <c r="H126" s="10"/>
      <c r="I126" s="11"/>
      <c r="J126" s="11"/>
      <c r="K126" s="11"/>
      <c r="L126" s="11"/>
      <c r="M126" s="11"/>
      <c r="N126" s="11"/>
      <c r="O126" s="12"/>
      <c r="P126" s="11"/>
      <c r="Q126" s="13"/>
      <c r="R126" s="14"/>
    </row>
    <row r="127" spans="1:18" ht="49.9" customHeight="1" thickBot="1">
      <c r="A127" s="96" t="s">
        <v>415</v>
      </c>
      <c r="B127" s="96" t="s">
        <v>1150</v>
      </c>
      <c r="C127" s="97">
        <v>0.80555555555555547</v>
      </c>
      <c r="D127" s="96" t="s">
        <v>63</v>
      </c>
      <c r="E127" s="96" t="s">
        <v>51</v>
      </c>
      <c r="F127" s="96" t="s">
        <v>1163</v>
      </c>
      <c r="G127" s="299"/>
      <c r="H127" s="300"/>
      <c r="I127" s="140"/>
      <c r="J127" s="140"/>
      <c r="K127" s="140"/>
      <c r="L127" s="140"/>
      <c r="M127" s="140"/>
      <c r="N127" s="140"/>
      <c r="O127" s="141"/>
      <c r="P127" s="140"/>
      <c r="Q127" s="142"/>
      <c r="R127" s="301"/>
    </row>
    <row r="128" spans="1:18" ht="17.45" customHeight="1" thickBot="1">
      <c r="A128" s="283"/>
      <c r="B128" s="284"/>
      <c r="C128" s="284"/>
      <c r="D128" s="284"/>
      <c r="E128" s="284"/>
      <c r="F128" s="284"/>
      <c r="G128" s="284"/>
      <c r="H128" s="284"/>
      <c r="I128" s="284"/>
      <c r="J128" s="284"/>
      <c r="K128" s="284"/>
      <c r="L128" s="284"/>
      <c r="M128" s="284"/>
      <c r="N128" s="284"/>
      <c r="O128" s="284"/>
      <c r="P128" s="284"/>
      <c r="Q128" s="284"/>
      <c r="R128" s="285"/>
    </row>
    <row r="129" spans="1:18" ht="22.15" customHeight="1" thickTop="1" thickBot="1">
      <c r="A129" s="279" t="s">
        <v>6</v>
      </c>
      <c r="B129" s="295"/>
      <c r="C129" s="295"/>
      <c r="D129" s="295"/>
      <c r="E129" s="295"/>
      <c r="F129" s="296"/>
      <c r="G129" s="32">
        <v>46041</v>
      </c>
      <c r="H129" s="278" t="s">
        <v>7</v>
      </c>
      <c r="I129" s="295"/>
      <c r="J129" s="295"/>
      <c r="K129" s="295"/>
      <c r="L129" s="295"/>
      <c r="M129" s="295"/>
      <c r="N129" s="295"/>
      <c r="O129" s="295"/>
      <c r="P129" s="295"/>
      <c r="Q129" s="295"/>
      <c r="R129" s="296"/>
    </row>
    <row r="130" spans="1:18" ht="24" customHeight="1">
      <c r="A130" s="33" t="s">
        <v>8</v>
      </c>
      <c r="B130" s="33" t="s">
        <v>9</v>
      </c>
      <c r="C130" s="34" t="s">
        <v>10</v>
      </c>
      <c r="D130" s="33" t="s">
        <v>11</v>
      </c>
      <c r="E130" s="33" t="s">
        <v>12</v>
      </c>
      <c r="F130" s="35" t="s">
        <v>13</v>
      </c>
      <c r="G130" s="36" t="s">
        <v>14</v>
      </c>
      <c r="H130" s="33" t="s">
        <v>15</v>
      </c>
      <c r="I130" s="37" t="s">
        <v>16</v>
      </c>
      <c r="J130" s="38" t="s">
        <v>17</v>
      </c>
      <c r="K130" s="39" t="s">
        <v>18</v>
      </c>
      <c r="L130" s="38" t="s">
        <v>19</v>
      </c>
      <c r="M130" s="38" t="s">
        <v>20</v>
      </c>
      <c r="N130" s="38" t="s">
        <v>21</v>
      </c>
      <c r="O130" s="33" t="s">
        <v>22</v>
      </c>
      <c r="P130" s="34" t="s">
        <v>23</v>
      </c>
      <c r="Q130" s="38" t="s">
        <v>24</v>
      </c>
      <c r="R130" s="33" t="s">
        <v>25</v>
      </c>
    </row>
    <row r="131" spans="1:18" ht="49.9" customHeight="1">
      <c r="A131" s="8" t="s">
        <v>68</v>
      </c>
      <c r="B131" s="8" t="s">
        <v>1149</v>
      </c>
      <c r="C131" s="9">
        <v>0.98263888888888884</v>
      </c>
      <c r="D131" s="8" t="s">
        <v>643</v>
      </c>
      <c r="E131" s="8" t="s">
        <v>51</v>
      </c>
      <c r="F131" s="8" t="s">
        <v>33</v>
      </c>
      <c r="G131" s="297"/>
      <c r="H131" s="10"/>
      <c r="I131" s="11"/>
      <c r="J131" s="11"/>
      <c r="K131" s="11"/>
      <c r="L131" s="11"/>
      <c r="M131" s="11"/>
      <c r="N131" s="11"/>
      <c r="O131" s="12"/>
      <c r="P131" s="11"/>
      <c r="Q131" s="13"/>
      <c r="R131" s="14"/>
    </row>
    <row r="132" spans="1:18" ht="49.9" customHeight="1">
      <c r="A132" s="19" t="s">
        <v>359</v>
      </c>
      <c r="B132" s="19" t="s">
        <v>1152</v>
      </c>
      <c r="C132" s="20">
        <v>0.53819444444444442</v>
      </c>
      <c r="D132" s="19" t="s">
        <v>361</v>
      </c>
      <c r="E132" s="19" t="s">
        <v>80</v>
      </c>
      <c r="F132" s="19" t="s">
        <v>1165</v>
      </c>
      <c r="G132" s="298"/>
      <c r="H132" s="10"/>
      <c r="I132" s="11"/>
      <c r="J132" s="11"/>
      <c r="K132" s="11"/>
      <c r="L132" s="11"/>
      <c r="M132" s="11"/>
      <c r="N132" s="11"/>
      <c r="O132" s="12"/>
      <c r="P132" s="11"/>
      <c r="Q132" s="13"/>
      <c r="R132" s="14"/>
    </row>
    <row r="133" spans="1:18" ht="49.9" customHeight="1">
      <c r="A133" s="15" t="s">
        <v>359</v>
      </c>
      <c r="B133" s="15" t="s">
        <v>1152</v>
      </c>
      <c r="C133" s="16">
        <v>0.53819444444444442</v>
      </c>
      <c r="D133" s="15" t="s">
        <v>46</v>
      </c>
      <c r="E133" s="15" t="s">
        <v>82</v>
      </c>
      <c r="F133" s="15" t="s">
        <v>1166</v>
      </c>
      <c r="G133" s="298"/>
      <c r="H133" s="10"/>
      <c r="I133" s="11"/>
      <c r="J133" s="11"/>
      <c r="K133" s="11"/>
      <c r="L133" s="11"/>
      <c r="M133" s="11"/>
      <c r="N133" s="11"/>
      <c r="O133" s="12"/>
      <c r="P133" s="11"/>
      <c r="Q133" s="13"/>
      <c r="R133" s="14"/>
    </row>
    <row r="134" spans="1:18" ht="49.9" customHeight="1">
      <c r="A134" s="19" t="s">
        <v>402</v>
      </c>
      <c r="B134" s="19" t="s">
        <v>1155</v>
      </c>
      <c r="C134" s="20">
        <v>0.71527777777777779</v>
      </c>
      <c r="D134" s="19" t="s">
        <v>63</v>
      </c>
      <c r="E134" s="19" t="s">
        <v>103</v>
      </c>
      <c r="F134" s="19" t="s">
        <v>1162</v>
      </c>
      <c r="G134" s="298"/>
      <c r="H134" s="10"/>
      <c r="I134" s="11"/>
      <c r="J134" s="11"/>
      <c r="K134" s="11"/>
      <c r="L134" s="11"/>
      <c r="M134" s="11"/>
      <c r="N134" s="11"/>
      <c r="O134" s="12"/>
      <c r="P134" s="11"/>
      <c r="Q134" s="13"/>
      <c r="R134" s="14"/>
    </row>
    <row r="135" spans="1:18" ht="49.9" customHeight="1" thickBot="1">
      <c r="A135" s="96" t="s">
        <v>415</v>
      </c>
      <c r="B135" s="96" t="s">
        <v>1150</v>
      </c>
      <c r="C135" s="97">
        <v>0.78125</v>
      </c>
      <c r="D135" s="96" t="s">
        <v>63</v>
      </c>
      <c r="E135" s="96" t="s">
        <v>51</v>
      </c>
      <c r="F135" s="96" t="s">
        <v>1163</v>
      </c>
      <c r="G135" s="299"/>
      <c r="H135" s="300"/>
      <c r="I135" s="140"/>
      <c r="J135" s="140"/>
      <c r="K135" s="140"/>
      <c r="L135" s="140"/>
      <c r="M135" s="140"/>
      <c r="N135" s="140"/>
      <c r="O135" s="141"/>
      <c r="P135" s="140"/>
      <c r="Q135" s="142"/>
      <c r="R135" s="301"/>
    </row>
    <row r="136" spans="1:18" ht="17.45" customHeight="1" thickBot="1">
      <c r="A136" s="283"/>
      <c r="B136" s="284"/>
      <c r="C136" s="284"/>
      <c r="D136" s="284"/>
      <c r="E136" s="284"/>
      <c r="F136" s="284"/>
      <c r="G136" s="284"/>
      <c r="H136" s="284"/>
      <c r="I136" s="284"/>
      <c r="J136" s="284"/>
      <c r="K136" s="284"/>
      <c r="L136" s="284"/>
      <c r="M136" s="284"/>
      <c r="N136" s="284"/>
      <c r="O136" s="284"/>
      <c r="P136" s="284"/>
      <c r="Q136" s="284"/>
      <c r="R136" s="285"/>
    </row>
    <row r="137" spans="1:18" ht="22.15" customHeight="1" thickTop="1" thickBot="1">
      <c r="A137" s="279" t="s">
        <v>6</v>
      </c>
      <c r="B137" s="295"/>
      <c r="C137" s="295"/>
      <c r="D137" s="295"/>
      <c r="E137" s="295"/>
      <c r="F137" s="296"/>
      <c r="G137" s="32">
        <v>46042</v>
      </c>
      <c r="H137" s="278" t="s">
        <v>7</v>
      </c>
      <c r="I137" s="295"/>
      <c r="J137" s="295"/>
      <c r="K137" s="295"/>
      <c r="L137" s="295"/>
      <c r="M137" s="295"/>
      <c r="N137" s="295"/>
      <c r="O137" s="295"/>
      <c r="P137" s="295"/>
      <c r="Q137" s="295"/>
      <c r="R137" s="296"/>
    </row>
    <row r="138" spans="1:18" ht="24" customHeight="1">
      <c r="A138" s="33" t="s">
        <v>8</v>
      </c>
      <c r="B138" s="33" t="s">
        <v>9</v>
      </c>
      <c r="C138" s="34" t="s">
        <v>10</v>
      </c>
      <c r="D138" s="33" t="s">
        <v>11</v>
      </c>
      <c r="E138" s="33" t="s">
        <v>12</v>
      </c>
      <c r="F138" s="35" t="s">
        <v>13</v>
      </c>
      <c r="G138" s="36" t="s">
        <v>14</v>
      </c>
      <c r="H138" s="33" t="s">
        <v>15</v>
      </c>
      <c r="I138" s="37" t="s">
        <v>16</v>
      </c>
      <c r="J138" s="38" t="s">
        <v>17</v>
      </c>
      <c r="K138" s="39" t="s">
        <v>18</v>
      </c>
      <c r="L138" s="38" t="s">
        <v>19</v>
      </c>
      <c r="M138" s="38" t="s">
        <v>20</v>
      </c>
      <c r="N138" s="38" t="s">
        <v>21</v>
      </c>
      <c r="O138" s="33" t="s">
        <v>22</v>
      </c>
      <c r="P138" s="34" t="s">
        <v>23</v>
      </c>
      <c r="Q138" s="38" t="s">
        <v>24</v>
      </c>
      <c r="R138" s="33" t="s">
        <v>25</v>
      </c>
    </row>
    <row r="139" spans="1:18" ht="49.9" customHeight="1">
      <c r="A139" s="8" t="s">
        <v>402</v>
      </c>
      <c r="B139" s="8" t="s">
        <v>1145</v>
      </c>
      <c r="C139" s="9">
        <v>0.71527777777777779</v>
      </c>
      <c r="D139" s="8" t="s">
        <v>63</v>
      </c>
      <c r="E139" s="8" t="s">
        <v>103</v>
      </c>
      <c r="F139" s="8" t="s">
        <v>1162</v>
      </c>
      <c r="G139" s="302"/>
      <c r="H139" s="10"/>
      <c r="I139" s="11"/>
      <c r="J139" s="11"/>
      <c r="K139" s="11"/>
      <c r="L139" s="11"/>
      <c r="M139" s="11"/>
      <c r="N139" s="11"/>
      <c r="O139" s="12"/>
      <c r="P139" s="11"/>
      <c r="Q139" s="13"/>
      <c r="R139" s="14"/>
    </row>
    <row r="140" spans="1:18" ht="49.9" customHeight="1" thickTop="1" thickBot="1">
      <c r="A140" s="96" t="s">
        <v>415</v>
      </c>
      <c r="B140" s="96" t="s">
        <v>1150</v>
      </c>
      <c r="C140" s="97">
        <v>0.78125</v>
      </c>
      <c r="D140" s="96" t="s">
        <v>63</v>
      </c>
      <c r="E140" s="96" t="s">
        <v>51</v>
      </c>
      <c r="F140" s="96" t="s">
        <v>1163</v>
      </c>
      <c r="G140" s="299"/>
      <c r="H140" s="300"/>
      <c r="I140" s="140"/>
      <c r="J140" s="140"/>
      <c r="K140" s="140"/>
      <c r="L140" s="140"/>
      <c r="M140" s="140"/>
      <c r="N140" s="140"/>
      <c r="O140" s="141"/>
      <c r="P140" s="140"/>
      <c r="Q140" s="142"/>
      <c r="R140" s="301"/>
    </row>
    <row r="141" spans="1:18" ht="17.45" customHeight="1" thickBot="1">
      <c r="A141" s="283"/>
      <c r="B141" s="284"/>
      <c r="C141" s="284"/>
      <c r="D141" s="284"/>
      <c r="E141" s="284"/>
      <c r="F141" s="284"/>
      <c r="G141" s="284"/>
      <c r="H141" s="284"/>
      <c r="I141" s="284"/>
      <c r="J141" s="284"/>
      <c r="K141" s="284"/>
      <c r="L141" s="284"/>
      <c r="M141" s="284"/>
      <c r="N141" s="284"/>
      <c r="O141" s="284"/>
      <c r="P141" s="284"/>
      <c r="Q141" s="284"/>
      <c r="R141" s="285"/>
    </row>
    <row r="142" spans="1:18" ht="22.15" customHeight="1" thickTop="1" thickBot="1">
      <c r="A142" s="279" t="s">
        <v>6</v>
      </c>
      <c r="B142" s="295"/>
      <c r="C142" s="295"/>
      <c r="D142" s="295"/>
      <c r="E142" s="295"/>
      <c r="F142" s="296"/>
      <c r="G142" s="32">
        <v>46043</v>
      </c>
      <c r="H142" s="278" t="s">
        <v>7</v>
      </c>
      <c r="I142" s="295"/>
      <c r="J142" s="295"/>
      <c r="K142" s="295"/>
      <c r="L142" s="295"/>
      <c r="M142" s="295"/>
      <c r="N142" s="295"/>
      <c r="O142" s="295"/>
      <c r="P142" s="295"/>
      <c r="Q142" s="295"/>
      <c r="R142" s="296"/>
    </row>
    <row r="143" spans="1:18" ht="24" customHeight="1">
      <c r="A143" s="33" t="s">
        <v>8</v>
      </c>
      <c r="B143" s="33" t="s">
        <v>9</v>
      </c>
      <c r="C143" s="34" t="s">
        <v>10</v>
      </c>
      <c r="D143" s="33" t="s">
        <v>11</v>
      </c>
      <c r="E143" s="33" t="s">
        <v>12</v>
      </c>
      <c r="F143" s="35" t="s">
        <v>13</v>
      </c>
      <c r="G143" s="36" t="s">
        <v>14</v>
      </c>
      <c r="H143" s="33" t="s">
        <v>15</v>
      </c>
      <c r="I143" s="37" t="s">
        <v>16</v>
      </c>
      <c r="J143" s="38" t="s">
        <v>17</v>
      </c>
      <c r="K143" s="39" t="s">
        <v>18</v>
      </c>
      <c r="L143" s="38" t="s">
        <v>19</v>
      </c>
      <c r="M143" s="38" t="s">
        <v>20</v>
      </c>
      <c r="N143" s="38" t="s">
        <v>21</v>
      </c>
      <c r="O143" s="33" t="s">
        <v>22</v>
      </c>
      <c r="P143" s="34" t="s">
        <v>23</v>
      </c>
      <c r="Q143" s="38" t="s">
        <v>24</v>
      </c>
      <c r="R143" s="33" t="s">
        <v>25</v>
      </c>
    </row>
    <row r="144" spans="1:18" ht="15" customHeight="1">
      <c r="A144" s="8" t="s">
        <v>68</v>
      </c>
      <c r="B144" s="8" t="s">
        <v>1149</v>
      </c>
      <c r="C144" s="9">
        <v>0.98263888888888884</v>
      </c>
      <c r="D144" s="8" t="s">
        <v>643</v>
      </c>
      <c r="E144" s="8" t="s">
        <v>51</v>
      </c>
      <c r="F144" s="8" t="s">
        <v>33</v>
      </c>
      <c r="G144" s="297"/>
      <c r="H144" s="10"/>
      <c r="I144" s="11"/>
      <c r="J144" s="11"/>
      <c r="K144" s="11"/>
      <c r="L144" s="11"/>
      <c r="M144" s="11"/>
      <c r="N144" s="11"/>
      <c r="O144" s="12"/>
      <c r="P144" s="11"/>
      <c r="Q144" s="13"/>
      <c r="R144" s="14"/>
    </row>
    <row r="145" spans="1:18" ht="15" customHeight="1">
      <c r="A145" s="19" t="s">
        <v>359</v>
      </c>
      <c r="B145" s="19" t="s">
        <v>1152</v>
      </c>
      <c r="C145" s="20">
        <v>0.49652777777777768</v>
      </c>
      <c r="D145" s="19" t="s">
        <v>361</v>
      </c>
      <c r="E145" s="19" t="s">
        <v>80</v>
      </c>
      <c r="F145" s="19" t="s">
        <v>1165</v>
      </c>
      <c r="G145" s="298"/>
      <c r="H145" s="10"/>
      <c r="I145" s="11"/>
      <c r="J145" s="11"/>
      <c r="K145" s="11"/>
      <c r="L145" s="11"/>
      <c r="M145" s="11"/>
      <c r="N145" s="11"/>
      <c r="O145" s="12"/>
      <c r="P145" s="11"/>
      <c r="Q145" s="13"/>
      <c r="R145" s="14"/>
    </row>
    <row r="146" spans="1:18" ht="15" customHeight="1">
      <c r="A146" s="15" t="s">
        <v>359</v>
      </c>
      <c r="B146" s="15" t="s">
        <v>1152</v>
      </c>
      <c r="C146" s="16">
        <v>0.49652777777777768</v>
      </c>
      <c r="D146" s="15" t="s">
        <v>46</v>
      </c>
      <c r="E146" s="15" t="s">
        <v>82</v>
      </c>
      <c r="F146" s="15" t="s">
        <v>1166</v>
      </c>
      <c r="G146" s="298"/>
      <c r="H146" s="10"/>
      <c r="I146" s="11"/>
      <c r="J146" s="11"/>
      <c r="K146" s="11"/>
      <c r="L146" s="11"/>
      <c r="M146" s="11"/>
      <c r="N146" s="11"/>
      <c r="O146" s="12"/>
      <c r="P146" s="11"/>
      <c r="Q146" s="13"/>
      <c r="R146" s="14"/>
    </row>
    <row r="147" spans="1:18" ht="15" customHeight="1">
      <c r="A147" s="49" t="s">
        <v>61</v>
      </c>
      <c r="B147" s="49" t="s">
        <v>1147</v>
      </c>
      <c r="C147" s="50">
        <v>0.71180555555555547</v>
      </c>
      <c r="D147" s="49" t="s">
        <v>63</v>
      </c>
      <c r="E147" s="49" t="s">
        <v>143</v>
      </c>
      <c r="F147" s="49" t="s">
        <v>1157</v>
      </c>
      <c r="G147" s="298"/>
      <c r="H147" s="51" t="s">
        <v>1148</v>
      </c>
      <c r="I147" s="52">
        <v>1.6799999999999999E-2</v>
      </c>
      <c r="J147" s="53">
        <v>3</v>
      </c>
      <c r="K147" s="54">
        <v>46315</v>
      </c>
      <c r="L147" s="53">
        <v>3</v>
      </c>
      <c r="M147" s="53">
        <v>0</v>
      </c>
      <c r="N147" s="53">
        <v>0</v>
      </c>
      <c r="O147" s="55" t="s">
        <v>1016</v>
      </c>
      <c r="P147" s="56">
        <v>0.71180555555555547</v>
      </c>
      <c r="Q147" s="53">
        <v>179</v>
      </c>
      <c r="R147" s="57" t="s">
        <v>967</v>
      </c>
    </row>
    <row r="148" spans="1:18" ht="15" customHeight="1">
      <c r="A148" s="19" t="s">
        <v>402</v>
      </c>
      <c r="B148" s="19" t="s">
        <v>1155</v>
      </c>
      <c r="C148" s="20">
        <v>0.75694444444444453</v>
      </c>
      <c r="D148" s="19" t="s">
        <v>63</v>
      </c>
      <c r="E148" s="19" t="s">
        <v>103</v>
      </c>
      <c r="F148" s="19" t="s">
        <v>1162</v>
      </c>
      <c r="G148" s="298"/>
      <c r="H148" s="10"/>
      <c r="I148" s="11"/>
      <c r="J148" s="11"/>
      <c r="K148" s="11"/>
      <c r="L148" s="11"/>
      <c r="M148" s="11"/>
      <c r="N148" s="11"/>
      <c r="O148" s="12"/>
      <c r="P148" s="11"/>
      <c r="Q148" s="13"/>
      <c r="R148" s="14"/>
    </row>
    <row r="149" spans="1:18" ht="15" customHeight="1" thickBot="1">
      <c r="A149" s="96" t="s">
        <v>415</v>
      </c>
      <c r="B149" s="96" t="s">
        <v>1150</v>
      </c>
      <c r="C149" s="97">
        <v>0.80555555555555547</v>
      </c>
      <c r="D149" s="96" t="s">
        <v>63</v>
      </c>
      <c r="E149" s="96" t="s">
        <v>51</v>
      </c>
      <c r="F149" s="96" t="s">
        <v>1163</v>
      </c>
      <c r="G149" s="299"/>
      <c r="H149" s="300"/>
      <c r="I149" s="140"/>
      <c r="J149" s="140"/>
      <c r="K149" s="140"/>
      <c r="L149" s="140"/>
      <c r="M149" s="140"/>
      <c r="N149" s="140"/>
      <c r="O149" s="141"/>
      <c r="P149" s="140"/>
      <c r="Q149" s="142"/>
      <c r="R149" s="301"/>
    </row>
    <row r="150" spans="1:18" ht="17.45" customHeight="1" thickBot="1">
      <c r="A150" s="283"/>
      <c r="B150" s="284"/>
      <c r="C150" s="284"/>
      <c r="D150" s="284"/>
      <c r="E150" s="284"/>
      <c r="F150" s="284"/>
      <c r="G150" s="284"/>
      <c r="H150" s="284"/>
      <c r="I150" s="284"/>
      <c r="J150" s="284"/>
      <c r="K150" s="284"/>
      <c r="L150" s="284"/>
      <c r="M150" s="284"/>
      <c r="N150" s="284"/>
      <c r="O150" s="284"/>
      <c r="P150" s="284"/>
      <c r="Q150" s="284"/>
      <c r="R150" s="285"/>
    </row>
    <row r="151" spans="1:18" ht="22.15" customHeight="1" thickTop="1" thickBot="1">
      <c r="A151" s="279" t="s">
        <v>6</v>
      </c>
      <c r="B151" s="295"/>
      <c r="C151" s="295"/>
      <c r="D151" s="295"/>
      <c r="E151" s="295"/>
      <c r="F151" s="296"/>
      <c r="G151" s="32">
        <v>46044</v>
      </c>
      <c r="H151" s="278" t="s">
        <v>7</v>
      </c>
      <c r="I151" s="295"/>
      <c r="J151" s="295"/>
      <c r="K151" s="295"/>
      <c r="L151" s="295"/>
      <c r="M151" s="295"/>
      <c r="N151" s="295"/>
      <c r="O151" s="295"/>
      <c r="P151" s="295"/>
      <c r="Q151" s="295"/>
      <c r="R151" s="296"/>
    </row>
    <row r="152" spans="1:18" ht="24" customHeight="1">
      <c r="A152" s="33" t="s">
        <v>8</v>
      </c>
      <c r="B152" s="33" t="s">
        <v>9</v>
      </c>
      <c r="C152" s="34" t="s">
        <v>10</v>
      </c>
      <c r="D152" s="33" t="s">
        <v>11</v>
      </c>
      <c r="E152" s="33" t="s">
        <v>12</v>
      </c>
      <c r="F152" s="35" t="s">
        <v>13</v>
      </c>
      <c r="G152" s="36" t="s">
        <v>14</v>
      </c>
      <c r="H152" s="33" t="s">
        <v>15</v>
      </c>
      <c r="I152" s="37" t="s">
        <v>16</v>
      </c>
      <c r="J152" s="38" t="s">
        <v>17</v>
      </c>
      <c r="K152" s="39" t="s">
        <v>18</v>
      </c>
      <c r="L152" s="38" t="s">
        <v>19</v>
      </c>
      <c r="M152" s="38" t="s">
        <v>20</v>
      </c>
      <c r="N152" s="38" t="s">
        <v>21</v>
      </c>
      <c r="O152" s="33" t="s">
        <v>22</v>
      </c>
      <c r="P152" s="34" t="s">
        <v>23</v>
      </c>
      <c r="Q152" s="38" t="s">
        <v>24</v>
      </c>
      <c r="R152" s="33" t="s">
        <v>25</v>
      </c>
    </row>
    <row r="153" spans="1:18" ht="49.9" customHeight="1">
      <c r="A153" s="8" t="s">
        <v>68</v>
      </c>
      <c r="B153" s="8" t="s">
        <v>1149</v>
      </c>
      <c r="C153" s="9">
        <v>0.98263888888888884</v>
      </c>
      <c r="D153" s="8" t="s">
        <v>643</v>
      </c>
      <c r="E153" s="8" t="s">
        <v>51</v>
      </c>
      <c r="F153" s="8" t="s">
        <v>33</v>
      </c>
      <c r="G153" s="297"/>
      <c r="H153" s="10"/>
      <c r="I153" s="11"/>
      <c r="J153" s="11"/>
      <c r="K153" s="11"/>
      <c r="L153" s="11"/>
      <c r="M153" s="11"/>
      <c r="N153" s="11"/>
      <c r="O153" s="12"/>
      <c r="P153" s="11"/>
      <c r="Q153" s="13"/>
      <c r="R153" s="14"/>
    </row>
    <row r="154" spans="1:18" ht="49.9" customHeight="1">
      <c r="A154" s="19" t="s">
        <v>402</v>
      </c>
      <c r="B154" s="19" t="s">
        <v>1145</v>
      </c>
      <c r="C154" s="20">
        <v>0.75694444444444453</v>
      </c>
      <c r="D154" s="19" t="s">
        <v>63</v>
      </c>
      <c r="E154" s="19" t="s">
        <v>29</v>
      </c>
      <c r="F154" s="19" t="s">
        <v>1162</v>
      </c>
      <c r="G154" s="298"/>
      <c r="H154" s="10"/>
      <c r="I154" s="11"/>
      <c r="J154" s="11"/>
      <c r="K154" s="11"/>
      <c r="L154" s="11"/>
      <c r="M154" s="11"/>
      <c r="N154" s="11"/>
      <c r="O154" s="12"/>
      <c r="P154" s="11"/>
      <c r="Q154" s="13"/>
      <c r="R154" s="14"/>
    </row>
    <row r="155" spans="1:18" ht="49.9" customHeight="1">
      <c r="A155" s="58" t="s">
        <v>61</v>
      </c>
      <c r="B155" s="58" t="s">
        <v>1147</v>
      </c>
      <c r="C155" s="59">
        <v>0.71180555555555547</v>
      </c>
      <c r="D155" s="58" t="s">
        <v>63</v>
      </c>
      <c r="E155" s="58" t="s">
        <v>100</v>
      </c>
      <c r="F155" s="58" t="s">
        <v>1172</v>
      </c>
      <c r="G155" s="298"/>
      <c r="H155" s="60" t="s">
        <v>1148</v>
      </c>
      <c r="I155" s="61">
        <v>0</v>
      </c>
      <c r="J155" s="62">
        <v>0</v>
      </c>
      <c r="K155" s="63" t="s">
        <v>66</v>
      </c>
      <c r="L155" s="62">
        <v>0</v>
      </c>
      <c r="M155" s="62">
        <v>0</v>
      </c>
      <c r="N155" s="62">
        <v>0</v>
      </c>
      <c r="O155" s="64" t="s">
        <v>1137</v>
      </c>
      <c r="P155" s="65">
        <v>0.71180555555555547</v>
      </c>
      <c r="Q155" s="62">
        <v>179</v>
      </c>
      <c r="R155" s="66" t="s">
        <v>66</v>
      </c>
    </row>
    <row r="156" spans="1:18" ht="49.9" customHeight="1" thickBot="1">
      <c r="A156" s="96" t="s">
        <v>415</v>
      </c>
      <c r="B156" s="96" t="s">
        <v>1150</v>
      </c>
      <c r="C156" s="97">
        <v>0.80555555555555547</v>
      </c>
      <c r="D156" s="96" t="s">
        <v>63</v>
      </c>
      <c r="E156" s="96" t="s">
        <v>51</v>
      </c>
      <c r="F156" s="96" t="s">
        <v>1163</v>
      </c>
      <c r="G156" s="299"/>
      <c r="H156" s="300"/>
      <c r="I156" s="140"/>
      <c r="J156" s="140"/>
      <c r="K156" s="140"/>
      <c r="L156" s="140"/>
      <c r="M156" s="140"/>
      <c r="N156" s="140"/>
      <c r="O156" s="141"/>
      <c r="P156" s="140"/>
      <c r="Q156" s="142"/>
      <c r="R156" s="301"/>
    </row>
    <row r="157" spans="1:18" ht="17.45" customHeight="1" thickBot="1">
      <c r="A157" s="283"/>
      <c r="B157" s="284"/>
      <c r="C157" s="284"/>
      <c r="D157" s="284"/>
      <c r="E157" s="284"/>
      <c r="F157" s="284"/>
      <c r="G157" s="284"/>
      <c r="H157" s="284"/>
      <c r="I157" s="284"/>
      <c r="J157" s="284"/>
      <c r="K157" s="284"/>
      <c r="L157" s="284"/>
      <c r="M157" s="284"/>
      <c r="N157" s="284"/>
      <c r="O157" s="284"/>
      <c r="P157" s="284"/>
      <c r="Q157" s="284"/>
      <c r="R157" s="285"/>
    </row>
    <row r="158" spans="1:18" ht="22.15" customHeight="1" thickTop="1" thickBot="1">
      <c r="A158" s="279" t="s">
        <v>6</v>
      </c>
      <c r="B158" s="295"/>
      <c r="C158" s="295"/>
      <c r="D158" s="295"/>
      <c r="E158" s="295"/>
      <c r="F158" s="296"/>
      <c r="G158" s="32">
        <v>46045</v>
      </c>
      <c r="H158" s="278" t="s">
        <v>7</v>
      </c>
      <c r="I158" s="295"/>
      <c r="J158" s="295"/>
      <c r="K158" s="295"/>
      <c r="L158" s="295"/>
      <c r="M158" s="295"/>
      <c r="N158" s="295"/>
      <c r="O158" s="295"/>
      <c r="P158" s="295"/>
      <c r="Q158" s="295"/>
      <c r="R158" s="296"/>
    </row>
    <row r="159" spans="1:18" ht="24" customHeight="1">
      <c r="A159" s="33" t="s">
        <v>8</v>
      </c>
      <c r="B159" s="33" t="s">
        <v>9</v>
      </c>
      <c r="C159" s="34" t="s">
        <v>10</v>
      </c>
      <c r="D159" s="33" t="s">
        <v>11</v>
      </c>
      <c r="E159" s="33" t="s">
        <v>12</v>
      </c>
      <c r="F159" s="35" t="s">
        <v>13</v>
      </c>
      <c r="G159" s="36" t="s">
        <v>14</v>
      </c>
      <c r="H159" s="33" t="s">
        <v>15</v>
      </c>
      <c r="I159" s="37" t="s">
        <v>16</v>
      </c>
      <c r="J159" s="38" t="s">
        <v>17</v>
      </c>
      <c r="K159" s="39" t="s">
        <v>18</v>
      </c>
      <c r="L159" s="38" t="s">
        <v>19</v>
      </c>
      <c r="M159" s="38" t="s">
        <v>20</v>
      </c>
      <c r="N159" s="38" t="s">
        <v>21</v>
      </c>
      <c r="O159" s="33" t="s">
        <v>22</v>
      </c>
      <c r="P159" s="34" t="s">
        <v>23</v>
      </c>
      <c r="Q159" s="38" t="s">
        <v>24</v>
      </c>
      <c r="R159" s="33" t="s">
        <v>25</v>
      </c>
    </row>
    <row r="160" spans="1:18" ht="49.9" customHeight="1">
      <c r="A160" s="8" t="s">
        <v>359</v>
      </c>
      <c r="B160" s="8" t="s">
        <v>1152</v>
      </c>
      <c r="C160" s="9">
        <v>0.49652777777777768</v>
      </c>
      <c r="D160" s="8" t="s">
        <v>361</v>
      </c>
      <c r="E160" s="8" t="s">
        <v>80</v>
      </c>
      <c r="F160" s="8" t="s">
        <v>1167</v>
      </c>
      <c r="G160" s="297"/>
      <c r="H160" s="10"/>
      <c r="I160" s="11"/>
      <c r="J160" s="11"/>
      <c r="K160" s="11"/>
      <c r="L160" s="11"/>
      <c r="M160" s="11"/>
      <c r="N160" s="11"/>
      <c r="O160" s="12"/>
      <c r="P160" s="11"/>
      <c r="Q160" s="13"/>
      <c r="R160" s="14"/>
    </row>
    <row r="161" spans="1:18" ht="49.9" customHeight="1">
      <c r="A161" s="15" t="s">
        <v>359</v>
      </c>
      <c r="B161" s="15" t="s">
        <v>1152</v>
      </c>
      <c r="C161" s="16">
        <v>0.49652777777777768</v>
      </c>
      <c r="D161" s="15" t="s">
        <v>46</v>
      </c>
      <c r="E161" s="15" t="s">
        <v>82</v>
      </c>
      <c r="F161" s="15" t="s">
        <v>1168</v>
      </c>
      <c r="G161" s="298"/>
      <c r="H161" s="10"/>
      <c r="I161" s="11"/>
      <c r="J161" s="11"/>
      <c r="K161" s="11"/>
      <c r="L161" s="11"/>
      <c r="M161" s="11"/>
      <c r="N161" s="11"/>
      <c r="O161" s="12"/>
      <c r="P161" s="11"/>
      <c r="Q161" s="13"/>
      <c r="R161" s="14"/>
    </row>
    <row r="162" spans="1:18" ht="49.9" customHeight="1">
      <c r="A162" s="19" t="s">
        <v>68</v>
      </c>
      <c r="B162" s="19" t="s">
        <v>1149</v>
      </c>
      <c r="C162" s="20">
        <v>0.98263888888888884</v>
      </c>
      <c r="D162" s="19" t="s">
        <v>70</v>
      </c>
      <c r="E162" s="19" t="s">
        <v>51</v>
      </c>
      <c r="F162" s="19" t="s">
        <v>1156</v>
      </c>
      <c r="G162" s="298"/>
      <c r="H162" s="10"/>
      <c r="I162" s="11"/>
      <c r="J162" s="11"/>
      <c r="K162" s="11"/>
      <c r="L162" s="11"/>
      <c r="M162" s="11"/>
      <c r="N162" s="11"/>
      <c r="O162" s="12"/>
      <c r="P162" s="11"/>
      <c r="Q162" s="13"/>
      <c r="R162" s="14"/>
    </row>
    <row r="163" spans="1:18" ht="49.9" customHeight="1">
      <c r="A163" s="19" t="s">
        <v>402</v>
      </c>
      <c r="B163" s="19" t="s">
        <v>1155</v>
      </c>
      <c r="C163" s="20">
        <v>0.75694444444444453</v>
      </c>
      <c r="D163" s="19" t="s">
        <v>63</v>
      </c>
      <c r="E163" s="19" t="s">
        <v>126</v>
      </c>
      <c r="F163" s="19" t="s">
        <v>1162</v>
      </c>
      <c r="G163" s="298"/>
      <c r="H163" s="10"/>
      <c r="I163" s="11"/>
      <c r="J163" s="11"/>
      <c r="K163" s="11"/>
      <c r="L163" s="11"/>
      <c r="M163" s="11"/>
      <c r="N163" s="11"/>
      <c r="O163" s="12"/>
      <c r="P163" s="11"/>
      <c r="Q163" s="13"/>
      <c r="R163" s="14"/>
    </row>
    <row r="164" spans="1:18" ht="49.9" customHeight="1" thickBot="1">
      <c r="A164" s="96" t="s">
        <v>415</v>
      </c>
      <c r="B164" s="96" t="s">
        <v>1150</v>
      </c>
      <c r="C164" s="97">
        <v>0.85416666666666663</v>
      </c>
      <c r="D164" s="96" t="s">
        <v>63</v>
      </c>
      <c r="E164" s="96" t="s">
        <v>51</v>
      </c>
      <c r="F164" s="96" t="s">
        <v>1163</v>
      </c>
      <c r="G164" s="299"/>
      <c r="H164" s="300"/>
      <c r="I164" s="140"/>
      <c r="J164" s="140"/>
      <c r="K164" s="140"/>
      <c r="L164" s="140"/>
      <c r="M164" s="140"/>
      <c r="N164" s="140"/>
      <c r="O164" s="141"/>
      <c r="P164" s="140"/>
      <c r="Q164" s="142"/>
      <c r="R164" s="301"/>
    </row>
    <row r="165" spans="1:18" ht="17.45" customHeight="1" thickBot="1">
      <c r="A165" s="283"/>
      <c r="B165" s="284"/>
      <c r="C165" s="284"/>
      <c r="D165" s="284"/>
      <c r="E165" s="284"/>
      <c r="F165" s="284"/>
      <c r="G165" s="284"/>
      <c r="H165" s="284"/>
      <c r="I165" s="284"/>
      <c r="J165" s="284"/>
      <c r="K165" s="284"/>
      <c r="L165" s="284"/>
      <c r="M165" s="284"/>
      <c r="N165" s="284"/>
      <c r="O165" s="284"/>
      <c r="P165" s="284"/>
      <c r="Q165" s="284"/>
      <c r="R165" s="285"/>
    </row>
    <row r="166" spans="1:18" ht="22.15" customHeight="1" thickTop="1" thickBot="1">
      <c r="A166" s="279" t="s">
        <v>6</v>
      </c>
      <c r="B166" s="295"/>
      <c r="C166" s="295"/>
      <c r="D166" s="295"/>
      <c r="E166" s="295"/>
      <c r="F166" s="296"/>
      <c r="G166" s="32">
        <v>46046</v>
      </c>
      <c r="H166" s="278" t="s">
        <v>7</v>
      </c>
      <c r="I166" s="295"/>
      <c r="J166" s="295"/>
      <c r="K166" s="295"/>
      <c r="L166" s="295"/>
      <c r="M166" s="295"/>
      <c r="N166" s="295"/>
      <c r="O166" s="295"/>
      <c r="P166" s="295"/>
      <c r="Q166" s="295"/>
      <c r="R166" s="296"/>
    </row>
    <row r="167" spans="1:18" ht="24" customHeight="1">
      <c r="A167" s="33" t="s">
        <v>8</v>
      </c>
      <c r="B167" s="33" t="s">
        <v>9</v>
      </c>
      <c r="C167" s="34" t="s">
        <v>10</v>
      </c>
      <c r="D167" s="33" t="s">
        <v>11</v>
      </c>
      <c r="E167" s="33" t="s">
        <v>12</v>
      </c>
      <c r="F167" s="35" t="s">
        <v>13</v>
      </c>
      <c r="G167" s="36" t="s">
        <v>14</v>
      </c>
      <c r="H167" s="33" t="s">
        <v>15</v>
      </c>
      <c r="I167" s="37" t="s">
        <v>16</v>
      </c>
      <c r="J167" s="38" t="s">
        <v>17</v>
      </c>
      <c r="K167" s="39" t="s">
        <v>18</v>
      </c>
      <c r="L167" s="38" t="s">
        <v>19</v>
      </c>
      <c r="M167" s="38" t="s">
        <v>20</v>
      </c>
      <c r="N167" s="38" t="s">
        <v>21</v>
      </c>
      <c r="O167" s="33" t="s">
        <v>22</v>
      </c>
      <c r="P167" s="34" t="s">
        <v>23</v>
      </c>
      <c r="Q167" s="38" t="s">
        <v>24</v>
      </c>
      <c r="R167" s="33" t="s">
        <v>25</v>
      </c>
    </row>
    <row r="168" spans="1:18" ht="49.9" customHeight="1">
      <c r="A168" s="8" t="s">
        <v>402</v>
      </c>
      <c r="B168" s="8" t="s">
        <v>1145</v>
      </c>
      <c r="C168" s="9">
        <v>0.75694444444444453</v>
      </c>
      <c r="D168" s="8" t="s">
        <v>63</v>
      </c>
      <c r="E168" s="8" t="s">
        <v>103</v>
      </c>
      <c r="F168" s="8" t="s">
        <v>1162</v>
      </c>
      <c r="G168" s="297"/>
      <c r="H168" s="10"/>
      <c r="I168" s="11"/>
      <c r="J168" s="11"/>
      <c r="K168" s="11"/>
      <c r="L168" s="11"/>
      <c r="M168" s="11"/>
      <c r="N168" s="11"/>
      <c r="O168" s="12"/>
      <c r="P168" s="11"/>
      <c r="Q168" s="13"/>
      <c r="R168" s="14"/>
    </row>
    <row r="169" spans="1:18" ht="49.9" customHeight="1">
      <c r="A169" s="21" t="s">
        <v>61</v>
      </c>
      <c r="B169" s="21" t="s">
        <v>1147</v>
      </c>
      <c r="C169" s="22">
        <v>0.83680555555555547</v>
      </c>
      <c r="D169" s="21" t="s">
        <v>63</v>
      </c>
      <c r="E169" s="21" t="s">
        <v>51</v>
      </c>
      <c r="F169" s="21" t="s">
        <v>1173</v>
      </c>
      <c r="G169" s="298"/>
      <c r="H169" s="23" t="s">
        <v>1148</v>
      </c>
      <c r="I169" s="24">
        <v>4.4699999999999997E-2</v>
      </c>
      <c r="J169" s="25">
        <v>8</v>
      </c>
      <c r="K169" s="26">
        <v>46322</v>
      </c>
      <c r="L169" s="25">
        <v>8</v>
      </c>
      <c r="M169" s="25">
        <v>0</v>
      </c>
      <c r="N169" s="25">
        <v>0</v>
      </c>
      <c r="O169" s="27" t="s">
        <v>672</v>
      </c>
      <c r="P169" s="28">
        <v>0.83680555555555547</v>
      </c>
      <c r="Q169" s="25">
        <v>179</v>
      </c>
      <c r="R169" s="29" t="s">
        <v>1174</v>
      </c>
    </row>
    <row r="170" spans="1:18" ht="49.9" customHeight="1" thickBot="1">
      <c r="A170" s="96" t="s">
        <v>415</v>
      </c>
      <c r="B170" s="96" t="s">
        <v>1171</v>
      </c>
      <c r="C170" s="97">
        <v>0.67361111111111116</v>
      </c>
      <c r="D170" s="96" t="s">
        <v>63</v>
      </c>
      <c r="E170" s="96" t="s">
        <v>51</v>
      </c>
      <c r="F170" s="96" t="s">
        <v>1163</v>
      </c>
      <c r="G170" s="299"/>
      <c r="H170" s="300"/>
      <c r="I170" s="140"/>
      <c r="J170" s="140"/>
      <c r="K170" s="140"/>
      <c r="L170" s="140"/>
      <c r="M170" s="140"/>
      <c r="N170" s="140"/>
      <c r="O170" s="141"/>
      <c r="P170" s="140"/>
      <c r="Q170" s="142"/>
      <c r="R170" s="301"/>
    </row>
    <row r="171" spans="1:18" ht="17.45" customHeight="1" thickBot="1">
      <c r="A171" s="283"/>
      <c r="B171" s="284"/>
      <c r="C171" s="284"/>
      <c r="D171" s="284"/>
      <c r="E171" s="284"/>
      <c r="F171" s="284"/>
      <c r="G171" s="284"/>
      <c r="H171" s="284"/>
      <c r="I171" s="284"/>
      <c r="J171" s="284"/>
      <c r="K171" s="284"/>
      <c r="L171" s="284"/>
      <c r="M171" s="284"/>
      <c r="N171" s="284"/>
      <c r="O171" s="284"/>
      <c r="P171" s="284"/>
      <c r="Q171" s="284"/>
      <c r="R171" s="285"/>
    </row>
    <row r="172" spans="1:18" ht="22.15" customHeight="1" thickTop="1" thickBot="1">
      <c r="A172" s="279" t="s">
        <v>6</v>
      </c>
      <c r="B172" s="295"/>
      <c r="C172" s="295"/>
      <c r="D172" s="295"/>
      <c r="E172" s="295"/>
      <c r="F172" s="296"/>
      <c r="G172" s="32">
        <v>46047</v>
      </c>
      <c r="H172" s="278" t="s">
        <v>7</v>
      </c>
      <c r="I172" s="295"/>
      <c r="J172" s="295"/>
      <c r="K172" s="295"/>
      <c r="L172" s="295"/>
      <c r="M172" s="295"/>
      <c r="N172" s="295"/>
      <c r="O172" s="295"/>
      <c r="P172" s="295"/>
      <c r="Q172" s="295"/>
      <c r="R172" s="296"/>
    </row>
    <row r="173" spans="1:18" ht="24" customHeight="1">
      <c r="A173" s="33" t="s">
        <v>8</v>
      </c>
      <c r="B173" s="33" t="s">
        <v>9</v>
      </c>
      <c r="C173" s="34" t="s">
        <v>10</v>
      </c>
      <c r="D173" s="33" t="s">
        <v>11</v>
      </c>
      <c r="E173" s="33" t="s">
        <v>12</v>
      </c>
      <c r="F173" s="35" t="s">
        <v>13</v>
      </c>
      <c r="G173" s="36" t="s">
        <v>14</v>
      </c>
      <c r="H173" s="33" t="s">
        <v>15</v>
      </c>
      <c r="I173" s="37" t="s">
        <v>16</v>
      </c>
      <c r="J173" s="38" t="s">
        <v>17</v>
      </c>
      <c r="K173" s="39" t="s">
        <v>18</v>
      </c>
      <c r="L173" s="38" t="s">
        <v>19</v>
      </c>
      <c r="M173" s="38" t="s">
        <v>20</v>
      </c>
      <c r="N173" s="38" t="s">
        <v>21</v>
      </c>
      <c r="O173" s="33" t="s">
        <v>22</v>
      </c>
      <c r="P173" s="34" t="s">
        <v>23</v>
      </c>
      <c r="Q173" s="38" t="s">
        <v>24</v>
      </c>
      <c r="R173" s="33" t="s">
        <v>25</v>
      </c>
    </row>
    <row r="174" spans="1:18" ht="49.9" customHeight="1">
      <c r="A174" s="8" t="s">
        <v>359</v>
      </c>
      <c r="B174" s="8" t="s">
        <v>1152</v>
      </c>
      <c r="C174" s="9">
        <v>0.53819444444444442</v>
      </c>
      <c r="D174" s="8" t="s">
        <v>361</v>
      </c>
      <c r="E174" s="8" t="s">
        <v>80</v>
      </c>
      <c r="F174" s="8" t="s">
        <v>1167</v>
      </c>
      <c r="G174" s="297"/>
      <c r="H174" s="10"/>
      <c r="I174" s="11"/>
      <c r="J174" s="11"/>
      <c r="K174" s="11"/>
      <c r="L174" s="11"/>
      <c r="M174" s="11"/>
      <c r="N174" s="11"/>
      <c r="O174" s="12"/>
      <c r="P174" s="11"/>
      <c r="Q174" s="13"/>
      <c r="R174" s="14"/>
    </row>
    <row r="175" spans="1:18" ht="49.9" customHeight="1">
      <c r="A175" s="15" t="s">
        <v>359</v>
      </c>
      <c r="B175" s="15" t="s">
        <v>1152</v>
      </c>
      <c r="C175" s="16">
        <v>0.53819444444444442</v>
      </c>
      <c r="D175" s="15" t="s">
        <v>46</v>
      </c>
      <c r="E175" s="15" t="s">
        <v>82</v>
      </c>
      <c r="F175" s="15" t="s">
        <v>1168</v>
      </c>
      <c r="G175" s="298"/>
      <c r="H175" s="10"/>
      <c r="I175" s="11"/>
      <c r="J175" s="11"/>
      <c r="K175" s="11"/>
      <c r="L175" s="11"/>
      <c r="M175" s="11"/>
      <c r="N175" s="11"/>
      <c r="O175" s="12"/>
      <c r="P175" s="11"/>
      <c r="Q175" s="13"/>
      <c r="R175" s="14"/>
    </row>
    <row r="176" spans="1:18" ht="49.9" customHeight="1">
      <c r="A176" s="19" t="s">
        <v>402</v>
      </c>
      <c r="B176" s="19" t="s">
        <v>1159</v>
      </c>
      <c r="C176" s="20">
        <v>0.75694444444444453</v>
      </c>
      <c r="D176" s="19" t="s">
        <v>63</v>
      </c>
      <c r="E176" s="19" t="s">
        <v>103</v>
      </c>
      <c r="F176" s="19" t="s">
        <v>1162</v>
      </c>
      <c r="G176" s="298"/>
      <c r="H176" s="10"/>
      <c r="I176" s="11"/>
      <c r="J176" s="11"/>
      <c r="K176" s="11"/>
      <c r="L176" s="11"/>
      <c r="M176" s="11"/>
      <c r="N176" s="11"/>
      <c r="O176" s="12"/>
      <c r="P176" s="11"/>
      <c r="Q176" s="13"/>
      <c r="R176" s="14"/>
    </row>
    <row r="177" spans="1:18" ht="49.9" customHeight="1" thickBot="1">
      <c r="A177" s="96" t="s">
        <v>415</v>
      </c>
      <c r="B177" s="96" t="s">
        <v>1150</v>
      </c>
      <c r="C177" s="97">
        <v>0.80555555555555547</v>
      </c>
      <c r="D177" s="96" t="s">
        <v>63</v>
      </c>
      <c r="E177" s="96" t="s">
        <v>51</v>
      </c>
      <c r="F177" s="96" t="s">
        <v>1163</v>
      </c>
      <c r="G177" s="299"/>
      <c r="H177" s="300"/>
      <c r="I177" s="140"/>
      <c r="J177" s="140"/>
      <c r="K177" s="140"/>
      <c r="L177" s="140"/>
      <c r="M177" s="140"/>
      <c r="N177" s="140"/>
      <c r="O177" s="141"/>
      <c r="P177" s="140"/>
      <c r="Q177" s="142"/>
      <c r="R177" s="301"/>
    </row>
    <row r="178" spans="1:18" ht="17.45" customHeight="1" thickBot="1">
      <c r="A178" s="283"/>
      <c r="B178" s="284"/>
      <c r="C178" s="284"/>
      <c r="D178" s="284"/>
      <c r="E178" s="284"/>
      <c r="F178" s="284"/>
      <c r="G178" s="284"/>
      <c r="H178" s="284"/>
      <c r="I178" s="284"/>
      <c r="J178" s="284"/>
      <c r="K178" s="284"/>
      <c r="L178" s="284"/>
      <c r="M178" s="284"/>
      <c r="N178" s="284"/>
      <c r="O178" s="284"/>
      <c r="P178" s="284"/>
      <c r="Q178" s="284"/>
      <c r="R178" s="285"/>
    </row>
    <row r="179" spans="1:18" ht="22.15" customHeight="1" thickTop="1" thickBot="1">
      <c r="A179" s="279" t="s">
        <v>6</v>
      </c>
      <c r="B179" s="295"/>
      <c r="C179" s="295"/>
      <c r="D179" s="295"/>
      <c r="E179" s="295"/>
      <c r="F179" s="296"/>
      <c r="G179" s="32">
        <v>46048</v>
      </c>
      <c r="H179" s="278" t="s">
        <v>7</v>
      </c>
      <c r="I179" s="295"/>
      <c r="J179" s="295"/>
      <c r="K179" s="295"/>
      <c r="L179" s="295"/>
      <c r="M179" s="295"/>
      <c r="N179" s="295"/>
      <c r="O179" s="295"/>
      <c r="P179" s="295"/>
      <c r="Q179" s="295"/>
      <c r="R179" s="296"/>
    </row>
    <row r="180" spans="1:18" ht="24" customHeight="1">
      <c r="A180" s="33" t="s">
        <v>8</v>
      </c>
      <c r="B180" s="33" t="s">
        <v>9</v>
      </c>
      <c r="C180" s="34" t="s">
        <v>10</v>
      </c>
      <c r="D180" s="33" t="s">
        <v>11</v>
      </c>
      <c r="E180" s="33" t="s">
        <v>12</v>
      </c>
      <c r="F180" s="35" t="s">
        <v>13</v>
      </c>
      <c r="G180" s="36" t="s">
        <v>14</v>
      </c>
      <c r="H180" s="33" t="s">
        <v>15</v>
      </c>
      <c r="I180" s="37" t="s">
        <v>16</v>
      </c>
      <c r="J180" s="38" t="s">
        <v>17</v>
      </c>
      <c r="K180" s="39" t="s">
        <v>18</v>
      </c>
      <c r="L180" s="38" t="s">
        <v>19</v>
      </c>
      <c r="M180" s="38" t="s">
        <v>20</v>
      </c>
      <c r="N180" s="38" t="s">
        <v>21</v>
      </c>
      <c r="O180" s="33" t="s">
        <v>22</v>
      </c>
      <c r="P180" s="34" t="s">
        <v>23</v>
      </c>
      <c r="Q180" s="38" t="s">
        <v>24</v>
      </c>
      <c r="R180" s="33" t="s">
        <v>25</v>
      </c>
    </row>
    <row r="181" spans="1:18" ht="49.9" customHeight="1">
      <c r="A181" s="8" t="s">
        <v>68</v>
      </c>
      <c r="B181" s="8" t="s">
        <v>1149</v>
      </c>
      <c r="C181" s="9">
        <v>0.98263888888888884</v>
      </c>
      <c r="D181" s="8" t="s">
        <v>643</v>
      </c>
      <c r="E181" s="8" t="s">
        <v>51</v>
      </c>
      <c r="F181" s="8" t="s">
        <v>33</v>
      </c>
      <c r="G181" s="297"/>
      <c r="H181" s="10"/>
      <c r="I181" s="11"/>
      <c r="J181" s="11"/>
      <c r="K181" s="11"/>
      <c r="L181" s="11"/>
      <c r="M181" s="11"/>
      <c r="N181" s="11"/>
      <c r="O181" s="12"/>
      <c r="P181" s="11"/>
      <c r="Q181" s="13"/>
      <c r="R181" s="14"/>
    </row>
    <row r="182" spans="1:18" ht="49.9" customHeight="1">
      <c r="A182" s="19" t="s">
        <v>359</v>
      </c>
      <c r="B182" s="19" t="s">
        <v>1152</v>
      </c>
      <c r="C182" s="20">
        <v>0.53819444444444442</v>
      </c>
      <c r="D182" s="19" t="s">
        <v>361</v>
      </c>
      <c r="E182" s="19" t="s">
        <v>80</v>
      </c>
      <c r="F182" s="19" t="s">
        <v>1165</v>
      </c>
      <c r="G182" s="298"/>
      <c r="H182" s="10"/>
      <c r="I182" s="11"/>
      <c r="J182" s="11"/>
      <c r="K182" s="11"/>
      <c r="L182" s="11"/>
      <c r="M182" s="11"/>
      <c r="N182" s="11"/>
      <c r="O182" s="12"/>
      <c r="P182" s="11"/>
      <c r="Q182" s="13"/>
      <c r="R182" s="14"/>
    </row>
    <row r="183" spans="1:18" ht="49.9" customHeight="1">
      <c r="A183" s="15" t="s">
        <v>359</v>
      </c>
      <c r="B183" s="15" t="s">
        <v>1152</v>
      </c>
      <c r="C183" s="16">
        <v>0.53819444444444442</v>
      </c>
      <c r="D183" s="15" t="s">
        <v>46</v>
      </c>
      <c r="E183" s="15" t="s">
        <v>82</v>
      </c>
      <c r="F183" s="15" t="s">
        <v>1166</v>
      </c>
      <c r="G183" s="298"/>
      <c r="H183" s="10"/>
      <c r="I183" s="11"/>
      <c r="J183" s="11"/>
      <c r="K183" s="11"/>
      <c r="L183" s="11"/>
      <c r="M183" s="11"/>
      <c r="N183" s="11"/>
      <c r="O183" s="12"/>
      <c r="P183" s="11"/>
      <c r="Q183" s="13"/>
      <c r="R183" s="14"/>
    </row>
    <row r="184" spans="1:18" ht="49.9" customHeight="1">
      <c r="A184" s="19" t="s">
        <v>402</v>
      </c>
      <c r="B184" s="19" t="s">
        <v>1155</v>
      </c>
      <c r="C184" s="20">
        <v>0.71527777777777779</v>
      </c>
      <c r="D184" s="19" t="s">
        <v>63</v>
      </c>
      <c r="E184" s="19" t="s">
        <v>103</v>
      </c>
      <c r="F184" s="19" t="s">
        <v>1162</v>
      </c>
      <c r="G184" s="298"/>
      <c r="H184" s="10"/>
      <c r="I184" s="11"/>
      <c r="J184" s="11"/>
      <c r="K184" s="11"/>
      <c r="L184" s="11"/>
      <c r="M184" s="11"/>
      <c r="N184" s="11"/>
      <c r="O184" s="12"/>
      <c r="P184" s="11"/>
      <c r="Q184" s="13"/>
      <c r="R184" s="14"/>
    </row>
    <row r="185" spans="1:18" ht="49.9" customHeight="1" thickBot="1">
      <c r="A185" s="96" t="s">
        <v>415</v>
      </c>
      <c r="B185" s="96" t="s">
        <v>1150</v>
      </c>
      <c r="C185" s="97">
        <v>0.78125</v>
      </c>
      <c r="D185" s="96" t="s">
        <v>63</v>
      </c>
      <c r="E185" s="96" t="s">
        <v>51</v>
      </c>
      <c r="F185" s="96" t="s">
        <v>1163</v>
      </c>
      <c r="G185" s="299"/>
      <c r="H185" s="300"/>
      <c r="I185" s="140"/>
      <c r="J185" s="140"/>
      <c r="K185" s="140"/>
      <c r="L185" s="140"/>
      <c r="M185" s="140"/>
      <c r="N185" s="140"/>
      <c r="O185" s="141"/>
      <c r="P185" s="140"/>
      <c r="Q185" s="142"/>
      <c r="R185" s="301"/>
    </row>
    <row r="186" spans="1:18" ht="17.45" customHeight="1" thickBot="1">
      <c r="A186" s="283"/>
      <c r="B186" s="284"/>
      <c r="C186" s="284"/>
      <c r="D186" s="284"/>
      <c r="E186" s="284"/>
      <c r="F186" s="284"/>
      <c r="G186" s="284"/>
      <c r="H186" s="284"/>
      <c r="I186" s="284"/>
      <c r="J186" s="284"/>
      <c r="K186" s="284"/>
      <c r="L186" s="284"/>
      <c r="M186" s="284"/>
      <c r="N186" s="284"/>
      <c r="O186" s="284"/>
      <c r="P186" s="284"/>
      <c r="Q186" s="284"/>
      <c r="R186" s="285"/>
    </row>
    <row r="187" spans="1:18" ht="22.15" customHeight="1" thickTop="1" thickBot="1">
      <c r="A187" s="279" t="s">
        <v>6</v>
      </c>
      <c r="B187" s="295"/>
      <c r="C187" s="295"/>
      <c r="D187" s="295"/>
      <c r="E187" s="295"/>
      <c r="F187" s="296"/>
      <c r="G187" s="32">
        <v>46049</v>
      </c>
      <c r="H187" s="278" t="s">
        <v>7</v>
      </c>
      <c r="I187" s="295"/>
      <c r="J187" s="295"/>
      <c r="K187" s="295"/>
      <c r="L187" s="295"/>
      <c r="M187" s="295"/>
      <c r="N187" s="295"/>
      <c r="O187" s="295"/>
      <c r="P187" s="295"/>
      <c r="Q187" s="295"/>
      <c r="R187" s="296"/>
    </row>
    <row r="188" spans="1:18" ht="24" customHeight="1">
      <c r="A188" s="33" t="s">
        <v>8</v>
      </c>
      <c r="B188" s="33" t="s">
        <v>9</v>
      </c>
      <c r="C188" s="34" t="s">
        <v>10</v>
      </c>
      <c r="D188" s="33" t="s">
        <v>11</v>
      </c>
      <c r="E188" s="33" t="s">
        <v>12</v>
      </c>
      <c r="F188" s="35" t="s">
        <v>13</v>
      </c>
      <c r="G188" s="36" t="s">
        <v>14</v>
      </c>
      <c r="H188" s="33" t="s">
        <v>15</v>
      </c>
      <c r="I188" s="37" t="s">
        <v>16</v>
      </c>
      <c r="J188" s="38" t="s">
        <v>17</v>
      </c>
      <c r="K188" s="39" t="s">
        <v>18</v>
      </c>
      <c r="L188" s="38" t="s">
        <v>19</v>
      </c>
      <c r="M188" s="38" t="s">
        <v>20</v>
      </c>
      <c r="N188" s="38" t="s">
        <v>21</v>
      </c>
      <c r="O188" s="33" t="s">
        <v>22</v>
      </c>
      <c r="P188" s="34" t="s">
        <v>23</v>
      </c>
      <c r="Q188" s="38" t="s">
        <v>24</v>
      </c>
      <c r="R188" s="33" t="s">
        <v>25</v>
      </c>
    </row>
    <row r="189" spans="1:18" ht="49.9" customHeight="1">
      <c r="A189" s="8" t="s">
        <v>402</v>
      </c>
      <c r="B189" s="8" t="s">
        <v>1145</v>
      </c>
      <c r="C189" s="9">
        <v>0.71527777777777779</v>
      </c>
      <c r="D189" s="8" t="s">
        <v>63</v>
      </c>
      <c r="E189" s="8" t="s">
        <v>103</v>
      </c>
      <c r="F189" s="8" t="s">
        <v>1162</v>
      </c>
      <c r="G189" s="297"/>
      <c r="H189" s="10"/>
      <c r="I189" s="11"/>
      <c r="J189" s="11"/>
      <c r="K189" s="11"/>
      <c r="L189" s="11"/>
      <c r="M189" s="11"/>
      <c r="N189" s="11"/>
      <c r="O189" s="12"/>
      <c r="P189" s="11"/>
      <c r="Q189" s="13"/>
      <c r="R189" s="14"/>
    </row>
    <row r="190" spans="1:18" ht="49.9" customHeight="1" thickTop="1" thickBot="1">
      <c r="A190" s="96" t="s">
        <v>415</v>
      </c>
      <c r="B190" s="96" t="s">
        <v>1150</v>
      </c>
      <c r="C190" s="97">
        <v>0.78125</v>
      </c>
      <c r="D190" s="96" t="s">
        <v>63</v>
      </c>
      <c r="E190" s="96" t="s">
        <v>51</v>
      </c>
      <c r="F190" s="96" t="s">
        <v>1163</v>
      </c>
      <c r="G190" s="299"/>
      <c r="H190" s="300"/>
      <c r="I190" s="140"/>
      <c r="J190" s="140"/>
      <c r="K190" s="140"/>
      <c r="L190" s="140"/>
      <c r="M190" s="140"/>
      <c r="N190" s="140"/>
      <c r="O190" s="141"/>
      <c r="P190" s="140"/>
      <c r="Q190" s="142"/>
      <c r="R190" s="301"/>
    </row>
    <row r="191" spans="1:18" ht="17.45" customHeight="1" thickBot="1">
      <c r="A191" s="283"/>
      <c r="B191" s="284"/>
      <c r="C191" s="284"/>
      <c r="D191" s="284"/>
      <c r="E191" s="284"/>
      <c r="F191" s="284"/>
      <c r="G191" s="284"/>
      <c r="H191" s="284"/>
      <c r="I191" s="284"/>
      <c r="J191" s="284"/>
      <c r="K191" s="284"/>
      <c r="L191" s="284"/>
      <c r="M191" s="284"/>
      <c r="N191" s="284"/>
      <c r="O191" s="284"/>
      <c r="P191" s="284"/>
      <c r="Q191" s="284"/>
      <c r="R191" s="285"/>
    </row>
    <row r="192" spans="1:18" ht="22.15" customHeight="1" thickTop="1" thickBot="1">
      <c r="A192" s="279" t="s">
        <v>6</v>
      </c>
      <c r="B192" s="295"/>
      <c r="C192" s="295"/>
      <c r="D192" s="295"/>
      <c r="E192" s="295"/>
      <c r="F192" s="296"/>
      <c r="G192" s="32">
        <v>46050</v>
      </c>
      <c r="H192" s="278" t="s">
        <v>7</v>
      </c>
      <c r="I192" s="295"/>
      <c r="J192" s="295"/>
      <c r="K192" s="295"/>
      <c r="L192" s="295"/>
      <c r="M192" s="295"/>
      <c r="N192" s="295"/>
      <c r="O192" s="295"/>
      <c r="P192" s="295"/>
      <c r="Q192" s="295"/>
      <c r="R192" s="296"/>
    </row>
    <row r="193" spans="1:18" ht="24" customHeight="1">
      <c r="A193" s="33" t="s">
        <v>8</v>
      </c>
      <c r="B193" s="33" t="s">
        <v>9</v>
      </c>
      <c r="C193" s="34" t="s">
        <v>10</v>
      </c>
      <c r="D193" s="33" t="s">
        <v>11</v>
      </c>
      <c r="E193" s="33" t="s">
        <v>12</v>
      </c>
      <c r="F193" s="35" t="s">
        <v>13</v>
      </c>
      <c r="G193" s="36" t="s">
        <v>14</v>
      </c>
      <c r="H193" s="33" t="s">
        <v>15</v>
      </c>
      <c r="I193" s="37" t="s">
        <v>16</v>
      </c>
      <c r="J193" s="38" t="s">
        <v>17</v>
      </c>
      <c r="K193" s="39" t="s">
        <v>18</v>
      </c>
      <c r="L193" s="38" t="s">
        <v>19</v>
      </c>
      <c r="M193" s="38" t="s">
        <v>20</v>
      </c>
      <c r="N193" s="38" t="s">
        <v>21</v>
      </c>
      <c r="O193" s="33" t="s">
        <v>22</v>
      </c>
      <c r="P193" s="34" t="s">
        <v>23</v>
      </c>
      <c r="Q193" s="38" t="s">
        <v>24</v>
      </c>
      <c r="R193" s="33" t="s">
        <v>25</v>
      </c>
    </row>
    <row r="194" spans="1:18" ht="15" customHeight="1">
      <c r="A194" s="8" t="s">
        <v>68</v>
      </c>
      <c r="B194" s="8" t="s">
        <v>1149</v>
      </c>
      <c r="C194" s="9">
        <v>0.98263888888888884</v>
      </c>
      <c r="D194" s="8" t="s">
        <v>643</v>
      </c>
      <c r="E194" s="8" t="s">
        <v>51</v>
      </c>
      <c r="F194" s="8" t="s">
        <v>33</v>
      </c>
      <c r="G194" s="297"/>
      <c r="H194" s="10"/>
      <c r="I194" s="11"/>
      <c r="J194" s="11"/>
      <c r="K194" s="11"/>
      <c r="L194" s="11"/>
      <c r="M194" s="11"/>
      <c r="N194" s="11"/>
      <c r="O194" s="12"/>
      <c r="P194" s="11"/>
      <c r="Q194" s="13"/>
      <c r="R194" s="14"/>
    </row>
    <row r="195" spans="1:18" ht="15" customHeight="1">
      <c r="A195" s="19" t="s">
        <v>359</v>
      </c>
      <c r="B195" s="19" t="s">
        <v>1152</v>
      </c>
      <c r="C195" s="20">
        <v>0.49652777777777768</v>
      </c>
      <c r="D195" s="19" t="s">
        <v>361</v>
      </c>
      <c r="E195" s="19" t="s">
        <v>80</v>
      </c>
      <c r="F195" s="19" t="s">
        <v>1165</v>
      </c>
      <c r="G195" s="298"/>
      <c r="H195" s="10"/>
      <c r="I195" s="11"/>
      <c r="J195" s="11"/>
      <c r="K195" s="11"/>
      <c r="L195" s="11"/>
      <c r="M195" s="11"/>
      <c r="N195" s="11"/>
      <c r="O195" s="12"/>
      <c r="P195" s="11"/>
      <c r="Q195" s="13"/>
      <c r="R195" s="14"/>
    </row>
    <row r="196" spans="1:18" ht="15" customHeight="1">
      <c r="A196" s="15" t="s">
        <v>359</v>
      </c>
      <c r="B196" s="15" t="s">
        <v>1152</v>
      </c>
      <c r="C196" s="16">
        <v>0.49652777777777768</v>
      </c>
      <c r="D196" s="15" t="s">
        <v>46</v>
      </c>
      <c r="E196" s="15" t="s">
        <v>82</v>
      </c>
      <c r="F196" s="15" t="s">
        <v>1166</v>
      </c>
      <c r="G196" s="298"/>
      <c r="H196" s="10"/>
      <c r="I196" s="11"/>
      <c r="J196" s="11"/>
      <c r="K196" s="11"/>
      <c r="L196" s="11"/>
      <c r="M196" s="11"/>
      <c r="N196" s="11"/>
      <c r="O196" s="12"/>
      <c r="P196" s="11"/>
      <c r="Q196" s="13"/>
      <c r="R196" s="14"/>
    </row>
    <row r="197" spans="1:18" ht="15" customHeight="1">
      <c r="A197" s="67" t="s">
        <v>61</v>
      </c>
      <c r="B197" s="67" t="s">
        <v>1147</v>
      </c>
      <c r="C197" s="68">
        <v>0.71180555555555547</v>
      </c>
      <c r="D197" s="67" t="s">
        <v>63</v>
      </c>
      <c r="E197" s="67" t="s">
        <v>29</v>
      </c>
      <c r="F197" s="67" t="s">
        <v>1157</v>
      </c>
      <c r="G197" s="298"/>
      <c r="H197" s="69" t="s">
        <v>1148</v>
      </c>
      <c r="I197" s="70">
        <v>5.5999999999999999E-3</v>
      </c>
      <c r="J197" s="71">
        <v>1</v>
      </c>
      <c r="K197" s="72">
        <v>46336</v>
      </c>
      <c r="L197" s="71">
        <v>1</v>
      </c>
      <c r="M197" s="71">
        <v>0</v>
      </c>
      <c r="N197" s="71">
        <v>0</v>
      </c>
      <c r="O197" s="73" t="s">
        <v>951</v>
      </c>
      <c r="P197" s="74">
        <v>0.71180555555555547</v>
      </c>
      <c r="Q197" s="71">
        <v>179</v>
      </c>
      <c r="R197" s="75" t="s">
        <v>570</v>
      </c>
    </row>
    <row r="198" spans="1:18" ht="15" customHeight="1">
      <c r="A198" s="19" t="s">
        <v>402</v>
      </c>
      <c r="B198" s="19" t="s">
        <v>1155</v>
      </c>
      <c r="C198" s="20">
        <v>0.75694444444444453</v>
      </c>
      <c r="D198" s="19" t="s">
        <v>63</v>
      </c>
      <c r="E198" s="19" t="s">
        <v>103</v>
      </c>
      <c r="F198" s="19" t="s">
        <v>1162</v>
      </c>
      <c r="G198" s="298"/>
      <c r="H198" s="10"/>
      <c r="I198" s="11"/>
      <c r="J198" s="11"/>
      <c r="K198" s="11"/>
      <c r="L198" s="11"/>
      <c r="M198" s="11"/>
      <c r="N198" s="11"/>
      <c r="O198" s="12"/>
      <c r="P198" s="11"/>
      <c r="Q198" s="13"/>
      <c r="R198" s="14"/>
    </row>
    <row r="199" spans="1:18" ht="15" customHeight="1" thickBot="1">
      <c r="A199" s="96" t="s">
        <v>415</v>
      </c>
      <c r="B199" s="96" t="s">
        <v>1150</v>
      </c>
      <c r="C199" s="97">
        <v>0.80555555555555547</v>
      </c>
      <c r="D199" s="96" t="s">
        <v>63</v>
      </c>
      <c r="E199" s="96" t="s">
        <v>51</v>
      </c>
      <c r="F199" s="96" t="s">
        <v>1163</v>
      </c>
      <c r="G199" s="299"/>
      <c r="H199" s="300"/>
      <c r="I199" s="140"/>
      <c r="J199" s="140"/>
      <c r="K199" s="140"/>
      <c r="L199" s="140"/>
      <c r="M199" s="140"/>
      <c r="N199" s="140"/>
      <c r="O199" s="141"/>
      <c r="P199" s="140"/>
      <c r="Q199" s="142"/>
      <c r="R199" s="301"/>
    </row>
    <row r="200" spans="1:18" ht="17.45" customHeight="1" thickBot="1">
      <c r="A200" s="283"/>
      <c r="B200" s="284"/>
      <c r="C200" s="284"/>
      <c r="D200" s="284"/>
      <c r="E200" s="284"/>
      <c r="F200" s="284"/>
      <c r="G200" s="284"/>
      <c r="H200" s="284"/>
      <c r="I200" s="284"/>
      <c r="J200" s="284"/>
      <c r="K200" s="284"/>
      <c r="L200" s="284"/>
      <c r="M200" s="284"/>
      <c r="N200" s="284"/>
      <c r="O200" s="284"/>
      <c r="P200" s="284"/>
      <c r="Q200" s="284"/>
      <c r="R200" s="285"/>
    </row>
    <row r="201" spans="1:18" ht="22.15" customHeight="1" thickTop="1" thickBot="1">
      <c r="A201" s="279" t="s">
        <v>6</v>
      </c>
      <c r="B201" s="295"/>
      <c r="C201" s="295"/>
      <c r="D201" s="295"/>
      <c r="E201" s="295"/>
      <c r="F201" s="296"/>
      <c r="G201" s="32">
        <v>46051</v>
      </c>
      <c r="H201" s="278" t="s">
        <v>7</v>
      </c>
      <c r="I201" s="295"/>
      <c r="J201" s="295"/>
      <c r="K201" s="295"/>
      <c r="L201" s="295"/>
      <c r="M201" s="295"/>
      <c r="N201" s="295"/>
      <c r="O201" s="295"/>
      <c r="P201" s="295"/>
      <c r="Q201" s="295"/>
      <c r="R201" s="296"/>
    </row>
    <row r="202" spans="1:18" ht="24" customHeight="1">
      <c r="A202" s="33" t="s">
        <v>8</v>
      </c>
      <c r="B202" s="33" t="s">
        <v>9</v>
      </c>
      <c r="C202" s="34" t="s">
        <v>10</v>
      </c>
      <c r="D202" s="33" t="s">
        <v>11</v>
      </c>
      <c r="E202" s="33" t="s">
        <v>12</v>
      </c>
      <c r="F202" s="35" t="s">
        <v>13</v>
      </c>
      <c r="G202" s="36" t="s">
        <v>14</v>
      </c>
      <c r="H202" s="33" t="s">
        <v>15</v>
      </c>
      <c r="I202" s="37" t="s">
        <v>16</v>
      </c>
      <c r="J202" s="38" t="s">
        <v>17</v>
      </c>
      <c r="K202" s="39" t="s">
        <v>18</v>
      </c>
      <c r="L202" s="38" t="s">
        <v>19</v>
      </c>
      <c r="M202" s="38" t="s">
        <v>20</v>
      </c>
      <c r="N202" s="38" t="s">
        <v>21</v>
      </c>
      <c r="O202" s="33" t="s">
        <v>22</v>
      </c>
      <c r="P202" s="34" t="s">
        <v>23</v>
      </c>
      <c r="Q202" s="38" t="s">
        <v>24</v>
      </c>
      <c r="R202" s="33" t="s">
        <v>25</v>
      </c>
    </row>
    <row r="203" spans="1:18" ht="49.9" customHeight="1">
      <c r="A203" s="8" t="s">
        <v>68</v>
      </c>
      <c r="B203" s="8" t="s">
        <v>1149</v>
      </c>
      <c r="C203" s="9">
        <v>0.98263888888888884</v>
      </c>
      <c r="D203" s="8" t="s">
        <v>643</v>
      </c>
      <c r="E203" s="8" t="s">
        <v>51</v>
      </c>
      <c r="F203" s="8" t="s">
        <v>33</v>
      </c>
      <c r="G203" s="297"/>
      <c r="H203" s="10"/>
      <c r="I203" s="11"/>
      <c r="J203" s="11"/>
      <c r="K203" s="11"/>
      <c r="L203" s="11"/>
      <c r="M203" s="11"/>
      <c r="N203" s="11"/>
      <c r="O203" s="12"/>
      <c r="P203" s="11"/>
      <c r="Q203" s="13"/>
      <c r="R203" s="14"/>
    </row>
    <row r="204" spans="1:18" ht="49.9" customHeight="1">
      <c r="A204" s="78" t="s">
        <v>61</v>
      </c>
      <c r="B204" s="78" t="s">
        <v>1147</v>
      </c>
      <c r="C204" s="79">
        <v>0.71180555555555547</v>
      </c>
      <c r="D204" s="78" t="s">
        <v>63</v>
      </c>
      <c r="E204" s="78" t="s">
        <v>29</v>
      </c>
      <c r="F204" s="78" t="s">
        <v>1175</v>
      </c>
      <c r="G204" s="298"/>
      <c r="H204" s="80" t="s">
        <v>1148</v>
      </c>
      <c r="I204" s="81">
        <v>3.3500000000000002E-2</v>
      </c>
      <c r="J204" s="82">
        <v>6</v>
      </c>
      <c r="K204" s="83">
        <v>46286</v>
      </c>
      <c r="L204" s="82">
        <v>6</v>
      </c>
      <c r="M204" s="82">
        <v>0</v>
      </c>
      <c r="N204" s="82">
        <v>0</v>
      </c>
      <c r="O204" s="84" t="s">
        <v>368</v>
      </c>
      <c r="P204" s="85">
        <v>0.71180555555555547</v>
      </c>
      <c r="Q204" s="82">
        <v>179</v>
      </c>
      <c r="R204" s="86" t="s">
        <v>900</v>
      </c>
    </row>
    <row r="205" spans="1:18" ht="49.9" customHeight="1">
      <c r="A205" s="19" t="s">
        <v>402</v>
      </c>
      <c r="B205" s="19" t="s">
        <v>1145</v>
      </c>
      <c r="C205" s="20">
        <v>0.75694444444444453</v>
      </c>
      <c r="D205" s="19" t="s">
        <v>63</v>
      </c>
      <c r="E205" s="19" t="s">
        <v>103</v>
      </c>
      <c r="F205" s="19" t="s">
        <v>1162</v>
      </c>
      <c r="G205" s="298"/>
      <c r="H205" s="10"/>
      <c r="I205" s="11"/>
      <c r="J205" s="11"/>
      <c r="K205" s="11"/>
      <c r="L205" s="11"/>
      <c r="M205" s="11"/>
      <c r="N205" s="11"/>
      <c r="O205" s="12"/>
      <c r="P205" s="11"/>
      <c r="Q205" s="13"/>
      <c r="R205" s="14"/>
    </row>
    <row r="206" spans="1:18" ht="49.9" customHeight="1" thickBot="1">
      <c r="A206" s="96" t="s">
        <v>415</v>
      </c>
      <c r="B206" s="96" t="s">
        <v>1150</v>
      </c>
      <c r="C206" s="97">
        <v>0.80555555555555547</v>
      </c>
      <c r="D206" s="96" t="s">
        <v>63</v>
      </c>
      <c r="E206" s="96" t="s">
        <v>51</v>
      </c>
      <c r="F206" s="96" t="s">
        <v>1163</v>
      </c>
      <c r="G206" s="299"/>
      <c r="H206" s="300"/>
      <c r="I206" s="140"/>
      <c r="J206" s="140"/>
      <c r="K206" s="140"/>
      <c r="L206" s="140"/>
      <c r="M206" s="140"/>
      <c r="N206" s="140"/>
      <c r="O206" s="141"/>
      <c r="P206" s="140"/>
      <c r="Q206" s="142"/>
      <c r="R206" s="301"/>
    </row>
    <row r="207" spans="1:18" ht="17.45" customHeight="1" thickBot="1">
      <c r="A207" s="283"/>
      <c r="B207" s="284"/>
      <c r="C207" s="284"/>
      <c r="D207" s="284"/>
      <c r="E207" s="284"/>
      <c r="F207" s="284"/>
      <c r="G207" s="284"/>
      <c r="H207" s="284"/>
      <c r="I207" s="284"/>
      <c r="J207" s="284"/>
      <c r="K207" s="284"/>
      <c r="L207" s="284"/>
      <c r="M207" s="284"/>
      <c r="N207" s="284"/>
      <c r="O207" s="284"/>
      <c r="P207" s="284"/>
      <c r="Q207" s="284"/>
      <c r="R207" s="285"/>
    </row>
    <row r="208" spans="1:18" ht="22.15" customHeight="1" thickTop="1" thickBot="1">
      <c r="A208" s="279" t="s">
        <v>6</v>
      </c>
      <c r="B208" s="295"/>
      <c r="C208" s="295"/>
      <c r="D208" s="295"/>
      <c r="E208" s="295"/>
      <c r="F208" s="296"/>
      <c r="G208" s="32">
        <v>46052</v>
      </c>
      <c r="H208" s="278" t="s">
        <v>7</v>
      </c>
      <c r="I208" s="295"/>
      <c r="J208" s="295"/>
      <c r="K208" s="295"/>
      <c r="L208" s="295"/>
      <c r="M208" s="295"/>
      <c r="N208" s="295"/>
      <c r="O208" s="295"/>
      <c r="P208" s="295"/>
      <c r="Q208" s="295"/>
      <c r="R208" s="296"/>
    </row>
    <row r="209" spans="1:18" ht="24" customHeight="1">
      <c r="A209" s="33" t="s">
        <v>8</v>
      </c>
      <c r="B209" s="33" t="s">
        <v>9</v>
      </c>
      <c r="C209" s="34" t="s">
        <v>10</v>
      </c>
      <c r="D209" s="33" t="s">
        <v>11</v>
      </c>
      <c r="E209" s="33" t="s">
        <v>12</v>
      </c>
      <c r="F209" s="35" t="s">
        <v>13</v>
      </c>
      <c r="G209" s="36" t="s">
        <v>14</v>
      </c>
      <c r="H209" s="33" t="s">
        <v>15</v>
      </c>
      <c r="I209" s="37" t="s">
        <v>16</v>
      </c>
      <c r="J209" s="38" t="s">
        <v>17</v>
      </c>
      <c r="K209" s="39" t="s">
        <v>18</v>
      </c>
      <c r="L209" s="38" t="s">
        <v>19</v>
      </c>
      <c r="M209" s="38" t="s">
        <v>20</v>
      </c>
      <c r="N209" s="38" t="s">
        <v>21</v>
      </c>
      <c r="O209" s="33" t="s">
        <v>22</v>
      </c>
      <c r="P209" s="34" t="s">
        <v>23</v>
      </c>
      <c r="Q209" s="38" t="s">
        <v>24</v>
      </c>
      <c r="R209" s="33" t="s">
        <v>25</v>
      </c>
    </row>
    <row r="210" spans="1:18" ht="49.9" customHeight="1">
      <c r="A210" s="8" t="s">
        <v>68</v>
      </c>
      <c r="B210" s="8" t="s">
        <v>1149</v>
      </c>
      <c r="C210" s="9">
        <v>0.98263888888888884</v>
      </c>
      <c r="D210" s="8" t="s">
        <v>643</v>
      </c>
      <c r="E210" s="8" t="s">
        <v>100</v>
      </c>
      <c r="F210" s="8" t="s">
        <v>33</v>
      </c>
      <c r="G210" s="302"/>
      <c r="H210" s="10"/>
      <c r="I210" s="11"/>
      <c r="J210" s="11"/>
      <c r="K210" s="11"/>
      <c r="L210" s="11"/>
      <c r="M210" s="11"/>
      <c r="N210" s="11"/>
      <c r="O210" s="12"/>
      <c r="P210" s="11"/>
      <c r="Q210" s="13"/>
      <c r="R210" s="14"/>
    </row>
    <row r="211" spans="1:18" ht="49.9" customHeight="1">
      <c r="A211" s="19" t="s">
        <v>359</v>
      </c>
      <c r="B211" s="19" t="s">
        <v>1152</v>
      </c>
      <c r="C211" s="20">
        <v>0.49652777777777768</v>
      </c>
      <c r="D211" s="19" t="s">
        <v>361</v>
      </c>
      <c r="E211" s="19" t="s">
        <v>80</v>
      </c>
      <c r="F211" s="19" t="s">
        <v>1167</v>
      </c>
      <c r="G211" s="298"/>
      <c r="H211" s="10"/>
      <c r="I211" s="11"/>
      <c r="J211" s="11"/>
      <c r="K211" s="11"/>
      <c r="L211" s="11"/>
      <c r="M211" s="11"/>
      <c r="N211" s="11"/>
      <c r="O211" s="12"/>
      <c r="P211" s="11"/>
      <c r="Q211" s="13"/>
      <c r="R211" s="14"/>
    </row>
    <row r="212" spans="1:18" ht="49.9" customHeight="1">
      <c r="A212" s="15" t="s">
        <v>359</v>
      </c>
      <c r="B212" s="15" t="s">
        <v>1152</v>
      </c>
      <c r="C212" s="16">
        <v>0.49652777777777768</v>
      </c>
      <c r="D212" s="15" t="s">
        <v>46</v>
      </c>
      <c r="E212" s="15" t="s">
        <v>82</v>
      </c>
      <c r="F212" s="15" t="s">
        <v>1168</v>
      </c>
      <c r="G212" s="298"/>
      <c r="H212" s="10"/>
      <c r="I212" s="11"/>
      <c r="J212" s="11"/>
      <c r="K212" s="11"/>
      <c r="L212" s="11"/>
      <c r="M212" s="11"/>
      <c r="N212" s="11"/>
      <c r="O212" s="12"/>
      <c r="P212" s="11"/>
      <c r="Q212" s="13"/>
      <c r="R212" s="14"/>
    </row>
    <row r="213" spans="1:18" ht="49.9" customHeight="1">
      <c r="A213" s="19" t="s">
        <v>402</v>
      </c>
      <c r="B213" s="19" t="s">
        <v>1155</v>
      </c>
      <c r="C213" s="20">
        <v>0.75694444444444453</v>
      </c>
      <c r="D213" s="19" t="s">
        <v>63</v>
      </c>
      <c r="E213" s="19" t="s">
        <v>103</v>
      </c>
      <c r="F213" s="19" t="s">
        <v>1162</v>
      </c>
      <c r="G213" s="298"/>
      <c r="H213" s="10"/>
      <c r="I213" s="11"/>
      <c r="J213" s="11"/>
      <c r="K213" s="11"/>
      <c r="L213" s="11"/>
      <c r="M213" s="11"/>
      <c r="N213" s="11"/>
      <c r="O213" s="12"/>
      <c r="P213" s="11"/>
      <c r="Q213" s="13"/>
      <c r="R213" s="14"/>
    </row>
    <row r="214" spans="1:18" ht="49.9" customHeight="1" thickBot="1">
      <c r="A214" s="96" t="s">
        <v>415</v>
      </c>
      <c r="B214" s="96" t="s">
        <v>1150</v>
      </c>
      <c r="C214" s="97">
        <v>0.85416666666666663</v>
      </c>
      <c r="D214" s="96" t="s">
        <v>63</v>
      </c>
      <c r="E214" s="96" t="s">
        <v>51</v>
      </c>
      <c r="F214" s="96" t="s">
        <v>1163</v>
      </c>
      <c r="G214" s="299"/>
      <c r="H214" s="300"/>
      <c r="I214" s="140"/>
      <c r="J214" s="140"/>
      <c r="K214" s="140"/>
      <c r="L214" s="140"/>
      <c r="M214" s="140"/>
      <c r="N214" s="140"/>
      <c r="O214" s="141"/>
      <c r="P214" s="140"/>
      <c r="Q214" s="142"/>
      <c r="R214" s="301"/>
    </row>
    <row r="215" spans="1:18" ht="17.45" customHeight="1" thickBot="1">
      <c r="A215" s="283"/>
      <c r="B215" s="284"/>
      <c r="C215" s="284"/>
      <c r="D215" s="284"/>
      <c r="E215" s="284"/>
      <c r="F215" s="284"/>
      <c r="G215" s="284"/>
      <c r="H215" s="284"/>
      <c r="I215" s="284"/>
      <c r="J215" s="284"/>
      <c r="K215" s="284"/>
      <c r="L215" s="284"/>
      <c r="M215" s="284"/>
      <c r="N215" s="284"/>
      <c r="O215" s="284"/>
      <c r="P215" s="284"/>
      <c r="Q215" s="284"/>
      <c r="R215" s="285"/>
    </row>
    <row r="216" spans="1:18" ht="22.15" customHeight="1" thickTop="1" thickBot="1">
      <c r="A216" s="279" t="s">
        <v>6</v>
      </c>
      <c r="B216" s="295"/>
      <c r="C216" s="295"/>
      <c r="D216" s="295"/>
      <c r="E216" s="295"/>
      <c r="F216" s="296"/>
      <c r="G216" s="32">
        <v>46053</v>
      </c>
      <c r="H216" s="278" t="s">
        <v>7</v>
      </c>
      <c r="I216" s="295"/>
      <c r="J216" s="295"/>
      <c r="K216" s="295"/>
      <c r="L216" s="295"/>
      <c r="M216" s="295"/>
      <c r="N216" s="295"/>
      <c r="O216" s="295"/>
      <c r="P216" s="295"/>
      <c r="Q216" s="295"/>
      <c r="R216" s="296"/>
    </row>
    <row r="217" spans="1:18" ht="24" customHeight="1">
      <c r="A217" s="33" t="s">
        <v>8</v>
      </c>
      <c r="B217" s="33" t="s">
        <v>9</v>
      </c>
      <c r="C217" s="34" t="s">
        <v>10</v>
      </c>
      <c r="D217" s="33" t="s">
        <v>11</v>
      </c>
      <c r="E217" s="33" t="s">
        <v>12</v>
      </c>
      <c r="F217" s="35" t="s">
        <v>13</v>
      </c>
      <c r="G217" s="36" t="s">
        <v>14</v>
      </c>
      <c r="H217" s="33" t="s">
        <v>15</v>
      </c>
      <c r="I217" s="37" t="s">
        <v>16</v>
      </c>
      <c r="J217" s="38" t="s">
        <v>17</v>
      </c>
      <c r="K217" s="39" t="s">
        <v>18</v>
      </c>
      <c r="L217" s="38" t="s">
        <v>19</v>
      </c>
      <c r="M217" s="38" t="s">
        <v>20</v>
      </c>
      <c r="N217" s="38" t="s">
        <v>21</v>
      </c>
      <c r="O217" s="33" t="s">
        <v>22</v>
      </c>
      <c r="P217" s="34" t="s">
        <v>23</v>
      </c>
      <c r="Q217" s="38" t="s">
        <v>24</v>
      </c>
      <c r="R217" s="33" t="s">
        <v>25</v>
      </c>
    </row>
    <row r="218" spans="1:18" ht="49.9" customHeight="1">
      <c r="A218" s="40" t="s">
        <v>61</v>
      </c>
      <c r="B218" s="40" t="s">
        <v>1147</v>
      </c>
      <c r="C218" s="41">
        <v>0.83680555555555547</v>
      </c>
      <c r="D218" s="40" t="s">
        <v>63</v>
      </c>
      <c r="E218" s="40" t="s">
        <v>126</v>
      </c>
      <c r="F218" s="40" t="s">
        <v>1157</v>
      </c>
      <c r="G218" s="302"/>
      <c r="H218" s="42" t="s">
        <v>1148</v>
      </c>
      <c r="I218" s="43">
        <v>1.12E-2</v>
      </c>
      <c r="J218" s="44">
        <v>2</v>
      </c>
      <c r="K218" s="45">
        <v>46340</v>
      </c>
      <c r="L218" s="44">
        <v>2</v>
      </c>
      <c r="M218" s="44">
        <v>0</v>
      </c>
      <c r="N218" s="44">
        <v>0</v>
      </c>
      <c r="O218" s="46" t="s">
        <v>967</v>
      </c>
      <c r="P218" s="47">
        <v>0.83680555555555547</v>
      </c>
      <c r="Q218" s="44">
        <v>179</v>
      </c>
      <c r="R218" s="48" t="s">
        <v>1016</v>
      </c>
    </row>
    <row r="219" spans="1:18" ht="49.9" customHeight="1">
      <c r="A219" s="19" t="s">
        <v>402</v>
      </c>
      <c r="B219" s="19" t="s">
        <v>1145</v>
      </c>
      <c r="C219" s="20">
        <v>0.75694444444444453</v>
      </c>
      <c r="D219" s="19" t="s">
        <v>63</v>
      </c>
      <c r="E219" s="19" t="s">
        <v>103</v>
      </c>
      <c r="F219" s="19" t="s">
        <v>1162</v>
      </c>
      <c r="G219" s="298"/>
      <c r="H219" s="10"/>
      <c r="I219" s="11"/>
      <c r="J219" s="11"/>
      <c r="K219" s="11"/>
      <c r="L219" s="11"/>
      <c r="M219" s="11"/>
      <c r="N219" s="11"/>
      <c r="O219" s="12"/>
      <c r="P219" s="11"/>
      <c r="Q219" s="13"/>
      <c r="R219" s="14"/>
    </row>
    <row r="220" spans="1:18" ht="49.9" customHeight="1">
      <c r="A220" s="96" t="s">
        <v>415</v>
      </c>
      <c r="B220" s="96" t="s">
        <v>1171</v>
      </c>
      <c r="C220" s="97">
        <v>0.67361111111111116</v>
      </c>
      <c r="D220" s="96" t="s">
        <v>63</v>
      </c>
      <c r="E220" s="96" t="s">
        <v>51</v>
      </c>
      <c r="F220" s="96" t="s">
        <v>1163</v>
      </c>
      <c r="G220" s="299"/>
      <c r="H220" s="300"/>
      <c r="I220" s="140"/>
      <c r="J220" s="140"/>
      <c r="K220" s="140"/>
      <c r="L220" s="140"/>
      <c r="M220" s="140"/>
      <c r="N220" s="140"/>
      <c r="O220" s="141"/>
      <c r="P220" s="140"/>
      <c r="Q220" s="142"/>
      <c r="R220" s="301"/>
    </row>
  </sheetData>
  <mergeCells count="130">
    <mergeCell ref="H179:R179"/>
    <mergeCell ref="H166:R166"/>
    <mergeCell ref="H67:R67"/>
    <mergeCell ref="A158:F158"/>
    <mergeCell ref="H1:L1"/>
    <mergeCell ref="A1:E1"/>
    <mergeCell ref="A18:R18"/>
    <mergeCell ref="G189:G190"/>
    <mergeCell ref="A42:R42"/>
    <mergeCell ref="H59:R59"/>
    <mergeCell ref="H142:R142"/>
    <mergeCell ref="G139:G140"/>
    <mergeCell ref="H129:R129"/>
    <mergeCell ref="A141:R141"/>
    <mergeCell ref="G33:G36"/>
    <mergeCell ref="A72:F72"/>
    <mergeCell ref="A38:F38"/>
    <mergeCell ref="H52:R52"/>
    <mergeCell ref="H79:R79"/>
    <mergeCell ref="H108:R108"/>
    <mergeCell ref="A24:F24"/>
    <mergeCell ref="G21:G22"/>
    <mergeCell ref="A2:F2"/>
    <mergeCell ref="G6:G9"/>
    <mergeCell ref="A215:R215"/>
    <mergeCell ref="G74:G77"/>
    <mergeCell ref="G81:G85"/>
    <mergeCell ref="G26:G29"/>
    <mergeCell ref="A31:F31"/>
    <mergeCell ref="H72:R72"/>
    <mergeCell ref="H208:R208"/>
    <mergeCell ref="G203:G206"/>
    <mergeCell ref="G181:G185"/>
    <mergeCell ref="A30:R30"/>
    <mergeCell ref="G153:G156"/>
    <mergeCell ref="H87:R87"/>
    <mergeCell ref="A191:R191"/>
    <mergeCell ref="H116:R116"/>
    <mergeCell ref="H172:R172"/>
    <mergeCell ref="A172:F172"/>
    <mergeCell ref="A108:F108"/>
    <mergeCell ref="A101:F101"/>
    <mergeCell ref="A136:R136"/>
    <mergeCell ref="G103:G106"/>
    <mergeCell ref="G110:G114"/>
    <mergeCell ref="A151:F151"/>
    <mergeCell ref="A71:R71"/>
    <mergeCell ref="A122:F122"/>
    <mergeCell ref="A115:R115"/>
    <mergeCell ref="G89:G90"/>
    <mergeCell ref="G160:G164"/>
    <mergeCell ref="H19:R19"/>
    <mergeCell ref="G54:G57"/>
    <mergeCell ref="A59:F59"/>
    <mergeCell ref="A142:F142"/>
    <mergeCell ref="A11:F11"/>
    <mergeCell ref="A157:R157"/>
    <mergeCell ref="A37:R37"/>
    <mergeCell ref="A216:F216"/>
    <mergeCell ref="G144:G149"/>
    <mergeCell ref="A79:F79"/>
    <mergeCell ref="A207:R207"/>
    <mergeCell ref="H216:R216"/>
    <mergeCell ref="A78:R78"/>
    <mergeCell ref="A137:F137"/>
    <mergeCell ref="A208:F208"/>
    <mergeCell ref="H38:R38"/>
    <mergeCell ref="A128:R128"/>
    <mergeCell ref="H43:R43"/>
    <mergeCell ref="G69:G70"/>
    <mergeCell ref="H137:R137"/>
    <mergeCell ref="A179:F179"/>
    <mergeCell ref="G168:G170"/>
    <mergeCell ref="A129:F129"/>
    <mergeCell ref="H192:R192"/>
    <mergeCell ref="A116:F116"/>
    <mergeCell ref="G174:G177"/>
    <mergeCell ref="H201:R201"/>
    <mergeCell ref="G131:G135"/>
    <mergeCell ref="A201:F201"/>
    <mergeCell ref="A91:R91"/>
    <mergeCell ref="A100:R100"/>
    <mergeCell ref="G218:G220"/>
    <mergeCell ref="G2:J2"/>
    <mergeCell ref="A23:R23"/>
    <mergeCell ref="G124:G127"/>
    <mergeCell ref="N1:R1"/>
    <mergeCell ref="A19:F19"/>
    <mergeCell ref="H187:R187"/>
    <mergeCell ref="K2:R2"/>
    <mergeCell ref="A92:F92"/>
    <mergeCell ref="A166:F166"/>
    <mergeCell ref="G94:G99"/>
    <mergeCell ref="H158:R158"/>
    <mergeCell ref="H151:R151"/>
    <mergeCell ref="A87:F87"/>
    <mergeCell ref="H92:R92"/>
    <mergeCell ref="G210:G214"/>
    <mergeCell ref="A66:R66"/>
    <mergeCell ref="A192:F192"/>
    <mergeCell ref="H4:R4"/>
    <mergeCell ref="G194:G199"/>
    <mergeCell ref="H122:R122"/>
    <mergeCell ref="A3:R3"/>
    <mergeCell ref="H31:R31"/>
    <mergeCell ref="A86:R86"/>
    <mergeCell ref="A4:F4"/>
    <mergeCell ref="A150:R150"/>
    <mergeCell ref="A43:F43"/>
    <mergeCell ref="A187:F187"/>
    <mergeCell ref="A52:F52"/>
    <mergeCell ref="A200:R200"/>
    <mergeCell ref="A121:R121"/>
    <mergeCell ref="G61:G65"/>
    <mergeCell ref="A67:F67"/>
    <mergeCell ref="A58:R58"/>
    <mergeCell ref="G45:G50"/>
    <mergeCell ref="A186:R186"/>
    <mergeCell ref="G13:G17"/>
    <mergeCell ref="A51:R51"/>
    <mergeCell ref="H101:R101"/>
    <mergeCell ref="A107:R107"/>
    <mergeCell ref="A178:R178"/>
    <mergeCell ref="H24:R24"/>
    <mergeCell ref="G40:G41"/>
    <mergeCell ref="G118:G120"/>
    <mergeCell ref="A171:R171"/>
    <mergeCell ref="A165:R165"/>
    <mergeCell ref="H11:R11"/>
    <mergeCell ref="A10:R10"/>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J16"/>
  <sheetViews>
    <sheetView workbookViewId="0"/>
  </sheetViews>
  <sheetFormatPr defaultColWidth="8.85546875" defaultRowHeight="15.6" outlineLevelCol="1"/>
  <cols>
    <col min="1" max="1" width="11.5703125" style="266" bestFit="1" customWidth="1"/>
    <col min="2" max="2" width="9.7109375" style="266" bestFit="1" customWidth="1"/>
    <col min="3" max="3" width="6.7109375" style="266" bestFit="1" customWidth="1"/>
    <col min="4" max="4" width="5.5703125" style="266" bestFit="1" customWidth="1"/>
    <col min="5" max="5" width="8.28515625" style="266" bestFit="1" customWidth="1"/>
    <col min="6" max="6" width="4.28515625" style="266" bestFit="1" customWidth="1"/>
    <col min="7" max="7" width="8.42578125" style="266" bestFit="1" customWidth="1"/>
    <col min="8" max="8" width="8.5703125" style="266" bestFit="1" customWidth="1"/>
    <col min="9"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6" width="3.85546875" style="266" bestFit="1" customWidth="1"/>
    <col min="27" max="27" width="4" style="266" bestFit="1" customWidth="1"/>
    <col min="28"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230</v>
      </c>
      <c r="B2" s="268">
        <v>46023</v>
      </c>
      <c r="C2" s="269" t="s">
        <v>1148</v>
      </c>
      <c r="D2" s="270" t="s">
        <v>1176</v>
      </c>
      <c r="E2" s="269" t="s">
        <v>1144</v>
      </c>
      <c r="F2" s="269" t="s">
        <v>232</v>
      </c>
      <c r="G2" s="271">
        <v>1.6799999999999999E-2</v>
      </c>
      <c r="H2" s="272">
        <v>179</v>
      </c>
      <c r="I2" s="272">
        <v>3</v>
      </c>
      <c r="J2" s="272">
        <v>0</v>
      </c>
      <c r="K2" s="269" t="s">
        <v>233</v>
      </c>
      <c r="L2" s="273">
        <v>46337</v>
      </c>
      <c r="M2" s="272">
        <v>0</v>
      </c>
      <c r="N2" s="272">
        <v>0</v>
      </c>
      <c r="O2" s="272">
        <v>3</v>
      </c>
      <c r="P2" s="269" t="s">
        <v>901</v>
      </c>
      <c r="Q2" s="265"/>
      <c r="R2" s="265"/>
      <c r="S2" s="265"/>
      <c r="T2" s="265"/>
      <c r="U2" s="265"/>
      <c r="V2" s="265"/>
      <c r="W2" s="265"/>
      <c r="X2" s="265"/>
      <c r="Y2" s="265"/>
      <c r="Z2" s="265"/>
      <c r="AA2" s="265"/>
      <c r="AB2" s="265"/>
      <c r="AC2" s="265"/>
      <c r="AD2" s="265"/>
      <c r="AE2" s="265"/>
      <c r="AF2" s="272" t="s">
        <v>819</v>
      </c>
      <c r="AG2" s="265"/>
      <c r="AH2" s="265"/>
      <c r="AI2" s="265"/>
      <c r="AJ2" s="265"/>
    </row>
    <row r="3" spans="1:36">
      <c r="A3" s="267" t="s">
        <v>234</v>
      </c>
      <c r="B3" s="268">
        <v>46025</v>
      </c>
      <c r="C3" s="269" t="s">
        <v>1148</v>
      </c>
      <c r="D3" s="270" t="s">
        <v>597</v>
      </c>
      <c r="E3" s="269" t="s">
        <v>1144</v>
      </c>
      <c r="F3" s="269" t="s">
        <v>232</v>
      </c>
      <c r="G3" s="271">
        <v>6.7000000000000004E-2</v>
      </c>
      <c r="H3" s="272">
        <v>179</v>
      </c>
      <c r="I3" s="272">
        <v>12</v>
      </c>
      <c r="J3" s="272">
        <v>0</v>
      </c>
      <c r="K3" s="269" t="s">
        <v>233</v>
      </c>
      <c r="L3" s="273">
        <v>46339</v>
      </c>
      <c r="M3" s="272">
        <v>0</v>
      </c>
      <c r="N3" s="272">
        <v>0</v>
      </c>
      <c r="O3" s="272">
        <v>12</v>
      </c>
      <c r="P3" s="269" t="s">
        <v>951</v>
      </c>
      <c r="Q3" s="265"/>
      <c r="R3" s="265"/>
      <c r="S3" s="265"/>
      <c r="T3" s="265"/>
      <c r="U3" s="265"/>
      <c r="V3" s="265"/>
      <c r="W3" s="265"/>
      <c r="X3" s="265"/>
      <c r="Y3" s="265"/>
      <c r="Z3" s="272" t="s">
        <v>569</v>
      </c>
      <c r="AA3" s="265"/>
      <c r="AB3" s="265"/>
      <c r="AC3" s="265"/>
      <c r="AD3" s="265"/>
      <c r="AE3" s="272" t="s">
        <v>967</v>
      </c>
      <c r="AF3" s="272" t="s">
        <v>374</v>
      </c>
      <c r="AG3" s="265"/>
      <c r="AH3" s="265"/>
      <c r="AI3" s="265"/>
      <c r="AJ3" s="265"/>
    </row>
    <row r="4" spans="1:36">
      <c r="A4" s="267" t="s">
        <v>315</v>
      </c>
      <c r="B4" s="268">
        <v>46029</v>
      </c>
      <c r="C4" s="269" t="s">
        <v>1148</v>
      </c>
      <c r="D4" s="270" t="s">
        <v>1176</v>
      </c>
      <c r="E4" s="269" t="s">
        <v>1144</v>
      </c>
      <c r="F4" s="269" t="s">
        <v>232</v>
      </c>
      <c r="G4" s="271">
        <v>2.23E-2</v>
      </c>
      <c r="H4" s="272">
        <v>179</v>
      </c>
      <c r="I4" s="272">
        <v>4</v>
      </c>
      <c r="J4" s="272">
        <v>0</v>
      </c>
      <c r="K4" s="269" t="s">
        <v>233</v>
      </c>
      <c r="L4" s="273">
        <v>46328</v>
      </c>
      <c r="M4" s="272">
        <v>0</v>
      </c>
      <c r="N4" s="272">
        <v>0</v>
      </c>
      <c r="O4" s="272">
        <v>4</v>
      </c>
      <c r="P4" s="269" t="s">
        <v>819</v>
      </c>
      <c r="Q4" s="265"/>
      <c r="R4" s="265"/>
      <c r="S4" s="265"/>
      <c r="T4" s="265"/>
      <c r="U4" s="265"/>
      <c r="V4" s="265"/>
      <c r="W4" s="265"/>
      <c r="X4" s="265"/>
      <c r="Y4" s="265"/>
      <c r="Z4" s="265"/>
      <c r="AA4" s="265"/>
      <c r="AB4" s="265"/>
      <c r="AC4" s="265"/>
      <c r="AD4" s="265"/>
      <c r="AE4" s="265"/>
      <c r="AF4" s="272" t="s">
        <v>901</v>
      </c>
      <c r="AG4" s="265"/>
      <c r="AH4" s="265"/>
      <c r="AI4" s="265"/>
      <c r="AJ4" s="265"/>
    </row>
    <row r="5" spans="1:36">
      <c r="A5" s="267" t="s">
        <v>230</v>
      </c>
      <c r="B5" s="268">
        <v>46030</v>
      </c>
      <c r="C5" s="269" t="s">
        <v>1148</v>
      </c>
      <c r="D5" s="270" t="s">
        <v>1176</v>
      </c>
      <c r="E5" s="269" t="s">
        <v>1144</v>
      </c>
      <c r="F5" s="269" t="s">
        <v>232</v>
      </c>
      <c r="G5" s="271">
        <v>3.3500000000000002E-2</v>
      </c>
      <c r="H5" s="272">
        <v>179</v>
      </c>
      <c r="I5" s="272">
        <v>6</v>
      </c>
      <c r="J5" s="272">
        <v>0</v>
      </c>
      <c r="K5" s="269" t="s">
        <v>233</v>
      </c>
      <c r="L5" s="273">
        <v>46338</v>
      </c>
      <c r="M5" s="272">
        <v>0</v>
      </c>
      <c r="N5" s="272">
        <v>0</v>
      </c>
      <c r="O5" s="272">
        <v>6</v>
      </c>
      <c r="P5" s="269" t="s">
        <v>244</v>
      </c>
      <c r="Q5" s="265"/>
      <c r="R5" s="265"/>
      <c r="S5" s="265"/>
      <c r="T5" s="265"/>
      <c r="U5" s="265"/>
      <c r="V5" s="265"/>
      <c r="W5" s="265"/>
      <c r="X5" s="265"/>
      <c r="Y5" s="265"/>
      <c r="Z5" s="265"/>
      <c r="AA5" s="265"/>
      <c r="AB5" s="265"/>
      <c r="AC5" s="265"/>
      <c r="AD5" s="265"/>
      <c r="AE5" s="265"/>
      <c r="AF5" s="272" t="s">
        <v>900</v>
      </c>
      <c r="AG5" s="265"/>
      <c r="AH5" s="265"/>
      <c r="AI5" s="265"/>
      <c r="AJ5" s="265"/>
    </row>
    <row r="6" spans="1:36">
      <c r="A6" s="267" t="s">
        <v>234</v>
      </c>
      <c r="B6" s="268">
        <v>46032</v>
      </c>
      <c r="C6" s="269" t="s">
        <v>1148</v>
      </c>
      <c r="D6" s="270" t="s">
        <v>597</v>
      </c>
      <c r="E6" s="269" t="s">
        <v>1144</v>
      </c>
      <c r="F6" s="269" t="s">
        <v>232</v>
      </c>
      <c r="G6" s="271">
        <v>2.7900000000000001E-2</v>
      </c>
      <c r="H6" s="272">
        <v>179</v>
      </c>
      <c r="I6" s="272">
        <v>5</v>
      </c>
      <c r="J6" s="272">
        <v>0</v>
      </c>
      <c r="K6" s="269" t="s">
        <v>233</v>
      </c>
      <c r="L6" s="273">
        <v>46342</v>
      </c>
      <c r="M6" s="272">
        <v>0</v>
      </c>
      <c r="N6" s="272">
        <v>0</v>
      </c>
      <c r="O6" s="272">
        <v>5</v>
      </c>
      <c r="P6" s="269" t="s">
        <v>571</v>
      </c>
      <c r="Q6" s="265"/>
      <c r="R6" s="265"/>
      <c r="S6" s="265"/>
      <c r="T6" s="265"/>
      <c r="U6" s="265"/>
      <c r="V6" s="265"/>
      <c r="W6" s="265"/>
      <c r="X6" s="265"/>
      <c r="Y6" s="265"/>
      <c r="Z6" s="265"/>
      <c r="AA6" s="265"/>
      <c r="AB6" s="265"/>
      <c r="AC6" s="265"/>
      <c r="AD6" s="265"/>
      <c r="AE6" s="265"/>
      <c r="AF6" s="272" t="s">
        <v>591</v>
      </c>
      <c r="AG6" s="265"/>
      <c r="AH6" s="265"/>
      <c r="AI6" s="265"/>
      <c r="AJ6" s="265"/>
    </row>
    <row r="7" spans="1:36">
      <c r="A7" s="267" t="s">
        <v>315</v>
      </c>
      <c r="B7" s="268">
        <v>46036</v>
      </c>
      <c r="C7" s="269" t="s">
        <v>1148</v>
      </c>
      <c r="D7" s="270" t="s">
        <v>1176</v>
      </c>
      <c r="E7" s="269" t="s">
        <v>1144</v>
      </c>
      <c r="F7" s="269" t="s">
        <v>232</v>
      </c>
      <c r="G7" s="271">
        <v>1.6799999999999999E-2</v>
      </c>
      <c r="H7" s="272">
        <v>179</v>
      </c>
      <c r="I7" s="272">
        <v>3</v>
      </c>
      <c r="J7" s="272">
        <v>0</v>
      </c>
      <c r="K7" s="269" t="s">
        <v>233</v>
      </c>
      <c r="L7" s="273">
        <v>46332</v>
      </c>
      <c r="M7" s="272">
        <v>0</v>
      </c>
      <c r="N7" s="272">
        <v>0</v>
      </c>
      <c r="O7" s="272">
        <v>3</v>
      </c>
      <c r="P7" s="269" t="s">
        <v>901</v>
      </c>
      <c r="Q7" s="265"/>
      <c r="R7" s="265"/>
      <c r="S7" s="265"/>
      <c r="T7" s="265"/>
      <c r="U7" s="265"/>
      <c r="V7" s="265"/>
      <c r="W7" s="265"/>
      <c r="X7" s="265"/>
      <c r="Y7" s="265"/>
      <c r="Z7" s="272" t="s">
        <v>174</v>
      </c>
      <c r="AA7" s="265"/>
      <c r="AB7" s="265"/>
      <c r="AC7" s="265"/>
      <c r="AD7" s="265"/>
      <c r="AE7" s="265"/>
      <c r="AF7" s="272" t="s">
        <v>571</v>
      </c>
      <c r="AG7" s="265"/>
      <c r="AH7" s="265"/>
      <c r="AI7" s="265"/>
      <c r="AJ7" s="265"/>
    </row>
    <row r="8" spans="1:36">
      <c r="A8" s="267" t="s">
        <v>230</v>
      </c>
      <c r="B8" s="268">
        <v>46037</v>
      </c>
      <c r="C8" s="269" t="s">
        <v>1148</v>
      </c>
      <c r="D8" s="270" t="s">
        <v>1176</v>
      </c>
      <c r="E8" s="269" t="s">
        <v>1144</v>
      </c>
      <c r="F8" s="269" t="s">
        <v>232</v>
      </c>
      <c r="G8" s="271">
        <v>1.6799999999999999E-2</v>
      </c>
      <c r="H8" s="272">
        <v>179</v>
      </c>
      <c r="I8" s="272">
        <v>3</v>
      </c>
      <c r="J8" s="272">
        <v>0</v>
      </c>
      <c r="K8" s="269" t="s">
        <v>233</v>
      </c>
      <c r="L8" s="273">
        <v>46294</v>
      </c>
      <c r="M8" s="272">
        <v>0</v>
      </c>
      <c r="N8" s="272">
        <v>0</v>
      </c>
      <c r="O8" s="272">
        <v>3</v>
      </c>
      <c r="P8" s="269" t="s">
        <v>667</v>
      </c>
      <c r="Q8" s="265"/>
      <c r="R8" s="265"/>
      <c r="S8" s="265"/>
      <c r="T8" s="265"/>
      <c r="U8" s="265"/>
      <c r="V8" s="265"/>
      <c r="W8" s="265"/>
      <c r="X8" s="265"/>
      <c r="Y8" s="265"/>
      <c r="Z8" s="265"/>
      <c r="AA8" s="265"/>
      <c r="AB8" s="265"/>
      <c r="AC8" s="272" t="s">
        <v>304</v>
      </c>
      <c r="AD8" s="265"/>
      <c r="AE8" s="265"/>
      <c r="AF8" s="265"/>
      <c r="AG8" s="265"/>
      <c r="AH8" s="265"/>
      <c r="AI8" s="265"/>
      <c r="AJ8" s="265"/>
    </row>
    <row r="9" spans="1:36">
      <c r="A9" s="267" t="s">
        <v>234</v>
      </c>
      <c r="B9" s="268">
        <v>46039</v>
      </c>
      <c r="C9" s="269" t="s">
        <v>1148</v>
      </c>
      <c r="D9" s="270" t="s">
        <v>597</v>
      </c>
      <c r="E9" s="269" t="s">
        <v>1144</v>
      </c>
      <c r="F9" s="269" t="s">
        <v>232</v>
      </c>
      <c r="G9" s="271">
        <v>0.1173</v>
      </c>
      <c r="H9" s="272">
        <v>179</v>
      </c>
      <c r="I9" s="272">
        <v>21</v>
      </c>
      <c r="J9" s="272">
        <v>0</v>
      </c>
      <c r="K9" s="269" t="s">
        <v>233</v>
      </c>
      <c r="L9" s="273">
        <v>46307</v>
      </c>
      <c r="M9" s="272">
        <v>0</v>
      </c>
      <c r="N9" s="272">
        <v>0</v>
      </c>
      <c r="O9" s="272">
        <v>21</v>
      </c>
      <c r="P9" s="269" t="s">
        <v>1169</v>
      </c>
      <c r="Q9" s="265"/>
      <c r="R9" s="265"/>
      <c r="S9" s="265"/>
      <c r="T9" s="265"/>
      <c r="U9" s="265"/>
      <c r="V9" s="265"/>
      <c r="W9" s="265"/>
      <c r="X9" s="265"/>
      <c r="Y9" s="265"/>
      <c r="Z9" s="272" t="s">
        <v>569</v>
      </c>
      <c r="AA9" s="272" t="s">
        <v>686</v>
      </c>
      <c r="AB9" s="265"/>
      <c r="AC9" s="265"/>
      <c r="AD9" s="265"/>
      <c r="AE9" s="265"/>
      <c r="AF9" s="272" t="s">
        <v>1177</v>
      </c>
      <c r="AG9" s="265"/>
      <c r="AH9" s="265"/>
      <c r="AI9" s="265"/>
      <c r="AJ9" s="265"/>
    </row>
    <row r="10" spans="1:36">
      <c r="A10" s="267" t="s">
        <v>315</v>
      </c>
      <c r="B10" s="268">
        <v>46043</v>
      </c>
      <c r="C10" s="269" t="s">
        <v>1148</v>
      </c>
      <c r="D10" s="270" t="s">
        <v>1176</v>
      </c>
      <c r="E10" s="269" t="s">
        <v>1144</v>
      </c>
      <c r="F10" s="269" t="s">
        <v>232</v>
      </c>
      <c r="G10" s="271">
        <v>1.6799999999999999E-2</v>
      </c>
      <c r="H10" s="272">
        <v>179</v>
      </c>
      <c r="I10" s="272">
        <v>3</v>
      </c>
      <c r="J10" s="272">
        <v>0</v>
      </c>
      <c r="K10" s="269" t="s">
        <v>233</v>
      </c>
      <c r="L10" s="273">
        <v>46315</v>
      </c>
      <c r="M10" s="272">
        <v>0</v>
      </c>
      <c r="N10" s="272">
        <v>0</v>
      </c>
      <c r="O10" s="272">
        <v>3</v>
      </c>
      <c r="P10" s="269" t="s">
        <v>1016</v>
      </c>
      <c r="Q10" s="265"/>
      <c r="R10" s="265"/>
      <c r="S10" s="265"/>
      <c r="T10" s="265"/>
      <c r="U10" s="265"/>
      <c r="V10" s="265"/>
      <c r="W10" s="265"/>
      <c r="X10" s="265"/>
      <c r="Y10" s="265"/>
      <c r="Z10" s="265"/>
      <c r="AA10" s="265"/>
      <c r="AB10" s="265"/>
      <c r="AC10" s="265"/>
      <c r="AD10" s="265"/>
      <c r="AE10" s="272" t="s">
        <v>967</v>
      </c>
      <c r="AF10" s="265"/>
      <c r="AG10" s="265"/>
      <c r="AH10" s="265"/>
      <c r="AI10" s="265"/>
      <c r="AJ10" s="265"/>
    </row>
    <row r="11" spans="1:36">
      <c r="A11" s="267" t="s">
        <v>230</v>
      </c>
      <c r="B11" s="268">
        <v>46044</v>
      </c>
      <c r="C11" s="269" t="s">
        <v>1148</v>
      </c>
      <c r="D11" s="270" t="s">
        <v>1176</v>
      </c>
      <c r="E11" s="269" t="s">
        <v>1144</v>
      </c>
      <c r="F11" s="269" t="s">
        <v>232</v>
      </c>
      <c r="G11" s="271">
        <v>0</v>
      </c>
      <c r="H11" s="272">
        <v>179</v>
      </c>
      <c r="I11" s="272">
        <v>0</v>
      </c>
      <c r="J11" s="272">
        <v>0</v>
      </c>
      <c r="K11" s="269" t="s">
        <v>233</v>
      </c>
      <c r="L11" s="273" t="s">
        <v>66</v>
      </c>
      <c r="M11" s="272">
        <v>0</v>
      </c>
      <c r="N11" s="272">
        <v>0</v>
      </c>
      <c r="O11" s="272">
        <v>0</v>
      </c>
      <c r="P11" s="269" t="s">
        <v>1137</v>
      </c>
      <c r="Q11" s="265"/>
      <c r="R11" s="265"/>
      <c r="S11" s="265"/>
      <c r="T11" s="265"/>
      <c r="U11" s="265"/>
      <c r="V11" s="265"/>
      <c r="W11" s="265"/>
      <c r="X11" s="265"/>
      <c r="Y11" s="265"/>
      <c r="Z11" s="265"/>
      <c r="AA11" s="265"/>
      <c r="AB11" s="265"/>
      <c r="AC11" s="265"/>
      <c r="AD11" s="265"/>
      <c r="AE11" s="265"/>
      <c r="AF11" s="265"/>
      <c r="AG11" s="265"/>
      <c r="AH11" s="265"/>
      <c r="AI11" s="265"/>
      <c r="AJ11" s="265"/>
    </row>
    <row r="12" spans="1:36">
      <c r="A12" s="267" t="s">
        <v>234</v>
      </c>
      <c r="B12" s="268">
        <v>46046</v>
      </c>
      <c r="C12" s="269" t="s">
        <v>1148</v>
      </c>
      <c r="D12" s="270" t="s">
        <v>597</v>
      </c>
      <c r="E12" s="269" t="s">
        <v>1144</v>
      </c>
      <c r="F12" s="269" t="s">
        <v>232</v>
      </c>
      <c r="G12" s="271">
        <v>4.4699999999999997E-2</v>
      </c>
      <c r="H12" s="272">
        <v>179</v>
      </c>
      <c r="I12" s="272">
        <v>8</v>
      </c>
      <c r="J12" s="272">
        <v>0</v>
      </c>
      <c r="K12" s="269" t="s">
        <v>233</v>
      </c>
      <c r="L12" s="273">
        <v>46322</v>
      </c>
      <c r="M12" s="272">
        <v>0</v>
      </c>
      <c r="N12" s="272">
        <v>0</v>
      </c>
      <c r="O12" s="272">
        <v>8</v>
      </c>
      <c r="P12" s="269" t="s">
        <v>672</v>
      </c>
      <c r="Q12" s="265"/>
      <c r="R12" s="265"/>
      <c r="S12" s="265"/>
      <c r="T12" s="265"/>
      <c r="U12" s="265"/>
      <c r="V12" s="265"/>
      <c r="W12" s="265"/>
      <c r="X12" s="265"/>
      <c r="Y12" s="265"/>
      <c r="Z12" s="265"/>
      <c r="AA12" s="272" t="s">
        <v>516</v>
      </c>
      <c r="AB12" s="265"/>
      <c r="AC12" s="265"/>
      <c r="AD12" s="265"/>
      <c r="AE12" s="265"/>
      <c r="AF12" s="272" t="s">
        <v>571</v>
      </c>
      <c r="AG12" s="265"/>
      <c r="AH12" s="265"/>
      <c r="AI12" s="265"/>
      <c r="AJ12" s="265"/>
    </row>
    <row r="13" spans="1:36">
      <c r="A13" s="267" t="s">
        <v>315</v>
      </c>
      <c r="B13" s="268">
        <v>46050</v>
      </c>
      <c r="C13" s="269" t="s">
        <v>1148</v>
      </c>
      <c r="D13" s="270" t="s">
        <v>1176</v>
      </c>
      <c r="E13" s="269" t="s">
        <v>1144</v>
      </c>
      <c r="F13" s="269" t="s">
        <v>232</v>
      </c>
      <c r="G13" s="271">
        <v>5.5999999999999999E-3</v>
      </c>
      <c r="H13" s="272">
        <v>179</v>
      </c>
      <c r="I13" s="272">
        <v>1</v>
      </c>
      <c r="J13" s="272">
        <v>0</v>
      </c>
      <c r="K13" s="269" t="s">
        <v>233</v>
      </c>
      <c r="L13" s="273">
        <v>46336</v>
      </c>
      <c r="M13" s="272">
        <v>0</v>
      </c>
      <c r="N13" s="272">
        <v>0</v>
      </c>
      <c r="O13" s="272">
        <v>1</v>
      </c>
      <c r="P13" s="269" t="s">
        <v>951</v>
      </c>
      <c r="Q13" s="265"/>
      <c r="R13" s="265"/>
      <c r="S13" s="265"/>
      <c r="T13" s="265"/>
      <c r="U13" s="265"/>
      <c r="V13" s="265"/>
      <c r="W13" s="265"/>
      <c r="X13" s="265"/>
      <c r="Y13" s="265"/>
      <c r="Z13" s="265"/>
      <c r="AA13" s="265"/>
      <c r="AB13" s="265"/>
      <c r="AC13" s="265"/>
      <c r="AD13" s="265"/>
      <c r="AE13" s="272" t="s">
        <v>570</v>
      </c>
      <c r="AF13" s="265"/>
      <c r="AG13" s="265"/>
      <c r="AH13" s="265"/>
      <c r="AI13" s="265"/>
      <c r="AJ13" s="265"/>
    </row>
    <row r="14" spans="1:36">
      <c r="A14" s="267" t="s">
        <v>230</v>
      </c>
      <c r="B14" s="268">
        <v>46051</v>
      </c>
      <c r="C14" s="269" t="s">
        <v>1148</v>
      </c>
      <c r="D14" s="270" t="s">
        <v>1176</v>
      </c>
      <c r="E14" s="269" t="s">
        <v>1144</v>
      </c>
      <c r="F14" s="269" t="s">
        <v>232</v>
      </c>
      <c r="G14" s="271">
        <v>3.3500000000000002E-2</v>
      </c>
      <c r="H14" s="272">
        <v>179</v>
      </c>
      <c r="I14" s="272">
        <v>6</v>
      </c>
      <c r="J14" s="272">
        <v>0</v>
      </c>
      <c r="K14" s="269" t="s">
        <v>233</v>
      </c>
      <c r="L14" s="273">
        <v>46286</v>
      </c>
      <c r="M14" s="272">
        <v>0</v>
      </c>
      <c r="N14" s="272">
        <v>0</v>
      </c>
      <c r="O14" s="272">
        <v>6</v>
      </c>
      <c r="P14" s="269" t="s">
        <v>368</v>
      </c>
      <c r="Q14" s="265"/>
      <c r="R14" s="265"/>
      <c r="S14" s="265"/>
      <c r="T14" s="265"/>
      <c r="U14" s="265"/>
      <c r="V14" s="265"/>
      <c r="W14" s="265"/>
      <c r="X14" s="265"/>
      <c r="Y14" s="265"/>
      <c r="Z14" s="265"/>
      <c r="AA14" s="265"/>
      <c r="AB14" s="265"/>
      <c r="AC14" s="265"/>
      <c r="AD14" s="265"/>
      <c r="AE14" s="265"/>
      <c r="AF14" s="272" t="s">
        <v>900</v>
      </c>
      <c r="AG14" s="265"/>
      <c r="AH14" s="265"/>
      <c r="AI14" s="265"/>
      <c r="AJ14" s="265"/>
    </row>
    <row r="15" spans="1:36">
      <c r="A15" s="267" t="s">
        <v>234</v>
      </c>
      <c r="B15" s="268">
        <v>46053</v>
      </c>
      <c r="C15" s="269" t="s">
        <v>1148</v>
      </c>
      <c r="D15" s="270" t="s">
        <v>597</v>
      </c>
      <c r="E15" s="269" t="s">
        <v>1144</v>
      </c>
      <c r="F15" s="269" t="s">
        <v>232</v>
      </c>
      <c r="G15" s="271">
        <v>1.12E-2</v>
      </c>
      <c r="H15" s="272">
        <v>179</v>
      </c>
      <c r="I15" s="272">
        <v>2</v>
      </c>
      <c r="J15" s="272">
        <v>0</v>
      </c>
      <c r="K15" s="269" t="s">
        <v>233</v>
      </c>
      <c r="L15" s="273">
        <v>46340</v>
      </c>
      <c r="M15" s="272">
        <v>0</v>
      </c>
      <c r="N15" s="272">
        <v>0</v>
      </c>
      <c r="O15" s="272">
        <v>2</v>
      </c>
      <c r="P15" s="269" t="s">
        <v>967</v>
      </c>
      <c r="Q15" s="265"/>
      <c r="R15" s="265"/>
      <c r="S15" s="265"/>
      <c r="T15" s="265"/>
      <c r="U15" s="265"/>
      <c r="V15" s="265"/>
      <c r="W15" s="265"/>
      <c r="X15" s="265"/>
      <c r="Y15" s="265"/>
      <c r="Z15" s="265"/>
      <c r="AA15" s="265"/>
      <c r="AB15" s="265"/>
      <c r="AC15" s="265"/>
      <c r="AD15" s="265"/>
      <c r="AE15" s="272" t="s">
        <v>1016</v>
      </c>
      <c r="AF15" s="265"/>
      <c r="AG15" s="265"/>
      <c r="AH15" s="265"/>
      <c r="AI15" s="265"/>
      <c r="AJ15" s="265"/>
    </row>
    <row r="16" spans="1:36" ht="21">
      <c r="A16" s="274" t="s">
        <v>251</v>
      </c>
      <c r="B16" s="275"/>
      <c r="C16" s="274">
        <f>SUBTOTAL(103,CAI_TUU_LF_LEGACY[Flt])</f>
        <v>14</v>
      </c>
      <c r="D16" s="274"/>
      <c r="E16" s="274">
        <f>SUBTOTAL(103,CAI_TUU_LF_LEGACY[Brd-Off])</f>
        <v>14</v>
      </c>
      <c r="F16" s="274"/>
      <c r="G16" s="276">
        <f>SUBTOTAL(101,CAI_TUU_LF_LEGACY[LF%])</f>
        <v>3.0728571428571431E-2</v>
      </c>
      <c r="H16" s="277">
        <f>SUBTOTAL(109,CAI_TUU_LF_LEGACY[CAP])</f>
        <v>2506</v>
      </c>
      <c r="I16" s="277">
        <f>SUBTOTAL(109,CAI_TUU_LF_LEGACY[BKG(Y)])</f>
        <v>77</v>
      </c>
      <c r="J16" s="277">
        <f>SUBTOTAL(109,CAI_TUU_LF_LEGACY[GRP(Y)])</f>
        <v>0</v>
      </c>
      <c r="K16" s="274"/>
      <c r="L16" s="275"/>
      <c r="M16" s="277">
        <f>SUBTOTAL(109,CAI_TUU_LF_LEGACY[TO-DAY])</f>
        <v>0</v>
      </c>
      <c r="N16" s="277">
        <f>SUBTOTAL(109,CAI_TUU_LF_LEGACY[Y-DAY])</f>
        <v>0</v>
      </c>
      <c r="O16" s="277">
        <f>SUBTOTAL(109,CAI_TUU_LF_LEGACY[WEEKLY])</f>
        <v>77</v>
      </c>
      <c r="P16" s="274"/>
      <c r="Q16" s="277">
        <f>SUBTOTAL(109,CAI_TUU_LF_LEGACY[Y])</f>
        <v>0</v>
      </c>
      <c r="R16" s="277">
        <f>SUBTOTAL(109,CAI_TUU_LF_LEGACY[B])</f>
        <v>0</v>
      </c>
      <c r="S16" s="277">
        <f>SUBTOTAL(109,CAI_TUU_LF_LEGACY[M])</f>
        <v>0</v>
      </c>
      <c r="T16" s="277">
        <f>SUBTOTAL(109,CAI_TUU_LF_LEGACY[H])</f>
        <v>0</v>
      </c>
      <c r="U16" s="277">
        <f>SUBTOTAL(109,CAI_TUU_LF_LEGACY[Q])</f>
        <v>0</v>
      </c>
      <c r="V16" s="277">
        <f>SUBTOTAL(109,CAI_TUU_LF_LEGACY[K])</f>
        <v>0</v>
      </c>
      <c r="W16" s="277">
        <f>SUBTOTAL(109,CAI_TUU_LF_LEGACY[V])</f>
        <v>0</v>
      </c>
      <c r="X16" s="277">
        <f>SUBTOTAL(109,CAI_TUU_LF_LEGACY[L])</f>
        <v>0</v>
      </c>
      <c r="Y16" s="277">
        <f>SUBTOTAL(109,CAI_TUU_LF_LEGACY[G])</f>
        <v>0</v>
      </c>
      <c r="Z16" s="277">
        <f>SUBTOTAL(109,CAI_TUU_LF_LEGACY[S])</f>
        <v>0</v>
      </c>
      <c r="AA16" s="277">
        <f>SUBTOTAL(109,CAI_TUU_LF_LEGACY[W])</f>
        <v>0</v>
      </c>
      <c r="AB16" s="277">
        <f>SUBTOTAL(109,CAI_TUU_LF_LEGACY[T])</f>
        <v>0</v>
      </c>
      <c r="AC16" s="277">
        <f>SUBTOTAL(109,CAI_TUU_LF_LEGACY[X])</f>
        <v>0</v>
      </c>
      <c r="AD16" s="277">
        <f>SUBTOTAL(109,CAI_TUU_LF_LEGACY[U])</f>
        <v>0</v>
      </c>
      <c r="AE16" s="277">
        <f>SUBTOTAL(109,CAI_TUU_LF_LEGACY[O])</f>
        <v>0</v>
      </c>
      <c r="AF16" s="277">
        <f>SUBTOTAL(109,CAI_TUU_LF_LEGACY[I])</f>
        <v>0</v>
      </c>
      <c r="AG16" s="277">
        <f>SUBTOTAL(109,CAI_TUU_LF_LEGACY[E])</f>
        <v>0</v>
      </c>
      <c r="AH16" s="277">
        <f>SUBTOTAL(109,CAI_TUU_LF_LEGACY[A])</f>
        <v>0</v>
      </c>
      <c r="AI16" s="277">
        <f>SUBTOTAL(109,CAI_TUU_LF_LEGACY[P])</f>
        <v>0</v>
      </c>
      <c r="AJ16" s="277">
        <f>SUBTOTAL(103,CAI_TUU_LF_LEGACY[N])</f>
        <v>0</v>
      </c>
    </row>
  </sheetData>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126"/>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57.8554687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1" t="s">
        <v>254</v>
      </c>
      <c r="B2" s="112" t="s">
        <v>402</v>
      </c>
      <c r="C2" s="113" t="s">
        <v>1145</v>
      </c>
      <c r="D2" s="112" t="s">
        <v>1144</v>
      </c>
      <c r="E2" s="112" t="s">
        <v>578</v>
      </c>
      <c r="F2" s="112" t="s">
        <v>63</v>
      </c>
      <c r="G2" s="114">
        <v>3</v>
      </c>
      <c r="H2" s="115" t="s">
        <v>1146</v>
      </c>
    </row>
    <row r="3" spans="1:8" ht="19.899999999999999" customHeight="1">
      <c r="A3" s="116" t="s">
        <v>254</v>
      </c>
      <c r="B3" s="117" t="s">
        <v>61</v>
      </c>
      <c r="C3" s="118" t="s">
        <v>1147</v>
      </c>
      <c r="D3" s="117" t="s">
        <v>1144</v>
      </c>
      <c r="E3" s="117" t="s">
        <v>1176</v>
      </c>
      <c r="F3" s="117" t="s">
        <v>63</v>
      </c>
      <c r="G3" s="119">
        <v>4</v>
      </c>
      <c r="H3" s="120" t="s">
        <v>33</v>
      </c>
    </row>
    <row r="4" spans="1:8" ht="19.899999999999999" customHeight="1">
      <c r="A4" s="121">
        <v>46023</v>
      </c>
      <c r="B4" s="112" t="s">
        <v>68</v>
      </c>
      <c r="C4" s="113" t="s">
        <v>1149</v>
      </c>
      <c r="D4" s="112" t="s">
        <v>1144</v>
      </c>
      <c r="E4" s="122">
        <v>1.9826388888888891</v>
      </c>
      <c r="F4" s="112" t="s">
        <v>643</v>
      </c>
      <c r="G4" s="114">
        <v>9</v>
      </c>
      <c r="H4" s="115" t="s">
        <v>33</v>
      </c>
    </row>
    <row r="5" spans="1:8" ht="19.899999999999999" customHeight="1">
      <c r="A5" s="123">
        <v>46023</v>
      </c>
      <c r="B5" s="124" t="s">
        <v>415</v>
      </c>
      <c r="C5" s="125" t="s">
        <v>1150</v>
      </c>
      <c r="D5" s="124" t="s">
        <v>1144</v>
      </c>
      <c r="E5" s="126">
        <v>1.805555555555556</v>
      </c>
      <c r="F5" s="124" t="s">
        <v>63</v>
      </c>
      <c r="G5" s="127">
        <v>8</v>
      </c>
      <c r="H5" s="128" t="s">
        <v>1151</v>
      </c>
    </row>
    <row r="6" spans="1:8" ht="19.899999999999999" customHeight="1">
      <c r="A6" s="121">
        <v>46024</v>
      </c>
      <c r="B6" s="112" t="s">
        <v>359</v>
      </c>
      <c r="C6" s="113" t="s">
        <v>1152</v>
      </c>
      <c r="D6" s="112" t="s">
        <v>1144</v>
      </c>
      <c r="E6" s="122">
        <v>1.4965277777777779</v>
      </c>
      <c r="F6" s="112" t="s">
        <v>361</v>
      </c>
      <c r="G6" s="114">
        <v>9</v>
      </c>
      <c r="H6" s="115" t="s">
        <v>1153</v>
      </c>
    </row>
    <row r="7" spans="1:8" ht="19.899999999999999" customHeight="1">
      <c r="A7" s="121">
        <v>46024</v>
      </c>
      <c r="B7" s="112" t="s">
        <v>402</v>
      </c>
      <c r="C7" s="113" t="s">
        <v>1155</v>
      </c>
      <c r="D7" s="112" t="s">
        <v>1144</v>
      </c>
      <c r="E7" s="122">
        <v>1.756944444444444</v>
      </c>
      <c r="F7" s="112" t="s">
        <v>63</v>
      </c>
      <c r="G7" s="114">
        <v>4</v>
      </c>
      <c r="H7" s="115" t="s">
        <v>1146</v>
      </c>
    </row>
    <row r="8" spans="1:8" ht="19.899999999999999" customHeight="1">
      <c r="A8" s="121">
        <v>46024</v>
      </c>
      <c r="B8" s="112" t="s">
        <v>68</v>
      </c>
      <c r="C8" s="113" t="s">
        <v>1149</v>
      </c>
      <c r="D8" s="112" t="s">
        <v>1144</v>
      </c>
      <c r="E8" s="122">
        <v>1.9826388888888891</v>
      </c>
      <c r="F8" s="112" t="s">
        <v>70</v>
      </c>
      <c r="G8" s="114">
        <v>9</v>
      </c>
      <c r="H8" s="115" t="s">
        <v>1156</v>
      </c>
    </row>
    <row r="9" spans="1:8" ht="19.899999999999999" customHeight="1">
      <c r="A9" s="121">
        <v>46024</v>
      </c>
      <c r="B9" s="112" t="s">
        <v>415</v>
      </c>
      <c r="C9" s="113" t="s">
        <v>1150</v>
      </c>
      <c r="D9" s="112" t="s">
        <v>1144</v>
      </c>
      <c r="E9" s="122">
        <v>1.854166666666667</v>
      </c>
      <c r="F9" s="112" t="s">
        <v>63</v>
      </c>
      <c r="G9" s="114">
        <v>7</v>
      </c>
      <c r="H9" s="115" t="s">
        <v>1151</v>
      </c>
    </row>
    <row r="10" spans="1:8" ht="19.899999999999999" customHeight="1">
      <c r="A10" s="123">
        <v>46024</v>
      </c>
      <c r="B10" s="124" t="s">
        <v>359</v>
      </c>
      <c r="C10" s="125" t="s">
        <v>1152</v>
      </c>
      <c r="D10" s="124" t="s">
        <v>1144</v>
      </c>
      <c r="E10" s="126">
        <v>1.4965277777777779</v>
      </c>
      <c r="F10" s="124" t="s">
        <v>46</v>
      </c>
      <c r="G10" s="127">
        <v>9</v>
      </c>
      <c r="H10" s="128" t="s">
        <v>1154</v>
      </c>
    </row>
    <row r="11" spans="1:8" ht="19.899999999999999" customHeight="1">
      <c r="A11" s="121">
        <v>46025</v>
      </c>
      <c r="B11" s="112" t="s">
        <v>402</v>
      </c>
      <c r="C11" s="113" t="s">
        <v>1145</v>
      </c>
      <c r="D11" s="112" t="s">
        <v>1144</v>
      </c>
      <c r="E11" s="122">
        <v>1.756944444444444</v>
      </c>
      <c r="F11" s="112" t="s">
        <v>63</v>
      </c>
      <c r="G11" s="114">
        <v>5</v>
      </c>
      <c r="H11" s="115" t="s">
        <v>1146</v>
      </c>
    </row>
    <row r="12" spans="1:8" ht="19.899999999999999" customHeight="1">
      <c r="A12" s="136">
        <v>46025</v>
      </c>
      <c r="B12" s="132" t="s">
        <v>61</v>
      </c>
      <c r="C12" s="133" t="s">
        <v>1147</v>
      </c>
      <c r="D12" s="132" t="s">
        <v>1144</v>
      </c>
      <c r="E12" s="137">
        <v>1.836805555555556</v>
      </c>
      <c r="F12" s="132" t="s">
        <v>63</v>
      </c>
      <c r="G12" s="134">
        <v>4</v>
      </c>
      <c r="H12" s="135" t="s">
        <v>1157</v>
      </c>
    </row>
    <row r="13" spans="1:8" ht="19.899999999999999" customHeight="1">
      <c r="A13" s="121">
        <v>46026</v>
      </c>
      <c r="B13" s="112" t="s">
        <v>359</v>
      </c>
      <c r="C13" s="113" t="s">
        <v>1152</v>
      </c>
      <c r="D13" s="112" t="s">
        <v>1144</v>
      </c>
      <c r="E13" s="122">
        <v>1.538194444444444</v>
      </c>
      <c r="F13" s="112" t="s">
        <v>361</v>
      </c>
      <c r="G13" s="114">
        <v>9</v>
      </c>
      <c r="H13" s="115" t="s">
        <v>1153</v>
      </c>
    </row>
    <row r="14" spans="1:8" ht="19.899999999999999" customHeight="1">
      <c r="A14" s="121">
        <v>46026</v>
      </c>
      <c r="B14" s="112" t="s">
        <v>402</v>
      </c>
      <c r="C14" s="113" t="s">
        <v>1159</v>
      </c>
      <c r="D14" s="112" t="s">
        <v>1144</v>
      </c>
      <c r="E14" s="122">
        <v>1.756944444444444</v>
      </c>
      <c r="F14" s="112" t="s">
        <v>63</v>
      </c>
      <c r="G14" s="114">
        <v>5</v>
      </c>
      <c r="H14" s="115" t="s">
        <v>1146</v>
      </c>
    </row>
    <row r="15" spans="1:8" ht="19.899999999999999" customHeight="1">
      <c r="A15" s="121">
        <v>46026</v>
      </c>
      <c r="B15" s="112" t="s">
        <v>415</v>
      </c>
      <c r="C15" s="113" t="s">
        <v>1150</v>
      </c>
      <c r="D15" s="112" t="s">
        <v>1144</v>
      </c>
      <c r="E15" s="122">
        <v>1.805555555555556</v>
      </c>
      <c r="F15" s="112" t="s">
        <v>63</v>
      </c>
      <c r="G15" s="114">
        <v>8</v>
      </c>
      <c r="H15" s="115" t="s">
        <v>1151</v>
      </c>
    </row>
    <row r="16" spans="1:8" ht="19.899999999999999" customHeight="1">
      <c r="A16" s="123">
        <v>46026</v>
      </c>
      <c r="B16" s="124" t="s">
        <v>359</v>
      </c>
      <c r="C16" s="125" t="s">
        <v>1152</v>
      </c>
      <c r="D16" s="124" t="s">
        <v>1144</v>
      </c>
      <c r="E16" s="126">
        <v>1.538194444444444</v>
      </c>
      <c r="F16" s="124" t="s">
        <v>46</v>
      </c>
      <c r="G16" s="127">
        <v>9</v>
      </c>
      <c r="H16" s="128" t="s">
        <v>1154</v>
      </c>
    </row>
    <row r="17" spans="1:8" ht="19.899999999999999" customHeight="1">
      <c r="A17" s="121">
        <v>46027</v>
      </c>
      <c r="B17" s="112" t="s">
        <v>359</v>
      </c>
      <c r="C17" s="113" t="s">
        <v>1152</v>
      </c>
      <c r="D17" s="112" t="s">
        <v>1144</v>
      </c>
      <c r="E17" s="122">
        <v>1.538194444444444</v>
      </c>
      <c r="F17" s="112" t="s">
        <v>361</v>
      </c>
      <c r="G17" s="114">
        <v>9</v>
      </c>
      <c r="H17" s="115" t="s">
        <v>1160</v>
      </c>
    </row>
    <row r="18" spans="1:8" ht="19.899999999999999" customHeight="1">
      <c r="A18" s="121">
        <v>46027</v>
      </c>
      <c r="B18" s="112" t="s">
        <v>402</v>
      </c>
      <c r="C18" s="113" t="s">
        <v>1155</v>
      </c>
      <c r="D18" s="112" t="s">
        <v>1144</v>
      </c>
      <c r="E18" s="122">
        <v>1.7152777777777779</v>
      </c>
      <c r="F18" s="112" t="s">
        <v>63</v>
      </c>
      <c r="G18" s="114">
        <v>3</v>
      </c>
      <c r="H18" s="115" t="s">
        <v>1146</v>
      </c>
    </row>
    <row r="19" spans="1:8" ht="19.899999999999999" customHeight="1">
      <c r="A19" s="121">
        <v>46027</v>
      </c>
      <c r="B19" s="112" t="s">
        <v>68</v>
      </c>
      <c r="C19" s="113" t="s">
        <v>1149</v>
      </c>
      <c r="D19" s="112" t="s">
        <v>1144</v>
      </c>
      <c r="E19" s="122">
        <v>1.9826388888888891</v>
      </c>
      <c r="F19" s="112" t="s">
        <v>70</v>
      </c>
      <c r="G19" s="114">
        <v>9</v>
      </c>
      <c r="H19" s="115" t="s">
        <v>1156</v>
      </c>
    </row>
    <row r="20" spans="1:8" ht="19.899999999999999" customHeight="1">
      <c r="A20" s="123">
        <v>46027</v>
      </c>
      <c r="B20" s="124" t="s">
        <v>359</v>
      </c>
      <c r="C20" s="125" t="s">
        <v>1152</v>
      </c>
      <c r="D20" s="124" t="s">
        <v>1144</v>
      </c>
      <c r="E20" s="126">
        <v>1.538194444444444</v>
      </c>
      <c r="F20" s="124" t="s">
        <v>46</v>
      </c>
      <c r="G20" s="127">
        <v>9</v>
      </c>
      <c r="H20" s="128" t="s">
        <v>1161</v>
      </c>
    </row>
    <row r="21" spans="1:8" ht="19.899999999999999" customHeight="1">
      <c r="A21" s="121">
        <v>46028</v>
      </c>
      <c r="B21" s="112" t="s">
        <v>402</v>
      </c>
      <c r="C21" s="113" t="s">
        <v>1145</v>
      </c>
      <c r="D21" s="112" t="s">
        <v>1144</v>
      </c>
      <c r="E21" s="122">
        <v>1.7152777777777779</v>
      </c>
      <c r="F21" s="112" t="s">
        <v>63</v>
      </c>
      <c r="G21" s="114">
        <v>5</v>
      </c>
      <c r="H21" s="115" t="s">
        <v>1146</v>
      </c>
    </row>
    <row r="22" spans="1:8" ht="19.899999999999999" customHeight="1">
      <c r="A22" s="123">
        <v>46028</v>
      </c>
      <c r="B22" s="124" t="s">
        <v>415</v>
      </c>
      <c r="C22" s="125" t="s">
        <v>1150</v>
      </c>
      <c r="D22" s="124" t="s">
        <v>1144</v>
      </c>
      <c r="E22" s="126">
        <v>1.78125</v>
      </c>
      <c r="F22" s="124" t="s">
        <v>63</v>
      </c>
      <c r="G22" s="127">
        <v>7</v>
      </c>
      <c r="H22" s="128" t="s">
        <v>1151</v>
      </c>
    </row>
    <row r="23" spans="1:8" ht="19.899999999999999" customHeight="1">
      <c r="A23" s="121">
        <v>46029</v>
      </c>
      <c r="B23" s="112" t="s">
        <v>359</v>
      </c>
      <c r="C23" s="113" t="s">
        <v>1152</v>
      </c>
      <c r="D23" s="112" t="s">
        <v>1144</v>
      </c>
      <c r="E23" s="122">
        <v>1.4965277777777779</v>
      </c>
      <c r="F23" s="112" t="s">
        <v>361</v>
      </c>
      <c r="G23" s="114">
        <v>9</v>
      </c>
      <c r="H23" s="115" t="s">
        <v>1160</v>
      </c>
    </row>
    <row r="24" spans="1:8" ht="19.899999999999999" customHeight="1">
      <c r="A24" s="121">
        <v>46029</v>
      </c>
      <c r="B24" s="112" t="s">
        <v>402</v>
      </c>
      <c r="C24" s="113" t="s">
        <v>1155</v>
      </c>
      <c r="D24" s="112" t="s">
        <v>1144</v>
      </c>
      <c r="E24" s="122">
        <v>1.756944444444444</v>
      </c>
      <c r="F24" s="112" t="s">
        <v>63</v>
      </c>
      <c r="G24" s="114">
        <v>5</v>
      </c>
      <c r="H24" s="115" t="s">
        <v>1146</v>
      </c>
    </row>
    <row r="25" spans="1:8" ht="19.899999999999999" customHeight="1">
      <c r="A25" s="129">
        <v>46029</v>
      </c>
      <c r="B25" s="117" t="s">
        <v>61</v>
      </c>
      <c r="C25" s="118" t="s">
        <v>1147</v>
      </c>
      <c r="D25" s="117" t="s">
        <v>1144</v>
      </c>
      <c r="E25" s="130">
        <v>1.711805555555556</v>
      </c>
      <c r="F25" s="117" t="s">
        <v>63</v>
      </c>
      <c r="G25" s="119">
        <v>3</v>
      </c>
      <c r="H25" s="120" t="s">
        <v>33</v>
      </c>
    </row>
    <row r="26" spans="1:8" ht="19.899999999999999" customHeight="1">
      <c r="A26" s="121">
        <v>46029</v>
      </c>
      <c r="B26" s="112" t="s">
        <v>68</v>
      </c>
      <c r="C26" s="113" t="s">
        <v>1149</v>
      </c>
      <c r="D26" s="112" t="s">
        <v>1144</v>
      </c>
      <c r="E26" s="122">
        <v>1.9826388888888891</v>
      </c>
      <c r="F26" s="112" t="s">
        <v>70</v>
      </c>
      <c r="G26" s="114">
        <v>9</v>
      </c>
      <c r="H26" s="115" t="s">
        <v>1156</v>
      </c>
    </row>
    <row r="27" spans="1:8" ht="19.899999999999999" customHeight="1">
      <c r="A27" s="121">
        <v>46029</v>
      </c>
      <c r="B27" s="112" t="s">
        <v>415</v>
      </c>
      <c r="C27" s="113" t="s">
        <v>1150</v>
      </c>
      <c r="D27" s="112" t="s">
        <v>1144</v>
      </c>
      <c r="E27" s="122">
        <v>1.805555555555556</v>
      </c>
      <c r="F27" s="112" t="s">
        <v>63</v>
      </c>
      <c r="G27" s="114">
        <v>9</v>
      </c>
      <c r="H27" s="115" t="s">
        <v>1151</v>
      </c>
    </row>
    <row r="28" spans="1:8" ht="19.899999999999999" customHeight="1">
      <c r="A28" s="123">
        <v>46029</v>
      </c>
      <c r="B28" s="124" t="s">
        <v>359</v>
      </c>
      <c r="C28" s="125" t="s">
        <v>1152</v>
      </c>
      <c r="D28" s="124" t="s">
        <v>1144</v>
      </c>
      <c r="E28" s="126">
        <v>1.4965277777777779</v>
      </c>
      <c r="F28" s="124" t="s">
        <v>46</v>
      </c>
      <c r="G28" s="127">
        <v>9</v>
      </c>
      <c r="H28" s="128" t="s">
        <v>1161</v>
      </c>
    </row>
    <row r="29" spans="1:8" ht="19.899999999999999" customHeight="1">
      <c r="A29" s="121">
        <v>46030</v>
      </c>
      <c r="B29" s="112" t="s">
        <v>402</v>
      </c>
      <c r="C29" s="113" t="s">
        <v>1145</v>
      </c>
      <c r="D29" s="112" t="s">
        <v>1144</v>
      </c>
      <c r="E29" s="122">
        <v>1.756944444444444</v>
      </c>
      <c r="F29" s="112" t="s">
        <v>63</v>
      </c>
      <c r="G29" s="114">
        <v>2</v>
      </c>
      <c r="H29" s="115" t="s">
        <v>1146</v>
      </c>
    </row>
    <row r="30" spans="1:8" ht="19.899999999999999" customHeight="1">
      <c r="A30" s="129">
        <v>46030</v>
      </c>
      <c r="B30" s="117" t="s">
        <v>61</v>
      </c>
      <c r="C30" s="118" t="s">
        <v>1147</v>
      </c>
      <c r="D30" s="117" t="s">
        <v>1144</v>
      </c>
      <c r="E30" s="130">
        <v>1.711805555555556</v>
      </c>
      <c r="F30" s="117" t="s">
        <v>63</v>
      </c>
      <c r="G30" s="119">
        <v>1</v>
      </c>
      <c r="H30" s="120" t="s">
        <v>33</v>
      </c>
    </row>
    <row r="31" spans="1:8" ht="19.899999999999999" customHeight="1">
      <c r="A31" s="121">
        <v>46030</v>
      </c>
      <c r="B31" s="112" t="s">
        <v>68</v>
      </c>
      <c r="C31" s="113" t="s">
        <v>1149</v>
      </c>
      <c r="D31" s="112" t="s">
        <v>1144</v>
      </c>
      <c r="E31" s="122">
        <v>1.9826388888888891</v>
      </c>
      <c r="F31" s="112" t="s">
        <v>643</v>
      </c>
      <c r="G31" s="114">
        <v>9</v>
      </c>
      <c r="H31" s="115" t="s">
        <v>33</v>
      </c>
    </row>
    <row r="32" spans="1:8" ht="19.899999999999999" customHeight="1">
      <c r="A32" s="123">
        <v>46030</v>
      </c>
      <c r="B32" s="124" t="s">
        <v>415</v>
      </c>
      <c r="C32" s="125" t="s">
        <v>1150</v>
      </c>
      <c r="D32" s="124" t="s">
        <v>1144</v>
      </c>
      <c r="E32" s="126">
        <v>1.805555555555556</v>
      </c>
      <c r="F32" s="124" t="s">
        <v>63</v>
      </c>
      <c r="G32" s="127">
        <v>9</v>
      </c>
      <c r="H32" s="128" t="s">
        <v>1151</v>
      </c>
    </row>
    <row r="33" spans="1:8" ht="19.899999999999999" customHeight="1">
      <c r="A33" s="121">
        <v>46031</v>
      </c>
      <c r="B33" s="112" t="s">
        <v>359</v>
      </c>
      <c r="C33" s="113" t="s">
        <v>1152</v>
      </c>
      <c r="D33" s="112" t="s">
        <v>1144</v>
      </c>
      <c r="E33" s="122">
        <v>1.4965277777777779</v>
      </c>
      <c r="F33" s="112" t="s">
        <v>361</v>
      </c>
      <c r="G33" s="114">
        <v>9</v>
      </c>
      <c r="H33" s="115" t="s">
        <v>1153</v>
      </c>
    </row>
    <row r="34" spans="1:8" ht="19.899999999999999" customHeight="1">
      <c r="A34" s="121">
        <v>46031</v>
      </c>
      <c r="B34" s="112" t="s">
        <v>402</v>
      </c>
      <c r="C34" s="113" t="s">
        <v>1155</v>
      </c>
      <c r="D34" s="112" t="s">
        <v>1144</v>
      </c>
      <c r="E34" s="122">
        <v>1.756944444444444</v>
      </c>
      <c r="F34" s="112" t="s">
        <v>63</v>
      </c>
      <c r="G34" s="114">
        <v>2</v>
      </c>
      <c r="H34" s="115" t="s">
        <v>1146</v>
      </c>
    </row>
    <row r="35" spans="1:8" ht="19.899999999999999" customHeight="1">
      <c r="A35" s="121">
        <v>46031</v>
      </c>
      <c r="B35" s="112" t="s">
        <v>68</v>
      </c>
      <c r="C35" s="113" t="s">
        <v>1149</v>
      </c>
      <c r="D35" s="112" t="s">
        <v>1144</v>
      </c>
      <c r="E35" s="122">
        <v>1.9826388888888891</v>
      </c>
      <c r="F35" s="112" t="s">
        <v>70</v>
      </c>
      <c r="G35" s="114">
        <v>9</v>
      </c>
      <c r="H35" s="115" t="s">
        <v>908</v>
      </c>
    </row>
    <row r="36" spans="1:8" ht="19.899999999999999" customHeight="1">
      <c r="A36" s="121">
        <v>46031</v>
      </c>
      <c r="B36" s="112" t="s">
        <v>415</v>
      </c>
      <c r="C36" s="113" t="s">
        <v>1150</v>
      </c>
      <c r="D36" s="112" t="s">
        <v>1144</v>
      </c>
      <c r="E36" s="122">
        <v>1.854166666666667</v>
      </c>
      <c r="F36" s="112" t="s">
        <v>63</v>
      </c>
      <c r="G36" s="114">
        <v>8</v>
      </c>
      <c r="H36" s="115" t="s">
        <v>1151</v>
      </c>
    </row>
    <row r="37" spans="1:8" ht="19.899999999999999" customHeight="1">
      <c r="A37" s="123">
        <v>46031</v>
      </c>
      <c r="B37" s="124" t="s">
        <v>359</v>
      </c>
      <c r="C37" s="125" t="s">
        <v>1152</v>
      </c>
      <c r="D37" s="124" t="s">
        <v>1144</v>
      </c>
      <c r="E37" s="126">
        <v>1.4965277777777779</v>
      </c>
      <c r="F37" s="124" t="s">
        <v>46</v>
      </c>
      <c r="G37" s="127">
        <v>9</v>
      </c>
      <c r="H37" s="128" t="s">
        <v>1154</v>
      </c>
    </row>
    <row r="38" spans="1:8" ht="19.899999999999999" customHeight="1">
      <c r="A38" s="121">
        <v>46032</v>
      </c>
      <c r="B38" s="112" t="s">
        <v>402</v>
      </c>
      <c r="C38" s="113" t="s">
        <v>1145</v>
      </c>
      <c r="D38" s="112" t="s">
        <v>1144</v>
      </c>
      <c r="E38" s="122">
        <v>1.756944444444444</v>
      </c>
      <c r="F38" s="112" t="s">
        <v>63</v>
      </c>
      <c r="G38" s="114">
        <v>4</v>
      </c>
      <c r="H38" s="115" t="s">
        <v>1146</v>
      </c>
    </row>
    <row r="39" spans="1:8" ht="19.899999999999999" customHeight="1">
      <c r="A39" s="136">
        <v>46032</v>
      </c>
      <c r="B39" s="132" t="s">
        <v>61</v>
      </c>
      <c r="C39" s="133" t="s">
        <v>1147</v>
      </c>
      <c r="D39" s="132" t="s">
        <v>1144</v>
      </c>
      <c r="E39" s="137">
        <v>1.836805555555556</v>
      </c>
      <c r="F39" s="132" t="s">
        <v>63</v>
      </c>
      <c r="G39" s="134">
        <v>2</v>
      </c>
      <c r="H39" s="135" t="s">
        <v>33</v>
      </c>
    </row>
    <row r="40" spans="1:8" ht="19.899999999999999" customHeight="1">
      <c r="A40" s="121">
        <v>46033</v>
      </c>
      <c r="B40" s="112" t="s">
        <v>359</v>
      </c>
      <c r="C40" s="113" t="s">
        <v>1152</v>
      </c>
      <c r="D40" s="112" t="s">
        <v>1144</v>
      </c>
      <c r="E40" s="122">
        <v>1.538194444444444</v>
      </c>
      <c r="F40" s="112" t="s">
        <v>361</v>
      </c>
      <c r="G40" s="114">
        <v>9</v>
      </c>
      <c r="H40" s="115" t="s">
        <v>1153</v>
      </c>
    </row>
    <row r="41" spans="1:8" ht="19.899999999999999" customHeight="1">
      <c r="A41" s="121">
        <v>46033</v>
      </c>
      <c r="B41" s="112" t="s">
        <v>402</v>
      </c>
      <c r="C41" s="113" t="s">
        <v>1159</v>
      </c>
      <c r="D41" s="112" t="s">
        <v>1144</v>
      </c>
      <c r="E41" s="122">
        <v>1.756944444444444</v>
      </c>
      <c r="F41" s="112" t="s">
        <v>63</v>
      </c>
      <c r="G41" s="114">
        <v>5</v>
      </c>
      <c r="H41" s="115" t="s">
        <v>1162</v>
      </c>
    </row>
    <row r="42" spans="1:8" ht="19.899999999999999" customHeight="1">
      <c r="A42" s="121">
        <v>46033</v>
      </c>
      <c r="B42" s="112" t="s">
        <v>359</v>
      </c>
      <c r="C42" s="113" t="s">
        <v>1152</v>
      </c>
      <c r="D42" s="112" t="s">
        <v>1144</v>
      </c>
      <c r="E42" s="122">
        <v>1.538194444444444</v>
      </c>
      <c r="F42" s="112" t="s">
        <v>46</v>
      </c>
      <c r="G42" s="114">
        <v>9</v>
      </c>
      <c r="H42" s="115" t="s">
        <v>1154</v>
      </c>
    </row>
    <row r="43" spans="1:8" ht="19.899999999999999" customHeight="1">
      <c r="A43" s="123">
        <v>46033</v>
      </c>
      <c r="B43" s="124" t="s">
        <v>415</v>
      </c>
      <c r="C43" s="125" t="s">
        <v>1150</v>
      </c>
      <c r="D43" s="124" t="s">
        <v>1144</v>
      </c>
      <c r="E43" s="126">
        <v>1.805555555555556</v>
      </c>
      <c r="F43" s="124" t="s">
        <v>63</v>
      </c>
      <c r="G43" s="127">
        <v>9</v>
      </c>
      <c r="H43" s="128" t="s">
        <v>1163</v>
      </c>
    </row>
    <row r="44" spans="1:8" ht="19.899999999999999" customHeight="1">
      <c r="A44" s="121">
        <v>46034</v>
      </c>
      <c r="B44" s="112" t="s">
        <v>359</v>
      </c>
      <c r="C44" s="113" t="s">
        <v>1152</v>
      </c>
      <c r="D44" s="112" t="s">
        <v>1144</v>
      </c>
      <c r="E44" s="122">
        <v>1.538194444444444</v>
      </c>
      <c r="F44" s="112" t="s">
        <v>361</v>
      </c>
      <c r="G44" s="114">
        <v>9</v>
      </c>
      <c r="H44" s="115" t="s">
        <v>1160</v>
      </c>
    </row>
    <row r="45" spans="1:8" ht="19.899999999999999" customHeight="1">
      <c r="A45" s="121">
        <v>46034</v>
      </c>
      <c r="B45" s="112" t="s">
        <v>68</v>
      </c>
      <c r="C45" s="113" t="s">
        <v>1149</v>
      </c>
      <c r="D45" s="112" t="s">
        <v>1144</v>
      </c>
      <c r="E45" s="122">
        <v>1.9826388888888891</v>
      </c>
      <c r="F45" s="112" t="s">
        <v>643</v>
      </c>
      <c r="G45" s="114">
        <v>9</v>
      </c>
      <c r="H45" s="115" t="s">
        <v>33</v>
      </c>
    </row>
    <row r="46" spans="1:8" ht="19.899999999999999" customHeight="1">
      <c r="A46" s="121">
        <v>46034</v>
      </c>
      <c r="B46" s="112" t="s">
        <v>359</v>
      </c>
      <c r="C46" s="113" t="s">
        <v>1152</v>
      </c>
      <c r="D46" s="112" t="s">
        <v>1144</v>
      </c>
      <c r="E46" s="122">
        <v>1.538194444444444</v>
      </c>
      <c r="F46" s="112" t="s">
        <v>46</v>
      </c>
      <c r="G46" s="114">
        <v>9</v>
      </c>
      <c r="H46" s="115" t="s">
        <v>1161</v>
      </c>
    </row>
    <row r="47" spans="1:8" ht="19.899999999999999" customHeight="1">
      <c r="A47" s="121">
        <v>46034</v>
      </c>
      <c r="B47" s="112" t="s">
        <v>402</v>
      </c>
      <c r="C47" s="113" t="s">
        <v>1155</v>
      </c>
      <c r="D47" s="112" t="s">
        <v>1144</v>
      </c>
      <c r="E47" s="122">
        <v>1.7152777777777779</v>
      </c>
      <c r="F47" s="112" t="s">
        <v>63</v>
      </c>
      <c r="G47" s="114">
        <v>5</v>
      </c>
      <c r="H47" s="115" t="s">
        <v>1162</v>
      </c>
    </row>
    <row r="48" spans="1:8" ht="19.899999999999999" customHeight="1">
      <c r="A48" s="123">
        <v>46034</v>
      </c>
      <c r="B48" s="124" t="s">
        <v>415</v>
      </c>
      <c r="C48" s="125" t="s">
        <v>1150</v>
      </c>
      <c r="D48" s="124" t="s">
        <v>1144</v>
      </c>
      <c r="E48" s="126">
        <v>1.78125</v>
      </c>
      <c r="F48" s="124" t="s">
        <v>63</v>
      </c>
      <c r="G48" s="127">
        <v>9</v>
      </c>
      <c r="H48" s="128" t="s">
        <v>1163</v>
      </c>
    </row>
    <row r="49" spans="1:8" ht="19.899999999999999" customHeight="1">
      <c r="A49" s="121">
        <v>46035</v>
      </c>
      <c r="B49" s="112" t="s">
        <v>402</v>
      </c>
      <c r="C49" s="113" t="s">
        <v>1145</v>
      </c>
      <c r="D49" s="112" t="s">
        <v>1144</v>
      </c>
      <c r="E49" s="122">
        <v>1.7152777777777779</v>
      </c>
      <c r="F49" s="112" t="s">
        <v>63</v>
      </c>
      <c r="G49" s="114">
        <v>5</v>
      </c>
      <c r="H49" s="115" t="s">
        <v>1162</v>
      </c>
    </row>
    <row r="50" spans="1:8" ht="19.899999999999999" customHeight="1">
      <c r="A50" s="123">
        <v>46035</v>
      </c>
      <c r="B50" s="124" t="s">
        <v>415</v>
      </c>
      <c r="C50" s="125" t="s">
        <v>1150</v>
      </c>
      <c r="D50" s="124" t="s">
        <v>1144</v>
      </c>
      <c r="E50" s="126">
        <v>1.78125</v>
      </c>
      <c r="F50" s="124" t="s">
        <v>63</v>
      </c>
      <c r="G50" s="127">
        <v>9</v>
      </c>
      <c r="H50" s="128" t="s">
        <v>1163</v>
      </c>
    </row>
    <row r="51" spans="1:8" ht="19.899999999999999" customHeight="1">
      <c r="A51" s="129">
        <v>46036</v>
      </c>
      <c r="B51" s="117" t="s">
        <v>61</v>
      </c>
      <c r="C51" s="118" t="s">
        <v>1147</v>
      </c>
      <c r="D51" s="117" t="s">
        <v>1144</v>
      </c>
      <c r="E51" s="130">
        <v>1.711805555555556</v>
      </c>
      <c r="F51" s="117" t="s">
        <v>63</v>
      </c>
      <c r="G51" s="119">
        <v>4</v>
      </c>
      <c r="H51" s="120" t="s">
        <v>33</v>
      </c>
    </row>
    <row r="52" spans="1:8" ht="19.899999999999999" customHeight="1">
      <c r="A52" s="121">
        <v>46036</v>
      </c>
      <c r="B52" s="112" t="s">
        <v>68</v>
      </c>
      <c r="C52" s="113" t="s">
        <v>1149</v>
      </c>
      <c r="D52" s="112" t="s">
        <v>1144</v>
      </c>
      <c r="E52" s="122">
        <v>1.9826388888888891</v>
      </c>
      <c r="F52" s="112" t="s">
        <v>643</v>
      </c>
      <c r="G52" s="114">
        <v>9</v>
      </c>
      <c r="H52" s="115" t="s">
        <v>33</v>
      </c>
    </row>
    <row r="53" spans="1:8" ht="19.899999999999999" customHeight="1">
      <c r="A53" s="121">
        <v>46036</v>
      </c>
      <c r="B53" s="112" t="s">
        <v>359</v>
      </c>
      <c r="C53" s="113" t="s">
        <v>1152</v>
      </c>
      <c r="D53" s="112" t="s">
        <v>1144</v>
      </c>
      <c r="E53" s="122">
        <v>1.4965277777777779</v>
      </c>
      <c r="F53" s="112" t="s">
        <v>361</v>
      </c>
      <c r="G53" s="114">
        <v>9</v>
      </c>
      <c r="H53" s="115" t="s">
        <v>1165</v>
      </c>
    </row>
    <row r="54" spans="1:8" ht="19.899999999999999" customHeight="1">
      <c r="A54" s="121">
        <v>46036</v>
      </c>
      <c r="B54" s="112" t="s">
        <v>402</v>
      </c>
      <c r="C54" s="113" t="s">
        <v>1155</v>
      </c>
      <c r="D54" s="112" t="s">
        <v>1144</v>
      </c>
      <c r="E54" s="122">
        <v>1.756944444444444</v>
      </c>
      <c r="F54" s="112" t="s">
        <v>63</v>
      </c>
      <c r="G54" s="114">
        <v>5</v>
      </c>
      <c r="H54" s="115" t="s">
        <v>1162</v>
      </c>
    </row>
    <row r="55" spans="1:8" ht="19.899999999999999" customHeight="1">
      <c r="A55" s="121">
        <v>46036</v>
      </c>
      <c r="B55" s="112" t="s">
        <v>359</v>
      </c>
      <c r="C55" s="113" t="s">
        <v>1152</v>
      </c>
      <c r="D55" s="112" t="s">
        <v>1144</v>
      </c>
      <c r="E55" s="122">
        <v>1.4965277777777779</v>
      </c>
      <c r="F55" s="112" t="s">
        <v>46</v>
      </c>
      <c r="G55" s="114">
        <v>9</v>
      </c>
      <c r="H55" s="115" t="s">
        <v>1166</v>
      </c>
    </row>
    <row r="56" spans="1:8" ht="19.899999999999999" customHeight="1">
      <c r="A56" s="123">
        <v>46036</v>
      </c>
      <c r="B56" s="124" t="s">
        <v>415</v>
      </c>
      <c r="C56" s="125" t="s">
        <v>1150</v>
      </c>
      <c r="D56" s="124" t="s">
        <v>1144</v>
      </c>
      <c r="E56" s="126">
        <v>1.805555555555556</v>
      </c>
      <c r="F56" s="124" t="s">
        <v>63</v>
      </c>
      <c r="G56" s="127">
        <v>9</v>
      </c>
      <c r="H56" s="128" t="s">
        <v>1163</v>
      </c>
    </row>
    <row r="57" spans="1:8" ht="19.899999999999999" customHeight="1">
      <c r="A57" s="121">
        <v>46037</v>
      </c>
      <c r="B57" s="112" t="s">
        <v>68</v>
      </c>
      <c r="C57" s="113" t="s">
        <v>1149</v>
      </c>
      <c r="D57" s="112" t="s">
        <v>1144</v>
      </c>
      <c r="E57" s="122">
        <v>1.9826388888888891</v>
      </c>
      <c r="F57" s="112" t="s">
        <v>70</v>
      </c>
      <c r="G57" s="114">
        <v>9</v>
      </c>
      <c r="H57" s="115" t="s">
        <v>1156</v>
      </c>
    </row>
    <row r="58" spans="1:8" ht="19.899999999999999" customHeight="1">
      <c r="A58" s="121">
        <v>46037</v>
      </c>
      <c r="B58" s="112" t="s">
        <v>402</v>
      </c>
      <c r="C58" s="113" t="s">
        <v>1145</v>
      </c>
      <c r="D58" s="112" t="s">
        <v>1144</v>
      </c>
      <c r="E58" s="122">
        <v>1.756944444444444</v>
      </c>
      <c r="F58" s="112" t="s">
        <v>63</v>
      </c>
      <c r="G58" s="114">
        <v>5</v>
      </c>
      <c r="H58" s="115" t="s">
        <v>1162</v>
      </c>
    </row>
    <row r="59" spans="1:8" ht="19.899999999999999" customHeight="1">
      <c r="A59" s="129">
        <v>46037</v>
      </c>
      <c r="B59" s="117" t="s">
        <v>61</v>
      </c>
      <c r="C59" s="118" t="s">
        <v>1147</v>
      </c>
      <c r="D59" s="117" t="s">
        <v>1144</v>
      </c>
      <c r="E59" s="130">
        <v>1.711805555555556</v>
      </c>
      <c r="F59" s="117" t="s">
        <v>63</v>
      </c>
      <c r="G59" s="119">
        <v>9</v>
      </c>
      <c r="H59" s="120" t="s">
        <v>179</v>
      </c>
    </row>
    <row r="60" spans="1:8" ht="19.899999999999999" customHeight="1">
      <c r="A60" s="123">
        <v>46037</v>
      </c>
      <c r="B60" s="124" t="s">
        <v>415</v>
      </c>
      <c r="C60" s="125" t="s">
        <v>1150</v>
      </c>
      <c r="D60" s="124" t="s">
        <v>1144</v>
      </c>
      <c r="E60" s="126">
        <v>1.805555555555556</v>
      </c>
      <c r="F60" s="124" t="s">
        <v>63</v>
      </c>
      <c r="G60" s="127">
        <v>9</v>
      </c>
      <c r="H60" s="128" t="s">
        <v>1163</v>
      </c>
    </row>
    <row r="61" spans="1:8" ht="19.899999999999999" customHeight="1">
      <c r="A61" s="121">
        <v>46038</v>
      </c>
      <c r="B61" s="112" t="s">
        <v>359</v>
      </c>
      <c r="C61" s="113" t="s">
        <v>1152</v>
      </c>
      <c r="D61" s="112" t="s">
        <v>1144</v>
      </c>
      <c r="E61" s="122">
        <v>1.4965277777777779</v>
      </c>
      <c r="F61" s="112" t="s">
        <v>361</v>
      </c>
      <c r="G61" s="114">
        <v>9</v>
      </c>
      <c r="H61" s="115" t="s">
        <v>1167</v>
      </c>
    </row>
    <row r="62" spans="1:8" ht="19.899999999999999" customHeight="1">
      <c r="A62" s="121">
        <v>46038</v>
      </c>
      <c r="B62" s="112" t="s">
        <v>402</v>
      </c>
      <c r="C62" s="113" t="s">
        <v>1155</v>
      </c>
      <c r="D62" s="112" t="s">
        <v>1144</v>
      </c>
      <c r="E62" s="122">
        <v>1.756944444444444</v>
      </c>
      <c r="F62" s="112" t="s">
        <v>63</v>
      </c>
      <c r="G62" s="114">
        <v>5</v>
      </c>
      <c r="H62" s="115" t="s">
        <v>1162</v>
      </c>
    </row>
    <row r="63" spans="1:8" ht="19.899999999999999" customHeight="1">
      <c r="A63" s="121">
        <v>46038</v>
      </c>
      <c r="B63" s="112" t="s">
        <v>359</v>
      </c>
      <c r="C63" s="113" t="s">
        <v>1152</v>
      </c>
      <c r="D63" s="112" t="s">
        <v>1144</v>
      </c>
      <c r="E63" s="122">
        <v>1.4965277777777779</v>
      </c>
      <c r="F63" s="112" t="s">
        <v>46</v>
      </c>
      <c r="G63" s="114">
        <v>9</v>
      </c>
      <c r="H63" s="115" t="s">
        <v>1168</v>
      </c>
    </row>
    <row r="64" spans="1:8" ht="19.899999999999999" customHeight="1">
      <c r="A64" s="121">
        <v>46038</v>
      </c>
      <c r="B64" s="112" t="s">
        <v>68</v>
      </c>
      <c r="C64" s="113" t="s">
        <v>1149</v>
      </c>
      <c r="D64" s="112" t="s">
        <v>1144</v>
      </c>
      <c r="E64" s="122">
        <v>1.9826388888888891</v>
      </c>
      <c r="F64" s="112" t="s">
        <v>70</v>
      </c>
      <c r="G64" s="114">
        <v>9</v>
      </c>
      <c r="H64" s="115" t="s">
        <v>1093</v>
      </c>
    </row>
    <row r="65" spans="1:8" ht="19.899999999999999" customHeight="1">
      <c r="A65" s="123">
        <v>46038</v>
      </c>
      <c r="B65" s="124" t="s">
        <v>415</v>
      </c>
      <c r="C65" s="125" t="s">
        <v>1150</v>
      </c>
      <c r="D65" s="124" t="s">
        <v>1144</v>
      </c>
      <c r="E65" s="126">
        <v>1.854166666666667</v>
      </c>
      <c r="F65" s="124" t="s">
        <v>63</v>
      </c>
      <c r="G65" s="127">
        <v>8</v>
      </c>
      <c r="H65" s="128" t="s">
        <v>1163</v>
      </c>
    </row>
    <row r="66" spans="1:8" ht="19.899999999999999" customHeight="1">
      <c r="A66" s="121">
        <v>46039</v>
      </c>
      <c r="B66" s="112" t="s">
        <v>402</v>
      </c>
      <c r="C66" s="113" t="s">
        <v>1145</v>
      </c>
      <c r="D66" s="112" t="s">
        <v>1144</v>
      </c>
      <c r="E66" s="122">
        <v>1.756944444444444</v>
      </c>
      <c r="F66" s="112" t="s">
        <v>63</v>
      </c>
      <c r="G66" s="114">
        <v>5</v>
      </c>
      <c r="H66" s="115" t="s">
        <v>1019</v>
      </c>
    </row>
    <row r="67" spans="1:8" ht="19.899999999999999" customHeight="1">
      <c r="A67" s="129">
        <v>46039</v>
      </c>
      <c r="B67" s="117" t="s">
        <v>61</v>
      </c>
      <c r="C67" s="118" t="s">
        <v>1147</v>
      </c>
      <c r="D67" s="117" t="s">
        <v>1144</v>
      </c>
      <c r="E67" s="130">
        <v>1.836805555555556</v>
      </c>
      <c r="F67" s="117" t="s">
        <v>63</v>
      </c>
      <c r="G67" s="119">
        <v>4</v>
      </c>
      <c r="H67" s="120" t="s">
        <v>1021</v>
      </c>
    </row>
    <row r="68" spans="1:8" ht="19.899999999999999" customHeight="1">
      <c r="A68" s="123">
        <v>46039</v>
      </c>
      <c r="B68" s="124" t="s">
        <v>415</v>
      </c>
      <c r="C68" s="125" t="s">
        <v>1171</v>
      </c>
      <c r="D68" s="124" t="s">
        <v>1144</v>
      </c>
      <c r="E68" s="126">
        <v>1.6736111111111109</v>
      </c>
      <c r="F68" s="124" t="s">
        <v>63</v>
      </c>
      <c r="G68" s="127">
        <v>2</v>
      </c>
      <c r="H68" s="128" t="s">
        <v>1163</v>
      </c>
    </row>
    <row r="69" spans="1:8" ht="19.899999999999999" customHeight="1">
      <c r="A69" s="121">
        <v>46040</v>
      </c>
      <c r="B69" s="112" t="s">
        <v>359</v>
      </c>
      <c r="C69" s="113" t="s">
        <v>1152</v>
      </c>
      <c r="D69" s="112" t="s">
        <v>1144</v>
      </c>
      <c r="E69" s="122">
        <v>1.538194444444444</v>
      </c>
      <c r="F69" s="112" t="s">
        <v>361</v>
      </c>
      <c r="G69" s="114">
        <v>9</v>
      </c>
      <c r="H69" s="115" t="s">
        <v>1167</v>
      </c>
    </row>
    <row r="70" spans="1:8" ht="19.899999999999999" customHeight="1">
      <c r="A70" s="121">
        <v>46040</v>
      </c>
      <c r="B70" s="112" t="s">
        <v>402</v>
      </c>
      <c r="C70" s="113" t="s">
        <v>1159</v>
      </c>
      <c r="D70" s="112" t="s">
        <v>1144</v>
      </c>
      <c r="E70" s="122">
        <v>1.756944444444444</v>
      </c>
      <c r="F70" s="112" t="s">
        <v>63</v>
      </c>
      <c r="G70" s="114">
        <v>5</v>
      </c>
      <c r="H70" s="115" t="s">
        <v>1162</v>
      </c>
    </row>
    <row r="71" spans="1:8" ht="19.899999999999999" customHeight="1">
      <c r="A71" s="121">
        <v>46040</v>
      </c>
      <c r="B71" s="112" t="s">
        <v>359</v>
      </c>
      <c r="C71" s="113" t="s">
        <v>1152</v>
      </c>
      <c r="D71" s="112" t="s">
        <v>1144</v>
      </c>
      <c r="E71" s="122">
        <v>1.538194444444444</v>
      </c>
      <c r="F71" s="112" t="s">
        <v>46</v>
      </c>
      <c r="G71" s="114">
        <v>9</v>
      </c>
      <c r="H71" s="115" t="s">
        <v>1168</v>
      </c>
    </row>
    <row r="72" spans="1:8" ht="19.899999999999999" customHeight="1">
      <c r="A72" s="123">
        <v>46040</v>
      </c>
      <c r="B72" s="124" t="s">
        <v>415</v>
      </c>
      <c r="C72" s="125" t="s">
        <v>1150</v>
      </c>
      <c r="D72" s="124" t="s">
        <v>1144</v>
      </c>
      <c r="E72" s="126">
        <v>1.805555555555556</v>
      </c>
      <c r="F72" s="124" t="s">
        <v>63</v>
      </c>
      <c r="G72" s="127">
        <v>9</v>
      </c>
      <c r="H72" s="128" t="s">
        <v>1163</v>
      </c>
    </row>
    <row r="73" spans="1:8" ht="19.899999999999999" customHeight="1">
      <c r="A73" s="121">
        <v>46041</v>
      </c>
      <c r="B73" s="112" t="s">
        <v>68</v>
      </c>
      <c r="C73" s="113" t="s">
        <v>1149</v>
      </c>
      <c r="D73" s="112" t="s">
        <v>1144</v>
      </c>
      <c r="E73" s="122">
        <v>1.9826388888888891</v>
      </c>
      <c r="F73" s="112" t="s">
        <v>643</v>
      </c>
      <c r="G73" s="114">
        <v>9</v>
      </c>
      <c r="H73" s="115" t="s">
        <v>33</v>
      </c>
    </row>
    <row r="74" spans="1:8" ht="19.899999999999999" customHeight="1">
      <c r="A74" s="121">
        <v>46041</v>
      </c>
      <c r="B74" s="112" t="s">
        <v>359</v>
      </c>
      <c r="C74" s="113" t="s">
        <v>1152</v>
      </c>
      <c r="D74" s="112" t="s">
        <v>1144</v>
      </c>
      <c r="E74" s="122">
        <v>1.538194444444444</v>
      </c>
      <c r="F74" s="112" t="s">
        <v>361</v>
      </c>
      <c r="G74" s="114">
        <v>9</v>
      </c>
      <c r="H74" s="115" t="s">
        <v>1165</v>
      </c>
    </row>
    <row r="75" spans="1:8" ht="19.899999999999999" customHeight="1">
      <c r="A75" s="121">
        <v>46041</v>
      </c>
      <c r="B75" s="112" t="s">
        <v>402</v>
      </c>
      <c r="C75" s="113" t="s">
        <v>1155</v>
      </c>
      <c r="D75" s="112" t="s">
        <v>1144</v>
      </c>
      <c r="E75" s="122">
        <v>1.7152777777777779</v>
      </c>
      <c r="F75" s="112" t="s">
        <v>63</v>
      </c>
      <c r="G75" s="114">
        <v>5</v>
      </c>
      <c r="H75" s="115" t="s">
        <v>1162</v>
      </c>
    </row>
    <row r="76" spans="1:8" ht="19.899999999999999" customHeight="1">
      <c r="A76" s="121">
        <v>46041</v>
      </c>
      <c r="B76" s="112" t="s">
        <v>359</v>
      </c>
      <c r="C76" s="113" t="s">
        <v>1152</v>
      </c>
      <c r="D76" s="112" t="s">
        <v>1144</v>
      </c>
      <c r="E76" s="122">
        <v>1.538194444444444</v>
      </c>
      <c r="F76" s="112" t="s">
        <v>46</v>
      </c>
      <c r="G76" s="114">
        <v>9</v>
      </c>
      <c r="H76" s="115" t="s">
        <v>1166</v>
      </c>
    </row>
    <row r="77" spans="1:8" ht="19.899999999999999" customHeight="1">
      <c r="A77" s="123">
        <v>46041</v>
      </c>
      <c r="B77" s="124" t="s">
        <v>415</v>
      </c>
      <c r="C77" s="125" t="s">
        <v>1150</v>
      </c>
      <c r="D77" s="124" t="s">
        <v>1144</v>
      </c>
      <c r="E77" s="126">
        <v>1.78125</v>
      </c>
      <c r="F77" s="124" t="s">
        <v>63</v>
      </c>
      <c r="G77" s="127">
        <v>9</v>
      </c>
      <c r="H77" s="128" t="s">
        <v>1163</v>
      </c>
    </row>
    <row r="78" spans="1:8" ht="19.899999999999999" customHeight="1">
      <c r="A78" s="121">
        <v>46042</v>
      </c>
      <c r="B78" s="112" t="s">
        <v>402</v>
      </c>
      <c r="C78" s="113" t="s">
        <v>1145</v>
      </c>
      <c r="D78" s="112" t="s">
        <v>1144</v>
      </c>
      <c r="E78" s="122">
        <v>1.7152777777777779</v>
      </c>
      <c r="F78" s="112" t="s">
        <v>63</v>
      </c>
      <c r="G78" s="114">
        <v>5</v>
      </c>
      <c r="H78" s="115" t="s">
        <v>1162</v>
      </c>
    </row>
    <row r="79" spans="1:8" ht="19.899999999999999" customHeight="1">
      <c r="A79" s="123">
        <v>46042</v>
      </c>
      <c r="B79" s="124" t="s">
        <v>415</v>
      </c>
      <c r="C79" s="125" t="s">
        <v>1150</v>
      </c>
      <c r="D79" s="124" t="s">
        <v>1144</v>
      </c>
      <c r="E79" s="126">
        <v>1.78125</v>
      </c>
      <c r="F79" s="124" t="s">
        <v>63</v>
      </c>
      <c r="G79" s="127">
        <v>9</v>
      </c>
      <c r="H79" s="128" t="s">
        <v>1163</v>
      </c>
    </row>
    <row r="80" spans="1:8" ht="19.899999999999999" customHeight="1">
      <c r="A80" s="121">
        <v>46043</v>
      </c>
      <c r="B80" s="112" t="s">
        <v>68</v>
      </c>
      <c r="C80" s="113" t="s">
        <v>1149</v>
      </c>
      <c r="D80" s="112" t="s">
        <v>1144</v>
      </c>
      <c r="E80" s="122">
        <v>1.9826388888888891</v>
      </c>
      <c r="F80" s="112" t="s">
        <v>643</v>
      </c>
      <c r="G80" s="114">
        <v>9</v>
      </c>
      <c r="H80" s="115" t="s">
        <v>33</v>
      </c>
    </row>
    <row r="81" spans="1:8" ht="19.899999999999999" customHeight="1">
      <c r="A81" s="121">
        <v>46043</v>
      </c>
      <c r="B81" s="112" t="s">
        <v>359</v>
      </c>
      <c r="C81" s="113" t="s">
        <v>1152</v>
      </c>
      <c r="D81" s="112" t="s">
        <v>1144</v>
      </c>
      <c r="E81" s="122">
        <v>1.4965277777777779</v>
      </c>
      <c r="F81" s="112" t="s">
        <v>361</v>
      </c>
      <c r="G81" s="114">
        <v>9</v>
      </c>
      <c r="H81" s="115" t="s">
        <v>1165</v>
      </c>
    </row>
    <row r="82" spans="1:8" ht="19.899999999999999" customHeight="1">
      <c r="A82" s="129">
        <v>46043</v>
      </c>
      <c r="B82" s="117" t="s">
        <v>61</v>
      </c>
      <c r="C82" s="118" t="s">
        <v>1147</v>
      </c>
      <c r="D82" s="117" t="s">
        <v>1144</v>
      </c>
      <c r="E82" s="130">
        <v>1.711805555555556</v>
      </c>
      <c r="F82" s="117" t="s">
        <v>63</v>
      </c>
      <c r="G82" s="119">
        <v>2</v>
      </c>
      <c r="H82" s="120" t="s">
        <v>1157</v>
      </c>
    </row>
    <row r="83" spans="1:8" ht="19.899999999999999" customHeight="1">
      <c r="A83" s="121">
        <v>46043</v>
      </c>
      <c r="B83" s="112" t="s">
        <v>402</v>
      </c>
      <c r="C83" s="113" t="s">
        <v>1155</v>
      </c>
      <c r="D83" s="112" t="s">
        <v>1144</v>
      </c>
      <c r="E83" s="122">
        <v>1.756944444444444</v>
      </c>
      <c r="F83" s="112" t="s">
        <v>63</v>
      </c>
      <c r="G83" s="114">
        <v>5</v>
      </c>
      <c r="H83" s="115" t="s">
        <v>1162</v>
      </c>
    </row>
    <row r="84" spans="1:8" ht="19.899999999999999" customHeight="1">
      <c r="A84" s="121">
        <v>46043</v>
      </c>
      <c r="B84" s="112" t="s">
        <v>359</v>
      </c>
      <c r="C84" s="113" t="s">
        <v>1152</v>
      </c>
      <c r="D84" s="112" t="s">
        <v>1144</v>
      </c>
      <c r="E84" s="122">
        <v>1.4965277777777779</v>
      </c>
      <c r="F84" s="112" t="s">
        <v>46</v>
      </c>
      <c r="G84" s="114">
        <v>9</v>
      </c>
      <c r="H84" s="115" t="s">
        <v>1166</v>
      </c>
    </row>
    <row r="85" spans="1:8" ht="19.899999999999999" customHeight="1">
      <c r="A85" s="123">
        <v>46043</v>
      </c>
      <c r="B85" s="124" t="s">
        <v>415</v>
      </c>
      <c r="C85" s="125" t="s">
        <v>1150</v>
      </c>
      <c r="D85" s="124" t="s">
        <v>1144</v>
      </c>
      <c r="E85" s="126">
        <v>1.805555555555556</v>
      </c>
      <c r="F85" s="124" t="s">
        <v>63</v>
      </c>
      <c r="G85" s="127">
        <v>9</v>
      </c>
      <c r="H85" s="128" t="s">
        <v>1163</v>
      </c>
    </row>
    <row r="86" spans="1:8" ht="19.899999999999999" customHeight="1">
      <c r="A86" s="121">
        <v>46044</v>
      </c>
      <c r="B86" s="112" t="s">
        <v>68</v>
      </c>
      <c r="C86" s="113" t="s">
        <v>1149</v>
      </c>
      <c r="D86" s="112" t="s">
        <v>1144</v>
      </c>
      <c r="E86" s="122">
        <v>1.9826388888888891</v>
      </c>
      <c r="F86" s="112" t="s">
        <v>643</v>
      </c>
      <c r="G86" s="114">
        <v>9</v>
      </c>
      <c r="H86" s="115" t="s">
        <v>33</v>
      </c>
    </row>
    <row r="87" spans="1:8" ht="19.899999999999999" customHeight="1">
      <c r="A87" s="121">
        <v>46044</v>
      </c>
      <c r="B87" s="112" t="s">
        <v>402</v>
      </c>
      <c r="C87" s="113" t="s">
        <v>1145</v>
      </c>
      <c r="D87" s="112" t="s">
        <v>1144</v>
      </c>
      <c r="E87" s="122">
        <v>1.756944444444444</v>
      </c>
      <c r="F87" s="112" t="s">
        <v>63</v>
      </c>
      <c r="G87" s="114">
        <v>4</v>
      </c>
      <c r="H87" s="115" t="s">
        <v>1162</v>
      </c>
    </row>
    <row r="88" spans="1:8" ht="19.899999999999999" customHeight="1">
      <c r="A88" s="129">
        <v>46044</v>
      </c>
      <c r="B88" s="117" t="s">
        <v>61</v>
      </c>
      <c r="C88" s="118" t="s">
        <v>1147</v>
      </c>
      <c r="D88" s="117" t="s">
        <v>1144</v>
      </c>
      <c r="E88" s="130">
        <v>1.711805555555556</v>
      </c>
      <c r="F88" s="117" t="s">
        <v>63</v>
      </c>
      <c r="G88" s="119">
        <v>8</v>
      </c>
      <c r="H88" s="120" t="s">
        <v>1172</v>
      </c>
    </row>
    <row r="89" spans="1:8" ht="19.899999999999999" customHeight="1">
      <c r="A89" s="123">
        <v>46044</v>
      </c>
      <c r="B89" s="124" t="s">
        <v>415</v>
      </c>
      <c r="C89" s="125" t="s">
        <v>1150</v>
      </c>
      <c r="D89" s="124" t="s">
        <v>1144</v>
      </c>
      <c r="E89" s="126">
        <v>1.805555555555556</v>
      </c>
      <c r="F89" s="124" t="s">
        <v>63</v>
      </c>
      <c r="G89" s="127">
        <v>9</v>
      </c>
      <c r="H89" s="128" t="s">
        <v>1163</v>
      </c>
    </row>
    <row r="90" spans="1:8" ht="19.899999999999999" customHeight="1">
      <c r="A90" s="121">
        <v>46045</v>
      </c>
      <c r="B90" s="112" t="s">
        <v>359</v>
      </c>
      <c r="C90" s="113" t="s">
        <v>1152</v>
      </c>
      <c r="D90" s="112" t="s">
        <v>1144</v>
      </c>
      <c r="E90" s="122">
        <v>1.4965277777777779</v>
      </c>
      <c r="F90" s="112" t="s">
        <v>361</v>
      </c>
      <c r="G90" s="114">
        <v>9</v>
      </c>
      <c r="H90" s="115" t="s">
        <v>1167</v>
      </c>
    </row>
    <row r="91" spans="1:8" ht="19.899999999999999" customHeight="1">
      <c r="A91" s="121">
        <v>46045</v>
      </c>
      <c r="B91" s="112" t="s">
        <v>68</v>
      </c>
      <c r="C91" s="113" t="s">
        <v>1149</v>
      </c>
      <c r="D91" s="112" t="s">
        <v>1144</v>
      </c>
      <c r="E91" s="122">
        <v>1.9826388888888891</v>
      </c>
      <c r="F91" s="112" t="s">
        <v>70</v>
      </c>
      <c r="G91" s="114">
        <v>9</v>
      </c>
      <c r="H91" s="115" t="s">
        <v>1156</v>
      </c>
    </row>
    <row r="92" spans="1:8" ht="19.899999999999999" customHeight="1">
      <c r="A92" s="121">
        <v>46045</v>
      </c>
      <c r="B92" s="112" t="s">
        <v>402</v>
      </c>
      <c r="C92" s="113" t="s">
        <v>1155</v>
      </c>
      <c r="D92" s="112" t="s">
        <v>1144</v>
      </c>
      <c r="E92" s="122">
        <v>1.756944444444444</v>
      </c>
      <c r="F92" s="112" t="s">
        <v>63</v>
      </c>
      <c r="G92" s="114">
        <v>3</v>
      </c>
      <c r="H92" s="115" t="s">
        <v>1162</v>
      </c>
    </row>
    <row r="93" spans="1:8" ht="19.899999999999999" customHeight="1">
      <c r="A93" s="121">
        <v>46045</v>
      </c>
      <c r="B93" s="112" t="s">
        <v>359</v>
      </c>
      <c r="C93" s="113" t="s">
        <v>1152</v>
      </c>
      <c r="D93" s="112" t="s">
        <v>1144</v>
      </c>
      <c r="E93" s="122">
        <v>1.4965277777777779</v>
      </c>
      <c r="F93" s="112" t="s">
        <v>46</v>
      </c>
      <c r="G93" s="114">
        <v>9</v>
      </c>
      <c r="H93" s="115" t="s">
        <v>1168</v>
      </c>
    </row>
    <row r="94" spans="1:8" ht="19.899999999999999" customHeight="1">
      <c r="A94" s="123">
        <v>46045</v>
      </c>
      <c r="B94" s="124" t="s">
        <v>415</v>
      </c>
      <c r="C94" s="125" t="s">
        <v>1150</v>
      </c>
      <c r="D94" s="124" t="s">
        <v>1144</v>
      </c>
      <c r="E94" s="126">
        <v>1.854166666666667</v>
      </c>
      <c r="F94" s="124" t="s">
        <v>63</v>
      </c>
      <c r="G94" s="127">
        <v>9</v>
      </c>
      <c r="H94" s="128" t="s">
        <v>1163</v>
      </c>
    </row>
    <row r="95" spans="1:8" ht="19.899999999999999" customHeight="1">
      <c r="A95" s="121">
        <v>46046</v>
      </c>
      <c r="B95" s="112" t="s">
        <v>402</v>
      </c>
      <c r="C95" s="113" t="s">
        <v>1145</v>
      </c>
      <c r="D95" s="112" t="s">
        <v>1144</v>
      </c>
      <c r="E95" s="122">
        <v>1.756944444444444</v>
      </c>
      <c r="F95" s="112" t="s">
        <v>63</v>
      </c>
      <c r="G95" s="114">
        <v>5</v>
      </c>
      <c r="H95" s="115" t="s">
        <v>1162</v>
      </c>
    </row>
    <row r="96" spans="1:8" ht="19.899999999999999" customHeight="1">
      <c r="A96" s="129">
        <v>46046</v>
      </c>
      <c r="B96" s="117" t="s">
        <v>61</v>
      </c>
      <c r="C96" s="118" t="s">
        <v>1147</v>
      </c>
      <c r="D96" s="117" t="s">
        <v>1144</v>
      </c>
      <c r="E96" s="130">
        <v>1.836805555555556</v>
      </c>
      <c r="F96" s="117" t="s">
        <v>63</v>
      </c>
      <c r="G96" s="119">
        <v>9</v>
      </c>
      <c r="H96" s="120" t="s">
        <v>1173</v>
      </c>
    </row>
    <row r="97" spans="1:8" ht="19.899999999999999" customHeight="1">
      <c r="A97" s="123">
        <v>46046</v>
      </c>
      <c r="B97" s="124" t="s">
        <v>415</v>
      </c>
      <c r="C97" s="125" t="s">
        <v>1171</v>
      </c>
      <c r="D97" s="124" t="s">
        <v>1144</v>
      </c>
      <c r="E97" s="126">
        <v>1.6736111111111109</v>
      </c>
      <c r="F97" s="124" t="s">
        <v>63</v>
      </c>
      <c r="G97" s="127">
        <v>9</v>
      </c>
      <c r="H97" s="128" t="s">
        <v>1163</v>
      </c>
    </row>
    <row r="98" spans="1:8" ht="19.899999999999999" customHeight="1">
      <c r="A98" s="121">
        <v>46047</v>
      </c>
      <c r="B98" s="112" t="s">
        <v>359</v>
      </c>
      <c r="C98" s="113" t="s">
        <v>1152</v>
      </c>
      <c r="D98" s="112" t="s">
        <v>1144</v>
      </c>
      <c r="E98" s="122">
        <v>1.538194444444444</v>
      </c>
      <c r="F98" s="112" t="s">
        <v>361</v>
      </c>
      <c r="G98" s="114">
        <v>9</v>
      </c>
      <c r="H98" s="115" t="s">
        <v>1167</v>
      </c>
    </row>
    <row r="99" spans="1:8" ht="19.899999999999999" customHeight="1">
      <c r="A99" s="121">
        <v>46047</v>
      </c>
      <c r="B99" s="112" t="s">
        <v>402</v>
      </c>
      <c r="C99" s="113" t="s">
        <v>1159</v>
      </c>
      <c r="D99" s="112" t="s">
        <v>1144</v>
      </c>
      <c r="E99" s="122">
        <v>1.756944444444444</v>
      </c>
      <c r="F99" s="112" t="s">
        <v>63</v>
      </c>
      <c r="G99" s="114">
        <v>5</v>
      </c>
      <c r="H99" s="115" t="s">
        <v>1162</v>
      </c>
    </row>
    <row r="100" spans="1:8" ht="19.899999999999999" customHeight="1">
      <c r="A100" s="121">
        <v>46047</v>
      </c>
      <c r="B100" s="112" t="s">
        <v>359</v>
      </c>
      <c r="C100" s="113" t="s">
        <v>1152</v>
      </c>
      <c r="D100" s="112" t="s">
        <v>1144</v>
      </c>
      <c r="E100" s="122">
        <v>1.538194444444444</v>
      </c>
      <c r="F100" s="112" t="s">
        <v>46</v>
      </c>
      <c r="G100" s="114">
        <v>9</v>
      </c>
      <c r="H100" s="115" t="s">
        <v>1168</v>
      </c>
    </row>
    <row r="101" spans="1:8" ht="19.899999999999999" customHeight="1">
      <c r="A101" s="123">
        <v>46047</v>
      </c>
      <c r="B101" s="124" t="s">
        <v>415</v>
      </c>
      <c r="C101" s="125" t="s">
        <v>1150</v>
      </c>
      <c r="D101" s="124" t="s">
        <v>1144</v>
      </c>
      <c r="E101" s="126">
        <v>1.805555555555556</v>
      </c>
      <c r="F101" s="124" t="s">
        <v>63</v>
      </c>
      <c r="G101" s="127">
        <v>9</v>
      </c>
      <c r="H101" s="128" t="s">
        <v>1163</v>
      </c>
    </row>
    <row r="102" spans="1:8" ht="19.899999999999999" customHeight="1">
      <c r="A102" s="121">
        <v>46048</v>
      </c>
      <c r="B102" s="112" t="s">
        <v>68</v>
      </c>
      <c r="C102" s="113" t="s">
        <v>1149</v>
      </c>
      <c r="D102" s="112" t="s">
        <v>1144</v>
      </c>
      <c r="E102" s="122">
        <v>1.9826388888888891</v>
      </c>
      <c r="F102" s="112" t="s">
        <v>643</v>
      </c>
      <c r="G102" s="114">
        <v>9</v>
      </c>
      <c r="H102" s="115" t="s">
        <v>33</v>
      </c>
    </row>
    <row r="103" spans="1:8" ht="19.899999999999999" customHeight="1">
      <c r="A103" s="121">
        <v>46048</v>
      </c>
      <c r="B103" s="112" t="s">
        <v>359</v>
      </c>
      <c r="C103" s="113" t="s">
        <v>1152</v>
      </c>
      <c r="D103" s="112" t="s">
        <v>1144</v>
      </c>
      <c r="E103" s="122">
        <v>1.538194444444444</v>
      </c>
      <c r="F103" s="112" t="s">
        <v>361</v>
      </c>
      <c r="G103" s="114">
        <v>9</v>
      </c>
      <c r="H103" s="115" t="s">
        <v>1165</v>
      </c>
    </row>
    <row r="104" spans="1:8" ht="19.899999999999999" customHeight="1">
      <c r="A104" s="121">
        <v>46048</v>
      </c>
      <c r="B104" s="112" t="s">
        <v>402</v>
      </c>
      <c r="C104" s="113" t="s">
        <v>1155</v>
      </c>
      <c r="D104" s="112" t="s">
        <v>1144</v>
      </c>
      <c r="E104" s="122">
        <v>1.7152777777777779</v>
      </c>
      <c r="F104" s="112" t="s">
        <v>63</v>
      </c>
      <c r="G104" s="114">
        <v>5</v>
      </c>
      <c r="H104" s="115" t="s">
        <v>1162</v>
      </c>
    </row>
    <row r="105" spans="1:8" ht="19.899999999999999" customHeight="1">
      <c r="A105" s="121">
        <v>46048</v>
      </c>
      <c r="B105" s="112" t="s">
        <v>359</v>
      </c>
      <c r="C105" s="113" t="s">
        <v>1152</v>
      </c>
      <c r="D105" s="112" t="s">
        <v>1144</v>
      </c>
      <c r="E105" s="122">
        <v>1.538194444444444</v>
      </c>
      <c r="F105" s="112" t="s">
        <v>46</v>
      </c>
      <c r="G105" s="114">
        <v>9</v>
      </c>
      <c r="H105" s="115" t="s">
        <v>1166</v>
      </c>
    </row>
    <row r="106" spans="1:8" ht="19.899999999999999" customHeight="1">
      <c r="A106" s="123">
        <v>46048</v>
      </c>
      <c r="B106" s="124" t="s">
        <v>415</v>
      </c>
      <c r="C106" s="125" t="s">
        <v>1150</v>
      </c>
      <c r="D106" s="124" t="s">
        <v>1144</v>
      </c>
      <c r="E106" s="126">
        <v>1.78125</v>
      </c>
      <c r="F106" s="124" t="s">
        <v>63</v>
      </c>
      <c r="G106" s="127">
        <v>9</v>
      </c>
      <c r="H106" s="128" t="s">
        <v>1163</v>
      </c>
    </row>
    <row r="107" spans="1:8" ht="19.899999999999999" customHeight="1">
      <c r="A107" s="121">
        <v>46049</v>
      </c>
      <c r="B107" s="112" t="s">
        <v>402</v>
      </c>
      <c r="C107" s="113" t="s">
        <v>1145</v>
      </c>
      <c r="D107" s="112" t="s">
        <v>1144</v>
      </c>
      <c r="E107" s="122">
        <v>1.7152777777777779</v>
      </c>
      <c r="F107" s="112" t="s">
        <v>63</v>
      </c>
      <c r="G107" s="114">
        <v>5</v>
      </c>
      <c r="H107" s="115" t="s">
        <v>1162</v>
      </c>
    </row>
    <row r="108" spans="1:8" ht="19.899999999999999" customHeight="1">
      <c r="A108" s="123">
        <v>46049</v>
      </c>
      <c r="B108" s="124" t="s">
        <v>415</v>
      </c>
      <c r="C108" s="125" t="s">
        <v>1150</v>
      </c>
      <c r="D108" s="124" t="s">
        <v>1144</v>
      </c>
      <c r="E108" s="126">
        <v>1.78125</v>
      </c>
      <c r="F108" s="124" t="s">
        <v>63</v>
      </c>
      <c r="G108" s="127">
        <v>9</v>
      </c>
      <c r="H108" s="128" t="s">
        <v>1163</v>
      </c>
    </row>
    <row r="109" spans="1:8" ht="19.899999999999999" customHeight="1">
      <c r="A109" s="121">
        <v>46050</v>
      </c>
      <c r="B109" s="112" t="s">
        <v>68</v>
      </c>
      <c r="C109" s="113" t="s">
        <v>1149</v>
      </c>
      <c r="D109" s="112" t="s">
        <v>1144</v>
      </c>
      <c r="E109" s="122">
        <v>1.9826388888888891</v>
      </c>
      <c r="F109" s="112" t="s">
        <v>643</v>
      </c>
      <c r="G109" s="114">
        <v>9</v>
      </c>
      <c r="H109" s="115" t="s">
        <v>33</v>
      </c>
    </row>
    <row r="110" spans="1:8" ht="19.899999999999999" customHeight="1">
      <c r="A110" s="121">
        <v>46050</v>
      </c>
      <c r="B110" s="112" t="s">
        <v>359</v>
      </c>
      <c r="C110" s="113" t="s">
        <v>1152</v>
      </c>
      <c r="D110" s="112" t="s">
        <v>1144</v>
      </c>
      <c r="E110" s="122">
        <v>1.4965277777777779</v>
      </c>
      <c r="F110" s="112" t="s">
        <v>361</v>
      </c>
      <c r="G110" s="114">
        <v>9</v>
      </c>
      <c r="H110" s="115" t="s">
        <v>1165</v>
      </c>
    </row>
    <row r="111" spans="1:8" ht="19.899999999999999" customHeight="1">
      <c r="A111" s="129">
        <v>46050</v>
      </c>
      <c r="B111" s="117" t="s">
        <v>61</v>
      </c>
      <c r="C111" s="118" t="s">
        <v>1147</v>
      </c>
      <c r="D111" s="117" t="s">
        <v>1144</v>
      </c>
      <c r="E111" s="130">
        <v>1.711805555555556</v>
      </c>
      <c r="F111" s="117" t="s">
        <v>63</v>
      </c>
      <c r="G111" s="119">
        <v>4</v>
      </c>
      <c r="H111" s="120" t="s">
        <v>1157</v>
      </c>
    </row>
    <row r="112" spans="1:8" ht="19.899999999999999" customHeight="1">
      <c r="A112" s="121">
        <v>46050</v>
      </c>
      <c r="B112" s="112" t="s">
        <v>402</v>
      </c>
      <c r="C112" s="113" t="s">
        <v>1155</v>
      </c>
      <c r="D112" s="112" t="s">
        <v>1144</v>
      </c>
      <c r="E112" s="122">
        <v>1.756944444444444</v>
      </c>
      <c r="F112" s="112" t="s">
        <v>63</v>
      </c>
      <c r="G112" s="114">
        <v>5</v>
      </c>
      <c r="H112" s="115" t="s">
        <v>1162</v>
      </c>
    </row>
    <row r="113" spans="1:8" ht="19.899999999999999" customHeight="1">
      <c r="A113" s="121">
        <v>46050</v>
      </c>
      <c r="B113" s="112" t="s">
        <v>359</v>
      </c>
      <c r="C113" s="113" t="s">
        <v>1152</v>
      </c>
      <c r="D113" s="112" t="s">
        <v>1144</v>
      </c>
      <c r="E113" s="122">
        <v>1.4965277777777779</v>
      </c>
      <c r="F113" s="112" t="s">
        <v>46</v>
      </c>
      <c r="G113" s="114">
        <v>9</v>
      </c>
      <c r="H113" s="115" t="s">
        <v>1166</v>
      </c>
    </row>
    <row r="114" spans="1:8" ht="19.899999999999999" customHeight="1">
      <c r="A114" s="123">
        <v>46050</v>
      </c>
      <c r="B114" s="124" t="s">
        <v>415</v>
      </c>
      <c r="C114" s="125" t="s">
        <v>1150</v>
      </c>
      <c r="D114" s="124" t="s">
        <v>1144</v>
      </c>
      <c r="E114" s="126">
        <v>1.805555555555556</v>
      </c>
      <c r="F114" s="124" t="s">
        <v>63</v>
      </c>
      <c r="G114" s="127">
        <v>9</v>
      </c>
      <c r="H114" s="128" t="s">
        <v>1163</v>
      </c>
    </row>
    <row r="115" spans="1:8" ht="19.899999999999999" customHeight="1">
      <c r="A115" s="121">
        <v>46051</v>
      </c>
      <c r="B115" s="112" t="s">
        <v>68</v>
      </c>
      <c r="C115" s="113" t="s">
        <v>1149</v>
      </c>
      <c r="D115" s="112" t="s">
        <v>1144</v>
      </c>
      <c r="E115" s="122">
        <v>1.9826388888888891</v>
      </c>
      <c r="F115" s="112" t="s">
        <v>643</v>
      </c>
      <c r="G115" s="114">
        <v>9</v>
      </c>
      <c r="H115" s="115" t="s">
        <v>33</v>
      </c>
    </row>
    <row r="116" spans="1:8" ht="19.899999999999999" customHeight="1">
      <c r="A116" s="129">
        <v>46051</v>
      </c>
      <c r="B116" s="117" t="s">
        <v>61</v>
      </c>
      <c r="C116" s="118" t="s">
        <v>1147</v>
      </c>
      <c r="D116" s="117" t="s">
        <v>1144</v>
      </c>
      <c r="E116" s="130">
        <v>1.711805555555556</v>
      </c>
      <c r="F116" s="117" t="s">
        <v>63</v>
      </c>
      <c r="G116" s="119">
        <v>4</v>
      </c>
      <c r="H116" s="120" t="s">
        <v>1175</v>
      </c>
    </row>
    <row r="117" spans="1:8" ht="19.899999999999999" customHeight="1">
      <c r="A117" s="121">
        <v>46051</v>
      </c>
      <c r="B117" s="112" t="s">
        <v>402</v>
      </c>
      <c r="C117" s="113" t="s">
        <v>1145</v>
      </c>
      <c r="D117" s="112" t="s">
        <v>1144</v>
      </c>
      <c r="E117" s="122">
        <v>1.756944444444444</v>
      </c>
      <c r="F117" s="112" t="s">
        <v>63</v>
      </c>
      <c r="G117" s="114">
        <v>5</v>
      </c>
      <c r="H117" s="115" t="s">
        <v>1162</v>
      </c>
    </row>
    <row r="118" spans="1:8" ht="19.899999999999999" customHeight="1">
      <c r="A118" s="123">
        <v>46051</v>
      </c>
      <c r="B118" s="124" t="s">
        <v>415</v>
      </c>
      <c r="C118" s="125" t="s">
        <v>1150</v>
      </c>
      <c r="D118" s="124" t="s">
        <v>1144</v>
      </c>
      <c r="E118" s="126">
        <v>1.805555555555556</v>
      </c>
      <c r="F118" s="124" t="s">
        <v>63</v>
      </c>
      <c r="G118" s="127">
        <v>9</v>
      </c>
      <c r="H118" s="128" t="s">
        <v>1163</v>
      </c>
    </row>
    <row r="119" spans="1:8" ht="19.899999999999999" customHeight="1">
      <c r="A119" s="121">
        <v>46052</v>
      </c>
      <c r="B119" s="112" t="s">
        <v>68</v>
      </c>
      <c r="C119" s="113" t="s">
        <v>1149</v>
      </c>
      <c r="D119" s="112" t="s">
        <v>1144</v>
      </c>
      <c r="E119" s="122">
        <v>1.9826388888888891</v>
      </c>
      <c r="F119" s="112" t="s">
        <v>643</v>
      </c>
      <c r="G119" s="114">
        <v>8</v>
      </c>
      <c r="H119" s="115" t="s">
        <v>33</v>
      </c>
    </row>
    <row r="120" spans="1:8" ht="19.899999999999999" customHeight="1">
      <c r="A120" s="121">
        <v>46052</v>
      </c>
      <c r="B120" s="112" t="s">
        <v>359</v>
      </c>
      <c r="C120" s="113" t="s">
        <v>1152</v>
      </c>
      <c r="D120" s="112" t="s">
        <v>1144</v>
      </c>
      <c r="E120" s="122">
        <v>1.4965277777777779</v>
      </c>
      <c r="F120" s="112" t="s">
        <v>361</v>
      </c>
      <c r="G120" s="114">
        <v>9</v>
      </c>
      <c r="H120" s="115" t="s">
        <v>1167</v>
      </c>
    </row>
    <row r="121" spans="1:8" ht="19.899999999999999" customHeight="1">
      <c r="A121" s="121">
        <v>46052</v>
      </c>
      <c r="B121" s="112" t="s">
        <v>402</v>
      </c>
      <c r="C121" s="113" t="s">
        <v>1155</v>
      </c>
      <c r="D121" s="112" t="s">
        <v>1144</v>
      </c>
      <c r="E121" s="122">
        <v>1.756944444444444</v>
      </c>
      <c r="F121" s="112" t="s">
        <v>63</v>
      </c>
      <c r="G121" s="114">
        <v>5</v>
      </c>
      <c r="H121" s="115" t="s">
        <v>1162</v>
      </c>
    </row>
    <row r="122" spans="1:8" ht="19.899999999999999" customHeight="1">
      <c r="A122" s="121">
        <v>46052</v>
      </c>
      <c r="B122" s="112" t="s">
        <v>359</v>
      </c>
      <c r="C122" s="113" t="s">
        <v>1152</v>
      </c>
      <c r="D122" s="112" t="s">
        <v>1144</v>
      </c>
      <c r="E122" s="122">
        <v>1.4965277777777779</v>
      </c>
      <c r="F122" s="112" t="s">
        <v>46</v>
      </c>
      <c r="G122" s="114">
        <v>9</v>
      </c>
      <c r="H122" s="115" t="s">
        <v>1168</v>
      </c>
    </row>
    <row r="123" spans="1:8" ht="19.899999999999999" customHeight="1">
      <c r="A123" s="123">
        <v>46052</v>
      </c>
      <c r="B123" s="124" t="s">
        <v>415</v>
      </c>
      <c r="C123" s="125" t="s">
        <v>1150</v>
      </c>
      <c r="D123" s="124" t="s">
        <v>1144</v>
      </c>
      <c r="E123" s="126">
        <v>1.854166666666667</v>
      </c>
      <c r="F123" s="124" t="s">
        <v>63</v>
      </c>
      <c r="G123" s="127">
        <v>9</v>
      </c>
      <c r="H123" s="128" t="s">
        <v>1163</v>
      </c>
    </row>
    <row r="124" spans="1:8" ht="19.899999999999999" customHeight="1">
      <c r="A124" s="129">
        <v>46053</v>
      </c>
      <c r="B124" s="117" t="s">
        <v>61</v>
      </c>
      <c r="C124" s="118" t="s">
        <v>1147</v>
      </c>
      <c r="D124" s="117" t="s">
        <v>1144</v>
      </c>
      <c r="E124" s="130">
        <v>1.836805555555556</v>
      </c>
      <c r="F124" s="117" t="s">
        <v>63</v>
      </c>
      <c r="G124" s="119">
        <v>3</v>
      </c>
      <c r="H124" s="120" t="s">
        <v>1157</v>
      </c>
    </row>
    <row r="125" spans="1:8" ht="19.899999999999999" customHeight="1">
      <c r="A125" s="121">
        <v>46053</v>
      </c>
      <c r="B125" s="112" t="s">
        <v>402</v>
      </c>
      <c r="C125" s="113" t="s">
        <v>1145</v>
      </c>
      <c r="D125" s="112" t="s">
        <v>1144</v>
      </c>
      <c r="E125" s="122">
        <v>1.756944444444444</v>
      </c>
      <c r="F125" s="112" t="s">
        <v>63</v>
      </c>
      <c r="G125" s="114">
        <v>5</v>
      </c>
      <c r="H125" s="115" t="s">
        <v>1162</v>
      </c>
    </row>
    <row r="126" spans="1:8" ht="19.899999999999999" customHeight="1">
      <c r="A126" s="123">
        <v>46053</v>
      </c>
      <c r="B126" s="124" t="s">
        <v>415</v>
      </c>
      <c r="C126" s="125" t="s">
        <v>1171</v>
      </c>
      <c r="D126" s="124" t="s">
        <v>1144</v>
      </c>
      <c r="E126" s="126">
        <v>1.6736111111111109</v>
      </c>
      <c r="F126" s="124" t="s">
        <v>63</v>
      </c>
      <c r="G126" s="127">
        <v>9</v>
      </c>
      <c r="H126" s="128" t="s">
        <v>1163</v>
      </c>
    </row>
  </sheetData>
  <pageMargins left="0.75" right="0.75" top="1" bottom="1" header="0.5" footer="0.5"/>
  <legacyDrawing r:id="rId1"/>
  <tableParts count="1">
    <tablePart r:id="rId2"/>
  </tablePart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92"/>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57.8554687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1" t="s">
        <v>254</v>
      </c>
      <c r="B2" s="112" t="s">
        <v>402</v>
      </c>
      <c r="C2" s="113" t="s">
        <v>1145</v>
      </c>
      <c r="D2" s="112" t="s">
        <v>1144</v>
      </c>
      <c r="E2" s="112" t="s">
        <v>578</v>
      </c>
      <c r="F2" s="112" t="s">
        <v>63</v>
      </c>
      <c r="G2" s="114">
        <v>3</v>
      </c>
      <c r="H2" s="115" t="s">
        <v>1146</v>
      </c>
    </row>
    <row r="3" spans="1:8" ht="19.899999999999999" customHeight="1">
      <c r="A3" s="116" t="s">
        <v>254</v>
      </c>
      <c r="B3" s="117" t="s">
        <v>61</v>
      </c>
      <c r="C3" s="118" t="s">
        <v>1147</v>
      </c>
      <c r="D3" s="117" t="s">
        <v>1144</v>
      </c>
      <c r="E3" s="117" t="s">
        <v>1176</v>
      </c>
      <c r="F3" s="117" t="s">
        <v>63</v>
      </c>
      <c r="G3" s="119">
        <v>4</v>
      </c>
      <c r="H3" s="120" t="s">
        <v>33</v>
      </c>
    </row>
    <row r="4" spans="1:8" ht="19.899999999999999" customHeight="1">
      <c r="A4" s="123">
        <v>46023</v>
      </c>
      <c r="B4" s="124" t="s">
        <v>68</v>
      </c>
      <c r="C4" s="125" t="s">
        <v>1149</v>
      </c>
      <c r="D4" s="124" t="s">
        <v>1144</v>
      </c>
      <c r="E4" s="126">
        <v>1.9826388888888891</v>
      </c>
      <c r="F4" s="124" t="s">
        <v>643</v>
      </c>
      <c r="G4" s="127">
        <v>9</v>
      </c>
      <c r="H4" s="128" t="s">
        <v>33</v>
      </c>
    </row>
    <row r="5" spans="1:8" ht="19.899999999999999" customHeight="1">
      <c r="A5" s="121">
        <v>46024</v>
      </c>
      <c r="B5" s="112" t="s">
        <v>359</v>
      </c>
      <c r="C5" s="113" t="s">
        <v>1152</v>
      </c>
      <c r="D5" s="112" t="s">
        <v>1144</v>
      </c>
      <c r="E5" s="122">
        <v>1.4965277777777779</v>
      </c>
      <c r="F5" s="112" t="s">
        <v>361</v>
      </c>
      <c r="G5" s="114">
        <v>9</v>
      </c>
      <c r="H5" s="115" t="s">
        <v>1153</v>
      </c>
    </row>
    <row r="6" spans="1:8" ht="19.899999999999999" customHeight="1">
      <c r="A6" s="121">
        <v>46024</v>
      </c>
      <c r="B6" s="112" t="s">
        <v>402</v>
      </c>
      <c r="C6" s="113" t="s">
        <v>1155</v>
      </c>
      <c r="D6" s="112" t="s">
        <v>1144</v>
      </c>
      <c r="E6" s="122">
        <v>1.756944444444444</v>
      </c>
      <c r="F6" s="112" t="s">
        <v>63</v>
      </c>
      <c r="G6" s="114">
        <v>4</v>
      </c>
      <c r="H6" s="115" t="s">
        <v>1146</v>
      </c>
    </row>
    <row r="7" spans="1:8" ht="19.899999999999999" customHeight="1">
      <c r="A7" s="121">
        <v>46024</v>
      </c>
      <c r="B7" s="112" t="s">
        <v>68</v>
      </c>
      <c r="C7" s="113" t="s">
        <v>1149</v>
      </c>
      <c r="D7" s="112" t="s">
        <v>1144</v>
      </c>
      <c r="E7" s="122">
        <v>1.9826388888888891</v>
      </c>
      <c r="F7" s="112" t="s">
        <v>70</v>
      </c>
      <c r="G7" s="114">
        <v>9</v>
      </c>
      <c r="H7" s="115" t="s">
        <v>1156</v>
      </c>
    </row>
    <row r="8" spans="1:8" ht="19.899999999999999" customHeight="1">
      <c r="A8" s="121">
        <v>46024</v>
      </c>
      <c r="B8" s="112" t="s">
        <v>415</v>
      </c>
      <c r="C8" s="113" t="s">
        <v>1150</v>
      </c>
      <c r="D8" s="112" t="s">
        <v>1144</v>
      </c>
      <c r="E8" s="122">
        <v>1.854166666666667</v>
      </c>
      <c r="F8" s="112" t="s">
        <v>63</v>
      </c>
      <c r="G8" s="114">
        <v>7</v>
      </c>
      <c r="H8" s="115" t="s">
        <v>1151</v>
      </c>
    </row>
    <row r="9" spans="1:8" ht="19.899999999999999" customHeight="1">
      <c r="A9" s="123">
        <v>46024</v>
      </c>
      <c r="B9" s="124" t="s">
        <v>359</v>
      </c>
      <c r="C9" s="125" t="s">
        <v>1152</v>
      </c>
      <c r="D9" s="124" t="s">
        <v>1144</v>
      </c>
      <c r="E9" s="126">
        <v>1.4965277777777779</v>
      </c>
      <c r="F9" s="124" t="s">
        <v>46</v>
      </c>
      <c r="G9" s="127">
        <v>9</v>
      </c>
      <c r="H9" s="128" t="s">
        <v>1154</v>
      </c>
    </row>
    <row r="10" spans="1:8" ht="19.899999999999999" customHeight="1">
      <c r="A10" s="136">
        <v>46025</v>
      </c>
      <c r="B10" s="132" t="s">
        <v>61</v>
      </c>
      <c r="C10" s="133" t="s">
        <v>1147</v>
      </c>
      <c r="D10" s="132" t="s">
        <v>1144</v>
      </c>
      <c r="E10" s="137">
        <v>1.836805555555556</v>
      </c>
      <c r="F10" s="132" t="s">
        <v>63</v>
      </c>
      <c r="G10" s="134">
        <v>4</v>
      </c>
      <c r="H10" s="135" t="s">
        <v>1157</v>
      </c>
    </row>
    <row r="11" spans="1:8" ht="19.899999999999999" customHeight="1">
      <c r="A11" s="121">
        <v>46026</v>
      </c>
      <c r="B11" s="112" t="s">
        <v>359</v>
      </c>
      <c r="C11" s="113" t="s">
        <v>1152</v>
      </c>
      <c r="D11" s="112" t="s">
        <v>1144</v>
      </c>
      <c r="E11" s="122">
        <v>1.538194444444444</v>
      </c>
      <c r="F11" s="112" t="s">
        <v>361</v>
      </c>
      <c r="G11" s="114">
        <v>9</v>
      </c>
      <c r="H11" s="115" t="s">
        <v>1153</v>
      </c>
    </row>
    <row r="12" spans="1:8" ht="19.899999999999999" customHeight="1">
      <c r="A12" s="121">
        <v>46026</v>
      </c>
      <c r="B12" s="112" t="s">
        <v>402</v>
      </c>
      <c r="C12" s="113" t="s">
        <v>1159</v>
      </c>
      <c r="D12" s="112" t="s">
        <v>1144</v>
      </c>
      <c r="E12" s="122">
        <v>1.756944444444444</v>
      </c>
      <c r="F12" s="112" t="s">
        <v>63</v>
      </c>
      <c r="G12" s="114">
        <v>5</v>
      </c>
      <c r="H12" s="115" t="s">
        <v>1146</v>
      </c>
    </row>
    <row r="13" spans="1:8" ht="19.899999999999999" customHeight="1">
      <c r="A13" s="121">
        <v>46026</v>
      </c>
      <c r="B13" s="112" t="s">
        <v>415</v>
      </c>
      <c r="C13" s="113" t="s">
        <v>1150</v>
      </c>
      <c r="D13" s="112" t="s">
        <v>1144</v>
      </c>
      <c r="E13" s="122">
        <v>1.805555555555556</v>
      </c>
      <c r="F13" s="112" t="s">
        <v>63</v>
      </c>
      <c r="G13" s="114">
        <v>8</v>
      </c>
      <c r="H13" s="115" t="s">
        <v>1151</v>
      </c>
    </row>
    <row r="14" spans="1:8" ht="19.899999999999999" customHeight="1">
      <c r="A14" s="123">
        <v>46026</v>
      </c>
      <c r="B14" s="124" t="s">
        <v>359</v>
      </c>
      <c r="C14" s="125" t="s">
        <v>1152</v>
      </c>
      <c r="D14" s="124" t="s">
        <v>1144</v>
      </c>
      <c r="E14" s="126">
        <v>1.538194444444444</v>
      </c>
      <c r="F14" s="124" t="s">
        <v>46</v>
      </c>
      <c r="G14" s="127">
        <v>9</v>
      </c>
      <c r="H14" s="128" t="s">
        <v>1154</v>
      </c>
    </row>
    <row r="15" spans="1:8" ht="19.899999999999999" customHeight="1">
      <c r="A15" s="121">
        <v>46027</v>
      </c>
      <c r="B15" s="112" t="s">
        <v>359</v>
      </c>
      <c r="C15" s="113" t="s">
        <v>1152</v>
      </c>
      <c r="D15" s="112" t="s">
        <v>1144</v>
      </c>
      <c r="E15" s="122">
        <v>1.538194444444444</v>
      </c>
      <c r="F15" s="112" t="s">
        <v>361</v>
      </c>
      <c r="G15" s="114">
        <v>9</v>
      </c>
      <c r="H15" s="115" t="s">
        <v>1160</v>
      </c>
    </row>
    <row r="16" spans="1:8" ht="19.899999999999999" customHeight="1">
      <c r="A16" s="121">
        <v>46027</v>
      </c>
      <c r="B16" s="112" t="s">
        <v>402</v>
      </c>
      <c r="C16" s="113" t="s">
        <v>1155</v>
      </c>
      <c r="D16" s="112" t="s">
        <v>1144</v>
      </c>
      <c r="E16" s="122">
        <v>1.7152777777777779</v>
      </c>
      <c r="F16" s="112" t="s">
        <v>63</v>
      </c>
      <c r="G16" s="114">
        <v>3</v>
      </c>
      <c r="H16" s="115" t="s">
        <v>1146</v>
      </c>
    </row>
    <row r="17" spans="1:8" ht="19.899999999999999" customHeight="1">
      <c r="A17" s="121">
        <v>46027</v>
      </c>
      <c r="B17" s="112" t="s">
        <v>68</v>
      </c>
      <c r="C17" s="113" t="s">
        <v>1149</v>
      </c>
      <c r="D17" s="112" t="s">
        <v>1144</v>
      </c>
      <c r="E17" s="122">
        <v>1.9826388888888891</v>
      </c>
      <c r="F17" s="112" t="s">
        <v>70</v>
      </c>
      <c r="G17" s="114">
        <v>9</v>
      </c>
      <c r="H17" s="115" t="s">
        <v>1156</v>
      </c>
    </row>
    <row r="18" spans="1:8" ht="19.899999999999999" customHeight="1">
      <c r="A18" s="123">
        <v>46027</v>
      </c>
      <c r="B18" s="124" t="s">
        <v>359</v>
      </c>
      <c r="C18" s="125" t="s">
        <v>1152</v>
      </c>
      <c r="D18" s="124" t="s">
        <v>1144</v>
      </c>
      <c r="E18" s="126">
        <v>1.538194444444444</v>
      </c>
      <c r="F18" s="124" t="s">
        <v>46</v>
      </c>
      <c r="G18" s="127">
        <v>9</v>
      </c>
      <c r="H18" s="128" t="s">
        <v>1161</v>
      </c>
    </row>
    <row r="19" spans="1:8" ht="19.899999999999999" customHeight="1">
      <c r="A19" s="121">
        <v>46028</v>
      </c>
      <c r="B19" s="112" t="s">
        <v>402</v>
      </c>
      <c r="C19" s="113" t="s">
        <v>1145</v>
      </c>
      <c r="D19" s="112" t="s">
        <v>1144</v>
      </c>
      <c r="E19" s="122">
        <v>1.7152777777777779</v>
      </c>
      <c r="F19" s="112" t="s">
        <v>63</v>
      </c>
      <c r="G19" s="114">
        <v>5</v>
      </c>
      <c r="H19" s="115" t="s">
        <v>1146</v>
      </c>
    </row>
    <row r="20" spans="1:8" ht="19.899999999999999" customHeight="1">
      <c r="A20" s="123">
        <v>46028</v>
      </c>
      <c r="B20" s="124" t="s">
        <v>415</v>
      </c>
      <c r="C20" s="125" t="s">
        <v>1150</v>
      </c>
      <c r="D20" s="124" t="s">
        <v>1144</v>
      </c>
      <c r="E20" s="126">
        <v>1.78125</v>
      </c>
      <c r="F20" s="124" t="s">
        <v>63</v>
      </c>
      <c r="G20" s="127">
        <v>7</v>
      </c>
      <c r="H20" s="128" t="s">
        <v>1151</v>
      </c>
    </row>
    <row r="21" spans="1:8" ht="19.899999999999999" customHeight="1">
      <c r="A21" s="121">
        <v>46029</v>
      </c>
      <c r="B21" s="112" t="s">
        <v>402</v>
      </c>
      <c r="C21" s="113" t="s">
        <v>1155</v>
      </c>
      <c r="D21" s="112" t="s">
        <v>1144</v>
      </c>
      <c r="E21" s="122">
        <v>1.756944444444444</v>
      </c>
      <c r="F21" s="112" t="s">
        <v>63</v>
      </c>
      <c r="G21" s="114">
        <v>5</v>
      </c>
      <c r="H21" s="115" t="s">
        <v>1146</v>
      </c>
    </row>
    <row r="22" spans="1:8" ht="19.899999999999999" customHeight="1">
      <c r="A22" s="136">
        <v>46029</v>
      </c>
      <c r="B22" s="132" t="s">
        <v>61</v>
      </c>
      <c r="C22" s="133" t="s">
        <v>1147</v>
      </c>
      <c r="D22" s="132" t="s">
        <v>1144</v>
      </c>
      <c r="E22" s="137">
        <v>1.711805555555556</v>
      </c>
      <c r="F22" s="132" t="s">
        <v>63</v>
      </c>
      <c r="G22" s="134">
        <v>3</v>
      </c>
      <c r="H22" s="135" t="s">
        <v>33</v>
      </c>
    </row>
    <row r="23" spans="1:8" ht="19.899999999999999" customHeight="1">
      <c r="A23" s="121">
        <v>46030</v>
      </c>
      <c r="B23" s="112" t="s">
        <v>402</v>
      </c>
      <c r="C23" s="113" t="s">
        <v>1145</v>
      </c>
      <c r="D23" s="112" t="s">
        <v>1144</v>
      </c>
      <c r="E23" s="122">
        <v>1.756944444444444</v>
      </c>
      <c r="F23" s="112" t="s">
        <v>63</v>
      </c>
      <c r="G23" s="114">
        <v>2</v>
      </c>
      <c r="H23" s="115" t="s">
        <v>1146</v>
      </c>
    </row>
    <row r="24" spans="1:8" ht="19.899999999999999" customHeight="1">
      <c r="A24" s="129">
        <v>46030</v>
      </c>
      <c r="B24" s="117" t="s">
        <v>61</v>
      </c>
      <c r="C24" s="118" t="s">
        <v>1147</v>
      </c>
      <c r="D24" s="117" t="s">
        <v>1144</v>
      </c>
      <c r="E24" s="130">
        <v>1.711805555555556</v>
      </c>
      <c r="F24" s="117" t="s">
        <v>63</v>
      </c>
      <c r="G24" s="119">
        <v>1</v>
      </c>
      <c r="H24" s="120" t="s">
        <v>33</v>
      </c>
    </row>
    <row r="25" spans="1:8" ht="19.899999999999999" customHeight="1">
      <c r="A25" s="123">
        <v>46030</v>
      </c>
      <c r="B25" s="124" t="s">
        <v>68</v>
      </c>
      <c r="C25" s="125" t="s">
        <v>1149</v>
      </c>
      <c r="D25" s="124" t="s">
        <v>1144</v>
      </c>
      <c r="E25" s="126">
        <v>1.9826388888888891</v>
      </c>
      <c r="F25" s="124" t="s">
        <v>643</v>
      </c>
      <c r="G25" s="127">
        <v>9</v>
      </c>
      <c r="H25" s="128" t="s">
        <v>33</v>
      </c>
    </row>
    <row r="26" spans="1:8" ht="19.899999999999999" customHeight="1">
      <c r="A26" s="121">
        <v>46031</v>
      </c>
      <c r="B26" s="112" t="s">
        <v>359</v>
      </c>
      <c r="C26" s="113" t="s">
        <v>1152</v>
      </c>
      <c r="D26" s="112" t="s">
        <v>1144</v>
      </c>
      <c r="E26" s="122">
        <v>1.4965277777777779</v>
      </c>
      <c r="F26" s="112" t="s">
        <v>361</v>
      </c>
      <c r="G26" s="114">
        <v>9</v>
      </c>
      <c r="H26" s="115" t="s">
        <v>1153</v>
      </c>
    </row>
    <row r="27" spans="1:8" ht="19.899999999999999" customHeight="1">
      <c r="A27" s="121">
        <v>46031</v>
      </c>
      <c r="B27" s="112" t="s">
        <v>402</v>
      </c>
      <c r="C27" s="113" t="s">
        <v>1155</v>
      </c>
      <c r="D27" s="112" t="s">
        <v>1144</v>
      </c>
      <c r="E27" s="122">
        <v>1.756944444444444</v>
      </c>
      <c r="F27" s="112" t="s">
        <v>63</v>
      </c>
      <c r="G27" s="114">
        <v>2</v>
      </c>
      <c r="H27" s="115" t="s">
        <v>1146</v>
      </c>
    </row>
    <row r="28" spans="1:8" ht="19.899999999999999" customHeight="1">
      <c r="A28" s="121">
        <v>46031</v>
      </c>
      <c r="B28" s="112" t="s">
        <v>68</v>
      </c>
      <c r="C28" s="113" t="s">
        <v>1149</v>
      </c>
      <c r="D28" s="112" t="s">
        <v>1144</v>
      </c>
      <c r="E28" s="122">
        <v>1.9826388888888891</v>
      </c>
      <c r="F28" s="112" t="s">
        <v>70</v>
      </c>
      <c r="G28" s="114">
        <v>9</v>
      </c>
      <c r="H28" s="115" t="s">
        <v>908</v>
      </c>
    </row>
    <row r="29" spans="1:8" ht="19.899999999999999" customHeight="1">
      <c r="A29" s="121">
        <v>46031</v>
      </c>
      <c r="B29" s="112" t="s">
        <v>415</v>
      </c>
      <c r="C29" s="113" t="s">
        <v>1150</v>
      </c>
      <c r="D29" s="112" t="s">
        <v>1144</v>
      </c>
      <c r="E29" s="122">
        <v>1.854166666666667</v>
      </c>
      <c r="F29" s="112" t="s">
        <v>63</v>
      </c>
      <c r="G29" s="114">
        <v>8</v>
      </c>
      <c r="H29" s="115" t="s">
        <v>1151</v>
      </c>
    </row>
    <row r="30" spans="1:8" ht="19.899999999999999" customHeight="1">
      <c r="A30" s="123">
        <v>46031</v>
      </c>
      <c r="B30" s="124" t="s">
        <v>359</v>
      </c>
      <c r="C30" s="125" t="s">
        <v>1152</v>
      </c>
      <c r="D30" s="124" t="s">
        <v>1144</v>
      </c>
      <c r="E30" s="126">
        <v>1.4965277777777779</v>
      </c>
      <c r="F30" s="124" t="s">
        <v>46</v>
      </c>
      <c r="G30" s="127">
        <v>9</v>
      </c>
      <c r="H30" s="128" t="s">
        <v>1154</v>
      </c>
    </row>
    <row r="31" spans="1:8" ht="19.899999999999999" customHeight="1">
      <c r="A31" s="121">
        <v>46032</v>
      </c>
      <c r="B31" s="112" t="s">
        <v>402</v>
      </c>
      <c r="C31" s="113" t="s">
        <v>1145</v>
      </c>
      <c r="D31" s="112" t="s">
        <v>1144</v>
      </c>
      <c r="E31" s="122">
        <v>1.756944444444444</v>
      </c>
      <c r="F31" s="112" t="s">
        <v>63</v>
      </c>
      <c r="G31" s="114">
        <v>4</v>
      </c>
      <c r="H31" s="115" t="s">
        <v>1146</v>
      </c>
    </row>
    <row r="32" spans="1:8" ht="19.899999999999999" customHeight="1">
      <c r="A32" s="136">
        <v>46032</v>
      </c>
      <c r="B32" s="132" t="s">
        <v>61</v>
      </c>
      <c r="C32" s="133" t="s">
        <v>1147</v>
      </c>
      <c r="D32" s="132" t="s">
        <v>1144</v>
      </c>
      <c r="E32" s="137">
        <v>1.836805555555556</v>
      </c>
      <c r="F32" s="132" t="s">
        <v>63</v>
      </c>
      <c r="G32" s="134">
        <v>2</v>
      </c>
      <c r="H32" s="135" t="s">
        <v>33</v>
      </c>
    </row>
    <row r="33" spans="1:8" ht="19.899999999999999" customHeight="1">
      <c r="A33" s="121">
        <v>46033</v>
      </c>
      <c r="B33" s="112" t="s">
        <v>359</v>
      </c>
      <c r="C33" s="113" t="s">
        <v>1152</v>
      </c>
      <c r="D33" s="112" t="s">
        <v>1144</v>
      </c>
      <c r="E33" s="122">
        <v>1.538194444444444</v>
      </c>
      <c r="F33" s="112" t="s">
        <v>361</v>
      </c>
      <c r="G33" s="114">
        <v>9</v>
      </c>
      <c r="H33" s="115" t="s">
        <v>1153</v>
      </c>
    </row>
    <row r="34" spans="1:8" ht="19.899999999999999" customHeight="1">
      <c r="A34" s="121">
        <v>46033</v>
      </c>
      <c r="B34" s="112" t="s">
        <v>402</v>
      </c>
      <c r="C34" s="113" t="s">
        <v>1159</v>
      </c>
      <c r="D34" s="112" t="s">
        <v>1144</v>
      </c>
      <c r="E34" s="122">
        <v>1.756944444444444</v>
      </c>
      <c r="F34" s="112" t="s">
        <v>63</v>
      </c>
      <c r="G34" s="114">
        <v>5</v>
      </c>
      <c r="H34" s="115" t="s">
        <v>1162</v>
      </c>
    </row>
    <row r="35" spans="1:8" ht="19.899999999999999" customHeight="1">
      <c r="A35" s="121">
        <v>46033</v>
      </c>
      <c r="B35" s="112" t="s">
        <v>359</v>
      </c>
      <c r="C35" s="113" t="s">
        <v>1152</v>
      </c>
      <c r="D35" s="112" t="s">
        <v>1144</v>
      </c>
      <c r="E35" s="122">
        <v>1.538194444444444</v>
      </c>
      <c r="F35" s="112" t="s">
        <v>46</v>
      </c>
      <c r="G35" s="114">
        <v>9</v>
      </c>
      <c r="H35" s="115" t="s">
        <v>1154</v>
      </c>
    </row>
    <row r="36" spans="1:8" ht="19.899999999999999" customHeight="1">
      <c r="A36" s="123">
        <v>46033</v>
      </c>
      <c r="B36" s="124" t="s">
        <v>415</v>
      </c>
      <c r="C36" s="125" t="s">
        <v>1150</v>
      </c>
      <c r="D36" s="124" t="s">
        <v>1144</v>
      </c>
      <c r="E36" s="126">
        <v>1.805555555555556</v>
      </c>
      <c r="F36" s="124" t="s">
        <v>63</v>
      </c>
      <c r="G36" s="127">
        <v>9</v>
      </c>
      <c r="H36" s="128" t="s">
        <v>1163</v>
      </c>
    </row>
    <row r="37" spans="1:8" ht="19.899999999999999" customHeight="1">
      <c r="A37" s="121">
        <v>46034</v>
      </c>
      <c r="B37" s="112" t="s">
        <v>359</v>
      </c>
      <c r="C37" s="113" t="s">
        <v>1152</v>
      </c>
      <c r="D37" s="112" t="s">
        <v>1144</v>
      </c>
      <c r="E37" s="122">
        <v>1.538194444444444</v>
      </c>
      <c r="F37" s="112" t="s">
        <v>361</v>
      </c>
      <c r="G37" s="114">
        <v>9</v>
      </c>
      <c r="H37" s="115" t="s">
        <v>1160</v>
      </c>
    </row>
    <row r="38" spans="1:8" ht="19.899999999999999" customHeight="1">
      <c r="A38" s="121">
        <v>46034</v>
      </c>
      <c r="B38" s="112" t="s">
        <v>68</v>
      </c>
      <c r="C38" s="113" t="s">
        <v>1149</v>
      </c>
      <c r="D38" s="112" t="s">
        <v>1144</v>
      </c>
      <c r="E38" s="122">
        <v>1.9826388888888891</v>
      </c>
      <c r="F38" s="112" t="s">
        <v>643</v>
      </c>
      <c r="G38" s="114">
        <v>9</v>
      </c>
      <c r="H38" s="115" t="s">
        <v>33</v>
      </c>
    </row>
    <row r="39" spans="1:8" ht="19.899999999999999" customHeight="1">
      <c r="A39" s="121">
        <v>46034</v>
      </c>
      <c r="B39" s="112" t="s">
        <v>359</v>
      </c>
      <c r="C39" s="113" t="s">
        <v>1152</v>
      </c>
      <c r="D39" s="112" t="s">
        <v>1144</v>
      </c>
      <c r="E39" s="122">
        <v>1.538194444444444</v>
      </c>
      <c r="F39" s="112" t="s">
        <v>46</v>
      </c>
      <c r="G39" s="114">
        <v>9</v>
      </c>
      <c r="H39" s="115" t="s">
        <v>1161</v>
      </c>
    </row>
    <row r="40" spans="1:8" ht="19.899999999999999" customHeight="1">
      <c r="A40" s="121">
        <v>46034</v>
      </c>
      <c r="B40" s="112" t="s">
        <v>402</v>
      </c>
      <c r="C40" s="113" t="s">
        <v>1155</v>
      </c>
      <c r="D40" s="112" t="s">
        <v>1144</v>
      </c>
      <c r="E40" s="122">
        <v>1.7152777777777779</v>
      </c>
      <c r="F40" s="112" t="s">
        <v>63</v>
      </c>
      <c r="G40" s="114">
        <v>5</v>
      </c>
      <c r="H40" s="115" t="s">
        <v>1162</v>
      </c>
    </row>
    <row r="41" spans="1:8" ht="19.899999999999999" customHeight="1">
      <c r="A41" s="123">
        <v>46034</v>
      </c>
      <c r="B41" s="124" t="s">
        <v>415</v>
      </c>
      <c r="C41" s="125" t="s">
        <v>1150</v>
      </c>
      <c r="D41" s="124" t="s">
        <v>1144</v>
      </c>
      <c r="E41" s="126">
        <v>1.78125</v>
      </c>
      <c r="F41" s="124" t="s">
        <v>63</v>
      </c>
      <c r="G41" s="127">
        <v>9</v>
      </c>
      <c r="H41" s="128" t="s">
        <v>1163</v>
      </c>
    </row>
    <row r="42" spans="1:8" ht="19.899999999999999" customHeight="1">
      <c r="A42" s="121">
        <v>46035</v>
      </c>
      <c r="B42" s="112" t="s">
        <v>402</v>
      </c>
      <c r="C42" s="113" t="s">
        <v>1145</v>
      </c>
      <c r="D42" s="112" t="s">
        <v>1144</v>
      </c>
      <c r="E42" s="122">
        <v>1.7152777777777779</v>
      </c>
      <c r="F42" s="112" t="s">
        <v>63</v>
      </c>
      <c r="G42" s="114">
        <v>5</v>
      </c>
      <c r="H42" s="115" t="s">
        <v>1162</v>
      </c>
    </row>
    <row r="43" spans="1:8" ht="19.899999999999999" customHeight="1">
      <c r="A43" s="123">
        <v>46035</v>
      </c>
      <c r="B43" s="124" t="s">
        <v>415</v>
      </c>
      <c r="C43" s="125" t="s">
        <v>1150</v>
      </c>
      <c r="D43" s="124" t="s">
        <v>1144</v>
      </c>
      <c r="E43" s="126">
        <v>1.78125</v>
      </c>
      <c r="F43" s="124" t="s">
        <v>63</v>
      </c>
      <c r="G43" s="127">
        <v>9</v>
      </c>
      <c r="H43" s="128" t="s">
        <v>1163</v>
      </c>
    </row>
    <row r="44" spans="1:8" ht="19.899999999999999" customHeight="1">
      <c r="A44" s="129">
        <v>46036</v>
      </c>
      <c r="B44" s="117" t="s">
        <v>61</v>
      </c>
      <c r="C44" s="118" t="s">
        <v>1147</v>
      </c>
      <c r="D44" s="117" t="s">
        <v>1144</v>
      </c>
      <c r="E44" s="130">
        <v>1.711805555555556</v>
      </c>
      <c r="F44" s="117" t="s">
        <v>63</v>
      </c>
      <c r="G44" s="119">
        <v>4</v>
      </c>
      <c r="H44" s="120" t="s">
        <v>33</v>
      </c>
    </row>
    <row r="45" spans="1:8" ht="19.899999999999999" customHeight="1">
      <c r="A45" s="123">
        <v>46036</v>
      </c>
      <c r="B45" s="124" t="s">
        <v>68</v>
      </c>
      <c r="C45" s="125" t="s">
        <v>1149</v>
      </c>
      <c r="D45" s="124" t="s">
        <v>1144</v>
      </c>
      <c r="E45" s="126">
        <v>1.9826388888888891</v>
      </c>
      <c r="F45" s="124" t="s">
        <v>643</v>
      </c>
      <c r="G45" s="127">
        <v>9</v>
      </c>
      <c r="H45" s="128" t="s">
        <v>33</v>
      </c>
    </row>
    <row r="46" spans="1:8" ht="19.899999999999999" customHeight="1">
      <c r="A46" s="136">
        <v>46037</v>
      </c>
      <c r="B46" s="132" t="s">
        <v>61</v>
      </c>
      <c r="C46" s="133" t="s">
        <v>1147</v>
      </c>
      <c r="D46" s="132" t="s">
        <v>1144</v>
      </c>
      <c r="E46" s="137">
        <v>1.711805555555556</v>
      </c>
      <c r="F46" s="132" t="s">
        <v>63</v>
      </c>
      <c r="G46" s="134">
        <v>9</v>
      </c>
      <c r="H46" s="135" t="s">
        <v>179</v>
      </c>
    </row>
    <row r="47" spans="1:8" ht="19.899999999999999" customHeight="1">
      <c r="A47" s="121">
        <v>46038</v>
      </c>
      <c r="B47" s="112" t="s">
        <v>359</v>
      </c>
      <c r="C47" s="113" t="s">
        <v>1152</v>
      </c>
      <c r="D47" s="112" t="s">
        <v>1144</v>
      </c>
      <c r="E47" s="122">
        <v>1.4965277777777779</v>
      </c>
      <c r="F47" s="112" t="s">
        <v>361</v>
      </c>
      <c r="G47" s="114">
        <v>9</v>
      </c>
      <c r="H47" s="115" t="s">
        <v>1167</v>
      </c>
    </row>
    <row r="48" spans="1:8" ht="19.899999999999999" customHeight="1">
      <c r="A48" s="121">
        <v>46038</v>
      </c>
      <c r="B48" s="112" t="s">
        <v>402</v>
      </c>
      <c r="C48" s="113" t="s">
        <v>1155</v>
      </c>
      <c r="D48" s="112" t="s">
        <v>1144</v>
      </c>
      <c r="E48" s="122">
        <v>1.756944444444444</v>
      </c>
      <c r="F48" s="112" t="s">
        <v>63</v>
      </c>
      <c r="G48" s="114">
        <v>5</v>
      </c>
      <c r="H48" s="115" t="s">
        <v>1162</v>
      </c>
    </row>
    <row r="49" spans="1:8" ht="19.899999999999999" customHeight="1">
      <c r="A49" s="121">
        <v>46038</v>
      </c>
      <c r="B49" s="112" t="s">
        <v>359</v>
      </c>
      <c r="C49" s="113" t="s">
        <v>1152</v>
      </c>
      <c r="D49" s="112" t="s">
        <v>1144</v>
      </c>
      <c r="E49" s="122">
        <v>1.4965277777777779</v>
      </c>
      <c r="F49" s="112" t="s">
        <v>46</v>
      </c>
      <c r="G49" s="114">
        <v>9</v>
      </c>
      <c r="H49" s="115" t="s">
        <v>1168</v>
      </c>
    </row>
    <row r="50" spans="1:8" ht="19.899999999999999" customHeight="1">
      <c r="A50" s="121">
        <v>46038</v>
      </c>
      <c r="B50" s="112" t="s">
        <v>68</v>
      </c>
      <c r="C50" s="113" t="s">
        <v>1149</v>
      </c>
      <c r="D50" s="112" t="s">
        <v>1144</v>
      </c>
      <c r="E50" s="122">
        <v>1.9826388888888891</v>
      </c>
      <c r="F50" s="112" t="s">
        <v>70</v>
      </c>
      <c r="G50" s="114">
        <v>9</v>
      </c>
      <c r="H50" s="115" t="s">
        <v>1093</v>
      </c>
    </row>
    <row r="51" spans="1:8" ht="19.899999999999999" customHeight="1">
      <c r="A51" s="123">
        <v>46038</v>
      </c>
      <c r="B51" s="124" t="s">
        <v>415</v>
      </c>
      <c r="C51" s="125" t="s">
        <v>1150</v>
      </c>
      <c r="D51" s="124" t="s">
        <v>1144</v>
      </c>
      <c r="E51" s="126">
        <v>1.854166666666667</v>
      </c>
      <c r="F51" s="124" t="s">
        <v>63</v>
      </c>
      <c r="G51" s="127">
        <v>8</v>
      </c>
      <c r="H51" s="128" t="s">
        <v>1163</v>
      </c>
    </row>
    <row r="52" spans="1:8" ht="19.899999999999999" customHeight="1">
      <c r="A52" s="136">
        <v>46039</v>
      </c>
      <c r="B52" s="132" t="s">
        <v>61</v>
      </c>
      <c r="C52" s="133" t="s">
        <v>1147</v>
      </c>
      <c r="D52" s="132" t="s">
        <v>1144</v>
      </c>
      <c r="E52" s="137">
        <v>1.836805555555556</v>
      </c>
      <c r="F52" s="132" t="s">
        <v>63</v>
      </c>
      <c r="G52" s="134">
        <v>4</v>
      </c>
      <c r="H52" s="135" t="s">
        <v>1021</v>
      </c>
    </row>
    <row r="53" spans="1:8" ht="19.899999999999999" customHeight="1">
      <c r="A53" s="121">
        <v>46040</v>
      </c>
      <c r="B53" s="112" t="s">
        <v>359</v>
      </c>
      <c r="C53" s="113" t="s">
        <v>1152</v>
      </c>
      <c r="D53" s="112" t="s">
        <v>1144</v>
      </c>
      <c r="E53" s="122">
        <v>1.538194444444444</v>
      </c>
      <c r="F53" s="112" t="s">
        <v>361</v>
      </c>
      <c r="G53" s="114">
        <v>9</v>
      </c>
      <c r="H53" s="115" t="s">
        <v>1167</v>
      </c>
    </row>
    <row r="54" spans="1:8" ht="19.899999999999999" customHeight="1">
      <c r="A54" s="121">
        <v>46040</v>
      </c>
      <c r="B54" s="112" t="s">
        <v>402</v>
      </c>
      <c r="C54" s="113" t="s">
        <v>1159</v>
      </c>
      <c r="D54" s="112" t="s">
        <v>1144</v>
      </c>
      <c r="E54" s="122">
        <v>1.756944444444444</v>
      </c>
      <c r="F54" s="112" t="s">
        <v>63</v>
      </c>
      <c r="G54" s="114">
        <v>5</v>
      </c>
      <c r="H54" s="115" t="s">
        <v>1162</v>
      </c>
    </row>
    <row r="55" spans="1:8" ht="19.899999999999999" customHeight="1">
      <c r="A55" s="121">
        <v>46040</v>
      </c>
      <c r="B55" s="112" t="s">
        <v>359</v>
      </c>
      <c r="C55" s="113" t="s">
        <v>1152</v>
      </c>
      <c r="D55" s="112" t="s">
        <v>1144</v>
      </c>
      <c r="E55" s="122">
        <v>1.538194444444444</v>
      </c>
      <c r="F55" s="112" t="s">
        <v>46</v>
      </c>
      <c r="G55" s="114">
        <v>9</v>
      </c>
      <c r="H55" s="115" t="s">
        <v>1168</v>
      </c>
    </row>
    <row r="56" spans="1:8" ht="19.899999999999999" customHeight="1">
      <c r="A56" s="123">
        <v>46040</v>
      </c>
      <c r="B56" s="124" t="s">
        <v>415</v>
      </c>
      <c r="C56" s="125" t="s">
        <v>1150</v>
      </c>
      <c r="D56" s="124" t="s">
        <v>1144</v>
      </c>
      <c r="E56" s="126">
        <v>1.805555555555556</v>
      </c>
      <c r="F56" s="124" t="s">
        <v>63</v>
      </c>
      <c r="G56" s="127">
        <v>9</v>
      </c>
      <c r="H56" s="128" t="s">
        <v>1163</v>
      </c>
    </row>
    <row r="57" spans="1:8" ht="19.899999999999999" customHeight="1">
      <c r="A57" s="121">
        <v>46041</v>
      </c>
      <c r="B57" s="112" t="s">
        <v>68</v>
      </c>
      <c r="C57" s="113" t="s">
        <v>1149</v>
      </c>
      <c r="D57" s="112" t="s">
        <v>1144</v>
      </c>
      <c r="E57" s="122">
        <v>1.9826388888888891</v>
      </c>
      <c r="F57" s="112" t="s">
        <v>643</v>
      </c>
      <c r="G57" s="114">
        <v>9</v>
      </c>
      <c r="H57" s="115" t="s">
        <v>33</v>
      </c>
    </row>
    <row r="58" spans="1:8" ht="19.899999999999999" customHeight="1">
      <c r="A58" s="121">
        <v>46041</v>
      </c>
      <c r="B58" s="112" t="s">
        <v>359</v>
      </c>
      <c r="C58" s="113" t="s">
        <v>1152</v>
      </c>
      <c r="D58" s="112" t="s">
        <v>1144</v>
      </c>
      <c r="E58" s="122">
        <v>1.538194444444444</v>
      </c>
      <c r="F58" s="112" t="s">
        <v>361</v>
      </c>
      <c r="G58" s="114">
        <v>9</v>
      </c>
      <c r="H58" s="115" t="s">
        <v>1165</v>
      </c>
    </row>
    <row r="59" spans="1:8" ht="19.899999999999999" customHeight="1">
      <c r="A59" s="121">
        <v>46041</v>
      </c>
      <c r="B59" s="112" t="s">
        <v>402</v>
      </c>
      <c r="C59" s="113" t="s">
        <v>1155</v>
      </c>
      <c r="D59" s="112" t="s">
        <v>1144</v>
      </c>
      <c r="E59" s="122">
        <v>1.7152777777777779</v>
      </c>
      <c r="F59" s="112" t="s">
        <v>63</v>
      </c>
      <c r="G59" s="114">
        <v>5</v>
      </c>
      <c r="H59" s="115" t="s">
        <v>1162</v>
      </c>
    </row>
    <row r="60" spans="1:8" ht="19.899999999999999" customHeight="1">
      <c r="A60" s="121">
        <v>46041</v>
      </c>
      <c r="B60" s="112" t="s">
        <v>359</v>
      </c>
      <c r="C60" s="113" t="s">
        <v>1152</v>
      </c>
      <c r="D60" s="112" t="s">
        <v>1144</v>
      </c>
      <c r="E60" s="122">
        <v>1.538194444444444</v>
      </c>
      <c r="F60" s="112" t="s">
        <v>46</v>
      </c>
      <c r="G60" s="114">
        <v>9</v>
      </c>
      <c r="H60" s="115" t="s">
        <v>1166</v>
      </c>
    </row>
    <row r="61" spans="1:8" ht="19.899999999999999" customHeight="1">
      <c r="A61" s="123">
        <v>46041</v>
      </c>
      <c r="B61" s="124" t="s">
        <v>415</v>
      </c>
      <c r="C61" s="125" t="s">
        <v>1150</v>
      </c>
      <c r="D61" s="124" t="s">
        <v>1144</v>
      </c>
      <c r="E61" s="126">
        <v>1.78125</v>
      </c>
      <c r="F61" s="124" t="s">
        <v>63</v>
      </c>
      <c r="G61" s="127">
        <v>9</v>
      </c>
      <c r="H61" s="128" t="s">
        <v>1163</v>
      </c>
    </row>
    <row r="62" spans="1:8" ht="19.899999999999999" customHeight="1">
      <c r="A62" s="121">
        <v>46042</v>
      </c>
      <c r="B62" s="112" t="s">
        <v>402</v>
      </c>
      <c r="C62" s="113" t="s">
        <v>1145</v>
      </c>
      <c r="D62" s="112" t="s">
        <v>1144</v>
      </c>
      <c r="E62" s="122">
        <v>1.7152777777777779</v>
      </c>
      <c r="F62" s="112" t="s">
        <v>63</v>
      </c>
      <c r="G62" s="114">
        <v>5</v>
      </c>
      <c r="H62" s="115" t="s">
        <v>1162</v>
      </c>
    </row>
    <row r="63" spans="1:8" ht="19.899999999999999" customHeight="1">
      <c r="A63" s="123">
        <v>46042</v>
      </c>
      <c r="B63" s="124" t="s">
        <v>415</v>
      </c>
      <c r="C63" s="125" t="s">
        <v>1150</v>
      </c>
      <c r="D63" s="124" t="s">
        <v>1144</v>
      </c>
      <c r="E63" s="126">
        <v>1.78125</v>
      </c>
      <c r="F63" s="124" t="s">
        <v>63</v>
      </c>
      <c r="G63" s="127">
        <v>9</v>
      </c>
      <c r="H63" s="128" t="s">
        <v>1163</v>
      </c>
    </row>
    <row r="64" spans="1:8" ht="19.899999999999999" customHeight="1">
      <c r="A64" s="121">
        <v>46043</v>
      </c>
      <c r="B64" s="112" t="s">
        <v>359</v>
      </c>
      <c r="C64" s="113" t="s">
        <v>1152</v>
      </c>
      <c r="D64" s="112" t="s">
        <v>1144</v>
      </c>
      <c r="E64" s="122">
        <v>1.4965277777777779</v>
      </c>
      <c r="F64" s="112" t="s">
        <v>361</v>
      </c>
      <c r="G64" s="114">
        <v>9</v>
      </c>
      <c r="H64" s="115" t="s">
        <v>1165</v>
      </c>
    </row>
    <row r="65" spans="1:8" ht="19.899999999999999" customHeight="1">
      <c r="A65" s="136">
        <v>46043</v>
      </c>
      <c r="B65" s="132" t="s">
        <v>61</v>
      </c>
      <c r="C65" s="133" t="s">
        <v>1147</v>
      </c>
      <c r="D65" s="132" t="s">
        <v>1144</v>
      </c>
      <c r="E65" s="137">
        <v>1.711805555555556</v>
      </c>
      <c r="F65" s="132" t="s">
        <v>63</v>
      </c>
      <c r="G65" s="134">
        <v>2</v>
      </c>
      <c r="H65" s="135" t="s">
        <v>1157</v>
      </c>
    </row>
    <row r="66" spans="1:8" ht="19.899999999999999" customHeight="1">
      <c r="A66" s="136">
        <v>46044</v>
      </c>
      <c r="B66" s="132" t="s">
        <v>61</v>
      </c>
      <c r="C66" s="133" t="s">
        <v>1147</v>
      </c>
      <c r="D66" s="132" t="s">
        <v>1144</v>
      </c>
      <c r="E66" s="137">
        <v>1.711805555555556</v>
      </c>
      <c r="F66" s="132" t="s">
        <v>63</v>
      </c>
      <c r="G66" s="134">
        <v>8</v>
      </c>
      <c r="H66" s="135" t="s">
        <v>1172</v>
      </c>
    </row>
    <row r="67" spans="1:8" ht="19.899999999999999" customHeight="1">
      <c r="A67" s="121">
        <v>46045</v>
      </c>
      <c r="B67" s="112" t="s">
        <v>359</v>
      </c>
      <c r="C67" s="113" t="s">
        <v>1152</v>
      </c>
      <c r="D67" s="112" t="s">
        <v>1144</v>
      </c>
      <c r="E67" s="122">
        <v>1.4965277777777779</v>
      </c>
      <c r="F67" s="112" t="s">
        <v>361</v>
      </c>
      <c r="G67" s="114">
        <v>9</v>
      </c>
      <c r="H67" s="115" t="s">
        <v>1167</v>
      </c>
    </row>
    <row r="68" spans="1:8" ht="19.899999999999999" customHeight="1">
      <c r="A68" s="121">
        <v>46045</v>
      </c>
      <c r="B68" s="112" t="s">
        <v>68</v>
      </c>
      <c r="C68" s="113" t="s">
        <v>1149</v>
      </c>
      <c r="D68" s="112" t="s">
        <v>1144</v>
      </c>
      <c r="E68" s="122">
        <v>1.9826388888888891</v>
      </c>
      <c r="F68" s="112" t="s">
        <v>70</v>
      </c>
      <c r="G68" s="114">
        <v>9</v>
      </c>
      <c r="H68" s="115" t="s">
        <v>1156</v>
      </c>
    </row>
    <row r="69" spans="1:8" ht="19.899999999999999" customHeight="1">
      <c r="A69" s="121">
        <v>46045</v>
      </c>
      <c r="B69" s="112" t="s">
        <v>402</v>
      </c>
      <c r="C69" s="113" t="s">
        <v>1155</v>
      </c>
      <c r="D69" s="112" t="s">
        <v>1144</v>
      </c>
      <c r="E69" s="122">
        <v>1.756944444444444</v>
      </c>
      <c r="F69" s="112" t="s">
        <v>63</v>
      </c>
      <c r="G69" s="114">
        <v>3</v>
      </c>
      <c r="H69" s="115" t="s">
        <v>1162</v>
      </c>
    </row>
    <row r="70" spans="1:8" ht="19.899999999999999" customHeight="1">
      <c r="A70" s="121">
        <v>46045</v>
      </c>
      <c r="B70" s="112" t="s">
        <v>359</v>
      </c>
      <c r="C70" s="113" t="s">
        <v>1152</v>
      </c>
      <c r="D70" s="112" t="s">
        <v>1144</v>
      </c>
      <c r="E70" s="122">
        <v>1.4965277777777779</v>
      </c>
      <c r="F70" s="112" t="s">
        <v>46</v>
      </c>
      <c r="G70" s="114">
        <v>9</v>
      </c>
      <c r="H70" s="115" t="s">
        <v>1168</v>
      </c>
    </row>
    <row r="71" spans="1:8" ht="19.899999999999999" customHeight="1">
      <c r="A71" s="123">
        <v>46045</v>
      </c>
      <c r="B71" s="124" t="s">
        <v>415</v>
      </c>
      <c r="C71" s="125" t="s">
        <v>1150</v>
      </c>
      <c r="D71" s="124" t="s">
        <v>1144</v>
      </c>
      <c r="E71" s="126">
        <v>1.854166666666667</v>
      </c>
      <c r="F71" s="124" t="s">
        <v>63</v>
      </c>
      <c r="G71" s="127">
        <v>9</v>
      </c>
      <c r="H71" s="128" t="s">
        <v>1163</v>
      </c>
    </row>
    <row r="72" spans="1:8" ht="19.899999999999999" customHeight="1">
      <c r="A72" s="136">
        <v>46046</v>
      </c>
      <c r="B72" s="132" t="s">
        <v>61</v>
      </c>
      <c r="C72" s="133" t="s">
        <v>1147</v>
      </c>
      <c r="D72" s="132" t="s">
        <v>1144</v>
      </c>
      <c r="E72" s="137">
        <v>1.836805555555556</v>
      </c>
      <c r="F72" s="132" t="s">
        <v>63</v>
      </c>
      <c r="G72" s="134">
        <v>9</v>
      </c>
      <c r="H72" s="135" t="s">
        <v>1173</v>
      </c>
    </row>
    <row r="73" spans="1:8" ht="19.899999999999999" customHeight="1">
      <c r="A73" s="121">
        <v>46047</v>
      </c>
      <c r="B73" s="112" t="s">
        <v>359</v>
      </c>
      <c r="C73" s="113" t="s">
        <v>1152</v>
      </c>
      <c r="D73" s="112" t="s">
        <v>1144</v>
      </c>
      <c r="E73" s="122">
        <v>1.538194444444444</v>
      </c>
      <c r="F73" s="112" t="s">
        <v>361</v>
      </c>
      <c r="G73" s="114">
        <v>9</v>
      </c>
      <c r="H73" s="115" t="s">
        <v>1167</v>
      </c>
    </row>
    <row r="74" spans="1:8" ht="19.899999999999999" customHeight="1">
      <c r="A74" s="121">
        <v>46047</v>
      </c>
      <c r="B74" s="112" t="s">
        <v>402</v>
      </c>
      <c r="C74" s="113" t="s">
        <v>1159</v>
      </c>
      <c r="D74" s="112" t="s">
        <v>1144</v>
      </c>
      <c r="E74" s="122">
        <v>1.756944444444444</v>
      </c>
      <c r="F74" s="112" t="s">
        <v>63</v>
      </c>
      <c r="G74" s="114">
        <v>5</v>
      </c>
      <c r="H74" s="115" t="s">
        <v>1162</v>
      </c>
    </row>
    <row r="75" spans="1:8" ht="19.899999999999999" customHeight="1">
      <c r="A75" s="121">
        <v>46047</v>
      </c>
      <c r="B75" s="112" t="s">
        <v>359</v>
      </c>
      <c r="C75" s="113" t="s">
        <v>1152</v>
      </c>
      <c r="D75" s="112" t="s">
        <v>1144</v>
      </c>
      <c r="E75" s="122">
        <v>1.538194444444444</v>
      </c>
      <c r="F75" s="112" t="s">
        <v>46</v>
      </c>
      <c r="G75" s="114">
        <v>9</v>
      </c>
      <c r="H75" s="115" t="s">
        <v>1168</v>
      </c>
    </row>
    <row r="76" spans="1:8" ht="19.899999999999999" customHeight="1">
      <c r="A76" s="123">
        <v>46047</v>
      </c>
      <c r="B76" s="124" t="s">
        <v>415</v>
      </c>
      <c r="C76" s="125" t="s">
        <v>1150</v>
      </c>
      <c r="D76" s="124" t="s">
        <v>1144</v>
      </c>
      <c r="E76" s="126">
        <v>1.805555555555556</v>
      </c>
      <c r="F76" s="124" t="s">
        <v>63</v>
      </c>
      <c r="G76" s="127">
        <v>9</v>
      </c>
      <c r="H76" s="128" t="s">
        <v>1163</v>
      </c>
    </row>
    <row r="77" spans="1:8" ht="19.899999999999999" customHeight="1">
      <c r="A77" s="121">
        <v>46048</v>
      </c>
      <c r="B77" s="112" t="s">
        <v>68</v>
      </c>
      <c r="C77" s="113" t="s">
        <v>1149</v>
      </c>
      <c r="D77" s="112" t="s">
        <v>1144</v>
      </c>
      <c r="E77" s="122">
        <v>1.9826388888888891</v>
      </c>
      <c r="F77" s="112" t="s">
        <v>643</v>
      </c>
      <c r="G77" s="114">
        <v>9</v>
      </c>
      <c r="H77" s="115" t="s">
        <v>33</v>
      </c>
    </row>
    <row r="78" spans="1:8" ht="19.899999999999999" customHeight="1">
      <c r="A78" s="121">
        <v>46048</v>
      </c>
      <c r="B78" s="112" t="s">
        <v>359</v>
      </c>
      <c r="C78" s="113" t="s">
        <v>1152</v>
      </c>
      <c r="D78" s="112" t="s">
        <v>1144</v>
      </c>
      <c r="E78" s="122">
        <v>1.538194444444444</v>
      </c>
      <c r="F78" s="112" t="s">
        <v>361</v>
      </c>
      <c r="G78" s="114">
        <v>9</v>
      </c>
      <c r="H78" s="115" t="s">
        <v>1165</v>
      </c>
    </row>
    <row r="79" spans="1:8" ht="19.899999999999999" customHeight="1">
      <c r="A79" s="121">
        <v>46048</v>
      </c>
      <c r="B79" s="112" t="s">
        <v>402</v>
      </c>
      <c r="C79" s="113" t="s">
        <v>1155</v>
      </c>
      <c r="D79" s="112" t="s">
        <v>1144</v>
      </c>
      <c r="E79" s="122">
        <v>1.7152777777777779</v>
      </c>
      <c r="F79" s="112" t="s">
        <v>63</v>
      </c>
      <c r="G79" s="114">
        <v>5</v>
      </c>
      <c r="H79" s="115" t="s">
        <v>1162</v>
      </c>
    </row>
    <row r="80" spans="1:8" ht="19.899999999999999" customHeight="1">
      <c r="A80" s="121">
        <v>46048</v>
      </c>
      <c r="B80" s="112" t="s">
        <v>359</v>
      </c>
      <c r="C80" s="113" t="s">
        <v>1152</v>
      </c>
      <c r="D80" s="112" t="s">
        <v>1144</v>
      </c>
      <c r="E80" s="122">
        <v>1.538194444444444</v>
      </c>
      <c r="F80" s="112" t="s">
        <v>46</v>
      </c>
      <c r="G80" s="114">
        <v>9</v>
      </c>
      <c r="H80" s="115" t="s">
        <v>1166</v>
      </c>
    </row>
    <row r="81" spans="1:8" ht="19.899999999999999" customHeight="1">
      <c r="A81" s="123">
        <v>46048</v>
      </c>
      <c r="B81" s="124" t="s">
        <v>415</v>
      </c>
      <c r="C81" s="125" t="s">
        <v>1150</v>
      </c>
      <c r="D81" s="124" t="s">
        <v>1144</v>
      </c>
      <c r="E81" s="126">
        <v>1.78125</v>
      </c>
      <c r="F81" s="124" t="s">
        <v>63</v>
      </c>
      <c r="G81" s="127">
        <v>9</v>
      </c>
      <c r="H81" s="128" t="s">
        <v>1163</v>
      </c>
    </row>
    <row r="82" spans="1:8" ht="19.899999999999999" customHeight="1">
      <c r="A82" s="121">
        <v>46049</v>
      </c>
      <c r="B82" s="112" t="s">
        <v>402</v>
      </c>
      <c r="C82" s="113" t="s">
        <v>1145</v>
      </c>
      <c r="D82" s="112" t="s">
        <v>1144</v>
      </c>
      <c r="E82" s="122">
        <v>1.7152777777777779</v>
      </c>
      <c r="F82" s="112" t="s">
        <v>63</v>
      </c>
      <c r="G82" s="114">
        <v>5</v>
      </c>
      <c r="H82" s="115" t="s">
        <v>1162</v>
      </c>
    </row>
    <row r="83" spans="1:8" ht="19.899999999999999" customHeight="1">
      <c r="A83" s="123">
        <v>46049</v>
      </c>
      <c r="B83" s="124" t="s">
        <v>415</v>
      </c>
      <c r="C83" s="125" t="s">
        <v>1150</v>
      </c>
      <c r="D83" s="124" t="s">
        <v>1144</v>
      </c>
      <c r="E83" s="126">
        <v>1.78125</v>
      </c>
      <c r="F83" s="124" t="s">
        <v>63</v>
      </c>
      <c r="G83" s="127">
        <v>9</v>
      </c>
      <c r="H83" s="128" t="s">
        <v>1163</v>
      </c>
    </row>
    <row r="84" spans="1:8" ht="19.899999999999999" customHeight="1">
      <c r="A84" s="121">
        <v>46050</v>
      </c>
      <c r="B84" s="112" t="s">
        <v>359</v>
      </c>
      <c r="C84" s="113" t="s">
        <v>1152</v>
      </c>
      <c r="D84" s="112" t="s">
        <v>1144</v>
      </c>
      <c r="E84" s="122">
        <v>1.4965277777777779</v>
      </c>
      <c r="F84" s="112" t="s">
        <v>361</v>
      </c>
      <c r="G84" s="114">
        <v>9</v>
      </c>
      <c r="H84" s="115" t="s">
        <v>1165</v>
      </c>
    </row>
    <row r="85" spans="1:8" ht="19.899999999999999" customHeight="1">
      <c r="A85" s="136">
        <v>46050</v>
      </c>
      <c r="B85" s="132" t="s">
        <v>61</v>
      </c>
      <c r="C85" s="133" t="s">
        <v>1147</v>
      </c>
      <c r="D85" s="132" t="s">
        <v>1144</v>
      </c>
      <c r="E85" s="137">
        <v>1.711805555555556</v>
      </c>
      <c r="F85" s="132" t="s">
        <v>63</v>
      </c>
      <c r="G85" s="134">
        <v>4</v>
      </c>
      <c r="H85" s="135" t="s">
        <v>1157</v>
      </c>
    </row>
    <row r="86" spans="1:8" ht="19.899999999999999" customHeight="1">
      <c r="A86" s="136">
        <v>46051</v>
      </c>
      <c r="B86" s="132" t="s">
        <v>61</v>
      </c>
      <c r="C86" s="133" t="s">
        <v>1147</v>
      </c>
      <c r="D86" s="132" t="s">
        <v>1144</v>
      </c>
      <c r="E86" s="137">
        <v>1.711805555555556</v>
      </c>
      <c r="F86" s="132" t="s">
        <v>63</v>
      </c>
      <c r="G86" s="134">
        <v>4</v>
      </c>
      <c r="H86" s="135" t="s">
        <v>1175</v>
      </c>
    </row>
    <row r="87" spans="1:8" ht="19.899999999999999" customHeight="1">
      <c r="A87" s="121">
        <v>46052</v>
      </c>
      <c r="B87" s="112" t="s">
        <v>68</v>
      </c>
      <c r="C87" s="113" t="s">
        <v>1149</v>
      </c>
      <c r="D87" s="112" t="s">
        <v>1144</v>
      </c>
      <c r="E87" s="122">
        <v>1.9826388888888891</v>
      </c>
      <c r="F87" s="112" t="s">
        <v>643</v>
      </c>
      <c r="G87" s="114">
        <v>8</v>
      </c>
      <c r="H87" s="115" t="s">
        <v>33</v>
      </c>
    </row>
    <row r="88" spans="1:8" ht="19.899999999999999" customHeight="1">
      <c r="A88" s="121">
        <v>46052</v>
      </c>
      <c r="B88" s="112" t="s">
        <v>359</v>
      </c>
      <c r="C88" s="113" t="s">
        <v>1152</v>
      </c>
      <c r="D88" s="112" t="s">
        <v>1144</v>
      </c>
      <c r="E88" s="122">
        <v>1.4965277777777779</v>
      </c>
      <c r="F88" s="112" t="s">
        <v>361</v>
      </c>
      <c r="G88" s="114">
        <v>9</v>
      </c>
      <c r="H88" s="115" t="s">
        <v>1167</v>
      </c>
    </row>
    <row r="89" spans="1:8" ht="19.899999999999999" customHeight="1">
      <c r="A89" s="121">
        <v>46052</v>
      </c>
      <c r="B89" s="112" t="s">
        <v>402</v>
      </c>
      <c r="C89" s="113" t="s">
        <v>1155</v>
      </c>
      <c r="D89" s="112" t="s">
        <v>1144</v>
      </c>
      <c r="E89" s="122">
        <v>1.756944444444444</v>
      </c>
      <c r="F89" s="112" t="s">
        <v>63</v>
      </c>
      <c r="G89" s="114">
        <v>5</v>
      </c>
      <c r="H89" s="115" t="s">
        <v>1162</v>
      </c>
    </row>
    <row r="90" spans="1:8" ht="19.899999999999999" customHeight="1">
      <c r="A90" s="121">
        <v>46052</v>
      </c>
      <c r="B90" s="112" t="s">
        <v>359</v>
      </c>
      <c r="C90" s="113" t="s">
        <v>1152</v>
      </c>
      <c r="D90" s="112" t="s">
        <v>1144</v>
      </c>
      <c r="E90" s="122">
        <v>1.4965277777777779</v>
      </c>
      <c r="F90" s="112" t="s">
        <v>46</v>
      </c>
      <c r="G90" s="114">
        <v>9</v>
      </c>
      <c r="H90" s="115" t="s">
        <v>1168</v>
      </c>
    </row>
    <row r="91" spans="1:8" ht="19.899999999999999" customHeight="1">
      <c r="A91" s="123">
        <v>46052</v>
      </c>
      <c r="B91" s="124" t="s">
        <v>415</v>
      </c>
      <c r="C91" s="125" t="s">
        <v>1150</v>
      </c>
      <c r="D91" s="124" t="s">
        <v>1144</v>
      </c>
      <c r="E91" s="126">
        <v>1.854166666666667</v>
      </c>
      <c r="F91" s="124" t="s">
        <v>63</v>
      </c>
      <c r="G91" s="127">
        <v>9</v>
      </c>
      <c r="H91" s="128" t="s">
        <v>1163</v>
      </c>
    </row>
    <row r="92" spans="1:8" ht="19.899999999999999" customHeight="1">
      <c r="A92" s="136">
        <v>46053</v>
      </c>
      <c r="B92" s="132" t="s">
        <v>61</v>
      </c>
      <c r="C92" s="133" t="s">
        <v>1147</v>
      </c>
      <c r="D92" s="132" t="s">
        <v>1144</v>
      </c>
      <c r="E92" s="137">
        <v>1.836805555555556</v>
      </c>
      <c r="F92" s="132" t="s">
        <v>63</v>
      </c>
      <c r="G92" s="134">
        <v>3</v>
      </c>
      <c r="H92" s="135" t="s">
        <v>1157</v>
      </c>
    </row>
  </sheetData>
  <pageMargins left="0.75" right="0.75" top="1" bottom="1" header="0.5" footer="0.5"/>
  <legacyDrawing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N54"/>
  <sheetViews>
    <sheetView workbookViewId="0"/>
  </sheetViews>
  <sheetFormatPr defaultRowHeight="14.45"/>
  <cols>
    <col min="1" max="1" width="17.28515625" bestFit="1" customWidth="1"/>
    <col min="2" max="2" width="15.7109375" bestFit="1" customWidth="1"/>
    <col min="3" max="3" width="14.7109375" bestFit="1" customWidth="1"/>
    <col min="4" max="4" width="34.28515625" bestFit="1" customWidth="1"/>
    <col min="5" max="5" width="20.140625" bestFit="1" customWidth="1"/>
    <col min="6" max="6" width="23.42578125" bestFit="1" customWidth="1"/>
    <col min="7" max="7" width="40.5703125" bestFit="1" customWidth="1"/>
    <col min="8" max="8" width="9.42578125" bestFit="1" customWidth="1"/>
    <col min="9" max="9" width="6.710937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6.28515625" bestFit="1" customWidth="1"/>
    <col min="17" max="17" width="12.28515625" bestFit="1" customWidth="1"/>
    <col min="18" max="18" width="10.7109375" bestFit="1" customWidth="1"/>
  </cols>
  <sheetData>
    <row r="1" spans="1:92" ht="28.9" customHeight="1">
      <c r="A1" s="291" t="s">
        <v>0</v>
      </c>
      <c r="B1" s="294"/>
      <c r="C1" s="294"/>
      <c r="D1" s="294"/>
      <c r="E1" s="294"/>
      <c r="F1" s="1" t="s">
        <v>1178</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45980.61049283007</v>
      </c>
      <c r="H2" s="294"/>
      <c r="I2" s="294"/>
      <c r="J2" s="294"/>
      <c r="K2" s="287">
        <v>45980.610492830368</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46024</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7" t="s">
        <v>61</v>
      </c>
      <c r="B6" s="87" t="s">
        <v>1179</v>
      </c>
      <c r="C6" s="88">
        <v>0.37847222222222232</v>
      </c>
      <c r="D6" s="87" t="s">
        <v>63</v>
      </c>
      <c r="E6" s="87" t="s">
        <v>107</v>
      </c>
      <c r="F6" s="87" t="s">
        <v>1180</v>
      </c>
      <c r="G6" s="297"/>
      <c r="H6" s="89" t="s">
        <v>1181</v>
      </c>
      <c r="I6" s="90">
        <v>0</v>
      </c>
      <c r="J6" s="91">
        <v>0</v>
      </c>
      <c r="K6" s="92" t="s">
        <v>66</v>
      </c>
      <c r="L6" s="91">
        <v>0</v>
      </c>
      <c r="M6" s="91">
        <v>0</v>
      </c>
      <c r="N6" s="91">
        <v>0</v>
      </c>
      <c r="O6" s="93" t="s">
        <v>374</v>
      </c>
      <c r="P6" s="94">
        <v>0.37847222222222232</v>
      </c>
      <c r="Q6" s="91">
        <v>179</v>
      </c>
      <c r="R6" s="95" t="s">
        <v>66</v>
      </c>
    </row>
    <row r="7" spans="1:92" ht="18">
      <c r="A7" s="292" t="s">
        <v>1182</v>
      </c>
      <c r="B7" s="303"/>
      <c r="C7" s="303"/>
      <c r="D7" s="303"/>
      <c r="E7" s="303"/>
      <c r="F7" s="304"/>
      <c r="G7" s="298"/>
      <c r="H7" s="138"/>
      <c r="I7" s="138"/>
      <c r="J7" s="138"/>
      <c r="K7" s="138"/>
      <c r="L7" s="138"/>
      <c r="M7" s="138"/>
      <c r="N7" s="138"/>
      <c r="O7" s="139"/>
      <c r="P7" s="138"/>
      <c r="Q7" s="107"/>
      <c r="R7" s="107"/>
    </row>
    <row r="8" spans="1:92" ht="15" customHeight="1">
      <c r="A8" s="17" t="s">
        <v>359</v>
      </c>
      <c r="B8" s="17" t="s">
        <v>1152</v>
      </c>
      <c r="C8" s="18" t="s">
        <v>692</v>
      </c>
      <c r="D8" s="17" t="s">
        <v>361</v>
      </c>
      <c r="E8" s="17" t="s">
        <v>270</v>
      </c>
      <c r="F8" s="17" t="s">
        <v>1153</v>
      </c>
      <c r="G8" s="298"/>
      <c r="H8" s="138"/>
      <c r="I8" s="138"/>
      <c r="J8" s="138"/>
      <c r="K8" s="138"/>
      <c r="L8" s="138"/>
      <c r="M8" s="138"/>
      <c r="N8" s="138"/>
      <c r="O8" s="139"/>
      <c r="P8" s="138"/>
      <c r="Q8" s="107"/>
      <c r="R8" s="107"/>
    </row>
    <row r="9" spans="1:92" ht="15" customHeight="1">
      <c r="A9" s="17" t="s">
        <v>402</v>
      </c>
      <c r="B9" s="17" t="s">
        <v>1155</v>
      </c>
      <c r="C9" s="18" t="s">
        <v>578</v>
      </c>
      <c r="D9" s="17" t="s">
        <v>63</v>
      </c>
      <c r="E9" s="17" t="s">
        <v>267</v>
      </c>
      <c r="F9" s="17" t="s">
        <v>1146</v>
      </c>
      <c r="G9" s="298"/>
      <c r="H9" s="138"/>
      <c r="I9" s="138"/>
      <c r="J9" s="138"/>
      <c r="K9" s="138"/>
      <c r="L9" s="138"/>
      <c r="M9" s="138"/>
      <c r="N9" s="138"/>
      <c r="O9" s="139"/>
      <c r="P9" s="138"/>
      <c r="Q9" s="107"/>
      <c r="R9" s="107"/>
    </row>
    <row r="10" spans="1:92" ht="15" customHeight="1">
      <c r="A10" s="17" t="s">
        <v>68</v>
      </c>
      <c r="B10" s="17" t="s">
        <v>1149</v>
      </c>
      <c r="C10" s="18" t="s">
        <v>1009</v>
      </c>
      <c r="D10" s="17" t="s">
        <v>70</v>
      </c>
      <c r="E10" s="17" t="s">
        <v>269</v>
      </c>
      <c r="F10" s="17" t="s">
        <v>1156</v>
      </c>
      <c r="G10" s="298"/>
      <c r="H10" s="138"/>
      <c r="I10" s="138"/>
      <c r="J10" s="138"/>
      <c r="K10" s="138"/>
      <c r="L10" s="138"/>
      <c r="M10" s="138"/>
      <c r="N10" s="138"/>
      <c r="O10" s="139"/>
      <c r="P10" s="138"/>
      <c r="Q10" s="107"/>
      <c r="R10" s="107"/>
    </row>
    <row r="11" spans="1:92" ht="15" customHeight="1">
      <c r="A11" s="17" t="s">
        <v>415</v>
      </c>
      <c r="B11" s="17" t="s">
        <v>1150</v>
      </c>
      <c r="C11" s="18" t="s">
        <v>1183</v>
      </c>
      <c r="D11" s="17" t="s">
        <v>63</v>
      </c>
      <c r="E11" s="17" t="s">
        <v>303</v>
      </c>
      <c r="F11" s="17" t="s">
        <v>1151</v>
      </c>
      <c r="G11" s="298"/>
      <c r="H11" s="138"/>
      <c r="I11" s="138"/>
      <c r="J11" s="138"/>
      <c r="K11" s="138"/>
      <c r="L11" s="138"/>
      <c r="M11" s="138"/>
      <c r="N11" s="138"/>
      <c r="O11" s="139"/>
      <c r="P11" s="138"/>
      <c r="Q11" s="107"/>
      <c r="R11" s="107"/>
    </row>
    <row r="12" spans="1:92" ht="15" customHeight="1" thickBot="1">
      <c r="A12" s="30" t="s">
        <v>359</v>
      </c>
      <c r="B12" s="30" t="s">
        <v>1152</v>
      </c>
      <c r="C12" s="31" t="s">
        <v>692</v>
      </c>
      <c r="D12" s="30" t="s">
        <v>46</v>
      </c>
      <c r="E12" s="30" t="s">
        <v>270</v>
      </c>
      <c r="F12" s="30" t="s">
        <v>1154</v>
      </c>
      <c r="G12" s="299"/>
      <c r="H12" s="140"/>
      <c r="I12" s="140"/>
      <c r="J12" s="140"/>
      <c r="K12" s="140"/>
      <c r="L12" s="140"/>
      <c r="M12" s="140"/>
      <c r="N12" s="140"/>
      <c r="O12" s="141"/>
      <c r="P12" s="140"/>
      <c r="Q12" s="142"/>
      <c r="R12" s="142"/>
    </row>
    <row r="13" spans="1:92" ht="17.45" customHeight="1" thickBot="1">
      <c r="A13" s="283"/>
      <c r="B13" s="284"/>
      <c r="C13" s="284"/>
      <c r="D13" s="284"/>
      <c r="E13" s="284"/>
      <c r="F13" s="284"/>
      <c r="G13" s="284"/>
      <c r="H13" s="284"/>
      <c r="I13" s="284"/>
      <c r="J13" s="284"/>
      <c r="K13" s="284"/>
      <c r="L13" s="284"/>
      <c r="M13" s="284"/>
      <c r="N13" s="284"/>
      <c r="O13" s="284"/>
      <c r="P13" s="284"/>
      <c r="Q13" s="284"/>
      <c r="R13" s="285"/>
    </row>
    <row r="14" spans="1:92" ht="22.15" customHeight="1" thickTop="1" thickBot="1">
      <c r="A14" s="279" t="s">
        <v>6</v>
      </c>
      <c r="B14" s="295"/>
      <c r="C14" s="295"/>
      <c r="D14" s="295"/>
      <c r="E14" s="295"/>
      <c r="F14" s="296"/>
      <c r="G14" s="32">
        <v>46031</v>
      </c>
      <c r="H14" s="278" t="s">
        <v>7</v>
      </c>
      <c r="I14" s="295"/>
      <c r="J14" s="295"/>
      <c r="K14" s="295"/>
      <c r="L14" s="295"/>
      <c r="M14" s="295"/>
      <c r="N14" s="295"/>
      <c r="O14" s="295"/>
      <c r="P14" s="295"/>
      <c r="Q14" s="295"/>
      <c r="R14" s="296"/>
    </row>
    <row r="15" spans="1:92" ht="24" customHeight="1">
      <c r="A15" s="33" t="s">
        <v>8</v>
      </c>
      <c r="B15" s="33" t="s">
        <v>9</v>
      </c>
      <c r="C15" s="34" t="s">
        <v>10</v>
      </c>
      <c r="D15" s="33" t="s">
        <v>11</v>
      </c>
      <c r="E15" s="33" t="s">
        <v>12</v>
      </c>
      <c r="F15" s="35" t="s">
        <v>13</v>
      </c>
      <c r="G15" s="36" t="s">
        <v>14</v>
      </c>
      <c r="H15" s="33" t="s">
        <v>15</v>
      </c>
      <c r="I15" s="37" t="s">
        <v>16</v>
      </c>
      <c r="J15" s="38" t="s">
        <v>17</v>
      </c>
      <c r="K15" s="39" t="s">
        <v>18</v>
      </c>
      <c r="L15" s="38" t="s">
        <v>19</v>
      </c>
      <c r="M15" s="38" t="s">
        <v>20</v>
      </c>
      <c r="N15" s="38" t="s">
        <v>21</v>
      </c>
      <c r="O15" s="33" t="s">
        <v>22</v>
      </c>
      <c r="P15" s="34" t="s">
        <v>23</v>
      </c>
      <c r="Q15" s="38" t="s">
        <v>24</v>
      </c>
      <c r="R15" s="33" t="s">
        <v>25</v>
      </c>
    </row>
    <row r="16" spans="1:92" ht="15" customHeight="1">
      <c r="A16" s="58" t="s">
        <v>61</v>
      </c>
      <c r="B16" s="58" t="s">
        <v>1179</v>
      </c>
      <c r="C16" s="59">
        <v>0.37847222222222232</v>
      </c>
      <c r="D16" s="58" t="s">
        <v>63</v>
      </c>
      <c r="E16" s="58" t="s">
        <v>126</v>
      </c>
      <c r="F16" s="58" t="s">
        <v>1180</v>
      </c>
      <c r="G16" s="297"/>
      <c r="H16" s="60" t="s">
        <v>1181</v>
      </c>
      <c r="I16" s="61">
        <v>2.23E-2</v>
      </c>
      <c r="J16" s="62">
        <v>4</v>
      </c>
      <c r="K16" s="63">
        <v>46295</v>
      </c>
      <c r="L16" s="62">
        <v>4</v>
      </c>
      <c r="M16" s="62">
        <v>0</v>
      </c>
      <c r="N16" s="62">
        <v>0</v>
      </c>
      <c r="O16" s="64" t="s">
        <v>819</v>
      </c>
      <c r="P16" s="65">
        <v>0.37847222222222232</v>
      </c>
      <c r="Q16" s="62">
        <v>179</v>
      </c>
      <c r="R16" s="66" t="s">
        <v>1184</v>
      </c>
    </row>
    <row r="17" spans="1:18" ht="18">
      <c r="A17" s="292" t="s">
        <v>1182</v>
      </c>
      <c r="B17" s="303"/>
      <c r="C17" s="303"/>
      <c r="D17" s="303"/>
      <c r="E17" s="303"/>
      <c r="F17" s="304"/>
      <c r="G17" s="298"/>
      <c r="H17" s="138"/>
      <c r="I17" s="138"/>
      <c r="J17" s="138"/>
      <c r="K17" s="138"/>
      <c r="L17" s="138"/>
      <c r="M17" s="138"/>
      <c r="N17" s="138"/>
      <c r="O17" s="139"/>
      <c r="P17" s="138"/>
      <c r="Q17" s="107"/>
      <c r="R17" s="107"/>
    </row>
    <row r="18" spans="1:18" ht="15" customHeight="1">
      <c r="A18" s="17" t="s">
        <v>359</v>
      </c>
      <c r="B18" s="17" t="s">
        <v>1152</v>
      </c>
      <c r="C18" s="18" t="s">
        <v>692</v>
      </c>
      <c r="D18" s="17" t="s">
        <v>361</v>
      </c>
      <c r="E18" s="17" t="s">
        <v>270</v>
      </c>
      <c r="F18" s="17" t="s">
        <v>1153</v>
      </c>
      <c r="G18" s="298"/>
      <c r="H18" s="138"/>
      <c r="I18" s="138"/>
      <c r="J18" s="138"/>
      <c r="K18" s="138"/>
      <c r="L18" s="138"/>
      <c r="M18" s="138"/>
      <c r="N18" s="138"/>
      <c r="O18" s="139"/>
      <c r="P18" s="138"/>
      <c r="Q18" s="107"/>
      <c r="R18" s="107"/>
    </row>
    <row r="19" spans="1:18" ht="15" customHeight="1">
      <c r="A19" s="17" t="s">
        <v>402</v>
      </c>
      <c r="B19" s="17" t="s">
        <v>1155</v>
      </c>
      <c r="C19" s="18" t="s">
        <v>578</v>
      </c>
      <c r="D19" s="17" t="s">
        <v>63</v>
      </c>
      <c r="E19" s="17" t="s">
        <v>294</v>
      </c>
      <c r="F19" s="17" t="s">
        <v>1146</v>
      </c>
      <c r="G19" s="298"/>
      <c r="H19" s="138"/>
      <c r="I19" s="138"/>
      <c r="J19" s="138"/>
      <c r="K19" s="138"/>
      <c r="L19" s="138"/>
      <c r="M19" s="138"/>
      <c r="N19" s="138"/>
      <c r="O19" s="139"/>
      <c r="P19" s="138"/>
      <c r="Q19" s="107"/>
      <c r="R19" s="107"/>
    </row>
    <row r="20" spans="1:18" ht="15" customHeight="1">
      <c r="A20" s="17" t="s">
        <v>68</v>
      </c>
      <c r="B20" s="17" t="s">
        <v>1149</v>
      </c>
      <c r="C20" s="18" t="s">
        <v>1009</v>
      </c>
      <c r="D20" s="17" t="s">
        <v>70</v>
      </c>
      <c r="E20" s="17" t="s">
        <v>269</v>
      </c>
      <c r="F20" s="17" t="s">
        <v>908</v>
      </c>
      <c r="G20" s="298"/>
      <c r="H20" s="138"/>
      <c r="I20" s="138"/>
      <c r="J20" s="138"/>
      <c r="K20" s="138"/>
      <c r="L20" s="138"/>
      <c r="M20" s="138"/>
      <c r="N20" s="138"/>
      <c r="O20" s="139"/>
      <c r="P20" s="138"/>
      <c r="Q20" s="107"/>
      <c r="R20" s="107"/>
    </row>
    <row r="21" spans="1:18" ht="15" customHeight="1">
      <c r="A21" s="17" t="s">
        <v>415</v>
      </c>
      <c r="B21" s="17" t="s">
        <v>1150</v>
      </c>
      <c r="C21" s="18" t="s">
        <v>1183</v>
      </c>
      <c r="D21" s="17" t="s">
        <v>63</v>
      </c>
      <c r="E21" s="17" t="s">
        <v>278</v>
      </c>
      <c r="F21" s="17" t="s">
        <v>1151</v>
      </c>
      <c r="G21" s="298"/>
      <c r="H21" s="138"/>
      <c r="I21" s="138"/>
      <c r="J21" s="138"/>
      <c r="K21" s="138"/>
      <c r="L21" s="138"/>
      <c r="M21" s="138"/>
      <c r="N21" s="138"/>
      <c r="O21" s="139"/>
      <c r="P21" s="138"/>
      <c r="Q21" s="107"/>
      <c r="R21" s="107"/>
    </row>
    <row r="22" spans="1:18" ht="15" customHeight="1" thickBot="1">
      <c r="A22" s="30" t="s">
        <v>359</v>
      </c>
      <c r="B22" s="30" t="s">
        <v>1152</v>
      </c>
      <c r="C22" s="31" t="s">
        <v>692</v>
      </c>
      <c r="D22" s="30" t="s">
        <v>46</v>
      </c>
      <c r="E22" s="30" t="s">
        <v>270</v>
      </c>
      <c r="F22" s="30" t="s">
        <v>1154</v>
      </c>
      <c r="G22" s="299"/>
      <c r="H22" s="140"/>
      <c r="I22" s="140"/>
      <c r="J22" s="140"/>
      <c r="K22" s="140"/>
      <c r="L22" s="140"/>
      <c r="M22" s="140"/>
      <c r="N22" s="140"/>
      <c r="O22" s="141"/>
      <c r="P22" s="140"/>
      <c r="Q22" s="142"/>
      <c r="R22" s="142"/>
    </row>
    <row r="23" spans="1:18" ht="17.45" customHeight="1" thickBot="1">
      <c r="A23" s="283"/>
      <c r="B23" s="284"/>
      <c r="C23" s="284"/>
      <c r="D23" s="284"/>
      <c r="E23" s="284"/>
      <c r="F23" s="284"/>
      <c r="G23" s="284"/>
      <c r="H23" s="284"/>
      <c r="I23" s="284"/>
      <c r="J23" s="284"/>
      <c r="K23" s="284"/>
      <c r="L23" s="284"/>
      <c r="M23" s="284"/>
      <c r="N23" s="284"/>
      <c r="O23" s="284"/>
      <c r="P23" s="284"/>
      <c r="Q23" s="284"/>
      <c r="R23" s="285"/>
    </row>
    <row r="24" spans="1:18" ht="22.15" customHeight="1" thickTop="1" thickBot="1">
      <c r="A24" s="279" t="s">
        <v>6</v>
      </c>
      <c r="B24" s="295"/>
      <c r="C24" s="295"/>
      <c r="D24" s="295"/>
      <c r="E24" s="295"/>
      <c r="F24" s="296"/>
      <c r="G24" s="32">
        <v>46038</v>
      </c>
      <c r="H24" s="278" t="s">
        <v>7</v>
      </c>
      <c r="I24" s="295"/>
      <c r="J24" s="295"/>
      <c r="K24" s="295"/>
      <c r="L24" s="295"/>
      <c r="M24" s="295"/>
      <c r="N24" s="295"/>
      <c r="O24" s="295"/>
      <c r="P24" s="295"/>
      <c r="Q24" s="295"/>
      <c r="R24" s="296"/>
    </row>
    <row r="25" spans="1:18" ht="24" customHeight="1">
      <c r="A25" s="33" t="s">
        <v>8</v>
      </c>
      <c r="B25" s="33" t="s">
        <v>9</v>
      </c>
      <c r="C25" s="34" t="s">
        <v>10</v>
      </c>
      <c r="D25" s="33" t="s">
        <v>11</v>
      </c>
      <c r="E25" s="33" t="s">
        <v>12</v>
      </c>
      <c r="F25" s="35" t="s">
        <v>13</v>
      </c>
      <c r="G25" s="36" t="s">
        <v>14</v>
      </c>
      <c r="H25" s="33" t="s">
        <v>15</v>
      </c>
      <c r="I25" s="37" t="s">
        <v>16</v>
      </c>
      <c r="J25" s="38" t="s">
        <v>17</v>
      </c>
      <c r="K25" s="39" t="s">
        <v>18</v>
      </c>
      <c r="L25" s="38" t="s">
        <v>19</v>
      </c>
      <c r="M25" s="38" t="s">
        <v>20</v>
      </c>
      <c r="N25" s="38" t="s">
        <v>21</v>
      </c>
      <c r="O25" s="33" t="s">
        <v>22</v>
      </c>
      <c r="P25" s="34" t="s">
        <v>23</v>
      </c>
      <c r="Q25" s="38" t="s">
        <v>24</v>
      </c>
      <c r="R25" s="33" t="s">
        <v>25</v>
      </c>
    </row>
    <row r="26" spans="1:18" ht="15" customHeight="1">
      <c r="A26" s="67" t="s">
        <v>61</v>
      </c>
      <c r="B26" s="67" t="s">
        <v>1179</v>
      </c>
      <c r="C26" s="68">
        <v>0.37847222222222232</v>
      </c>
      <c r="D26" s="67" t="s">
        <v>63</v>
      </c>
      <c r="E26" s="67" t="s">
        <v>51</v>
      </c>
      <c r="F26" s="67" t="s">
        <v>1185</v>
      </c>
      <c r="G26" s="302"/>
      <c r="H26" s="69" t="s">
        <v>1181</v>
      </c>
      <c r="I26" s="70">
        <v>0</v>
      </c>
      <c r="J26" s="71">
        <v>0</v>
      </c>
      <c r="K26" s="72" t="s">
        <v>66</v>
      </c>
      <c r="L26" s="71">
        <v>0</v>
      </c>
      <c r="M26" s="71">
        <v>0</v>
      </c>
      <c r="N26" s="71">
        <v>0</v>
      </c>
      <c r="O26" s="73" t="s">
        <v>667</v>
      </c>
      <c r="P26" s="74">
        <v>0.37847222222222232</v>
      </c>
      <c r="Q26" s="71">
        <v>179</v>
      </c>
      <c r="R26" s="75" t="s">
        <v>66</v>
      </c>
    </row>
    <row r="27" spans="1:18" ht="18">
      <c r="A27" s="292" t="s">
        <v>1182</v>
      </c>
      <c r="B27" s="303"/>
      <c r="C27" s="303"/>
      <c r="D27" s="303"/>
      <c r="E27" s="303"/>
      <c r="F27" s="304"/>
      <c r="G27" s="298"/>
      <c r="H27" s="138"/>
      <c r="I27" s="138"/>
      <c r="J27" s="138"/>
      <c r="K27" s="138"/>
      <c r="L27" s="138"/>
      <c r="M27" s="138"/>
      <c r="N27" s="138"/>
      <c r="O27" s="139"/>
      <c r="P27" s="138"/>
      <c r="Q27" s="107"/>
      <c r="R27" s="107"/>
    </row>
    <row r="28" spans="1:18" ht="15" customHeight="1">
      <c r="A28" s="17" t="s">
        <v>359</v>
      </c>
      <c r="B28" s="17" t="s">
        <v>1152</v>
      </c>
      <c r="C28" s="18" t="s">
        <v>692</v>
      </c>
      <c r="D28" s="17" t="s">
        <v>361</v>
      </c>
      <c r="E28" s="17" t="s">
        <v>270</v>
      </c>
      <c r="F28" s="17" t="s">
        <v>1167</v>
      </c>
      <c r="G28" s="298"/>
      <c r="H28" s="138"/>
      <c r="I28" s="138"/>
      <c r="J28" s="138"/>
      <c r="K28" s="138"/>
      <c r="L28" s="138"/>
      <c r="M28" s="138"/>
      <c r="N28" s="138"/>
      <c r="O28" s="139"/>
      <c r="P28" s="138"/>
      <c r="Q28" s="107"/>
      <c r="R28" s="107"/>
    </row>
    <row r="29" spans="1:18" ht="15" customHeight="1">
      <c r="A29" s="17" t="s">
        <v>402</v>
      </c>
      <c r="B29" s="17" t="s">
        <v>1155</v>
      </c>
      <c r="C29" s="18" t="s">
        <v>578</v>
      </c>
      <c r="D29" s="17" t="s">
        <v>63</v>
      </c>
      <c r="E29" s="17" t="s">
        <v>277</v>
      </c>
      <c r="F29" s="17" t="s">
        <v>1162</v>
      </c>
      <c r="G29" s="298"/>
      <c r="H29" s="138"/>
      <c r="I29" s="138"/>
      <c r="J29" s="138"/>
      <c r="K29" s="138"/>
      <c r="L29" s="138"/>
      <c r="M29" s="138"/>
      <c r="N29" s="138"/>
      <c r="O29" s="139"/>
      <c r="P29" s="138"/>
      <c r="Q29" s="107"/>
      <c r="R29" s="107"/>
    </row>
    <row r="30" spans="1:18" ht="15" customHeight="1">
      <c r="A30" s="17" t="s">
        <v>359</v>
      </c>
      <c r="B30" s="17" t="s">
        <v>1152</v>
      </c>
      <c r="C30" s="18" t="s">
        <v>692</v>
      </c>
      <c r="D30" s="17" t="s">
        <v>46</v>
      </c>
      <c r="E30" s="17" t="s">
        <v>270</v>
      </c>
      <c r="F30" s="17" t="s">
        <v>1168</v>
      </c>
      <c r="G30" s="298"/>
      <c r="H30" s="138"/>
      <c r="I30" s="138"/>
      <c r="J30" s="138"/>
      <c r="K30" s="138"/>
      <c r="L30" s="138"/>
      <c r="M30" s="138"/>
      <c r="N30" s="138"/>
      <c r="O30" s="139"/>
      <c r="P30" s="138"/>
      <c r="Q30" s="107"/>
      <c r="R30" s="107"/>
    </row>
    <row r="31" spans="1:18" ht="15" customHeight="1">
      <c r="A31" s="17" t="s">
        <v>68</v>
      </c>
      <c r="B31" s="17" t="s">
        <v>1149</v>
      </c>
      <c r="C31" s="18" t="s">
        <v>1009</v>
      </c>
      <c r="D31" s="17" t="s">
        <v>70</v>
      </c>
      <c r="E31" s="17" t="s">
        <v>269</v>
      </c>
      <c r="F31" s="17" t="s">
        <v>1093</v>
      </c>
      <c r="G31" s="298"/>
      <c r="H31" s="138"/>
      <c r="I31" s="138"/>
      <c r="J31" s="138"/>
      <c r="K31" s="138"/>
      <c r="L31" s="138"/>
      <c r="M31" s="138"/>
      <c r="N31" s="138"/>
      <c r="O31" s="139"/>
      <c r="P31" s="138"/>
      <c r="Q31" s="107"/>
      <c r="R31" s="107"/>
    </row>
    <row r="32" spans="1:18" ht="15" customHeight="1" thickBot="1">
      <c r="A32" s="30" t="s">
        <v>415</v>
      </c>
      <c r="B32" s="30" t="s">
        <v>1150</v>
      </c>
      <c r="C32" s="31" t="s">
        <v>1183</v>
      </c>
      <c r="D32" s="30" t="s">
        <v>63</v>
      </c>
      <c r="E32" s="30" t="s">
        <v>278</v>
      </c>
      <c r="F32" s="30" t="s">
        <v>1163</v>
      </c>
      <c r="G32" s="299"/>
      <c r="H32" s="140"/>
      <c r="I32" s="140"/>
      <c r="J32" s="140"/>
      <c r="K32" s="140"/>
      <c r="L32" s="140"/>
      <c r="M32" s="140"/>
      <c r="N32" s="140"/>
      <c r="O32" s="141"/>
      <c r="P32" s="140"/>
      <c r="Q32" s="142"/>
      <c r="R32" s="142"/>
    </row>
    <row r="33" spans="1:18" ht="17.45" customHeight="1" thickBot="1">
      <c r="A33" s="283"/>
      <c r="B33" s="284"/>
      <c r="C33" s="284"/>
      <c r="D33" s="284"/>
      <c r="E33" s="284"/>
      <c r="F33" s="284"/>
      <c r="G33" s="284"/>
      <c r="H33" s="284"/>
      <c r="I33" s="284"/>
      <c r="J33" s="284"/>
      <c r="K33" s="284"/>
      <c r="L33" s="284"/>
      <c r="M33" s="284"/>
      <c r="N33" s="284"/>
      <c r="O33" s="284"/>
      <c r="P33" s="284"/>
      <c r="Q33" s="284"/>
      <c r="R33" s="285"/>
    </row>
    <row r="34" spans="1:18" ht="22.15" customHeight="1" thickTop="1" thickBot="1">
      <c r="A34" s="279" t="s">
        <v>6</v>
      </c>
      <c r="B34" s="295"/>
      <c r="C34" s="295"/>
      <c r="D34" s="295"/>
      <c r="E34" s="295"/>
      <c r="F34" s="296"/>
      <c r="G34" s="32">
        <v>46045</v>
      </c>
      <c r="H34" s="278" t="s">
        <v>7</v>
      </c>
      <c r="I34" s="295"/>
      <c r="J34" s="295"/>
      <c r="K34" s="295"/>
      <c r="L34" s="295"/>
      <c r="M34" s="295"/>
      <c r="N34" s="295"/>
      <c r="O34" s="295"/>
      <c r="P34" s="295"/>
      <c r="Q34" s="295"/>
      <c r="R34" s="296"/>
    </row>
    <row r="35" spans="1:18" ht="24" customHeight="1">
      <c r="A35" s="33" t="s">
        <v>8</v>
      </c>
      <c r="B35" s="33" t="s">
        <v>9</v>
      </c>
      <c r="C35" s="34" t="s">
        <v>10</v>
      </c>
      <c r="D35" s="33" t="s">
        <v>11</v>
      </c>
      <c r="E35" s="33" t="s">
        <v>12</v>
      </c>
      <c r="F35" s="35" t="s">
        <v>13</v>
      </c>
      <c r="G35" s="36" t="s">
        <v>14</v>
      </c>
      <c r="H35" s="33" t="s">
        <v>15</v>
      </c>
      <c r="I35" s="37" t="s">
        <v>16</v>
      </c>
      <c r="J35" s="38" t="s">
        <v>17</v>
      </c>
      <c r="K35" s="39" t="s">
        <v>18</v>
      </c>
      <c r="L35" s="38" t="s">
        <v>19</v>
      </c>
      <c r="M35" s="38" t="s">
        <v>20</v>
      </c>
      <c r="N35" s="38" t="s">
        <v>21</v>
      </c>
      <c r="O35" s="33" t="s">
        <v>22</v>
      </c>
      <c r="P35" s="34" t="s">
        <v>23</v>
      </c>
      <c r="Q35" s="38" t="s">
        <v>24</v>
      </c>
      <c r="R35" s="33" t="s">
        <v>25</v>
      </c>
    </row>
    <row r="36" spans="1:18" ht="15" customHeight="1">
      <c r="A36" s="78" t="s">
        <v>61</v>
      </c>
      <c r="B36" s="78" t="s">
        <v>1179</v>
      </c>
      <c r="C36" s="79">
        <v>0.37847222222222232</v>
      </c>
      <c r="D36" s="78" t="s">
        <v>63</v>
      </c>
      <c r="E36" s="78" t="s">
        <v>100</v>
      </c>
      <c r="F36" s="78" t="s">
        <v>1186</v>
      </c>
      <c r="G36" s="297"/>
      <c r="H36" s="80" t="s">
        <v>1181</v>
      </c>
      <c r="I36" s="81">
        <v>0</v>
      </c>
      <c r="J36" s="82">
        <v>0</v>
      </c>
      <c r="K36" s="83" t="s">
        <v>66</v>
      </c>
      <c r="L36" s="82">
        <v>0</v>
      </c>
      <c r="M36" s="82">
        <v>0</v>
      </c>
      <c r="N36" s="82">
        <v>0</v>
      </c>
      <c r="O36" s="84" t="s">
        <v>1137</v>
      </c>
      <c r="P36" s="85">
        <v>0.37847222222222232</v>
      </c>
      <c r="Q36" s="82">
        <v>179</v>
      </c>
      <c r="R36" s="86" t="s">
        <v>66</v>
      </c>
    </row>
    <row r="37" spans="1:18" ht="18">
      <c r="A37" s="292" t="s">
        <v>1182</v>
      </c>
      <c r="B37" s="303"/>
      <c r="C37" s="303"/>
      <c r="D37" s="303"/>
      <c r="E37" s="303"/>
      <c r="F37" s="304"/>
      <c r="G37" s="298"/>
      <c r="H37" s="138"/>
      <c r="I37" s="138"/>
      <c r="J37" s="138"/>
      <c r="K37" s="138"/>
      <c r="L37" s="138"/>
      <c r="M37" s="138"/>
      <c r="N37" s="138"/>
      <c r="O37" s="139"/>
      <c r="P37" s="138"/>
      <c r="Q37" s="107"/>
      <c r="R37" s="107"/>
    </row>
    <row r="38" spans="1:18" ht="15" customHeight="1">
      <c r="A38" s="17" t="s">
        <v>359</v>
      </c>
      <c r="B38" s="17" t="s">
        <v>1152</v>
      </c>
      <c r="C38" s="18" t="s">
        <v>692</v>
      </c>
      <c r="D38" s="17" t="s">
        <v>361</v>
      </c>
      <c r="E38" s="17" t="s">
        <v>270</v>
      </c>
      <c r="F38" s="17" t="s">
        <v>1167</v>
      </c>
      <c r="G38" s="298"/>
      <c r="H38" s="138"/>
      <c r="I38" s="138"/>
      <c r="J38" s="138"/>
      <c r="K38" s="138"/>
      <c r="L38" s="138"/>
      <c r="M38" s="138"/>
      <c r="N38" s="138"/>
      <c r="O38" s="139"/>
      <c r="P38" s="138"/>
      <c r="Q38" s="107"/>
      <c r="R38" s="107"/>
    </row>
    <row r="39" spans="1:18" ht="15" customHeight="1">
      <c r="A39" s="17" t="s">
        <v>68</v>
      </c>
      <c r="B39" s="17" t="s">
        <v>1149</v>
      </c>
      <c r="C39" s="18" t="s">
        <v>1009</v>
      </c>
      <c r="D39" s="17" t="s">
        <v>70</v>
      </c>
      <c r="E39" s="17" t="s">
        <v>269</v>
      </c>
      <c r="F39" s="17" t="s">
        <v>1156</v>
      </c>
      <c r="G39" s="298"/>
      <c r="H39" s="138"/>
      <c r="I39" s="138"/>
      <c r="J39" s="138"/>
      <c r="K39" s="138"/>
      <c r="L39" s="138"/>
      <c r="M39" s="138"/>
      <c r="N39" s="138"/>
      <c r="O39" s="139"/>
      <c r="P39" s="138"/>
      <c r="Q39" s="107"/>
      <c r="R39" s="107"/>
    </row>
    <row r="40" spans="1:18" ht="15" customHeight="1">
      <c r="A40" s="17" t="s">
        <v>402</v>
      </c>
      <c r="B40" s="17" t="s">
        <v>1155</v>
      </c>
      <c r="C40" s="18" t="s">
        <v>578</v>
      </c>
      <c r="D40" s="17" t="s">
        <v>63</v>
      </c>
      <c r="E40" s="17" t="s">
        <v>286</v>
      </c>
      <c r="F40" s="17" t="s">
        <v>1162</v>
      </c>
      <c r="G40" s="298"/>
      <c r="H40" s="138"/>
      <c r="I40" s="138"/>
      <c r="J40" s="138"/>
      <c r="K40" s="138"/>
      <c r="L40" s="138"/>
      <c r="M40" s="138"/>
      <c r="N40" s="138"/>
      <c r="O40" s="139"/>
      <c r="P40" s="138"/>
      <c r="Q40" s="107"/>
      <c r="R40" s="107"/>
    </row>
    <row r="41" spans="1:18" ht="15" customHeight="1">
      <c r="A41" s="17" t="s">
        <v>359</v>
      </c>
      <c r="B41" s="17" t="s">
        <v>1152</v>
      </c>
      <c r="C41" s="18" t="s">
        <v>692</v>
      </c>
      <c r="D41" s="17" t="s">
        <v>46</v>
      </c>
      <c r="E41" s="17" t="s">
        <v>270</v>
      </c>
      <c r="F41" s="17" t="s">
        <v>1168</v>
      </c>
      <c r="G41" s="298"/>
      <c r="H41" s="138"/>
      <c r="I41" s="138"/>
      <c r="J41" s="138"/>
      <c r="K41" s="138"/>
      <c r="L41" s="138"/>
      <c r="M41" s="138"/>
      <c r="N41" s="138"/>
      <c r="O41" s="139"/>
      <c r="P41" s="138"/>
      <c r="Q41" s="107"/>
      <c r="R41" s="107"/>
    </row>
    <row r="42" spans="1:18" ht="15" customHeight="1" thickBot="1">
      <c r="A42" s="30" t="s">
        <v>415</v>
      </c>
      <c r="B42" s="30" t="s">
        <v>1150</v>
      </c>
      <c r="C42" s="31" t="s">
        <v>1183</v>
      </c>
      <c r="D42" s="30" t="s">
        <v>63</v>
      </c>
      <c r="E42" s="30" t="s">
        <v>269</v>
      </c>
      <c r="F42" s="30" t="s">
        <v>1163</v>
      </c>
      <c r="G42" s="299"/>
      <c r="H42" s="140"/>
      <c r="I42" s="140"/>
      <c r="J42" s="140"/>
      <c r="K42" s="140"/>
      <c r="L42" s="140"/>
      <c r="M42" s="140"/>
      <c r="N42" s="140"/>
      <c r="O42" s="141"/>
      <c r="P42" s="140"/>
      <c r="Q42" s="142"/>
      <c r="R42" s="142"/>
    </row>
    <row r="43" spans="1:18" ht="17.45" customHeight="1" thickBot="1">
      <c r="A43" s="283"/>
      <c r="B43" s="284"/>
      <c r="C43" s="284"/>
      <c r="D43" s="284"/>
      <c r="E43" s="284"/>
      <c r="F43" s="284"/>
      <c r="G43" s="284"/>
      <c r="H43" s="284"/>
      <c r="I43" s="284"/>
      <c r="J43" s="284"/>
      <c r="K43" s="284"/>
      <c r="L43" s="284"/>
      <c r="M43" s="284"/>
      <c r="N43" s="284"/>
      <c r="O43" s="284"/>
      <c r="P43" s="284"/>
      <c r="Q43" s="284"/>
      <c r="R43" s="285"/>
    </row>
    <row r="44" spans="1:18" ht="22.15" customHeight="1" thickTop="1" thickBot="1">
      <c r="A44" s="279" t="s">
        <v>6</v>
      </c>
      <c r="B44" s="295"/>
      <c r="C44" s="295"/>
      <c r="D44" s="295"/>
      <c r="E44" s="295"/>
      <c r="F44" s="296"/>
      <c r="G44" s="32">
        <v>46052</v>
      </c>
      <c r="H44" s="278" t="s">
        <v>7</v>
      </c>
      <c r="I44" s="295"/>
      <c r="J44" s="295"/>
      <c r="K44" s="295"/>
      <c r="L44" s="295"/>
      <c r="M44" s="295"/>
      <c r="N44" s="295"/>
      <c r="O44" s="295"/>
      <c r="P44" s="295"/>
      <c r="Q44" s="295"/>
      <c r="R44" s="296"/>
    </row>
    <row r="45" spans="1:18" ht="24" customHeight="1">
      <c r="A45" s="33" t="s">
        <v>8</v>
      </c>
      <c r="B45" s="33" t="s">
        <v>9</v>
      </c>
      <c r="C45" s="34" t="s">
        <v>10</v>
      </c>
      <c r="D45" s="33" t="s">
        <v>11</v>
      </c>
      <c r="E45" s="33" t="s">
        <v>12</v>
      </c>
      <c r="F45" s="35" t="s">
        <v>13</v>
      </c>
      <c r="G45" s="36" t="s">
        <v>14</v>
      </c>
      <c r="H45" s="33" t="s">
        <v>15</v>
      </c>
      <c r="I45" s="37" t="s">
        <v>16</v>
      </c>
      <c r="J45" s="38" t="s">
        <v>17</v>
      </c>
      <c r="K45" s="39" t="s">
        <v>18</v>
      </c>
      <c r="L45" s="38" t="s">
        <v>19</v>
      </c>
      <c r="M45" s="38" t="s">
        <v>20</v>
      </c>
      <c r="N45" s="38" t="s">
        <v>21</v>
      </c>
      <c r="O45" s="33" t="s">
        <v>22</v>
      </c>
      <c r="P45" s="34" t="s">
        <v>23</v>
      </c>
      <c r="Q45" s="38" t="s">
        <v>24</v>
      </c>
      <c r="R45" s="33" t="s">
        <v>25</v>
      </c>
    </row>
    <row r="46" spans="1:18" ht="15" customHeight="1">
      <c r="A46" s="78" t="s">
        <v>61</v>
      </c>
      <c r="B46" s="78" t="s">
        <v>1179</v>
      </c>
      <c r="C46" s="79">
        <v>0.37847222222222232</v>
      </c>
      <c r="D46" s="78" t="s">
        <v>63</v>
      </c>
      <c r="E46" s="78" t="s">
        <v>156</v>
      </c>
      <c r="F46" s="78" t="s">
        <v>476</v>
      </c>
      <c r="G46" s="302"/>
      <c r="H46" s="80" t="s">
        <v>1181</v>
      </c>
      <c r="I46" s="81">
        <v>2.23E-2</v>
      </c>
      <c r="J46" s="82">
        <v>4</v>
      </c>
      <c r="K46" s="83">
        <v>46344</v>
      </c>
      <c r="L46" s="82">
        <v>4</v>
      </c>
      <c r="M46" s="82">
        <v>0</v>
      </c>
      <c r="N46" s="82">
        <v>0</v>
      </c>
      <c r="O46" s="84" t="s">
        <v>570</v>
      </c>
      <c r="P46" s="85">
        <v>0.37847222222222232</v>
      </c>
      <c r="Q46" s="82">
        <v>179</v>
      </c>
      <c r="R46" s="86" t="s">
        <v>1187</v>
      </c>
    </row>
    <row r="47" spans="1:18" ht="18">
      <c r="A47" s="292" t="s">
        <v>1182</v>
      </c>
      <c r="B47" s="303"/>
      <c r="C47" s="303"/>
      <c r="D47" s="303"/>
      <c r="E47" s="303"/>
      <c r="F47" s="304"/>
      <c r="G47" s="298"/>
      <c r="H47" s="138"/>
      <c r="I47" s="138"/>
      <c r="J47" s="138"/>
      <c r="K47" s="138"/>
      <c r="L47" s="138"/>
      <c r="M47" s="138"/>
      <c r="N47" s="138"/>
      <c r="O47" s="139"/>
      <c r="P47" s="138"/>
      <c r="Q47" s="107"/>
      <c r="R47" s="107"/>
    </row>
    <row r="48" spans="1:18" ht="15" customHeight="1">
      <c r="A48" s="17" t="s">
        <v>68</v>
      </c>
      <c r="B48" s="17" t="s">
        <v>1149</v>
      </c>
      <c r="C48" s="18" t="s">
        <v>1009</v>
      </c>
      <c r="D48" s="17" t="s">
        <v>643</v>
      </c>
      <c r="E48" s="17" t="s">
        <v>278</v>
      </c>
      <c r="F48" s="17" t="s">
        <v>33</v>
      </c>
      <c r="G48" s="298"/>
      <c r="H48" s="138"/>
      <c r="I48" s="138"/>
      <c r="J48" s="138"/>
      <c r="K48" s="138"/>
      <c r="L48" s="138"/>
      <c r="M48" s="138"/>
      <c r="N48" s="138"/>
      <c r="O48" s="139"/>
      <c r="P48" s="138"/>
      <c r="Q48" s="107"/>
      <c r="R48" s="107"/>
    </row>
    <row r="49" spans="1:18" ht="15" customHeight="1">
      <c r="A49" s="17" t="s">
        <v>359</v>
      </c>
      <c r="B49" s="17" t="s">
        <v>1152</v>
      </c>
      <c r="C49" s="18" t="s">
        <v>692</v>
      </c>
      <c r="D49" s="17" t="s">
        <v>361</v>
      </c>
      <c r="E49" s="17" t="s">
        <v>270</v>
      </c>
      <c r="F49" s="17" t="s">
        <v>1167</v>
      </c>
      <c r="G49" s="298"/>
      <c r="H49" s="138"/>
      <c r="I49" s="138"/>
      <c r="J49" s="138"/>
      <c r="K49" s="138"/>
      <c r="L49" s="138"/>
      <c r="M49" s="138"/>
      <c r="N49" s="138"/>
      <c r="O49" s="139"/>
      <c r="P49" s="138"/>
      <c r="Q49" s="107"/>
      <c r="R49" s="107"/>
    </row>
    <row r="50" spans="1:18" ht="15" customHeight="1">
      <c r="A50" s="17" t="s">
        <v>402</v>
      </c>
      <c r="B50" s="17" t="s">
        <v>1155</v>
      </c>
      <c r="C50" s="18" t="s">
        <v>578</v>
      </c>
      <c r="D50" s="17" t="s">
        <v>63</v>
      </c>
      <c r="E50" s="17" t="s">
        <v>277</v>
      </c>
      <c r="F50" s="17" t="s">
        <v>1162</v>
      </c>
      <c r="G50" s="298"/>
      <c r="H50" s="138"/>
      <c r="I50" s="138"/>
      <c r="J50" s="138"/>
      <c r="K50" s="138"/>
      <c r="L50" s="138"/>
      <c r="M50" s="138"/>
      <c r="N50" s="138"/>
      <c r="O50" s="139"/>
      <c r="P50" s="138"/>
      <c r="Q50" s="107"/>
      <c r="R50" s="107"/>
    </row>
    <row r="51" spans="1:18" ht="15" customHeight="1">
      <c r="A51" s="17" t="s">
        <v>359</v>
      </c>
      <c r="B51" s="17" t="s">
        <v>1152</v>
      </c>
      <c r="C51" s="18" t="s">
        <v>692</v>
      </c>
      <c r="D51" s="17" t="s">
        <v>46</v>
      </c>
      <c r="E51" s="17" t="s">
        <v>270</v>
      </c>
      <c r="F51" s="17" t="s">
        <v>1168</v>
      </c>
      <c r="G51" s="298"/>
      <c r="H51" s="138"/>
      <c r="I51" s="138"/>
      <c r="J51" s="138"/>
      <c r="K51" s="138"/>
      <c r="L51" s="138"/>
      <c r="M51" s="138"/>
      <c r="N51" s="138"/>
      <c r="O51" s="139"/>
      <c r="P51" s="138"/>
      <c r="Q51" s="107"/>
      <c r="R51" s="107"/>
    </row>
    <row r="52" spans="1:18" ht="15" customHeight="1" thickBot="1">
      <c r="A52" s="30" t="s">
        <v>415</v>
      </c>
      <c r="B52" s="30" t="s">
        <v>1150</v>
      </c>
      <c r="C52" s="31" t="s">
        <v>1183</v>
      </c>
      <c r="D52" s="30" t="s">
        <v>63</v>
      </c>
      <c r="E52" s="30" t="s">
        <v>269</v>
      </c>
      <c r="F52" s="30" t="s">
        <v>1163</v>
      </c>
      <c r="G52" s="299"/>
      <c r="H52" s="140"/>
      <c r="I52" s="140"/>
      <c r="J52" s="140"/>
      <c r="K52" s="140"/>
      <c r="L52" s="140"/>
      <c r="M52" s="140"/>
      <c r="N52" s="140"/>
      <c r="O52" s="141"/>
      <c r="P52" s="140"/>
      <c r="Q52" s="142"/>
      <c r="R52" s="142"/>
    </row>
    <row r="53" spans="1:18" ht="17.45" customHeight="1" thickBot="1">
      <c r="A53" s="283"/>
      <c r="B53" s="284"/>
      <c r="C53" s="284"/>
      <c r="D53" s="284"/>
      <c r="E53" s="284"/>
      <c r="F53" s="284"/>
      <c r="G53" s="284"/>
      <c r="H53" s="284"/>
      <c r="I53" s="284"/>
      <c r="J53" s="284"/>
      <c r="K53" s="284"/>
      <c r="L53" s="284"/>
      <c r="M53" s="284"/>
      <c r="N53" s="284"/>
      <c r="O53" s="284"/>
      <c r="P53" s="284"/>
      <c r="Q53" s="284"/>
      <c r="R53" s="285"/>
    </row>
    <row r="54" spans="1:18" ht="15" thickTop="1"/>
  </sheetData>
  <mergeCells count="32">
    <mergeCell ref="A37:F37"/>
    <mergeCell ref="A27:F27"/>
    <mergeCell ref="G6:G12"/>
    <mergeCell ref="H1:L1"/>
    <mergeCell ref="A1:E1"/>
    <mergeCell ref="H4:R4"/>
    <mergeCell ref="N1:R1"/>
    <mergeCell ref="H34:R34"/>
    <mergeCell ref="A14:F14"/>
    <mergeCell ref="A33:R33"/>
    <mergeCell ref="G2:J2"/>
    <mergeCell ref="A17:F17"/>
    <mergeCell ref="A4:F4"/>
    <mergeCell ref="A23:R23"/>
    <mergeCell ref="G16:G22"/>
    <mergeCell ref="G26:G32"/>
    <mergeCell ref="A53:R53"/>
    <mergeCell ref="A43:R43"/>
    <mergeCell ref="A44:F44"/>
    <mergeCell ref="A13:R13"/>
    <mergeCell ref="K2:R2"/>
    <mergeCell ref="A34:F34"/>
    <mergeCell ref="G46:G52"/>
    <mergeCell ref="G36:G42"/>
    <mergeCell ref="A24:F24"/>
    <mergeCell ref="H24:R24"/>
    <mergeCell ref="H14:R14"/>
    <mergeCell ref="A7:F7"/>
    <mergeCell ref="H44:R44"/>
    <mergeCell ref="A2:F2"/>
    <mergeCell ref="A3:R3"/>
    <mergeCell ref="A47:F47"/>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J7"/>
  <sheetViews>
    <sheetView workbookViewId="0"/>
  </sheetViews>
  <sheetFormatPr defaultColWidth="8.85546875" defaultRowHeight="15.6" outlineLevelCol="1"/>
  <cols>
    <col min="1" max="1" width="6.85546875" style="266" bestFit="1" customWidth="1"/>
    <col min="2" max="2" width="9.7109375" style="266" bestFit="1" customWidth="1"/>
    <col min="3" max="3" width="6.7109375" style="266" bestFit="1" customWidth="1"/>
    <col min="4" max="4" width="5.5703125" style="266" bestFit="1" customWidth="1"/>
    <col min="5" max="5" width="8.5703125" style="266" bestFit="1" customWidth="1"/>
    <col min="6" max="6" width="4.28515625" style="266" bestFit="1" customWidth="1"/>
    <col min="7" max="7" width="8.42578125" style="266" bestFit="1" customWidth="1"/>
    <col min="8"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560</v>
      </c>
      <c r="B2" s="268">
        <v>46024</v>
      </c>
      <c r="C2" s="269" t="s">
        <v>1181</v>
      </c>
      <c r="D2" s="270" t="s">
        <v>1188</v>
      </c>
      <c r="E2" s="269" t="s">
        <v>1178</v>
      </c>
      <c r="F2" s="269" t="s">
        <v>232</v>
      </c>
      <c r="G2" s="271">
        <v>0</v>
      </c>
      <c r="H2" s="272">
        <v>179</v>
      </c>
      <c r="I2" s="272">
        <v>0</v>
      </c>
      <c r="J2" s="272">
        <v>0</v>
      </c>
      <c r="K2" s="269" t="s">
        <v>233</v>
      </c>
      <c r="L2" s="273" t="s">
        <v>66</v>
      </c>
      <c r="M2" s="272">
        <v>0</v>
      </c>
      <c r="N2" s="272">
        <v>0</v>
      </c>
      <c r="O2" s="272">
        <v>0</v>
      </c>
      <c r="P2" s="269" t="s">
        <v>374</v>
      </c>
      <c r="Q2" s="265"/>
      <c r="R2" s="265"/>
      <c r="S2" s="265"/>
      <c r="T2" s="265"/>
      <c r="U2" s="265"/>
      <c r="V2" s="265"/>
      <c r="W2" s="265"/>
      <c r="X2" s="265"/>
      <c r="Y2" s="265"/>
      <c r="Z2" s="265"/>
      <c r="AA2" s="265"/>
      <c r="AB2" s="265"/>
      <c r="AC2" s="265"/>
      <c r="AD2" s="265"/>
      <c r="AE2" s="265"/>
      <c r="AF2" s="265"/>
      <c r="AG2" s="265"/>
      <c r="AH2" s="265"/>
      <c r="AI2" s="265"/>
      <c r="AJ2" s="265"/>
    </row>
    <row r="3" spans="1:36">
      <c r="A3" s="267" t="s">
        <v>560</v>
      </c>
      <c r="B3" s="268">
        <v>46031</v>
      </c>
      <c r="C3" s="269" t="s">
        <v>1181</v>
      </c>
      <c r="D3" s="270" t="s">
        <v>1188</v>
      </c>
      <c r="E3" s="269" t="s">
        <v>1178</v>
      </c>
      <c r="F3" s="269" t="s">
        <v>232</v>
      </c>
      <c r="G3" s="271">
        <v>2.23E-2</v>
      </c>
      <c r="H3" s="272">
        <v>179</v>
      </c>
      <c r="I3" s="272">
        <v>4</v>
      </c>
      <c r="J3" s="272">
        <v>0</v>
      </c>
      <c r="K3" s="269" t="s">
        <v>233</v>
      </c>
      <c r="L3" s="273">
        <v>46295</v>
      </c>
      <c r="M3" s="272">
        <v>0</v>
      </c>
      <c r="N3" s="272">
        <v>0</v>
      </c>
      <c r="O3" s="272">
        <v>4</v>
      </c>
      <c r="P3" s="269" t="s">
        <v>819</v>
      </c>
      <c r="Q3" s="272" t="s">
        <v>1189</v>
      </c>
      <c r="R3" s="265"/>
      <c r="S3" s="265"/>
      <c r="T3" s="265"/>
      <c r="U3" s="265"/>
      <c r="V3" s="265"/>
      <c r="W3" s="265"/>
      <c r="X3" s="265"/>
      <c r="Y3" s="265"/>
      <c r="Z3" s="265"/>
      <c r="AA3" s="265"/>
      <c r="AB3" s="265"/>
      <c r="AC3" s="272" t="s">
        <v>302</v>
      </c>
      <c r="AD3" s="265"/>
      <c r="AE3" s="265"/>
      <c r="AF3" s="265"/>
      <c r="AG3" s="265"/>
      <c r="AH3" s="265"/>
      <c r="AI3" s="265"/>
      <c r="AJ3" s="265"/>
    </row>
    <row r="4" spans="1:36">
      <c r="A4" s="267" t="s">
        <v>560</v>
      </c>
      <c r="B4" s="268">
        <v>46038</v>
      </c>
      <c r="C4" s="269" t="s">
        <v>1181</v>
      </c>
      <c r="D4" s="270" t="s">
        <v>1188</v>
      </c>
      <c r="E4" s="269" t="s">
        <v>1178</v>
      </c>
      <c r="F4" s="269" t="s">
        <v>232</v>
      </c>
      <c r="G4" s="271">
        <v>0</v>
      </c>
      <c r="H4" s="272">
        <v>179</v>
      </c>
      <c r="I4" s="272">
        <v>0</v>
      </c>
      <c r="J4" s="272">
        <v>0</v>
      </c>
      <c r="K4" s="269" t="s">
        <v>233</v>
      </c>
      <c r="L4" s="273" t="s">
        <v>66</v>
      </c>
      <c r="M4" s="272">
        <v>0</v>
      </c>
      <c r="N4" s="272">
        <v>0</v>
      </c>
      <c r="O4" s="272">
        <v>0</v>
      </c>
      <c r="P4" s="269" t="s">
        <v>667</v>
      </c>
      <c r="Q4" s="265"/>
      <c r="R4" s="265"/>
      <c r="S4" s="265"/>
      <c r="T4" s="265"/>
      <c r="U4" s="265"/>
      <c r="V4" s="265"/>
      <c r="W4" s="265"/>
      <c r="X4" s="265"/>
      <c r="Y4" s="265"/>
      <c r="Z4" s="265"/>
      <c r="AA4" s="265"/>
      <c r="AB4" s="265"/>
      <c r="AC4" s="265"/>
      <c r="AD4" s="265"/>
      <c r="AE4" s="265"/>
      <c r="AF4" s="265"/>
      <c r="AG4" s="265"/>
      <c r="AH4" s="265"/>
      <c r="AI4" s="265"/>
      <c r="AJ4" s="265"/>
    </row>
    <row r="5" spans="1:36">
      <c r="A5" s="267" t="s">
        <v>560</v>
      </c>
      <c r="B5" s="268">
        <v>46045</v>
      </c>
      <c r="C5" s="269" t="s">
        <v>1181</v>
      </c>
      <c r="D5" s="270" t="s">
        <v>1188</v>
      </c>
      <c r="E5" s="269" t="s">
        <v>1178</v>
      </c>
      <c r="F5" s="269" t="s">
        <v>232</v>
      </c>
      <c r="G5" s="271">
        <v>0</v>
      </c>
      <c r="H5" s="272">
        <v>179</v>
      </c>
      <c r="I5" s="272">
        <v>0</v>
      </c>
      <c r="J5" s="272">
        <v>0</v>
      </c>
      <c r="K5" s="269" t="s">
        <v>233</v>
      </c>
      <c r="L5" s="273" t="s">
        <v>66</v>
      </c>
      <c r="M5" s="272">
        <v>0</v>
      </c>
      <c r="N5" s="272">
        <v>0</v>
      </c>
      <c r="O5" s="272">
        <v>0</v>
      </c>
      <c r="P5" s="269" t="s">
        <v>1137</v>
      </c>
      <c r="Q5" s="265"/>
      <c r="R5" s="265"/>
      <c r="S5" s="265"/>
      <c r="T5" s="265"/>
      <c r="U5" s="265"/>
      <c r="V5" s="265"/>
      <c r="W5" s="265"/>
      <c r="X5" s="265"/>
      <c r="Y5" s="265"/>
      <c r="Z5" s="265"/>
      <c r="AA5" s="265"/>
      <c r="AB5" s="265"/>
      <c r="AC5" s="265"/>
      <c r="AD5" s="265"/>
      <c r="AE5" s="265"/>
      <c r="AF5" s="265"/>
      <c r="AG5" s="265"/>
      <c r="AH5" s="265"/>
      <c r="AI5" s="265"/>
      <c r="AJ5" s="265"/>
    </row>
    <row r="6" spans="1:36">
      <c r="A6" s="267" t="s">
        <v>560</v>
      </c>
      <c r="B6" s="268">
        <v>46052</v>
      </c>
      <c r="C6" s="269" t="s">
        <v>1181</v>
      </c>
      <c r="D6" s="270" t="s">
        <v>1188</v>
      </c>
      <c r="E6" s="269" t="s">
        <v>1178</v>
      </c>
      <c r="F6" s="269" t="s">
        <v>232</v>
      </c>
      <c r="G6" s="271">
        <v>2.23E-2</v>
      </c>
      <c r="H6" s="272">
        <v>179</v>
      </c>
      <c r="I6" s="272">
        <v>4</v>
      </c>
      <c r="J6" s="272">
        <v>0</v>
      </c>
      <c r="K6" s="269" t="s">
        <v>233</v>
      </c>
      <c r="L6" s="273">
        <v>46344</v>
      </c>
      <c r="M6" s="272">
        <v>0</v>
      </c>
      <c r="N6" s="272">
        <v>0</v>
      </c>
      <c r="O6" s="272">
        <v>4</v>
      </c>
      <c r="P6" s="269" t="s">
        <v>570</v>
      </c>
      <c r="Q6" s="265"/>
      <c r="R6" s="265"/>
      <c r="S6" s="265"/>
      <c r="T6" s="265"/>
      <c r="U6" s="265"/>
      <c r="V6" s="265"/>
      <c r="W6" s="265"/>
      <c r="X6" s="265"/>
      <c r="Y6" s="265"/>
      <c r="Z6" s="265"/>
      <c r="AA6" s="265"/>
      <c r="AB6" s="265"/>
      <c r="AC6" s="272" t="s">
        <v>298</v>
      </c>
      <c r="AD6" s="265"/>
      <c r="AE6" s="272" t="s">
        <v>1016</v>
      </c>
      <c r="AF6" s="265"/>
      <c r="AG6" s="265"/>
      <c r="AH6" s="265"/>
      <c r="AI6" s="265"/>
      <c r="AJ6" s="265"/>
    </row>
    <row r="7" spans="1:36" ht="21">
      <c r="A7" s="274" t="s">
        <v>251</v>
      </c>
      <c r="B7" s="275"/>
      <c r="C7" s="274">
        <f>SUBTOTAL(103,ATZ_TUU_LF_LEGACY[Flt])</f>
        <v>5</v>
      </c>
      <c r="D7" s="274"/>
      <c r="E7" s="274">
        <f>SUBTOTAL(103,ATZ_TUU_LF_LEGACY[Brd-Off])</f>
        <v>5</v>
      </c>
      <c r="F7" s="274"/>
      <c r="G7" s="276">
        <f>SUBTOTAL(101,ATZ_TUU_LF_LEGACY[LF%])</f>
        <v>8.9200000000000008E-3</v>
      </c>
      <c r="H7" s="277">
        <f>SUBTOTAL(109,ATZ_TUU_LF_LEGACY[CAP])</f>
        <v>895</v>
      </c>
      <c r="I7" s="277">
        <f>SUBTOTAL(109,ATZ_TUU_LF_LEGACY[BKG(Y)])</f>
        <v>8</v>
      </c>
      <c r="J7" s="277">
        <f>SUBTOTAL(109,ATZ_TUU_LF_LEGACY[GRP(Y)])</f>
        <v>0</v>
      </c>
      <c r="K7" s="274"/>
      <c r="L7" s="275"/>
      <c r="M7" s="277">
        <f>SUBTOTAL(109,ATZ_TUU_LF_LEGACY[TO-DAY])</f>
        <v>0</v>
      </c>
      <c r="N7" s="277">
        <f>SUBTOTAL(109,ATZ_TUU_LF_LEGACY[Y-DAY])</f>
        <v>0</v>
      </c>
      <c r="O7" s="277">
        <f>SUBTOTAL(109,ATZ_TUU_LF_LEGACY[WEEKLY])</f>
        <v>8</v>
      </c>
      <c r="P7" s="274"/>
      <c r="Q7" s="277">
        <f>SUBTOTAL(109,ATZ_TUU_LF_LEGACY[Y])</f>
        <v>0</v>
      </c>
      <c r="R7" s="277">
        <f>SUBTOTAL(109,ATZ_TUU_LF_LEGACY[B])</f>
        <v>0</v>
      </c>
      <c r="S7" s="277">
        <f>SUBTOTAL(109,ATZ_TUU_LF_LEGACY[M])</f>
        <v>0</v>
      </c>
      <c r="T7" s="277">
        <f>SUBTOTAL(109,ATZ_TUU_LF_LEGACY[H])</f>
        <v>0</v>
      </c>
      <c r="U7" s="277">
        <f>SUBTOTAL(109,ATZ_TUU_LF_LEGACY[Q])</f>
        <v>0</v>
      </c>
      <c r="V7" s="277">
        <f>SUBTOTAL(109,ATZ_TUU_LF_LEGACY[K])</f>
        <v>0</v>
      </c>
      <c r="W7" s="277">
        <f>SUBTOTAL(109,ATZ_TUU_LF_LEGACY[V])</f>
        <v>0</v>
      </c>
      <c r="X7" s="277">
        <f>SUBTOTAL(109,ATZ_TUU_LF_LEGACY[L])</f>
        <v>0</v>
      </c>
      <c r="Y7" s="277">
        <f>SUBTOTAL(109,ATZ_TUU_LF_LEGACY[G])</f>
        <v>0</v>
      </c>
      <c r="Z7" s="277">
        <f>SUBTOTAL(109,ATZ_TUU_LF_LEGACY[S])</f>
        <v>0</v>
      </c>
      <c r="AA7" s="277">
        <f>SUBTOTAL(109,ATZ_TUU_LF_LEGACY[W])</f>
        <v>0</v>
      </c>
      <c r="AB7" s="277">
        <f>SUBTOTAL(109,ATZ_TUU_LF_LEGACY[T])</f>
        <v>0</v>
      </c>
      <c r="AC7" s="277">
        <f>SUBTOTAL(109,ATZ_TUU_LF_LEGACY[X])</f>
        <v>0</v>
      </c>
      <c r="AD7" s="277">
        <f>SUBTOTAL(109,ATZ_TUU_LF_LEGACY[U])</f>
        <v>0</v>
      </c>
      <c r="AE7" s="277">
        <f>SUBTOTAL(109,ATZ_TUU_LF_LEGACY[O])</f>
        <v>0</v>
      </c>
      <c r="AF7" s="277">
        <f>SUBTOTAL(109,ATZ_TUU_LF_LEGACY[I])</f>
        <v>0</v>
      </c>
      <c r="AG7" s="277">
        <f>SUBTOTAL(109,ATZ_TUU_LF_LEGACY[E])</f>
        <v>0</v>
      </c>
      <c r="AH7" s="277">
        <f>SUBTOTAL(109,ATZ_TUU_LF_LEGACY[A])</f>
        <v>0</v>
      </c>
      <c r="AI7" s="277">
        <f>SUBTOTAL(109,ATZ_TUU_LF_LEGACY[P])</f>
        <v>0</v>
      </c>
      <c r="AJ7" s="277">
        <f>SUBTOTAL(103,ATZ_TUU_LF_LEGACY[N])</f>
        <v>0</v>
      </c>
    </row>
  </sheetData>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162"/>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50.28515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43"/>
      <c r="B2" s="144"/>
      <c r="C2" s="144"/>
      <c r="D2" s="144"/>
      <c r="E2" s="144"/>
      <c r="F2" s="145" t="s">
        <v>1190</v>
      </c>
      <c r="G2" s="144"/>
      <c r="H2" s="146"/>
    </row>
    <row r="3" spans="1:8" ht="19.899999999999999" customHeight="1">
      <c r="A3" s="111" t="s">
        <v>254</v>
      </c>
      <c r="B3" s="112" t="s">
        <v>402</v>
      </c>
      <c r="C3" s="113" t="s">
        <v>1145</v>
      </c>
      <c r="D3" s="112" t="s">
        <v>1144</v>
      </c>
      <c r="E3" s="112" t="s">
        <v>578</v>
      </c>
      <c r="F3" s="112" t="s">
        <v>63</v>
      </c>
      <c r="G3" s="114">
        <v>3</v>
      </c>
      <c r="H3" s="115" t="s">
        <v>1146</v>
      </c>
    </row>
    <row r="4" spans="1:8" ht="19.899999999999999" customHeight="1">
      <c r="A4" s="111" t="s">
        <v>254</v>
      </c>
      <c r="B4" s="112" t="s">
        <v>61</v>
      </c>
      <c r="C4" s="113" t="s">
        <v>1147</v>
      </c>
      <c r="D4" s="112" t="s">
        <v>1144</v>
      </c>
      <c r="E4" s="112" t="s">
        <v>1176</v>
      </c>
      <c r="F4" s="112" t="s">
        <v>63</v>
      </c>
      <c r="G4" s="114">
        <v>4</v>
      </c>
      <c r="H4" s="115" t="s">
        <v>33</v>
      </c>
    </row>
    <row r="5" spans="1:8" ht="19.899999999999999" customHeight="1">
      <c r="A5" s="111" t="s">
        <v>254</v>
      </c>
      <c r="B5" s="112" t="s">
        <v>68</v>
      </c>
      <c r="C5" s="113" t="s">
        <v>1149</v>
      </c>
      <c r="D5" s="112" t="s">
        <v>1144</v>
      </c>
      <c r="E5" s="112" t="s">
        <v>1009</v>
      </c>
      <c r="F5" s="112" t="s">
        <v>643</v>
      </c>
      <c r="G5" s="114">
        <v>9</v>
      </c>
      <c r="H5" s="115" t="s">
        <v>33</v>
      </c>
    </row>
    <row r="6" spans="1:8" ht="19.899999999999999" customHeight="1">
      <c r="A6" s="147" t="s">
        <v>254</v>
      </c>
      <c r="B6" s="124" t="s">
        <v>415</v>
      </c>
      <c r="C6" s="125" t="s">
        <v>1150</v>
      </c>
      <c r="D6" s="124" t="s">
        <v>1144</v>
      </c>
      <c r="E6" s="124" t="s">
        <v>1191</v>
      </c>
      <c r="F6" s="124" t="s">
        <v>63</v>
      </c>
      <c r="G6" s="127">
        <v>8</v>
      </c>
      <c r="H6" s="128" t="s">
        <v>1151</v>
      </c>
    </row>
    <row r="7" spans="1:8" ht="19.899999999999999" customHeight="1">
      <c r="A7" s="116" t="s">
        <v>339</v>
      </c>
      <c r="B7" s="117" t="s">
        <v>61</v>
      </c>
      <c r="C7" s="118" t="s">
        <v>1179</v>
      </c>
      <c r="D7" s="117" t="s">
        <v>1178</v>
      </c>
      <c r="E7" s="117" t="s">
        <v>1188</v>
      </c>
      <c r="F7" s="117" t="s">
        <v>63</v>
      </c>
      <c r="G7" s="119">
        <v>7</v>
      </c>
      <c r="H7" s="120" t="s">
        <v>1180</v>
      </c>
    </row>
    <row r="8" spans="1:8" ht="19.899999999999999" customHeight="1">
      <c r="A8" s="143"/>
      <c r="B8" s="144"/>
      <c r="C8" s="144"/>
      <c r="D8" s="144"/>
      <c r="E8" s="144"/>
      <c r="F8" s="145" t="s">
        <v>1190</v>
      </c>
      <c r="G8" s="144"/>
      <c r="H8" s="146"/>
    </row>
    <row r="9" spans="1:8" ht="19.899999999999999" customHeight="1">
      <c r="A9" s="121">
        <v>46024</v>
      </c>
      <c r="B9" s="112" t="s">
        <v>359</v>
      </c>
      <c r="C9" s="113" t="s">
        <v>1152</v>
      </c>
      <c r="D9" s="112" t="s">
        <v>1144</v>
      </c>
      <c r="E9" s="122">
        <v>1.4965277777777779</v>
      </c>
      <c r="F9" s="112" t="s">
        <v>361</v>
      </c>
      <c r="G9" s="114">
        <v>9</v>
      </c>
      <c r="H9" s="115" t="s">
        <v>1153</v>
      </c>
    </row>
    <row r="10" spans="1:8" ht="19.899999999999999" customHeight="1">
      <c r="A10" s="121">
        <v>46024</v>
      </c>
      <c r="B10" s="112" t="s">
        <v>402</v>
      </c>
      <c r="C10" s="113" t="s">
        <v>1155</v>
      </c>
      <c r="D10" s="112" t="s">
        <v>1144</v>
      </c>
      <c r="E10" s="122">
        <v>1.756944444444444</v>
      </c>
      <c r="F10" s="112" t="s">
        <v>63</v>
      </c>
      <c r="G10" s="114">
        <v>4</v>
      </c>
      <c r="H10" s="115" t="s">
        <v>1146</v>
      </c>
    </row>
    <row r="11" spans="1:8" ht="19.899999999999999" customHeight="1">
      <c r="A11" s="121">
        <v>46024</v>
      </c>
      <c r="B11" s="112" t="s">
        <v>68</v>
      </c>
      <c r="C11" s="113" t="s">
        <v>1149</v>
      </c>
      <c r="D11" s="112" t="s">
        <v>1144</v>
      </c>
      <c r="E11" s="122">
        <v>1.9826388888888891</v>
      </c>
      <c r="F11" s="112" t="s">
        <v>70</v>
      </c>
      <c r="G11" s="114">
        <v>9</v>
      </c>
      <c r="H11" s="115" t="s">
        <v>1156</v>
      </c>
    </row>
    <row r="12" spans="1:8" ht="19.899999999999999" customHeight="1">
      <c r="A12" s="121">
        <v>46024</v>
      </c>
      <c r="B12" s="112" t="s">
        <v>415</v>
      </c>
      <c r="C12" s="113" t="s">
        <v>1150</v>
      </c>
      <c r="D12" s="112" t="s">
        <v>1144</v>
      </c>
      <c r="E12" s="122">
        <v>1.854166666666667</v>
      </c>
      <c r="F12" s="112" t="s">
        <v>63</v>
      </c>
      <c r="G12" s="114">
        <v>7</v>
      </c>
      <c r="H12" s="115" t="s">
        <v>1151</v>
      </c>
    </row>
    <row r="13" spans="1:8" ht="19.899999999999999" customHeight="1">
      <c r="A13" s="123">
        <v>46024</v>
      </c>
      <c r="B13" s="124" t="s">
        <v>359</v>
      </c>
      <c r="C13" s="125" t="s">
        <v>1152</v>
      </c>
      <c r="D13" s="124" t="s">
        <v>1144</v>
      </c>
      <c r="E13" s="126">
        <v>1.4965277777777779</v>
      </c>
      <c r="F13" s="124" t="s">
        <v>46</v>
      </c>
      <c r="G13" s="127">
        <v>9</v>
      </c>
      <c r="H13" s="128" t="s">
        <v>1154</v>
      </c>
    </row>
    <row r="14" spans="1:8" ht="19.899999999999999" customHeight="1">
      <c r="A14" s="143"/>
      <c r="B14" s="144"/>
      <c r="C14" s="144"/>
      <c r="D14" s="144"/>
      <c r="E14" s="144"/>
      <c r="F14" s="145" t="s">
        <v>1190</v>
      </c>
      <c r="G14" s="144"/>
      <c r="H14" s="146"/>
    </row>
    <row r="15" spans="1:8" ht="19.899999999999999" customHeight="1">
      <c r="A15" s="121">
        <v>46025</v>
      </c>
      <c r="B15" s="112" t="s">
        <v>402</v>
      </c>
      <c r="C15" s="113" t="s">
        <v>1145</v>
      </c>
      <c r="D15" s="112" t="s">
        <v>1144</v>
      </c>
      <c r="E15" s="122">
        <v>1.756944444444444</v>
      </c>
      <c r="F15" s="112" t="s">
        <v>63</v>
      </c>
      <c r="G15" s="114">
        <v>5</v>
      </c>
      <c r="H15" s="115" t="s">
        <v>1146</v>
      </c>
    </row>
    <row r="16" spans="1:8" ht="19.899999999999999" customHeight="1">
      <c r="A16" s="123">
        <v>46025</v>
      </c>
      <c r="B16" s="124" t="s">
        <v>61</v>
      </c>
      <c r="C16" s="125" t="s">
        <v>1147</v>
      </c>
      <c r="D16" s="124" t="s">
        <v>1144</v>
      </c>
      <c r="E16" s="126">
        <v>1.836805555555556</v>
      </c>
      <c r="F16" s="124" t="s">
        <v>63</v>
      </c>
      <c r="G16" s="127">
        <v>4</v>
      </c>
      <c r="H16" s="128" t="s">
        <v>1157</v>
      </c>
    </row>
    <row r="17" spans="1:8" ht="19.899999999999999" customHeight="1">
      <c r="A17" s="143"/>
      <c r="B17" s="144"/>
      <c r="C17" s="144"/>
      <c r="D17" s="144"/>
      <c r="E17" s="144"/>
      <c r="F17" s="145" t="s">
        <v>1190</v>
      </c>
      <c r="G17" s="144"/>
      <c r="H17" s="146"/>
    </row>
    <row r="18" spans="1:8" ht="19.899999999999999" customHeight="1">
      <c r="A18" s="121">
        <v>46026</v>
      </c>
      <c r="B18" s="112" t="s">
        <v>359</v>
      </c>
      <c r="C18" s="113" t="s">
        <v>1152</v>
      </c>
      <c r="D18" s="112" t="s">
        <v>1144</v>
      </c>
      <c r="E18" s="122">
        <v>1.538194444444444</v>
      </c>
      <c r="F18" s="112" t="s">
        <v>361</v>
      </c>
      <c r="G18" s="114">
        <v>9</v>
      </c>
      <c r="H18" s="115" t="s">
        <v>1153</v>
      </c>
    </row>
    <row r="19" spans="1:8" ht="19.899999999999999" customHeight="1">
      <c r="A19" s="121">
        <v>46026</v>
      </c>
      <c r="B19" s="112" t="s">
        <v>402</v>
      </c>
      <c r="C19" s="113" t="s">
        <v>1159</v>
      </c>
      <c r="D19" s="112" t="s">
        <v>1144</v>
      </c>
      <c r="E19" s="122">
        <v>1.756944444444444</v>
      </c>
      <c r="F19" s="112" t="s">
        <v>63</v>
      </c>
      <c r="G19" s="114">
        <v>5</v>
      </c>
      <c r="H19" s="115" t="s">
        <v>1146</v>
      </c>
    </row>
    <row r="20" spans="1:8" ht="19.899999999999999" customHeight="1">
      <c r="A20" s="121">
        <v>46026</v>
      </c>
      <c r="B20" s="112" t="s">
        <v>415</v>
      </c>
      <c r="C20" s="113" t="s">
        <v>1150</v>
      </c>
      <c r="D20" s="112" t="s">
        <v>1144</v>
      </c>
      <c r="E20" s="122">
        <v>1.805555555555556</v>
      </c>
      <c r="F20" s="112" t="s">
        <v>63</v>
      </c>
      <c r="G20" s="114">
        <v>8</v>
      </c>
      <c r="H20" s="115" t="s">
        <v>1151</v>
      </c>
    </row>
    <row r="21" spans="1:8" ht="19.899999999999999" customHeight="1">
      <c r="A21" s="123">
        <v>46026</v>
      </c>
      <c r="B21" s="124" t="s">
        <v>359</v>
      </c>
      <c r="C21" s="125" t="s">
        <v>1152</v>
      </c>
      <c r="D21" s="124" t="s">
        <v>1144</v>
      </c>
      <c r="E21" s="126">
        <v>1.538194444444444</v>
      </c>
      <c r="F21" s="124" t="s">
        <v>46</v>
      </c>
      <c r="G21" s="127">
        <v>9</v>
      </c>
      <c r="H21" s="128" t="s">
        <v>1154</v>
      </c>
    </row>
    <row r="22" spans="1:8" ht="19.899999999999999" customHeight="1">
      <c r="A22" s="143"/>
      <c r="B22" s="144"/>
      <c r="C22" s="144"/>
      <c r="D22" s="144"/>
      <c r="E22" s="144"/>
      <c r="F22" s="145" t="s">
        <v>1190</v>
      </c>
      <c r="G22" s="144"/>
      <c r="H22" s="146"/>
    </row>
    <row r="23" spans="1:8" ht="19.899999999999999" customHeight="1">
      <c r="A23" s="121">
        <v>46027</v>
      </c>
      <c r="B23" s="112" t="s">
        <v>359</v>
      </c>
      <c r="C23" s="113" t="s">
        <v>1152</v>
      </c>
      <c r="D23" s="112" t="s">
        <v>1144</v>
      </c>
      <c r="E23" s="122">
        <v>1.538194444444444</v>
      </c>
      <c r="F23" s="112" t="s">
        <v>361</v>
      </c>
      <c r="G23" s="114">
        <v>9</v>
      </c>
      <c r="H23" s="115" t="s">
        <v>1160</v>
      </c>
    </row>
    <row r="24" spans="1:8" ht="19.899999999999999" customHeight="1">
      <c r="A24" s="121">
        <v>46027</v>
      </c>
      <c r="B24" s="112" t="s">
        <v>402</v>
      </c>
      <c r="C24" s="113" t="s">
        <v>1155</v>
      </c>
      <c r="D24" s="112" t="s">
        <v>1144</v>
      </c>
      <c r="E24" s="122">
        <v>1.7152777777777779</v>
      </c>
      <c r="F24" s="112" t="s">
        <v>63</v>
      </c>
      <c r="G24" s="114">
        <v>3</v>
      </c>
      <c r="H24" s="115" t="s">
        <v>1146</v>
      </c>
    </row>
    <row r="25" spans="1:8" ht="19.899999999999999" customHeight="1">
      <c r="A25" s="121">
        <v>46027</v>
      </c>
      <c r="B25" s="112" t="s">
        <v>68</v>
      </c>
      <c r="C25" s="113" t="s">
        <v>1149</v>
      </c>
      <c r="D25" s="112" t="s">
        <v>1144</v>
      </c>
      <c r="E25" s="122">
        <v>1.9826388888888891</v>
      </c>
      <c r="F25" s="112" t="s">
        <v>70</v>
      </c>
      <c r="G25" s="114">
        <v>9</v>
      </c>
      <c r="H25" s="115" t="s">
        <v>1156</v>
      </c>
    </row>
    <row r="26" spans="1:8" ht="19.899999999999999" customHeight="1">
      <c r="A26" s="123">
        <v>46027</v>
      </c>
      <c r="B26" s="124" t="s">
        <v>359</v>
      </c>
      <c r="C26" s="125" t="s">
        <v>1152</v>
      </c>
      <c r="D26" s="124" t="s">
        <v>1144</v>
      </c>
      <c r="E26" s="126">
        <v>1.538194444444444</v>
      </c>
      <c r="F26" s="124" t="s">
        <v>46</v>
      </c>
      <c r="G26" s="127">
        <v>9</v>
      </c>
      <c r="H26" s="128" t="s">
        <v>1161</v>
      </c>
    </row>
    <row r="27" spans="1:8" ht="19.899999999999999" customHeight="1">
      <c r="A27" s="143"/>
      <c r="B27" s="144"/>
      <c r="C27" s="144"/>
      <c r="D27" s="144"/>
      <c r="E27" s="144"/>
      <c r="F27" s="145" t="s">
        <v>1190</v>
      </c>
      <c r="G27" s="144"/>
      <c r="H27" s="146"/>
    </row>
    <row r="28" spans="1:8" ht="19.899999999999999" customHeight="1">
      <c r="A28" s="121">
        <v>46028</v>
      </c>
      <c r="B28" s="112" t="s">
        <v>402</v>
      </c>
      <c r="C28" s="113" t="s">
        <v>1145</v>
      </c>
      <c r="D28" s="112" t="s">
        <v>1144</v>
      </c>
      <c r="E28" s="122">
        <v>1.7152777777777779</v>
      </c>
      <c r="F28" s="112" t="s">
        <v>63</v>
      </c>
      <c r="G28" s="114">
        <v>5</v>
      </c>
      <c r="H28" s="115" t="s">
        <v>1146</v>
      </c>
    </row>
    <row r="29" spans="1:8" ht="19.899999999999999" customHeight="1">
      <c r="A29" s="123">
        <v>46028</v>
      </c>
      <c r="B29" s="124" t="s">
        <v>415</v>
      </c>
      <c r="C29" s="125" t="s">
        <v>1150</v>
      </c>
      <c r="D29" s="124" t="s">
        <v>1144</v>
      </c>
      <c r="E29" s="126">
        <v>1.78125</v>
      </c>
      <c r="F29" s="124" t="s">
        <v>63</v>
      </c>
      <c r="G29" s="127">
        <v>7</v>
      </c>
      <c r="H29" s="128" t="s">
        <v>1151</v>
      </c>
    </row>
    <row r="30" spans="1:8" ht="19.899999999999999" customHeight="1">
      <c r="A30" s="143"/>
      <c r="B30" s="144"/>
      <c r="C30" s="144"/>
      <c r="D30" s="144"/>
      <c r="E30" s="144"/>
      <c r="F30" s="145" t="s">
        <v>1190</v>
      </c>
      <c r="G30" s="144"/>
      <c r="H30" s="146"/>
    </row>
    <row r="31" spans="1:8" ht="19.899999999999999" customHeight="1">
      <c r="A31" s="121">
        <v>46029</v>
      </c>
      <c r="B31" s="112" t="s">
        <v>359</v>
      </c>
      <c r="C31" s="113" t="s">
        <v>1152</v>
      </c>
      <c r="D31" s="112" t="s">
        <v>1144</v>
      </c>
      <c r="E31" s="122">
        <v>1.4965277777777779</v>
      </c>
      <c r="F31" s="112" t="s">
        <v>361</v>
      </c>
      <c r="G31" s="114">
        <v>9</v>
      </c>
      <c r="H31" s="115" t="s">
        <v>1160</v>
      </c>
    </row>
    <row r="32" spans="1:8" ht="19.899999999999999" customHeight="1">
      <c r="A32" s="121">
        <v>46029</v>
      </c>
      <c r="B32" s="112" t="s">
        <v>402</v>
      </c>
      <c r="C32" s="113" t="s">
        <v>1155</v>
      </c>
      <c r="D32" s="112" t="s">
        <v>1144</v>
      </c>
      <c r="E32" s="122">
        <v>1.756944444444444</v>
      </c>
      <c r="F32" s="112" t="s">
        <v>63</v>
      </c>
      <c r="G32" s="114">
        <v>5</v>
      </c>
      <c r="H32" s="115" t="s">
        <v>1146</v>
      </c>
    </row>
    <row r="33" spans="1:8" ht="19.899999999999999" customHeight="1">
      <c r="A33" s="121">
        <v>46029</v>
      </c>
      <c r="B33" s="112" t="s">
        <v>61</v>
      </c>
      <c r="C33" s="113" t="s">
        <v>1147</v>
      </c>
      <c r="D33" s="112" t="s">
        <v>1144</v>
      </c>
      <c r="E33" s="122">
        <v>1.711805555555556</v>
      </c>
      <c r="F33" s="112" t="s">
        <v>63</v>
      </c>
      <c r="G33" s="114">
        <v>3</v>
      </c>
      <c r="H33" s="115" t="s">
        <v>33</v>
      </c>
    </row>
    <row r="34" spans="1:8" ht="19.899999999999999" customHeight="1">
      <c r="A34" s="121">
        <v>46029</v>
      </c>
      <c r="B34" s="112" t="s">
        <v>68</v>
      </c>
      <c r="C34" s="113" t="s">
        <v>1149</v>
      </c>
      <c r="D34" s="112" t="s">
        <v>1144</v>
      </c>
      <c r="E34" s="122">
        <v>1.9826388888888891</v>
      </c>
      <c r="F34" s="112" t="s">
        <v>70</v>
      </c>
      <c r="G34" s="114">
        <v>9</v>
      </c>
      <c r="H34" s="115" t="s">
        <v>1156</v>
      </c>
    </row>
    <row r="35" spans="1:8" ht="19.899999999999999" customHeight="1">
      <c r="A35" s="121">
        <v>46029</v>
      </c>
      <c r="B35" s="112" t="s">
        <v>415</v>
      </c>
      <c r="C35" s="113" t="s">
        <v>1150</v>
      </c>
      <c r="D35" s="112" t="s">
        <v>1144</v>
      </c>
      <c r="E35" s="122">
        <v>1.805555555555556</v>
      </c>
      <c r="F35" s="112" t="s">
        <v>63</v>
      </c>
      <c r="G35" s="114">
        <v>9</v>
      </c>
      <c r="H35" s="115" t="s">
        <v>1151</v>
      </c>
    </row>
    <row r="36" spans="1:8" ht="19.899999999999999" customHeight="1">
      <c r="A36" s="123">
        <v>46029</v>
      </c>
      <c r="B36" s="124" t="s">
        <v>359</v>
      </c>
      <c r="C36" s="125" t="s">
        <v>1152</v>
      </c>
      <c r="D36" s="124" t="s">
        <v>1144</v>
      </c>
      <c r="E36" s="126">
        <v>1.4965277777777779</v>
      </c>
      <c r="F36" s="124" t="s">
        <v>46</v>
      </c>
      <c r="G36" s="127">
        <v>9</v>
      </c>
      <c r="H36" s="128" t="s">
        <v>1161</v>
      </c>
    </row>
    <row r="37" spans="1:8" ht="19.899999999999999" customHeight="1">
      <c r="A37" s="143"/>
      <c r="B37" s="144"/>
      <c r="C37" s="144"/>
      <c r="D37" s="144"/>
      <c r="E37" s="144"/>
      <c r="F37" s="145" t="s">
        <v>1190</v>
      </c>
      <c r="G37" s="144"/>
      <c r="H37" s="146"/>
    </row>
    <row r="38" spans="1:8" ht="19.899999999999999" customHeight="1">
      <c r="A38" s="121">
        <v>46030</v>
      </c>
      <c r="B38" s="112" t="s">
        <v>402</v>
      </c>
      <c r="C38" s="113" t="s">
        <v>1145</v>
      </c>
      <c r="D38" s="112" t="s">
        <v>1144</v>
      </c>
      <c r="E38" s="122">
        <v>1.756944444444444</v>
      </c>
      <c r="F38" s="112" t="s">
        <v>63</v>
      </c>
      <c r="G38" s="114">
        <v>2</v>
      </c>
      <c r="H38" s="115" t="s">
        <v>1146</v>
      </c>
    </row>
    <row r="39" spans="1:8" ht="19.899999999999999" customHeight="1">
      <c r="A39" s="121">
        <v>46030</v>
      </c>
      <c r="B39" s="112" t="s">
        <v>61</v>
      </c>
      <c r="C39" s="113" t="s">
        <v>1147</v>
      </c>
      <c r="D39" s="112" t="s">
        <v>1144</v>
      </c>
      <c r="E39" s="122">
        <v>1.711805555555556</v>
      </c>
      <c r="F39" s="112" t="s">
        <v>63</v>
      </c>
      <c r="G39" s="114">
        <v>1</v>
      </c>
      <c r="H39" s="115" t="s">
        <v>33</v>
      </c>
    </row>
    <row r="40" spans="1:8" ht="19.899999999999999" customHeight="1">
      <c r="A40" s="121">
        <v>46030</v>
      </c>
      <c r="B40" s="112" t="s">
        <v>68</v>
      </c>
      <c r="C40" s="113" t="s">
        <v>1149</v>
      </c>
      <c r="D40" s="112" t="s">
        <v>1144</v>
      </c>
      <c r="E40" s="122">
        <v>1.9826388888888891</v>
      </c>
      <c r="F40" s="112" t="s">
        <v>643</v>
      </c>
      <c r="G40" s="114">
        <v>9</v>
      </c>
      <c r="H40" s="115" t="s">
        <v>33</v>
      </c>
    </row>
    <row r="41" spans="1:8" ht="19.899999999999999" customHeight="1">
      <c r="A41" s="123">
        <v>46030</v>
      </c>
      <c r="B41" s="124" t="s">
        <v>415</v>
      </c>
      <c r="C41" s="125" t="s">
        <v>1150</v>
      </c>
      <c r="D41" s="124" t="s">
        <v>1144</v>
      </c>
      <c r="E41" s="126">
        <v>1.805555555555556</v>
      </c>
      <c r="F41" s="124" t="s">
        <v>63</v>
      </c>
      <c r="G41" s="127">
        <v>9</v>
      </c>
      <c r="H41" s="128" t="s">
        <v>1151</v>
      </c>
    </row>
    <row r="42" spans="1:8" ht="19.899999999999999" customHeight="1">
      <c r="A42" s="129">
        <v>46031</v>
      </c>
      <c r="B42" s="117" t="s">
        <v>61</v>
      </c>
      <c r="C42" s="118" t="s">
        <v>1179</v>
      </c>
      <c r="D42" s="117" t="s">
        <v>1178</v>
      </c>
      <c r="E42" s="130">
        <v>1.3784722222222221</v>
      </c>
      <c r="F42" s="117" t="s">
        <v>63</v>
      </c>
      <c r="G42" s="119">
        <v>3</v>
      </c>
      <c r="H42" s="120" t="s">
        <v>1180</v>
      </c>
    </row>
    <row r="43" spans="1:8" ht="19.899999999999999" customHeight="1">
      <c r="A43" s="143"/>
      <c r="B43" s="144"/>
      <c r="C43" s="144"/>
      <c r="D43" s="144"/>
      <c r="E43" s="144"/>
      <c r="F43" s="145" t="s">
        <v>1190</v>
      </c>
      <c r="G43" s="144"/>
      <c r="H43" s="146"/>
    </row>
    <row r="44" spans="1:8" ht="19.899999999999999" customHeight="1">
      <c r="A44" s="121">
        <v>46031</v>
      </c>
      <c r="B44" s="112" t="s">
        <v>359</v>
      </c>
      <c r="C44" s="113" t="s">
        <v>1152</v>
      </c>
      <c r="D44" s="112" t="s">
        <v>1144</v>
      </c>
      <c r="E44" s="122">
        <v>1.4965277777777779</v>
      </c>
      <c r="F44" s="112" t="s">
        <v>361</v>
      </c>
      <c r="G44" s="114">
        <v>9</v>
      </c>
      <c r="H44" s="115" t="s">
        <v>1153</v>
      </c>
    </row>
    <row r="45" spans="1:8" ht="19.899999999999999" customHeight="1">
      <c r="A45" s="121">
        <v>46031</v>
      </c>
      <c r="B45" s="112" t="s">
        <v>402</v>
      </c>
      <c r="C45" s="113" t="s">
        <v>1155</v>
      </c>
      <c r="D45" s="112" t="s">
        <v>1144</v>
      </c>
      <c r="E45" s="122">
        <v>1.756944444444444</v>
      </c>
      <c r="F45" s="112" t="s">
        <v>63</v>
      </c>
      <c r="G45" s="114">
        <v>2</v>
      </c>
      <c r="H45" s="115" t="s">
        <v>1146</v>
      </c>
    </row>
    <row r="46" spans="1:8" ht="19.899999999999999" customHeight="1">
      <c r="A46" s="121">
        <v>46031</v>
      </c>
      <c r="B46" s="112" t="s">
        <v>68</v>
      </c>
      <c r="C46" s="113" t="s">
        <v>1149</v>
      </c>
      <c r="D46" s="112" t="s">
        <v>1144</v>
      </c>
      <c r="E46" s="122">
        <v>1.9826388888888891</v>
      </c>
      <c r="F46" s="112" t="s">
        <v>70</v>
      </c>
      <c r="G46" s="114">
        <v>9</v>
      </c>
      <c r="H46" s="115" t="s">
        <v>908</v>
      </c>
    </row>
    <row r="47" spans="1:8" ht="19.899999999999999" customHeight="1">
      <c r="A47" s="121">
        <v>46031</v>
      </c>
      <c r="B47" s="112" t="s">
        <v>415</v>
      </c>
      <c r="C47" s="113" t="s">
        <v>1150</v>
      </c>
      <c r="D47" s="112" t="s">
        <v>1144</v>
      </c>
      <c r="E47" s="122">
        <v>1.854166666666667</v>
      </c>
      <c r="F47" s="112" t="s">
        <v>63</v>
      </c>
      <c r="G47" s="114">
        <v>8</v>
      </c>
      <c r="H47" s="115" t="s">
        <v>1151</v>
      </c>
    </row>
    <row r="48" spans="1:8" ht="19.899999999999999" customHeight="1">
      <c r="A48" s="123">
        <v>46031</v>
      </c>
      <c r="B48" s="124" t="s">
        <v>359</v>
      </c>
      <c r="C48" s="125" t="s">
        <v>1152</v>
      </c>
      <c r="D48" s="124" t="s">
        <v>1144</v>
      </c>
      <c r="E48" s="126">
        <v>1.4965277777777779</v>
      </c>
      <c r="F48" s="124" t="s">
        <v>46</v>
      </c>
      <c r="G48" s="127">
        <v>9</v>
      </c>
      <c r="H48" s="128" t="s">
        <v>1154</v>
      </c>
    </row>
    <row r="49" spans="1:8" ht="19.899999999999999" customHeight="1">
      <c r="A49" s="143"/>
      <c r="B49" s="144"/>
      <c r="C49" s="144"/>
      <c r="D49" s="144"/>
      <c r="E49" s="144"/>
      <c r="F49" s="145" t="s">
        <v>1190</v>
      </c>
      <c r="G49" s="144"/>
      <c r="H49" s="146"/>
    </row>
    <row r="50" spans="1:8" ht="19.899999999999999" customHeight="1">
      <c r="A50" s="121">
        <v>46032</v>
      </c>
      <c r="B50" s="112" t="s">
        <v>402</v>
      </c>
      <c r="C50" s="113" t="s">
        <v>1145</v>
      </c>
      <c r="D50" s="112" t="s">
        <v>1144</v>
      </c>
      <c r="E50" s="122">
        <v>1.756944444444444</v>
      </c>
      <c r="F50" s="112" t="s">
        <v>63</v>
      </c>
      <c r="G50" s="114">
        <v>4</v>
      </c>
      <c r="H50" s="115" t="s">
        <v>1146</v>
      </c>
    </row>
    <row r="51" spans="1:8" ht="19.899999999999999" customHeight="1">
      <c r="A51" s="123">
        <v>46032</v>
      </c>
      <c r="B51" s="124" t="s">
        <v>61</v>
      </c>
      <c r="C51" s="125" t="s">
        <v>1147</v>
      </c>
      <c r="D51" s="124" t="s">
        <v>1144</v>
      </c>
      <c r="E51" s="126">
        <v>1.836805555555556</v>
      </c>
      <c r="F51" s="124" t="s">
        <v>63</v>
      </c>
      <c r="G51" s="127">
        <v>2</v>
      </c>
      <c r="H51" s="128" t="s">
        <v>33</v>
      </c>
    </row>
    <row r="52" spans="1:8" ht="19.899999999999999" customHeight="1">
      <c r="A52" s="143"/>
      <c r="B52" s="144"/>
      <c r="C52" s="144"/>
      <c r="D52" s="144"/>
      <c r="E52" s="144"/>
      <c r="F52" s="145" t="s">
        <v>1190</v>
      </c>
      <c r="G52" s="144"/>
      <c r="H52" s="146"/>
    </row>
    <row r="53" spans="1:8" ht="19.899999999999999" customHeight="1">
      <c r="A53" s="121">
        <v>46033</v>
      </c>
      <c r="B53" s="112" t="s">
        <v>359</v>
      </c>
      <c r="C53" s="113" t="s">
        <v>1152</v>
      </c>
      <c r="D53" s="112" t="s">
        <v>1144</v>
      </c>
      <c r="E53" s="122">
        <v>1.538194444444444</v>
      </c>
      <c r="F53" s="112" t="s">
        <v>361</v>
      </c>
      <c r="G53" s="114">
        <v>9</v>
      </c>
      <c r="H53" s="115" t="s">
        <v>1153</v>
      </c>
    </row>
    <row r="54" spans="1:8" ht="19.899999999999999" customHeight="1">
      <c r="A54" s="121">
        <v>46033</v>
      </c>
      <c r="B54" s="112" t="s">
        <v>402</v>
      </c>
      <c r="C54" s="113" t="s">
        <v>1159</v>
      </c>
      <c r="D54" s="112" t="s">
        <v>1144</v>
      </c>
      <c r="E54" s="122">
        <v>1.756944444444444</v>
      </c>
      <c r="F54" s="112" t="s">
        <v>63</v>
      </c>
      <c r="G54" s="114">
        <v>5</v>
      </c>
      <c r="H54" s="115" t="s">
        <v>1162</v>
      </c>
    </row>
    <row r="55" spans="1:8" ht="19.899999999999999" customHeight="1">
      <c r="A55" s="121">
        <v>46033</v>
      </c>
      <c r="B55" s="112" t="s">
        <v>359</v>
      </c>
      <c r="C55" s="113" t="s">
        <v>1152</v>
      </c>
      <c r="D55" s="112" t="s">
        <v>1144</v>
      </c>
      <c r="E55" s="122">
        <v>1.538194444444444</v>
      </c>
      <c r="F55" s="112" t="s">
        <v>46</v>
      </c>
      <c r="G55" s="114">
        <v>9</v>
      </c>
      <c r="H55" s="115" t="s">
        <v>1154</v>
      </c>
    </row>
    <row r="56" spans="1:8" ht="19.899999999999999" customHeight="1">
      <c r="A56" s="123">
        <v>46033</v>
      </c>
      <c r="B56" s="124" t="s">
        <v>415</v>
      </c>
      <c r="C56" s="125" t="s">
        <v>1150</v>
      </c>
      <c r="D56" s="124" t="s">
        <v>1144</v>
      </c>
      <c r="E56" s="126">
        <v>1.805555555555556</v>
      </c>
      <c r="F56" s="124" t="s">
        <v>63</v>
      </c>
      <c r="G56" s="127">
        <v>9</v>
      </c>
      <c r="H56" s="128" t="s">
        <v>1163</v>
      </c>
    </row>
    <row r="57" spans="1:8" ht="19.899999999999999" customHeight="1">
      <c r="A57" s="143"/>
      <c r="B57" s="144"/>
      <c r="C57" s="144"/>
      <c r="D57" s="144"/>
      <c r="E57" s="144"/>
      <c r="F57" s="145" t="s">
        <v>1190</v>
      </c>
      <c r="G57" s="144"/>
      <c r="H57" s="146"/>
    </row>
    <row r="58" spans="1:8" ht="19.899999999999999" customHeight="1">
      <c r="A58" s="121">
        <v>46034</v>
      </c>
      <c r="B58" s="112" t="s">
        <v>359</v>
      </c>
      <c r="C58" s="113" t="s">
        <v>1152</v>
      </c>
      <c r="D58" s="112" t="s">
        <v>1144</v>
      </c>
      <c r="E58" s="122">
        <v>1.538194444444444</v>
      </c>
      <c r="F58" s="112" t="s">
        <v>361</v>
      </c>
      <c r="G58" s="114">
        <v>9</v>
      </c>
      <c r="H58" s="115" t="s">
        <v>1160</v>
      </c>
    </row>
    <row r="59" spans="1:8" ht="19.899999999999999" customHeight="1">
      <c r="A59" s="121">
        <v>46034</v>
      </c>
      <c r="B59" s="112" t="s">
        <v>68</v>
      </c>
      <c r="C59" s="113" t="s">
        <v>1149</v>
      </c>
      <c r="D59" s="112" t="s">
        <v>1144</v>
      </c>
      <c r="E59" s="122">
        <v>1.9826388888888891</v>
      </c>
      <c r="F59" s="112" t="s">
        <v>643</v>
      </c>
      <c r="G59" s="114">
        <v>9</v>
      </c>
      <c r="H59" s="115" t="s">
        <v>33</v>
      </c>
    </row>
    <row r="60" spans="1:8" ht="19.899999999999999" customHeight="1">
      <c r="A60" s="121">
        <v>46034</v>
      </c>
      <c r="B60" s="112" t="s">
        <v>359</v>
      </c>
      <c r="C60" s="113" t="s">
        <v>1152</v>
      </c>
      <c r="D60" s="112" t="s">
        <v>1144</v>
      </c>
      <c r="E60" s="122">
        <v>1.538194444444444</v>
      </c>
      <c r="F60" s="112" t="s">
        <v>46</v>
      </c>
      <c r="G60" s="114">
        <v>9</v>
      </c>
      <c r="H60" s="115" t="s">
        <v>1161</v>
      </c>
    </row>
    <row r="61" spans="1:8" ht="19.899999999999999" customHeight="1">
      <c r="A61" s="121">
        <v>46034</v>
      </c>
      <c r="B61" s="112" t="s">
        <v>402</v>
      </c>
      <c r="C61" s="113" t="s">
        <v>1155</v>
      </c>
      <c r="D61" s="112" t="s">
        <v>1144</v>
      </c>
      <c r="E61" s="122">
        <v>1.7152777777777779</v>
      </c>
      <c r="F61" s="112" t="s">
        <v>63</v>
      </c>
      <c r="G61" s="114">
        <v>5</v>
      </c>
      <c r="H61" s="115" t="s">
        <v>1162</v>
      </c>
    </row>
    <row r="62" spans="1:8" ht="19.899999999999999" customHeight="1">
      <c r="A62" s="123">
        <v>46034</v>
      </c>
      <c r="B62" s="124" t="s">
        <v>415</v>
      </c>
      <c r="C62" s="125" t="s">
        <v>1150</v>
      </c>
      <c r="D62" s="124" t="s">
        <v>1144</v>
      </c>
      <c r="E62" s="126">
        <v>1.78125</v>
      </c>
      <c r="F62" s="124" t="s">
        <v>63</v>
      </c>
      <c r="G62" s="127">
        <v>9</v>
      </c>
      <c r="H62" s="128" t="s">
        <v>1163</v>
      </c>
    </row>
    <row r="63" spans="1:8" ht="19.899999999999999" customHeight="1">
      <c r="A63" s="143"/>
      <c r="B63" s="144"/>
      <c r="C63" s="144"/>
      <c r="D63" s="144"/>
      <c r="E63" s="144"/>
      <c r="F63" s="145" t="s">
        <v>1190</v>
      </c>
      <c r="G63" s="144"/>
      <c r="H63" s="146"/>
    </row>
    <row r="64" spans="1:8" ht="19.899999999999999" customHeight="1">
      <c r="A64" s="121">
        <v>46035</v>
      </c>
      <c r="B64" s="112" t="s">
        <v>402</v>
      </c>
      <c r="C64" s="113" t="s">
        <v>1145</v>
      </c>
      <c r="D64" s="112" t="s">
        <v>1144</v>
      </c>
      <c r="E64" s="122">
        <v>1.7152777777777779</v>
      </c>
      <c r="F64" s="112" t="s">
        <v>63</v>
      </c>
      <c r="G64" s="114">
        <v>5</v>
      </c>
      <c r="H64" s="115" t="s">
        <v>1162</v>
      </c>
    </row>
    <row r="65" spans="1:8" ht="19.899999999999999" customHeight="1">
      <c r="A65" s="123">
        <v>46035</v>
      </c>
      <c r="B65" s="124" t="s">
        <v>415</v>
      </c>
      <c r="C65" s="125" t="s">
        <v>1150</v>
      </c>
      <c r="D65" s="124" t="s">
        <v>1144</v>
      </c>
      <c r="E65" s="126">
        <v>1.78125</v>
      </c>
      <c r="F65" s="124" t="s">
        <v>63</v>
      </c>
      <c r="G65" s="127">
        <v>9</v>
      </c>
      <c r="H65" s="128" t="s">
        <v>1163</v>
      </c>
    </row>
    <row r="66" spans="1:8" ht="19.899999999999999" customHeight="1">
      <c r="A66" s="143"/>
      <c r="B66" s="144"/>
      <c r="C66" s="144"/>
      <c r="D66" s="144"/>
      <c r="E66" s="144"/>
      <c r="F66" s="145" t="s">
        <v>1190</v>
      </c>
      <c r="G66" s="144"/>
      <c r="H66" s="146"/>
    </row>
    <row r="67" spans="1:8" ht="19.899999999999999" customHeight="1">
      <c r="A67" s="121">
        <v>46036</v>
      </c>
      <c r="B67" s="112" t="s">
        <v>61</v>
      </c>
      <c r="C67" s="113" t="s">
        <v>1147</v>
      </c>
      <c r="D67" s="112" t="s">
        <v>1144</v>
      </c>
      <c r="E67" s="122">
        <v>1.711805555555556</v>
      </c>
      <c r="F67" s="112" t="s">
        <v>63</v>
      </c>
      <c r="G67" s="114">
        <v>4</v>
      </c>
      <c r="H67" s="115" t="s">
        <v>33</v>
      </c>
    </row>
    <row r="68" spans="1:8" ht="19.899999999999999" customHeight="1">
      <c r="A68" s="121">
        <v>46036</v>
      </c>
      <c r="B68" s="112" t="s">
        <v>68</v>
      </c>
      <c r="C68" s="113" t="s">
        <v>1149</v>
      </c>
      <c r="D68" s="112" t="s">
        <v>1144</v>
      </c>
      <c r="E68" s="122">
        <v>1.9826388888888891</v>
      </c>
      <c r="F68" s="112" t="s">
        <v>643</v>
      </c>
      <c r="G68" s="114">
        <v>9</v>
      </c>
      <c r="H68" s="115" t="s">
        <v>33</v>
      </c>
    </row>
    <row r="69" spans="1:8" ht="19.899999999999999" customHeight="1">
      <c r="A69" s="121">
        <v>46036</v>
      </c>
      <c r="B69" s="112" t="s">
        <v>359</v>
      </c>
      <c r="C69" s="113" t="s">
        <v>1152</v>
      </c>
      <c r="D69" s="112" t="s">
        <v>1144</v>
      </c>
      <c r="E69" s="122">
        <v>1.4965277777777779</v>
      </c>
      <c r="F69" s="112" t="s">
        <v>361</v>
      </c>
      <c r="G69" s="114">
        <v>9</v>
      </c>
      <c r="H69" s="115" t="s">
        <v>1165</v>
      </c>
    </row>
    <row r="70" spans="1:8" ht="19.899999999999999" customHeight="1">
      <c r="A70" s="121">
        <v>46036</v>
      </c>
      <c r="B70" s="112" t="s">
        <v>402</v>
      </c>
      <c r="C70" s="113" t="s">
        <v>1155</v>
      </c>
      <c r="D70" s="112" t="s">
        <v>1144</v>
      </c>
      <c r="E70" s="122">
        <v>1.756944444444444</v>
      </c>
      <c r="F70" s="112" t="s">
        <v>63</v>
      </c>
      <c r="G70" s="114">
        <v>5</v>
      </c>
      <c r="H70" s="115" t="s">
        <v>1162</v>
      </c>
    </row>
    <row r="71" spans="1:8" ht="19.899999999999999" customHeight="1">
      <c r="A71" s="121">
        <v>46036</v>
      </c>
      <c r="B71" s="112" t="s">
        <v>359</v>
      </c>
      <c r="C71" s="113" t="s">
        <v>1152</v>
      </c>
      <c r="D71" s="112" t="s">
        <v>1144</v>
      </c>
      <c r="E71" s="122">
        <v>1.4965277777777779</v>
      </c>
      <c r="F71" s="112" t="s">
        <v>46</v>
      </c>
      <c r="G71" s="114">
        <v>9</v>
      </c>
      <c r="H71" s="115" t="s">
        <v>1166</v>
      </c>
    </row>
    <row r="72" spans="1:8" ht="19.899999999999999" customHeight="1">
      <c r="A72" s="123">
        <v>46036</v>
      </c>
      <c r="B72" s="124" t="s">
        <v>415</v>
      </c>
      <c r="C72" s="125" t="s">
        <v>1150</v>
      </c>
      <c r="D72" s="124" t="s">
        <v>1144</v>
      </c>
      <c r="E72" s="126">
        <v>1.805555555555556</v>
      </c>
      <c r="F72" s="124" t="s">
        <v>63</v>
      </c>
      <c r="G72" s="127">
        <v>9</v>
      </c>
      <c r="H72" s="128" t="s">
        <v>1163</v>
      </c>
    </row>
    <row r="73" spans="1:8" ht="19.899999999999999" customHeight="1">
      <c r="A73" s="143"/>
      <c r="B73" s="144"/>
      <c r="C73" s="144"/>
      <c r="D73" s="144"/>
      <c r="E73" s="144"/>
      <c r="F73" s="145" t="s">
        <v>1190</v>
      </c>
      <c r="G73" s="144"/>
      <c r="H73" s="146"/>
    </row>
    <row r="74" spans="1:8" ht="19.899999999999999" customHeight="1">
      <c r="A74" s="121">
        <v>46037</v>
      </c>
      <c r="B74" s="112" t="s">
        <v>68</v>
      </c>
      <c r="C74" s="113" t="s">
        <v>1149</v>
      </c>
      <c r="D74" s="112" t="s">
        <v>1144</v>
      </c>
      <c r="E74" s="122">
        <v>1.9826388888888891</v>
      </c>
      <c r="F74" s="112" t="s">
        <v>70</v>
      </c>
      <c r="G74" s="114">
        <v>9</v>
      </c>
      <c r="H74" s="115" t="s">
        <v>1156</v>
      </c>
    </row>
    <row r="75" spans="1:8" ht="19.899999999999999" customHeight="1">
      <c r="A75" s="121">
        <v>46037</v>
      </c>
      <c r="B75" s="112" t="s">
        <v>402</v>
      </c>
      <c r="C75" s="113" t="s">
        <v>1145</v>
      </c>
      <c r="D75" s="112" t="s">
        <v>1144</v>
      </c>
      <c r="E75" s="122">
        <v>1.756944444444444</v>
      </c>
      <c r="F75" s="112" t="s">
        <v>63</v>
      </c>
      <c r="G75" s="114">
        <v>5</v>
      </c>
      <c r="H75" s="115" t="s">
        <v>1162</v>
      </c>
    </row>
    <row r="76" spans="1:8" ht="19.899999999999999" customHeight="1">
      <c r="A76" s="121">
        <v>46037</v>
      </c>
      <c r="B76" s="112" t="s">
        <v>61</v>
      </c>
      <c r="C76" s="113" t="s">
        <v>1147</v>
      </c>
      <c r="D76" s="112" t="s">
        <v>1144</v>
      </c>
      <c r="E76" s="122">
        <v>1.711805555555556</v>
      </c>
      <c r="F76" s="112" t="s">
        <v>63</v>
      </c>
      <c r="G76" s="114">
        <v>9</v>
      </c>
      <c r="H76" s="115" t="s">
        <v>179</v>
      </c>
    </row>
    <row r="77" spans="1:8" ht="19.899999999999999" customHeight="1">
      <c r="A77" s="123">
        <v>46037</v>
      </c>
      <c r="B77" s="124" t="s">
        <v>415</v>
      </c>
      <c r="C77" s="125" t="s">
        <v>1150</v>
      </c>
      <c r="D77" s="124" t="s">
        <v>1144</v>
      </c>
      <c r="E77" s="126">
        <v>1.805555555555556</v>
      </c>
      <c r="F77" s="124" t="s">
        <v>63</v>
      </c>
      <c r="G77" s="127">
        <v>9</v>
      </c>
      <c r="H77" s="128" t="s">
        <v>1163</v>
      </c>
    </row>
    <row r="78" spans="1:8" ht="19.899999999999999" customHeight="1">
      <c r="A78" s="129">
        <v>46038</v>
      </c>
      <c r="B78" s="117" t="s">
        <v>61</v>
      </c>
      <c r="C78" s="118" t="s">
        <v>1179</v>
      </c>
      <c r="D78" s="117" t="s">
        <v>1178</v>
      </c>
      <c r="E78" s="130">
        <v>1.3784722222222221</v>
      </c>
      <c r="F78" s="117" t="s">
        <v>63</v>
      </c>
      <c r="G78" s="119">
        <v>9</v>
      </c>
      <c r="H78" s="120" t="s">
        <v>1185</v>
      </c>
    </row>
    <row r="79" spans="1:8" ht="19.899999999999999" customHeight="1">
      <c r="A79" s="143"/>
      <c r="B79" s="144"/>
      <c r="C79" s="144"/>
      <c r="D79" s="144"/>
      <c r="E79" s="144"/>
      <c r="F79" s="145" t="s">
        <v>1190</v>
      </c>
      <c r="G79" s="144"/>
      <c r="H79" s="146"/>
    </row>
    <row r="80" spans="1:8" ht="19.899999999999999" customHeight="1">
      <c r="A80" s="121">
        <v>46038</v>
      </c>
      <c r="B80" s="112" t="s">
        <v>359</v>
      </c>
      <c r="C80" s="113" t="s">
        <v>1152</v>
      </c>
      <c r="D80" s="112" t="s">
        <v>1144</v>
      </c>
      <c r="E80" s="122">
        <v>1.4965277777777779</v>
      </c>
      <c r="F80" s="112" t="s">
        <v>361</v>
      </c>
      <c r="G80" s="114">
        <v>9</v>
      </c>
      <c r="H80" s="115" t="s">
        <v>1167</v>
      </c>
    </row>
    <row r="81" spans="1:8" ht="19.899999999999999" customHeight="1">
      <c r="A81" s="121">
        <v>46038</v>
      </c>
      <c r="B81" s="112" t="s">
        <v>402</v>
      </c>
      <c r="C81" s="113" t="s">
        <v>1155</v>
      </c>
      <c r="D81" s="112" t="s">
        <v>1144</v>
      </c>
      <c r="E81" s="122">
        <v>1.756944444444444</v>
      </c>
      <c r="F81" s="112" t="s">
        <v>63</v>
      </c>
      <c r="G81" s="114">
        <v>5</v>
      </c>
      <c r="H81" s="115" t="s">
        <v>1162</v>
      </c>
    </row>
    <row r="82" spans="1:8" ht="19.899999999999999" customHeight="1">
      <c r="A82" s="121">
        <v>46038</v>
      </c>
      <c r="B82" s="112" t="s">
        <v>359</v>
      </c>
      <c r="C82" s="113" t="s">
        <v>1152</v>
      </c>
      <c r="D82" s="112" t="s">
        <v>1144</v>
      </c>
      <c r="E82" s="122">
        <v>1.4965277777777779</v>
      </c>
      <c r="F82" s="112" t="s">
        <v>46</v>
      </c>
      <c r="G82" s="114">
        <v>9</v>
      </c>
      <c r="H82" s="115" t="s">
        <v>1168</v>
      </c>
    </row>
    <row r="83" spans="1:8" ht="19.899999999999999" customHeight="1">
      <c r="A83" s="121">
        <v>46038</v>
      </c>
      <c r="B83" s="112" t="s">
        <v>68</v>
      </c>
      <c r="C83" s="113" t="s">
        <v>1149</v>
      </c>
      <c r="D83" s="112" t="s">
        <v>1144</v>
      </c>
      <c r="E83" s="122">
        <v>1.9826388888888891</v>
      </c>
      <c r="F83" s="112" t="s">
        <v>70</v>
      </c>
      <c r="G83" s="114">
        <v>9</v>
      </c>
      <c r="H83" s="115" t="s">
        <v>1093</v>
      </c>
    </row>
    <row r="84" spans="1:8" ht="19.899999999999999" customHeight="1">
      <c r="A84" s="123">
        <v>46038</v>
      </c>
      <c r="B84" s="124" t="s">
        <v>415</v>
      </c>
      <c r="C84" s="125" t="s">
        <v>1150</v>
      </c>
      <c r="D84" s="124" t="s">
        <v>1144</v>
      </c>
      <c r="E84" s="126">
        <v>1.854166666666667</v>
      </c>
      <c r="F84" s="124" t="s">
        <v>63</v>
      </c>
      <c r="G84" s="127">
        <v>8</v>
      </c>
      <c r="H84" s="128" t="s">
        <v>1163</v>
      </c>
    </row>
    <row r="85" spans="1:8" ht="19.899999999999999" customHeight="1">
      <c r="A85" s="143"/>
      <c r="B85" s="144"/>
      <c r="C85" s="144"/>
      <c r="D85" s="144"/>
      <c r="E85" s="144"/>
      <c r="F85" s="145" t="s">
        <v>1190</v>
      </c>
      <c r="G85" s="144"/>
      <c r="H85" s="146"/>
    </row>
    <row r="86" spans="1:8" ht="19.899999999999999" customHeight="1">
      <c r="A86" s="121">
        <v>46039</v>
      </c>
      <c r="B86" s="112" t="s">
        <v>402</v>
      </c>
      <c r="C86" s="113" t="s">
        <v>1145</v>
      </c>
      <c r="D86" s="112" t="s">
        <v>1144</v>
      </c>
      <c r="E86" s="122">
        <v>1.756944444444444</v>
      </c>
      <c r="F86" s="112" t="s">
        <v>63</v>
      </c>
      <c r="G86" s="114">
        <v>5</v>
      </c>
      <c r="H86" s="115" t="s">
        <v>1019</v>
      </c>
    </row>
    <row r="87" spans="1:8" ht="19.899999999999999" customHeight="1">
      <c r="A87" s="121">
        <v>46039</v>
      </c>
      <c r="B87" s="112" t="s">
        <v>61</v>
      </c>
      <c r="C87" s="113" t="s">
        <v>1147</v>
      </c>
      <c r="D87" s="112" t="s">
        <v>1144</v>
      </c>
      <c r="E87" s="122">
        <v>1.836805555555556</v>
      </c>
      <c r="F87" s="112" t="s">
        <v>63</v>
      </c>
      <c r="G87" s="114">
        <v>4</v>
      </c>
      <c r="H87" s="115" t="s">
        <v>1021</v>
      </c>
    </row>
    <row r="88" spans="1:8" ht="19.899999999999999" customHeight="1">
      <c r="A88" s="123">
        <v>46039</v>
      </c>
      <c r="B88" s="124" t="s">
        <v>415</v>
      </c>
      <c r="C88" s="125" t="s">
        <v>1171</v>
      </c>
      <c r="D88" s="124" t="s">
        <v>1144</v>
      </c>
      <c r="E88" s="126">
        <v>1.6736111111111109</v>
      </c>
      <c r="F88" s="124" t="s">
        <v>63</v>
      </c>
      <c r="G88" s="127">
        <v>2</v>
      </c>
      <c r="H88" s="128" t="s">
        <v>1163</v>
      </c>
    </row>
    <row r="89" spans="1:8" ht="19.899999999999999" customHeight="1">
      <c r="A89" s="143"/>
      <c r="B89" s="144"/>
      <c r="C89" s="144"/>
      <c r="D89" s="144"/>
      <c r="E89" s="144"/>
      <c r="F89" s="145" t="s">
        <v>1190</v>
      </c>
      <c r="G89" s="144"/>
      <c r="H89" s="146"/>
    </row>
    <row r="90" spans="1:8" ht="19.899999999999999" customHeight="1">
      <c r="A90" s="121">
        <v>46040</v>
      </c>
      <c r="B90" s="112" t="s">
        <v>359</v>
      </c>
      <c r="C90" s="113" t="s">
        <v>1152</v>
      </c>
      <c r="D90" s="112" t="s">
        <v>1144</v>
      </c>
      <c r="E90" s="122">
        <v>1.538194444444444</v>
      </c>
      <c r="F90" s="112" t="s">
        <v>361</v>
      </c>
      <c r="G90" s="114">
        <v>9</v>
      </c>
      <c r="H90" s="115" t="s">
        <v>1167</v>
      </c>
    </row>
    <row r="91" spans="1:8" ht="19.899999999999999" customHeight="1">
      <c r="A91" s="121">
        <v>46040</v>
      </c>
      <c r="B91" s="112" t="s">
        <v>402</v>
      </c>
      <c r="C91" s="113" t="s">
        <v>1159</v>
      </c>
      <c r="D91" s="112" t="s">
        <v>1144</v>
      </c>
      <c r="E91" s="122">
        <v>1.756944444444444</v>
      </c>
      <c r="F91" s="112" t="s">
        <v>63</v>
      </c>
      <c r="G91" s="114">
        <v>5</v>
      </c>
      <c r="H91" s="115" t="s">
        <v>1162</v>
      </c>
    </row>
    <row r="92" spans="1:8" ht="19.899999999999999" customHeight="1">
      <c r="A92" s="121">
        <v>46040</v>
      </c>
      <c r="B92" s="112" t="s">
        <v>359</v>
      </c>
      <c r="C92" s="113" t="s">
        <v>1152</v>
      </c>
      <c r="D92" s="112" t="s">
        <v>1144</v>
      </c>
      <c r="E92" s="122">
        <v>1.538194444444444</v>
      </c>
      <c r="F92" s="112" t="s">
        <v>46</v>
      </c>
      <c r="G92" s="114">
        <v>9</v>
      </c>
      <c r="H92" s="115" t="s">
        <v>1168</v>
      </c>
    </row>
    <row r="93" spans="1:8" ht="19.899999999999999" customHeight="1">
      <c r="A93" s="123">
        <v>46040</v>
      </c>
      <c r="B93" s="124" t="s">
        <v>415</v>
      </c>
      <c r="C93" s="125" t="s">
        <v>1150</v>
      </c>
      <c r="D93" s="124" t="s">
        <v>1144</v>
      </c>
      <c r="E93" s="126">
        <v>1.805555555555556</v>
      </c>
      <c r="F93" s="124" t="s">
        <v>63</v>
      </c>
      <c r="G93" s="127">
        <v>9</v>
      </c>
      <c r="H93" s="128" t="s">
        <v>1163</v>
      </c>
    </row>
    <row r="94" spans="1:8" ht="19.899999999999999" customHeight="1">
      <c r="A94" s="143"/>
      <c r="B94" s="144"/>
      <c r="C94" s="144"/>
      <c r="D94" s="144"/>
      <c r="E94" s="144"/>
      <c r="F94" s="145" t="s">
        <v>1190</v>
      </c>
      <c r="G94" s="144"/>
      <c r="H94" s="146"/>
    </row>
    <row r="95" spans="1:8" ht="19.899999999999999" customHeight="1">
      <c r="A95" s="121">
        <v>46041</v>
      </c>
      <c r="B95" s="112" t="s">
        <v>68</v>
      </c>
      <c r="C95" s="113" t="s">
        <v>1149</v>
      </c>
      <c r="D95" s="112" t="s">
        <v>1144</v>
      </c>
      <c r="E95" s="122">
        <v>1.9826388888888891</v>
      </c>
      <c r="F95" s="112" t="s">
        <v>643</v>
      </c>
      <c r="G95" s="114">
        <v>9</v>
      </c>
      <c r="H95" s="115" t="s">
        <v>33</v>
      </c>
    </row>
    <row r="96" spans="1:8" ht="19.899999999999999" customHeight="1">
      <c r="A96" s="121">
        <v>46041</v>
      </c>
      <c r="B96" s="112" t="s">
        <v>359</v>
      </c>
      <c r="C96" s="113" t="s">
        <v>1152</v>
      </c>
      <c r="D96" s="112" t="s">
        <v>1144</v>
      </c>
      <c r="E96" s="122">
        <v>1.538194444444444</v>
      </c>
      <c r="F96" s="112" t="s">
        <v>361</v>
      </c>
      <c r="G96" s="114">
        <v>9</v>
      </c>
      <c r="H96" s="115" t="s">
        <v>1165</v>
      </c>
    </row>
    <row r="97" spans="1:8" ht="19.899999999999999" customHeight="1">
      <c r="A97" s="121">
        <v>46041</v>
      </c>
      <c r="B97" s="112" t="s">
        <v>402</v>
      </c>
      <c r="C97" s="113" t="s">
        <v>1155</v>
      </c>
      <c r="D97" s="112" t="s">
        <v>1144</v>
      </c>
      <c r="E97" s="122">
        <v>1.7152777777777779</v>
      </c>
      <c r="F97" s="112" t="s">
        <v>63</v>
      </c>
      <c r="G97" s="114">
        <v>5</v>
      </c>
      <c r="H97" s="115" t="s">
        <v>1162</v>
      </c>
    </row>
    <row r="98" spans="1:8" ht="19.899999999999999" customHeight="1">
      <c r="A98" s="121">
        <v>46041</v>
      </c>
      <c r="B98" s="112" t="s">
        <v>359</v>
      </c>
      <c r="C98" s="113" t="s">
        <v>1152</v>
      </c>
      <c r="D98" s="112" t="s">
        <v>1144</v>
      </c>
      <c r="E98" s="122">
        <v>1.538194444444444</v>
      </c>
      <c r="F98" s="112" t="s">
        <v>46</v>
      </c>
      <c r="G98" s="114">
        <v>9</v>
      </c>
      <c r="H98" s="115" t="s">
        <v>1166</v>
      </c>
    </row>
    <row r="99" spans="1:8" ht="19.899999999999999" customHeight="1">
      <c r="A99" s="123">
        <v>46041</v>
      </c>
      <c r="B99" s="124" t="s">
        <v>415</v>
      </c>
      <c r="C99" s="125" t="s">
        <v>1150</v>
      </c>
      <c r="D99" s="124" t="s">
        <v>1144</v>
      </c>
      <c r="E99" s="126">
        <v>1.78125</v>
      </c>
      <c r="F99" s="124" t="s">
        <v>63</v>
      </c>
      <c r="G99" s="127">
        <v>9</v>
      </c>
      <c r="H99" s="128" t="s">
        <v>1163</v>
      </c>
    </row>
    <row r="100" spans="1:8" ht="19.899999999999999" customHeight="1">
      <c r="A100" s="143"/>
      <c r="B100" s="144"/>
      <c r="C100" s="144"/>
      <c r="D100" s="144"/>
      <c r="E100" s="144"/>
      <c r="F100" s="145" t="s">
        <v>1190</v>
      </c>
      <c r="G100" s="144"/>
      <c r="H100" s="146"/>
    </row>
    <row r="101" spans="1:8" ht="19.899999999999999" customHeight="1">
      <c r="A101" s="121">
        <v>46042</v>
      </c>
      <c r="B101" s="112" t="s">
        <v>402</v>
      </c>
      <c r="C101" s="113" t="s">
        <v>1145</v>
      </c>
      <c r="D101" s="112" t="s">
        <v>1144</v>
      </c>
      <c r="E101" s="122">
        <v>1.7152777777777779</v>
      </c>
      <c r="F101" s="112" t="s">
        <v>63</v>
      </c>
      <c r="G101" s="114">
        <v>5</v>
      </c>
      <c r="H101" s="115" t="s">
        <v>1162</v>
      </c>
    </row>
    <row r="102" spans="1:8" ht="19.899999999999999" customHeight="1">
      <c r="A102" s="123">
        <v>46042</v>
      </c>
      <c r="B102" s="124" t="s">
        <v>415</v>
      </c>
      <c r="C102" s="125" t="s">
        <v>1150</v>
      </c>
      <c r="D102" s="124" t="s">
        <v>1144</v>
      </c>
      <c r="E102" s="126">
        <v>1.78125</v>
      </c>
      <c r="F102" s="124" t="s">
        <v>63</v>
      </c>
      <c r="G102" s="127">
        <v>9</v>
      </c>
      <c r="H102" s="128" t="s">
        <v>1163</v>
      </c>
    </row>
    <row r="103" spans="1:8" ht="19.899999999999999" customHeight="1">
      <c r="A103" s="143"/>
      <c r="B103" s="144"/>
      <c r="C103" s="144"/>
      <c r="D103" s="144"/>
      <c r="E103" s="144"/>
      <c r="F103" s="145" t="s">
        <v>1190</v>
      </c>
      <c r="G103" s="144"/>
      <c r="H103" s="146"/>
    </row>
    <row r="104" spans="1:8" ht="19.899999999999999" customHeight="1">
      <c r="A104" s="121">
        <v>46043</v>
      </c>
      <c r="B104" s="112" t="s">
        <v>68</v>
      </c>
      <c r="C104" s="113" t="s">
        <v>1149</v>
      </c>
      <c r="D104" s="112" t="s">
        <v>1144</v>
      </c>
      <c r="E104" s="122">
        <v>1.9826388888888891</v>
      </c>
      <c r="F104" s="112" t="s">
        <v>643</v>
      </c>
      <c r="G104" s="114">
        <v>9</v>
      </c>
      <c r="H104" s="115" t="s">
        <v>33</v>
      </c>
    </row>
    <row r="105" spans="1:8" ht="19.899999999999999" customHeight="1">
      <c r="A105" s="121">
        <v>46043</v>
      </c>
      <c r="B105" s="112" t="s">
        <v>359</v>
      </c>
      <c r="C105" s="113" t="s">
        <v>1152</v>
      </c>
      <c r="D105" s="112" t="s">
        <v>1144</v>
      </c>
      <c r="E105" s="122">
        <v>1.4965277777777779</v>
      </c>
      <c r="F105" s="112" t="s">
        <v>361</v>
      </c>
      <c r="G105" s="114">
        <v>9</v>
      </c>
      <c r="H105" s="115" t="s">
        <v>1165</v>
      </c>
    </row>
    <row r="106" spans="1:8" ht="19.899999999999999" customHeight="1">
      <c r="A106" s="121">
        <v>46043</v>
      </c>
      <c r="B106" s="112" t="s">
        <v>61</v>
      </c>
      <c r="C106" s="113" t="s">
        <v>1147</v>
      </c>
      <c r="D106" s="112" t="s">
        <v>1144</v>
      </c>
      <c r="E106" s="122">
        <v>1.711805555555556</v>
      </c>
      <c r="F106" s="112" t="s">
        <v>63</v>
      </c>
      <c r="G106" s="114">
        <v>2</v>
      </c>
      <c r="H106" s="115" t="s">
        <v>1157</v>
      </c>
    </row>
    <row r="107" spans="1:8" ht="19.899999999999999" customHeight="1">
      <c r="A107" s="121">
        <v>46043</v>
      </c>
      <c r="B107" s="112" t="s">
        <v>402</v>
      </c>
      <c r="C107" s="113" t="s">
        <v>1155</v>
      </c>
      <c r="D107" s="112" t="s">
        <v>1144</v>
      </c>
      <c r="E107" s="122">
        <v>1.756944444444444</v>
      </c>
      <c r="F107" s="112" t="s">
        <v>63</v>
      </c>
      <c r="G107" s="114">
        <v>5</v>
      </c>
      <c r="H107" s="115" t="s">
        <v>1162</v>
      </c>
    </row>
    <row r="108" spans="1:8" ht="19.899999999999999" customHeight="1">
      <c r="A108" s="121">
        <v>46043</v>
      </c>
      <c r="B108" s="112" t="s">
        <v>359</v>
      </c>
      <c r="C108" s="113" t="s">
        <v>1152</v>
      </c>
      <c r="D108" s="112" t="s">
        <v>1144</v>
      </c>
      <c r="E108" s="122">
        <v>1.4965277777777779</v>
      </c>
      <c r="F108" s="112" t="s">
        <v>46</v>
      </c>
      <c r="G108" s="114">
        <v>9</v>
      </c>
      <c r="H108" s="115" t="s">
        <v>1166</v>
      </c>
    </row>
    <row r="109" spans="1:8" ht="19.899999999999999" customHeight="1">
      <c r="A109" s="123">
        <v>46043</v>
      </c>
      <c r="B109" s="124" t="s">
        <v>415</v>
      </c>
      <c r="C109" s="125" t="s">
        <v>1150</v>
      </c>
      <c r="D109" s="124" t="s">
        <v>1144</v>
      </c>
      <c r="E109" s="126">
        <v>1.805555555555556</v>
      </c>
      <c r="F109" s="124" t="s">
        <v>63</v>
      </c>
      <c r="G109" s="127">
        <v>9</v>
      </c>
      <c r="H109" s="128" t="s">
        <v>1163</v>
      </c>
    </row>
    <row r="110" spans="1:8" ht="19.899999999999999" customHeight="1">
      <c r="A110" s="143"/>
      <c r="B110" s="144"/>
      <c r="C110" s="144"/>
      <c r="D110" s="144"/>
      <c r="E110" s="144"/>
      <c r="F110" s="145" t="s">
        <v>1190</v>
      </c>
      <c r="G110" s="144"/>
      <c r="H110" s="146"/>
    </row>
    <row r="111" spans="1:8" ht="19.899999999999999" customHeight="1">
      <c r="A111" s="121">
        <v>46044</v>
      </c>
      <c r="B111" s="112" t="s">
        <v>68</v>
      </c>
      <c r="C111" s="113" t="s">
        <v>1149</v>
      </c>
      <c r="D111" s="112" t="s">
        <v>1144</v>
      </c>
      <c r="E111" s="122">
        <v>1.9826388888888891</v>
      </c>
      <c r="F111" s="112" t="s">
        <v>643</v>
      </c>
      <c r="G111" s="114">
        <v>9</v>
      </c>
      <c r="H111" s="115" t="s">
        <v>33</v>
      </c>
    </row>
    <row r="112" spans="1:8" ht="19.899999999999999" customHeight="1">
      <c r="A112" s="121">
        <v>46044</v>
      </c>
      <c r="B112" s="112" t="s">
        <v>402</v>
      </c>
      <c r="C112" s="113" t="s">
        <v>1145</v>
      </c>
      <c r="D112" s="112" t="s">
        <v>1144</v>
      </c>
      <c r="E112" s="122">
        <v>1.756944444444444</v>
      </c>
      <c r="F112" s="112" t="s">
        <v>63</v>
      </c>
      <c r="G112" s="114">
        <v>4</v>
      </c>
      <c r="H112" s="115" t="s">
        <v>1162</v>
      </c>
    </row>
    <row r="113" spans="1:8" ht="19.899999999999999" customHeight="1">
      <c r="A113" s="121">
        <v>46044</v>
      </c>
      <c r="B113" s="112" t="s">
        <v>61</v>
      </c>
      <c r="C113" s="113" t="s">
        <v>1147</v>
      </c>
      <c r="D113" s="112" t="s">
        <v>1144</v>
      </c>
      <c r="E113" s="122">
        <v>1.711805555555556</v>
      </c>
      <c r="F113" s="112" t="s">
        <v>63</v>
      </c>
      <c r="G113" s="114">
        <v>8</v>
      </c>
      <c r="H113" s="115" t="s">
        <v>1172</v>
      </c>
    </row>
    <row r="114" spans="1:8" ht="19.899999999999999" customHeight="1">
      <c r="A114" s="123">
        <v>46044</v>
      </c>
      <c r="B114" s="124" t="s">
        <v>415</v>
      </c>
      <c r="C114" s="125" t="s">
        <v>1150</v>
      </c>
      <c r="D114" s="124" t="s">
        <v>1144</v>
      </c>
      <c r="E114" s="126">
        <v>1.805555555555556</v>
      </c>
      <c r="F114" s="124" t="s">
        <v>63</v>
      </c>
      <c r="G114" s="127">
        <v>9</v>
      </c>
      <c r="H114" s="128" t="s">
        <v>1163</v>
      </c>
    </row>
    <row r="115" spans="1:8" ht="19.899999999999999" customHeight="1">
      <c r="A115" s="129">
        <v>46045</v>
      </c>
      <c r="B115" s="117" t="s">
        <v>61</v>
      </c>
      <c r="C115" s="118" t="s">
        <v>1179</v>
      </c>
      <c r="D115" s="117" t="s">
        <v>1178</v>
      </c>
      <c r="E115" s="130">
        <v>1.3784722222222221</v>
      </c>
      <c r="F115" s="117" t="s">
        <v>63</v>
      </c>
      <c r="G115" s="119">
        <v>8</v>
      </c>
      <c r="H115" s="120" t="s">
        <v>1186</v>
      </c>
    </row>
    <row r="116" spans="1:8" ht="19.899999999999999" customHeight="1">
      <c r="A116" s="143"/>
      <c r="B116" s="144"/>
      <c r="C116" s="144"/>
      <c r="D116" s="144"/>
      <c r="E116" s="144"/>
      <c r="F116" s="145" t="s">
        <v>1190</v>
      </c>
      <c r="G116" s="144"/>
      <c r="H116" s="146"/>
    </row>
    <row r="117" spans="1:8" ht="19.899999999999999" customHeight="1">
      <c r="A117" s="121">
        <v>46045</v>
      </c>
      <c r="B117" s="112" t="s">
        <v>359</v>
      </c>
      <c r="C117" s="113" t="s">
        <v>1152</v>
      </c>
      <c r="D117" s="112" t="s">
        <v>1144</v>
      </c>
      <c r="E117" s="122">
        <v>1.4965277777777779</v>
      </c>
      <c r="F117" s="112" t="s">
        <v>361</v>
      </c>
      <c r="G117" s="114">
        <v>9</v>
      </c>
      <c r="H117" s="115" t="s">
        <v>1167</v>
      </c>
    </row>
    <row r="118" spans="1:8" ht="19.899999999999999" customHeight="1">
      <c r="A118" s="121">
        <v>46045</v>
      </c>
      <c r="B118" s="112" t="s">
        <v>68</v>
      </c>
      <c r="C118" s="113" t="s">
        <v>1149</v>
      </c>
      <c r="D118" s="112" t="s">
        <v>1144</v>
      </c>
      <c r="E118" s="122">
        <v>1.9826388888888891</v>
      </c>
      <c r="F118" s="112" t="s">
        <v>70</v>
      </c>
      <c r="G118" s="114">
        <v>9</v>
      </c>
      <c r="H118" s="115" t="s">
        <v>1156</v>
      </c>
    </row>
    <row r="119" spans="1:8" ht="19.899999999999999" customHeight="1">
      <c r="A119" s="121">
        <v>46045</v>
      </c>
      <c r="B119" s="112" t="s">
        <v>402</v>
      </c>
      <c r="C119" s="113" t="s">
        <v>1155</v>
      </c>
      <c r="D119" s="112" t="s">
        <v>1144</v>
      </c>
      <c r="E119" s="122">
        <v>1.756944444444444</v>
      </c>
      <c r="F119" s="112" t="s">
        <v>63</v>
      </c>
      <c r="G119" s="114">
        <v>3</v>
      </c>
      <c r="H119" s="115" t="s">
        <v>1162</v>
      </c>
    </row>
    <row r="120" spans="1:8" ht="19.899999999999999" customHeight="1">
      <c r="A120" s="121">
        <v>46045</v>
      </c>
      <c r="B120" s="112" t="s">
        <v>359</v>
      </c>
      <c r="C120" s="113" t="s">
        <v>1152</v>
      </c>
      <c r="D120" s="112" t="s">
        <v>1144</v>
      </c>
      <c r="E120" s="122">
        <v>1.4965277777777779</v>
      </c>
      <c r="F120" s="112" t="s">
        <v>46</v>
      </c>
      <c r="G120" s="114">
        <v>9</v>
      </c>
      <c r="H120" s="115" t="s">
        <v>1168</v>
      </c>
    </row>
    <row r="121" spans="1:8" ht="19.899999999999999" customHeight="1">
      <c r="A121" s="123">
        <v>46045</v>
      </c>
      <c r="B121" s="124" t="s">
        <v>415</v>
      </c>
      <c r="C121" s="125" t="s">
        <v>1150</v>
      </c>
      <c r="D121" s="124" t="s">
        <v>1144</v>
      </c>
      <c r="E121" s="126">
        <v>1.854166666666667</v>
      </c>
      <c r="F121" s="124" t="s">
        <v>63</v>
      </c>
      <c r="G121" s="127">
        <v>9</v>
      </c>
      <c r="H121" s="128" t="s">
        <v>1163</v>
      </c>
    </row>
    <row r="122" spans="1:8" ht="19.899999999999999" customHeight="1">
      <c r="A122" s="143"/>
      <c r="B122" s="144"/>
      <c r="C122" s="144"/>
      <c r="D122" s="144"/>
      <c r="E122" s="144"/>
      <c r="F122" s="145" t="s">
        <v>1190</v>
      </c>
      <c r="G122" s="144"/>
      <c r="H122" s="146"/>
    </row>
    <row r="123" spans="1:8" ht="19.899999999999999" customHeight="1">
      <c r="A123" s="121">
        <v>46046</v>
      </c>
      <c r="B123" s="112" t="s">
        <v>402</v>
      </c>
      <c r="C123" s="113" t="s">
        <v>1145</v>
      </c>
      <c r="D123" s="112" t="s">
        <v>1144</v>
      </c>
      <c r="E123" s="122">
        <v>1.756944444444444</v>
      </c>
      <c r="F123" s="112" t="s">
        <v>63</v>
      </c>
      <c r="G123" s="114">
        <v>5</v>
      </c>
      <c r="H123" s="115" t="s">
        <v>1162</v>
      </c>
    </row>
    <row r="124" spans="1:8" ht="19.899999999999999" customHeight="1">
      <c r="A124" s="121">
        <v>46046</v>
      </c>
      <c r="B124" s="112" t="s">
        <v>61</v>
      </c>
      <c r="C124" s="113" t="s">
        <v>1147</v>
      </c>
      <c r="D124" s="112" t="s">
        <v>1144</v>
      </c>
      <c r="E124" s="122">
        <v>1.836805555555556</v>
      </c>
      <c r="F124" s="112" t="s">
        <v>63</v>
      </c>
      <c r="G124" s="114">
        <v>9</v>
      </c>
      <c r="H124" s="115" t="s">
        <v>1173</v>
      </c>
    </row>
    <row r="125" spans="1:8" ht="19.899999999999999" customHeight="1">
      <c r="A125" s="123">
        <v>46046</v>
      </c>
      <c r="B125" s="124" t="s">
        <v>415</v>
      </c>
      <c r="C125" s="125" t="s">
        <v>1171</v>
      </c>
      <c r="D125" s="124" t="s">
        <v>1144</v>
      </c>
      <c r="E125" s="126">
        <v>1.6736111111111109</v>
      </c>
      <c r="F125" s="124" t="s">
        <v>63</v>
      </c>
      <c r="G125" s="127">
        <v>9</v>
      </c>
      <c r="H125" s="128" t="s">
        <v>1163</v>
      </c>
    </row>
    <row r="126" spans="1:8" ht="19.899999999999999" customHeight="1">
      <c r="A126" s="143"/>
      <c r="B126" s="144"/>
      <c r="C126" s="144"/>
      <c r="D126" s="144"/>
      <c r="E126" s="144"/>
      <c r="F126" s="145" t="s">
        <v>1190</v>
      </c>
      <c r="G126" s="144"/>
      <c r="H126" s="146"/>
    </row>
    <row r="127" spans="1:8" ht="19.899999999999999" customHeight="1">
      <c r="A127" s="121">
        <v>46047</v>
      </c>
      <c r="B127" s="112" t="s">
        <v>359</v>
      </c>
      <c r="C127" s="113" t="s">
        <v>1152</v>
      </c>
      <c r="D127" s="112" t="s">
        <v>1144</v>
      </c>
      <c r="E127" s="122">
        <v>1.538194444444444</v>
      </c>
      <c r="F127" s="112" t="s">
        <v>361</v>
      </c>
      <c r="G127" s="114">
        <v>9</v>
      </c>
      <c r="H127" s="115" t="s">
        <v>1167</v>
      </c>
    </row>
    <row r="128" spans="1:8" ht="19.899999999999999" customHeight="1">
      <c r="A128" s="121">
        <v>46047</v>
      </c>
      <c r="B128" s="112" t="s">
        <v>402</v>
      </c>
      <c r="C128" s="113" t="s">
        <v>1159</v>
      </c>
      <c r="D128" s="112" t="s">
        <v>1144</v>
      </c>
      <c r="E128" s="122">
        <v>1.756944444444444</v>
      </c>
      <c r="F128" s="112" t="s">
        <v>63</v>
      </c>
      <c r="G128" s="114">
        <v>5</v>
      </c>
      <c r="H128" s="115" t="s">
        <v>1162</v>
      </c>
    </row>
    <row r="129" spans="1:8" ht="19.899999999999999" customHeight="1">
      <c r="A129" s="121">
        <v>46047</v>
      </c>
      <c r="B129" s="112" t="s">
        <v>359</v>
      </c>
      <c r="C129" s="113" t="s">
        <v>1152</v>
      </c>
      <c r="D129" s="112" t="s">
        <v>1144</v>
      </c>
      <c r="E129" s="122">
        <v>1.538194444444444</v>
      </c>
      <c r="F129" s="112" t="s">
        <v>46</v>
      </c>
      <c r="G129" s="114">
        <v>9</v>
      </c>
      <c r="H129" s="115" t="s">
        <v>1168</v>
      </c>
    </row>
    <row r="130" spans="1:8" ht="19.899999999999999" customHeight="1">
      <c r="A130" s="123">
        <v>46047</v>
      </c>
      <c r="B130" s="124" t="s">
        <v>415</v>
      </c>
      <c r="C130" s="125" t="s">
        <v>1150</v>
      </c>
      <c r="D130" s="124" t="s">
        <v>1144</v>
      </c>
      <c r="E130" s="126">
        <v>1.805555555555556</v>
      </c>
      <c r="F130" s="124" t="s">
        <v>63</v>
      </c>
      <c r="G130" s="127">
        <v>9</v>
      </c>
      <c r="H130" s="128" t="s">
        <v>1163</v>
      </c>
    </row>
    <row r="131" spans="1:8" ht="19.899999999999999" customHeight="1">
      <c r="A131" s="143"/>
      <c r="B131" s="144"/>
      <c r="C131" s="144"/>
      <c r="D131" s="144"/>
      <c r="E131" s="144"/>
      <c r="F131" s="145" t="s">
        <v>1190</v>
      </c>
      <c r="G131" s="144"/>
      <c r="H131" s="146"/>
    </row>
    <row r="132" spans="1:8" ht="19.899999999999999" customHeight="1">
      <c r="A132" s="121">
        <v>46048</v>
      </c>
      <c r="B132" s="112" t="s">
        <v>68</v>
      </c>
      <c r="C132" s="113" t="s">
        <v>1149</v>
      </c>
      <c r="D132" s="112" t="s">
        <v>1144</v>
      </c>
      <c r="E132" s="122">
        <v>1.9826388888888891</v>
      </c>
      <c r="F132" s="112" t="s">
        <v>643</v>
      </c>
      <c r="G132" s="114">
        <v>9</v>
      </c>
      <c r="H132" s="115" t="s">
        <v>33</v>
      </c>
    </row>
    <row r="133" spans="1:8" ht="19.899999999999999" customHeight="1">
      <c r="A133" s="121">
        <v>46048</v>
      </c>
      <c r="B133" s="112" t="s">
        <v>359</v>
      </c>
      <c r="C133" s="113" t="s">
        <v>1152</v>
      </c>
      <c r="D133" s="112" t="s">
        <v>1144</v>
      </c>
      <c r="E133" s="122">
        <v>1.538194444444444</v>
      </c>
      <c r="F133" s="112" t="s">
        <v>361</v>
      </c>
      <c r="G133" s="114">
        <v>9</v>
      </c>
      <c r="H133" s="115" t="s">
        <v>1165</v>
      </c>
    </row>
    <row r="134" spans="1:8" ht="19.899999999999999" customHeight="1">
      <c r="A134" s="121">
        <v>46048</v>
      </c>
      <c r="B134" s="112" t="s">
        <v>402</v>
      </c>
      <c r="C134" s="113" t="s">
        <v>1155</v>
      </c>
      <c r="D134" s="112" t="s">
        <v>1144</v>
      </c>
      <c r="E134" s="122">
        <v>1.7152777777777779</v>
      </c>
      <c r="F134" s="112" t="s">
        <v>63</v>
      </c>
      <c r="G134" s="114">
        <v>5</v>
      </c>
      <c r="H134" s="115" t="s">
        <v>1162</v>
      </c>
    </row>
    <row r="135" spans="1:8" ht="19.899999999999999" customHeight="1">
      <c r="A135" s="121">
        <v>46048</v>
      </c>
      <c r="B135" s="112" t="s">
        <v>359</v>
      </c>
      <c r="C135" s="113" t="s">
        <v>1152</v>
      </c>
      <c r="D135" s="112" t="s">
        <v>1144</v>
      </c>
      <c r="E135" s="122">
        <v>1.538194444444444</v>
      </c>
      <c r="F135" s="112" t="s">
        <v>46</v>
      </c>
      <c r="G135" s="114">
        <v>9</v>
      </c>
      <c r="H135" s="115" t="s">
        <v>1166</v>
      </c>
    </row>
    <row r="136" spans="1:8" ht="19.899999999999999" customHeight="1">
      <c r="A136" s="123">
        <v>46048</v>
      </c>
      <c r="B136" s="124" t="s">
        <v>415</v>
      </c>
      <c r="C136" s="125" t="s">
        <v>1150</v>
      </c>
      <c r="D136" s="124" t="s">
        <v>1144</v>
      </c>
      <c r="E136" s="126">
        <v>1.78125</v>
      </c>
      <c r="F136" s="124" t="s">
        <v>63</v>
      </c>
      <c r="G136" s="127">
        <v>9</v>
      </c>
      <c r="H136" s="128" t="s">
        <v>1163</v>
      </c>
    </row>
    <row r="137" spans="1:8" ht="19.899999999999999" customHeight="1">
      <c r="A137" s="143"/>
      <c r="B137" s="144"/>
      <c r="C137" s="144"/>
      <c r="D137" s="144"/>
      <c r="E137" s="144"/>
      <c r="F137" s="145" t="s">
        <v>1190</v>
      </c>
      <c r="G137" s="144"/>
      <c r="H137" s="146"/>
    </row>
    <row r="138" spans="1:8" ht="19.899999999999999" customHeight="1">
      <c r="A138" s="121">
        <v>46049</v>
      </c>
      <c r="B138" s="112" t="s">
        <v>402</v>
      </c>
      <c r="C138" s="113" t="s">
        <v>1145</v>
      </c>
      <c r="D138" s="112" t="s">
        <v>1144</v>
      </c>
      <c r="E138" s="122">
        <v>1.7152777777777779</v>
      </c>
      <c r="F138" s="112" t="s">
        <v>63</v>
      </c>
      <c r="G138" s="114">
        <v>5</v>
      </c>
      <c r="H138" s="115" t="s">
        <v>1162</v>
      </c>
    </row>
    <row r="139" spans="1:8" ht="19.899999999999999" customHeight="1">
      <c r="A139" s="123">
        <v>46049</v>
      </c>
      <c r="B139" s="124" t="s">
        <v>415</v>
      </c>
      <c r="C139" s="125" t="s">
        <v>1150</v>
      </c>
      <c r="D139" s="124" t="s">
        <v>1144</v>
      </c>
      <c r="E139" s="126">
        <v>1.78125</v>
      </c>
      <c r="F139" s="124" t="s">
        <v>63</v>
      </c>
      <c r="G139" s="127">
        <v>9</v>
      </c>
      <c r="H139" s="128" t="s">
        <v>1163</v>
      </c>
    </row>
    <row r="140" spans="1:8" ht="19.899999999999999" customHeight="1">
      <c r="A140" s="143"/>
      <c r="B140" s="144"/>
      <c r="C140" s="144"/>
      <c r="D140" s="144"/>
      <c r="E140" s="144"/>
      <c r="F140" s="145" t="s">
        <v>1190</v>
      </c>
      <c r="G140" s="144"/>
      <c r="H140" s="146"/>
    </row>
    <row r="141" spans="1:8" ht="19.899999999999999" customHeight="1">
      <c r="A141" s="121">
        <v>46050</v>
      </c>
      <c r="B141" s="112" t="s">
        <v>68</v>
      </c>
      <c r="C141" s="113" t="s">
        <v>1149</v>
      </c>
      <c r="D141" s="112" t="s">
        <v>1144</v>
      </c>
      <c r="E141" s="122">
        <v>1.9826388888888891</v>
      </c>
      <c r="F141" s="112" t="s">
        <v>643</v>
      </c>
      <c r="G141" s="114">
        <v>9</v>
      </c>
      <c r="H141" s="115" t="s">
        <v>33</v>
      </c>
    </row>
    <row r="142" spans="1:8" ht="19.899999999999999" customHeight="1">
      <c r="A142" s="121">
        <v>46050</v>
      </c>
      <c r="B142" s="112" t="s">
        <v>359</v>
      </c>
      <c r="C142" s="113" t="s">
        <v>1152</v>
      </c>
      <c r="D142" s="112" t="s">
        <v>1144</v>
      </c>
      <c r="E142" s="122">
        <v>1.4965277777777779</v>
      </c>
      <c r="F142" s="112" t="s">
        <v>361</v>
      </c>
      <c r="G142" s="114">
        <v>9</v>
      </c>
      <c r="H142" s="115" t="s">
        <v>1165</v>
      </c>
    </row>
    <row r="143" spans="1:8" ht="19.899999999999999" customHeight="1">
      <c r="A143" s="121">
        <v>46050</v>
      </c>
      <c r="B143" s="112" t="s">
        <v>61</v>
      </c>
      <c r="C143" s="113" t="s">
        <v>1147</v>
      </c>
      <c r="D143" s="112" t="s">
        <v>1144</v>
      </c>
      <c r="E143" s="122">
        <v>1.711805555555556</v>
      </c>
      <c r="F143" s="112" t="s">
        <v>63</v>
      </c>
      <c r="G143" s="114">
        <v>4</v>
      </c>
      <c r="H143" s="115" t="s">
        <v>1157</v>
      </c>
    </row>
    <row r="144" spans="1:8" ht="19.899999999999999" customHeight="1">
      <c r="A144" s="121">
        <v>46050</v>
      </c>
      <c r="B144" s="112" t="s">
        <v>402</v>
      </c>
      <c r="C144" s="113" t="s">
        <v>1155</v>
      </c>
      <c r="D144" s="112" t="s">
        <v>1144</v>
      </c>
      <c r="E144" s="122">
        <v>1.756944444444444</v>
      </c>
      <c r="F144" s="112" t="s">
        <v>63</v>
      </c>
      <c r="G144" s="114">
        <v>5</v>
      </c>
      <c r="H144" s="115" t="s">
        <v>1162</v>
      </c>
    </row>
    <row r="145" spans="1:8" ht="19.899999999999999" customHeight="1">
      <c r="A145" s="121">
        <v>46050</v>
      </c>
      <c r="B145" s="112" t="s">
        <v>359</v>
      </c>
      <c r="C145" s="113" t="s">
        <v>1152</v>
      </c>
      <c r="D145" s="112" t="s">
        <v>1144</v>
      </c>
      <c r="E145" s="122">
        <v>1.4965277777777779</v>
      </c>
      <c r="F145" s="112" t="s">
        <v>46</v>
      </c>
      <c r="G145" s="114">
        <v>9</v>
      </c>
      <c r="H145" s="115" t="s">
        <v>1166</v>
      </c>
    </row>
    <row r="146" spans="1:8" ht="19.899999999999999" customHeight="1">
      <c r="A146" s="123">
        <v>46050</v>
      </c>
      <c r="B146" s="124" t="s">
        <v>415</v>
      </c>
      <c r="C146" s="125" t="s">
        <v>1150</v>
      </c>
      <c r="D146" s="124" t="s">
        <v>1144</v>
      </c>
      <c r="E146" s="126">
        <v>1.805555555555556</v>
      </c>
      <c r="F146" s="124" t="s">
        <v>63</v>
      </c>
      <c r="G146" s="127">
        <v>9</v>
      </c>
      <c r="H146" s="128" t="s">
        <v>1163</v>
      </c>
    </row>
    <row r="147" spans="1:8" ht="19.899999999999999" customHeight="1">
      <c r="A147" s="143"/>
      <c r="B147" s="144"/>
      <c r="C147" s="144"/>
      <c r="D147" s="144"/>
      <c r="E147" s="144"/>
      <c r="F147" s="145" t="s">
        <v>1190</v>
      </c>
      <c r="G147" s="144"/>
      <c r="H147" s="146"/>
    </row>
    <row r="148" spans="1:8" ht="19.899999999999999" customHeight="1">
      <c r="A148" s="121">
        <v>46051</v>
      </c>
      <c r="B148" s="112" t="s">
        <v>68</v>
      </c>
      <c r="C148" s="113" t="s">
        <v>1149</v>
      </c>
      <c r="D148" s="112" t="s">
        <v>1144</v>
      </c>
      <c r="E148" s="122">
        <v>1.9826388888888891</v>
      </c>
      <c r="F148" s="112" t="s">
        <v>643</v>
      </c>
      <c r="G148" s="114">
        <v>9</v>
      </c>
      <c r="H148" s="115" t="s">
        <v>33</v>
      </c>
    </row>
    <row r="149" spans="1:8" ht="19.899999999999999" customHeight="1">
      <c r="A149" s="121">
        <v>46051</v>
      </c>
      <c r="B149" s="112" t="s">
        <v>61</v>
      </c>
      <c r="C149" s="113" t="s">
        <v>1147</v>
      </c>
      <c r="D149" s="112" t="s">
        <v>1144</v>
      </c>
      <c r="E149" s="122">
        <v>1.711805555555556</v>
      </c>
      <c r="F149" s="112" t="s">
        <v>63</v>
      </c>
      <c r="G149" s="114">
        <v>4</v>
      </c>
      <c r="H149" s="115" t="s">
        <v>1175</v>
      </c>
    </row>
    <row r="150" spans="1:8" ht="19.899999999999999" customHeight="1">
      <c r="A150" s="121">
        <v>46051</v>
      </c>
      <c r="B150" s="112" t="s">
        <v>402</v>
      </c>
      <c r="C150" s="113" t="s">
        <v>1145</v>
      </c>
      <c r="D150" s="112" t="s">
        <v>1144</v>
      </c>
      <c r="E150" s="122">
        <v>1.756944444444444</v>
      </c>
      <c r="F150" s="112" t="s">
        <v>63</v>
      </c>
      <c r="G150" s="114">
        <v>5</v>
      </c>
      <c r="H150" s="115" t="s">
        <v>1162</v>
      </c>
    </row>
    <row r="151" spans="1:8" ht="19.899999999999999" customHeight="1">
      <c r="A151" s="123">
        <v>46051</v>
      </c>
      <c r="B151" s="124" t="s">
        <v>415</v>
      </c>
      <c r="C151" s="125" t="s">
        <v>1150</v>
      </c>
      <c r="D151" s="124" t="s">
        <v>1144</v>
      </c>
      <c r="E151" s="126">
        <v>1.805555555555556</v>
      </c>
      <c r="F151" s="124" t="s">
        <v>63</v>
      </c>
      <c r="G151" s="127">
        <v>9</v>
      </c>
      <c r="H151" s="128" t="s">
        <v>1163</v>
      </c>
    </row>
    <row r="152" spans="1:8" ht="19.899999999999999" customHeight="1">
      <c r="A152" s="129">
        <v>46052</v>
      </c>
      <c r="B152" s="117" t="s">
        <v>61</v>
      </c>
      <c r="C152" s="118" t="s">
        <v>1179</v>
      </c>
      <c r="D152" s="117" t="s">
        <v>1178</v>
      </c>
      <c r="E152" s="130">
        <v>1.3784722222222221</v>
      </c>
      <c r="F152" s="117" t="s">
        <v>63</v>
      </c>
      <c r="G152" s="119">
        <v>1</v>
      </c>
      <c r="H152" s="120" t="s">
        <v>476</v>
      </c>
    </row>
    <row r="153" spans="1:8" ht="19.899999999999999" customHeight="1">
      <c r="A153" s="143"/>
      <c r="B153" s="144"/>
      <c r="C153" s="144"/>
      <c r="D153" s="144"/>
      <c r="E153" s="144"/>
      <c r="F153" s="145" t="s">
        <v>1190</v>
      </c>
      <c r="G153" s="144"/>
      <c r="H153" s="146"/>
    </row>
    <row r="154" spans="1:8" ht="19.899999999999999" customHeight="1">
      <c r="A154" s="121">
        <v>46052</v>
      </c>
      <c r="B154" s="112" t="s">
        <v>68</v>
      </c>
      <c r="C154" s="113" t="s">
        <v>1149</v>
      </c>
      <c r="D154" s="112" t="s">
        <v>1144</v>
      </c>
      <c r="E154" s="122">
        <v>1.9826388888888891</v>
      </c>
      <c r="F154" s="112" t="s">
        <v>643</v>
      </c>
      <c r="G154" s="114">
        <v>8</v>
      </c>
      <c r="H154" s="115" t="s">
        <v>33</v>
      </c>
    </row>
    <row r="155" spans="1:8" ht="19.899999999999999" customHeight="1">
      <c r="A155" s="121">
        <v>46052</v>
      </c>
      <c r="B155" s="112" t="s">
        <v>359</v>
      </c>
      <c r="C155" s="113" t="s">
        <v>1152</v>
      </c>
      <c r="D155" s="112" t="s">
        <v>1144</v>
      </c>
      <c r="E155" s="122">
        <v>1.4965277777777779</v>
      </c>
      <c r="F155" s="112" t="s">
        <v>361</v>
      </c>
      <c r="G155" s="114">
        <v>9</v>
      </c>
      <c r="H155" s="115" t="s">
        <v>1167</v>
      </c>
    </row>
    <row r="156" spans="1:8" ht="19.899999999999999" customHeight="1">
      <c r="A156" s="121">
        <v>46052</v>
      </c>
      <c r="B156" s="112" t="s">
        <v>402</v>
      </c>
      <c r="C156" s="113" t="s">
        <v>1155</v>
      </c>
      <c r="D156" s="112" t="s">
        <v>1144</v>
      </c>
      <c r="E156" s="122">
        <v>1.756944444444444</v>
      </c>
      <c r="F156" s="112" t="s">
        <v>63</v>
      </c>
      <c r="G156" s="114">
        <v>5</v>
      </c>
      <c r="H156" s="115" t="s">
        <v>1162</v>
      </c>
    </row>
    <row r="157" spans="1:8" ht="19.899999999999999" customHeight="1">
      <c r="A157" s="121">
        <v>46052</v>
      </c>
      <c r="B157" s="112" t="s">
        <v>359</v>
      </c>
      <c r="C157" s="113" t="s">
        <v>1152</v>
      </c>
      <c r="D157" s="112" t="s">
        <v>1144</v>
      </c>
      <c r="E157" s="122">
        <v>1.4965277777777779</v>
      </c>
      <c r="F157" s="112" t="s">
        <v>46</v>
      </c>
      <c r="G157" s="114">
        <v>9</v>
      </c>
      <c r="H157" s="115" t="s">
        <v>1168</v>
      </c>
    </row>
    <row r="158" spans="1:8" ht="19.899999999999999" customHeight="1">
      <c r="A158" s="123">
        <v>46052</v>
      </c>
      <c r="B158" s="124" t="s">
        <v>415</v>
      </c>
      <c r="C158" s="125" t="s">
        <v>1150</v>
      </c>
      <c r="D158" s="124" t="s">
        <v>1144</v>
      </c>
      <c r="E158" s="126">
        <v>1.854166666666667</v>
      </c>
      <c r="F158" s="124" t="s">
        <v>63</v>
      </c>
      <c r="G158" s="127">
        <v>9</v>
      </c>
      <c r="H158" s="128" t="s">
        <v>1163</v>
      </c>
    </row>
    <row r="159" spans="1:8" ht="19.899999999999999" customHeight="1">
      <c r="A159" s="143"/>
      <c r="B159" s="144"/>
      <c r="C159" s="144"/>
      <c r="D159" s="144"/>
      <c r="E159" s="144"/>
      <c r="F159" s="145" t="s">
        <v>1190</v>
      </c>
      <c r="G159" s="144"/>
      <c r="H159" s="146"/>
    </row>
    <row r="160" spans="1:8" ht="19.899999999999999" customHeight="1">
      <c r="A160" s="121">
        <v>46053</v>
      </c>
      <c r="B160" s="112" t="s">
        <v>61</v>
      </c>
      <c r="C160" s="113" t="s">
        <v>1147</v>
      </c>
      <c r="D160" s="112" t="s">
        <v>1144</v>
      </c>
      <c r="E160" s="122">
        <v>1.836805555555556</v>
      </c>
      <c r="F160" s="112" t="s">
        <v>63</v>
      </c>
      <c r="G160" s="114">
        <v>3</v>
      </c>
      <c r="H160" s="115" t="s">
        <v>1157</v>
      </c>
    </row>
    <row r="161" spans="1:8" ht="19.899999999999999" customHeight="1">
      <c r="A161" s="121">
        <v>46053</v>
      </c>
      <c r="B161" s="112" t="s">
        <v>402</v>
      </c>
      <c r="C161" s="113" t="s">
        <v>1145</v>
      </c>
      <c r="D161" s="112" t="s">
        <v>1144</v>
      </c>
      <c r="E161" s="122">
        <v>1.756944444444444</v>
      </c>
      <c r="F161" s="112" t="s">
        <v>63</v>
      </c>
      <c r="G161" s="114">
        <v>5</v>
      </c>
      <c r="H161" s="115" t="s">
        <v>1162</v>
      </c>
    </row>
    <row r="162" spans="1:8" ht="19.899999999999999" customHeight="1">
      <c r="A162" s="123">
        <v>46053</v>
      </c>
      <c r="B162" s="124" t="s">
        <v>415</v>
      </c>
      <c r="C162" s="125" t="s">
        <v>1171</v>
      </c>
      <c r="D162" s="124" t="s">
        <v>1144</v>
      </c>
      <c r="E162" s="126">
        <v>1.6736111111111109</v>
      </c>
      <c r="F162" s="124" t="s">
        <v>63</v>
      </c>
      <c r="G162" s="127">
        <v>9</v>
      </c>
      <c r="H162" s="128" t="s">
        <v>1163</v>
      </c>
    </row>
  </sheetData>
  <pageMargins left="0.75" right="0.75" top="1" bottom="1" header="0.5" footer="0.5"/>
  <legacyDrawing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N115"/>
  <sheetViews>
    <sheetView workbookViewId="0"/>
  </sheetViews>
  <sheetFormatPr defaultRowHeight="14.45"/>
  <cols>
    <col min="1" max="1" width="10.28515625" bestFit="1" customWidth="1"/>
    <col min="2" max="2" width="15.7109375" bestFit="1" customWidth="1"/>
    <col min="3" max="3" width="14.7109375" bestFit="1" customWidth="1"/>
    <col min="4" max="4" width="29.85546875" bestFit="1" customWidth="1"/>
    <col min="5" max="5" width="18.5703125" bestFit="1" customWidth="1"/>
    <col min="6" max="6" width="23.42578125" bestFit="1" customWidth="1"/>
    <col min="7" max="7" width="45.140625" bestFit="1" customWidth="1"/>
    <col min="8" max="8" width="9.42578125" bestFit="1" customWidth="1"/>
    <col min="9" max="9" width="6.710937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16.28515625" bestFit="1" customWidth="1"/>
  </cols>
  <sheetData>
    <row r="1" spans="1:92" ht="28.9" customHeight="1">
      <c r="A1" s="291" t="s">
        <v>0</v>
      </c>
      <c r="B1" s="294"/>
      <c r="C1" s="294"/>
      <c r="D1" s="294"/>
      <c r="E1" s="294"/>
      <c r="F1" s="1" t="s">
        <v>1192</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45980.610510378843</v>
      </c>
      <c r="H2" s="294"/>
      <c r="I2" s="294"/>
      <c r="J2" s="294"/>
      <c r="K2" s="287">
        <v>45980.610510379163</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46023</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49" t="s">
        <v>61</v>
      </c>
      <c r="B6" s="49" t="s">
        <v>1193</v>
      </c>
      <c r="C6" s="50">
        <v>0.76736111111111116</v>
      </c>
      <c r="D6" s="49" t="s">
        <v>63</v>
      </c>
      <c r="E6" s="49" t="s">
        <v>126</v>
      </c>
      <c r="F6" s="49" t="s">
        <v>525</v>
      </c>
      <c r="G6" s="297"/>
      <c r="H6" s="51" t="s">
        <v>1194</v>
      </c>
      <c r="I6" s="52">
        <v>1.6799999999999999E-2</v>
      </c>
      <c r="J6" s="53">
        <v>3</v>
      </c>
      <c r="K6" s="54">
        <v>46342</v>
      </c>
      <c r="L6" s="53">
        <v>3</v>
      </c>
      <c r="M6" s="53">
        <v>0</v>
      </c>
      <c r="N6" s="53">
        <v>0</v>
      </c>
      <c r="O6" s="55" t="s">
        <v>819</v>
      </c>
      <c r="P6" s="56">
        <v>0.76736111111111116</v>
      </c>
      <c r="Q6" s="53">
        <v>179</v>
      </c>
      <c r="R6" s="57" t="s">
        <v>819</v>
      </c>
    </row>
    <row r="7" spans="1:92" ht="49.9" customHeight="1" thickBot="1">
      <c r="A7" s="96" t="s">
        <v>402</v>
      </c>
      <c r="B7" s="96" t="s">
        <v>1195</v>
      </c>
      <c r="C7" s="97">
        <v>0.70138888888888884</v>
      </c>
      <c r="D7" s="96" t="s">
        <v>63</v>
      </c>
      <c r="E7" s="96" t="s">
        <v>51</v>
      </c>
      <c r="F7" s="96" t="s">
        <v>1196</v>
      </c>
      <c r="G7" s="299"/>
      <c r="H7" s="300"/>
      <c r="I7" s="140"/>
      <c r="J7" s="140"/>
      <c r="K7" s="140"/>
      <c r="L7" s="140"/>
      <c r="M7" s="140"/>
      <c r="N7" s="140"/>
      <c r="O7" s="141"/>
      <c r="P7" s="140"/>
      <c r="Q7" s="142"/>
      <c r="R7" s="301"/>
    </row>
    <row r="8" spans="1:92" ht="17.45" customHeight="1" thickBot="1">
      <c r="A8" s="283"/>
      <c r="B8" s="284"/>
      <c r="C8" s="284"/>
      <c r="D8" s="284"/>
      <c r="E8" s="284"/>
      <c r="F8" s="284"/>
      <c r="G8" s="284"/>
      <c r="H8" s="284"/>
      <c r="I8" s="284"/>
      <c r="J8" s="284"/>
      <c r="K8" s="284"/>
      <c r="L8" s="284"/>
      <c r="M8" s="284"/>
      <c r="N8" s="284"/>
      <c r="O8" s="284"/>
      <c r="P8" s="284"/>
      <c r="Q8" s="284"/>
      <c r="R8" s="285"/>
    </row>
    <row r="9" spans="1:92" ht="22.15" customHeight="1" thickTop="1" thickBot="1">
      <c r="A9" s="279" t="s">
        <v>6</v>
      </c>
      <c r="B9" s="295"/>
      <c r="C9" s="295"/>
      <c r="D9" s="295"/>
      <c r="E9" s="295"/>
      <c r="F9" s="296"/>
      <c r="G9" s="32">
        <v>46024</v>
      </c>
      <c r="H9" s="278" t="s">
        <v>7</v>
      </c>
      <c r="I9" s="295"/>
      <c r="J9" s="295"/>
      <c r="K9" s="295"/>
      <c r="L9" s="295"/>
      <c r="M9" s="295"/>
      <c r="N9" s="295"/>
      <c r="O9" s="295"/>
      <c r="P9" s="295"/>
      <c r="Q9" s="295"/>
      <c r="R9" s="296"/>
    </row>
    <row r="10" spans="1:92" ht="24" customHeight="1">
      <c r="A10" s="33" t="s">
        <v>8</v>
      </c>
      <c r="B10" s="33" t="s">
        <v>9</v>
      </c>
      <c r="C10" s="34" t="s">
        <v>10</v>
      </c>
      <c r="D10" s="33" t="s">
        <v>11</v>
      </c>
      <c r="E10" s="33" t="s">
        <v>12</v>
      </c>
      <c r="F10" s="35" t="s">
        <v>13</v>
      </c>
      <c r="G10" s="36" t="s">
        <v>14</v>
      </c>
      <c r="H10" s="33" t="s">
        <v>15</v>
      </c>
      <c r="I10" s="37" t="s">
        <v>16</v>
      </c>
      <c r="J10" s="38" t="s">
        <v>17</v>
      </c>
      <c r="K10" s="39" t="s">
        <v>18</v>
      </c>
      <c r="L10" s="38" t="s">
        <v>19</v>
      </c>
      <c r="M10" s="38" t="s">
        <v>20</v>
      </c>
      <c r="N10" s="38" t="s">
        <v>21</v>
      </c>
      <c r="O10" s="33" t="s">
        <v>22</v>
      </c>
      <c r="P10" s="34" t="s">
        <v>23</v>
      </c>
      <c r="Q10" s="38" t="s">
        <v>24</v>
      </c>
      <c r="R10" s="33" t="s">
        <v>25</v>
      </c>
    </row>
    <row r="11" spans="1:92" ht="49.9" customHeight="1" thickTop="1" thickBot="1">
      <c r="A11" s="166" t="s">
        <v>402</v>
      </c>
      <c r="B11" s="166" t="s">
        <v>1197</v>
      </c>
      <c r="C11" s="167">
        <v>0.30902777777777779</v>
      </c>
      <c r="D11" s="166" t="s">
        <v>63</v>
      </c>
      <c r="E11" s="166" t="s">
        <v>51</v>
      </c>
      <c r="F11" s="166" t="s">
        <v>1198</v>
      </c>
      <c r="G11" s="297"/>
      <c r="H11" s="300"/>
      <c r="I11" s="140"/>
      <c r="J11" s="140"/>
      <c r="K11" s="140"/>
      <c r="L11" s="140"/>
      <c r="M11" s="140"/>
      <c r="N11" s="140"/>
      <c r="O11" s="141"/>
      <c r="P11" s="140"/>
      <c r="Q11" s="142"/>
      <c r="R11" s="301"/>
    </row>
    <row r="12" spans="1:92" ht="17.45" customHeight="1" thickBot="1">
      <c r="A12" s="283"/>
      <c r="B12" s="284"/>
      <c r="C12" s="284"/>
      <c r="D12" s="284"/>
      <c r="E12" s="284"/>
      <c r="F12" s="284"/>
      <c r="G12" s="284"/>
      <c r="H12" s="284"/>
      <c r="I12" s="284"/>
      <c r="J12" s="284"/>
      <c r="K12" s="284"/>
      <c r="L12" s="284"/>
      <c r="M12" s="284"/>
      <c r="N12" s="284"/>
      <c r="O12" s="284"/>
      <c r="P12" s="284"/>
      <c r="Q12" s="284"/>
      <c r="R12" s="285"/>
    </row>
    <row r="13" spans="1:92" ht="22.15" customHeight="1" thickTop="1" thickBot="1">
      <c r="A13" s="279" t="s">
        <v>6</v>
      </c>
      <c r="B13" s="295"/>
      <c r="C13" s="295"/>
      <c r="D13" s="295"/>
      <c r="E13" s="295"/>
      <c r="F13" s="296"/>
      <c r="G13" s="32">
        <v>46025</v>
      </c>
      <c r="H13" s="278" t="s">
        <v>7</v>
      </c>
      <c r="I13" s="295"/>
      <c r="J13" s="295"/>
      <c r="K13" s="295"/>
      <c r="L13" s="295"/>
      <c r="M13" s="295"/>
      <c r="N13" s="295"/>
      <c r="O13" s="295"/>
      <c r="P13" s="295"/>
      <c r="Q13" s="295"/>
      <c r="R13" s="296"/>
    </row>
    <row r="14" spans="1:92" ht="24" customHeight="1">
      <c r="A14" s="33" t="s">
        <v>8</v>
      </c>
      <c r="B14" s="33" t="s">
        <v>9</v>
      </c>
      <c r="C14" s="34" t="s">
        <v>10</v>
      </c>
      <c r="D14" s="33" t="s">
        <v>11</v>
      </c>
      <c r="E14" s="33" t="s">
        <v>12</v>
      </c>
      <c r="F14" s="35" t="s">
        <v>13</v>
      </c>
      <c r="G14" s="36" t="s">
        <v>14</v>
      </c>
      <c r="H14" s="33" t="s">
        <v>15</v>
      </c>
      <c r="I14" s="37" t="s">
        <v>16</v>
      </c>
      <c r="J14" s="38" t="s">
        <v>17</v>
      </c>
      <c r="K14" s="39" t="s">
        <v>18</v>
      </c>
      <c r="L14" s="38" t="s">
        <v>19</v>
      </c>
      <c r="M14" s="38" t="s">
        <v>20</v>
      </c>
      <c r="N14" s="38" t="s">
        <v>21</v>
      </c>
      <c r="O14" s="33" t="s">
        <v>22</v>
      </c>
      <c r="P14" s="34" t="s">
        <v>23</v>
      </c>
      <c r="Q14" s="38" t="s">
        <v>24</v>
      </c>
      <c r="R14" s="33" t="s">
        <v>25</v>
      </c>
    </row>
    <row r="15" spans="1:92" ht="49.9" customHeight="1" thickTop="1" thickBot="1">
      <c r="A15" s="87" t="s">
        <v>61</v>
      </c>
      <c r="B15" s="87" t="s">
        <v>1193</v>
      </c>
      <c r="C15" s="88">
        <v>0.71875</v>
      </c>
      <c r="D15" s="87" t="s">
        <v>63</v>
      </c>
      <c r="E15" s="87" t="s">
        <v>126</v>
      </c>
      <c r="F15" s="87" t="s">
        <v>525</v>
      </c>
      <c r="G15" s="297"/>
      <c r="H15" s="208" t="s">
        <v>1194</v>
      </c>
      <c r="I15" s="209">
        <v>2.23E-2</v>
      </c>
      <c r="J15" s="210">
        <v>4</v>
      </c>
      <c r="K15" s="211">
        <v>46335</v>
      </c>
      <c r="L15" s="210">
        <v>4</v>
      </c>
      <c r="M15" s="210">
        <v>0</v>
      </c>
      <c r="N15" s="210">
        <v>0</v>
      </c>
      <c r="O15" s="212" t="s">
        <v>819</v>
      </c>
      <c r="P15" s="213">
        <v>0.71875</v>
      </c>
      <c r="Q15" s="210">
        <v>179</v>
      </c>
      <c r="R15" s="214" t="s">
        <v>901</v>
      </c>
    </row>
    <row r="16" spans="1:92" ht="17.45" customHeight="1" thickBot="1">
      <c r="A16" s="283"/>
      <c r="B16" s="284"/>
      <c r="C16" s="284"/>
      <c r="D16" s="284"/>
      <c r="E16" s="284"/>
      <c r="F16" s="284"/>
      <c r="G16" s="284"/>
      <c r="H16" s="284"/>
      <c r="I16" s="284"/>
      <c r="J16" s="284"/>
      <c r="K16" s="284"/>
      <c r="L16" s="284"/>
      <c r="M16" s="284"/>
      <c r="N16" s="284"/>
      <c r="O16" s="284"/>
      <c r="P16" s="284"/>
      <c r="Q16" s="284"/>
      <c r="R16" s="285"/>
    </row>
    <row r="17" spans="1:18" ht="22.15" customHeight="1" thickTop="1" thickBot="1">
      <c r="A17" s="279" t="s">
        <v>6</v>
      </c>
      <c r="B17" s="295"/>
      <c r="C17" s="295"/>
      <c r="D17" s="295"/>
      <c r="E17" s="295"/>
      <c r="F17" s="296"/>
      <c r="G17" s="32">
        <v>46026</v>
      </c>
      <c r="H17" s="278" t="s">
        <v>7</v>
      </c>
      <c r="I17" s="295"/>
      <c r="J17" s="295"/>
      <c r="K17" s="295"/>
      <c r="L17" s="295"/>
      <c r="M17" s="295"/>
      <c r="N17" s="295"/>
      <c r="O17" s="295"/>
      <c r="P17" s="295"/>
      <c r="Q17" s="295"/>
      <c r="R17" s="296"/>
    </row>
    <row r="18" spans="1:18" ht="24" customHeight="1">
      <c r="A18" s="33" t="s">
        <v>8</v>
      </c>
      <c r="B18" s="33" t="s">
        <v>9</v>
      </c>
      <c r="C18" s="34" t="s">
        <v>10</v>
      </c>
      <c r="D18" s="33" t="s">
        <v>11</v>
      </c>
      <c r="E18" s="33" t="s">
        <v>12</v>
      </c>
      <c r="F18" s="35" t="s">
        <v>13</v>
      </c>
      <c r="G18" s="36" t="s">
        <v>14</v>
      </c>
      <c r="H18" s="33" t="s">
        <v>15</v>
      </c>
      <c r="I18" s="37" t="s">
        <v>16</v>
      </c>
      <c r="J18" s="38" t="s">
        <v>17</v>
      </c>
      <c r="K18" s="39" t="s">
        <v>18</v>
      </c>
      <c r="L18" s="38" t="s">
        <v>19</v>
      </c>
      <c r="M18" s="38" t="s">
        <v>20</v>
      </c>
      <c r="N18" s="38" t="s">
        <v>21</v>
      </c>
      <c r="O18" s="33" t="s">
        <v>22</v>
      </c>
      <c r="P18" s="34" t="s">
        <v>23</v>
      </c>
      <c r="Q18" s="38" t="s">
        <v>24</v>
      </c>
      <c r="R18" s="33" t="s">
        <v>25</v>
      </c>
    </row>
    <row r="19" spans="1:18" ht="49.9" customHeight="1" thickTop="1" thickBot="1">
      <c r="A19" s="166" t="s">
        <v>402</v>
      </c>
      <c r="B19" s="166" t="s">
        <v>1197</v>
      </c>
      <c r="C19" s="167">
        <v>0.30902777777777779</v>
      </c>
      <c r="D19" s="166" t="s">
        <v>63</v>
      </c>
      <c r="E19" s="166" t="s">
        <v>51</v>
      </c>
      <c r="F19" s="166" t="s">
        <v>1198</v>
      </c>
      <c r="G19" s="297"/>
      <c r="H19" s="300"/>
      <c r="I19" s="140"/>
      <c r="J19" s="140"/>
      <c r="K19" s="140"/>
      <c r="L19" s="140"/>
      <c r="M19" s="140"/>
      <c r="N19" s="140"/>
      <c r="O19" s="141"/>
      <c r="P19" s="140"/>
      <c r="Q19" s="142"/>
      <c r="R19" s="301"/>
    </row>
    <row r="20" spans="1:18" ht="17.45" customHeight="1" thickBot="1">
      <c r="A20" s="283"/>
      <c r="B20" s="284"/>
      <c r="C20" s="284"/>
      <c r="D20" s="284"/>
      <c r="E20" s="284"/>
      <c r="F20" s="284"/>
      <c r="G20" s="284"/>
      <c r="H20" s="284"/>
      <c r="I20" s="284"/>
      <c r="J20" s="284"/>
      <c r="K20" s="284"/>
      <c r="L20" s="284"/>
      <c r="M20" s="284"/>
      <c r="N20" s="284"/>
      <c r="O20" s="284"/>
      <c r="P20" s="284"/>
      <c r="Q20" s="284"/>
      <c r="R20" s="285"/>
    </row>
    <row r="21" spans="1:18" ht="22.15" customHeight="1" thickTop="1" thickBot="1">
      <c r="A21" s="279" t="s">
        <v>6</v>
      </c>
      <c r="B21" s="295"/>
      <c r="C21" s="295"/>
      <c r="D21" s="295"/>
      <c r="E21" s="295"/>
      <c r="F21" s="296"/>
      <c r="G21" s="32">
        <v>46028</v>
      </c>
      <c r="H21" s="278" t="s">
        <v>7</v>
      </c>
      <c r="I21" s="295"/>
      <c r="J21" s="295"/>
      <c r="K21" s="295"/>
      <c r="L21" s="295"/>
      <c r="M21" s="295"/>
      <c r="N21" s="295"/>
      <c r="O21" s="295"/>
      <c r="P21" s="295"/>
      <c r="Q21" s="295"/>
      <c r="R21" s="296"/>
    </row>
    <row r="22" spans="1:18" ht="24" customHeight="1">
      <c r="A22" s="33" t="s">
        <v>8</v>
      </c>
      <c r="B22" s="33" t="s">
        <v>9</v>
      </c>
      <c r="C22" s="34" t="s">
        <v>10</v>
      </c>
      <c r="D22" s="33" t="s">
        <v>11</v>
      </c>
      <c r="E22" s="33" t="s">
        <v>12</v>
      </c>
      <c r="F22" s="35" t="s">
        <v>13</v>
      </c>
      <c r="G22" s="36" t="s">
        <v>14</v>
      </c>
      <c r="H22" s="33" t="s">
        <v>15</v>
      </c>
      <c r="I22" s="37" t="s">
        <v>16</v>
      </c>
      <c r="J22" s="38" t="s">
        <v>17</v>
      </c>
      <c r="K22" s="39" t="s">
        <v>18</v>
      </c>
      <c r="L22" s="38" t="s">
        <v>19</v>
      </c>
      <c r="M22" s="38" t="s">
        <v>20</v>
      </c>
      <c r="N22" s="38" t="s">
        <v>21</v>
      </c>
      <c r="O22" s="33" t="s">
        <v>22</v>
      </c>
      <c r="P22" s="34" t="s">
        <v>23</v>
      </c>
      <c r="Q22" s="38" t="s">
        <v>24</v>
      </c>
      <c r="R22" s="33" t="s">
        <v>25</v>
      </c>
    </row>
    <row r="23" spans="1:18" ht="49.9" customHeight="1" thickTop="1" thickBot="1">
      <c r="A23" s="40" t="s">
        <v>61</v>
      </c>
      <c r="B23" s="40" t="s">
        <v>1193</v>
      </c>
      <c r="C23" s="41">
        <v>0.3125</v>
      </c>
      <c r="D23" s="40" t="s">
        <v>63</v>
      </c>
      <c r="E23" s="40" t="s">
        <v>103</v>
      </c>
      <c r="F23" s="40" t="s">
        <v>525</v>
      </c>
      <c r="G23" s="297"/>
      <c r="H23" s="249" t="s">
        <v>1194</v>
      </c>
      <c r="I23" s="250">
        <v>1.12E-2</v>
      </c>
      <c r="J23" s="251">
        <v>2</v>
      </c>
      <c r="K23" s="252">
        <v>46335</v>
      </c>
      <c r="L23" s="251">
        <v>2</v>
      </c>
      <c r="M23" s="251">
        <v>0</v>
      </c>
      <c r="N23" s="251">
        <v>0</v>
      </c>
      <c r="O23" s="253" t="s">
        <v>591</v>
      </c>
      <c r="P23" s="254">
        <v>0.3125</v>
      </c>
      <c r="Q23" s="251">
        <v>179</v>
      </c>
      <c r="R23" s="255" t="s">
        <v>571</v>
      </c>
    </row>
    <row r="24" spans="1:18" ht="17.45" customHeight="1" thickBot="1">
      <c r="A24" s="283"/>
      <c r="B24" s="284"/>
      <c r="C24" s="284"/>
      <c r="D24" s="284"/>
      <c r="E24" s="284"/>
      <c r="F24" s="284"/>
      <c r="G24" s="284"/>
      <c r="H24" s="284"/>
      <c r="I24" s="284"/>
      <c r="J24" s="284"/>
      <c r="K24" s="284"/>
      <c r="L24" s="284"/>
      <c r="M24" s="284"/>
      <c r="N24" s="284"/>
      <c r="O24" s="284"/>
      <c r="P24" s="284"/>
      <c r="Q24" s="284"/>
      <c r="R24" s="285"/>
    </row>
    <row r="25" spans="1:18" ht="22.15" customHeight="1" thickTop="1" thickBot="1">
      <c r="A25" s="279" t="s">
        <v>6</v>
      </c>
      <c r="B25" s="295"/>
      <c r="C25" s="295"/>
      <c r="D25" s="295"/>
      <c r="E25" s="295"/>
      <c r="F25" s="296"/>
      <c r="G25" s="32">
        <v>46029</v>
      </c>
      <c r="H25" s="278" t="s">
        <v>7</v>
      </c>
      <c r="I25" s="295"/>
      <c r="J25" s="295"/>
      <c r="K25" s="295"/>
      <c r="L25" s="295"/>
      <c r="M25" s="295"/>
      <c r="N25" s="295"/>
      <c r="O25" s="295"/>
      <c r="P25" s="295"/>
      <c r="Q25" s="295"/>
      <c r="R25" s="296"/>
    </row>
    <row r="26" spans="1:18" ht="24" customHeight="1">
      <c r="A26" s="33" t="s">
        <v>8</v>
      </c>
      <c r="B26" s="33" t="s">
        <v>9</v>
      </c>
      <c r="C26" s="34" t="s">
        <v>10</v>
      </c>
      <c r="D26" s="33" t="s">
        <v>11</v>
      </c>
      <c r="E26" s="33" t="s">
        <v>12</v>
      </c>
      <c r="F26" s="35" t="s">
        <v>13</v>
      </c>
      <c r="G26" s="36" t="s">
        <v>14</v>
      </c>
      <c r="H26" s="33" t="s">
        <v>15</v>
      </c>
      <c r="I26" s="37" t="s">
        <v>16</v>
      </c>
      <c r="J26" s="38" t="s">
        <v>17</v>
      </c>
      <c r="K26" s="39" t="s">
        <v>18</v>
      </c>
      <c r="L26" s="38" t="s">
        <v>19</v>
      </c>
      <c r="M26" s="38" t="s">
        <v>20</v>
      </c>
      <c r="N26" s="38" t="s">
        <v>21</v>
      </c>
      <c r="O26" s="33" t="s">
        <v>22</v>
      </c>
      <c r="P26" s="34" t="s">
        <v>23</v>
      </c>
      <c r="Q26" s="38" t="s">
        <v>24</v>
      </c>
      <c r="R26" s="33" t="s">
        <v>25</v>
      </c>
    </row>
    <row r="27" spans="1:18" ht="49.9" customHeight="1" thickTop="1" thickBot="1">
      <c r="A27" s="166" t="s">
        <v>402</v>
      </c>
      <c r="B27" s="166" t="s">
        <v>1197</v>
      </c>
      <c r="C27" s="167">
        <v>0.3923611111111111</v>
      </c>
      <c r="D27" s="166" t="s">
        <v>63</v>
      </c>
      <c r="E27" s="166" t="s">
        <v>100</v>
      </c>
      <c r="F27" s="166" t="s">
        <v>1198</v>
      </c>
      <c r="G27" s="297"/>
      <c r="H27" s="300"/>
      <c r="I27" s="140"/>
      <c r="J27" s="140"/>
      <c r="K27" s="140"/>
      <c r="L27" s="140"/>
      <c r="M27" s="140"/>
      <c r="N27" s="140"/>
      <c r="O27" s="141"/>
      <c r="P27" s="140"/>
      <c r="Q27" s="142"/>
      <c r="R27" s="301"/>
    </row>
    <row r="28" spans="1:18" ht="17.45" customHeight="1" thickBot="1">
      <c r="A28" s="283"/>
      <c r="B28" s="284"/>
      <c r="C28" s="284"/>
      <c r="D28" s="284"/>
      <c r="E28" s="284"/>
      <c r="F28" s="284"/>
      <c r="G28" s="284"/>
      <c r="H28" s="284"/>
      <c r="I28" s="284"/>
      <c r="J28" s="284"/>
      <c r="K28" s="284"/>
      <c r="L28" s="284"/>
      <c r="M28" s="284"/>
      <c r="N28" s="284"/>
      <c r="O28" s="284"/>
      <c r="P28" s="284"/>
      <c r="Q28" s="284"/>
      <c r="R28" s="285"/>
    </row>
    <row r="29" spans="1:18" ht="22.15" customHeight="1" thickTop="1" thickBot="1">
      <c r="A29" s="279" t="s">
        <v>6</v>
      </c>
      <c r="B29" s="295"/>
      <c r="C29" s="295"/>
      <c r="D29" s="295"/>
      <c r="E29" s="295"/>
      <c r="F29" s="296"/>
      <c r="G29" s="32">
        <v>46030</v>
      </c>
      <c r="H29" s="278" t="s">
        <v>7</v>
      </c>
      <c r="I29" s="295"/>
      <c r="J29" s="295"/>
      <c r="K29" s="295"/>
      <c r="L29" s="295"/>
      <c r="M29" s="295"/>
      <c r="N29" s="295"/>
      <c r="O29" s="295"/>
      <c r="P29" s="295"/>
      <c r="Q29" s="295"/>
      <c r="R29" s="296"/>
    </row>
    <row r="30" spans="1:18" ht="24" customHeight="1">
      <c r="A30" s="33" t="s">
        <v>8</v>
      </c>
      <c r="B30" s="33" t="s">
        <v>9</v>
      </c>
      <c r="C30" s="34" t="s">
        <v>10</v>
      </c>
      <c r="D30" s="33" t="s">
        <v>11</v>
      </c>
      <c r="E30" s="33" t="s">
        <v>12</v>
      </c>
      <c r="F30" s="35" t="s">
        <v>13</v>
      </c>
      <c r="G30" s="36" t="s">
        <v>14</v>
      </c>
      <c r="H30" s="33" t="s">
        <v>15</v>
      </c>
      <c r="I30" s="37" t="s">
        <v>16</v>
      </c>
      <c r="J30" s="38" t="s">
        <v>17</v>
      </c>
      <c r="K30" s="39" t="s">
        <v>18</v>
      </c>
      <c r="L30" s="38" t="s">
        <v>19</v>
      </c>
      <c r="M30" s="38" t="s">
        <v>20</v>
      </c>
      <c r="N30" s="38" t="s">
        <v>21</v>
      </c>
      <c r="O30" s="33" t="s">
        <v>22</v>
      </c>
      <c r="P30" s="34" t="s">
        <v>23</v>
      </c>
      <c r="Q30" s="38" t="s">
        <v>24</v>
      </c>
      <c r="R30" s="33" t="s">
        <v>25</v>
      </c>
    </row>
    <row r="31" spans="1:18" ht="49.9" customHeight="1">
      <c r="A31" s="21" t="s">
        <v>61</v>
      </c>
      <c r="B31" s="21" t="s">
        <v>1193</v>
      </c>
      <c r="C31" s="22">
        <v>0.76736111111111116</v>
      </c>
      <c r="D31" s="21" t="s">
        <v>63</v>
      </c>
      <c r="E31" s="21" t="s">
        <v>107</v>
      </c>
      <c r="F31" s="21" t="s">
        <v>525</v>
      </c>
      <c r="G31" s="297"/>
      <c r="H31" s="23" t="s">
        <v>1194</v>
      </c>
      <c r="I31" s="24">
        <v>0</v>
      </c>
      <c r="J31" s="25">
        <v>0</v>
      </c>
      <c r="K31" s="26" t="s">
        <v>66</v>
      </c>
      <c r="L31" s="25">
        <v>0</v>
      </c>
      <c r="M31" s="25">
        <v>0</v>
      </c>
      <c r="N31" s="25">
        <v>0</v>
      </c>
      <c r="O31" s="27" t="s">
        <v>374</v>
      </c>
      <c r="P31" s="28">
        <v>0.76736111111111116</v>
      </c>
      <c r="Q31" s="25">
        <v>179</v>
      </c>
      <c r="R31" s="29" t="s">
        <v>66</v>
      </c>
    </row>
    <row r="32" spans="1:18" ht="49.9" customHeight="1" thickBot="1">
      <c r="A32" s="96" t="s">
        <v>402</v>
      </c>
      <c r="B32" s="96" t="s">
        <v>1195</v>
      </c>
      <c r="C32" s="97">
        <v>0.70138888888888884</v>
      </c>
      <c r="D32" s="96" t="s">
        <v>63</v>
      </c>
      <c r="E32" s="96" t="s">
        <v>51</v>
      </c>
      <c r="F32" s="96" t="s">
        <v>1198</v>
      </c>
      <c r="G32" s="299"/>
      <c r="H32" s="300"/>
      <c r="I32" s="140"/>
      <c r="J32" s="140"/>
      <c r="K32" s="140"/>
      <c r="L32" s="140"/>
      <c r="M32" s="140"/>
      <c r="N32" s="140"/>
      <c r="O32" s="141"/>
      <c r="P32" s="140"/>
      <c r="Q32" s="142"/>
      <c r="R32" s="301"/>
    </row>
    <row r="33" spans="1:18" ht="17.45" customHeight="1" thickBot="1">
      <c r="A33" s="283"/>
      <c r="B33" s="284"/>
      <c r="C33" s="284"/>
      <c r="D33" s="284"/>
      <c r="E33" s="284"/>
      <c r="F33" s="284"/>
      <c r="G33" s="284"/>
      <c r="H33" s="284"/>
      <c r="I33" s="284"/>
      <c r="J33" s="284"/>
      <c r="K33" s="284"/>
      <c r="L33" s="284"/>
      <c r="M33" s="284"/>
      <c r="N33" s="284"/>
      <c r="O33" s="284"/>
      <c r="P33" s="284"/>
      <c r="Q33" s="284"/>
      <c r="R33" s="285"/>
    </row>
    <row r="34" spans="1:18" ht="22.15" customHeight="1" thickTop="1" thickBot="1">
      <c r="A34" s="279" t="s">
        <v>6</v>
      </c>
      <c r="B34" s="295"/>
      <c r="C34" s="295"/>
      <c r="D34" s="295"/>
      <c r="E34" s="295"/>
      <c r="F34" s="296"/>
      <c r="G34" s="32">
        <v>46031</v>
      </c>
      <c r="H34" s="278" t="s">
        <v>7</v>
      </c>
      <c r="I34" s="295"/>
      <c r="J34" s="295"/>
      <c r="K34" s="295"/>
      <c r="L34" s="295"/>
      <c r="M34" s="295"/>
      <c r="N34" s="295"/>
      <c r="O34" s="295"/>
      <c r="P34" s="295"/>
      <c r="Q34" s="295"/>
      <c r="R34" s="296"/>
    </row>
    <row r="35" spans="1:18" ht="24" customHeight="1">
      <c r="A35" s="33" t="s">
        <v>8</v>
      </c>
      <c r="B35" s="33" t="s">
        <v>9</v>
      </c>
      <c r="C35" s="34" t="s">
        <v>10</v>
      </c>
      <c r="D35" s="33" t="s">
        <v>11</v>
      </c>
      <c r="E35" s="33" t="s">
        <v>12</v>
      </c>
      <c r="F35" s="35" t="s">
        <v>13</v>
      </c>
      <c r="G35" s="36" t="s">
        <v>14</v>
      </c>
      <c r="H35" s="33" t="s">
        <v>15</v>
      </c>
      <c r="I35" s="37" t="s">
        <v>16</v>
      </c>
      <c r="J35" s="38" t="s">
        <v>17</v>
      </c>
      <c r="K35" s="39" t="s">
        <v>18</v>
      </c>
      <c r="L35" s="38" t="s">
        <v>19</v>
      </c>
      <c r="M35" s="38" t="s">
        <v>20</v>
      </c>
      <c r="N35" s="38" t="s">
        <v>21</v>
      </c>
      <c r="O35" s="33" t="s">
        <v>22</v>
      </c>
      <c r="P35" s="34" t="s">
        <v>23</v>
      </c>
      <c r="Q35" s="38" t="s">
        <v>24</v>
      </c>
      <c r="R35" s="33" t="s">
        <v>25</v>
      </c>
    </row>
    <row r="36" spans="1:18" ht="49.9" customHeight="1" thickTop="1" thickBot="1">
      <c r="A36" s="166" t="s">
        <v>402</v>
      </c>
      <c r="B36" s="166" t="s">
        <v>1197</v>
      </c>
      <c r="C36" s="167">
        <v>0.30902777777777779</v>
      </c>
      <c r="D36" s="166" t="s">
        <v>63</v>
      </c>
      <c r="E36" s="166" t="s">
        <v>51</v>
      </c>
      <c r="F36" s="166" t="s">
        <v>1198</v>
      </c>
      <c r="G36" s="297"/>
      <c r="H36" s="300"/>
      <c r="I36" s="140"/>
      <c r="J36" s="140"/>
      <c r="K36" s="140"/>
      <c r="L36" s="140"/>
      <c r="M36" s="140"/>
      <c r="N36" s="140"/>
      <c r="O36" s="141"/>
      <c r="P36" s="140"/>
      <c r="Q36" s="142"/>
      <c r="R36" s="301"/>
    </row>
    <row r="37" spans="1:18" ht="17.45" customHeight="1" thickBot="1">
      <c r="A37" s="283"/>
      <c r="B37" s="284"/>
      <c r="C37" s="284"/>
      <c r="D37" s="284"/>
      <c r="E37" s="284"/>
      <c r="F37" s="284"/>
      <c r="G37" s="284"/>
      <c r="H37" s="284"/>
      <c r="I37" s="284"/>
      <c r="J37" s="284"/>
      <c r="K37" s="284"/>
      <c r="L37" s="284"/>
      <c r="M37" s="284"/>
      <c r="N37" s="284"/>
      <c r="O37" s="284"/>
      <c r="P37" s="284"/>
      <c r="Q37" s="284"/>
      <c r="R37" s="285"/>
    </row>
    <row r="38" spans="1:18" ht="22.15" customHeight="1" thickTop="1" thickBot="1">
      <c r="A38" s="279" t="s">
        <v>6</v>
      </c>
      <c r="B38" s="295"/>
      <c r="C38" s="295"/>
      <c r="D38" s="295"/>
      <c r="E38" s="295"/>
      <c r="F38" s="296"/>
      <c r="G38" s="32">
        <v>46032</v>
      </c>
      <c r="H38" s="278" t="s">
        <v>7</v>
      </c>
      <c r="I38" s="295"/>
      <c r="J38" s="295"/>
      <c r="K38" s="295"/>
      <c r="L38" s="295"/>
      <c r="M38" s="295"/>
      <c r="N38" s="295"/>
      <c r="O38" s="295"/>
      <c r="P38" s="295"/>
      <c r="Q38" s="295"/>
      <c r="R38" s="296"/>
    </row>
    <row r="39" spans="1:18" ht="24" customHeight="1">
      <c r="A39" s="33" t="s">
        <v>8</v>
      </c>
      <c r="B39" s="33" t="s">
        <v>9</v>
      </c>
      <c r="C39" s="34" t="s">
        <v>10</v>
      </c>
      <c r="D39" s="33" t="s">
        <v>11</v>
      </c>
      <c r="E39" s="33" t="s">
        <v>12</v>
      </c>
      <c r="F39" s="35" t="s">
        <v>13</v>
      </c>
      <c r="G39" s="36" t="s">
        <v>14</v>
      </c>
      <c r="H39" s="33" t="s">
        <v>15</v>
      </c>
      <c r="I39" s="37" t="s">
        <v>16</v>
      </c>
      <c r="J39" s="38" t="s">
        <v>17</v>
      </c>
      <c r="K39" s="39" t="s">
        <v>18</v>
      </c>
      <c r="L39" s="38" t="s">
        <v>19</v>
      </c>
      <c r="M39" s="38" t="s">
        <v>20</v>
      </c>
      <c r="N39" s="38" t="s">
        <v>21</v>
      </c>
      <c r="O39" s="33" t="s">
        <v>22</v>
      </c>
      <c r="P39" s="34" t="s">
        <v>23</v>
      </c>
      <c r="Q39" s="38" t="s">
        <v>24</v>
      </c>
      <c r="R39" s="33" t="s">
        <v>25</v>
      </c>
    </row>
    <row r="40" spans="1:18" ht="49.9" customHeight="1" thickTop="1" thickBot="1">
      <c r="A40" s="21" t="s">
        <v>61</v>
      </c>
      <c r="B40" s="21" t="s">
        <v>1193</v>
      </c>
      <c r="C40" s="22">
        <v>0.71875</v>
      </c>
      <c r="D40" s="21" t="s">
        <v>63</v>
      </c>
      <c r="E40" s="21" t="s">
        <v>126</v>
      </c>
      <c r="F40" s="21" t="s">
        <v>525</v>
      </c>
      <c r="G40" s="302"/>
      <c r="H40" s="201" t="s">
        <v>1194</v>
      </c>
      <c r="I40" s="202">
        <v>5.0299999999999997E-2</v>
      </c>
      <c r="J40" s="203">
        <v>9</v>
      </c>
      <c r="K40" s="204">
        <v>46342</v>
      </c>
      <c r="L40" s="203">
        <v>9</v>
      </c>
      <c r="M40" s="203">
        <v>0</v>
      </c>
      <c r="N40" s="203">
        <v>0</v>
      </c>
      <c r="O40" s="205" t="s">
        <v>819</v>
      </c>
      <c r="P40" s="206">
        <v>0.71875</v>
      </c>
      <c r="Q40" s="203">
        <v>179</v>
      </c>
      <c r="R40" s="207" t="s">
        <v>1199</v>
      </c>
    </row>
    <row r="41" spans="1:18" ht="17.45" customHeight="1" thickBot="1">
      <c r="A41" s="283"/>
      <c r="B41" s="284"/>
      <c r="C41" s="284"/>
      <c r="D41" s="284"/>
      <c r="E41" s="284"/>
      <c r="F41" s="284"/>
      <c r="G41" s="284"/>
      <c r="H41" s="284"/>
      <c r="I41" s="284"/>
      <c r="J41" s="284"/>
      <c r="K41" s="284"/>
      <c r="L41" s="284"/>
      <c r="M41" s="284"/>
      <c r="N41" s="284"/>
      <c r="O41" s="284"/>
      <c r="P41" s="284"/>
      <c r="Q41" s="284"/>
      <c r="R41" s="285"/>
    </row>
    <row r="42" spans="1:18" ht="22.15" customHeight="1" thickTop="1" thickBot="1">
      <c r="A42" s="279" t="s">
        <v>6</v>
      </c>
      <c r="B42" s="295"/>
      <c r="C42" s="295"/>
      <c r="D42" s="295"/>
      <c r="E42" s="295"/>
      <c r="F42" s="296"/>
      <c r="G42" s="32">
        <v>46033</v>
      </c>
      <c r="H42" s="278" t="s">
        <v>7</v>
      </c>
      <c r="I42" s="295"/>
      <c r="J42" s="295"/>
      <c r="K42" s="295"/>
      <c r="L42" s="295"/>
      <c r="M42" s="295"/>
      <c r="N42" s="295"/>
      <c r="O42" s="295"/>
      <c r="P42" s="295"/>
      <c r="Q42" s="295"/>
      <c r="R42" s="296"/>
    </row>
    <row r="43" spans="1:18" ht="24" customHeight="1">
      <c r="A43" s="33" t="s">
        <v>8</v>
      </c>
      <c r="B43" s="33" t="s">
        <v>9</v>
      </c>
      <c r="C43" s="34" t="s">
        <v>10</v>
      </c>
      <c r="D43" s="33" t="s">
        <v>11</v>
      </c>
      <c r="E43" s="33" t="s">
        <v>12</v>
      </c>
      <c r="F43" s="35" t="s">
        <v>13</v>
      </c>
      <c r="G43" s="36" t="s">
        <v>14</v>
      </c>
      <c r="H43" s="33" t="s">
        <v>15</v>
      </c>
      <c r="I43" s="37" t="s">
        <v>16</v>
      </c>
      <c r="J43" s="38" t="s">
        <v>17</v>
      </c>
      <c r="K43" s="39" t="s">
        <v>18</v>
      </c>
      <c r="L43" s="38" t="s">
        <v>19</v>
      </c>
      <c r="M43" s="38" t="s">
        <v>20</v>
      </c>
      <c r="N43" s="38" t="s">
        <v>21</v>
      </c>
      <c r="O43" s="33" t="s">
        <v>22</v>
      </c>
      <c r="P43" s="34" t="s">
        <v>23</v>
      </c>
      <c r="Q43" s="38" t="s">
        <v>24</v>
      </c>
      <c r="R43" s="33" t="s">
        <v>25</v>
      </c>
    </row>
    <row r="44" spans="1:18" ht="49.9" customHeight="1" thickTop="1" thickBot="1">
      <c r="A44" s="166" t="s">
        <v>402</v>
      </c>
      <c r="B44" s="166" t="s">
        <v>1197</v>
      </c>
      <c r="C44" s="167">
        <v>0.30902777777777779</v>
      </c>
      <c r="D44" s="166" t="s">
        <v>63</v>
      </c>
      <c r="E44" s="166" t="s">
        <v>51</v>
      </c>
      <c r="F44" s="166" t="s">
        <v>1198</v>
      </c>
      <c r="G44" s="297"/>
      <c r="H44" s="300"/>
      <c r="I44" s="140"/>
      <c r="J44" s="140"/>
      <c r="K44" s="140"/>
      <c r="L44" s="140"/>
      <c r="M44" s="140"/>
      <c r="N44" s="140"/>
      <c r="O44" s="141"/>
      <c r="P44" s="140"/>
      <c r="Q44" s="142"/>
      <c r="R44" s="301"/>
    </row>
    <row r="45" spans="1:18" ht="17.45" customHeight="1" thickBot="1">
      <c r="A45" s="283"/>
      <c r="B45" s="284"/>
      <c r="C45" s="284"/>
      <c r="D45" s="284"/>
      <c r="E45" s="284"/>
      <c r="F45" s="284"/>
      <c r="G45" s="284"/>
      <c r="H45" s="284"/>
      <c r="I45" s="284"/>
      <c r="J45" s="284"/>
      <c r="K45" s="284"/>
      <c r="L45" s="284"/>
      <c r="M45" s="284"/>
      <c r="N45" s="284"/>
      <c r="O45" s="284"/>
      <c r="P45" s="284"/>
      <c r="Q45" s="284"/>
      <c r="R45" s="285"/>
    </row>
    <row r="46" spans="1:18" ht="22.15" customHeight="1" thickTop="1" thickBot="1">
      <c r="A46" s="279" t="s">
        <v>6</v>
      </c>
      <c r="B46" s="295"/>
      <c r="C46" s="295"/>
      <c r="D46" s="295"/>
      <c r="E46" s="295"/>
      <c r="F46" s="296"/>
      <c r="G46" s="32">
        <v>46035</v>
      </c>
      <c r="H46" s="278" t="s">
        <v>7</v>
      </c>
      <c r="I46" s="295"/>
      <c r="J46" s="295"/>
      <c r="K46" s="295"/>
      <c r="L46" s="295"/>
      <c r="M46" s="295"/>
      <c r="N46" s="295"/>
      <c r="O46" s="295"/>
      <c r="P46" s="295"/>
      <c r="Q46" s="295"/>
      <c r="R46" s="296"/>
    </row>
    <row r="47" spans="1:18" ht="24" customHeight="1">
      <c r="A47" s="33" t="s">
        <v>8</v>
      </c>
      <c r="B47" s="33" t="s">
        <v>9</v>
      </c>
      <c r="C47" s="34" t="s">
        <v>10</v>
      </c>
      <c r="D47" s="33" t="s">
        <v>11</v>
      </c>
      <c r="E47" s="33" t="s">
        <v>12</v>
      </c>
      <c r="F47" s="35" t="s">
        <v>13</v>
      </c>
      <c r="G47" s="36" t="s">
        <v>14</v>
      </c>
      <c r="H47" s="33" t="s">
        <v>15</v>
      </c>
      <c r="I47" s="37" t="s">
        <v>16</v>
      </c>
      <c r="J47" s="38" t="s">
        <v>17</v>
      </c>
      <c r="K47" s="39" t="s">
        <v>18</v>
      </c>
      <c r="L47" s="38" t="s">
        <v>19</v>
      </c>
      <c r="M47" s="38" t="s">
        <v>20</v>
      </c>
      <c r="N47" s="38" t="s">
        <v>21</v>
      </c>
      <c r="O47" s="33" t="s">
        <v>22</v>
      </c>
      <c r="P47" s="34" t="s">
        <v>23</v>
      </c>
      <c r="Q47" s="38" t="s">
        <v>24</v>
      </c>
      <c r="R47" s="33" t="s">
        <v>25</v>
      </c>
    </row>
    <row r="48" spans="1:18" ht="49.9" customHeight="1" thickTop="1" thickBot="1">
      <c r="A48" s="40" t="s">
        <v>61</v>
      </c>
      <c r="B48" s="40" t="s">
        <v>1193</v>
      </c>
      <c r="C48" s="41">
        <v>0.3125</v>
      </c>
      <c r="D48" s="40" t="s">
        <v>63</v>
      </c>
      <c r="E48" s="40" t="s">
        <v>177</v>
      </c>
      <c r="F48" s="40" t="s">
        <v>525</v>
      </c>
      <c r="G48" s="297"/>
      <c r="H48" s="249" t="s">
        <v>1194</v>
      </c>
      <c r="I48" s="250">
        <v>5.5999999999999999E-3</v>
      </c>
      <c r="J48" s="251">
        <v>1</v>
      </c>
      <c r="K48" s="252">
        <v>46342</v>
      </c>
      <c r="L48" s="251">
        <v>1</v>
      </c>
      <c r="M48" s="251">
        <v>0</v>
      </c>
      <c r="N48" s="251">
        <v>0</v>
      </c>
      <c r="O48" s="253" t="s">
        <v>900</v>
      </c>
      <c r="P48" s="254">
        <v>0.3125</v>
      </c>
      <c r="Q48" s="251">
        <v>179</v>
      </c>
      <c r="R48" s="255" t="s">
        <v>244</v>
      </c>
    </row>
    <row r="49" spans="1:18" ht="17.45" customHeight="1" thickBot="1">
      <c r="A49" s="283"/>
      <c r="B49" s="284"/>
      <c r="C49" s="284"/>
      <c r="D49" s="284"/>
      <c r="E49" s="284"/>
      <c r="F49" s="284"/>
      <c r="G49" s="284"/>
      <c r="H49" s="284"/>
      <c r="I49" s="284"/>
      <c r="J49" s="284"/>
      <c r="K49" s="284"/>
      <c r="L49" s="284"/>
      <c r="M49" s="284"/>
      <c r="N49" s="284"/>
      <c r="O49" s="284"/>
      <c r="P49" s="284"/>
      <c r="Q49" s="284"/>
      <c r="R49" s="285"/>
    </row>
    <row r="50" spans="1:18" ht="22.15" customHeight="1" thickTop="1" thickBot="1">
      <c r="A50" s="279" t="s">
        <v>6</v>
      </c>
      <c r="B50" s="295"/>
      <c r="C50" s="295"/>
      <c r="D50" s="295"/>
      <c r="E50" s="295"/>
      <c r="F50" s="296"/>
      <c r="G50" s="32">
        <v>46036</v>
      </c>
      <c r="H50" s="278" t="s">
        <v>7</v>
      </c>
      <c r="I50" s="295"/>
      <c r="J50" s="295"/>
      <c r="K50" s="295"/>
      <c r="L50" s="295"/>
      <c r="M50" s="295"/>
      <c r="N50" s="295"/>
      <c r="O50" s="295"/>
      <c r="P50" s="295"/>
      <c r="Q50" s="295"/>
      <c r="R50" s="296"/>
    </row>
    <row r="51" spans="1:18" ht="24" customHeight="1">
      <c r="A51" s="33" t="s">
        <v>8</v>
      </c>
      <c r="B51" s="33" t="s">
        <v>9</v>
      </c>
      <c r="C51" s="34" t="s">
        <v>10</v>
      </c>
      <c r="D51" s="33" t="s">
        <v>11</v>
      </c>
      <c r="E51" s="33" t="s">
        <v>12</v>
      </c>
      <c r="F51" s="35" t="s">
        <v>13</v>
      </c>
      <c r="G51" s="36" t="s">
        <v>14</v>
      </c>
      <c r="H51" s="33" t="s">
        <v>15</v>
      </c>
      <c r="I51" s="37" t="s">
        <v>16</v>
      </c>
      <c r="J51" s="38" t="s">
        <v>17</v>
      </c>
      <c r="K51" s="39" t="s">
        <v>18</v>
      </c>
      <c r="L51" s="38" t="s">
        <v>19</v>
      </c>
      <c r="M51" s="38" t="s">
        <v>20</v>
      </c>
      <c r="N51" s="38" t="s">
        <v>21</v>
      </c>
      <c r="O51" s="33" t="s">
        <v>22</v>
      </c>
      <c r="P51" s="34" t="s">
        <v>23</v>
      </c>
      <c r="Q51" s="38" t="s">
        <v>24</v>
      </c>
      <c r="R51" s="33" t="s">
        <v>25</v>
      </c>
    </row>
    <row r="52" spans="1:18" ht="49.9" customHeight="1" thickTop="1" thickBot="1">
      <c r="A52" s="166" t="s">
        <v>402</v>
      </c>
      <c r="B52" s="166" t="s">
        <v>1197</v>
      </c>
      <c r="C52" s="167">
        <v>0.3923611111111111</v>
      </c>
      <c r="D52" s="166" t="s">
        <v>63</v>
      </c>
      <c r="E52" s="166" t="s">
        <v>51</v>
      </c>
      <c r="F52" s="166" t="s">
        <v>1198</v>
      </c>
      <c r="G52" s="297"/>
      <c r="H52" s="300"/>
      <c r="I52" s="140"/>
      <c r="J52" s="140"/>
      <c r="K52" s="140"/>
      <c r="L52" s="140"/>
      <c r="M52" s="140"/>
      <c r="N52" s="140"/>
      <c r="O52" s="141"/>
      <c r="P52" s="140"/>
      <c r="Q52" s="142"/>
      <c r="R52" s="301"/>
    </row>
    <row r="53" spans="1:18" ht="17.45" customHeight="1" thickBot="1">
      <c r="A53" s="283"/>
      <c r="B53" s="284"/>
      <c r="C53" s="284"/>
      <c r="D53" s="284"/>
      <c r="E53" s="284"/>
      <c r="F53" s="284"/>
      <c r="G53" s="284"/>
      <c r="H53" s="284"/>
      <c r="I53" s="284"/>
      <c r="J53" s="284"/>
      <c r="K53" s="284"/>
      <c r="L53" s="284"/>
      <c r="M53" s="284"/>
      <c r="N53" s="284"/>
      <c r="O53" s="284"/>
      <c r="P53" s="284"/>
      <c r="Q53" s="284"/>
      <c r="R53" s="285"/>
    </row>
    <row r="54" spans="1:18" ht="22.15" customHeight="1" thickTop="1" thickBot="1">
      <c r="A54" s="279" t="s">
        <v>6</v>
      </c>
      <c r="B54" s="295"/>
      <c r="C54" s="295"/>
      <c r="D54" s="295"/>
      <c r="E54" s="295"/>
      <c r="F54" s="296"/>
      <c r="G54" s="32">
        <v>46037</v>
      </c>
      <c r="H54" s="278" t="s">
        <v>7</v>
      </c>
      <c r="I54" s="295"/>
      <c r="J54" s="295"/>
      <c r="K54" s="295"/>
      <c r="L54" s="295"/>
      <c r="M54" s="295"/>
      <c r="N54" s="295"/>
      <c r="O54" s="295"/>
      <c r="P54" s="295"/>
      <c r="Q54" s="295"/>
      <c r="R54" s="296"/>
    </row>
    <row r="55" spans="1:18" ht="24" customHeight="1">
      <c r="A55" s="33" t="s">
        <v>8</v>
      </c>
      <c r="B55" s="33" t="s">
        <v>9</v>
      </c>
      <c r="C55" s="34" t="s">
        <v>10</v>
      </c>
      <c r="D55" s="33" t="s">
        <v>11</v>
      </c>
      <c r="E55" s="33" t="s">
        <v>12</v>
      </c>
      <c r="F55" s="35" t="s">
        <v>13</v>
      </c>
      <c r="G55" s="36" t="s">
        <v>14</v>
      </c>
      <c r="H55" s="33" t="s">
        <v>15</v>
      </c>
      <c r="I55" s="37" t="s">
        <v>16</v>
      </c>
      <c r="J55" s="38" t="s">
        <v>17</v>
      </c>
      <c r="K55" s="39" t="s">
        <v>18</v>
      </c>
      <c r="L55" s="38" t="s">
        <v>19</v>
      </c>
      <c r="M55" s="38" t="s">
        <v>20</v>
      </c>
      <c r="N55" s="38" t="s">
        <v>21</v>
      </c>
      <c r="O55" s="33" t="s">
        <v>22</v>
      </c>
      <c r="P55" s="34" t="s">
        <v>23</v>
      </c>
      <c r="Q55" s="38" t="s">
        <v>24</v>
      </c>
      <c r="R55" s="33" t="s">
        <v>25</v>
      </c>
    </row>
    <row r="56" spans="1:18" ht="49.9" customHeight="1">
      <c r="A56" s="8" t="s">
        <v>402</v>
      </c>
      <c r="B56" s="8" t="s">
        <v>1195</v>
      </c>
      <c r="C56" s="9">
        <v>0.70138888888888884</v>
      </c>
      <c r="D56" s="8" t="s">
        <v>63</v>
      </c>
      <c r="E56" s="8" t="s">
        <v>100</v>
      </c>
      <c r="F56" s="8" t="s">
        <v>1198</v>
      </c>
      <c r="G56" s="297"/>
      <c r="H56" s="10"/>
      <c r="I56" s="11"/>
      <c r="J56" s="11"/>
      <c r="K56" s="11"/>
      <c r="L56" s="11"/>
      <c r="M56" s="11"/>
      <c r="N56" s="11"/>
      <c r="O56" s="12"/>
      <c r="P56" s="11"/>
      <c r="Q56" s="13"/>
      <c r="R56" s="14"/>
    </row>
    <row r="57" spans="1:18" ht="49.9" customHeight="1" thickTop="1" thickBot="1">
      <c r="A57" s="247" t="s">
        <v>61</v>
      </c>
      <c r="B57" s="247" t="s">
        <v>1193</v>
      </c>
      <c r="C57" s="248">
        <v>0.76736111111111116</v>
      </c>
      <c r="D57" s="247" t="s">
        <v>63</v>
      </c>
      <c r="E57" s="247" t="s">
        <v>51</v>
      </c>
      <c r="F57" s="247" t="s">
        <v>449</v>
      </c>
      <c r="G57" s="299"/>
      <c r="H57" s="201" t="s">
        <v>1194</v>
      </c>
      <c r="I57" s="202">
        <v>5.5999999999999999E-3</v>
      </c>
      <c r="J57" s="203">
        <v>1</v>
      </c>
      <c r="K57" s="204">
        <v>46298</v>
      </c>
      <c r="L57" s="203">
        <v>1</v>
      </c>
      <c r="M57" s="203">
        <v>0</v>
      </c>
      <c r="N57" s="203">
        <v>0</v>
      </c>
      <c r="O57" s="205" t="s">
        <v>667</v>
      </c>
      <c r="P57" s="206">
        <v>0.76736111111111116</v>
      </c>
      <c r="Q57" s="203">
        <v>179</v>
      </c>
      <c r="R57" s="207" t="s">
        <v>302</v>
      </c>
    </row>
    <row r="58" spans="1:18" ht="17.45" customHeight="1" thickBot="1">
      <c r="A58" s="283"/>
      <c r="B58" s="284"/>
      <c r="C58" s="284"/>
      <c r="D58" s="284"/>
      <c r="E58" s="284"/>
      <c r="F58" s="284"/>
      <c r="G58" s="284"/>
      <c r="H58" s="284"/>
      <c r="I58" s="284"/>
      <c r="J58" s="284"/>
      <c r="K58" s="284"/>
      <c r="L58" s="284"/>
      <c r="M58" s="284"/>
      <c r="N58" s="284"/>
      <c r="O58" s="284"/>
      <c r="P58" s="284"/>
      <c r="Q58" s="284"/>
      <c r="R58" s="285"/>
    </row>
    <row r="59" spans="1:18" ht="22.15" customHeight="1" thickTop="1" thickBot="1">
      <c r="A59" s="279" t="s">
        <v>6</v>
      </c>
      <c r="B59" s="295"/>
      <c r="C59" s="295"/>
      <c r="D59" s="295"/>
      <c r="E59" s="295"/>
      <c r="F59" s="296"/>
      <c r="G59" s="32">
        <v>46038</v>
      </c>
      <c r="H59" s="278" t="s">
        <v>7</v>
      </c>
      <c r="I59" s="295"/>
      <c r="J59" s="295"/>
      <c r="K59" s="295"/>
      <c r="L59" s="295"/>
      <c r="M59" s="295"/>
      <c r="N59" s="295"/>
      <c r="O59" s="295"/>
      <c r="P59" s="295"/>
      <c r="Q59" s="295"/>
      <c r="R59" s="296"/>
    </row>
    <row r="60" spans="1:18" ht="24" customHeight="1">
      <c r="A60" s="33" t="s">
        <v>8</v>
      </c>
      <c r="B60" s="33" t="s">
        <v>9</v>
      </c>
      <c r="C60" s="34" t="s">
        <v>10</v>
      </c>
      <c r="D60" s="33" t="s">
        <v>11</v>
      </c>
      <c r="E60" s="33" t="s">
        <v>12</v>
      </c>
      <c r="F60" s="35" t="s">
        <v>13</v>
      </c>
      <c r="G60" s="36" t="s">
        <v>14</v>
      </c>
      <c r="H60" s="33" t="s">
        <v>15</v>
      </c>
      <c r="I60" s="37" t="s">
        <v>16</v>
      </c>
      <c r="J60" s="38" t="s">
        <v>17</v>
      </c>
      <c r="K60" s="39" t="s">
        <v>18</v>
      </c>
      <c r="L60" s="38" t="s">
        <v>19</v>
      </c>
      <c r="M60" s="38" t="s">
        <v>20</v>
      </c>
      <c r="N60" s="38" t="s">
        <v>21</v>
      </c>
      <c r="O60" s="33" t="s">
        <v>22</v>
      </c>
      <c r="P60" s="34" t="s">
        <v>23</v>
      </c>
      <c r="Q60" s="38" t="s">
        <v>24</v>
      </c>
      <c r="R60" s="33" t="s">
        <v>25</v>
      </c>
    </row>
    <row r="61" spans="1:18" ht="49.9" customHeight="1" thickTop="1" thickBot="1">
      <c r="A61" s="166" t="s">
        <v>402</v>
      </c>
      <c r="B61" s="166" t="s">
        <v>1197</v>
      </c>
      <c r="C61" s="167">
        <v>0.30902777777777779</v>
      </c>
      <c r="D61" s="166" t="s">
        <v>63</v>
      </c>
      <c r="E61" s="166" t="s">
        <v>51</v>
      </c>
      <c r="F61" s="166" t="s">
        <v>1198</v>
      </c>
      <c r="G61" s="297"/>
      <c r="H61" s="300"/>
      <c r="I61" s="140"/>
      <c r="J61" s="140"/>
      <c r="K61" s="140"/>
      <c r="L61" s="140"/>
      <c r="M61" s="140"/>
      <c r="N61" s="140"/>
      <c r="O61" s="141"/>
      <c r="P61" s="140"/>
      <c r="Q61" s="142"/>
      <c r="R61" s="301"/>
    </row>
    <row r="62" spans="1:18" ht="17.45" customHeight="1" thickBot="1">
      <c r="A62" s="283"/>
      <c r="B62" s="284"/>
      <c r="C62" s="284"/>
      <c r="D62" s="284"/>
      <c r="E62" s="284"/>
      <c r="F62" s="284"/>
      <c r="G62" s="284"/>
      <c r="H62" s="284"/>
      <c r="I62" s="284"/>
      <c r="J62" s="284"/>
      <c r="K62" s="284"/>
      <c r="L62" s="284"/>
      <c r="M62" s="284"/>
      <c r="N62" s="284"/>
      <c r="O62" s="284"/>
      <c r="P62" s="284"/>
      <c r="Q62" s="284"/>
      <c r="R62" s="285"/>
    </row>
    <row r="63" spans="1:18" ht="22.15" customHeight="1" thickTop="1" thickBot="1">
      <c r="A63" s="279" t="s">
        <v>6</v>
      </c>
      <c r="B63" s="295"/>
      <c r="C63" s="295"/>
      <c r="D63" s="295"/>
      <c r="E63" s="295"/>
      <c r="F63" s="296"/>
      <c r="G63" s="32">
        <v>46039</v>
      </c>
      <c r="H63" s="278" t="s">
        <v>7</v>
      </c>
      <c r="I63" s="295"/>
      <c r="J63" s="295"/>
      <c r="K63" s="295"/>
      <c r="L63" s="295"/>
      <c r="M63" s="295"/>
      <c r="N63" s="295"/>
      <c r="O63" s="295"/>
      <c r="P63" s="295"/>
      <c r="Q63" s="295"/>
      <c r="R63" s="296"/>
    </row>
    <row r="64" spans="1:18" ht="24" customHeight="1">
      <c r="A64" s="33" t="s">
        <v>8</v>
      </c>
      <c r="B64" s="33" t="s">
        <v>9</v>
      </c>
      <c r="C64" s="34" t="s">
        <v>10</v>
      </c>
      <c r="D64" s="33" t="s">
        <v>11</v>
      </c>
      <c r="E64" s="33" t="s">
        <v>12</v>
      </c>
      <c r="F64" s="35" t="s">
        <v>13</v>
      </c>
      <c r="G64" s="36" t="s">
        <v>14</v>
      </c>
      <c r="H64" s="33" t="s">
        <v>15</v>
      </c>
      <c r="I64" s="37" t="s">
        <v>16</v>
      </c>
      <c r="J64" s="38" t="s">
        <v>17</v>
      </c>
      <c r="K64" s="39" t="s">
        <v>18</v>
      </c>
      <c r="L64" s="38" t="s">
        <v>19</v>
      </c>
      <c r="M64" s="38" t="s">
        <v>20</v>
      </c>
      <c r="N64" s="38" t="s">
        <v>21</v>
      </c>
      <c r="O64" s="33" t="s">
        <v>22</v>
      </c>
      <c r="P64" s="34" t="s">
        <v>23</v>
      </c>
      <c r="Q64" s="38" t="s">
        <v>24</v>
      </c>
      <c r="R64" s="33" t="s">
        <v>25</v>
      </c>
    </row>
    <row r="65" spans="1:18" ht="49.9" customHeight="1" thickTop="1" thickBot="1">
      <c r="A65" s="49" t="s">
        <v>61</v>
      </c>
      <c r="B65" s="49" t="s">
        <v>1193</v>
      </c>
      <c r="C65" s="50">
        <v>0.71875</v>
      </c>
      <c r="D65" s="49" t="s">
        <v>63</v>
      </c>
      <c r="E65" s="49" t="s">
        <v>51</v>
      </c>
      <c r="F65" s="49" t="s">
        <v>449</v>
      </c>
      <c r="G65" s="297"/>
      <c r="H65" s="169" t="s">
        <v>1194</v>
      </c>
      <c r="I65" s="170">
        <v>1.6799999999999999E-2</v>
      </c>
      <c r="J65" s="171">
        <v>3</v>
      </c>
      <c r="K65" s="172">
        <v>46335</v>
      </c>
      <c r="L65" s="171">
        <v>3</v>
      </c>
      <c r="M65" s="171">
        <v>0</v>
      </c>
      <c r="N65" s="171">
        <v>0</v>
      </c>
      <c r="O65" s="173" t="s">
        <v>667</v>
      </c>
      <c r="P65" s="174">
        <v>0.71875</v>
      </c>
      <c r="Q65" s="171">
        <v>179</v>
      </c>
      <c r="R65" s="175" t="s">
        <v>1200</v>
      </c>
    </row>
    <row r="66" spans="1:18" ht="17.45" customHeight="1" thickBot="1">
      <c r="A66" s="283"/>
      <c r="B66" s="284"/>
      <c r="C66" s="284"/>
      <c r="D66" s="284"/>
      <c r="E66" s="284"/>
      <c r="F66" s="284"/>
      <c r="G66" s="284"/>
      <c r="H66" s="284"/>
      <c r="I66" s="284"/>
      <c r="J66" s="284"/>
      <c r="K66" s="284"/>
      <c r="L66" s="284"/>
      <c r="M66" s="284"/>
      <c r="N66" s="284"/>
      <c r="O66" s="284"/>
      <c r="P66" s="284"/>
      <c r="Q66" s="284"/>
      <c r="R66" s="285"/>
    </row>
    <row r="67" spans="1:18" ht="22.15" customHeight="1" thickTop="1" thickBot="1">
      <c r="A67" s="279" t="s">
        <v>6</v>
      </c>
      <c r="B67" s="295"/>
      <c r="C67" s="295"/>
      <c r="D67" s="295"/>
      <c r="E67" s="295"/>
      <c r="F67" s="296"/>
      <c r="G67" s="32">
        <v>46040</v>
      </c>
      <c r="H67" s="278" t="s">
        <v>7</v>
      </c>
      <c r="I67" s="295"/>
      <c r="J67" s="295"/>
      <c r="K67" s="295"/>
      <c r="L67" s="295"/>
      <c r="M67" s="295"/>
      <c r="N67" s="295"/>
      <c r="O67" s="295"/>
      <c r="P67" s="295"/>
      <c r="Q67" s="295"/>
      <c r="R67" s="296"/>
    </row>
    <row r="68" spans="1:18" ht="24" customHeight="1">
      <c r="A68" s="33" t="s">
        <v>8</v>
      </c>
      <c r="B68" s="33" t="s">
        <v>9</v>
      </c>
      <c r="C68" s="34" t="s">
        <v>10</v>
      </c>
      <c r="D68" s="33" t="s">
        <v>11</v>
      </c>
      <c r="E68" s="33" t="s">
        <v>12</v>
      </c>
      <c r="F68" s="35" t="s">
        <v>13</v>
      </c>
      <c r="G68" s="36" t="s">
        <v>14</v>
      </c>
      <c r="H68" s="33" t="s">
        <v>15</v>
      </c>
      <c r="I68" s="37" t="s">
        <v>16</v>
      </c>
      <c r="J68" s="38" t="s">
        <v>17</v>
      </c>
      <c r="K68" s="39" t="s">
        <v>18</v>
      </c>
      <c r="L68" s="38" t="s">
        <v>19</v>
      </c>
      <c r="M68" s="38" t="s">
        <v>20</v>
      </c>
      <c r="N68" s="38" t="s">
        <v>21</v>
      </c>
      <c r="O68" s="33" t="s">
        <v>22</v>
      </c>
      <c r="P68" s="34" t="s">
        <v>23</v>
      </c>
      <c r="Q68" s="38" t="s">
        <v>24</v>
      </c>
      <c r="R68" s="33" t="s">
        <v>25</v>
      </c>
    </row>
    <row r="69" spans="1:18" ht="49.9" customHeight="1" thickTop="1" thickBot="1">
      <c r="A69" s="166" t="s">
        <v>402</v>
      </c>
      <c r="B69" s="166" t="s">
        <v>1197</v>
      </c>
      <c r="C69" s="167">
        <v>0.30902777777777779</v>
      </c>
      <c r="D69" s="166" t="s">
        <v>63</v>
      </c>
      <c r="E69" s="166" t="s">
        <v>177</v>
      </c>
      <c r="F69" s="166" t="s">
        <v>1198</v>
      </c>
      <c r="G69" s="297"/>
      <c r="H69" s="300"/>
      <c r="I69" s="140"/>
      <c r="J69" s="140"/>
      <c r="K69" s="140"/>
      <c r="L69" s="140"/>
      <c r="M69" s="140"/>
      <c r="N69" s="140"/>
      <c r="O69" s="141"/>
      <c r="P69" s="140"/>
      <c r="Q69" s="142"/>
      <c r="R69" s="301"/>
    </row>
    <row r="70" spans="1:18" ht="17.45" customHeight="1" thickBot="1">
      <c r="A70" s="283"/>
      <c r="B70" s="284"/>
      <c r="C70" s="284"/>
      <c r="D70" s="284"/>
      <c r="E70" s="284"/>
      <c r="F70" s="284"/>
      <c r="G70" s="284"/>
      <c r="H70" s="284"/>
      <c r="I70" s="284"/>
      <c r="J70" s="284"/>
      <c r="K70" s="284"/>
      <c r="L70" s="284"/>
      <c r="M70" s="284"/>
      <c r="N70" s="284"/>
      <c r="O70" s="284"/>
      <c r="P70" s="284"/>
      <c r="Q70" s="284"/>
      <c r="R70" s="285"/>
    </row>
    <row r="71" spans="1:18" ht="22.15" customHeight="1" thickTop="1" thickBot="1">
      <c r="A71" s="279" t="s">
        <v>6</v>
      </c>
      <c r="B71" s="295"/>
      <c r="C71" s="295"/>
      <c r="D71" s="295"/>
      <c r="E71" s="295"/>
      <c r="F71" s="296"/>
      <c r="G71" s="32">
        <v>46042</v>
      </c>
      <c r="H71" s="278" t="s">
        <v>7</v>
      </c>
      <c r="I71" s="295"/>
      <c r="J71" s="295"/>
      <c r="K71" s="295"/>
      <c r="L71" s="295"/>
      <c r="M71" s="295"/>
      <c r="N71" s="295"/>
      <c r="O71" s="295"/>
      <c r="P71" s="295"/>
      <c r="Q71" s="295"/>
      <c r="R71" s="296"/>
    </row>
    <row r="72" spans="1:18" ht="24" customHeight="1">
      <c r="A72" s="33" t="s">
        <v>8</v>
      </c>
      <c r="B72" s="33" t="s">
        <v>9</v>
      </c>
      <c r="C72" s="34" t="s">
        <v>10</v>
      </c>
      <c r="D72" s="33" t="s">
        <v>11</v>
      </c>
      <c r="E72" s="33" t="s">
        <v>12</v>
      </c>
      <c r="F72" s="35" t="s">
        <v>13</v>
      </c>
      <c r="G72" s="36" t="s">
        <v>14</v>
      </c>
      <c r="H72" s="33" t="s">
        <v>15</v>
      </c>
      <c r="I72" s="37" t="s">
        <v>16</v>
      </c>
      <c r="J72" s="38" t="s">
        <v>17</v>
      </c>
      <c r="K72" s="39" t="s">
        <v>18</v>
      </c>
      <c r="L72" s="38" t="s">
        <v>19</v>
      </c>
      <c r="M72" s="38" t="s">
        <v>20</v>
      </c>
      <c r="N72" s="38" t="s">
        <v>21</v>
      </c>
      <c r="O72" s="33" t="s">
        <v>22</v>
      </c>
      <c r="P72" s="34" t="s">
        <v>23</v>
      </c>
      <c r="Q72" s="38" t="s">
        <v>24</v>
      </c>
      <c r="R72" s="33" t="s">
        <v>25</v>
      </c>
    </row>
    <row r="73" spans="1:18" ht="49.9" customHeight="1" thickTop="1" thickBot="1">
      <c r="A73" s="98" t="s">
        <v>61</v>
      </c>
      <c r="B73" s="98" t="s">
        <v>1193</v>
      </c>
      <c r="C73" s="99">
        <v>0.3125</v>
      </c>
      <c r="D73" s="98" t="s">
        <v>63</v>
      </c>
      <c r="E73" s="98" t="s">
        <v>29</v>
      </c>
      <c r="F73" s="98" t="s">
        <v>840</v>
      </c>
      <c r="G73" s="297"/>
      <c r="H73" s="189" t="s">
        <v>1194</v>
      </c>
      <c r="I73" s="190">
        <v>5.5999999999999999E-3</v>
      </c>
      <c r="J73" s="191">
        <v>1</v>
      </c>
      <c r="K73" s="192">
        <v>46325</v>
      </c>
      <c r="L73" s="191">
        <v>1</v>
      </c>
      <c r="M73" s="191">
        <v>0</v>
      </c>
      <c r="N73" s="191">
        <v>0</v>
      </c>
      <c r="O73" s="193" t="s">
        <v>951</v>
      </c>
      <c r="P73" s="194">
        <v>0.3125</v>
      </c>
      <c r="Q73" s="191">
        <v>179</v>
      </c>
      <c r="R73" s="195" t="s">
        <v>570</v>
      </c>
    </row>
    <row r="74" spans="1:18" ht="17.45" customHeight="1" thickBot="1">
      <c r="A74" s="283"/>
      <c r="B74" s="284"/>
      <c r="C74" s="284"/>
      <c r="D74" s="284"/>
      <c r="E74" s="284"/>
      <c r="F74" s="284"/>
      <c r="G74" s="284"/>
      <c r="H74" s="284"/>
      <c r="I74" s="284"/>
      <c r="J74" s="284"/>
      <c r="K74" s="284"/>
      <c r="L74" s="284"/>
      <c r="M74" s="284"/>
      <c r="N74" s="284"/>
      <c r="O74" s="284"/>
      <c r="P74" s="284"/>
      <c r="Q74" s="284"/>
      <c r="R74" s="285"/>
    </row>
    <row r="75" spans="1:18" ht="22.15" customHeight="1" thickTop="1" thickBot="1">
      <c r="A75" s="279" t="s">
        <v>6</v>
      </c>
      <c r="B75" s="295"/>
      <c r="C75" s="295"/>
      <c r="D75" s="295"/>
      <c r="E75" s="295"/>
      <c r="F75" s="296"/>
      <c r="G75" s="32">
        <v>46043</v>
      </c>
      <c r="H75" s="278" t="s">
        <v>7</v>
      </c>
      <c r="I75" s="295"/>
      <c r="J75" s="295"/>
      <c r="K75" s="295"/>
      <c r="L75" s="295"/>
      <c r="M75" s="295"/>
      <c r="N75" s="295"/>
      <c r="O75" s="295"/>
      <c r="P75" s="295"/>
      <c r="Q75" s="295"/>
      <c r="R75" s="296"/>
    </row>
    <row r="76" spans="1:18" ht="24" customHeight="1">
      <c r="A76" s="33" t="s">
        <v>8</v>
      </c>
      <c r="B76" s="33" t="s">
        <v>9</v>
      </c>
      <c r="C76" s="34" t="s">
        <v>10</v>
      </c>
      <c r="D76" s="33" t="s">
        <v>11</v>
      </c>
      <c r="E76" s="33" t="s">
        <v>12</v>
      </c>
      <c r="F76" s="35" t="s">
        <v>13</v>
      </c>
      <c r="G76" s="36" t="s">
        <v>14</v>
      </c>
      <c r="H76" s="33" t="s">
        <v>15</v>
      </c>
      <c r="I76" s="37" t="s">
        <v>16</v>
      </c>
      <c r="J76" s="38" t="s">
        <v>17</v>
      </c>
      <c r="K76" s="39" t="s">
        <v>18</v>
      </c>
      <c r="L76" s="38" t="s">
        <v>19</v>
      </c>
      <c r="M76" s="38" t="s">
        <v>20</v>
      </c>
      <c r="N76" s="38" t="s">
        <v>21</v>
      </c>
      <c r="O76" s="33" t="s">
        <v>22</v>
      </c>
      <c r="P76" s="34" t="s">
        <v>23</v>
      </c>
      <c r="Q76" s="38" t="s">
        <v>24</v>
      </c>
      <c r="R76" s="33" t="s">
        <v>25</v>
      </c>
    </row>
    <row r="77" spans="1:18" ht="49.9" customHeight="1" thickTop="1" thickBot="1">
      <c r="A77" s="166" t="s">
        <v>402</v>
      </c>
      <c r="B77" s="166" t="s">
        <v>1197</v>
      </c>
      <c r="C77" s="167">
        <v>0.3923611111111111</v>
      </c>
      <c r="D77" s="166" t="s">
        <v>63</v>
      </c>
      <c r="E77" s="166" t="s">
        <v>51</v>
      </c>
      <c r="F77" s="166" t="s">
        <v>1198</v>
      </c>
      <c r="G77" s="297"/>
      <c r="H77" s="300"/>
      <c r="I77" s="140"/>
      <c r="J77" s="140"/>
      <c r="K77" s="140"/>
      <c r="L77" s="140"/>
      <c r="M77" s="140"/>
      <c r="N77" s="140"/>
      <c r="O77" s="141"/>
      <c r="P77" s="140"/>
      <c r="Q77" s="142"/>
      <c r="R77" s="301"/>
    </row>
    <row r="78" spans="1:18" ht="17.45" customHeight="1" thickBot="1">
      <c r="A78" s="283"/>
      <c r="B78" s="284"/>
      <c r="C78" s="284"/>
      <c r="D78" s="284"/>
      <c r="E78" s="284"/>
      <c r="F78" s="284"/>
      <c r="G78" s="284"/>
      <c r="H78" s="284"/>
      <c r="I78" s="284"/>
      <c r="J78" s="284"/>
      <c r="K78" s="284"/>
      <c r="L78" s="284"/>
      <c r="M78" s="284"/>
      <c r="N78" s="284"/>
      <c r="O78" s="284"/>
      <c r="P78" s="284"/>
      <c r="Q78" s="284"/>
      <c r="R78" s="285"/>
    </row>
    <row r="79" spans="1:18" ht="22.15" customHeight="1" thickTop="1" thickBot="1">
      <c r="A79" s="279" t="s">
        <v>6</v>
      </c>
      <c r="B79" s="295"/>
      <c r="C79" s="295"/>
      <c r="D79" s="295"/>
      <c r="E79" s="295"/>
      <c r="F79" s="296"/>
      <c r="G79" s="32">
        <v>46044</v>
      </c>
      <c r="H79" s="278" t="s">
        <v>7</v>
      </c>
      <c r="I79" s="295"/>
      <c r="J79" s="295"/>
      <c r="K79" s="295"/>
      <c r="L79" s="295"/>
      <c r="M79" s="295"/>
      <c r="N79" s="295"/>
      <c r="O79" s="295"/>
      <c r="P79" s="295"/>
      <c r="Q79" s="295"/>
      <c r="R79" s="296"/>
    </row>
    <row r="80" spans="1:18" ht="24" customHeight="1">
      <c r="A80" s="33" t="s">
        <v>8</v>
      </c>
      <c r="B80" s="33" t="s">
        <v>9</v>
      </c>
      <c r="C80" s="34" t="s">
        <v>10</v>
      </c>
      <c r="D80" s="33" t="s">
        <v>11</v>
      </c>
      <c r="E80" s="33" t="s">
        <v>12</v>
      </c>
      <c r="F80" s="35" t="s">
        <v>13</v>
      </c>
      <c r="G80" s="36" t="s">
        <v>14</v>
      </c>
      <c r="H80" s="33" t="s">
        <v>15</v>
      </c>
      <c r="I80" s="37" t="s">
        <v>16</v>
      </c>
      <c r="J80" s="38" t="s">
        <v>17</v>
      </c>
      <c r="K80" s="39" t="s">
        <v>18</v>
      </c>
      <c r="L80" s="38" t="s">
        <v>19</v>
      </c>
      <c r="M80" s="38" t="s">
        <v>20</v>
      </c>
      <c r="N80" s="38" t="s">
        <v>21</v>
      </c>
      <c r="O80" s="33" t="s">
        <v>22</v>
      </c>
      <c r="P80" s="34" t="s">
        <v>23</v>
      </c>
      <c r="Q80" s="38" t="s">
        <v>24</v>
      </c>
      <c r="R80" s="33" t="s">
        <v>25</v>
      </c>
    </row>
    <row r="81" spans="1:18" ht="49.9" customHeight="1">
      <c r="A81" s="8" t="s">
        <v>402</v>
      </c>
      <c r="B81" s="8" t="s">
        <v>1195</v>
      </c>
      <c r="C81" s="9">
        <v>0.70138888888888884</v>
      </c>
      <c r="D81" s="8" t="s">
        <v>63</v>
      </c>
      <c r="E81" s="8" t="s">
        <v>51</v>
      </c>
      <c r="F81" s="8" t="s">
        <v>1198</v>
      </c>
      <c r="G81" s="297"/>
      <c r="H81" s="10"/>
      <c r="I81" s="11"/>
      <c r="J81" s="11"/>
      <c r="K81" s="11"/>
      <c r="L81" s="11"/>
      <c r="M81" s="11"/>
      <c r="N81" s="11"/>
      <c r="O81" s="12"/>
      <c r="P81" s="11"/>
      <c r="Q81" s="13"/>
      <c r="R81" s="14"/>
    </row>
    <row r="82" spans="1:18" ht="49.9" customHeight="1" thickTop="1" thickBot="1">
      <c r="A82" s="256" t="s">
        <v>61</v>
      </c>
      <c r="B82" s="256" t="s">
        <v>1193</v>
      </c>
      <c r="C82" s="257">
        <v>0.76736111111111116</v>
      </c>
      <c r="D82" s="256" t="s">
        <v>63</v>
      </c>
      <c r="E82" s="256" t="s">
        <v>107</v>
      </c>
      <c r="F82" s="256" t="s">
        <v>1201</v>
      </c>
      <c r="G82" s="299"/>
      <c r="H82" s="169" t="s">
        <v>1194</v>
      </c>
      <c r="I82" s="170">
        <v>5.5999999999999999E-3</v>
      </c>
      <c r="J82" s="171">
        <v>1</v>
      </c>
      <c r="K82" s="172">
        <v>46325</v>
      </c>
      <c r="L82" s="171">
        <v>1</v>
      </c>
      <c r="M82" s="171">
        <v>0</v>
      </c>
      <c r="N82" s="171">
        <v>0</v>
      </c>
      <c r="O82" s="173" t="s">
        <v>670</v>
      </c>
      <c r="P82" s="174">
        <v>0.76736111111111116</v>
      </c>
      <c r="Q82" s="171">
        <v>179</v>
      </c>
      <c r="R82" s="175" t="s">
        <v>686</v>
      </c>
    </row>
    <row r="83" spans="1:18" ht="17.45" customHeight="1" thickBot="1">
      <c r="A83" s="283"/>
      <c r="B83" s="284"/>
      <c r="C83" s="284"/>
      <c r="D83" s="284"/>
      <c r="E83" s="284"/>
      <c r="F83" s="284"/>
      <c r="G83" s="284"/>
      <c r="H83" s="284"/>
      <c r="I83" s="284"/>
      <c r="J83" s="284"/>
      <c r="K83" s="284"/>
      <c r="L83" s="284"/>
      <c r="M83" s="284"/>
      <c r="N83" s="284"/>
      <c r="O83" s="284"/>
      <c r="P83" s="284"/>
      <c r="Q83" s="284"/>
      <c r="R83" s="285"/>
    </row>
    <row r="84" spans="1:18" ht="22.15" customHeight="1" thickTop="1" thickBot="1">
      <c r="A84" s="279" t="s">
        <v>6</v>
      </c>
      <c r="B84" s="295"/>
      <c r="C84" s="295"/>
      <c r="D84" s="295"/>
      <c r="E84" s="295"/>
      <c r="F84" s="296"/>
      <c r="G84" s="32">
        <v>46045</v>
      </c>
      <c r="H84" s="278" t="s">
        <v>7</v>
      </c>
      <c r="I84" s="295"/>
      <c r="J84" s="295"/>
      <c r="K84" s="295"/>
      <c r="L84" s="295"/>
      <c r="M84" s="295"/>
      <c r="N84" s="295"/>
      <c r="O84" s="295"/>
      <c r="P84" s="295"/>
      <c r="Q84" s="295"/>
      <c r="R84" s="296"/>
    </row>
    <row r="85" spans="1:18" ht="24" customHeight="1">
      <c r="A85" s="33" t="s">
        <v>8</v>
      </c>
      <c r="B85" s="33" t="s">
        <v>9</v>
      </c>
      <c r="C85" s="34" t="s">
        <v>10</v>
      </c>
      <c r="D85" s="33" t="s">
        <v>11</v>
      </c>
      <c r="E85" s="33" t="s">
        <v>12</v>
      </c>
      <c r="F85" s="35" t="s">
        <v>13</v>
      </c>
      <c r="G85" s="36" t="s">
        <v>14</v>
      </c>
      <c r="H85" s="33" t="s">
        <v>15</v>
      </c>
      <c r="I85" s="37" t="s">
        <v>16</v>
      </c>
      <c r="J85" s="38" t="s">
        <v>17</v>
      </c>
      <c r="K85" s="39" t="s">
        <v>18</v>
      </c>
      <c r="L85" s="38" t="s">
        <v>19</v>
      </c>
      <c r="M85" s="38" t="s">
        <v>20</v>
      </c>
      <c r="N85" s="38" t="s">
        <v>21</v>
      </c>
      <c r="O85" s="33" t="s">
        <v>22</v>
      </c>
      <c r="P85" s="34" t="s">
        <v>23</v>
      </c>
      <c r="Q85" s="38" t="s">
        <v>24</v>
      </c>
      <c r="R85" s="33" t="s">
        <v>25</v>
      </c>
    </row>
    <row r="86" spans="1:18" ht="49.9" customHeight="1" thickTop="1" thickBot="1">
      <c r="A86" s="166" t="s">
        <v>402</v>
      </c>
      <c r="B86" s="166" t="s">
        <v>1197</v>
      </c>
      <c r="C86" s="167">
        <v>0.30902777777777779</v>
      </c>
      <c r="D86" s="166" t="s">
        <v>63</v>
      </c>
      <c r="E86" s="166" t="s">
        <v>103</v>
      </c>
      <c r="F86" s="166" t="s">
        <v>1198</v>
      </c>
      <c r="G86" s="297"/>
      <c r="H86" s="300"/>
      <c r="I86" s="140"/>
      <c r="J86" s="140"/>
      <c r="K86" s="140"/>
      <c r="L86" s="140"/>
      <c r="M86" s="140"/>
      <c r="N86" s="140"/>
      <c r="O86" s="141"/>
      <c r="P86" s="140"/>
      <c r="Q86" s="142"/>
      <c r="R86" s="301"/>
    </row>
    <row r="87" spans="1:18" ht="17.45" customHeight="1" thickBot="1">
      <c r="A87" s="283"/>
      <c r="B87" s="284"/>
      <c r="C87" s="284"/>
      <c r="D87" s="284"/>
      <c r="E87" s="284"/>
      <c r="F87" s="284"/>
      <c r="G87" s="284"/>
      <c r="H87" s="284"/>
      <c r="I87" s="284"/>
      <c r="J87" s="284"/>
      <c r="K87" s="284"/>
      <c r="L87" s="284"/>
      <c r="M87" s="284"/>
      <c r="N87" s="284"/>
      <c r="O87" s="284"/>
      <c r="P87" s="284"/>
      <c r="Q87" s="284"/>
      <c r="R87" s="285"/>
    </row>
    <row r="88" spans="1:18" ht="22.15" customHeight="1" thickTop="1" thickBot="1">
      <c r="A88" s="279" t="s">
        <v>6</v>
      </c>
      <c r="B88" s="295"/>
      <c r="C88" s="295"/>
      <c r="D88" s="295"/>
      <c r="E88" s="295"/>
      <c r="F88" s="296"/>
      <c r="G88" s="32">
        <v>46046</v>
      </c>
      <c r="H88" s="278" t="s">
        <v>7</v>
      </c>
      <c r="I88" s="295"/>
      <c r="J88" s="295"/>
      <c r="K88" s="295"/>
      <c r="L88" s="295"/>
      <c r="M88" s="295"/>
      <c r="N88" s="295"/>
      <c r="O88" s="295"/>
      <c r="P88" s="295"/>
      <c r="Q88" s="295"/>
      <c r="R88" s="296"/>
    </row>
    <row r="89" spans="1:18" ht="24" customHeight="1">
      <c r="A89" s="33" t="s">
        <v>8</v>
      </c>
      <c r="B89" s="33" t="s">
        <v>9</v>
      </c>
      <c r="C89" s="34" t="s">
        <v>10</v>
      </c>
      <c r="D89" s="33" t="s">
        <v>11</v>
      </c>
      <c r="E89" s="33" t="s">
        <v>12</v>
      </c>
      <c r="F89" s="35" t="s">
        <v>13</v>
      </c>
      <c r="G89" s="36" t="s">
        <v>14</v>
      </c>
      <c r="H89" s="33" t="s">
        <v>15</v>
      </c>
      <c r="I89" s="37" t="s">
        <v>16</v>
      </c>
      <c r="J89" s="38" t="s">
        <v>17</v>
      </c>
      <c r="K89" s="39" t="s">
        <v>18</v>
      </c>
      <c r="L89" s="38" t="s">
        <v>19</v>
      </c>
      <c r="M89" s="38" t="s">
        <v>20</v>
      </c>
      <c r="N89" s="38" t="s">
        <v>21</v>
      </c>
      <c r="O89" s="33" t="s">
        <v>22</v>
      </c>
      <c r="P89" s="34" t="s">
        <v>23</v>
      </c>
      <c r="Q89" s="38" t="s">
        <v>24</v>
      </c>
      <c r="R89" s="33" t="s">
        <v>25</v>
      </c>
    </row>
    <row r="90" spans="1:18" ht="49.9" customHeight="1" thickTop="1" thickBot="1">
      <c r="A90" s="21" t="s">
        <v>61</v>
      </c>
      <c r="B90" s="21" t="s">
        <v>1193</v>
      </c>
      <c r="C90" s="22">
        <v>0.71875</v>
      </c>
      <c r="D90" s="21" t="s">
        <v>63</v>
      </c>
      <c r="E90" s="21" t="s">
        <v>143</v>
      </c>
      <c r="F90" s="21" t="s">
        <v>1201</v>
      </c>
      <c r="G90" s="297"/>
      <c r="H90" s="201" t="s">
        <v>1194</v>
      </c>
      <c r="I90" s="202">
        <v>3.3500000000000002E-2</v>
      </c>
      <c r="J90" s="203">
        <v>6</v>
      </c>
      <c r="K90" s="204">
        <v>46336</v>
      </c>
      <c r="L90" s="203">
        <v>6</v>
      </c>
      <c r="M90" s="203">
        <v>0</v>
      </c>
      <c r="N90" s="203">
        <v>0</v>
      </c>
      <c r="O90" s="205" t="s">
        <v>318</v>
      </c>
      <c r="P90" s="206">
        <v>0.71875</v>
      </c>
      <c r="Q90" s="203">
        <v>179</v>
      </c>
      <c r="R90" s="207" t="s">
        <v>516</v>
      </c>
    </row>
    <row r="91" spans="1:18" ht="17.45" customHeight="1" thickBot="1">
      <c r="A91" s="283"/>
      <c r="B91" s="284"/>
      <c r="C91" s="284"/>
      <c r="D91" s="284"/>
      <c r="E91" s="284"/>
      <c r="F91" s="284"/>
      <c r="G91" s="284"/>
      <c r="H91" s="284"/>
      <c r="I91" s="284"/>
      <c r="J91" s="284"/>
      <c r="K91" s="284"/>
      <c r="L91" s="284"/>
      <c r="M91" s="284"/>
      <c r="N91" s="284"/>
      <c r="O91" s="284"/>
      <c r="P91" s="284"/>
      <c r="Q91" s="284"/>
      <c r="R91" s="285"/>
    </row>
    <row r="92" spans="1:18" ht="22.15" customHeight="1" thickTop="1" thickBot="1">
      <c r="A92" s="279" t="s">
        <v>6</v>
      </c>
      <c r="B92" s="295"/>
      <c r="C92" s="295"/>
      <c r="D92" s="295"/>
      <c r="E92" s="295"/>
      <c r="F92" s="296"/>
      <c r="G92" s="32">
        <v>46047</v>
      </c>
      <c r="H92" s="278" t="s">
        <v>7</v>
      </c>
      <c r="I92" s="295"/>
      <c r="J92" s="295"/>
      <c r="K92" s="295"/>
      <c r="L92" s="295"/>
      <c r="M92" s="295"/>
      <c r="N92" s="295"/>
      <c r="O92" s="295"/>
      <c r="P92" s="295"/>
      <c r="Q92" s="295"/>
      <c r="R92" s="296"/>
    </row>
    <row r="93" spans="1:18" ht="24" customHeight="1">
      <c r="A93" s="33" t="s">
        <v>8</v>
      </c>
      <c r="B93" s="33" t="s">
        <v>9</v>
      </c>
      <c r="C93" s="34" t="s">
        <v>10</v>
      </c>
      <c r="D93" s="33" t="s">
        <v>11</v>
      </c>
      <c r="E93" s="33" t="s">
        <v>12</v>
      </c>
      <c r="F93" s="35" t="s">
        <v>13</v>
      </c>
      <c r="G93" s="36" t="s">
        <v>14</v>
      </c>
      <c r="H93" s="33" t="s">
        <v>15</v>
      </c>
      <c r="I93" s="37" t="s">
        <v>16</v>
      </c>
      <c r="J93" s="38" t="s">
        <v>17</v>
      </c>
      <c r="K93" s="39" t="s">
        <v>18</v>
      </c>
      <c r="L93" s="38" t="s">
        <v>19</v>
      </c>
      <c r="M93" s="38" t="s">
        <v>20</v>
      </c>
      <c r="N93" s="38" t="s">
        <v>21</v>
      </c>
      <c r="O93" s="33" t="s">
        <v>22</v>
      </c>
      <c r="P93" s="34" t="s">
        <v>23</v>
      </c>
      <c r="Q93" s="38" t="s">
        <v>24</v>
      </c>
      <c r="R93" s="33" t="s">
        <v>25</v>
      </c>
    </row>
    <row r="94" spans="1:18" ht="49.9" customHeight="1" thickTop="1" thickBot="1">
      <c r="A94" s="166" t="s">
        <v>402</v>
      </c>
      <c r="B94" s="166" t="s">
        <v>1197</v>
      </c>
      <c r="C94" s="167">
        <v>0.30902777777777779</v>
      </c>
      <c r="D94" s="166" t="s">
        <v>63</v>
      </c>
      <c r="E94" s="166" t="s">
        <v>156</v>
      </c>
      <c r="F94" s="166" t="s">
        <v>1198</v>
      </c>
      <c r="G94" s="297"/>
      <c r="H94" s="300"/>
      <c r="I94" s="140"/>
      <c r="J94" s="140"/>
      <c r="K94" s="140"/>
      <c r="L94" s="140"/>
      <c r="M94" s="140"/>
      <c r="N94" s="140"/>
      <c r="O94" s="141"/>
      <c r="P94" s="140"/>
      <c r="Q94" s="142"/>
      <c r="R94" s="301"/>
    </row>
    <row r="95" spans="1:18" ht="17.45" customHeight="1" thickBot="1">
      <c r="A95" s="283"/>
      <c r="B95" s="284"/>
      <c r="C95" s="284"/>
      <c r="D95" s="284"/>
      <c r="E95" s="284"/>
      <c r="F95" s="284"/>
      <c r="G95" s="284"/>
      <c r="H95" s="284"/>
      <c r="I95" s="284"/>
      <c r="J95" s="284"/>
      <c r="K95" s="284"/>
      <c r="L95" s="284"/>
      <c r="M95" s="284"/>
      <c r="N95" s="284"/>
      <c r="O95" s="284"/>
      <c r="P95" s="284"/>
      <c r="Q95" s="284"/>
      <c r="R95" s="285"/>
    </row>
    <row r="96" spans="1:18" ht="22.15" customHeight="1" thickTop="1" thickBot="1">
      <c r="A96" s="279" t="s">
        <v>6</v>
      </c>
      <c r="B96" s="295"/>
      <c r="C96" s="295"/>
      <c r="D96" s="295"/>
      <c r="E96" s="295"/>
      <c r="F96" s="296"/>
      <c r="G96" s="32">
        <v>46049</v>
      </c>
      <c r="H96" s="278" t="s">
        <v>7</v>
      </c>
      <c r="I96" s="295"/>
      <c r="J96" s="295"/>
      <c r="K96" s="295"/>
      <c r="L96" s="295"/>
      <c r="M96" s="295"/>
      <c r="N96" s="295"/>
      <c r="O96" s="295"/>
      <c r="P96" s="295"/>
      <c r="Q96" s="295"/>
      <c r="R96" s="296"/>
    </row>
    <row r="97" spans="1:18" ht="24" customHeight="1">
      <c r="A97" s="33" t="s">
        <v>8</v>
      </c>
      <c r="B97" s="33" t="s">
        <v>9</v>
      </c>
      <c r="C97" s="34" t="s">
        <v>10</v>
      </c>
      <c r="D97" s="33" t="s">
        <v>11</v>
      </c>
      <c r="E97" s="33" t="s">
        <v>12</v>
      </c>
      <c r="F97" s="35" t="s">
        <v>13</v>
      </c>
      <c r="G97" s="36" t="s">
        <v>14</v>
      </c>
      <c r="H97" s="33" t="s">
        <v>15</v>
      </c>
      <c r="I97" s="37" t="s">
        <v>16</v>
      </c>
      <c r="J97" s="38" t="s">
        <v>17</v>
      </c>
      <c r="K97" s="39" t="s">
        <v>18</v>
      </c>
      <c r="L97" s="38" t="s">
        <v>19</v>
      </c>
      <c r="M97" s="38" t="s">
        <v>20</v>
      </c>
      <c r="N97" s="38" t="s">
        <v>21</v>
      </c>
      <c r="O97" s="33" t="s">
        <v>22</v>
      </c>
      <c r="P97" s="34" t="s">
        <v>23</v>
      </c>
      <c r="Q97" s="38" t="s">
        <v>24</v>
      </c>
      <c r="R97" s="33" t="s">
        <v>25</v>
      </c>
    </row>
    <row r="98" spans="1:18" ht="49.9" customHeight="1" thickTop="1" thickBot="1">
      <c r="A98" s="87" t="s">
        <v>61</v>
      </c>
      <c r="B98" s="87" t="s">
        <v>1193</v>
      </c>
      <c r="C98" s="88">
        <v>0.3125</v>
      </c>
      <c r="D98" s="87" t="s">
        <v>63</v>
      </c>
      <c r="E98" s="87" t="s">
        <v>143</v>
      </c>
      <c r="F98" s="87" t="s">
        <v>840</v>
      </c>
      <c r="G98" s="302"/>
      <c r="H98" s="208" t="s">
        <v>1194</v>
      </c>
      <c r="I98" s="209">
        <v>1.6799999999999999E-2</v>
      </c>
      <c r="J98" s="210">
        <v>3</v>
      </c>
      <c r="K98" s="211">
        <v>46331</v>
      </c>
      <c r="L98" s="210">
        <v>3</v>
      </c>
      <c r="M98" s="210">
        <v>0</v>
      </c>
      <c r="N98" s="210">
        <v>0</v>
      </c>
      <c r="O98" s="212" t="s">
        <v>1016</v>
      </c>
      <c r="P98" s="213">
        <v>0.3125</v>
      </c>
      <c r="Q98" s="210">
        <v>179</v>
      </c>
      <c r="R98" s="214" t="s">
        <v>967</v>
      </c>
    </row>
    <row r="99" spans="1:18" ht="17.45" customHeight="1" thickBot="1">
      <c r="A99" s="283"/>
      <c r="B99" s="284"/>
      <c r="C99" s="284"/>
      <c r="D99" s="284"/>
      <c r="E99" s="284"/>
      <c r="F99" s="284"/>
      <c r="G99" s="284"/>
      <c r="H99" s="284"/>
      <c r="I99" s="284"/>
      <c r="J99" s="284"/>
      <c r="K99" s="284"/>
      <c r="L99" s="284"/>
      <c r="M99" s="284"/>
      <c r="N99" s="284"/>
      <c r="O99" s="284"/>
      <c r="P99" s="284"/>
      <c r="Q99" s="284"/>
      <c r="R99" s="285"/>
    </row>
    <row r="100" spans="1:18" ht="22.15" customHeight="1" thickTop="1" thickBot="1">
      <c r="A100" s="279" t="s">
        <v>6</v>
      </c>
      <c r="B100" s="295"/>
      <c r="C100" s="295"/>
      <c r="D100" s="295"/>
      <c r="E100" s="295"/>
      <c r="F100" s="296"/>
      <c r="G100" s="32">
        <v>46050</v>
      </c>
      <c r="H100" s="278" t="s">
        <v>7</v>
      </c>
      <c r="I100" s="295"/>
      <c r="J100" s="295"/>
      <c r="K100" s="295"/>
      <c r="L100" s="295"/>
      <c r="M100" s="295"/>
      <c r="N100" s="295"/>
      <c r="O100" s="295"/>
      <c r="P100" s="295"/>
      <c r="Q100" s="295"/>
      <c r="R100" s="296"/>
    </row>
    <row r="101" spans="1:18" ht="24" customHeight="1">
      <c r="A101" s="33" t="s">
        <v>8</v>
      </c>
      <c r="B101" s="33" t="s">
        <v>9</v>
      </c>
      <c r="C101" s="34" t="s">
        <v>10</v>
      </c>
      <c r="D101" s="33" t="s">
        <v>11</v>
      </c>
      <c r="E101" s="33" t="s">
        <v>12</v>
      </c>
      <c r="F101" s="35" t="s">
        <v>13</v>
      </c>
      <c r="G101" s="36" t="s">
        <v>14</v>
      </c>
      <c r="H101" s="33" t="s">
        <v>15</v>
      </c>
      <c r="I101" s="37" t="s">
        <v>16</v>
      </c>
      <c r="J101" s="38" t="s">
        <v>17</v>
      </c>
      <c r="K101" s="39" t="s">
        <v>18</v>
      </c>
      <c r="L101" s="38" t="s">
        <v>19</v>
      </c>
      <c r="M101" s="38" t="s">
        <v>20</v>
      </c>
      <c r="N101" s="38" t="s">
        <v>21</v>
      </c>
      <c r="O101" s="33" t="s">
        <v>22</v>
      </c>
      <c r="P101" s="34" t="s">
        <v>23</v>
      </c>
      <c r="Q101" s="38" t="s">
        <v>24</v>
      </c>
      <c r="R101" s="33" t="s">
        <v>25</v>
      </c>
    </row>
    <row r="102" spans="1:18" ht="49.9" customHeight="1" thickTop="1" thickBot="1">
      <c r="A102" s="166" t="s">
        <v>402</v>
      </c>
      <c r="B102" s="166" t="s">
        <v>1197</v>
      </c>
      <c r="C102" s="167">
        <v>0.3923611111111111</v>
      </c>
      <c r="D102" s="166" t="s">
        <v>63</v>
      </c>
      <c r="E102" s="166" t="s">
        <v>100</v>
      </c>
      <c r="F102" s="166" t="s">
        <v>1198</v>
      </c>
      <c r="G102" s="297"/>
      <c r="H102" s="300"/>
      <c r="I102" s="140"/>
      <c r="J102" s="140"/>
      <c r="K102" s="140"/>
      <c r="L102" s="140"/>
      <c r="M102" s="140"/>
      <c r="N102" s="140"/>
      <c r="O102" s="141"/>
      <c r="P102" s="140"/>
      <c r="Q102" s="142"/>
      <c r="R102" s="301"/>
    </row>
    <row r="103" spans="1:18" ht="17.45" customHeight="1" thickBot="1">
      <c r="A103" s="283"/>
      <c r="B103" s="284"/>
      <c r="C103" s="284"/>
      <c r="D103" s="284"/>
      <c r="E103" s="284"/>
      <c r="F103" s="284"/>
      <c r="G103" s="284"/>
      <c r="H103" s="284"/>
      <c r="I103" s="284"/>
      <c r="J103" s="284"/>
      <c r="K103" s="284"/>
      <c r="L103" s="284"/>
      <c r="M103" s="284"/>
      <c r="N103" s="284"/>
      <c r="O103" s="284"/>
      <c r="P103" s="284"/>
      <c r="Q103" s="284"/>
      <c r="R103" s="285"/>
    </row>
    <row r="104" spans="1:18" ht="22.15" customHeight="1" thickTop="1" thickBot="1">
      <c r="A104" s="279" t="s">
        <v>6</v>
      </c>
      <c r="B104" s="295"/>
      <c r="C104" s="295"/>
      <c r="D104" s="295"/>
      <c r="E104" s="295"/>
      <c r="F104" s="296"/>
      <c r="G104" s="32">
        <v>46051</v>
      </c>
      <c r="H104" s="278" t="s">
        <v>7</v>
      </c>
      <c r="I104" s="295"/>
      <c r="J104" s="295"/>
      <c r="K104" s="295"/>
      <c r="L104" s="295"/>
      <c r="M104" s="295"/>
      <c r="N104" s="295"/>
      <c r="O104" s="295"/>
      <c r="P104" s="295"/>
      <c r="Q104" s="295"/>
      <c r="R104" s="296"/>
    </row>
    <row r="105" spans="1:18" ht="24" customHeight="1">
      <c r="A105" s="33" t="s">
        <v>8</v>
      </c>
      <c r="B105" s="33" t="s">
        <v>9</v>
      </c>
      <c r="C105" s="34" t="s">
        <v>10</v>
      </c>
      <c r="D105" s="33" t="s">
        <v>11</v>
      </c>
      <c r="E105" s="33" t="s">
        <v>12</v>
      </c>
      <c r="F105" s="35" t="s">
        <v>13</v>
      </c>
      <c r="G105" s="36" t="s">
        <v>14</v>
      </c>
      <c r="H105" s="33" t="s">
        <v>15</v>
      </c>
      <c r="I105" s="37" t="s">
        <v>16</v>
      </c>
      <c r="J105" s="38" t="s">
        <v>17</v>
      </c>
      <c r="K105" s="39" t="s">
        <v>18</v>
      </c>
      <c r="L105" s="38" t="s">
        <v>19</v>
      </c>
      <c r="M105" s="38" t="s">
        <v>20</v>
      </c>
      <c r="N105" s="38" t="s">
        <v>21</v>
      </c>
      <c r="O105" s="33" t="s">
        <v>22</v>
      </c>
      <c r="P105" s="34" t="s">
        <v>23</v>
      </c>
      <c r="Q105" s="38" t="s">
        <v>24</v>
      </c>
      <c r="R105" s="33" t="s">
        <v>25</v>
      </c>
    </row>
    <row r="106" spans="1:18" ht="49.9" customHeight="1">
      <c r="A106" s="8" t="s">
        <v>402</v>
      </c>
      <c r="B106" s="8" t="s">
        <v>1195</v>
      </c>
      <c r="C106" s="9">
        <v>0.70138888888888884</v>
      </c>
      <c r="D106" s="8" t="s">
        <v>63</v>
      </c>
      <c r="E106" s="8" t="s">
        <v>51</v>
      </c>
      <c r="F106" s="8" t="s">
        <v>1198</v>
      </c>
      <c r="G106" s="302"/>
      <c r="H106" s="10"/>
      <c r="I106" s="11"/>
      <c r="J106" s="11"/>
      <c r="K106" s="11"/>
      <c r="L106" s="11"/>
      <c r="M106" s="11"/>
      <c r="N106" s="11"/>
      <c r="O106" s="12"/>
      <c r="P106" s="11"/>
      <c r="Q106" s="13"/>
      <c r="R106" s="14"/>
    </row>
    <row r="107" spans="1:18" ht="49.9" customHeight="1" thickTop="1" thickBot="1">
      <c r="A107" s="258" t="s">
        <v>61</v>
      </c>
      <c r="B107" s="258" t="s">
        <v>1193</v>
      </c>
      <c r="C107" s="259">
        <v>0.76736111111111116</v>
      </c>
      <c r="D107" s="258" t="s">
        <v>63</v>
      </c>
      <c r="E107" s="258" t="s">
        <v>29</v>
      </c>
      <c r="F107" s="258" t="s">
        <v>840</v>
      </c>
      <c r="G107" s="299"/>
      <c r="H107" s="249" t="s">
        <v>1194</v>
      </c>
      <c r="I107" s="250">
        <v>5.5999999999999999E-3</v>
      </c>
      <c r="J107" s="251">
        <v>1</v>
      </c>
      <c r="K107" s="252">
        <v>46344</v>
      </c>
      <c r="L107" s="251">
        <v>1</v>
      </c>
      <c r="M107" s="251">
        <v>0</v>
      </c>
      <c r="N107" s="251">
        <v>0</v>
      </c>
      <c r="O107" s="253" t="s">
        <v>951</v>
      </c>
      <c r="P107" s="254">
        <v>0.76736111111111116</v>
      </c>
      <c r="Q107" s="251">
        <v>179</v>
      </c>
      <c r="R107" s="255" t="s">
        <v>570</v>
      </c>
    </row>
    <row r="108" spans="1:18" ht="17.45" customHeight="1" thickBot="1">
      <c r="A108" s="283"/>
      <c r="B108" s="284"/>
      <c r="C108" s="284"/>
      <c r="D108" s="284"/>
      <c r="E108" s="284"/>
      <c r="F108" s="284"/>
      <c r="G108" s="284"/>
      <c r="H108" s="284"/>
      <c r="I108" s="284"/>
      <c r="J108" s="284"/>
      <c r="K108" s="284"/>
      <c r="L108" s="284"/>
      <c r="M108" s="284"/>
      <c r="N108" s="284"/>
      <c r="O108" s="284"/>
      <c r="P108" s="284"/>
      <c r="Q108" s="284"/>
      <c r="R108" s="285"/>
    </row>
    <row r="109" spans="1:18" ht="22.15" customHeight="1" thickTop="1" thickBot="1">
      <c r="A109" s="279" t="s">
        <v>6</v>
      </c>
      <c r="B109" s="295"/>
      <c r="C109" s="295"/>
      <c r="D109" s="295"/>
      <c r="E109" s="295"/>
      <c r="F109" s="296"/>
      <c r="G109" s="32">
        <v>46052</v>
      </c>
      <c r="H109" s="278" t="s">
        <v>7</v>
      </c>
      <c r="I109" s="295"/>
      <c r="J109" s="295"/>
      <c r="K109" s="295"/>
      <c r="L109" s="295"/>
      <c r="M109" s="295"/>
      <c r="N109" s="295"/>
      <c r="O109" s="295"/>
      <c r="P109" s="295"/>
      <c r="Q109" s="295"/>
      <c r="R109" s="296"/>
    </row>
    <row r="110" spans="1:18" ht="24" customHeight="1">
      <c r="A110" s="33" t="s">
        <v>8</v>
      </c>
      <c r="B110" s="33" t="s">
        <v>9</v>
      </c>
      <c r="C110" s="34" t="s">
        <v>10</v>
      </c>
      <c r="D110" s="33" t="s">
        <v>11</v>
      </c>
      <c r="E110" s="33" t="s">
        <v>12</v>
      </c>
      <c r="F110" s="35" t="s">
        <v>13</v>
      </c>
      <c r="G110" s="36" t="s">
        <v>14</v>
      </c>
      <c r="H110" s="33" t="s">
        <v>15</v>
      </c>
      <c r="I110" s="37" t="s">
        <v>16</v>
      </c>
      <c r="J110" s="38" t="s">
        <v>17</v>
      </c>
      <c r="K110" s="39" t="s">
        <v>18</v>
      </c>
      <c r="L110" s="38" t="s">
        <v>19</v>
      </c>
      <c r="M110" s="38" t="s">
        <v>20</v>
      </c>
      <c r="N110" s="38" t="s">
        <v>21</v>
      </c>
      <c r="O110" s="33" t="s">
        <v>22</v>
      </c>
      <c r="P110" s="34" t="s">
        <v>23</v>
      </c>
      <c r="Q110" s="38" t="s">
        <v>24</v>
      </c>
      <c r="R110" s="33" t="s">
        <v>25</v>
      </c>
    </row>
    <row r="111" spans="1:18" ht="49.9" customHeight="1" thickTop="1" thickBot="1">
      <c r="A111" s="166" t="s">
        <v>402</v>
      </c>
      <c r="B111" s="166" t="s">
        <v>1197</v>
      </c>
      <c r="C111" s="167">
        <v>0.30902777777777779</v>
      </c>
      <c r="D111" s="166" t="s">
        <v>63</v>
      </c>
      <c r="E111" s="166" t="s">
        <v>51</v>
      </c>
      <c r="F111" s="166" t="s">
        <v>1198</v>
      </c>
      <c r="G111" s="302"/>
      <c r="H111" s="300"/>
      <c r="I111" s="140"/>
      <c r="J111" s="140"/>
      <c r="K111" s="140"/>
      <c r="L111" s="140"/>
      <c r="M111" s="140"/>
      <c r="N111" s="140"/>
      <c r="O111" s="141"/>
      <c r="P111" s="140"/>
      <c r="Q111" s="142"/>
      <c r="R111" s="301"/>
    </row>
    <row r="112" spans="1:18" ht="17.45" customHeight="1" thickBot="1">
      <c r="A112" s="283"/>
      <c r="B112" s="284"/>
      <c r="C112" s="284"/>
      <c r="D112" s="284"/>
      <c r="E112" s="284"/>
      <c r="F112" s="284"/>
      <c r="G112" s="284"/>
      <c r="H112" s="284"/>
      <c r="I112" s="284"/>
      <c r="J112" s="284"/>
      <c r="K112" s="284"/>
      <c r="L112" s="284"/>
      <c r="M112" s="284"/>
      <c r="N112" s="284"/>
      <c r="O112" s="284"/>
      <c r="P112" s="284"/>
      <c r="Q112" s="284"/>
      <c r="R112" s="285"/>
    </row>
    <row r="113" spans="1:18" ht="22.15" customHeight="1" thickTop="1" thickBot="1">
      <c r="A113" s="279" t="s">
        <v>6</v>
      </c>
      <c r="B113" s="295"/>
      <c r="C113" s="295"/>
      <c r="D113" s="295"/>
      <c r="E113" s="295"/>
      <c r="F113" s="296"/>
      <c r="G113" s="32">
        <v>46053</v>
      </c>
      <c r="H113" s="278" t="s">
        <v>7</v>
      </c>
      <c r="I113" s="295"/>
      <c r="J113" s="295"/>
      <c r="K113" s="295"/>
      <c r="L113" s="295"/>
      <c r="M113" s="295"/>
      <c r="N113" s="295"/>
      <c r="O113" s="295"/>
      <c r="P113" s="295"/>
      <c r="Q113" s="295"/>
      <c r="R113" s="296"/>
    </row>
    <row r="114" spans="1:18" ht="24" customHeight="1">
      <c r="A114" s="33" t="s">
        <v>8</v>
      </c>
      <c r="B114" s="33" t="s">
        <v>9</v>
      </c>
      <c r="C114" s="34" t="s">
        <v>10</v>
      </c>
      <c r="D114" s="33" t="s">
        <v>11</v>
      </c>
      <c r="E114" s="33" t="s">
        <v>12</v>
      </c>
      <c r="F114" s="35" t="s">
        <v>13</v>
      </c>
      <c r="G114" s="36" t="s">
        <v>14</v>
      </c>
      <c r="H114" s="33" t="s">
        <v>15</v>
      </c>
      <c r="I114" s="37" t="s">
        <v>16</v>
      </c>
      <c r="J114" s="38" t="s">
        <v>17</v>
      </c>
      <c r="K114" s="39" t="s">
        <v>18</v>
      </c>
      <c r="L114" s="38" t="s">
        <v>19</v>
      </c>
      <c r="M114" s="38" t="s">
        <v>20</v>
      </c>
      <c r="N114" s="38" t="s">
        <v>21</v>
      </c>
      <c r="O114" s="33" t="s">
        <v>22</v>
      </c>
      <c r="P114" s="34" t="s">
        <v>23</v>
      </c>
      <c r="Q114" s="38" t="s">
        <v>24</v>
      </c>
      <c r="R114" s="33" t="s">
        <v>25</v>
      </c>
    </row>
    <row r="115" spans="1:18" ht="49.9" customHeight="1">
      <c r="A115" s="49" t="s">
        <v>61</v>
      </c>
      <c r="B115" s="49" t="s">
        <v>1193</v>
      </c>
      <c r="C115" s="50">
        <v>0.71875</v>
      </c>
      <c r="D115" s="49" t="s">
        <v>63</v>
      </c>
      <c r="E115" s="49" t="s">
        <v>126</v>
      </c>
      <c r="F115" s="49" t="s">
        <v>840</v>
      </c>
      <c r="G115" s="302"/>
      <c r="H115" s="169" t="s">
        <v>1194</v>
      </c>
      <c r="I115" s="170">
        <v>1.12E-2</v>
      </c>
      <c r="J115" s="171">
        <v>2</v>
      </c>
      <c r="K115" s="172">
        <v>46313</v>
      </c>
      <c r="L115" s="171">
        <v>2</v>
      </c>
      <c r="M115" s="171">
        <v>0</v>
      </c>
      <c r="N115" s="171">
        <v>0</v>
      </c>
      <c r="O115" s="173" t="s">
        <v>967</v>
      </c>
      <c r="P115" s="174">
        <v>0.71875</v>
      </c>
      <c r="Q115" s="171">
        <v>179</v>
      </c>
      <c r="R115" s="175" t="s">
        <v>969</v>
      </c>
    </row>
  </sheetData>
  <mergeCells count="114">
    <mergeCell ref="G73"/>
    <mergeCell ref="A84:F84"/>
    <mergeCell ref="A41:R41"/>
    <mergeCell ref="A16:R16"/>
    <mergeCell ref="A75:F75"/>
    <mergeCell ref="A99:R99"/>
    <mergeCell ref="H67:R67"/>
    <mergeCell ref="A108:R108"/>
    <mergeCell ref="A45:R45"/>
    <mergeCell ref="A103:R103"/>
    <mergeCell ref="A54:F54"/>
    <mergeCell ref="A78:R78"/>
    <mergeCell ref="A87:R87"/>
    <mergeCell ref="A46:F46"/>
    <mergeCell ref="H38:R38"/>
    <mergeCell ref="G94"/>
    <mergeCell ref="A37:R37"/>
    <mergeCell ref="G44"/>
    <mergeCell ref="A1:E1"/>
    <mergeCell ref="A50:F50"/>
    <mergeCell ref="G90"/>
    <mergeCell ref="H113:R113"/>
    <mergeCell ref="H9:R9"/>
    <mergeCell ref="A33:R33"/>
    <mergeCell ref="G52"/>
    <mergeCell ref="H59:R59"/>
    <mergeCell ref="A2:F2"/>
    <mergeCell ref="A8:R8"/>
    <mergeCell ref="A53:R53"/>
    <mergeCell ref="H17:R17"/>
    <mergeCell ref="H109:R109"/>
    <mergeCell ref="A9:F9"/>
    <mergeCell ref="H75:R75"/>
    <mergeCell ref="A59:F59"/>
    <mergeCell ref="A83:R83"/>
    <mergeCell ref="G106:G107"/>
    <mergeCell ref="H96:R96"/>
    <mergeCell ref="A49:R49"/>
    <mergeCell ref="A79:F79"/>
    <mergeCell ref="H104:R104"/>
    <mergeCell ref="A88:F88"/>
    <mergeCell ref="G65"/>
    <mergeCell ref="A104:F104"/>
    <mergeCell ref="G115"/>
    <mergeCell ref="G36"/>
    <mergeCell ref="A29:F29"/>
    <mergeCell ref="A38:F38"/>
    <mergeCell ref="A62:R62"/>
    <mergeCell ref="H79:R79"/>
    <mergeCell ref="A13:F13"/>
    <mergeCell ref="A28:R28"/>
    <mergeCell ref="A112:R112"/>
    <mergeCell ref="G19"/>
    <mergeCell ref="H13:R13"/>
    <mergeCell ref="G69"/>
    <mergeCell ref="H71:R71"/>
    <mergeCell ref="H54:R54"/>
    <mergeCell ref="H63:R63"/>
    <mergeCell ref="H50:R50"/>
    <mergeCell ref="A74:R74"/>
    <mergeCell ref="G40"/>
    <mergeCell ref="A42:F42"/>
    <mergeCell ref="H25:R25"/>
    <mergeCell ref="H34:R34"/>
    <mergeCell ref="A91:R91"/>
    <mergeCell ref="G27"/>
    <mergeCell ref="N1:R1"/>
    <mergeCell ref="A63:F63"/>
    <mergeCell ref="G23"/>
    <mergeCell ref="H100:R100"/>
    <mergeCell ref="K2:R2"/>
    <mergeCell ref="A34:F34"/>
    <mergeCell ref="A92:F92"/>
    <mergeCell ref="H84:R84"/>
    <mergeCell ref="G81:G82"/>
    <mergeCell ref="G56:G57"/>
    <mergeCell ref="H92:R92"/>
    <mergeCell ref="H29:R29"/>
    <mergeCell ref="A66:R66"/>
    <mergeCell ref="A21:F21"/>
    <mergeCell ref="H4:R4"/>
    <mergeCell ref="A12:R12"/>
    <mergeCell ref="A71:F71"/>
    <mergeCell ref="G86"/>
    <mergeCell ref="G6:G7"/>
    <mergeCell ref="G2:J2"/>
    <mergeCell ref="A17:F17"/>
    <mergeCell ref="A100:F100"/>
    <mergeCell ref="G98"/>
    <mergeCell ref="H1:L1"/>
    <mergeCell ref="A113:F113"/>
    <mergeCell ref="A3:R3"/>
    <mergeCell ref="A95:R95"/>
    <mergeCell ref="H46:R46"/>
    <mergeCell ref="H21:R21"/>
    <mergeCell ref="G77"/>
    <mergeCell ref="G11"/>
    <mergeCell ref="A4:F4"/>
    <mergeCell ref="A96:F96"/>
    <mergeCell ref="H88:R88"/>
    <mergeCell ref="A20:R20"/>
    <mergeCell ref="G61"/>
    <mergeCell ref="G48"/>
    <mergeCell ref="A67:F67"/>
    <mergeCell ref="A58:R58"/>
    <mergeCell ref="A24:R24"/>
    <mergeCell ref="G15"/>
    <mergeCell ref="G31:G32"/>
    <mergeCell ref="A70:R70"/>
    <mergeCell ref="H42:R42"/>
    <mergeCell ref="A25:F25"/>
    <mergeCell ref="G102"/>
    <mergeCell ref="G111"/>
    <mergeCell ref="A109:F109"/>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J16"/>
  <sheetViews>
    <sheetView workbookViewId="0"/>
  </sheetViews>
  <sheetFormatPr defaultColWidth="8.85546875" defaultRowHeight="15.6" outlineLevelCol="1"/>
  <cols>
    <col min="1" max="1" width="9.85546875" style="266" bestFit="1" customWidth="1"/>
    <col min="2" max="2" width="9.7109375" style="266" bestFit="1" customWidth="1"/>
    <col min="3" max="3" width="6.7109375" style="266" bestFit="1" customWidth="1"/>
    <col min="4" max="4" width="5.5703125" style="266" bestFit="1" customWidth="1"/>
    <col min="5" max="5" width="7.42578125" style="266" bestFit="1" customWidth="1"/>
    <col min="6" max="6" width="4.28515625" style="266" bestFit="1" customWidth="1"/>
    <col min="7" max="7" width="8.42578125" style="266" bestFit="1" customWidth="1"/>
    <col min="8" max="8" width="8.5703125" style="266" bestFit="1" customWidth="1"/>
    <col min="9"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6" width="3.85546875" style="266" bestFit="1" customWidth="1"/>
    <col min="27" max="27" width="4" style="266" bestFit="1" customWidth="1"/>
    <col min="28"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230</v>
      </c>
      <c r="B2" s="268">
        <v>46023</v>
      </c>
      <c r="C2" s="269" t="s">
        <v>1194</v>
      </c>
      <c r="D2" s="270" t="s">
        <v>1202</v>
      </c>
      <c r="E2" s="269" t="s">
        <v>1192</v>
      </c>
      <c r="F2" s="269" t="s">
        <v>232</v>
      </c>
      <c r="G2" s="271">
        <v>1.6799999999999999E-2</v>
      </c>
      <c r="H2" s="272">
        <v>179</v>
      </c>
      <c r="I2" s="272">
        <v>3</v>
      </c>
      <c r="J2" s="272">
        <v>0</v>
      </c>
      <c r="K2" s="269" t="s">
        <v>233</v>
      </c>
      <c r="L2" s="273">
        <v>46342</v>
      </c>
      <c r="M2" s="272">
        <v>0</v>
      </c>
      <c r="N2" s="272">
        <v>0</v>
      </c>
      <c r="O2" s="272">
        <v>3</v>
      </c>
      <c r="P2" s="269" t="s">
        <v>819</v>
      </c>
      <c r="Q2" s="265"/>
      <c r="R2" s="265"/>
      <c r="S2" s="265"/>
      <c r="T2" s="265"/>
      <c r="U2" s="265"/>
      <c r="V2" s="265"/>
      <c r="W2" s="265"/>
      <c r="X2" s="265"/>
      <c r="Y2" s="265"/>
      <c r="Z2" s="265"/>
      <c r="AA2" s="265"/>
      <c r="AB2" s="265"/>
      <c r="AC2" s="265"/>
      <c r="AD2" s="265"/>
      <c r="AE2" s="265"/>
      <c r="AF2" s="272" t="s">
        <v>819</v>
      </c>
      <c r="AG2" s="265"/>
      <c r="AH2" s="265"/>
      <c r="AI2" s="265"/>
      <c r="AJ2" s="265"/>
    </row>
    <row r="3" spans="1:36">
      <c r="A3" s="267" t="s">
        <v>234</v>
      </c>
      <c r="B3" s="268">
        <v>46025</v>
      </c>
      <c r="C3" s="269" t="s">
        <v>1194</v>
      </c>
      <c r="D3" s="270" t="s">
        <v>1203</v>
      </c>
      <c r="E3" s="269" t="s">
        <v>1192</v>
      </c>
      <c r="F3" s="269" t="s">
        <v>232</v>
      </c>
      <c r="G3" s="271">
        <v>2.23E-2</v>
      </c>
      <c r="H3" s="272">
        <v>179</v>
      </c>
      <c r="I3" s="272">
        <v>4</v>
      </c>
      <c r="J3" s="272">
        <v>0</v>
      </c>
      <c r="K3" s="269" t="s">
        <v>233</v>
      </c>
      <c r="L3" s="273">
        <v>46335</v>
      </c>
      <c r="M3" s="272">
        <v>0</v>
      </c>
      <c r="N3" s="272">
        <v>0</v>
      </c>
      <c r="O3" s="272">
        <v>4</v>
      </c>
      <c r="P3" s="269" t="s">
        <v>819</v>
      </c>
      <c r="Q3" s="265"/>
      <c r="R3" s="265"/>
      <c r="S3" s="265"/>
      <c r="T3" s="265"/>
      <c r="U3" s="265"/>
      <c r="V3" s="265"/>
      <c r="W3" s="265"/>
      <c r="X3" s="265"/>
      <c r="Y3" s="265"/>
      <c r="Z3" s="265"/>
      <c r="AA3" s="265"/>
      <c r="AB3" s="265"/>
      <c r="AC3" s="265"/>
      <c r="AD3" s="265"/>
      <c r="AE3" s="265"/>
      <c r="AF3" s="272" t="s">
        <v>901</v>
      </c>
      <c r="AG3" s="265"/>
      <c r="AH3" s="265"/>
      <c r="AI3" s="265"/>
      <c r="AJ3" s="265"/>
    </row>
    <row r="4" spans="1:36">
      <c r="A4" s="267" t="s">
        <v>242</v>
      </c>
      <c r="B4" s="268">
        <v>46028</v>
      </c>
      <c r="C4" s="269" t="s">
        <v>1194</v>
      </c>
      <c r="D4" s="270" t="s">
        <v>1204</v>
      </c>
      <c r="E4" s="269" t="s">
        <v>1192</v>
      </c>
      <c r="F4" s="269" t="s">
        <v>232</v>
      </c>
      <c r="G4" s="271">
        <v>1.12E-2</v>
      </c>
      <c r="H4" s="272">
        <v>179</v>
      </c>
      <c r="I4" s="272">
        <v>2</v>
      </c>
      <c r="J4" s="272">
        <v>0</v>
      </c>
      <c r="K4" s="269" t="s">
        <v>233</v>
      </c>
      <c r="L4" s="273">
        <v>46335</v>
      </c>
      <c r="M4" s="272">
        <v>0</v>
      </c>
      <c r="N4" s="272">
        <v>0</v>
      </c>
      <c r="O4" s="272">
        <v>2</v>
      </c>
      <c r="P4" s="269" t="s">
        <v>591</v>
      </c>
      <c r="Q4" s="265"/>
      <c r="R4" s="265"/>
      <c r="S4" s="265"/>
      <c r="T4" s="265"/>
      <c r="U4" s="265"/>
      <c r="V4" s="265"/>
      <c r="W4" s="265"/>
      <c r="X4" s="265"/>
      <c r="Y4" s="265"/>
      <c r="Z4" s="265"/>
      <c r="AA4" s="265"/>
      <c r="AB4" s="265"/>
      <c r="AC4" s="265"/>
      <c r="AD4" s="265"/>
      <c r="AE4" s="265"/>
      <c r="AF4" s="272" t="s">
        <v>571</v>
      </c>
      <c r="AG4" s="265"/>
      <c r="AH4" s="265"/>
      <c r="AI4" s="265"/>
      <c r="AJ4" s="265"/>
    </row>
    <row r="5" spans="1:36">
      <c r="A5" s="267" t="s">
        <v>230</v>
      </c>
      <c r="B5" s="268">
        <v>46030</v>
      </c>
      <c r="C5" s="269" t="s">
        <v>1194</v>
      </c>
      <c r="D5" s="270" t="s">
        <v>1202</v>
      </c>
      <c r="E5" s="269" t="s">
        <v>1192</v>
      </c>
      <c r="F5" s="269" t="s">
        <v>232</v>
      </c>
      <c r="G5" s="271">
        <v>0</v>
      </c>
      <c r="H5" s="272">
        <v>179</v>
      </c>
      <c r="I5" s="272">
        <v>0</v>
      </c>
      <c r="J5" s="272">
        <v>0</v>
      </c>
      <c r="K5" s="269" t="s">
        <v>233</v>
      </c>
      <c r="L5" s="273" t="s">
        <v>66</v>
      </c>
      <c r="M5" s="272">
        <v>0</v>
      </c>
      <c r="N5" s="272">
        <v>0</v>
      </c>
      <c r="O5" s="272">
        <v>0</v>
      </c>
      <c r="P5" s="269" t="s">
        <v>374</v>
      </c>
      <c r="Q5" s="265"/>
      <c r="R5" s="265"/>
      <c r="S5" s="265"/>
      <c r="T5" s="265"/>
      <c r="U5" s="265"/>
      <c r="V5" s="265"/>
      <c r="W5" s="265"/>
      <c r="X5" s="265"/>
      <c r="Y5" s="265"/>
      <c r="Z5" s="265"/>
      <c r="AA5" s="265"/>
      <c r="AB5" s="265"/>
      <c r="AC5" s="265"/>
      <c r="AD5" s="265"/>
      <c r="AE5" s="265"/>
      <c r="AF5" s="265"/>
      <c r="AG5" s="265"/>
      <c r="AH5" s="265"/>
      <c r="AI5" s="265"/>
      <c r="AJ5" s="265"/>
    </row>
    <row r="6" spans="1:36">
      <c r="A6" s="267" t="s">
        <v>234</v>
      </c>
      <c r="B6" s="268">
        <v>46032</v>
      </c>
      <c r="C6" s="269" t="s">
        <v>1194</v>
      </c>
      <c r="D6" s="270" t="s">
        <v>1203</v>
      </c>
      <c r="E6" s="269" t="s">
        <v>1192</v>
      </c>
      <c r="F6" s="269" t="s">
        <v>232</v>
      </c>
      <c r="G6" s="271">
        <v>5.0299999999999997E-2</v>
      </c>
      <c r="H6" s="272">
        <v>179</v>
      </c>
      <c r="I6" s="272">
        <v>9</v>
      </c>
      <c r="J6" s="272">
        <v>0</v>
      </c>
      <c r="K6" s="269" t="s">
        <v>233</v>
      </c>
      <c r="L6" s="273">
        <v>46342</v>
      </c>
      <c r="M6" s="272">
        <v>0</v>
      </c>
      <c r="N6" s="272">
        <v>0</v>
      </c>
      <c r="O6" s="272">
        <v>9</v>
      </c>
      <c r="P6" s="269" t="s">
        <v>819</v>
      </c>
      <c r="Q6" s="265"/>
      <c r="R6" s="265"/>
      <c r="S6" s="265"/>
      <c r="T6" s="265"/>
      <c r="U6" s="265"/>
      <c r="V6" s="265"/>
      <c r="W6" s="265"/>
      <c r="X6" s="265"/>
      <c r="Y6" s="265"/>
      <c r="Z6" s="265"/>
      <c r="AA6" s="265"/>
      <c r="AB6" s="265"/>
      <c r="AC6" s="265"/>
      <c r="AD6" s="265"/>
      <c r="AE6" s="272" t="s">
        <v>968</v>
      </c>
      <c r="AF6" s="272" t="s">
        <v>901</v>
      </c>
      <c r="AG6" s="265"/>
      <c r="AH6" s="265"/>
      <c r="AI6" s="265"/>
      <c r="AJ6" s="265"/>
    </row>
    <row r="7" spans="1:36">
      <c r="A7" s="267" t="s">
        <v>242</v>
      </c>
      <c r="B7" s="268">
        <v>46035</v>
      </c>
      <c r="C7" s="269" t="s">
        <v>1194</v>
      </c>
      <c r="D7" s="270" t="s">
        <v>1204</v>
      </c>
      <c r="E7" s="269" t="s">
        <v>1192</v>
      </c>
      <c r="F7" s="269" t="s">
        <v>232</v>
      </c>
      <c r="G7" s="271">
        <v>5.5999999999999999E-3</v>
      </c>
      <c r="H7" s="272">
        <v>179</v>
      </c>
      <c r="I7" s="272">
        <v>1</v>
      </c>
      <c r="J7" s="272">
        <v>0</v>
      </c>
      <c r="K7" s="269" t="s">
        <v>233</v>
      </c>
      <c r="L7" s="273">
        <v>46342</v>
      </c>
      <c r="M7" s="272">
        <v>0</v>
      </c>
      <c r="N7" s="272">
        <v>0</v>
      </c>
      <c r="O7" s="272">
        <v>1</v>
      </c>
      <c r="P7" s="269" t="s">
        <v>900</v>
      </c>
      <c r="Q7" s="265"/>
      <c r="R7" s="265"/>
      <c r="S7" s="265"/>
      <c r="T7" s="265"/>
      <c r="U7" s="265"/>
      <c r="V7" s="265"/>
      <c r="W7" s="265"/>
      <c r="X7" s="265"/>
      <c r="Y7" s="265"/>
      <c r="Z7" s="265"/>
      <c r="AA7" s="265"/>
      <c r="AB7" s="265"/>
      <c r="AC7" s="265"/>
      <c r="AD7" s="265"/>
      <c r="AE7" s="265"/>
      <c r="AF7" s="272" t="s">
        <v>244</v>
      </c>
      <c r="AG7" s="265"/>
      <c r="AH7" s="265"/>
      <c r="AI7" s="265"/>
      <c r="AJ7" s="265"/>
    </row>
    <row r="8" spans="1:36">
      <c r="A8" s="267" t="s">
        <v>230</v>
      </c>
      <c r="B8" s="268">
        <v>46037</v>
      </c>
      <c r="C8" s="269" t="s">
        <v>1194</v>
      </c>
      <c r="D8" s="270" t="s">
        <v>1202</v>
      </c>
      <c r="E8" s="269" t="s">
        <v>1192</v>
      </c>
      <c r="F8" s="269" t="s">
        <v>232</v>
      </c>
      <c r="G8" s="271">
        <v>5.5999999999999999E-3</v>
      </c>
      <c r="H8" s="272">
        <v>179</v>
      </c>
      <c r="I8" s="272">
        <v>1</v>
      </c>
      <c r="J8" s="272">
        <v>0</v>
      </c>
      <c r="K8" s="269" t="s">
        <v>233</v>
      </c>
      <c r="L8" s="273">
        <v>46298</v>
      </c>
      <c r="M8" s="272">
        <v>0</v>
      </c>
      <c r="N8" s="272">
        <v>0</v>
      </c>
      <c r="O8" s="272">
        <v>1</v>
      </c>
      <c r="P8" s="269" t="s">
        <v>667</v>
      </c>
      <c r="Q8" s="265"/>
      <c r="R8" s="265"/>
      <c r="S8" s="265"/>
      <c r="T8" s="265"/>
      <c r="U8" s="265"/>
      <c r="V8" s="265"/>
      <c r="W8" s="265"/>
      <c r="X8" s="265"/>
      <c r="Y8" s="265"/>
      <c r="Z8" s="265"/>
      <c r="AA8" s="265"/>
      <c r="AB8" s="265"/>
      <c r="AC8" s="272" t="s">
        <v>302</v>
      </c>
      <c r="AD8" s="265"/>
      <c r="AE8" s="265"/>
      <c r="AF8" s="265"/>
      <c r="AG8" s="265"/>
      <c r="AH8" s="265"/>
      <c r="AI8" s="265"/>
      <c r="AJ8" s="265"/>
    </row>
    <row r="9" spans="1:36">
      <c r="A9" s="267" t="s">
        <v>234</v>
      </c>
      <c r="B9" s="268">
        <v>46039</v>
      </c>
      <c r="C9" s="269" t="s">
        <v>1194</v>
      </c>
      <c r="D9" s="270" t="s">
        <v>1203</v>
      </c>
      <c r="E9" s="269" t="s">
        <v>1192</v>
      </c>
      <c r="F9" s="269" t="s">
        <v>232</v>
      </c>
      <c r="G9" s="271">
        <v>1.6799999999999999E-2</v>
      </c>
      <c r="H9" s="272">
        <v>179</v>
      </c>
      <c r="I9" s="272">
        <v>3</v>
      </c>
      <c r="J9" s="272">
        <v>0</v>
      </c>
      <c r="K9" s="269" t="s">
        <v>233</v>
      </c>
      <c r="L9" s="273">
        <v>46335</v>
      </c>
      <c r="M9" s="272">
        <v>0</v>
      </c>
      <c r="N9" s="272">
        <v>0</v>
      </c>
      <c r="O9" s="272">
        <v>3</v>
      </c>
      <c r="P9" s="269" t="s">
        <v>667</v>
      </c>
      <c r="Q9" s="265"/>
      <c r="R9" s="265"/>
      <c r="S9" s="265"/>
      <c r="T9" s="265"/>
      <c r="U9" s="265"/>
      <c r="V9" s="265"/>
      <c r="W9" s="265"/>
      <c r="X9" s="265"/>
      <c r="Y9" s="272" t="s">
        <v>1034</v>
      </c>
      <c r="Z9" s="272" t="s">
        <v>174</v>
      </c>
      <c r="AA9" s="272" t="s">
        <v>686</v>
      </c>
      <c r="AB9" s="265"/>
      <c r="AC9" s="265"/>
      <c r="AD9" s="265"/>
      <c r="AE9" s="265"/>
      <c r="AF9" s="265"/>
      <c r="AG9" s="265"/>
      <c r="AH9" s="265"/>
      <c r="AI9" s="265"/>
      <c r="AJ9" s="265"/>
    </row>
    <row r="10" spans="1:36">
      <c r="A10" s="267" t="s">
        <v>242</v>
      </c>
      <c r="B10" s="268">
        <v>46042</v>
      </c>
      <c r="C10" s="269" t="s">
        <v>1194</v>
      </c>
      <c r="D10" s="270" t="s">
        <v>1204</v>
      </c>
      <c r="E10" s="269" t="s">
        <v>1192</v>
      </c>
      <c r="F10" s="269" t="s">
        <v>232</v>
      </c>
      <c r="G10" s="271">
        <v>5.5999999999999999E-3</v>
      </c>
      <c r="H10" s="272">
        <v>179</v>
      </c>
      <c r="I10" s="272">
        <v>1</v>
      </c>
      <c r="J10" s="272">
        <v>0</v>
      </c>
      <c r="K10" s="269" t="s">
        <v>233</v>
      </c>
      <c r="L10" s="273">
        <v>46325</v>
      </c>
      <c r="M10" s="272">
        <v>0</v>
      </c>
      <c r="N10" s="272">
        <v>0</v>
      </c>
      <c r="O10" s="272">
        <v>1</v>
      </c>
      <c r="P10" s="269" t="s">
        <v>951</v>
      </c>
      <c r="Q10" s="265"/>
      <c r="R10" s="265"/>
      <c r="S10" s="265"/>
      <c r="T10" s="265"/>
      <c r="U10" s="265"/>
      <c r="V10" s="265"/>
      <c r="W10" s="265"/>
      <c r="X10" s="265"/>
      <c r="Y10" s="265"/>
      <c r="Z10" s="265"/>
      <c r="AA10" s="265"/>
      <c r="AB10" s="265"/>
      <c r="AC10" s="265"/>
      <c r="AD10" s="265"/>
      <c r="AE10" s="272" t="s">
        <v>570</v>
      </c>
      <c r="AF10" s="265"/>
      <c r="AG10" s="265"/>
      <c r="AH10" s="265"/>
      <c r="AI10" s="265"/>
      <c r="AJ10" s="265"/>
    </row>
    <row r="11" spans="1:36">
      <c r="A11" s="267" t="s">
        <v>230</v>
      </c>
      <c r="B11" s="268">
        <v>46044</v>
      </c>
      <c r="C11" s="269" t="s">
        <v>1194</v>
      </c>
      <c r="D11" s="270" t="s">
        <v>1202</v>
      </c>
      <c r="E11" s="269" t="s">
        <v>1192</v>
      </c>
      <c r="F11" s="269" t="s">
        <v>232</v>
      </c>
      <c r="G11" s="271">
        <v>5.5999999999999999E-3</v>
      </c>
      <c r="H11" s="272">
        <v>179</v>
      </c>
      <c r="I11" s="272">
        <v>1</v>
      </c>
      <c r="J11" s="272">
        <v>0</v>
      </c>
      <c r="K11" s="269" t="s">
        <v>233</v>
      </c>
      <c r="L11" s="273">
        <v>46325</v>
      </c>
      <c r="M11" s="272">
        <v>0</v>
      </c>
      <c r="N11" s="272">
        <v>0</v>
      </c>
      <c r="O11" s="272">
        <v>1</v>
      </c>
      <c r="P11" s="269" t="s">
        <v>670</v>
      </c>
      <c r="Q11" s="265"/>
      <c r="R11" s="265"/>
      <c r="S11" s="265"/>
      <c r="T11" s="265"/>
      <c r="U11" s="265"/>
      <c r="V11" s="265"/>
      <c r="W11" s="265"/>
      <c r="X11" s="265"/>
      <c r="Y11" s="265"/>
      <c r="Z11" s="265"/>
      <c r="AA11" s="272" t="s">
        <v>686</v>
      </c>
      <c r="AB11" s="265"/>
      <c r="AC11" s="265"/>
      <c r="AD11" s="265"/>
      <c r="AE11" s="265"/>
      <c r="AF11" s="265"/>
      <c r="AG11" s="265"/>
      <c r="AH11" s="265"/>
      <c r="AI11" s="265"/>
      <c r="AJ11" s="265"/>
    </row>
    <row r="12" spans="1:36">
      <c r="A12" s="267" t="s">
        <v>234</v>
      </c>
      <c r="B12" s="268">
        <v>46046</v>
      </c>
      <c r="C12" s="269" t="s">
        <v>1194</v>
      </c>
      <c r="D12" s="270" t="s">
        <v>1203</v>
      </c>
      <c r="E12" s="269" t="s">
        <v>1192</v>
      </c>
      <c r="F12" s="269" t="s">
        <v>232</v>
      </c>
      <c r="G12" s="271">
        <v>3.3500000000000002E-2</v>
      </c>
      <c r="H12" s="272">
        <v>179</v>
      </c>
      <c r="I12" s="272">
        <v>6</v>
      </c>
      <c r="J12" s="272">
        <v>0</v>
      </c>
      <c r="K12" s="269" t="s">
        <v>233</v>
      </c>
      <c r="L12" s="273">
        <v>46336</v>
      </c>
      <c r="M12" s="272">
        <v>0</v>
      </c>
      <c r="N12" s="272">
        <v>0</v>
      </c>
      <c r="O12" s="272">
        <v>6</v>
      </c>
      <c r="P12" s="269" t="s">
        <v>318</v>
      </c>
      <c r="Q12" s="265"/>
      <c r="R12" s="265"/>
      <c r="S12" s="265"/>
      <c r="T12" s="265"/>
      <c r="U12" s="265"/>
      <c r="V12" s="265"/>
      <c r="W12" s="265"/>
      <c r="X12" s="265"/>
      <c r="Y12" s="265"/>
      <c r="Z12" s="265"/>
      <c r="AA12" s="272" t="s">
        <v>516</v>
      </c>
      <c r="AB12" s="265"/>
      <c r="AC12" s="265"/>
      <c r="AD12" s="265"/>
      <c r="AE12" s="265"/>
      <c r="AF12" s="265"/>
      <c r="AG12" s="265"/>
      <c r="AH12" s="265"/>
      <c r="AI12" s="265"/>
      <c r="AJ12" s="265"/>
    </row>
    <row r="13" spans="1:36">
      <c r="A13" s="267" t="s">
        <v>242</v>
      </c>
      <c r="B13" s="268">
        <v>46049</v>
      </c>
      <c r="C13" s="269" t="s">
        <v>1194</v>
      </c>
      <c r="D13" s="270" t="s">
        <v>1204</v>
      </c>
      <c r="E13" s="269" t="s">
        <v>1192</v>
      </c>
      <c r="F13" s="269" t="s">
        <v>232</v>
      </c>
      <c r="G13" s="271">
        <v>1.6799999999999999E-2</v>
      </c>
      <c r="H13" s="272">
        <v>179</v>
      </c>
      <c r="I13" s="272">
        <v>3</v>
      </c>
      <c r="J13" s="272">
        <v>0</v>
      </c>
      <c r="K13" s="269" t="s">
        <v>233</v>
      </c>
      <c r="L13" s="273">
        <v>46331</v>
      </c>
      <c r="M13" s="272">
        <v>0</v>
      </c>
      <c r="N13" s="272">
        <v>0</v>
      </c>
      <c r="O13" s="272">
        <v>3</v>
      </c>
      <c r="P13" s="269" t="s">
        <v>1016</v>
      </c>
      <c r="Q13" s="265"/>
      <c r="R13" s="265"/>
      <c r="S13" s="265"/>
      <c r="T13" s="265"/>
      <c r="U13" s="265"/>
      <c r="V13" s="265"/>
      <c r="W13" s="265"/>
      <c r="X13" s="265"/>
      <c r="Y13" s="265"/>
      <c r="Z13" s="265"/>
      <c r="AA13" s="265"/>
      <c r="AB13" s="265"/>
      <c r="AC13" s="265"/>
      <c r="AD13" s="265"/>
      <c r="AE13" s="272" t="s">
        <v>967</v>
      </c>
      <c r="AF13" s="265"/>
      <c r="AG13" s="265"/>
      <c r="AH13" s="265"/>
      <c r="AI13" s="265"/>
      <c r="AJ13" s="265"/>
    </row>
    <row r="14" spans="1:36">
      <c r="A14" s="267" t="s">
        <v>230</v>
      </c>
      <c r="B14" s="268">
        <v>46051</v>
      </c>
      <c r="C14" s="269" t="s">
        <v>1194</v>
      </c>
      <c r="D14" s="270" t="s">
        <v>1202</v>
      </c>
      <c r="E14" s="269" t="s">
        <v>1192</v>
      </c>
      <c r="F14" s="269" t="s">
        <v>232</v>
      </c>
      <c r="G14" s="271">
        <v>5.5999999999999999E-3</v>
      </c>
      <c r="H14" s="272">
        <v>179</v>
      </c>
      <c r="I14" s="272">
        <v>1</v>
      </c>
      <c r="J14" s="272">
        <v>0</v>
      </c>
      <c r="K14" s="269" t="s">
        <v>233</v>
      </c>
      <c r="L14" s="273">
        <v>46344</v>
      </c>
      <c r="M14" s="272">
        <v>0</v>
      </c>
      <c r="N14" s="272">
        <v>0</v>
      </c>
      <c r="O14" s="272">
        <v>1</v>
      </c>
      <c r="P14" s="269" t="s">
        <v>951</v>
      </c>
      <c r="Q14" s="265"/>
      <c r="R14" s="265"/>
      <c r="S14" s="265"/>
      <c r="T14" s="265"/>
      <c r="U14" s="265"/>
      <c r="V14" s="265"/>
      <c r="W14" s="265"/>
      <c r="X14" s="265"/>
      <c r="Y14" s="265"/>
      <c r="Z14" s="265"/>
      <c r="AA14" s="265"/>
      <c r="AB14" s="265"/>
      <c r="AC14" s="265"/>
      <c r="AD14" s="265"/>
      <c r="AE14" s="272" t="s">
        <v>570</v>
      </c>
      <c r="AF14" s="265"/>
      <c r="AG14" s="265"/>
      <c r="AH14" s="265"/>
      <c r="AI14" s="265"/>
      <c r="AJ14" s="265"/>
    </row>
    <row r="15" spans="1:36">
      <c r="A15" s="267" t="s">
        <v>234</v>
      </c>
      <c r="B15" s="268">
        <v>46053</v>
      </c>
      <c r="C15" s="269" t="s">
        <v>1194</v>
      </c>
      <c r="D15" s="270" t="s">
        <v>1203</v>
      </c>
      <c r="E15" s="269" t="s">
        <v>1192</v>
      </c>
      <c r="F15" s="269" t="s">
        <v>232</v>
      </c>
      <c r="G15" s="271">
        <v>1.12E-2</v>
      </c>
      <c r="H15" s="272">
        <v>179</v>
      </c>
      <c r="I15" s="272">
        <v>2</v>
      </c>
      <c r="J15" s="272">
        <v>0</v>
      </c>
      <c r="K15" s="269" t="s">
        <v>233</v>
      </c>
      <c r="L15" s="273">
        <v>46313</v>
      </c>
      <c r="M15" s="272">
        <v>0</v>
      </c>
      <c r="N15" s="272">
        <v>0</v>
      </c>
      <c r="O15" s="272">
        <v>2</v>
      </c>
      <c r="P15" s="269" t="s">
        <v>967</v>
      </c>
      <c r="Q15" s="265"/>
      <c r="R15" s="265"/>
      <c r="S15" s="265"/>
      <c r="T15" s="265"/>
      <c r="U15" s="265"/>
      <c r="V15" s="265"/>
      <c r="W15" s="265"/>
      <c r="X15" s="265"/>
      <c r="Y15" s="265"/>
      <c r="Z15" s="265"/>
      <c r="AA15" s="272" t="s">
        <v>686</v>
      </c>
      <c r="AB15" s="265"/>
      <c r="AC15" s="265"/>
      <c r="AD15" s="265"/>
      <c r="AE15" s="272" t="s">
        <v>570</v>
      </c>
      <c r="AF15" s="265"/>
      <c r="AG15" s="265"/>
      <c r="AH15" s="265"/>
      <c r="AI15" s="265"/>
      <c r="AJ15" s="265"/>
    </row>
    <row r="16" spans="1:36" ht="21">
      <c r="A16" s="274" t="s">
        <v>251</v>
      </c>
      <c r="B16" s="275"/>
      <c r="C16" s="274">
        <f>SUBTOTAL(103,CAI_AJF_LF_LEGACY[Flt])</f>
        <v>14</v>
      </c>
      <c r="D16" s="274"/>
      <c r="E16" s="274">
        <f>SUBTOTAL(103,CAI_AJF_LF_LEGACY[Brd-Off])</f>
        <v>14</v>
      </c>
      <c r="F16" s="274"/>
      <c r="G16" s="276">
        <f>SUBTOTAL(101,CAI_AJF_LF_LEGACY[LF%])</f>
        <v>1.4778571428571427E-2</v>
      </c>
      <c r="H16" s="277">
        <f>SUBTOTAL(109,CAI_AJF_LF_LEGACY[CAP])</f>
        <v>2506</v>
      </c>
      <c r="I16" s="277">
        <f>SUBTOTAL(109,CAI_AJF_LF_LEGACY[BKG(Y)])</f>
        <v>37</v>
      </c>
      <c r="J16" s="277">
        <f>SUBTOTAL(109,CAI_AJF_LF_LEGACY[GRP(Y)])</f>
        <v>0</v>
      </c>
      <c r="K16" s="274"/>
      <c r="L16" s="275"/>
      <c r="M16" s="277">
        <f>SUBTOTAL(109,CAI_AJF_LF_LEGACY[TO-DAY])</f>
        <v>0</v>
      </c>
      <c r="N16" s="277">
        <f>SUBTOTAL(109,CAI_AJF_LF_LEGACY[Y-DAY])</f>
        <v>0</v>
      </c>
      <c r="O16" s="277">
        <f>SUBTOTAL(109,CAI_AJF_LF_LEGACY[WEEKLY])</f>
        <v>37</v>
      </c>
      <c r="P16" s="274"/>
      <c r="Q16" s="277">
        <f>SUBTOTAL(109,CAI_AJF_LF_LEGACY[Y])</f>
        <v>0</v>
      </c>
      <c r="R16" s="277">
        <f>SUBTOTAL(109,CAI_AJF_LF_LEGACY[B])</f>
        <v>0</v>
      </c>
      <c r="S16" s="277">
        <f>SUBTOTAL(109,CAI_AJF_LF_LEGACY[M])</f>
        <v>0</v>
      </c>
      <c r="T16" s="277">
        <f>SUBTOTAL(109,CAI_AJF_LF_LEGACY[H])</f>
        <v>0</v>
      </c>
      <c r="U16" s="277">
        <f>SUBTOTAL(109,CAI_AJF_LF_LEGACY[Q])</f>
        <v>0</v>
      </c>
      <c r="V16" s="277">
        <f>SUBTOTAL(109,CAI_AJF_LF_LEGACY[K])</f>
        <v>0</v>
      </c>
      <c r="W16" s="277">
        <f>SUBTOTAL(109,CAI_AJF_LF_LEGACY[V])</f>
        <v>0</v>
      </c>
      <c r="X16" s="277">
        <f>SUBTOTAL(109,CAI_AJF_LF_LEGACY[L])</f>
        <v>0</v>
      </c>
      <c r="Y16" s="277">
        <f>SUBTOTAL(109,CAI_AJF_LF_LEGACY[G])</f>
        <v>0</v>
      </c>
      <c r="Z16" s="277">
        <f>SUBTOTAL(109,CAI_AJF_LF_LEGACY[S])</f>
        <v>0</v>
      </c>
      <c r="AA16" s="277">
        <f>SUBTOTAL(109,CAI_AJF_LF_LEGACY[W])</f>
        <v>0</v>
      </c>
      <c r="AB16" s="277">
        <f>SUBTOTAL(109,CAI_AJF_LF_LEGACY[T])</f>
        <v>0</v>
      </c>
      <c r="AC16" s="277">
        <f>SUBTOTAL(109,CAI_AJF_LF_LEGACY[X])</f>
        <v>0</v>
      </c>
      <c r="AD16" s="277">
        <f>SUBTOTAL(109,CAI_AJF_LF_LEGACY[U])</f>
        <v>0</v>
      </c>
      <c r="AE16" s="277">
        <f>SUBTOTAL(109,CAI_AJF_LF_LEGACY[O])</f>
        <v>0</v>
      </c>
      <c r="AF16" s="277">
        <f>SUBTOTAL(109,CAI_AJF_LF_LEGACY[I])</f>
        <v>0</v>
      </c>
      <c r="AG16" s="277">
        <f>SUBTOTAL(109,CAI_AJF_LF_LEGACY[E])</f>
        <v>0</v>
      </c>
      <c r="AH16" s="277">
        <f>SUBTOTAL(109,CAI_AJF_LF_LEGACY[A])</f>
        <v>0</v>
      </c>
      <c r="AI16" s="277">
        <f>SUBTOTAL(109,CAI_AJF_LF_LEGACY[P])</f>
        <v>0</v>
      </c>
      <c r="AJ16" s="277">
        <f>SUBTOTAL(103,CAI_AJF_LF_LEGACY[N])</f>
        <v>0</v>
      </c>
    </row>
  </sheetData>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33"/>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29.28515625" bestFit="1" customWidth="1"/>
    <col min="7" max="7" width="20" bestFit="1" customWidth="1"/>
    <col min="8" max="8" width="23.7109375" bestFit="1" customWidth="1"/>
    <col min="9" max="9" width="155.140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6" t="s">
        <v>254</v>
      </c>
      <c r="B2" s="117" t="s">
        <v>61</v>
      </c>
      <c r="C2" s="118" t="s">
        <v>1193</v>
      </c>
      <c r="D2" s="117" t="s">
        <v>1192</v>
      </c>
      <c r="E2" s="117" t="s">
        <v>1202</v>
      </c>
      <c r="F2" s="117" t="s">
        <v>63</v>
      </c>
      <c r="G2" s="119">
        <v>3</v>
      </c>
      <c r="H2" s="120" t="s">
        <v>525</v>
      </c>
    </row>
    <row r="3" spans="1:8" ht="19.899999999999999" customHeight="1">
      <c r="A3" s="123">
        <v>46023</v>
      </c>
      <c r="B3" s="124" t="s">
        <v>402</v>
      </c>
      <c r="C3" s="125" t="s">
        <v>1195</v>
      </c>
      <c r="D3" s="124" t="s">
        <v>1192</v>
      </c>
      <c r="E3" s="126">
        <v>1.7013888888888891</v>
      </c>
      <c r="F3" s="124" t="s">
        <v>63</v>
      </c>
      <c r="G3" s="127">
        <v>9</v>
      </c>
      <c r="H3" s="128" t="s">
        <v>1196</v>
      </c>
    </row>
    <row r="4" spans="1:8" ht="19.899999999999999" customHeight="1">
      <c r="A4" s="123">
        <v>46024</v>
      </c>
      <c r="B4" s="124" t="s">
        <v>402</v>
      </c>
      <c r="C4" s="125" t="s">
        <v>1197</v>
      </c>
      <c r="D4" s="124" t="s">
        <v>1192</v>
      </c>
      <c r="E4" s="126">
        <v>1.3090277777777779</v>
      </c>
      <c r="F4" s="124" t="s">
        <v>63</v>
      </c>
      <c r="G4" s="127">
        <v>9</v>
      </c>
      <c r="H4" s="128" t="s">
        <v>1198</v>
      </c>
    </row>
    <row r="5" spans="1:8" ht="19.899999999999999" customHeight="1">
      <c r="A5" s="136">
        <v>46025</v>
      </c>
      <c r="B5" s="132" t="s">
        <v>61</v>
      </c>
      <c r="C5" s="133" t="s">
        <v>1193</v>
      </c>
      <c r="D5" s="132" t="s">
        <v>1192</v>
      </c>
      <c r="E5" s="137">
        <v>1.71875</v>
      </c>
      <c r="F5" s="132" t="s">
        <v>63</v>
      </c>
      <c r="G5" s="134">
        <v>3</v>
      </c>
      <c r="H5" s="135" t="s">
        <v>525</v>
      </c>
    </row>
    <row r="6" spans="1:8" ht="19.899999999999999" customHeight="1">
      <c r="A6" s="123">
        <v>46026</v>
      </c>
      <c r="B6" s="124" t="s">
        <v>402</v>
      </c>
      <c r="C6" s="125" t="s">
        <v>1197</v>
      </c>
      <c r="D6" s="124" t="s">
        <v>1192</v>
      </c>
      <c r="E6" s="126">
        <v>1.3090277777777779</v>
      </c>
      <c r="F6" s="124" t="s">
        <v>63</v>
      </c>
      <c r="G6" s="127">
        <v>9</v>
      </c>
      <c r="H6" s="128" t="s">
        <v>1198</v>
      </c>
    </row>
    <row r="7" spans="1:8" ht="19.899999999999999" customHeight="1">
      <c r="A7" s="136">
        <v>46028</v>
      </c>
      <c r="B7" s="132" t="s">
        <v>61</v>
      </c>
      <c r="C7" s="133" t="s">
        <v>1193</v>
      </c>
      <c r="D7" s="132" t="s">
        <v>1192</v>
      </c>
      <c r="E7" s="137">
        <v>1.3125</v>
      </c>
      <c r="F7" s="132" t="s">
        <v>63</v>
      </c>
      <c r="G7" s="134">
        <v>5</v>
      </c>
      <c r="H7" s="135" t="s">
        <v>525</v>
      </c>
    </row>
    <row r="8" spans="1:8" ht="19.899999999999999" customHeight="1">
      <c r="A8" s="123">
        <v>46029</v>
      </c>
      <c r="B8" s="124" t="s">
        <v>402</v>
      </c>
      <c r="C8" s="125" t="s">
        <v>1197</v>
      </c>
      <c r="D8" s="124" t="s">
        <v>1192</v>
      </c>
      <c r="E8" s="126">
        <v>1.3923611111111109</v>
      </c>
      <c r="F8" s="124" t="s">
        <v>63</v>
      </c>
      <c r="G8" s="127">
        <v>8</v>
      </c>
      <c r="H8" s="128" t="s">
        <v>1198</v>
      </c>
    </row>
    <row r="9" spans="1:8" ht="19.899999999999999" customHeight="1">
      <c r="A9" s="129">
        <v>46030</v>
      </c>
      <c r="B9" s="117" t="s">
        <v>61</v>
      </c>
      <c r="C9" s="118" t="s">
        <v>1193</v>
      </c>
      <c r="D9" s="117" t="s">
        <v>1192</v>
      </c>
      <c r="E9" s="130">
        <v>1.7673611111111109</v>
      </c>
      <c r="F9" s="117" t="s">
        <v>63</v>
      </c>
      <c r="G9" s="119">
        <v>7</v>
      </c>
      <c r="H9" s="120" t="s">
        <v>525</v>
      </c>
    </row>
    <row r="10" spans="1:8" ht="19.899999999999999" customHeight="1">
      <c r="A10" s="123">
        <v>46030</v>
      </c>
      <c r="B10" s="124" t="s">
        <v>402</v>
      </c>
      <c r="C10" s="125" t="s">
        <v>1195</v>
      </c>
      <c r="D10" s="124" t="s">
        <v>1192</v>
      </c>
      <c r="E10" s="126">
        <v>1.7013888888888891</v>
      </c>
      <c r="F10" s="124" t="s">
        <v>63</v>
      </c>
      <c r="G10" s="127">
        <v>9</v>
      </c>
      <c r="H10" s="128" t="s">
        <v>1198</v>
      </c>
    </row>
    <row r="11" spans="1:8" ht="19.899999999999999" customHeight="1">
      <c r="A11" s="123">
        <v>46031</v>
      </c>
      <c r="B11" s="124" t="s">
        <v>402</v>
      </c>
      <c r="C11" s="125" t="s">
        <v>1197</v>
      </c>
      <c r="D11" s="124" t="s">
        <v>1192</v>
      </c>
      <c r="E11" s="126">
        <v>1.3090277777777779</v>
      </c>
      <c r="F11" s="124" t="s">
        <v>63</v>
      </c>
      <c r="G11" s="127">
        <v>9</v>
      </c>
      <c r="H11" s="128" t="s">
        <v>1198</v>
      </c>
    </row>
    <row r="12" spans="1:8" ht="19.899999999999999" customHeight="1">
      <c r="A12" s="136">
        <v>46032</v>
      </c>
      <c r="B12" s="132" t="s">
        <v>61</v>
      </c>
      <c r="C12" s="133" t="s">
        <v>1193</v>
      </c>
      <c r="D12" s="132" t="s">
        <v>1192</v>
      </c>
      <c r="E12" s="137">
        <v>1.71875</v>
      </c>
      <c r="F12" s="132" t="s">
        <v>63</v>
      </c>
      <c r="G12" s="134">
        <v>3</v>
      </c>
      <c r="H12" s="135" t="s">
        <v>525</v>
      </c>
    </row>
    <row r="13" spans="1:8" ht="19.899999999999999" customHeight="1">
      <c r="A13" s="123">
        <v>46033</v>
      </c>
      <c r="B13" s="124" t="s">
        <v>402</v>
      </c>
      <c r="C13" s="125" t="s">
        <v>1197</v>
      </c>
      <c r="D13" s="124" t="s">
        <v>1192</v>
      </c>
      <c r="E13" s="126">
        <v>1.3090277777777779</v>
      </c>
      <c r="F13" s="124" t="s">
        <v>63</v>
      </c>
      <c r="G13" s="127">
        <v>9</v>
      </c>
      <c r="H13" s="128" t="s">
        <v>1198</v>
      </c>
    </row>
    <row r="14" spans="1:8" ht="19.899999999999999" customHeight="1">
      <c r="A14" s="136">
        <v>46035</v>
      </c>
      <c r="B14" s="132" t="s">
        <v>61</v>
      </c>
      <c r="C14" s="133" t="s">
        <v>1193</v>
      </c>
      <c r="D14" s="132" t="s">
        <v>1192</v>
      </c>
      <c r="E14" s="137">
        <v>1.3125</v>
      </c>
      <c r="F14" s="132" t="s">
        <v>63</v>
      </c>
      <c r="G14" s="134">
        <v>6</v>
      </c>
      <c r="H14" s="135" t="s">
        <v>525</v>
      </c>
    </row>
    <row r="15" spans="1:8" ht="19.899999999999999" customHeight="1">
      <c r="A15" s="123">
        <v>46036</v>
      </c>
      <c r="B15" s="124" t="s">
        <v>402</v>
      </c>
      <c r="C15" s="125" t="s">
        <v>1197</v>
      </c>
      <c r="D15" s="124" t="s">
        <v>1192</v>
      </c>
      <c r="E15" s="126">
        <v>1.3923611111111109</v>
      </c>
      <c r="F15" s="124" t="s">
        <v>63</v>
      </c>
      <c r="G15" s="127">
        <v>9</v>
      </c>
      <c r="H15" s="128" t="s">
        <v>1198</v>
      </c>
    </row>
    <row r="16" spans="1:8" ht="19.899999999999999" customHeight="1">
      <c r="A16" s="121">
        <v>46037</v>
      </c>
      <c r="B16" s="112" t="s">
        <v>402</v>
      </c>
      <c r="C16" s="113" t="s">
        <v>1195</v>
      </c>
      <c r="D16" s="112" t="s">
        <v>1192</v>
      </c>
      <c r="E16" s="122">
        <v>1.7013888888888891</v>
      </c>
      <c r="F16" s="112" t="s">
        <v>63</v>
      </c>
      <c r="G16" s="114">
        <v>8</v>
      </c>
      <c r="H16" s="115" t="s">
        <v>1198</v>
      </c>
    </row>
    <row r="17" spans="1:8" ht="19.899999999999999" customHeight="1">
      <c r="A17" s="136">
        <v>46037</v>
      </c>
      <c r="B17" s="132" t="s">
        <v>61</v>
      </c>
      <c r="C17" s="133" t="s">
        <v>1193</v>
      </c>
      <c r="D17" s="132" t="s">
        <v>1192</v>
      </c>
      <c r="E17" s="137">
        <v>1.7673611111111109</v>
      </c>
      <c r="F17" s="132" t="s">
        <v>63</v>
      </c>
      <c r="G17" s="134">
        <v>9</v>
      </c>
      <c r="H17" s="135" t="s">
        <v>449</v>
      </c>
    </row>
    <row r="18" spans="1:8" ht="19.899999999999999" customHeight="1">
      <c r="A18" s="123">
        <v>46038</v>
      </c>
      <c r="B18" s="124" t="s">
        <v>402</v>
      </c>
      <c r="C18" s="125" t="s">
        <v>1197</v>
      </c>
      <c r="D18" s="124" t="s">
        <v>1192</v>
      </c>
      <c r="E18" s="126">
        <v>1.3090277777777779</v>
      </c>
      <c r="F18" s="124" t="s">
        <v>63</v>
      </c>
      <c r="G18" s="127">
        <v>9</v>
      </c>
      <c r="H18" s="128" t="s">
        <v>1198</v>
      </c>
    </row>
    <row r="19" spans="1:8" ht="19.899999999999999" customHeight="1">
      <c r="A19" s="136">
        <v>46039</v>
      </c>
      <c r="B19" s="132" t="s">
        <v>61</v>
      </c>
      <c r="C19" s="133" t="s">
        <v>1193</v>
      </c>
      <c r="D19" s="132" t="s">
        <v>1192</v>
      </c>
      <c r="E19" s="137">
        <v>1.71875</v>
      </c>
      <c r="F19" s="132" t="s">
        <v>63</v>
      </c>
      <c r="G19" s="134">
        <v>9</v>
      </c>
      <c r="H19" s="135" t="s">
        <v>449</v>
      </c>
    </row>
    <row r="20" spans="1:8" ht="19.899999999999999" customHeight="1">
      <c r="A20" s="123">
        <v>46040</v>
      </c>
      <c r="B20" s="124" t="s">
        <v>402</v>
      </c>
      <c r="C20" s="125" t="s">
        <v>1197</v>
      </c>
      <c r="D20" s="124" t="s">
        <v>1192</v>
      </c>
      <c r="E20" s="126">
        <v>1.3090277777777779</v>
      </c>
      <c r="F20" s="124" t="s">
        <v>63</v>
      </c>
      <c r="G20" s="127">
        <v>6</v>
      </c>
      <c r="H20" s="128" t="s">
        <v>1198</v>
      </c>
    </row>
    <row r="21" spans="1:8" ht="19.899999999999999" customHeight="1">
      <c r="A21" s="136">
        <v>46042</v>
      </c>
      <c r="B21" s="132" t="s">
        <v>61</v>
      </c>
      <c r="C21" s="133" t="s">
        <v>1193</v>
      </c>
      <c r="D21" s="132" t="s">
        <v>1192</v>
      </c>
      <c r="E21" s="137">
        <v>1.3125</v>
      </c>
      <c r="F21" s="132" t="s">
        <v>63</v>
      </c>
      <c r="G21" s="134">
        <v>4</v>
      </c>
      <c r="H21" s="135" t="s">
        <v>840</v>
      </c>
    </row>
    <row r="22" spans="1:8" ht="19.899999999999999" customHeight="1">
      <c r="A22" s="123">
        <v>46043</v>
      </c>
      <c r="B22" s="124" t="s">
        <v>402</v>
      </c>
      <c r="C22" s="125" t="s">
        <v>1197</v>
      </c>
      <c r="D22" s="124" t="s">
        <v>1192</v>
      </c>
      <c r="E22" s="126">
        <v>1.3923611111111109</v>
      </c>
      <c r="F22" s="124" t="s">
        <v>63</v>
      </c>
      <c r="G22" s="127">
        <v>9</v>
      </c>
      <c r="H22" s="128" t="s">
        <v>1198</v>
      </c>
    </row>
    <row r="23" spans="1:8" ht="19.899999999999999" customHeight="1">
      <c r="A23" s="121">
        <v>46044</v>
      </c>
      <c r="B23" s="112" t="s">
        <v>402</v>
      </c>
      <c r="C23" s="113" t="s">
        <v>1195</v>
      </c>
      <c r="D23" s="112" t="s">
        <v>1192</v>
      </c>
      <c r="E23" s="122">
        <v>1.7013888888888891</v>
      </c>
      <c r="F23" s="112" t="s">
        <v>63</v>
      </c>
      <c r="G23" s="114">
        <v>9</v>
      </c>
      <c r="H23" s="115" t="s">
        <v>1198</v>
      </c>
    </row>
    <row r="24" spans="1:8" ht="19.899999999999999" customHeight="1">
      <c r="A24" s="136">
        <v>46044</v>
      </c>
      <c r="B24" s="132" t="s">
        <v>61</v>
      </c>
      <c r="C24" s="133" t="s">
        <v>1193</v>
      </c>
      <c r="D24" s="132" t="s">
        <v>1192</v>
      </c>
      <c r="E24" s="137">
        <v>1.7673611111111109</v>
      </c>
      <c r="F24" s="132" t="s">
        <v>63</v>
      </c>
      <c r="G24" s="134">
        <v>7</v>
      </c>
      <c r="H24" s="135" t="s">
        <v>1201</v>
      </c>
    </row>
    <row r="25" spans="1:8" ht="19.899999999999999" customHeight="1">
      <c r="A25" s="123">
        <v>46045</v>
      </c>
      <c r="B25" s="124" t="s">
        <v>402</v>
      </c>
      <c r="C25" s="125" t="s">
        <v>1197</v>
      </c>
      <c r="D25" s="124" t="s">
        <v>1192</v>
      </c>
      <c r="E25" s="126">
        <v>1.3090277777777779</v>
      </c>
      <c r="F25" s="124" t="s">
        <v>63</v>
      </c>
      <c r="G25" s="127">
        <v>5</v>
      </c>
      <c r="H25" s="128" t="s">
        <v>1198</v>
      </c>
    </row>
    <row r="26" spans="1:8" ht="19.899999999999999" customHeight="1">
      <c r="A26" s="136">
        <v>46046</v>
      </c>
      <c r="B26" s="132" t="s">
        <v>61</v>
      </c>
      <c r="C26" s="133" t="s">
        <v>1193</v>
      </c>
      <c r="D26" s="132" t="s">
        <v>1192</v>
      </c>
      <c r="E26" s="137">
        <v>1.71875</v>
      </c>
      <c r="F26" s="132" t="s">
        <v>63</v>
      </c>
      <c r="G26" s="134">
        <v>2</v>
      </c>
      <c r="H26" s="135" t="s">
        <v>1201</v>
      </c>
    </row>
    <row r="27" spans="1:8" ht="19.899999999999999" customHeight="1">
      <c r="A27" s="123">
        <v>46047</v>
      </c>
      <c r="B27" s="124" t="s">
        <v>402</v>
      </c>
      <c r="C27" s="125" t="s">
        <v>1197</v>
      </c>
      <c r="D27" s="124" t="s">
        <v>1192</v>
      </c>
      <c r="E27" s="126">
        <v>1.3090277777777779</v>
      </c>
      <c r="F27" s="124" t="s">
        <v>63</v>
      </c>
      <c r="G27" s="127">
        <v>1</v>
      </c>
      <c r="H27" s="128" t="s">
        <v>1198</v>
      </c>
    </row>
    <row r="28" spans="1:8" ht="19.899999999999999" customHeight="1">
      <c r="A28" s="136">
        <v>46049</v>
      </c>
      <c r="B28" s="132" t="s">
        <v>61</v>
      </c>
      <c r="C28" s="133" t="s">
        <v>1193</v>
      </c>
      <c r="D28" s="132" t="s">
        <v>1192</v>
      </c>
      <c r="E28" s="137">
        <v>1.3125</v>
      </c>
      <c r="F28" s="132" t="s">
        <v>63</v>
      </c>
      <c r="G28" s="134">
        <v>2</v>
      </c>
      <c r="H28" s="135" t="s">
        <v>840</v>
      </c>
    </row>
    <row r="29" spans="1:8" ht="19.899999999999999" customHeight="1">
      <c r="A29" s="123">
        <v>46050</v>
      </c>
      <c r="B29" s="124" t="s">
        <v>402</v>
      </c>
      <c r="C29" s="125" t="s">
        <v>1197</v>
      </c>
      <c r="D29" s="124" t="s">
        <v>1192</v>
      </c>
      <c r="E29" s="126">
        <v>1.3923611111111109</v>
      </c>
      <c r="F29" s="124" t="s">
        <v>63</v>
      </c>
      <c r="G29" s="127">
        <v>8</v>
      </c>
      <c r="H29" s="128" t="s">
        <v>1198</v>
      </c>
    </row>
    <row r="30" spans="1:8" ht="19.899999999999999" customHeight="1">
      <c r="A30" s="121">
        <v>46051</v>
      </c>
      <c r="B30" s="112" t="s">
        <v>402</v>
      </c>
      <c r="C30" s="113" t="s">
        <v>1195</v>
      </c>
      <c r="D30" s="112" t="s">
        <v>1192</v>
      </c>
      <c r="E30" s="122">
        <v>1.7013888888888891</v>
      </c>
      <c r="F30" s="112" t="s">
        <v>63</v>
      </c>
      <c r="G30" s="114">
        <v>9</v>
      </c>
      <c r="H30" s="115" t="s">
        <v>1198</v>
      </c>
    </row>
    <row r="31" spans="1:8" ht="19.899999999999999" customHeight="1">
      <c r="A31" s="136">
        <v>46051</v>
      </c>
      <c r="B31" s="132" t="s">
        <v>61</v>
      </c>
      <c r="C31" s="133" t="s">
        <v>1193</v>
      </c>
      <c r="D31" s="132" t="s">
        <v>1192</v>
      </c>
      <c r="E31" s="137">
        <v>1.7673611111111109</v>
      </c>
      <c r="F31" s="132" t="s">
        <v>63</v>
      </c>
      <c r="G31" s="134">
        <v>4</v>
      </c>
      <c r="H31" s="135" t="s">
        <v>840</v>
      </c>
    </row>
    <row r="32" spans="1:8" ht="19.899999999999999" customHeight="1">
      <c r="A32" s="123">
        <v>46052</v>
      </c>
      <c r="B32" s="124" t="s">
        <v>402</v>
      </c>
      <c r="C32" s="125" t="s">
        <v>1197</v>
      </c>
      <c r="D32" s="124" t="s">
        <v>1192</v>
      </c>
      <c r="E32" s="126">
        <v>1.3090277777777779</v>
      </c>
      <c r="F32" s="124" t="s">
        <v>63</v>
      </c>
      <c r="G32" s="127">
        <v>9</v>
      </c>
      <c r="H32" s="128" t="s">
        <v>1198</v>
      </c>
    </row>
    <row r="33" spans="1:8" ht="19.899999999999999" customHeight="1">
      <c r="A33" s="136">
        <v>46053</v>
      </c>
      <c r="B33" s="132" t="s">
        <v>61</v>
      </c>
      <c r="C33" s="133" t="s">
        <v>1193</v>
      </c>
      <c r="D33" s="132" t="s">
        <v>1192</v>
      </c>
      <c r="E33" s="137">
        <v>1.71875</v>
      </c>
      <c r="F33" s="132" t="s">
        <v>63</v>
      </c>
      <c r="G33" s="134">
        <v>3</v>
      </c>
      <c r="H33" s="135" t="s">
        <v>840</v>
      </c>
    </row>
  </sheetData>
  <pageMargins left="0.75" right="0.75" top="1" bottom="1" header="0.5" footer="0.5"/>
  <legacyDrawing r:id="rId1"/>
  <tableParts count="1">
    <tablePart r:id="rId2"/>
  </tableParts>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29"/>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29.28515625" bestFit="1" customWidth="1"/>
    <col min="7" max="7" width="20" bestFit="1" customWidth="1"/>
    <col min="8" max="8" width="23.7109375" bestFit="1" customWidth="1"/>
    <col min="9" max="9" width="155.140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31" t="s">
        <v>254</v>
      </c>
      <c r="B2" s="132" t="s">
        <v>61</v>
      </c>
      <c r="C2" s="133" t="s">
        <v>1193</v>
      </c>
      <c r="D2" s="132" t="s">
        <v>1192</v>
      </c>
      <c r="E2" s="132" t="s">
        <v>1202</v>
      </c>
      <c r="F2" s="132" t="s">
        <v>63</v>
      </c>
      <c r="G2" s="134">
        <v>3</v>
      </c>
      <c r="H2" s="135" t="s">
        <v>525</v>
      </c>
    </row>
    <row r="3" spans="1:8" ht="19.899999999999999" customHeight="1">
      <c r="A3" s="123">
        <v>46024</v>
      </c>
      <c r="B3" s="124" t="s">
        <v>402</v>
      </c>
      <c r="C3" s="125" t="s">
        <v>1197</v>
      </c>
      <c r="D3" s="124" t="s">
        <v>1192</v>
      </c>
      <c r="E3" s="126">
        <v>1.3090277777777779</v>
      </c>
      <c r="F3" s="124" t="s">
        <v>63</v>
      </c>
      <c r="G3" s="127">
        <v>9</v>
      </c>
      <c r="H3" s="128" t="s">
        <v>1198</v>
      </c>
    </row>
    <row r="4" spans="1:8" ht="19.899999999999999" customHeight="1">
      <c r="A4" s="136">
        <v>46025</v>
      </c>
      <c r="B4" s="132" t="s">
        <v>61</v>
      </c>
      <c r="C4" s="133" t="s">
        <v>1193</v>
      </c>
      <c r="D4" s="132" t="s">
        <v>1192</v>
      </c>
      <c r="E4" s="137">
        <v>1.71875</v>
      </c>
      <c r="F4" s="132" t="s">
        <v>63</v>
      </c>
      <c r="G4" s="134">
        <v>3</v>
      </c>
      <c r="H4" s="135" t="s">
        <v>525</v>
      </c>
    </row>
    <row r="5" spans="1:8" ht="19.899999999999999" customHeight="1">
      <c r="A5" s="123">
        <v>46026</v>
      </c>
      <c r="B5" s="124" t="s">
        <v>402</v>
      </c>
      <c r="C5" s="125" t="s">
        <v>1197</v>
      </c>
      <c r="D5" s="124" t="s">
        <v>1192</v>
      </c>
      <c r="E5" s="126">
        <v>1.3090277777777779</v>
      </c>
      <c r="F5" s="124" t="s">
        <v>63</v>
      </c>
      <c r="G5" s="127">
        <v>9</v>
      </c>
      <c r="H5" s="128" t="s">
        <v>1198</v>
      </c>
    </row>
    <row r="6" spans="1:8" ht="19.899999999999999" customHeight="1">
      <c r="A6" s="136">
        <v>46028</v>
      </c>
      <c r="B6" s="132" t="s">
        <v>61</v>
      </c>
      <c r="C6" s="133" t="s">
        <v>1193</v>
      </c>
      <c r="D6" s="132" t="s">
        <v>1192</v>
      </c>
      <c r="E6" s="137">
        <v>1.3125</v>
      </c>
      <c r="F6" s="132" t="s">
        <v>63</v>
      </c>
      <c r="G6" s="134">
        <v>5</v>
      </c>
      <c r="H6" s="135" t="s">
        <v>525</v>
      </c>
    </row>
    <row r="7" spans="1:8" ht="19.899999999999999" customHeight="1">
      <c r="A7" s="123">
        <v>46029</v>
      </c>
      <c r="B7" s="124" t="s">
        <v>402</v>
      </c>
      <c r="C7" s="125" t="s">
        <v>1197</v>
      </c>
      <c r="D7" s="124" t="s">
        <v>1192</v>
      </c>
      <c r="E7" s="126">
        <v>1.3923611111111109</v>
      </c>
      <c r="F7" s="124" t="s">
        <v>63</v>
      </c>
      <c r="G7" s="127">
        <v>8</v>
      </c>
      <c r="H7" s="128" t="s">
        <v>1198</v>
      </c>
    </row>
    <row r="8" spans="1:8" ht="19.899999999999999" customHeight="1">
      <c r="A8" s="136">
        <v>46030</v>
      </c>
      <c r="B8" s="132" t="s">
        <v>61</v>
      </c>
      <c r="C8" s="133" t="s">
        <v>1193</v>
      </c>
      <c r="D8" s="132" t="s">
        <v>1192</v>
      </c>
      <c r="E8" s="137">
        <v>1.7673611111111109</v>
      </c>
      <c r="F8" s="132" t="s">
        <v>63</v>
      </c>
      <c r="G8" s="134">
        <v>7</v>
      </c>
      <c r="H8" s="135" t="s">
        <v>525</v>
      </c>
    </row>
    <row r="9" spans="1:8" ht="19.899999999999999" customHeight="1">
      <c r="A9" s="123">
        <v>46031</v>
      </c>
      <c r="B9" s="124" t="s">
        <v>402</v>
      </c>
      <c r="C9" s="125" t="s">
        <v>1197</v>
      </c>
      <c r="D9" s="124" t="s">
        <v>1192</v>
      </c>
      <c r="E9" s="126">
        <v>1.3090277777777779</v>
      </c>
      <c r="F9" s="124" t="s">
        <v>63</v>
      </c>
      <c r="G9" s="127">
        <v>9</v>
      </c>
      <c r="H9" s="128" t="s">
        <v>1198</v>
      </c>
    </row>
    <row r="10" spans="1:8" ht="19.899999999999999" customHeight="1">
      <c r="A10" s="136">
        <v>46032</v>
      </c>
      <c r="B10" s="132" t="s">
        <v>61</v>
      </c>
      <c r="C10" s="133" t="s">
        <v>1193</v>
      </c>
      <c r="D10" s="132" t="s">
        <v>1192</v>
      </c>
      <c r="E10" s="137">
        <v>1.71875</v>
      </c>
      <c r="F10" s="132" t="s">
        <v>63</v>
      </c>
      <c r="G10" s="134">
        <v>3</v>
      </c>
      <c r="H10" s="135" t="s">
        <v>525</v>
      </c>
    </row>
    <row r="11" spans="1:8" ht="19.899999999999999" customHeight="1">
      <c r="A11" s="123">
        <v>46033</v>
      </c>
      <c r="B11" s="124" t="s">
        <v>402</v>
      </c>
      <c r="C11" s="125" t="s">
        <v>1197</v>
      </c>
      <c r="D11" s="124" t="s">
        <v>1192</v>
      </c>
      <c r="E11" s="126">
        <v>1.3090277777777779</v>
      </c>
      <c r="F11" s="124" t="s">
        <v>63</v>
      </c>
      <c r="G11" s="127">
        <v>9</v>
      </c>
      <c r="H11" s="128" t="s">
        <v>1198</v>
      </c>
    </row>
    <row r="12" spans="1:8" ht="19.899999999999999" customHeight="1">
      <c r="A12" s="136">
        <v>46035</v>
      </c>
      <c r="B12" s="132" t="s">
        <v>61</v>
      </c>
      <c r="C12" s="133" t="s">
        <v>1193</v>
      </c>
      <c r="D12" s="132" t="s">
        <v>1192</v>
      </c>
      <c r="E12" s="137">
        <v>1.3125</v>
      </c>
      <c r="F12" s="132" t="s">
        <v>63</v>
      </c>
      <c r="G12" s="134">
        <v>6</v>
      </c>
      <c r="H12" s="135" t="s">
        <v>525</v>
      </c>
    </row>
    <row r="13" spans="1:8" ht="19.899999999999999" customHeight="1">
      <c r="A13" s="123">
        <v>46036</v>
      </c>
      <c r="B13" s="124" t="s">
        <v>402</v>
      </c>
      <c r="C13" s="125" t="s">
        <v>1197</v>
      </c>
      <c r="D13" s="124" t="s">
        <v>1192</v>
      </c>
      <c r="E13" s="126">
        <v>1.3923611111111109</v>
      </c>
      <c r="F13" s="124" t="s">
        <v>63</v>
      </c>
      <c r="G13" s="127">
        <v>9</v>
      </c>
      <c r="H13" s="128" t="s">
        <v>1198</v>
      </c>
    </row>
    <row r="14" spans="1:8" ht="19.899999999999999" customHeight="1">
      <c r="A14" s="136">
        <v>46037</v>
      </c>
      <c r="B14" s="132" t="s">
        <v>61</v>
      </c>
      <c r="C14" s="133" t="s">
        <v>1193</v>
      </c>
      <c r="D14" s="132" t="s">
        <v>1192</v>
      </c>
      <c r="E14" s="137">
        <v>1.7673611111111109</v>
      </c>
      <c r="F14" s="132" t="s">
        <v>63</v>
      </c>
      <c r="G14" s="134">
        <v>9</v>
      </c>
      <c r="H14" s="135" t="s">
        <v>449</v>
      </c>
    </row>
    <row r="15" spans="1:8" ht="19.899999999999999" customHeight="1">
      <c r="A15" s="123">
        <v>46038</v>
      </c>
      <c r="B15" s="124" t="s">
        <v>402</v>
      </c>
      <c r="C15" s="125" t="s">
        <v>1197</v>
      </c>
      <c r="D15" s="124" t="s">
        <v>1192</v>
      </c>
      <c r="E15" s="126">
        <v>1.3090277777777779</v>
      </c>
      <c r="F15" s="124" t="s">
        <v>63</v>
      </c>
      <c r="G15" s="127">
        <v>9</v>
      </c>
      <c r="H15" s="128" t="s">
        <v>1198</v>
      </c>
    </row>
    <row r="16" spans="1:8" ht="19.899999999999999" customHeight="1">
      <c r="A16" s="136">
        <v>46039</v>
      </c>
      <c r="B16" s="132" t="s">
        <v>61</v>
      </c>
      <c r="C16" s="133" t="s">
        <v>1193</v>
      </c>
      <c r="D16" s="132" t="s">
        <v>1192</v>
      </c>
      <c r="E16" s="137">
        <v>1.71875</v>
      </c>
      <c r="F16" s="132" t="s">
        <v>63</v>
      </c>
      <c r="G16" s="134">
        <v>9</v>
      </c>
      <c r="H16" s="135" t="s">
        <v>449</v>
      </c>
    </row>
    <row r="17" spans="1:8" ht="19.899999999999999" customHeight="1">
      <c r="A17" s="123">
        <v>46040</v>
      </c>
      <c r="B17" s="124" t="s">
        <v>402</v>
      </c>
      <c r="C17" s="125" t="s">
        <v>1197</v>
      </c>
      <c r="D17" s="124" t="s">
        <v>1192</v>
      </c>
      <c r="E17" s="126">
        <v>1.3090277777777779</v>
      </c>
      <c r="F17" s="124" t="s">
        <v>63</v>
      </c>
      <c r="G17" s="127">
        <v>6</v>
      </c>
      <c r="H17" s="128" t="s">
        <v>1198</v>
      </c>
    </row>
    <row r="18" spans="1:8" ht="19.899999999999999" customHeight="1">
      <c r="A18" s="136">
        <v>46042</v>
      </c>
      <c r="B18" s="132" t="s">
        <v>61</v>
      </c>
      <c r="C18" s="133" t="s">
        <v>1193</v>
      </c>
      <c r="D18" s="132" t="s">
        <v>1192</v>
      </c>
      <c r="E18" s="137">
        <v>1.3125</v>
      </c>
      <c r="F18" s="132" t="s">
        <v>63</v>
      </c>
      <c r="G18" s="134">
        <v>4</v>
      </c>
      <c r="H18" s="135" t="s">
        <v>840</v>
      </c>
    </row>
    <row r="19" spans="1:8" ht="19.899999999999999" customHeight="1">
      <c r="A19" s="123">
        <v>46043</v>
      </c>
      <c r="B19" s="124" t="s">
        <v>402</v>
      </c>
      <c r="C19" s="125" t="s">
        <v>1197</v>
      </c>
      <c r="D19" s="124" t="s">
        <v>1192</v>
      </c>
      <c r="E19" s="126">
        <v>1.3923611111111109</v>
      </c>
      <c r="F19" s="124" t="s">
        <v>63</v>
      </c>
      <c r="G19" s="127">
        <v>9</v>
      </c>
      <c r="H19" s="128" t="s">
        <v>1198</v>
      </c>
    </row>
    <row r="20" spans="1:8" ht="19.899999999999999" customHeight="1">
      <c r="A20" s="136">
        <v>46044</v>
      </c>
      <c r="B20" s="132" t="s">
        <v>61</v>
      </c>
      <c r="C20" s="133" t="s">
        <v>1193</v>
      </c>
      <c r="D20" s="132" t="s">
        <v>1192</v>
      </c>
      <c r="E20" s="137">
        <v>1.7673611111111109</v>
      </c>
      <c r="F20" s="132" t="s">
        <v>63</v>
      </c>
      <c r="G20" s="134">
        <v>7</v>
      </c>
      <c r="H20" s="135" t="s">
        <v>1201</v>
      </c>
    </row>
    <row r="21" spans="1:8" ht="19.899999999999999" customHeight="1">
      <c r="A21" s="123">
        <v>46045</v>
      </c>
      <c r="B21" s="124" t="s">
        <v>402</v>
      </c>
      <c r="C21" s="125" t="s">
        <v>1197</v>
      </c>
      <c r="D21" s="124" t="s">
        <v>1192</v>
      </c>
      <c r="E21" s="126">
        <v>1.3090277777777779</v>
      </c>
      <c r="F21" s="124" t="s">
        <v>63</v>
      </c>
      <c r="G21" s="127">
        <v>5</v>
      </c>
      <c r="H21" s="128" t="s">
        <v>1198</v>
      </c>
    </row>
    <row r="22" spans="1:8" ht="19.899999999999999" customHeight="1">
      <c r="A22" s="136">
        <v>46046</v>
      </c>
      <c r="B22" s="132" t="s">
        <v>61</v>
      </c>
      <c r="C22" s="133" t="s">
        <v>1193</v>
      </c>
      <c r="D22" s="132" t="s">
        <v>1192</v>
      </c>
      <c r="E22" s="137">
        <v>1.71875</v>
      </c>
      <c r="F22" s="132" t="s">
        <v>63</v>
      </c>
      <c r="G22" s="134">
        <v>2</v>
      </c>
      <c r="H22" s="135" t="s">
        <v>1201</v>
      </c>
    </row>
    <row r="23" spans="1:8" ht="19.899999999999999" customHeight="1">
      <c r="A23" s="123">
        <v>46047</v>
      </c>
      <c r="B23" s="124" t="s">
        <v>402</v>
      </c>
      <c r="C23" s="125" t="s">
        <v>1197</v>
      </c>
      <c r="D23" s="124" t="s">
        <v>1192</v>
      </c>
      <c r="E23" s="126">
        <v>1.3090277777777779</v>
      </c>
      <c r="F23" s="124" t="s">
        <v>63</v>
      </c>
      <c r="G23" s="127">
        <v>1</v>
      </c>
      <c r="H23" s="128" t="s">
        <v>1198</v>
      </c>
    </row>
    <row r="24" spans="1:8" ht="19.899999999999999" customHeight="1">
      <c r="A24" s="136">
        <v>46049</v>
      </c>
      <c r="B24" s="132" t="s">
        <v>61</v>
      </c>
      <c r="C24" s="133" t="s">
        <v>1193</v>
      </c>
      <c r="D24" s="132" t="s">
        <v>1192</v>
      </c>
      <c r="E24" s="137">
        <v>1.3125</v>
      </c>
      <c r="F24" s="132" t="s">
        <v>63</v>
      </c>
      <c r="G24" s="134">
        <v>2</v>
      </c>
      <c r="H24" s="135" t="s">
        <v>840</v>
      </c>
    </row>
    <row r="25" spans="1:8" ht="19.899999999999999" customHeight="1">
      <c r="A25" s="123">
        <v>46050</v>
      </c>
      <c r="B25" s="124" t="s">
        <v>402</v>
      </c>
      <c r="C25" s="125" t="s">
        <v>1197</v>
      </c>
      <c r="D25" s="124" t="s">
        <v>1192</v>
      </c>
      <c r="E25" s="126">
        <v>1.3923611111111109</v>
      </c>
      <c r="F25" s="124" t="s">
        <v>63</v>
      </c>
      <c r="G25" s="127">
        <v>8</v>
      </c>
      <c r="H25" s="128" t="s">
        <v>1198</v>
      </c>
    </row>
    <row r="26" spans="1:8" ht="19.899999999999999" customHeight="1">
      <c r="A26" s="121">
        <v>46051</v>
      </c>
      <c r="B26" s="112" t="s">
        <v>402</v>
      </c>
      <c r="C26" s="113" t="s">
        <v>1195</v>
      </c>
      <c r="D26" s="112" t="s">
        <v>1192</v>
      </c>
      <c r="E26" s="122">
        <v>1.7013888888888891</v>
      </c>
      <c r="F26" s="112" t="s">
        <v>63</v>
      </c>
      <c r="G26" s="114">
        <v>9</v>
      </c>
      <c r="H26" s="115" t="s">
        <v>1198</v>
      </c>
    </row>
    <row r="27" spans="1:8" ht="19.899999999999999" customHeight="1">
      <c r="A27" s="136">
        <v>46051</v>
      </c>
      <c r="B27" s="132" t="s">
        <v>61</v>
      </c>
      <c r="C27" s="133" t="s">
        <v>1193</v>
      </c>
      <c r="D27" s="132" t="s">
        <v>1192</v>
      </c>
      <c r="E27" s="137">
        <v>1.7673611111111109</v>
      </c>
      <c r="F27" s="132" t="s">
        <v>63</v>
      </c>
      <c r="G27" s="134">
        <v>4</v>
      </c>
      <c r="H27" s="135" t="s">
        <v>840</v>
      </c>
    </row>
    <row r="28" spans="1:8" ht="19.899999999999999" customHeight="1">
      <c r="A28" s="123">
        <v>46052</v>
      </c>
      <c r="B28" s="124" t="s">
        <v>402</v>
      </c>
      <c r="C28" s="125" t="s">
        <v>1197</v>
      </c>
      <c r="D28" s="124" t="s">
        <v>1192</v>
      </c>
      <c r="E28" s="126">
        <v>1.3090277777777779</v>
      </c>
      <c r="F28" s="124" t="s">
        <v>63</v>
      </c>
      <c r="G28" s="127">
        <v>9</v>
      </c>
      <c r="H28" s="128" t="s">
        <v>1198</v>
      </c>
    </row>
    <row r="29" spans="1:8" ht="19.899999999999999" customHeight="1">
      <c r="A29" s="136">
        <v>46053</v>
      </c>
      <c r="B29" s="132" t="s">
        <v>61</v>
      </c>
      <c r="C29" s="133" t="s">
        <v>1193</v>
      </c>
      <c r="D29" s="132" t="s">
        <v>1192</v>
      </c>
      <c r="E29" s="137">
        <v>1.71875</v>
      </c>
      <c r="F29" s="132" t="s">
        <v>63</v>
      </c>
      <c r="G29" s="134">
        <v>3</v>
      </c>
      <c r="H29" s="135" t="s">
        <v>840</v>
      </c>
    </row>
  </sheetData>
  <pageMargins left="0.75" right="0.75" top="1" bottom="1" header="0.5" footer="0.5"/>
  <legacyDrawing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N34"/>
  <sheetViews>
    <sheetView workbookViewId="0"/>
  </sheetViews>
  <sheetFormatPr defaultRowHeight="14.45"/>
  <cols>
    <col min="1" max="1" width="10.28515625" bestFit="1" customWidth="1"/>
    <col min="2" max="2" width="15.7109375" bestFit="1" customWidth="1"/>
    <col min="3" max="3" width="14.7109375" bestFit="1" customWidth="1"/>
    <col min="4" max="4" width="29.85546875" bestFit="1" customWidth="1"/>
    <col min="5" max="5" width="20.140625" bestFit="1" customWidth="1"/>
    <col min="6" max="6" width="23.42578125" bestFit="1" customWidth="1"/>
    <col min="7" max="7" width="40.5703125" bestFit="1" customWidth="1"/>
    <col min="8" max="8" width="9.42578125" bestFit="1" customWidth="1"/>
    <col min="9" max="9" width="6.710937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10.7109375" bestFit="1" customWidth="1"/>
  </cols>
  <sheetData>
    <row r="1" spans="1:92" ht="28.9" customHeight="1">
      <c r="A1" s="291" t="s">
        <v>0</v>
      </c>
      <c r="B1" s="294"/>
      <c r="C1" s="294"/>
      <c r="D1" s="294"/>
      <c r="E1" s="294"/>
      <c r="F1" s="1" t="s">
        <v>1205</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45980.610532063889</v>
      </c>
      <c r="H2" s="294"/>
      <c r="I2" s="294"/>
      <c r="J2" s="294"/>
      <c r="K2" s="287">
        <v>45980.610532064202</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46024</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78" t="s">
        <v>61</v>
      </c>
      <c r="B6" s="78" t="s">
        <v>1206</v>
      </c>
      <c r="C6" s="79">
        <v>0.47916666666666669</v>
      </c>
      <c r="D6" s="78" t="s">
        <v>63</v>
      </c>
      <c r="E6" s="78" t="s">
        <v>177</v>
      </c>
      <c r="F6" s="78" t="s">
        <v>1207</v>
      </c>
      <c r="G6" s="297"/>
      <c r="H6" s="80" t="s">
        <v>1208</v>
      </c>
      <c r="I6" s="81">
        <v>5.5999999999999999E-3</v>
      </c>
      <c r="J6" s="82">
        <v>1</v>
      </c>
      <c r="K6" s="83">
        <v>46319</v>
      </c>
      <c r="L6" s="82">
        <v>1</v>
      </c>
      <c r="M6" s="82">
        <v>0</v>
      </c>
      <c r="N6" s="82">
        <v>0</v>
      </c>
      <c r="O6" s="84" t="s">
        <v>900</v>
      </c>
      <c r="P6" s="85">
        <v>0.47916666666666669</v>
      </c>
      <c r="Q6" s="82">
        <v>179</v>
      </c>
      <c r="R6" s="86" t="s">
        <v>244</v>
      </c>
    </row>
    <row r="7" spans="1:92" ht="18">
      <c r="A7" s="292" t="s">
        <v>1209</v>
      </c>
      <c r="B7" s="303"/>
      <c r="C7" s="303"/>
      <c r="D7" s="303"/>
      <c r="E7" s="303"/>
      <c r="F7" s="304"/>
      <c r="G7" s="298"/>
      <c r="H7" s="138"/>
      <c r="I7" s="138"/>
      <c r="J7" s="138"/>
      <c r="K7" s="138"/>
      <c r="L7" s="138"/>
      <c r="M7" s="138"/>
      <c r="N7" s="138"/>
      <c r="O7" s="139"/>
      <c r="P7" s="138"/>
      <c r="Q7" s="107"/>
      <c r="R7" s="107"/>
    </row>
    <row r="8" spans="1:92" ht="49.9" customHeight="1" thickBot="1">
      <c r="A8" s="30" t="s">
        <v>402</v>
      </c>
      <c r="B8" s="30" t="s">
        <v>1197</v>
      </c>
      <c r="C8" s="31" t="s">
        <v>1210</v>
      </c>
      <c r="D8" s="30" t="s">
        <v>63</v>
      </c>
      <c r="E8" s="30" t="s">
        <v>269</v>
      </c>
      <c r="F8" s="30" t="s">
        <v>1198</v>
      </c>
      <c r="G8" s="299"/>
      <c r="H8" s="140"/>
      <c r="I8" s="140"/>
      <c r="J8" s="140"/>
      <c r="K8" s="140"/>
      <c r="L8" s="140"/>
      <c r="M8" s="140"/>
      <c r="N8" s="140"/>
      <c r="O8" s="141"/>
      <c r="P8" s="140"/>
      <c r="Q8" s="142"/>
      <c r="R8" s="142"/>
    </row>
    <row r="9" spans="1:92" ht="17.45" customHeight="1" thickBot="1">
      <c r="A9" s="283"/>
      <c r="B9" s="284"/>
      <c r="C9" s="284"/>
      <c r="D9" s="284"/>
      <c r="E9" s="284"/>
      <c r="F9" s="284"/>
      <c r="G9" s="284"/>
      <c r="H9" s="284"/>
      <c r="I9" s="284"/>
      <c r="J9" s="284"/>
      <c r="K9" s="284"/>
      <c r="L9" s="284"/>
      <c r="M9" s="284"/>
      <c r="N9" s="284"/>
      <c r="O9" s="284"/>
      <c r="P9" s="284"/>
      <c r="Q9" s="284"/>
      <c r="R9" s="285"/>
    </row>
    <row r="10" spans="1:92" ht="22.15" customHeight="1" thickTop="1" thickBot="1">
      <c r="A10" s="279" t="s">
        <v>6</v>
      </c>
      <c r="B10" s="295"/>
      <c r="C10" s="295"/>
      <c r="D10" s="295"/>
      <c r="E10" s="295"/>
      <c r="F10" s="296"/>
      <c r="G10" s="32">
        <v>46031</v>
      </c>
      <c r="H10" s="278" t="s">
        <v>7</v>
      </c>
      <c r="I10" s="295"/>
      <c r="J10" s="295"/>
      <c r="K10" s="295"/>
      <c r="L10" s="295"/>
      <c r="M10" s="295"/>
      <c r="N10" s="295"/>
      <c r="O10" s="295"/>
      <c r="P10" s="295"/>
      <c r="Q10" s="295"/>
      <c r="R10" s="296"/>
    </row>
    <row r="11" spans="1:92" ht="24" customHeight="1">
      <c r="A11" s="33" t="s">
        <v>8</v>
      </c>
      <c r="B11" s="33" t="s">
        <v>9</v>
      </c>
      <c r="C11" s="34" t="s">
        <v>10</v>
      </c>
      <c r="D11" s="33" t="s">
        <v>11</v>
      </c>
      <c r="E11" s="33" t="s">
        <v>12</v>
      </c>
      <c r="F11" s="35" t="s">
        <v>13</v>
      </c>
      <c r="G11" s="36" t="s">
        <v>14</v>
      </c>
      <c r="H11" s="33" t="s">
        <v>15</v>
      </c>
      <c r="I11" s="37" t="s">
        <v>16</v>
      </c>
      <c r="J11" s="38" t="s">
        <v>17</v>
      </c>
      <c r="K11" s="39" t="s">
        <v>18</v>
      </c>
      <c r="L11" s="38" t="s">
        <v>19</v>
      </c>
      <c r="M11" s="38" t="s">
        <v>20</v>
      </c>
      <c r="N11" s="38" t="s">
        <v>21</v>
      </c>
      <c r="O11" s="33" t="s">
        <v>22</v>
      </c>
      <c r="P11" s="34" t="s">
        <v>23</v>
      </c>
      <c r="Q11" s="38" t="s">
        <v>24</v>
      </c>
      <c r="R11" s="33" t="s">
        <v>25</v>
      </c>
    </row>
    <row r="12" spans="1:92" ht="49.9" customHeight="1">
      <c r="A12" s="98" t="s">
        <v>61</v>
      </c>
      <c r="B12" s="98" t="s">
        <v>1206</v>
      </c>
      <c r="C12" s="99">
        <v>0.47916666666666669</v>
      </c>
      <c r="D12" s="98" t="s">
        <v>63</v>
      </c>
      <c r="E12" s="98" t="s">
        <v>177</v>
      </c>
      <c r="F12" s="98" t="s">
        <v>1207</v>
      </c>
      <c r="G12" s="297"/>
      <c r="H12" s="100" t="s">
        <v>1208</v>
      </c>
      <c r="I12" s="101">
        <v>5.5999999999999999E-3</v>
      </c>
      <c r="J12" s="102">
        <v>1</v>
      </c>
      <c r="K12" s="103">
        <v>46332</v>
      </c>
      <c r="L12" s="102">
        <v>1</v>
      </c>
      <c r="M12" s="102">
        <v>0</v>
      </c>
      <c r="N12" s="102">
        <v>0</v>
      </c>
      <c r="O12" s="104" t="s">
        <v>900</v>
      </c>
      <c r="P12" s="105">
        <v>0.47916666666666669</v>
      </c>
      <c r="Q12" s="102">
        <v>179</v>
      </c>
      <c r="R12" s="106" t="s">
        <v>244</v>
      </c>
    </row>
    <row r="13" spans="1:92" ht="18">
      <c r="A13" s="292" t="s">
        <v>1209</v>
      </c>
      <c r="B13" s="303"/>
      <c r="C13" s="303"/>
      <c r="D13" s="303"/>
      <c r="E13" s="303"/>
      <c r="F13" s="304"/>
      <c r="G13" s="298"/>
      <c r="H13" s="138"/>
      <c r="I13" s="138"/>
      <c r="J13" s="138"/>
      <c r="K13" s="138"/>
      <c r="L13" s="138"/>
      <c r="M13" s="138"/>
      <c r="N13" s="138"/>
      <c r="O13" s="139"/>
      <c r="P13" s="138"/>
      <c r="Q13" s="107"/>
      <c r="R13" s="107"/>
    </row>
    <row r="14" spans="1:92" ht="49.9" customHeight="1" thickBot="1">
      <c r="A14" s="30" t="s">
        <v>402</v>
      </c>
      <c r="B14" s="30" t="s">
        <v>1197</v>
      </c>
      <c r="C14" s="31" t="s">
        <v>1210</v>
      </c>
      <c r="D14" s="30" t="s">
        <v>63</v>
      </c>
      <c r="E14" s="30" t="s">
        <v>269</v>
      </c>
      <c r="F14" s="30" t="s">
        <v>1198</v>
      </c>
      <c r="G14" s="299"/>
      <c r="H14" s="140"/>
      <c r="I14" s="140"/>
      <c r="J14" s="140"/>
      <c r="K14" s="140"/>
      <c r="L14" s="140"/>
      <c r="M14" s="140"/>
      <c r="N14" s="140"/>
      <c r="O14" s="141"/>
      <c r="P14" s="140"/>
      <c r="Q14" s="142"/>
      <c r="R14" s="142"/>
    </row>
    <row r="15" spans="1:92" ht="17.45" customHeight="1" thickBot="1">
      <c r="A15" s="283"/>
      <c r="B15" s="284"/>
      <c r="C15" s="284"/>
      <c r="D15" s="284"/>
      <c r="E15" s="284"/>
      <c r="F15" s="284"/>
      <c r="G15" s="284"/>
      <c r="H15" s="284"/>
      <c r="I15" s="284"/>
      <c r="J15" s="284"/>
      <c r="K15" s="284"/>
      <c r="L15" s="284"/>
      <c r="M15" s="284"/>
      <c r="N15" s="284"/>
      <c r="O15" s="284"/>
      <c r="P15" s="284"/>
      <c r="Q15" s="284"/>
      <c r="R15" s="285"/>
    </row>
    <row r="16" spans="1:92" ht="22.15" customHeight="1" thickTop="1" thickBot="1">
      <c r="A16" s="279" t="s">
        <v>6</v>
      </c>
      <c r="B16" s="295"/>
      <c r="C16" s="295"/>
      <c r="D16" s="295"/>
      <c r="E16" s="295"/>
      <c r="F16" s="296"/>
      <c r="G16" s="32">
        <v>46038</v>
      </c>
      <c r="H16" s="278" t="s">
        <v>7</v>
      </c>
      <c r="I16" s="295"/>
      <c r="J16" s="295"/>
      <c r="K16" s="295"/>
      <c r="L16" s="295"/>
      <c r="M16" s="295"/>
      <c r="N16" s="295"/>
      <c r="O16" s="295"/>
      <c r="P16" s="295"/>
      <c r="Q16" s="295"/>
      <c r="R16" s="296"/>
    </row>
    <row r="17" spans="1:18" ht="24" customHeight="1">
      <c r="A17" s="33" t="s">
        <v>8</v>
      </c>
      <c r="B17" s="33" t="s">
        <v>9</v>
      </c>
      <c r="C17" s="34" t="s">
        <v>10</v>
      </c>
      <c r="D17" s="33" t="s">
        <v>11</v>
      </c>
      <c r="E17" s="33" t="s">
        <v>12</v>
      </c>
      <c r="F17" s="35" t="s">
        <v>13</v>
      </c>
      <c r="G17" s="36" t="s">
        <v>14</v>
      </c>
      <c r="H17" s="33" t="s">
        <v>15</v>
      </c>
      <c r="I17" s="37" t="s">
        <v>16</v>
      </c>
      <c r="J17" s="38" t="s">
        <v>17</v>
      </c>
      <c r="K17" s="39" t="s">
        <v>18</v>
      </c>
      <c r="L17" s="38" t="s">
        <v>19</v>
      </c>
      <c r="M17" s="38" t="s">
        <v>20</v>
      </c>
      <c r="N17" s="38" t="s">
        <v>21</v>
      </c>
      <c r="O17" s="33" t="s">
        <v>22</v>
      </c>
      <c r="P17" s="34" t="s">
        <v>23</v>
      </c>
      <c r="Q17" s="38" t="s">
        <v>24</v>
      </c>
      <c r="R17" s="33" t="s">
        <v>25</v>
      </c>
    </row>
    <row r="18" spans="1:18" ht="49.9" customHeight="1">
      <c r="A18" s="87" t="s">
        <v>61</v>
      </c>
      <c r="B18" s="87" t="s">
        <v>1206</v>
      </c>
      <c r="C18" s="88">
        <v>0.47916666666666669</v>
      </c>
      <c r="D18" s="87" t="s">
        <v>63</v>
      </c>
      <c r="E18" s="87" t="s">
        <v>103</v>
      </c>
      <c r="F18" s="87" t="s">
        <v>133</v>
      </c>
      <c r="G18" s="297"/>
      <c r="H18" s="89" t="s">
        <v>1208</v>
      </c>
      <c r="I18" s="90">
        <v>0</v>
      </c>
      <c r="J18" s="91">
        <v>0</v>
      </c>
      <c r="K18" s="92" t="s">
        <v>66</v>
      </c>
      <c r="L18" s="91">
        <v>0</v>
      </c>
      <c r="M18" s="91">
        <v>0</v>
      </c>
      <c r="N18" s="91">
        <v>0</v>
      </c>
      <c r="O18" s="93" t="s">
        <v>956</v>
      </c>
      <c r="P18" s="94">
        <v>0.47916666666666669</v>
      </c>
      <c r="Q18" s="91">
        <v>179</v>
      </c>
      <c r="R18" s="95" t="s">
        <v>66</v>
      </c>
    </row>
    <row r="19" spans="1:18" ht="18">
      <c r="A19" s="292" t="s">
        <v>1209</v>
      </c>
      <c r="B19" s="303"/>
      <c r="C19" s="303"/>
      <c r="D19" s="303"/>
      <c r="E19" s="303"/>
      <c r="F19" s="304"/>
      <c r="G19" s="298"/>
      <c r="H19" s="138"/>
      <c r="I19" s="138"/>
      <c r="J19" s="138"/>
      <c r="K19" s="138"/>
      <c r="L19" s="138"/>
      <c r="M19" s="138"/>
      <c r="N19" s="138"/>
      <c r="O19" s="139"/>
      <c r="P19" s="138"/>
      <c r="Q19" s="107"/>
      <c r="R19" s="107"/>
    </row>
    <row r="20" spans="1:18" ht="49.9" customHeight="1" thickBot="1">
      <c r="A20" s="30" t="s">
        <v>402</v>
      </c>
      <c r="B20" s="30" t="s">
        <v>1197</v>
      </c>
      <c r="C20" s="31" t="s">
        <v>1210</v>
      </c>
      <c r="D20" s="30" t="s">
        <v>63</v>
      </c>
      <c r="E20" s="30" t="s">
        <v>269</v>
      </c>
      <c r="F20" s="30" t="s">
        <v>1198</v>
      </c>
      <c r="G20" s="299"/>
      <c r="H20" s="140"/>
      <c r="I20" s="140"/>
      <c r="J20" s="140"/>
      <c r="K20" s="140"/>
      <c r="L20" s="140"/>
      <c r="M20" s="140"/>
      <c r="N20" s="140"/>
      <c r="O20" s="141"/>
      <c r="P20" s="140"/>
      <c r="Q20" s="142"/>
      <c r="R20" s="142"/>
    </row>
    <row r="21" spans="1:18" ht="17.45" customHeight="1" thickBot="1">
      <c r="A21" s="283"/>
      <c r="B21" s="284"/>
      <c r="C21" s="284"/>
      <c r="D21" s="284"/>
      <c r="E21" s="284"/>
      <c r="F21" s="284"/>
      <c r="G21" s="284"/>
      <c r="H21" s="284"/>
      <c r="I21" s="284"/>
      <c r="J21" s="284"/>
      <c r="K21" s="284"/>
      <c r="L21" s="284"/>
      <c r="M21" s="284"/>
      <c r="N21" s="284"/>
      <c r="O21" s="284"/>
      <c r="P21" s="284"/>
      <c r="Q21" s="284"/>
      <c r="R21" s="285"/>
    </row>
    <row r="22" spans="1:18" ht="22.15" customHeight="1" thickTop="1" thickBot="1">
      <c r="A22" s="279" t="s">
        <v>6</v>
      </c>
      <c r="B22" s="295"/>
      <c r="C22" s="295"/>
      <c r="D22" s="295"/>
      <c r="E22" s="295"/>
      <c r="F22" s="296"/>
      <c r="G22" s="32">
        <v>46045</v>
      </c>
      <c r="H22" s="278" t="s">
        <v>7</v>
      </c>
      <c r="I22" s="295"/>
      <c r="J22" s="295"/>
      <c r="K22" s="295"/>
      <c r="L22" s="295"/>
      <c r="M22" s="295"/>
      <c r="N22" s="295"/>
      <c r="O22" s="295"/>
      <c r="P22" s="295"/>
      <c r="Q22" s="295"/>
      <c r="R22" s="296"/>
    </row>
    <row r="23" spans="1:18" ht="24" customHeight="1">
      <c r="A23" s="33" t="s">
        <v>8</v>
      </c>
      <c r="B23" s="33" t="s">
        <v>9</v>
      </c>
      <c r="C23" s="34" t="s">
        <v>10</v>
      </c>
      <c r="D23" s="33" t="s">
        <v>11</v>
      </c>
      <c r="E23" s="33" t="s">
        <v>12</v>
      </c>
      <c r="F23" s="35" t="s">
        <v>13</v>
      </c>
      <c r="G23" s="36" t="s">
        <v>14</v>
      </c>
      <c r="H23" s="33" t="s">
        <v>15</v>
      </c>
      <c r="I23" s="37" t="s">
        <v>16</v>
      </c>
      <c r="J23" s="38" t="s">
        <v>17</v>
      </c>
      <c r="K23" s="39" t="s">
        <v>18</v>
      </c>
      <c r="L23" s="38" t="s">
        <v>19</v>
      </c>
      <c r="M23" s="38" t="s">
        <v>20</v>
      </c>
      <c r="N23" s="38" t="s">
        <v>21</v>
      </c>
      <c r="O23" s="33" t="s">
        <v>22</v>
      </c>
      <c r="P23" s="34" t="s">
        <v>23</v>
      </c>
      <c r="Q23" s="38" t="s">
        <v>24</v>
      </c>
      <c r="R23" s="33" t="s">
        <v>25</v>
      </c>
    </row>
    <row r="24" spans="1:18" ht="49.9" customHeight="1">
      <c r="A24" s="78" t="s">
        <v>61</v>
      </c>
      <c r="B24" s="78" t="s">
        <v>1206</v>
      </c>
      <c r="C24" s="79">
        <v>0.47916666666666669</v>
      </c>
      <c r="D24" s="78" t="s">
        <v>63</v>
      </c>
      <c r="E24" s="78" t="s">
        <v>126</v>
      </c>
      <c r="F24" s="78" t="s">
        <v>133</v>
      </c>
      <c r="G24" s="302"/>
      <c r="H24" s="80" t="s">
        <v>1208</v>
      </c>
      <c r="I24" s="81">
        <v>2.7900000000000001E-2</v>
      </c>
      <c r="J24" s="82">
        <v>5</v>
      </c>
      <c r="K24" s="83">
        <v>46345</v>
      </c>
      <c r="L24" s="82">
        <v>5</v>
      </c>
      <c r="M24" s="82">
        <v>0</v>
      </c>
      <c r="N24" s="82">
        <v>0</v>
      </c>
      <c r="O24" s="84" t="s">
        <v>310</v>
      </c>
      <c r="P24" s="85">
        <v>0.47916666666666669</v>
      </c>
      <c r="Q24" s="82">
        <v>179</v>
      </c>
      <c r="R24" s="86" t="s">
        <v>956</v>
      </c>
    </row>
    <row r="25" spans="1:18" ht="18">
      <c r="A25" s="292" t="s">
        <v>1209</v>
      </c>
      <c r="B25" s="303"/>
      <c r="C25" s="303"/>
      <c r="D25" s="303"/>
      <c r="E25" s="303"/>
      <c r="F25" s="304"/>
      <c r="G25" s="298"/>
      <c r="H25" s="138"/>
      <c r="I25" s="138"/>
      <c r="J25" s="138"/>
      <c r="K25" s="138"/>
      <c r="L25" s="138"/>
      <c r="M25" s="138"/>
      <c r="N25" s="138"/>
      <c r="O25" s="139"/>
      <c r="P25" s="138"/>
      <c r="Q25" s="107"/>
      <c r="R25" s="107"/>
    </row>
    <row r="26" spans="1:18" ht="49.9" customHeight="1" thickBot="1">
      <c r="A26" s="30" t="s">
        <v>402</v>
      </c>
      <c r="B26" s="30" t="s">
        <v>1197</v>
      </c>
      <c r="C26" s="31" t="s">
        <v>1210</v>
      </c>
      <c r="D26" s="30" t="s">
        <v>63</v>
      </c>
      <c r="E26" s="30" t="s">
        <v>277</v>
      </c>
      <c r="F26" s="30" t="s">
        <v>1198</v>
      </c>
      <c r="G26" s="299"/>
      <c r="H26" s="140"/>
      <c r="I26" s="140"/>
      <c r="J26" s="140"/>
      <c r="K26" s="140"/>
      <c r="L26" s="140"/>
      <c r="M26" s="140"/>
      <c r="N26" s="140"/>
      <c r="O26" s="141"/>
      <c r="P26" s="140"/>
      <c r="Q26" s="142"/>
      <c r="R26" s="142"/>
    </row>
    <row r="27" spans="1:18" ht="17.45" customHeight="1" thickBot="1">
      <c r="A27" s="283"/>
      <c r="B27" s="284"/>
      <c r="C27" s="284"/>
      <c r="D27" s="284"/>
      <c r="E27" s="284"/>
      <c r="F27" s="284"/>
      <c r="G27" s="284"/>
      <c r="H27" s="284"/>
      <c r="I27" s="284"/>
      <c r="J27" s="284"/>
      <c r="K27" s="284"/>
      <c r="L27" s="284"/>
      <c r="M27" s="284"/>
      <c r="N27" s="284"/>
      <c r="O27" s="284"/>
      <c r="P27" s="284"/>
      <c r="Q27" s="284"/>
      <c r="R27" s="285"/>
    </row>
    <row r="28" spans="1:18" ht="22.15" customHeight="1" thickTop="1" thickBot="1">
      <c r="A28" s="279" t="s">
        <v>6</v>
      </c>
      <c r="B28" s="295"/>
      <c r="C28" s="295"/>
      <c r="D28" s="295"/>
      <c r="E28" s="295"/>
      <c r="F28" s="296"/>
      <c r="G28" s="32">
        <v>46052</v>
      </c>
      <c r="H28" s="278" t="s">
        <v>7</v>
      </c>
      <c r="I28" s="295"/>
      <c r="J28" s="295"/>
      <c r="K28" s="295"/>
      <c r="L28" s="295"/>
      <c r="M28" s="295"/>
      <c r="N28" s="295"/>
      <c r="O28" s="295"/>
      <c r="P28" s="295"/>
      <c r="Q28" s="295"/>
      <c r="R28" s="296"/>
    </row>
    <row r="29" spans="1:18" ht="24" customHeight="1">
      <c r="A29" s="33" t="s">
        <v>8</v>
      </c>
      <c r="B29" s="33" t="s">
        <v>9</v>
      </c>
      <c r="C29" s="34" t="s">
        <v>10</v>
      </c>
      <c r="D29" s="33" t="s">
        <v>11</v>
      </c>
      <c r="E29" s="33" t="s">
        <v>12</v>
      </c>
      <c r="F29" s="35" t="s">
        <v>13</v>
      </c>
      <c r="G29" s="36" t="s">
        <v>14</v>
      </c>
      <c r="H29" s="33" t="s">
        <v>15</v>
      </c>
      <c r="I29" s="37" t="s">
        <v>16</v>
      </c>
      <c r="J29" s="38" t="s">
        <v>17</v>
      </c>
      <c r="K29" s="39" t="s">
        <v>18</v>
      </c>
      <c r="L29" s="38" t="s">
        <v>19</v>
      </c>
      <c r="M29" s="38" t="s">
        <v>20</v>
      </c>
      <c r="N29" s="38" t="s">
        <v>21</v>
      </c>
      <c r="O29" s="33" t="s">
        <v>22</v>
      </c>
      <c r="P29" s="34" t="s">
        <v>23</v>
      </c>
      <c r="Q29" s="38" t="s">
        <v>24</v>
      </c>
      <c r="R29" s="33" t="s">
        <v>25</v>
      </c>
    </row>
    <row r="30" spans="1:18" ht="49.9" customHeight="1">
      <c r="A30" s="67" t="s">
        <v>61</v>
      </c>
      <c r="B30" s="67" t="s">
        <v>1206</v>
      </c>
      <c r="C30" s="68">
        <v>0.47916666666666669</v>
      </c>
      <c r="D30" s="67" t="s">
        <v>63</v>
      </c>
      <c r="E30" s="67" t="s">
        <v>103</v>
      </c>
      <c r="F30" s="67" t="s">
        <v>83</v>
      </c>
      <c r="G30" s="302"/>
      <c r="H30" s="69" t="s">
        <v>1208</v>
      </c>
      <c r="I30" s="70">
        <v>0</v>
      </c>
      <c r="J30" s="71">
        <v>0</v>
      </c>
      <c r="K30" s="72" t="s">
        <v>66</v>
      </c>
      <c r="L30" s="71">
        <v>0</v>
      </c>
      <c r="M30" s="71">
        <v>0</v>
      </c>
      <c r="N30" s="71">
        <v>0</v>
      </c>
      <c r="O30" s="73" t="s">
        <v>968</v>
      </c>
      <c r="P30" s="74">
        <v>0.47916666666666669</v>
      </c>
      <c r="Q30" s="71">
        <v>179</v>
      </c>
      <c r="R30" s="75" t="s">
        <v>66</v>
      </c>
    </row>
    <row r="31" spans="1:18" ht="18">
      <c r="A31" s="292" t="s">
        <v>1209</v>
      </c>
      <c r="B31" s="303"/>
      <c r="C31" s="303"/>
      <c r="D31" s="303"/>
      <c r="E31" s="303"/>
      <c r="F31" s="304"/>
      <c r="G31" s="298"/>
      <c r="H31" s="138"/>
      <c r="I31" s="138"/>
      <c r="J31" s="138"/>
      <c r="K31" s="138"/>
      <c r="L31" s="138"/>
      <c r="M31" s="138"/>
      <c r="N31" s="138"/>
      <c r="O31" s="139"/>
      <c r="P31" s="138"/>
      <c r="Q31" s="107"/>
      <c r="R31" s="107"/>
    </row>
    <row r="32" spans="1:18" ht="49.9" customHeight="1" thickBot="1">
      <c r="A32" s="30" t="s">
        <v>402</v>
      </c>
      <c r="B32" s="30" t="s">
        <v>1197</v>
      </c>
      <c r="C32" s="31" t="s">
        <v>1210</v>
      </c>
      <c r="D32" s="30" t="s">
        <v>63</v>
      </c>
      <c r="E32" s="30" t="s">
        <v>269</v>
      </c>
      <c r="F32" s="30" t="s">
        <v>1198</v>
      </c>
      <c r="G32" s="299"/>
      <c r="H32" s="140"/>
      <c r="I32" s="140"/>
      <c r="J32" s="140"/>
      <c r="K32" s="140"/>
      <c r="L32" s="140"/>
      <c r="M32" s="140"/>
      <c r="N32" s="140"/>
      <c r="O32" s="141"/>
      <c r="P32" s="140"/>
      <c r="Q32" s="142"/>
      <c r="R32" s="142"/>
    </row>
    <row r="33" spans="1:18" ht="17.45" customHeight="1" thickBot="1">
      <c r="A33" s="283"/>
      <c r="B33" s="284"/>
      <c r="C33" s="284"/>
      <c r="D33" s="284"/>
      <c r="E33" s="284"/>
      <c r="F33" s="284"/>
      <c r="G33" s="284"/>
      <c r="H33" s="284"/>
      <c r="I33" s="284"/>
      <c r="J33" s="284"/>
      <c r="K33" s="284"/>
      <c r="L33" s="284"/>
      <c r="M33" s="284"/>
      <c r="N33" s="284"/>
      <c r="O33" s="284"/>
      <c r="P33" s="284"/>
      <c r="Q33" s="284"/>
      <c r="R33" s="285"/>
    </row>
    <row r="34" spans="1:18" ht="15" thickTop="1"/>
  </sheetData>
  <mergeCells count="32">
    <mergeCell ref="A16:F16"/>
    <mergeCell ref="G30:G32"/>
    <mergeCell ref="H1:L1"/>
    <mergeCell ref="A1:E1"/>
    <mergeCell ref="H10:R10"/>
    <mergeCell ref="A27:R27"/>
    <mergeCell ref="H4:R4"/>
    <mergeCell ref="A2:F2"/>
    <mergeCell ref="A3:R3"/>
    <mergeCell ref="A21:R21"/>
    <mergeCell ref="N1:R1"/>
    <mergeCell ref="A15:R15"/>
    <mergeCell ref="G6:G8"/>
    <mergeCell ref="G24:G26"/>
    <mergeCell ref="A7:F7"/>
    <mergeCell ref="G18:G20"/>
    <mergeCell ref="A33:R33"/>
    <mergeCell ref="A22:F22"/>
    <mergeCell ref="G2:J2"/>
    <mergeCell ref="A4:F4"/>
    <mergeCell ref="A25:F25"/>
    <mergeCell ref="G12:G14"/>
    <mergeCell ref="A10:F10"/>
    <mergeCell ref="A28:F28"/>
    <mergeCell ref="A13:F13"/>
    <mergeCell ref="A19:F19"/>
    <mergeCell ref="H16:R16"/>
    <mergeCell ref="A31:F31"/>
    <mergeCell ref="K2:R2"/>
    <mergeCell ref="A9:R9"/>
    <mergeCell ref="H22:R22"/>
    <mergeCell ref="H28:R28"/>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J7"/>
  <sheetViews>
    <sheetView workbookViewId="0"/>
  </sheetViews>
  <sheetFormatPr defaultColWidth="8.85546875" defaultRowHeight="15.6" outlineLevelCol="1"/>
  <cols>
    <col min="1" max="1" width="6.85546875" style="266" bestFit="1" customWidth="1"/>
    <col min="2" max="2" width="9.7109375" style="266" bestFit="1" customWidth="1"/>
    <col min="3" max="3" width="6.7109375" style="266" bestFit="1" customWidth="1"/>
    <col min="4" max="4" width="5.5703125" style="266" bestFit="1" customWidth="1"/>
    <col min="5" max="5" width="7.5703125" style="266" bestFit="1" customWidth="1"/>
    <col min="6" max="6" width="4.28515625" style="266" bestFit="1" customWidth="1"/>
    <col min="7" max="7" width="8.42578125" style="266" bestFit="1" customWidth="1"/>
    <col min="8"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6" width="3.85546875" style="266" bestFit="1" customWidth="1"/>
    <col min="27" max="27" width="4" style="266" bestFit="1" customWidth="1"/>
    <col min="28"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560</v>
      </c>
      <c r="B2" s="268">
        <v>46024</v>
      </c>
      <c r="C2" s="269" t="s">
        <v>1208</v>
      </c>
      <c r="D2" s="270" t="s">
        <v>313</v>
      </c>
      <c r="E2" s="269" t="s">
        <v>1205</v>
      </c>
      <c r="F2" s="269" t="s">
        <v>232</v>
      </c>
      <c r="G2" s="271">
        <v>5.5999999999999999E-3</v>
      </c>
      <c r="H2" s="272">
        <v>179</v>
      </c>
      <c r="I2" s="272">
        <v>1</v>
      </c>
      <c r="J2" s="272">
        <v>0</v>
      </c>
      <c r="K2" s="269" t="s">
        <v>233</v>
      </c>
      <c r="L2" s="273">
        <v>46319</v>
      </c>
      <c r="M2" s="272">
        <v>0</v>
      </c>
      <c r="N2" s="272">
        <v>0</v>
      </c>
      <c r="O2" s="272">
        <v>1</v>
      </c>
      <c r="P2" s="269" t="s">
        <v>900</v>
      </c>
      <c r="Q2" s="265"/>
      <c r="R2" s="265"/>
      <c r="S2" s="265"/>
      <c r="T2" s="265"/>
      <c r="U2" s="265"/>
      <c r="V2" s="265"/>
      <c r="W2" s="265"/>
      <c r="X2" s="265"/>
      <c r="Y2" s="265"/>
      <c r="Z2" s="265"/>
      <c r="AA2" s="265"/>
      <c r="AB2" s="265"/>
      <c r="AC2" s="265"/>
      <c r="AD2" s="265"/>
      <c r="AE2" s="265"/>
      <c r="AF2" s="272" t="s">
        <v>244</v>
      </c>
      <c r="AG2" s="265"/>
      <c r="AH2" s="265"/>
      <c r="AI2" s="265"/>
      <c r="AJ2" s="265"/>
    </row>
    <row r="3" spans="1:36">
      <c r="A3" s="267" t="s">
        <v>560</v>
      </c>
      <c r="B3" s="268">
        <v>46031</v>
      </c>
      <c r="C3" s="269" t="s">
        <v>1208</v>
      </c>
      <c r="D3" s="270" t="s">
        <v>313</v>
      </c>
      <c r="E3" s="269" t="s">
        <v>1205</v>
      </c>
      <c r="F3" s="269" t="s">
        <v>232</v>
      </c>
      <c r="G3" s="271">
        <v>5.5999999999999999E-3</v>
      </c>
      <c r="H3" s="272">
        <v>179</v>
      </c>
      <c r="I3" s="272">
        <v>1</v>
      </c>
      <c r="J3" s="272">
        <v>0</v>
      </c>
      <c r="K3" s="269" t="s">
        <v>233</v>
      </c>
      <c r="L3" s="273">
        <v>46332</v>
      </c>
      <c r="M3" s="272">
        <v>0</v>
      </c>
      <c r="N3" s="272">
        <v>0</v>
      </c>
      <c r="O3" s="272">
        <v>1</v>
      </c>
      <c r="P3" s="269" t="s">
        <v>900</v>
      </c>
      <c r="Q3" s="265"/>
      <c r="R3" s="265"/>
      <c r="S3" s="265"/>
      <c r="T3" s="265"/>
      <c r="U3" s="265"/>
      <c r="V3" s="265"/>
      <c r="W3" s="265"/>
      <c r="X3" s="265"/>
      <c r="Y3" s="265"/>
      <c r="Z3" s="265"/>
      <c r="AA3" s="265"/>
      <c r="AB3" s="265"/>
      <c r="AC3" s="265"/>
      <c r="AD3" s="265"/>
      <c r="AE3" s="265"/>
      <c r="AF3" s="272" t="s">
        <v>244</v>
      </c>
      <c r="AG3" s="265"/>
      <c r="AH3" s="265"/>
      <c r="AI3" s="265"/>
      <c r="AJ3" s="265"/>
    </row>
    <row r="4" spans="1:36">
      <c r="A4" s="267" t="s">
        <v>560</v>
      </c>
      <c r="B4" s="268">
        <v>46038</v>
      </c>
      <c r="C4" s="269" t="s">
        <v>1208</v>
      </c>
      <c r="D4" s="270" t="s">
        <v>313</v>
      </c>
      <c r="E4" s="269" t="s">
        <v>1205</v>
      </c>
      <c r="F4" s="269" t="s">
        <v>232</v>
      </c>
      <c r="G4" s="271">
        <v>0</v>
      </c>
      <c r="H4" s="272">
        <v>179</v>
      </c>
      <c r="I4" s="272">
        <v>0</v>
      </c>
      <c r="J4" s="272">
        <v>0</v>
      </c>
      <c r="K4" s="269" t="s">
        <v>233</v>
      </c>
      <c r="L4" s="273" t="s">
        <v>66</v>
      </c>
      <c r="M4" s="272">
        <v>0</v>
      </c>
      <c r="N4" s="272">
        <v>0</v>
      </c>
      <c r="O4" s="272">
        <v>0</v>
      </c>
      <c r="P4" s="269" t="s">
        <v>956</v>
      </c>
      <c r="Q4" s="265"/>
      <c r="R4" s="265"/>
      <c r="S4" s="265"/>
      <c r="T4" s="265"/>
      <c r="U4" s="265"/>
      <c r="V4" s="265"/>
      <c r="W4" s="265"/>
      <c r="X4" s="265"/>
      <c r="Y4" s="265"/>
      <c r="Z4" s="265"/>
      <c r="AA4" s="265"/>
      <c r="AB4" s="265"/>
      <c r="AC4" s="265"/>
      <c r="AD4" s="265"/>
      <c r="AE4" s="265"/>
      <c r="AF4" s="265"/>
      <c r="AG4" s="265"/>
      <c r="AH4" s="265"/>
      <c r="AI4" s="265"/>
      <c r="AJ4" s="265"/>
    </row>
    <row r="5" spans="1:36">
      <c r="A5" s="267" t="s">
        <v>560</v>
      </c>
      <c r="B5" s="268">
        <v>46045</v>
      </c>
      <c r="C5" s="269" t="s">
        <v>1208</v>
      </c>
      <c r="D5" s="270" t="s">
        <v>313</v>
      </c>
      <c r="E5" s="269" t="s">
        <v>1205</v>
      </c>
      <c r="F5" s="269" t="s">
        <v>232</v>
      </c>
      <c r="G5" s="271">
        <v>2.7900000000000001E-2</v>
      </c>
      <c r="H5" s="272">
        <v>179</v>
      </c>
      <c r="I5" s="272">
        <v>5</v>
      </c>
      <c r="J5" s="272">
        <v>0</v>
      </c>
      <c r="K5" s="269" t="s">
        <v>233</v>
      </c>
      <c r="L5" s="273">
        <v>46345</v>
      </c>
      <c r="M5" s="272">
        <v>0</v>
      </c>
      <c r="N5" s="272">
        <v>0</v>
      </c>
      <c r="O5" s="272">
        <v>5</v>
      </c>
      <c r="P5" s="269" t="s">
        <v>310</v>
      </c>
      <c r="Q5" s="265"/>
      <c r="R5" s="265"/>
      <c r="S5" s="265"/>
      <c r="T5" s="265"/>
      <c r="U5" s="265"/>
      <c r="V5" s="265"/>
      <c r="W5" s="265"/>
      <c r="X5" s="265"/>
      <c r="Y5" s="265"/>
      <c r="Z5" s="265"/>
      <c r="AA5" s="272" t="s">
        <v>956</v>
      </c>
      <c r="AB5" s="265"/>
      <c r="AC5" s="265"/>
      <c r="AD5" s="265"/>
      <c r="AE5" s="265"/>
      <c r="AF5" s="265"/>
      <c r="AG5" s="265"/>
      <c r="AH5" s="265"/>
      <c r="AI5" s="265"/>
      <c r="AJ5" s="265"/>
    </row>
    <row r="6" spans="1:36">
      <c r="A6" s="267" t="s">
        <v>560</v>
      </c>
      <c r="B6" s="268">
        <v>46052</v>
      </c>
      <c r="C6" s="269" t="s">
        <v>1208</v>
      </c>
      <c r="D6" s="270" t="s">
        <v>313</v>
      </c>
      <c r="E6" s="269" t="s">
        <v>1205</v>
      </c>
      <c r="F6" s="269" t="s">
        <v>232</v>
      </c>
      <c r="G6" s="271">
        <v>0</v>
      </c>
      <c r="H6" s="272">
        <v>179</v>
      </c>
      <c r="I6" s="272">
        <v>0</v>
      </c>
      <c r="J6" s="272">
        <v>0</v>
      </c>
      <c r="K6" s="269" t="s">
        <v>233</v>
      </c>
      <c r="L6" s="273" t="s">
        <v>66</v>
      </c>
      <c r="M6" s="272">
        <v>0</v>
      </c>
      <c r="N6" s="272">
        <v>0</v>
      </c>
      <c r="O6" s="272">
        <v>0</v>
      </c>
      <c r="P6" s="269" t="s">
        <v>968</v>
      </c>
      <c r="Q6" s="265"/>
      <c r="R6" s="265"/>
      <c r="S6" s="265"/>
      <c r="T6" s="265"/>
      <c r="U6" s="265"/>
      <c r="V6" s="265"/>
      <c r="W6" s="265"/>
      <c r="X6" s="265"/>
      <c r="Y6" s="265"/>
      <c r="Z6" s="265"/>
      <c r="AA6" s="265"/>
      <c r="AB6" s="265"/>
      <c r="AC6" s="265"/>
      <c r="AD6" s="265"/>
      <c r="AE6" s="265"/>
      <c r="AF6" s="265"/>
      <c r="AG6" s="265"/>
      <c r="AH6" s="265"/>
      <c r="AI6" s="265"/>
      <c r="AJ6" s="265"/>
    </row>
    <row r="7" spans="1:36" ht="21">
      <c r="A7" s="274" t="s">
        <v>251</v>
      </c>
      <c r="B7" s="275"/>
      <c r="C7" s="274">
        <f>SUBTOTAL(103,ATZ_AJF_LF_LEGACY[Flt])</f>
        <v>5</v>
      </c>
      <c r="D7" s="274"/>
      <c r="E7" s="274">
        <f>SUBTOTAL(103,ATZ_AJF_LF_LEGACY[Brd-Off])</f>
        <v>5</v>
      </c>
      <c r="F7" s="274"/>
      <c r="G7" s="276">
        <f>SUBTOTAL(101,ATZ_AJF_LF_LEGACY[LF%])</f>
        <v>7.8200000000000006E-3</v>
      </c>
      <c r="H7" s="277">
        <f>SUBTOTAL(109,ATZ_AJF_LF_LEGACY[CAP])</f>
        <v>895</v>
      </c>
      <c r="I7" s="277">
        <f>SUBTOTAL(109,ATZ_AJF_LF_LEGACY[BKG(Y)])</f>
        <v>7</v>
      </c>
      <c r="J7" s="277">
        <f>SUBTOTAL(109,ATZ_AJF_LF_LEGACY[GRP(Y)])</f>
        <v>0</v>
      </c>
      <c r="K7" s="274"/>
      <c r="L7" s="275"/>
      <c r="M7" s="277">
        <f>SUBTOTAL(109,ATZ_AJF_LF_LEGACY[TO-DAY])</f>
        <v>0</v>
      </c>
      <c r="N7" s="277">
        <f>SUBTOTAL(109,ATZ_AJF_LF_LEGACY[Y-DAY])</f>
        <v>0</v>
      </c>
      <c r="O7" s="277">
        <f>SUBTOTAL(109,ATZ_AJF_LF_LEGACY[WEEKLY])</f>
        <v>7</v>
      </c>
      <c r="P7" s="274"/>
      <c r="Q7" s="277">
        <f>SUBTOTAL(109,ATZ_AJF_LF_LEGACY[Y])</f>
        <v>0</v>
      </c>
      <c r="R7" s="277">
        <f>SUBTOTAL(109,ATZ_AJF_LF_LEGACY[B])</f>
        <v>0</v>
      </c>
      <c r="S7" s="277">
        <f>SUBTOTAL(109,ATZ_AJF_LF_LEGACY[M])</f>
        <v>0</v>
      </c>
      <c r="T7" s="277">
        <f>SUBTOTAL(109,ATZ_AJF_LF_LEGACY[H])</f>
        <v>0</v>
      </c>
      <c r="U7" s="277">
        <f>SUBTOTAL(109,ATZ_AJF_LF_LEGACY[Q])</f>
        <v>0</v>
      </c>
      <c r="V7" s="277">
        <f>SUBTOTAL(109,ATZ_AJF_LF_LEGACY[K])</f>
        <v>0</v>
      </c>
      <c r="W7" s="277">
        <f>SUBTOTAL(109,ATZ_AJF_LF_LEGACY[V])</f>
        <v>0</v>
      </c>
      <c r="X7" s="277">
        <f>SUBTOTAL(109,ATZ_AJF_LF_LEGACY[L])</f>
        <v>0</v>
      </c>
      <c r="Y7" s="277">
        <f>SUBTOTAL(109,ATZ_AJF_LF_LEGACY[G])</f>
        <v>0</v>
      </c>
      <c r="Z7" s="277">
        <f>SUBTOTAL(109,ATZ_AJF_LF_LEGACY[S])</f>
        <v>0</v>
      </c>
      <c r="AA7" s="277">
        <f>SUBTOTAL(109,ATZ_AJF_LF_LEGACY[W])</f>
        <v>0</v>
      </c>
      <c r="AB7" s="277">
        <f>SUBTOTAL(109,ATZ_AJF_LF_LEGACY[T])</f>
        <v>0</v>
      </c>
      <c r="AC7" s="277">
        <f>SUBTOTAL(109,ATZ_AJF_LF_LEGACY[X])</f>
        <v>0</v>
      </c>
      <c r="AD7" s="277">
        <f>SUBTOTAL(109,ATZ_AJF_LF_LEGACY[U])</f>
        <v>0</v>
      </c>
      <c r="AE7" s="277">
        <f>SUBTOTAL(109,ATZ_AJF_LF_LEGACY[O])</f>
        <v>0</v>
      </c>
      <c r="AF7" s="277">
        <f>SUBTOTAL(109,ATZ_AJF_LF_LEGACY[I])</f>
        <v>0</v>
      </c>
      <c r="AG7" s="277">
        <f>SUBTOTAL(109,ATZ_AJF_LF_LEGACY[E])</f>
        <v>0</v>
      </c>
      <c r="AH7" s="277">
        <f>SUBTOTAL(109,ATZ_AJF_LF_LEGACY[A])</f>
        <v>0</v>
      </c>
      <c r="AI7" s="277">
        <f>SUBTOTAL(109,ATZ_AJF_LF_LEGACY[P])</f>
        <v>0</v>
      </c>
      <c r="AJ7" s="277">
        <f>SUBTOTAL(103,ATZ_AJF_LF_LEGACY[N])</f>
        <v>0</v>
      </c>
    </row>
  </sheetData>
  <pageMargins left="0.75" right="0.75" top="1" bottom="1" header="0.5" footer="0.5"/>
  <tableParts count="1">
    <tablePart r:id="rId1"/>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65"/>
  <sheetViews>
    <sheetView workbookViewId="0"/>
  </sheetViews>
  <sheetFormatPr defaultRowHeight="14.45"/>
  <cols>
    <col min="1" max="1" width="11.85546875" bestFit="1" customWidth="1"/>
    <col min="2" max="2" width="13.7109375" bestFit="1" customWidth="1"/>
    <col min="3" max="3" width="19.28515625" bestFit="1" customWidth="1"/>
    <col min="4" max="4" width="12.7109375" bestFit="1" customWidth="1"/>
    <col min="5" max="5" width="18.28515625" bestFit="1" customWidth="1"/>
    <col min="6" max="6" width="31.85546875" bestFit="1" customWidth="1"/>
    <col min="7" max="7" width="20" bestFit="1" customWidth="1"/>
    <col min="8" max="8" width="23.7109375" bestFit="1" customWidth="1"/>
    <col min="9" max="9" width="146.8554687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43"/>
      <c r="B2" s="144"/>
      <c r="C2" s="144"/>
      <c r="D2" s="144"/>
      <c r="E2" s="144"/>
      <c r="F2" s="145" t="s">
        <v>1211</v>
      </c>
      <c r="G2" s="144"/>
      <c r="H2" s="146"/>
    </row>
    <row r="3" spans="1:8" ht="19.899999999999999" customHeight="1">
      <c r="A3" s="111" t="s">
        <v>254</v>
      </c>
      <c r="B3" s="112" t="s">
        <v>61</v>
      </c>
      <c r="C3" s="113" t="s">
        <v>1193</v>
      </c>
      <c r="D3" s="112" t="s">
        <v>1192</v>
      </c>
      <c r="E3" s="112" t="s">
        <v>1202</v>
      </c>
      <c r="F3" s="112" t="s">
        <v>63</v>
      </c>
      <c r="G3" s="114">
        <v>3</v>
      </c>
      <c r="H3" s="115" t="s">
        <v>525</v>
      </c>
    </row>
    <row r="4" spans="1:8" ht="19.899999999999999" customHeight="1">
      <c r="A4" s="147" t="s">
        <v>254</v>
      </c>
      <c r="B4" s="124" t="s">
        <v>402</v>
      </c>
      <c r="C4" s="125" t="s">
        <v>1195</v>
      </c>
      <c r="D4" s="124" t="s">
        <v>1192</v>
      </c>
      <c r="E4" s="124" t="s">
        <v>1212</v>
      </c>
      <c r="F4" s="124" t="s">
        <v>63</v>
      </c>
      <c r="G4" s="127">
        <v>9</v>
      </c>
      <c r="H4" s="128" t="s">
        <v>1196</v>
      </c>
    </row>
    <row r="5" spans="1:8" ht="19.899999999999999" customHeight="1">
      <c r="A5" s="116" t="s">
        <v>339</v>
      </c>
      <c r="B5" s="117" t="s">
        <v>61</v>
      </c>
      <c r="C5" s="118" t="s">
        <v>1206</v>
      </c>
      <c r="D5" s="117" t="s">
        <v>1205</v>
      </c>
      <c r="E5" s="117" t="s">
        <v>313</v>
      </c>
      <c r="F5" s="117" t="s">
        <v>63</v>
      </c>
      <c r="G5" s="119">
        <v>6</v>
      </c>
      <c r="H5" s="120" t="s">
        <v>1207</v>
      </c>
    </row>
    <row r="6" spans="1:8" ht="19.899999999999999" customHeight="1">
      <c r="A6" s="143"/>
      <c r="B6" s="144"/>
      <c r="C6" s="144"/>
      <c r="D6" s="144"/>
      <c r="E6" s="144"/>
      <c r="F6" s="145" t="s">
        <v>1211</v>
      </c>
      <c r="G6" s="144"/>
      <c r="H6" s="146"/>
    </row>
    <row r="7" spans="1:8" ht="19.899999999999999" customHeight="1">
      <c r="A7" s="123">
        <v>46024</v>
      </c>
      <c r="B7" s="124" t="s">
        <v>402</v>
      </c>
      <c r="C7" s="125" t="s">
        <v>1197</v>
      </c>
      <c r="D7" s="124" t="s">
        <v>1192</v>
      </c>
      <c r="E7" s="126">
        <v>1.3090277777777779</v>
      </c>
      <c r="F7" s="124" t="s">
        <v>63</v>
      </c>
      <c r="G7" s="127">
        <v>9</v>
      </c>
      <c r="H7" s="128" t="s">
        <v>1198</v>
      </c>
    </row>
    <row r="8" spans="1:8" ht="19.899999999999999" customHeight="1">
      <c r="A8" s="143"/>
      <c r="B8" s="144"/>
      <c r="C8" s="144"/>
      <c r="D8" s="144"/>
      <c r="E8" s="144"/>
      <c r="F8" s="145" t="s">
        <v>1211</v>
      </c>
      <c r="G8" s="144"/>
      <c r="H8" s="146"/>
    </row>
    <row r="9" spans="1:8" ht="19.899999999999999" customHeight="1">
      <c r="A9" s="123">
        <v>46025</v>
      </c>
      <c r="B9" s="124" t="s">
        <v>61</v>
      </c>
      <c r="C9" s="125" t="s">
        <v>1193</v>
      </c>
      <c r="D9" s="124" t="s">
        <v>1192</v>
      </c>
      <c r="E9" s="126">
        <v>1.71875</v>
      </c>
      <c r="F9" s="124" t="s">
        <v>63</v>
      </c>
      <c r="G9" s="127">
        <v>3</v>
      </c>
      <c r="H9" s="128" t="s">
        <v>525</v>
      </c>
    </row>
    <row r="10" spans="1:8" ht="19.899999999999999" customHeight="1">
      <c r="A10" s="143"/>
      <c r="B10" s="144"/>
      <c r="C10" s="144"/>
      <c r="D10" s="144"/>
      <c r="E10" s="144"/>
      <c r="F10" s="145" t="s">
        <v>1211</v>
      </c>
      <c r="G10" s="144"/>
      <c r="H10" s="146"/>
    </row>
    <row r="11" spans="1:8" ht="19.899999999999999" customHeight="1">
      <c r="A11" s="123">
        <v>46026</v>
      </c>
      <c r="B11" s="124" t="s">
        <v>402</v>
      </c>
      <c r="C11" s="125" t="s">
        <v>1197</v>
      </c>
      <c r="D11" s="124" t="s">
        <v>1192</v>
      </c>
      <c r="E11" s="126">
        <v>1.3090277777777779</v>
      </c>
      <c r="F11" s="124" t="s">
        <v>63</v>
      </c>
      <c r="G11" s="127">
        <v>9</v>
      </c>
      <c r="H11" s="128" t="s">
        <v>1198</v>
      </c>
    </row>
    <row r="12" spans="1:8" ht="19.899999999999999" customHeight="1">
      <c r="A12" s="143"/>
      <c r="B12" s="144"/>
      <c r="C12" s="144"/>
      <c r="D12" s="144"/>
      <c r="E12" s="144"/>
      <c r="F12" s="145" t="s">
        <v>1211</v>
      </c>
      <c r="G12" s="144"/>
      <c r="H12" s="146"/>
    </row>
    <row r="13" spans="1:8" ht="19.899999999999999" customHeight="1">
      <c r="A13" s="123">
        <v>46028</v>
      </c>
      <c r="B13" s="124" t="s">
        <v>61</v>
      </c>
      <c r="C13" s="125" t="s">
        <v>1193</v>
      </c>
      <c r="D13" s="124" t="s">
        <v>1192</v>
      </c>
      <c r="E13" s="126">
        <v>1.3125</v>
      </c>
      <c r="F13" s="124" t="s">
        <v>63</v>
      </c>
      <c r="G13" s="127">
        <v>5</v>
      </c>
      <c r="H13" s="128" t="s">
        <v>525</v>
      </c>
    </row>
    <row r="14" spans="1:8" ht="19.899999999999999" customHeight="1">
      <c r="A14" s="143"/>
      <c r="B14" s="144"/>
      <c r="C14" s="144"/>
      <c r="D14" s="144"/>
      <c r="E14" s="144"/>
      <c r="F14" s="145" t="s">
        <v>1211</v>
      </c>
      <c r="G14" s="144"/>
      <c r="H14" s="146"/>
    </row>
    <row r="15" spans="1:8" ht="19.899999999999999" customHeight="1">
      <c r="A15" s="123">
        <v>46029</v>
      </c>
      <c r="B15" s="124" t="s">
        <v>402</v>
      </c>
      <c r="C15" s="125" t="s">
        <v>1197</v>
      </c>
      <c r="D15" s="124" t="s">
        <v>1192</v>
      </c>
      <c r="E15" s="126">
        <v>1.3923611111111109</v>
      </c>
      <c r="F15" s="124" t="s">
        <v>63</v>
      </c>
      <c r="G15" s="127">
        <v>8</v>
      </c>
      <c r="H15" s="128" t="s">
        <v>1198</v>
      </c>
    </row>
    <row r="16" spans="1:8" ht="19.899999999999999" customHeight="1">
      <c r="A16" s="143"/>
      <c r="B16" s="144"/>
      <c r="C16" s="144"/>
      <c r="D16" s="144"/>
      <c r="E16" s="144"/>
      <c r="F16" s="145" t="s">
        <v>1211</v>
      </c>
      <c r="G16" s="144"/>
      <c r="H16" s="146"/>
    </row>
    <row r="17" spans="1:8" ht="19.899999999999999" customHeight="1">
      <c r="A17" s="121">
        <v>46030</v>
      </c>
      <c r="B17" s="112" t="s">
        <v>61</v>
      </c>
      <c r="C17" s="113" t="s">
        <v>1193</v>
      </c>
      <c r="D17" s="112" t="s">
        <v>1192</v>
      </c>
      <c r="E17" s="122">
        <v>1.7673611111111109</v>
      </c>
      <c r="F17" s="112" t="s">
        <v>63</v>
      </c>
      <c r="G17" s="114">
        <v>7</v>
      </c>
      <c r="H17" s="115" t="s">
        <v>525</v>
      </c>
    </row>
    <row r="18" spans="1:8" ht="19.899999999999999" customHeight="1">
      <c r="A18" s="123">
        <v>46030</v>
      </c>
      <c r="B18" s="124" t="s">
        <v>402</v>
      </c>
      <c r="C18" s="125" t="s">
        <v>1195</v>
      </c>
      <c r="D18" s="124" t="s">
        <v>1192</v>
      </c>
      <c r="E18" s="126">
        <v>1.7013888888888891</v>
      </c>
      <c r="F18" s="124" t="s">
        <v>63</v>
      </c>
      <c r="G18" s="127">
        <v>9</v>
      </c>
      <c r="H18" s="128" t="s">
        <v>1198</v>
      </c>
    </row>
    <row r="19" spans="1:8" ht="19.899999999999999" customHeight="1">
      <c r="A19" s="129">
        <v>46031</v>
      </c>
      <c r="B19" s="117" t="s">
        <v>61</v>
      </c>
      <c r="C19" s="118" t="s">
        <v>1206</v>
      </c>
      <c r="D19" s="117" t="s">
        <v>1205</v>
      </c>
      <c r="E19" s="130">
        <v>1.479166666666667</v>
      </c>
      <c r="F19" s="117" t="s">
        <v>63</v>
      </c>
      <c r="G19" s="119">
        <v>6</v>
      </c>
      <c r="H19" s="120" t="s">
        <v>1207</v>
      </c>
    </row>
    <row r="20" spans="1:8" ht="19.899999999999999" customHeight="1">
      <c r="A20" s="143"/>
      <c r="B20" s="144"/>
      <c r="C20" s="144"/>
      <c r="D20" s="144"/>
      <c r="E20" s="144"/>
      <c r="F20" s="145" t="s">
        <v>1211</v>
      </c>
      <c r="G20" s="144"/>
      <c r="H20" s="146"/>
    </row>
    <row r="21" spans="1:8" ht="19.899999999999999" customHeight="1">
      <c r="A21" s="123">
        <v>46031</v>
      </c>
      <c r="B21" s="124" t="s">
        <v>402</v>
      </c>
      <c r="C21" s="125" t="s">
        <v>1197</v>
      </c>
      <c r="D21" s="124" t="s">
        <v>1192</v>
      </c>
      <c r="E21" s="126">
        <v>1.3090277777777779</v>
      </c>
      <c r="F21" s="124" t="s">
        <v>63</v>
      </c>
      <c r="G21" s="127">
        <v>9</v>
      </c>
      <c r="H21" s="128" t="s">
        <v>1198</v>
      </c>
    </row>
    <row r="22" spans="1:8" ht="19.899999999999999" customHeight="1">
      <c r="A22" s="143"/>
      <c r="B22" s="144"/>
      <c r="C22" s="144"/>
      <c r="D22" s="144"/>
      <c r="E22" s="144"/>
      <c r="F22" s="145" t="s">
        <v>1211</v>
      </c>
      <c r="G22" s="144"/>
      <c r="H22" s="146"/>
    </row>
    <row r="23" spans="1:8" ht="19.899999999999999" customHeight="1">
      <c r="A23" s="123">
        <v>46032</v>
      </c>
      <c r="B23" s="124" t="s">
        <v>61</v>
      </c>
      <c r="C23" s="125" t="s">
        <v>1193</v>
      </c>
      <c r="D23" s="124" t="s">
        <v>1192</v>
      </c>
      <c r="E23" s="126">
        <v>1.71875</v>
      </c>
      <c r="F23" s="124" t="s">
        <v>63</v>
      </c>
      <c r="G23" s="127">
        <v>3</v>
      </c>
      <c r="H23" s="128" t="s">
        <v>525</v>
      </c>
    </row>
    <row r="24" spans="1:8" ht="19.899999999999999" customHeight="1">
      <c r="A24" s="143"/>
      <c r="B24" s="144"/>
      <c r="C24" s="144"/>
      <c r="D24" s="144"/>
      <c r="E24" s="144"/>
      <c r="F24" s="145" t="s">
        <v>1211</v>
      </c>
      <c r="G24" s="144"/>
      <c r="H24" s="146"/>
    </row>
    <row r="25" spans="1:8" ht="19.899999999999999" customHeight="1">
      <c r="A25" s="123">
        <v>46033</v>
      </c>
      <c r="B25" s="124" t="s">
        <v>402</v>
      </c>
      <c r="C25" s="125" t="s">
        <v>1197</v>
      </c>
      <c r="D25" s="124" t="s">
        <v>1192</v>
      </c>
      <c r="E25" s="126">
        <v>1.3090277777777779</v>
      </c>
      <c r="F25" s="124" t="s">
        <v>63</v>
      </c>
      <c r="G25" s="127">
        <v>9</v>
      </c>
      <c r="H25" s="128" t="s">
        <v>1198</v>
      </c>
    </row>
    <row r="26" spans="1:8" ht="19.899999999999999" customHeight="1">
      <c r="A26" s="143"/>
      <c r="B26" s="144"/>
      <c r="C26" s="144"/>
      <c r="D26" s="144"/>
      <c r="E26" s="144"/>
      <c r="F26" s="145" t="s">
        <v>1211</v>
      </c>
      <c r="G26" s="144"/>
      <c r="H26" s="146"/>
    </row>
    <row r="27" spans="1:8" ht="19.899999999999999" customHeight="1">
      <c r="A27" s="123">
        <v>46035</v>
      </c>
      <c r="B27" s="124" t="s">
        <v>61</v>
      </c>
      <c r="C27" s="125" t="s">
        <v>1193</v>
      </c>
      <c r="D27" s="124" t="s">
        <v>1192</v>
      </c>
      <c r="E27" s="126">
        <v>1.3125</v>
      </c>
      <c r="F27" s="124" t="s">
        <v>63</v>
      </c>
      <c r="G27" s="127">
        <v>6</v>
      </c>
      <c r="H27" s="128" t="s">
        <v>525</v>
      </c>
    </row>
    <row r="28" spans="1:8" ht="19.899999999999999" customHeight="1">
      <c r="A28" s="143"/>
      <c r="B28" s="144"/>
      <c r="C28" s="144"/>
      <c r="D28" s="144"/>
      <c r="E28" s="144"/>
      <c r="F28" s="145" t="s">
        <v>1211</v>
      </c>
      <c r="G28" s="144"/>
      <c r="H28" s="146"/>
    </row>
    <row r="29" spans="1:8" ht="19.899999999999999" customHeight="1">
      <c r="A29" s="123">
        <v>46036</v>
      </c>
      <c r="B29" s="124" t="s">
        <v>402</v>
      </c>
      <c r="C29" s="125" t="s">
        <v>1197</v>
      </c>
      <c r="D29" s="124" t="s">
        <v>1192</v>
      </c>
      <c r="E29" s="126">
        <v>1.3923611111111109</v>
      </c>
      <c r="F29" s="124" t="s">
        <v>63</v>
      </c>
      <c r="G29" s="127">
        <v>9</v>
      </c>
      <c r="H29" s="128" t="s">
        <v>1198</v>
      </c>
    </row>
    <row r="30" spans="1:8" ht="19.899999999999999" customHeight="1">
      <c r="A30" s="143"/>
      <c r="B30" s="144"/>
      <c r="C30" s="144"/>
      <c r="D30" s="144"/>
      <c r="E30" s="144"/>
      <c r="F30" s="145" t="s">
        <v>1211</v>
      </c>
      <c r="G30" s="144"/>
      <c r="H30" s="146"/>
    </row>
    <row r="31" spans="1:8" ht="19.899999999999999" customHeight="1">
      <c r="A31" s="121">
        <v>46037</v>
      </c>
      <c r="B31" s="112" t="s">
        <v>402</v>
      </c>
      <c r="C31" s="113" t="s">
        <v>1195</v>
      </c>
      <c r="D31" s="112" t="s">
        <v>1192</v>
      </c>
      <c r="E31" s="122">
        <v>1.7013888888888891</v>
      </c>
      <c r="F31" s="112" t="s">
        <v>63</v>
      </c>
      <c r="G31" s="114">
        <v>8</v>
      </c>
      <c r="H31" s="115" t="s">
        <v>1198</v>
      </c>
    </row>
    <row r="32" spans="1:8" ht="19.899999999999999" customHeight="1">
      <c r="A32" s="123">
        <v>46037</v>
      </c>
      <c r="B32" s="124" t="s">
        <v>61</v>
      </c>
      <c r="C32" s="125" t="s">
        <v>1193</v>
      </c>
      <c r="D32" s="124" t="s">
        <v>1192</v>
      </c>
      <c r="E32" s="126">
        <v>1.7673611111111109</v>
      </c>
      <c r="F32" s="124" t="s">
        <v>63</v>
      </c>
      <c r="G32" s="127">
        <v>9</v>
      </c>
      <c r="H32" s="128" t="s">
        <v>449</v>
      </c>
    </row>
    <row r="33" spans="1:8" ht="19.899999999999999" customHeight="1">
      <c r="A33" s="129">
        <v>46038</v>
      </c>
      <c r="B33" s="117" t="s">
        <v>61</v>
      </c>
      <c r="C33" s="118" t="s">
        <v>1206</v>
      </c>
      <c r="D33" s="117" t="s">
        <v>1205</v>
      </c>
      <c r="E33" s="130">
        <v>1.479166666666667</v>
      </c>
      <c r="F33" s="117" t="s">
        <v>63</v>
      </c>
      <c r="G33" s="119">
        <v>5</v>
      </c>
      <c r="H33" s="120" t="s">
        <v>133</v>
      </c>
    </row>
    <row r="34" spans="1:8" ht="19.899999999999999" customHeight="1">
      <c r="A34" s="143"/>
      <c r="B34" s="144"/>
      <c r="C34" s="144"/>
      <c r="D34" s="144"/>
      <c r="E34" s="144"/>
      <c r="F34" s="145" t="s">
        <v>1211</v>
      </c>
      <c r="G34" s="144"/>
      <c r="H34" s="146"/>
    </row>
    <row r="35" spans="1:8" ht="19.899999999999999" customHeight="1">
      <c r="A35" s="123">
        <v>46038</v>
      </c>
      <c r="B35" s="124" t="s">
        <v>402</v>
      </c>
      <c r="C35" s="125" t="s">
        <v>1197</v>
      </c>
      <c r="D35" s="124" t="s">
        <v>1192</v>
      </c>
      <c r="E35" s="126">
        <v>1.3090277777777779</v>
      </c>
      <c r="F35" s="124" t="s">
        <v>63</v>
      </c>
      <c r="G35" s="127">
        <v>9</v>
      </c>
      <c r="H35" s="128" t="s">
        <v>1198</v>
      </c>
    </row>
    <row r="36" spans="1:8" ht="19.899999999999999" customHeight="1">
      <c r="A36" s="143"/>
      <c r="B36" s="144"/>
      <c r="C36" s="144"/>
      <c r="D36" s="144"/>
      <c r="E36" s="144"/>
      <c r="F36" s="145" t="s">
        <v>1211</v>
      </c>
      <c r="G36" s="144"/>
      <c r="H36" s="146"/>
    </row>
    <row r="37" spans="1:8" ht="19.899999999999999" customHeight="1">
      <c r="A37" s="123">
        <v>46039</v>
      </c>
      <c r="B37" s="124" t="s">
        <v>61</v>
      </c>
      <c r="C37" s="125" t="s">
        <v>1193</v>
      </c>
      <c r="D37" s="124" t="s">
        <v>1192</v>
      </c>
      <c r="E37" s="126">
        <v>1.71875</v>
      </c>
      <c r="F37" s="124" t="s">
        <v>63</v>
      </c>
      <c r="G37" s="127">
        <v>9</v>
      </c>
      <c r="H37" s="128" t="s">
        <v>449</v>
      </c>
    </row>
    <row r="38" spans="1:8" ht="19.899999999999999" customHeight="1">
      <c r="A38" s="143"/>
      <c r="B38" s="144"/>
      <c r="C38" s="144"/>
      <c r="D38" s="144"/>
      <c r="E38" s="144"/>
      <c r="F38" s="145" t="s">
        <v>1211</v>
      </c>
      <c r="G38" s="144"/>
      <c r="H38" s="146"/>
    </row>
    <row r="39" spans="1:8" ht="19.899999999999999" customHeight="1">
      <c r="A39" s="123">
        <v>46040</v>
      </c>
      <c r="B39" s="124" t="s">
        <v>402</v>
      </c>
      <c r="C39" s="125" t="s">
        <v>1197</v>
      </c>
      <c r="D39" s="124" t="s">
        <v>1192</v>
      </c>
      <c r="E39" s="126">
        <v>1.3090277777777779</v>
      </c>
      <c r="F39" s="124" t="s">
        <v>63</v>
      </c>
      <c r="G39" s="127">
        <v>6</v>
      </c>
      <c r="H39" s="128" t="s">
        <v>1198</v>
      </c>
    </row>
    <row r="40" spans="1:8" ht="19.899999999999999" customHeight="1">
      <c r="A40" s="143"/>
      <c r="B40" s="144"/>
      <c r="C40" s="144"/>
      <c r="D40" s="144"/>
      <c r="E40" s="144"/>
      <c r="F40" s="145" t="s">
        <v>1211</v>
      </c>
      <c r="G40" s="144"/>
      <c r="H40" s="146"/>
    </row>
    <row r="41" spans="1:8" ht="19.899999999999999" customHeight="1">
      <c r="A41" s="123">
        <v>46042</v>
      </c>
      <c r="B41" s="124" t="s">
        <v>61</v>
      </c>
      <c r="C41" s="125" t="s">
        <v>1193</v>
      </c>
      <c r="D41" s="124" t="s">
        <v>1192</v>
      </c>
      <c r="E41" s="126">
        <v>1.3125</v>
      </c>
      <c r="F41" s="124" t="s">
        <v>63</v>
      </c>
      <c r="G41" s="127">
        <v>4</v>
      </c>
      <c r="H41" s="128" t="s">
        <v>840</v>
      </c>
    </row>
    <row r="42" spans="1:8" ht="19.899999999999999" customHeight="1">
      <c r="A42" s="143"/>
      <c r="B42" s="144"/>
      <c r="C42" s="144"/>
      <c r="D42" s="144"/>
      <c r="E42" s="144"/>
      <c r="F42" s="145" t="s">
        <v>1211</v>
      </c>
      <c r="G42" s="144"/>
      <c r="H42" s="146"/>
    </row>
    <row r="43" spans="1:8" ht="19.899999999999999" customHeight="1">
      <c r="A43" s="123">
        <v>46043</v>
      </c>
      <c r="B43" s="124" t="s">
        <v>402</v>
      </c>
      <c r="C43" s="125" t="s">
        <v>1197</v>
      </c>
      <c r="D43" s="124" t="s">
        <v>1192</v>
      </c>
      <c r="E43" s="126">
        <v>1.3923611111111109</v>
      </c>
      <c r="F43" s="124" t="s">
        <v>63</v>
      </c>
      <c r="G43" s="127">
        <v>9</v>
      </c>
      <c r="H43" s="128" t="s">
        <v>1198</v>
      </c>
    </row>
    <row r="44" spans="1:8" ht="19.899999999999999" customHeight="1">
      <c r="A44" s="143"/>
      <c r="B44" s="144"/>
      <c r="C44" s="144"/>
      <c r="D44" s="144"/>
      <c r="E44" s="144"/>
      <c r="F44" s="145" t="s">
        <v>1211</v>
      </c>
      <c r="G44" s="144"/>
      <c r="H44" s="146"/>
    </row>
    <row r="45" spans="1:8" ht="19.899999999999999" customHeight="1">
      <c r="A45" s="121">
        <v>46044</v>
      </c>
      <c r="B45" s="112" t="s">
        <v>402</v>
      </c>
      <c r="C45" s="113" t="s">
        <v>1195</v>
      </c>
      <c r="D45" s="112" t="s">
        <v>1192</v>
      </c>
      <c r="E45" s="122">
        <v>1.7013888888888891</v>
      </c>
      <c r="F45" s="112" t="s">
        <v>63</v>
      </c>
      <c r="G45" s="114">
        <v>9</v>
      </c>
      <c r="H45" s="115" t="s">
        <v>1198</v>
      </c>
    </row>
    <row r="46" spans="1:8" ht="19.899999999999999" customHeight="1">
      <c r="A46" s="123">
        <v>46044</v>
      </c>
      <c r="B46" s="124" t="s">
        <v>61</v>
      </c>
      <c r="C46" s="125" t="s">
        <v>1193</v>
      </c>
      <c r="D46" s="124" t="s">
        <v>1192</v>
      </c>
      <c r="E46" s="126">
        <v>1.7673611111111109</v>
      </c>
      <c r="F46" s="124" t="s">
        <v>63</v>
      </c>
      <c r="G46" s="127">
        <v>7</v>
      </c>
      <c r="H46" s="128" t="s">
        <v>1201</v>
      </c>
    </row>
    <row r="47" spans="1:8" ht="19.899999999999999" customHeight="1">
      <c r="A47" s="129">
        <v>46045</v>
      </c>
      <c r="B47" s="117" t="s">
        <v>61</v>
      </c>
      <c r="C47" s="118" t="s">
        <v>1206</v>
      </c>
      <c r="D47" s="117" t="s">
        <v>1205</v>
      </c>
      <c r="E47" s="130">
        <v>1.479166666666667</v>
      </c>
      <c r="F47" s="117" t="s">
        <v>63</v>
      </c>
      <c r="G47" s="119">
        <v>3</v>
      </c>
      <c r="H47" s="120" t="s">
        <v>133</v>
      </c>
    </row>
    <row r="48" spans="1:8" ht="19.899999999999999" customHeight="1">
      <c r="A48" s="143"/>
      <c r="B48" s="144"/>
      <c r="C48" s="144"/>
      <c r="D48" s="144"/>
      <c r="E48" s="144"/>
      <c r="F48" s="145" t="s">
        <v>1211</v>
      </c>
      <c r="G48" s="144"/>
      <c r="H48" s="146"/>
    </row>
    <row r="49" spans="1:8" ht="19.899999999999999" customHeight="1">
      <c r="A49" s="123">
        <v>46045</v>
      </c>
      <c r="B49" s="124" t="s">
        <v>402</v>
      </c>
      <c r="C49" s="125" t="s">
        <v>1197</v>
      </c>
      <c r="D49" s="124" t="s">
        <v>1192</v>
      </c>
      <c r="E49" s="126">
        <v>1.3090277777777779</v>
      </c>
      <c r="F49" s="124" t="s">
        <v>63</v>
      </c>
      <c r="G49" s="127">
        <v>5</v>
      </c>
      <c r="H49" s="128" t="s">
        <v>1198</v>
      </c>
    </row>
    <row r="50" spans="1:8" ht="19.899999999999999" customHeight="1">
      <c r="A50" s="143"/>
      <c r="B50" s="144"/>
      <c r="C50" s="144"/>
      <c r="D50" s="144"/>
      <c r="E50" s="144"/>
      <c r="F50" s="145" t="s">
        <v>1211</v>
      </c>
      <c r="G50" s="144"/>
      <c r="H50" s="146"/>
    </row>
    <row r="51" spans="1:8" ht="19.899999999999999" customHeight="1">
      <c r="A51" s="123">
        <v>46046</v>
      </c>
      <c r="B51" s="124" t="s">
        <v>61</v>
      </c>
      <c r="C51" s="125" t="s">
        <v>1193</v>
      </c>
      <c r="D51" s="124" t="s">
        <v>1192</v>
      </c>
      <c r="E51" s="126">
        <v>1.71875</v>
      </c>
      <c r="F51" s="124" t="s">
        <v>63</v>
      </c>
      <c r="G51" s="127">
        <v>2</v>
      </c>
      <c r="H51" s="128" t="s">
        <v>1201</v>
      </c>
    </row>
    <row r="52" spans="1:8" ht="19.899999999999999" customHeight="1">
      <c r="A52" s="143"/>
      <c r="B52" s="144"/>
      <c r="C52" s="144"/>
      <c r="D52" s="144"/>
      <c r="E52" s="144"/>
      <c r="F52" s="145" t="s">
        <v>1211</v>
      </c>
      <c r="G52" s="144"/>
      <c r="H52" s="146"/>
    </row>
    <row r="53" spans="1:8" ht="19.899999999999999" customHeight="1">
      <c r="A53" s="123">
        <v>46047</v>
      </c>
      <c r="B53" s="124" t="s">
        <v>402</v>
      </c>
      <c r="C53" s="125" t="s">
        <v>1197</v>
      </c>
      <c r="D53" s="124" t="s">
        <v>1192</v>
      </c>
      <c r="E53" s="126">
        <v>1.3090277777777779</v>
      </c>
      <c r="F53" s="124" t="s">
        <v>63</v>
      </c>
      <c r="G53" s="127">
        <v>1</v>
      </c>
      <c r="H53" s="128" t="s">
        <v>1198</v>
      </c>
    </row>
    <row r="54" spans="1:8" ht="19.899999999999999" customHeight="1">
      <c r="A54" s="143"/>
      <c r="B54" s="144"/>
      <c r="C54" s="144"/>
      <c r="D54" s="144"/>
      <c r="E54" s="144"/>
      <c r="F54" s="145" t="s">
        <v>1211</v>
      </c>
      <c r="G54" s="144"/>
      <c r="H54" s="146"/>
    </row>
    <row r="55" spans="1:8" ht="19.899999999999999" customHeight="1">
      <c r="A55" s="123">
        <v>46049</v>
      </c>
      <c r="B55" s="124" t="s">
        <v>61</v>
      </c>
      <c r="C55" s="125" t="s">
        <v>1193</v>
      </c>
      <c r="D55" s="124" t="s">
        <v>1192</v>
      </c>
      <c r="E55" s="126">
        <v>1.3125</v>
      </c>
      <c r="F55" s="124" t="s">
        <v>63</v>
      </c>
      <c r="G55" s="127">
        <v>2</v>
      </c>
      <c r="H55" s="128" t="s">
        <v>840</v>
      </c>
    </row>
    <row r="56" spans="1:8" ht="19.899999999999999" customHeight="1">
      <c r="A56" s="143"/>
      <c r="B56" s="144"/>
      <c r="C56" s="144"/>
      <c r="D56" s="144"/>
      <c r="E56" s="144"/>
      <c r="F56" s="145" t="s">
        <v>1211</v>
      </c>
      <c r="G56" s="144"/>
      <c r="H56" s="146"/>
    </row>
    <row r="57" spans="1:8" ht="19.899999999999999" customHeight="1">
      <c r="A57" s="123">
        <v>46050</v>
      </c>
      <c r="B57" s="124" t="s">
        <v>402</v>
      </c>
      <c r="C57" s="125" t="s">
        <v>1197</v>
      </c>
      <c r="D57" s="124" t="s">
        <v>1192</v>
      </c>
      <c r="E57" s="126">
        <v>1.3923611111111109</v>
      </c>
      <c r="F57" s="124" t="s">
        <v>63</v>
      </c>
      <c r="G57" s="127">
        <v>8</v>
      </c>
      <c r="H57" s="128" t="s">
        <v>1198</v>
      </c>
    </row>
    <row r="58" spans="1:8" ht="19.899999999999999" customHeight="1">
      <c r="A58" s="143"/>
      <c r="B58" s="144"/>
      <c r="C58" s="144"/>
      <c r="D58" s="144"/>
      <c r="E58" s="144"/>
      <c r="F58" s="145" t="s">
        <v>1211</v>
      </c>
      <c r="G58" s="144"/>
      <c r="H58" s="146"/>
    </row>
    <row r="59" spans="1:8" ht="19.899999999999999" customHeight="1">
      <c r="A59" s="121">
        <v>46051</v>
      </c>
      <c r="B59" s="112" t="s">
        <v>402</v>
      </c>
      <c r="C59" s="113" t="s">
        <v>1195</v>
      </c>
      <c r="D59" s="112" t="s">
        <v>1192</v>
      </c>
      <c r="E59" s="122">
        <v>1.7013888888888891</v>
      </c>
      <c r="F59" s="112" t="s">
        <v>63</v>
      </c>
      <c r="G59" s="114">
        <v>9</v>
      </c>
      <c r="H59" s="115" t="s">
        <v>1198</v>
      </c>
    </row>
    <row r="60" spans="1:8" ht="19.899999999999999" customHeight="1">
      <c r="A60" s="123">
        <v>46051</v>
      </c>
      <c r="B60" s="124" t="s">
        <v>61</v>
      </c>
      <c r="C60" s="125" t="s">
        <v>1193</v>
      </c>
      <c r="D60" s="124" t="s">
        <v>1192</v>
      </c>
      <c r="E60" s="126">
        <v>1.7673611111111109</v>
      </c>
      <c r="F60" s="124" t="s">
        <v>63</v>
      </c>
      <c r="G60" s="127">
        <v>4</v>
      </c>
      <c r="H60" s="128" t="s">
        <v>840</v>
      </c>
    </row>
    <row r="61" spans="1:8" ht="19.899999999999999" customHeight="1">
      <c r="A61" s="129">
        <v>46052</v>
      </c>
      <c r="B61" s="117" t="s">
        <v>61</v>
      </c>
      <c r="C61" s="118" t="s">
        <v>1206</v>
      </c>
      <c r="D61" s="117" t="s">
        <v>1205</v>
      </c>
      <c r="E61" s="130">
        <v>1.479166666666667</v>
      </c>
      <c r="F61" s="117" t="s">
        <v>63</v>
      </c>
      <c r="G61" s="119">
        <v>5</v>
      </c>
      <c r="H61" s="120" t="s">
        <v>83</v>
      </c>
    </row>
    <row r="62" spans="1:8" ht="19.899999999999999" customHeight="1">
      <c r="A62" s="143"/>
      <c r="B62" s="144"/>
      <c r="C62" s="144"/>
      <c r="D62" s="144"/>
      <c r="E62" s="144"/>
      <c r="F62" s="145" t="s">
        <v>1211</v>
      </c>
      <c r="G62" s="144"/>
      <c r="H62" s="146"/>
    </row>
    <row r="63" spans="1:8" ht="19.899999999999999" customHeight="1">
      <c r="A63" s="123">
        <v>46052</v>
      </c>
      <c r="B63" s="124" t="s">
        <v>402</v>
      </c>
      <c r="C63" s="125" t="s">
        <v>1197</v>
      </c>
      <c r="D63" s="124" t="s">
        <v>1192</v>
      </c>
      <c r="E63" s="126">
        <v>1.3090277777777779</v>
      </c>
      <c r="F63" s="124" t="s">
        <v>63</v>
      </c>
      <c r="G63" s="127">
        <v>9</v>
      </c>
      <c r="H63" s="128" t="s">
        <v>1198</v>
      </c>
    </row>
    <row r="64" spans="1:8" ht="19.899999999999999" customHeight="1">
      <c r="A64" s="143"/>
      <c r="B64" s="144"/>
      <c r="C64" s="144"/>
      <c r="D64" s="144"/>
      <c r="E64" s="144"/>
      <c r="F64" s="145" t="s">
        <v>1211</v>
      </c>
      <c r="G64" s="144"/>
      <c r="H64" s="146"/>
    </row>
    <row r="65" spans="1:8" ht="19.899999999999999" customHeight="1">
      <c r="A65" s="123">
        <v>46053</v>
      </c>
      <c r="B65" s="124" t="s">
        <v>61</v>
      </c>
      <c r="C65" s="125" t="s">
        <v>1193</v>
      </c>
      <c r="D65" s="124" t="s">
        <v>1192</v>
      </c>
      <c r="E65" s="126">
        <v>1.71875</v>
      </c>
      <c r="F65" s="124" t="s">
        <v>63</v>
      </c>
      <c r="G65" s="127">
        <v>3</v>
      </c>
      <c r="H65" s="128" t="s">
        <v>840</v>
      </c>
    </row>
  </sheetData>
  <pageMargins left="0.75" right="0.75" top="1" bottom="1" header="0.5" footer="0.5"/>
  <legacyDrawing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N135"/>
  <sheetViews>
    <sheetView workbookViewId="0"/>
  </sheetViews>
  <sheetFormatPr defaultRowHeight="14.45"/>
  <cols>
    <col min="1" max="1" width="10.28515625" bestFit="1" customWidth="1"/>
    <col min="2" max="2" width="15.7109375" bestFit="1" customWidth="1"/>
    <col min="3" max="3" width="14.7109375" bestFit="1" customWidth="1"/>
    <col min="4" max="4" width="29.85546875" bestFit="1" customWidth="1"/>
    <col min="5" max="5" width="18.5703125" bestFit="1" customWidth="1"/>
    <col min="6" max="6" width="23.42578125" bestFit="1" customWidth="1"/>
    <col min="7" max="7" width="45.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21.85546875" bestFit="1" customWidth="1"/>
  </cols>
  <sheetData>
    <row r="1" spans="1:92" ht="28.9" customHeight="1">
      <c r="A1" s="291" t="s">
        <v>0</v>
      </c>
      <c r="B1" s="294"/>
      <c r="C1" s="294"/>
      <c r="D1" s="294"/>
      <c r="E1" s="294"/>
      <c r="F1" s="1" t="s">
        <v>1213</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45980.610540430731</v>
      </c>
      <c r="H2" s="294"/>
      <c r="I2" s="294"/>
      <c r="J2" s="294"/>
      <c r="K2" s="287">
        <v>45980.610540431036</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46023</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40" t="s">
        <v>61</v>
      </c>
      <c r="B6" s="40" t="s">
        <v>1214</v>
      </c>
      <c r="C6" s="41">
        <v>0.4375</v>
      </c>
      <c r="D6" s="40" t="s">
        <v>63</v>
      </c>
      <c r="E6" s="40" t="s">
        <v>51</v>
      </c>
      <c r="F6" s="40" t="s">
        <v>961</v>
      </c>
      <c r="G6" s="297"/>
      <c r="H6" s="42" t="s">
        <v>1215</v>
      </c>
      <c r="I6" s="43">
        <v>2.7900000000000001E-2</v>
      </c>
      <c r="J6" s="44">
        <v>5</v>
      </c>
      <c r="K6" s="45">
        <v>46337</v>
      </c>
      <c r="L6" s="44">
        <v>5</v>
      </c>
      <c r="M6" s="44">
        <v>0</v>
      </c>
      <c r="N6" s="44">
        <v>0</v>
      </c>
      <c r="O6" s="46" t="s">
        <v>549</v>
      </c>
      <c r="P6" s="47">
        <v>0.4375</v>
      </c>
      <c r="Q6" s="44">
        <v>179</v>
      </c>
      <c r="R6" s="48" t="s">
        <v>1216</v>
      </c>
    </row>
    <row r="7" spans="1:92" ht="49.9" customHeight="1" thickBot="1">
      <c r="A7" s="96" t="s">
        <v>402</v>
      </c>
      <c r="B7" s="96" t="s">
        <v>1217</v>
      </c>
      <c r="C7" s="97">
        <v>2.0833333333333329E-2</v>
      </c>
      <c r="D7" s="96" t="s">
        <v>63</v>
      </c>
      <c r="E7" s="96" t="s">
        <v>51</v>
      </c>
      <c r="F7" s="96" t="s">
        <v>1218</v>
      </c>
      <c r="G7" s="299"/>
      <c r="H7" s="300"/>
      <c r="I7" s="140"/>
      <c r="J7" s="140"/>
      <c r="K7" s="140"/>
      <c r="L7" s="140"/>
      <c r="M7" s="140"/>
      <c r="N7" s="140"/>
      <c r="O7" s="141"/>
      <c r="P7" s="140"/>
      <c r="Q7" s="142"/>
      <c r="R7" s="301"/>
    </row>
    <row r="8" spans="1:92" ht="17.45" customHeight="1" thickBot="1">
      <c r="A8" s="283"/>
      <c r="B8" s="284"/>
      <c r="C8" s="284"/>
      <c r="D8" s="284"/>
      <c r="E8" s="284"/>
      <c r="F8" s="284"/>
      <c r="G8" s="284"/>
      <c r="H8" s="284"/>
      <c r="I8" s="284"/>
      <c r="J8" s="284"/>
      <c r="K8" s="284"/>
      <c r="L8" s="284"/>
      <c r="M8" s="284"/>
      <c r="N8" s="284"/>
      <c r="O8" s="284"/>
      <c r="P8" s="284"/>
      <c r="Q8" s="284"/>
      <c r="R8" s="285"/>
    </row>
    <row r="9" spans="1:92" ht="22.15" customHeight="1" thickTop="1" thickBot="1">
      <c r="A9" s="279" t="s">
        <v>6</v>
      </c>
      <c r="B9" s="295"/>
      <c r="C9" s="295"/>
      <c r="D9" s="295"/>
      <c r="E9" s="295"/>
      <c r="F9" s="296"/>
      <c r="G9" s="32">
        <v>46024</v>
      </c>
      <c r="H9" s="278" t="s">
        <v>7</v>
      </c>
      <c r="I9" s="295"/>
      <c r="J9" s="295"/>
      <c r="K9" s="295"/>
      <c r="L9" s="295"/>
      <c r="M9" s="295"/>
      <c r="N9" s="295"/>
      <c r="O9" s="295"/>
      <c r="P9" s="295"/>
      <c r="Q9" s="295"/>
      <c r="R9" s="296"/>
    </row>
    <row r="10" spans="1:92" ht="24" customHeight="1">
      <c r="A10" s="33" t="s">
        <v>8</v>
      </c>
      <c r="B10" s="33" t="s">
        <v>9</v>
      </c>
      <c r="C10" s="34" t="s">
        <v>10</v>
      </c>
      <c r="D10" s="33" t="s">
        <v>11</v>
      </c>
      <c r="E10" s="33" t="s">
        <v>12</v>
      </c>
      <c r="F10" s="35" t="s">
        <v>13</v>
      </c>
      <c r="G10" s="36" t="s">
        <v>14</v>
      </c>
      <c r="H10" s="33" t="s">
        <v>15</v>
      </c>
      <c r="I10" s="37" t="s">
        <v>16</v>
      </c>
      <c r="J10" s="38" t="s">
        <v>17</v>
      </c>
      <c r="K10" s="39" t="s">
        <v>18</v>
      </c>
      <c r="L10" s="38" t="s">
        <v>19</v>
      </c>
      <c r="M10" s="38" t="s">
        <v>20</v>
      </c>
      <c r="N10" s="38" t="s">
        <v>21</v>
      </c>
      <c r="O10" s="33" t="s">
        <v>22</v>
      </c>
      <c r="P10" s="34" t="s">
        <v>23</v>
      </c>
      <c r="Q10" s="38" t="s">
        <v>24</v>
      </c>
      <c r="R10" s="33" t="s">
        <v>25</v>
      </c>
    </row>
    <row r="11" spans="1:92" ht="49.9" customHeight="1" thickTop="1" thickBot="1">
      <c r="A11" s="21" t="s">
        <v>61</v>
      </c>
      <c r="B11" s="21" t="s">
        <v>1214</v>
      </c>
      <c r="C11" s="22">
        <v>0.16666666666666671</v>
      </c>
      <c r="D11" s="21" t="s">
        <v>63</v>
      </c>
      <c r="E11" s="21" t="s">
        <v>51</v>
      </c>
      <c r="F11" s="21" t="s">
        <v>1219</v>
      </c>
      <c r="G11" s="297"/>
      <c r="H11" s="201" t="s">
        <v>1215</v>
      </c>
      <c r="I11" s="202">
        <v>2.23E-2</v>
      </c>
      <c r="J11" s="203">
        <v>4</v>
      </c>
      <c r="K11" s="204">
        <v>46343</v>
      </c>
      <c r="L11" s="203">
        <v>4</v>
      </c>
      <c r="M11" s="203">
        <v>0</v>
      </c>
      <c r="N11" s="203">
        <v>0</v>
      </c>
      <c r="O11" s="205" t="s">
        <v>877</v>
      </c>
      <c r="P11" s="206">
        <v>0.16666666666666671</v>
      </c>
      <c r="Q11" s="203">
        <v>179</v>
      </c>
      <c r="R11" s="207" t="s">
        <v>1220</v>
      </c>
    </row>
    <row r="12" spans="1:92" ht="17.45" customHeight="1" thickBot="1">
      <c r="A12" s="283"/>
      <c r="B12" s="284"/>
      <c r="C12" s="284"/>
      <c r="D12" s="284"/>
      <c r="E12" s="284"/>
      <c r="F12" s="284"/>
      <c r="G12" s="284"/>
      <c r="H12" s="284"/>
      <c r="I12" s="284"/>
      <c r="J12" s="284"/>
      <c r="K12" s="284"/>
      <c r="L12" s="284"/>
      <c r="M12" s="284"/>
      <c r="N12" s="284"/>
      <c r="O12" s="284"/>
      <c r="P12" s="284"/>
      <c r="Q12" s="284"/>
      <c r="R12" s="285"/>
    </row>
    <row r="13" spans="1:92" ht="22.15" customHeight="1" thickTop="1" thickBot="1">
      <c r="A13" s="279" t="s">
        <v>6</v>
      </c>
      <c r="B13" s="295"/>
      <c r="C13" s="295"/>
      <c r="D13" s="295"/>
      <c r="E13" s="295"/>
      <c r="F13" s="296"/>
      <c r="G13" s="32">
        <v>46025</v>
      </c>
      <c r="H13" s="278" t="s">
        <v>7</v>
      </c>
      <c r="I13" s="295"/>
      <c r="J13" s="295"/>
      <c r="K13" s="295"/>
      <c r="L13" s="295"/>
      <c r="M13" s="295"/>
      <c r="N13" s="295"/>
      <c r="O13" s="295"/>
      <c r="P13" s="295"/>
      <c r="Q13" s="295"/>
      <c r="R13" s="296"/>
    </row>
    <row r="14" spans="1:92" ht="24" customHeight="1">
      <c r="A14" s="33" t="s">
        <v>8</v>
      </c>
      <c r="B14" s="33" t="s">
        <v>9</v>
      </c>
      <c r="C14" s="34" t="s">
        <v>10</v>
      </c>
      <c r="D14" s="33" t="s">
        <v>11</v>
      </c>
      <c r="E14" s="33" t="s">
        <v>12</v>
      </c>
      <c r="F14" s="35" t="s">
        <v>13</v>
      </c>
      <c r="G14" s="36" t="s">
        <v>14</v>
      </c>
      <c r="H14" s="33" t="s">
        <v>15</v>
      </c>
      <c r="I14" s="37" t="s">
        <v>16</v>
      </c>
      <c r="J14" s="38" t="s">
        <v>17</v>
      </c>
      <c r="K14" s="39" t="s">
        <v>18</v>
      </c>
      <c r="L14" s="38" t="s">
        <v>19</v>
      </c>
      <c r="M14" s="38" t="s">
        <v>20</v>
      </c>
      <c r="N14" s="38" t="s">
        <v>21</v>
      </c>
      <c r="O14" s="33" t="s">
        <v>22</v>
      </c>
      <c r="P14" s="34" t="s">
        <v>23</v>
      </c>
      <c r="Q14" s="38" t="s">
        <v>24</v>
      </c>
      <c r="R14" s="33" t="s">
        <v>25</v>
      </c>
    </row>
    <row r="15" spans="1:92" ht="49.9" customHeight="1" thickTop="1" thickBot="1">
      <c r="A15" s="67" t="s">
        <v>61</v>
      </c>
      <c r="B15" s="67" t="s">
        <v>1214</v>
      </c>
      <c r="C15" s="68">
        <v>0.125</v>
      </c>
      <c r="D15" s="67" t="s">
        <v>63</v>
      </c>
      <c r="E15" s="67" t="s">
        <v>51</v>
      </c>
      <c r="F15" s="67" t="s">
        <v>1221</v>
      </c>
      <c r="G15" s="302"/>
      <c r="H15" s="181" t="s">
        <v>1215</v>
      </c>
      <c r="I15" s="182">
        <v>6.7000000000000004E-2</v>
      </c>
      <c r="J15" s="183">
        <v>12</v>
      </c>
      <c r="K15" s="184">
        <v>46339</v>
      </c>
      <c r="L15" s="183">
        <v>12</v>
      </c>
      <c r="M15" s="183">
        <v>0</v>
      </c>
      <c r="N15" s="183">
        <v>0</v>
      </c>
      <c r="O15" s="185" t="s">
        <v>67</v>
      </c>
      <c r="P15" s="186">
        <v>0.125</v>
      </c>
      <c r="Q15" s="183">
        <v>179</v>
      </c>
      <c r="R15" s="187" t="s">
        <v>1222</v>
      </c>
    </row>
    <row r="16" spans="1:92" ht="17.45" customHeight="1" thickBot="1">
      <c r="A16" s="283"/>
      <c r="B16" s="284"/>
      <c r="C16" s="284"/>
      <c r="D16" s="284"/>
      <c r="E16" s="284"/>
      <c r="F16" s="284"/>
      <c r="G16" s="284"/>
      <c r="H16" s="284"/>
      <c r="I16" s="284"/>
      <c r="J16" s="284"/>
      <c r="K16" s="284"/>
      <c r="L16" s="284"/>
      <c r="M16" s="284"/>
      <c r="N16" s="284"/>
      <c r="O16" s="284"/>
      <c r="P16" s="284"/>
      <c r="Q16" s="284"/>
      <c r="R16" s="285"/>
    </row>
    <row r="17" spans="1:18" ht="22.15" customHeight="1" thickTop="1" thickBot="1">
      <c r="A17" s="279" t="s">
        <v>6</v>
      </c>
      <c r="B17" s="295"/>
      <c r="C17" s="295"/>
      <c r="D17" s="295"/>
      <c r="E17" s="295"/>
      <c r="F17" s="296"/>
      <c r="G17" s="32">
        <v>46026</v>
      </c>
      <c r="H17" s="278" t="s">
        <v>7</v>
      </c>
      <c r="I17" s="295"/>
      <c r="J17" s="295"/>
      <c r="K17" s="295"/>
      <c r="L17" s="295"/>
      <c r="M17" s="295"/>
      <c r="N17" s="295"/>
      <c r="O17" s="295"/>
      <c r="P17" s="295"/>
      <c r="Q17" s="295"/>
      <c r="R17" s="296"/>
    </row>
    <row r="18" spans="1:18" ht="24" customHeight="1">
      <c r="A18" s="33" t="s">
        <v>8</v>
      </c>
      <c r="B18" s="33" t="s">
        <v>9</v>
      </c>
      <c r="C18" s="34" t="s">
        <v>10</v>
      </c>
      <c r="D18" s="33" t="s">
        <v>11</v>
      </c>
      <c r="E18" s="33" t="s">
        <v>12</v>
      </c>
      <c r="F18" s="35" t="s">
        <v>13</v>
      </c>
      <c r="G18" s="36" t="s">
        <v>14</v>
      </c>
      <c r="H18" s="33" t="s">
        <v>15</v>
      </c>
      <c r="I18" s="37" t="s">
        <v>16</v>
      </c>
      <c r="J18" s="38" t="s">
        <v>17</v>
      </c>
      <c r="K18" s="39" t="s">
        <v>18</v>
      </c>
      <c r="L18" s="38" t="s">
        <v>19</v>
      </c>
      <c r="M18" s="38" t="s">
        <v>20</v>
      </c>
      <c r="N18" s="38" t="s">
        <v>21</v>
      </c>
      <c r="O18" s="33" t="s">
        <v>22</v>
      </c>
      <c r="P18" s="34" t="s">
        <v>23</v>
      </c>
      <c r="Q18" s="38" t="s">
        <v>24</v>
      </c>
      <c r="R18" s="33" t="s">
        <v>25</v>
      </c>
    </row>
    <row r="19" spans="1:18" ht="49.9" customHeight="1" thickTop="1" thickBot="1">
      <c r="A19" s="49" t="s">
        <v>61</v>
      </c>
      <c r="B19" s="49" t="s">
        <v>1214</v>
      </c>
      <c r="C19" s="50">
        <v>0.21527777777777779</v>
      </c>
      <c r="D19" s="49" t="s">
        <v>63</v>
      </c>
      <c r="E19" s="49" t="s">
        <v>126</v>
      </c>
      <c r="F19" s="49" t="s">
        <v>349</v>
      </c>
      <c r="G19" s="297"/>
      <c r="H19" s="169" t="s">
        <v>1215</v>
      </c>
      <c r="I19" s="170">
        <v>5.0299999999999997E-2</v>
      </c>
      <c r="J19" s="171">
        <v>9</v>
      </c>
      <c r="K19" s="172">
        <v>46344</v>
      </c>
      <c r="L19" s="171">
        <v>9</v>
      </c>
      <c r="M19" s="171">
        <v>0</v>
      </c>
      <c r="N19" s="171">
        <v>0</v>
      </c>
      <c r="O19" s="173" t="s">
        <v>819</v>
      </c>
      <c r="P19" s="174">
        <v>0.21527777777777779</v>
      </c>
      <c r="Q19" s="171">
        <v>179</v>
      </c>
      <c r="R19" s="175" t="s">
        <v>1223</v>
      </c>
    </row>
    <row r="20" spans="1:18" ht="17.45" customHeight="1" thickBot="1">
      <c r="A20" s="283"/>
      <c r="B20" s="284"/>
      <c r="C20" s="284"/>
      <c r="D20" s="284"/>
      <c r="E20" s="284"/>
      <c r="F20" s="284"/>
      <c r="G20" s="284"/>
      <c r="H20" s="284"/>
      <c r="I20" s="284"/>
      <c r="J20" s="284"/>
      <c r="K20" s="284"/>
      <c r="L20" s="284"/>
      <c r="M20" s="284"/>
      <c r="N20" s="284"/>
      <c r="O20" s="284"/>
      <c r="P20" s="284"/>
      <c r="Q20" s="284"/>
      <c r="R20" s="285"/>
    </row>
    <row r="21" spans="1:18" ht="22.15" customHeight="1" thickTop="1" thickBot="1">
      <c r="A21" s="279" t="s">
        <v>6</v>
      </c>
      <c r="B21" s="295"/>
      <c r="C21" s="295"/>
      <c r="D21" s="295"/>
      <c r="E21" s="295"/>
      <c r="F21" s="296"/>
      <c r="G21" s="32">
        <v>46027</v>
      </c>
      <c r="H21" s="278" t="s">
        <v>7</v>
      </c>
      <c r="I21" s="295"/>
      <c r="J21" s="295"/>
      <c r="K21" s="295"/>
      <c r="L21" s="295"/>
      <c r="M21" s="295"/>
      <c r="N21" s="295"/>
      <c r="O21" s="295"/>
      <c r="P21" s="295"/>
      <c r="Q21" s="295"/>
      <c r="R21" s="296"/>
    </row>
    <row r="22" spans="1:18" ht="24" customHeight="1">
      <c r="A22" s="33" t="s">
        <v>8</v>
      </c>
      <c r="B22" s="33" t="s">
        <v>9</v>
      </c>
      <c r="C22" s="34" t="s">
        <v>10</v>
      </c>
      <c r="D22" s="33" t="s">
        <v>11</v>
      </c>
      <c r="E22" s="33" t="s">
        <v>12</v>
      </c>
      <c r="F22" s="35" t="s">
        <v>13</v>
      </c>
      <c r="G22" s="36" t="s">
        <v>14</v>
      </c>
      <c r="H22" s="33" t="s">
        <v>15</v>
      </c>
      <c r="I22" s="37" t="s">
        <v>16</v>
      </c>
      <c r="J22" s="38" t="s">
        <v>17</v>
      </c>
      <c r="K22" s="39" t="s">
        <v>18</v>
      </c>
      <c r="L22" s="38" t="s">
        <v>19</v>
      </c>
      <c r="M22" s="38" t="s">
        <v>20</v>
      </c>
      <c r="N22" s="38" t="s">
        <v>21</v>
      </c>
      <c r="O22" s="33" t="s">
        <v>22</v>
      </c>
      <c r="P22" s="34" t="s">
        <v>23</v>
      </c>
      <c r="Q22" s="38" t="s">
        <v>24</v>
      </c>
      <c r="R22" s="33" t="s">
        <v>25</v>
      </c>
    </row>
    <row r="23" spans="1:18" ht="49.9" customHeight="1" thickTop="1" thickBot="1">
      <c r="A23" s="98" t="s">
        <v>61</v>
      </c>
      <c r="B23" s="98" t="s">
        <v>1214</v>
      </c>
      <c r="C23" s="99">
        <v>0.16666666666666671</v>
      </c>
      <c r="D23" s="98" t="s">
        <v>63</v>
      </c>
      <c r="E23" s="98" t="s">
        <v>107</v>
      </c>
      <c r="F23" s="98" t="s">
        <v>349</v>
      </c>
      <c r="G23" s="297"/>
      <c r="H23" s="189" t="s">
        <v>1215</v>
      </c>
      <c r="I23" s="190">
        <v>4.4699999999999997E-2</v>
      </c>
      <c r="J23" s="191">
        <v>8</v>
      </c>
      <c r="K23" s="192">
        <v>46343</v>
      </c>
      <c r="L23" s="191">
        <v>8</v>
      </c>
      <c r="M23" s="191">
        <v>0</v>
      </c>
      <c r="N23" s="191">
        <v>0</v>
      </c>
      <c r="O23" s="193" t="s">
        <v>374</v>
      </c>
      <c r="P23" s="194">
        <v>0.16666666666666671</v>
      </c>
      <c r="Q23" s="191">
        <v>179</v>
      </c>
      <c r="R23" s="195" t="s">
        <v>1224</v>
      </c>
    </row>
    <row r="24" spans="1:18" ht="17.45" customHeight="1" thickBot="1">
      <c r="A24" s="283"/>
      <c r="B24" s="284"/>
      <c r="C24" s="284"/>
      <c r="D24" s="284"/>
      <c r="E24" s="284"/>
      <c r="F24" s="284"/>
      <c r="G24" s="284"/>
      <c r="H24" s="284"/>
      <c r="I24" s="284"/>
      <c r="J24" s="284"/>
      <c r="K24" s="284"/>
      <c r="L24" s="284"/>
      <c r="M24" s="284"/>
      <c r="N24" s="284"/>
      <c r="O24" s="284"/>
      <c r="P24" s="284"/>
      <c r="Q24" s="284"/>
      <c r="R24" s="285"/>
    </row>
    <row r="25" spans="1:18" ht="22.15" customHeight="1" thickTop="1" thickBot="1">
      <c r="A25" s="279" t="s">
        <v>6</v>
      </c>
      <c r="B25" s="295"/>
      <c r="C25" s="295"/>
      <c r="D25" s="295"/>
      <c r="E25" s="295"/>
      <c r="F25" s="296"/>
      <c r="G25" s="32">
        <v>46028</v>
      </c>
      <c r="H25" s="278" t="s">
        <v>7</v>
      </c>
      <c r="I25" s="295"/>
      <c r="J25" s="295"/>
      <c r="K25" s="295"/>
      <c r="L25" s="295"/>
      <c r="M25" s="295"/>
      <c r="N25" s="295"/>
      <c r="O25" s="295"/>
      <c r="P25" s="295"/>
      <c r="Q25" s="295"/>
      <c r="R25" s="296"/>
    </row>
    <row r="26" spans="1:18" ht="24" customHeight="1">
      <c r="A26" s="33" t="s">
        <v>8</v>
      </c>
      <c r="B26" s="33" t="s">
        <v>9</v>
      </c>
      <c r="C26" s="34" t="s">
        <v>10</v>
      </c>
      <c r="D26" s="33" t="s">
        <v>11</v>
      </c>
      <c r="E26" s="33" t="s">
        <v>12</v>
      </c>
      <c r="F26" s="35" t="s">
        <v>13</v>
      </c>
      <c r="G26" s="36" t="s">
        <v>14</v>
      </c>
      <c r="H26" s="33" t="s">
        <v>15</v>
      </c>
      <c r="I26" s="37" t="s">
        <v>16</v>
      </c>
      <c r="J26" s="38" t="s">
        <v>17</v>
      </c>
      <c r="K26" s="39" t="s">
        <v>18</v>
      </c>
      <c r="L26" s="38" t="s">
        <v>19</v>
      </c>
      <c r="M26" s="38" t="s">
        <v>20</v>
      </c>
      <c r="N26" s="38" t="s">
        <v>21</v>
      </c>
      <c r="O26" s="33" t="s">
        <v>22</v>
      </c>
      <c r="P26" s="34" t="s">
        <v>23</v>
      </c>
      <c r="Q26" s="38" t="s">
        <v>24</v>
      </c>
      <c r="R26" s="33" t="s">
        <v>25</v>
      </c>
    </row>
    <row r="27" spans="1:18" ht="49.9" customHeight="1">
      <c r="A27" s="21" t="s">
        <v>61</v>
      </c>
      <c r="B27" s="21" t="s">
        <v>1214</v>
      </c>
      <c r="C27" s="22">
        <v>0.83333333333333337</v>
      </c>
      <c r="D27" s="21" t="s">
        <v>63</v>
      </c>
      <c r="E27" s="21" t="s">
        <v>51</v>
      </c>
      <c r="F27" s="21" t="s">
        <v>961</v>
      </c>
      <c r="G27" s="297"/>
      <c r="H27" s="23" t="s">
        <v>1215</v>
      </c>
      <c r="I27" s="24">
        <v>2.23E-2</v>
      </c>
      <c r="J27" s="25">
        <v>4</v>
      </c>
      <c r="K27" s="26">
        <v>46326</v>
      </c>
      <c r="L27" s="25">
        <v>4</v>
      </c>
      <c r="M27" s="25">
        <v>0</v>
      </c>
      <c r="N27" s="25">
        <v>0</v>
      </c>
      <c r="O27" s="27" t="s">
        <v>549</v>
      </c>
      <c r="P27" s="28">
        <v>0.83333333333333337</v>
      </c>
      <c r="Q27" s="25">
        <v>179</v>
      </c>
      <c r="R27" s="29" t="s">
        <v>1220</v>
      </c>
    </row>
    <row r="28" spans="1:18" ht="49.9" customHeight="1" thickBot="1">
      <c r="A28" s="96" t="s">
        <v>402</v>
      </c>
      <c r="B28" s="96" t="s">
        <v>1217</v>
      </c>
      <c r="C28" s="97">
        <v>2.0833333333333329E-2</v>
      </c>
      <c r="D28" s="96" t="s">
        <v>63</v>
      </c>
      <c r="E28" s="96" t="s">
        <v>51</v>
      </c>
      <c r="F28" s="96" t="s">
        <v>1218</v>
      </c>
      <c r="G28" s="299"/>
      <c r="H28" s="300"/>
      <c r="I28" s="140"/>
      <c r="J28" s="140"/>
      <c r="K28" s="140"/>
      <c r="L28" s="140"/>
      <c r="M28" s="140"/>
      <c r="N28" s="140"/>
      <c r="O28" s="141"/>
      <c r="P28" s="140"/>
      <c r="Q28" s="142"/>
      <c r="R28" s="301"/>
    </row>
    <row r="29" spans="1:18" ht="17.45" customHeight="1" thickBot="1">
      <c r="A29" s="283"/>
      <c r="B29" s="284"/>
      <c r="C29" s="284"/>
      <c r="D29" s="284"/>
      <c r="E29" s="284"/>
      <c r="F29" s="284"/>
      <c r="G29" s="284"/>
      <c r="H29" s="284"/>
      <c r="I29" s="284"/>
      <c r="J29" s="284"/>
      <c r="K29" s="284"/>
      <c r="L29" s="284"/>
      <c r="M29" s="284"/>
      <c r="N29" s="284"/>
      <c r="O29" s="284"/>
      <c r="P29" s="284"/>
      <c r="Q29" s="284"/>
      <c r="R29" s="285"/>
    </row>
    <row r="30" spans="1:18" ht="22.15" customHeight="1" thickTop="1" thickBot="1">
      <c r="A30" s="279" t="s">
        <v>6</v>
      </c>
      <c r="B30" s="295"/>
      <c r="C30" s="295"/>
      <c r="D30" s="295"/>
      <c r="E30" s="295"/>
      <c r="F30" s="296"/>
      <c r="G30" s="32">
        <v>46029</v>
      </c>
      <c r="H30" s="278" t="s">
        <v>7</v>
      </c>
      <c r="I30" s="295"/>
      <c r="J30" s="295"/>
      <c r="K30" s="295"/>
      <c r="L30" s="295"/>
      <c r="M30" s="295"/>
      <c r="N30" s="295"/>
      <c r="O30" s="295"/>
      <c r="P30" s="295"/>
      <c r="Q30" s="295"/>
      <c r="R30" s="296"/>
    </row>
    <row r="31" spans="1:18" ht="24" customHeight="1">
      <c r="A31" s="33" t="s">
        <v>8</v>
      </c>
      <c r="B31" s="33" t="s">
        <v>9</v>
      </c>
      <c r="C31" s="34" t="s">
        <v>10</v>
      </c>
      <c r="D31" s="33" t="s">
        <v>11</v>
      </c>
      <c r="E31" s="33" t="s">
        <v>12</v>
      </c>
      <c r="F31" s="35" t="s">
        <v>13</v>
      </c>
      <c r="G31" s="36" t="s">
        <v>14</v>
      </c>
      <c r="H31" s="33" t="s">
        <v>15</v>
      </c>
      <c r="I31" s="37" t="s">
        <v>16</v>
      </c>
      <c r="J31" s="38" t="s">
        <v>17</v>
      </c>
      <c r="K31" s="39" t="s">
        <v>18</v>
      </c>
      <c r="L31" s="38" t="s">
        <v>19</v>
      </c>
      <c r="M31" s="38" t="s">
        <v>20</v>
      </c>
      <c r="N31" s="38" t="s">
        <v>21</v>
      </c>
      <c r="O31" s="33" t="s">
        <v>22</v>
      </c>
      <c r="P31" s="34" t="s">
        <v>23</v>
      </c>
      <c r="Q31" s="38" t="s">
        <v>24</v>
      </c>
      <c r="R31" s="33" t="s">
        <v>25</v>
      </c>
    </row>
    <row r="32" spans="1:18" ht="49.9" customHeight="1" thickTop="1" thickBot="1">
      <c r="A32" s="67" t="s">
        <v>61</v>
      </c>
      <c r="B32" s="67" t="s">
        <v>1214</v>
      </c>
      <c r="C32" s="68">
        <v>0.82638888888888884</v>
      </c>
      <c r="D32" s="67" t="s">
        <v>63</v>
      </c>
      <c r="E32" s="67" t="s">
        <v>51</v>
      </c>
      <c r="F32" s="67" t="s">
        <v>961</v>
      </c>
      <c r="G32" s="302"/>
      <c r="H32" s="181" t="s">
        <v>1215</v>
      </c>
      <c r="I32" s="182">
        <v>2.7900000000000001E-2</v>
      </c>
      <c r="J32" s="183">
        <v>5</v>
      </c>
      <c r="K32" s="184">
        <v>46343</v>
      </c>
      <c r="L32" s="183">
        <v>5</v>
      </c>
      <c r="M32" s="183">
        <v>0</v>
      </c>
      <c r="N32" s="183">
        <v>0</v>
      </c>
      <c r="O32" s="185" t="s">
        <v>549</v>
      </c>
      <c r="P32" s="186">
        <v>0.82638888888888884</v>
      </c>
      <c r="Q32" s="183">
        <v>179</v>
      </c>
      <c r="R32" s="187" t="s">
        <v>1216</v>
      </c>
    </row>
    <row r="33" spans="1:18" ht="17.45" customHeight="1" thickBot="1">
      <c r="A33" s="283"/>
      <c r="B33" s="284"/>
      <c r="C33" s="284"/>
      <c r="D33" s="284"/>
      <c r="E33" s="284"/>
      <c r="F33" s="284"/>
      <c r="G33" s="284"/>
      <c r="H33" s="284"/>
      <c r="I33" s="284"/>
      <c r="J33" s="284"/>
      <c r="K33" s="284"/>
      <c r="L33" s="284"/>
      <c r="M33" s="284"/>
      <c r="N33" s="284"/>
      <c r="O33" s="284"/>
      <c r="P33" s="284"/>
      <c r="Q33" s="284"/>
      <c r="R33" s="285"/>
    </row>
    <row r="34" spans="1:18" ht="22.15" customHeight="1" thickTop="1" thickBot="1">
      <c r="A34" s="279" t="s">
        <v>6</v>
      </c>
      <c r="B34" s="295"/>
      <c r="C34" s="295"/>
      <c r="D34" s="295"/>
      <c r="E34" s="295"/>
      <c r="F34" s="296"/>
      <c r="G34" s="32">
        <v>46030</v>
      </c>
      <c r="H34" s="278" t="s">
        <v>7</v>
      </c>
      <c r="I34" s="295"/>
      <c r="J34" s="295"/>
      <c r="K34" s="295"/>
      <c r="L34" s="295"/>
      <c r="M34" s="295"/>
      <c r="N34" s="295"/>
      <c r="O34" s="295"/>
      <c r="P34" s="295"/>
      <c r="Q34" s="295"/>
      <c r="R34" s="296"/>
    </row>
    <row r="35" spans="1:18" ht="24" customHeight="1">
      <c r="A35" s="33" t="s">
        <v>8</v>
      </c>
      <c r="B35" s="33" t="s">
        <v>9</v>
      </c>
      <c r="C35" s="34" t="s">
        <v>10</v>
      </c>
      <c r="D35" s="33" t="s">
        <v>11</v>
      </c>
      <c r="E35" s="33" t="s">
        <v>12</v>
      </c>
      <c r="F35" s="35" t="s">
        <v>13</v>
      </c>
      <c r="G35" s="36" t="s">
        <v>14</v>
      </c>
      <c r="H35" s="33" t="s">
        <v>15</v>
      </c>
      <c r="I35" s="37" t="s">
        <v>16</v>
      </c>
      <c r="J35" s="38" t="s">
        <v>17</v>
      </c>
      <c r="K35" s="39" t="s">
        <v>18</v>
      </c>
      <c r="L35" s="38" t="s">
        <v>19</v>
      </c>
      <c r="M35" s="38" t="s">
        <v>20</v>
      </c>
      <c r="N35" s="38" t="s">
        <v>21</v>
      </c>
      <c r="O35" s="33" t="s">
        <v>22</v>
      </c>
      <c r="P35" s="34" t="s">
        <v>23</v>
      </c>
      <c r="Q35" s="38" t="s">
        <v>24</v>
      </c>
      <c r="R35" s="33" t="s">
        <v>25</v>
      </c>
    </row>
    <row r="36" spans="1:18" ht="49.9" customHeight="1">
      <c r="A36" s="87" t="s">
        <v>61</v>
      </c>
      <c r="B36" s="87" t="s">
        <v>1214</v>
      </c>
      <c r="C36" s="88">
        <v>0.4375</v>
      </c>
      <c r="D36" s="87" t="s">
        <v>63</v>
      </c>
      <c r="E36" s="87" t="s">
        <v>51</v>
      </c>
      <c r="F36" s="87" t="s">
        <v>961</v>
      </c>
      <c r="G36" s="297"/>
      <c r="H36" s="89" t="s">
        <v>1215</v>
      </c>
      <c r="I36" s="90">
        <v>1.12E-2</v>
      </c>
      <c r="J36" s="91">
        <v>2</v>
      </c>
      <c r="K36" s="92">
        <v>46326</v>
      </c>
      <c r="L36" s="91">
        <v>2</v>
      </c>
      <c r="M36" s="91">
        <v>0</v>
      </c>
      <c r="N36" s="91">
        <v>0</v>
      </c>
      <c r="O36" s="93" t="s">
        <v>549</v>
      </c>
      <c r="P36" s="94">
        <v>0.4375</v>
      </c>
      <c r="Q36" s="91">
        <v>179</v>
      </c>
      <c r="R36" s="95" t="s">
        <v>298</v>
      </c>
    </row>
    <row r="37" spans="1:18" ht="49.9" customHeight="1" thickBot="1">
      <c r="A37" s="96" t="s">
        <v>402</v>
      </c>
      <c r="B37" s="96" t="s">
        <v>1217</v>
      </c>
      <c r="C37" s="97">
        <v>2.0833333333333329E-2</v>
      </c>
      <c r="D37" s="96" t="s">
        <v>63</v>
      </c>
      <c r="E37" s="96" t="s">
        <v>51</v>
      </c>
      <c r="F37" s="96" t="s">
        <v>647</v>
      </c>
      <c r="G37" s="299"/>
      <c r="H37" s="300"/>
      <c r="I37" s="140"/>
      <c r="J37" s="140"/>
      <c r="K37" s="140"/>
      <c r="L37" s="140"/>
      <c r="M37" s="140"/>
      <c r="N37" s="140"/>
      <c r="O37" s="141"/>
      <c r="P37" s="140"/>
      <c r="Q37" s="142"/>
      <c r="R37" s="301"/>
    </row>
    <row r="38" spans="1:18" ht="17.45" customHeight="1" thickBot="1">
      <c r="A38" s="283"/>
      <c r="B38" s="284"/>
      <c r="C38" s="284"/>
      <c r="D38" s="284"/>
      <c r="E38" s="284"/>
      <c r="F38" s="284"/>
      <c r="G38" s="284"/>
      <c r="H38" s="284"/>
      <c r="I38" s="284"/>
      <c r="J38" s="284"/>
      <c r="K38" s="284"/>
      <c r="L38" s="284"/>
      <c r="M38" s="284"/>
      <c r="N38" s="284"/>
      <c r="O38" s="284"/>
      <c r="P38" s="284"/>
      <c r="Q38" s="284"/>
      <c r="R38" s="285"/>
    </row>
    <row r="39" spans="1:18" ht="22.15" customHeight="1" thickTop="1" thickBot="1">
      <c r="A39" s="279" t="s">
        <v>6</v>
      </c>
      <c r="B39" s="295"/>
      <c r="C39" s="295"/>
      <c r="D39" s="295"/>
      <c r="E39" s="295"/>
      <c r="F39" s="296"/>
      <c r="G39" s="32">
        <v>46031</v>
      </c>
      <c r="H39" s="278" t="s">
        <v>7</v>
      </c>
      <c r="I39" s="295"/>
      <c r="J39" s="295"/>
      <c r="K39" s="295"/>
      <c r="L39" s="295"/>
      <c r="M39" s="295"/>
      <c r="N39" s="295"/>
      <c r="O39" s="295"/>
      <c r="P39" s="295"/>
      <c r="Q39" s="295"/>
      <c r="R39" s="296"/>
    </row>
    <row r="40" spans="1:18" ht="24" customHeight="1">
      <c r="A40" s="33" t="s">
        <v>8</v>
      </c>
      <c r="B40" s="33" t="s">
        <v>9</v>
      </c>
      <c r="C40" s="34" t="s">
        <v>10</v>
      </c>
      <c r="D40" s="33" t="s">
        <v>11</v>
      </c>
      <c r="E40" s="33" t="s">
        <v>12</v>
      </c>
      <c r="F40" s="35" t="s">
        <v>13</v>
      </c>
      <c r="G40" s="36" t="s">
        <v>14</v>
      </c>
      <c r="H40" s="33" t="s">
        <v>15</v>
      </c>
      <c r="I40" s="37" t="s">
        <v>16</v>
      </c>
      <c r="J40" s="38" t="s">
        <v>17</v>
      </c>
      <c r="K40" s="39" t="s">
        <v>18</v>
      </c>
      <c r="L40" s="38" t="s">
        <v>19</v>
      </c>
      <c r="M40" s="38" t="s">
        <v>20</v>
      </c>
      <c r="N40" s="38" t="s">
        <v>21</v>
      </c>
      <c r="O40" s="33" t="s">
        <v>22</v>
      </c>
      <c r="P40" s="34" t="s">
        <v>23</v>
      </c>
      <c r="Q40" s="38" t="s">
        <v>24</v>
      </c>
      <c r="R40" s="33" t="s">
        <v>25</v>
      </c>
    </row>
    <row r="41" spans="1:18" ht="49.9" customHeight="1" thickTop="1" thickBot="1">
      <c r="A41" s="87" t="s">
        <v>61</v>
      </c>
      <c r="B41" s="87" t="s">
        <v>1214</v>
      </c>
      <c r="C41" s="88">
        <v>0.16666666666666671</v>
      </c>
      <c r="D41" s="87" t="s">
        <v>63</v>
      </c>
      <c r="E41" s="87" t="s">
        <v>51</v>
      </c>
      <c r="F41" s="87" t="s">
        <v>961</v>
      </c>
      <c r="G41" s="302"/>
      <c r="H41" s="208" t="s">
        <v>1215</v>
      </c>
      <c r="I41" s="209">
        <v>2.23E-2</v>
      </c>
      <c r="J41" s="210">
        <v>4</v>
      </c>
      <c r="K41" s="211">
        <v>46343</v>
      </c>
      <c r="L41" s="210">
        <v>4</v>
      </c>
      <c r="M41" s="210">
        <v>0</v>
      </c>
      <c r="N41" s="210">
        <v>0</v>
      </c>
      <c r="O41" s="212" t="s">
        <v>549</v>
      </c>
      <c r="P41" s="213">
        <v>0.16666666666666671</v>
      </c>
      <c r="Q41" s="210">
        <v>179</v>
      </c>
      <c r="R41" s="214" t="s">
        <v>1225</v>
      </c>
    </row>
    <row r="42" spans="1:18" ht="17.45" customHeight="1" thickBot="1">
      <c r="A42" s="283"/>
      <c r="B42" s="284"/>
      <c r="C42" s="284"/>
      <c r="D42" s="284"/>
      <c r="E42" s="284"/>
      <c r="F42" s="284"/>
      <c r="G42" s="284"/>
      <c r="H42" s="284"/>
      <c r="I42" s="284"/>
      <c r="J42" s="284"/>
      <c r="K42" s="284"/>
      <c r="L42" s="284"/>
      <c r="M42" s="284"/>
      <c r="N42" s="284"/>
      <c r="O42" s="284"/>
      <c r="P42" s="284"/>
      <c r="Q42" s="284"/>
      <c r="R42" s="285"/>
    </row>
    <row r="43" spans="1:18" ht="22.15" customHeight="1" thickTop="1" thickBot="1">
      <c r="A43" s="279" t="s">
        <v>6</v>
      </c>
      <c r="B43" s="295"/>
      <c r="C43" s="295"/>
      <c r="D43" s="295"/>
      <c r="E43" s="295"/>
      <c r="F43" s="296"/>
      <c r="G43" s="32">
        <v>46032</v>
      </c>
      <c r="H43" s="278" t="s">
        <v>7</v>
      </c>
      <c r="I43" s="295"/>
      <c r="J43" s="295"/>
      <c r="K43" s="295"/>
      <c r="L43" s="295"/>
      <c r="M43" s="295"/>
      <c r="N43" s="295"/>
      <c r="O43" s="295"/>
      <c r="P43" s="295"/>
      <c r="Q43" s="295"/>
      <c r="R43" s="296"/>
    </row>
    <row r="44" spans="1:18" ht="24" customHeight="1">
      <c r="A44" s="33" t="s">
        <v>8</v>
      </c>
      <c r="B44" s="33" t="s">
        <v>9</v>
      </c>
      <c r="C44" s="34" t="s">
        <v>10</v>
      </c>
      <c r="D44" s="33" t="s">
        <v>11</v>
      </c>
      <c r="E44" s="33" t="s">
        <v>12</v>
      </c>
      <c r="F44" s="35" t="s">
        <v>13</v>
      </c>
      <c r="G44" s="36" t="s">
        <v>14</v>
      </c>
      <c r="H44" s="33" t="s">
        <v>15</v>
      </c>
      <c r="I44" s="37" t="s">
        <v>16</v>
      </c>
      <c r="J44" s="38" t="s">
        <v>17</v>
      </c>
      <c r="K44" s="39" t="s">
        <v>18</v>
      </c>
      <c r="L44" s="38" t="s">
        <v>19</v>
      </c>
      <c r="M44" s="38" t="s">
        <v>20</v>
      </c>
      <c r="N44" s="38" t="s">
        <v>21</v>
      </c>
      <c r="O44" s="33" t="s">
        <v>22</v>
      </c>
      <c r="P44" s="34" t="s">
        <v>23</v>
      </c>
      <c r="Q44" s="38" t="s">
        <v>24</v>
      </c>
      <c r="R44" s="33" t="s">
        <v>25</v>
      </c>
    </row>
    <row r="45" spans="1:18" ht="49.9" customHeight="1" thickTop="1" thickBot="1">
      <c r="A45" s="98" t="s">
        <v>61</v>
      </c>
      <c r="B45" s="98" t="s">
        <v>1214</v>
      </c>
      <c r="C45" s="99">
        <v>0.125</v>
      </c>
      <c r="D45" s="98" t="s">
        <v>63</v>
      </c>
      <c r="E45" s="98" t="s">
        <v>51</v>
      </c>
      <c r="F45" s="98" t="s">
        <v>1226</v>
      </c>
      <c r="G45" s="297"/>
      <c r="H45" s="189" t="s">
        <v>1215</v>
      </c>
      <c r="I45" s="190">
        <v>3.9100000000000003E-2</v>
      </c>
      <c r="J45" s="191">
        <v>7</v>
      </c>
      <c r="K45" s="192">
        <v>46335</v>
      </c>
      <c r="L45" s="191">
        <v>7</v>
      </c>
      <c r="M45" s="191">
        <v>0</v>
      </c>
      <c r="N45" s="191">
        <v>0</v>
      </c>
      <c r="O45" s="193" t="s">
        <v>292</v>
      </c>
      <c r="P45" s="194">
        <v>0.125</v>
      </c>
      <c r="Q45" s="191">
        <v>179</v>
      </c>
      <c r="R45" s="195" t="s">
        <v>1227</v>
      </c>
    </row>
    <row r="46" spans="1:18" ht="17.45" customHeight="1" thickBot="1">
      <c r="A46" s="283"/>
      <c r="B46" s="284"/>
      <c r="C46" s="284"/>
      <c r="D46" s="284"/>
      <c r="E46" s="284"/>
      <c r="F46" s="284"/>
      <c r="G46" s="284"/>
      <c r="H46" s="284"/>
      <c r="I46" s="284"/>
      <c r="J46" s="284"/>
      <c r="K46" s="284"/>
      <c r="L46" s="284"/>
      <c r="M46" s="284"/>
      <c r="N46" s="284"/>
      <c r="O46" s="284"/>
      <c r="P46" s="284"/>
      <c r="Q46" s="284"/>
      <c r="R46" s="285"/>
    </row>
    <row r="47" spans="1:18" ht="22.15" customHeight="1" thickTop="1" thickBot="1">
      <c r="A47" s="279" t="s">
        <v>6</v>
      </c>
      <c r="B47" s="295"/>
      <c r="C47" s="295"/>
      <c r="D47" s="295"/>
      <c r="E47" s="295"/>
      <c r="F47" s="296"/>
      <c r="G47" s="32">
        <v>46033</v>
      </c>
      <c r="H47" s="278" t="s">
        <v>7</v>
      </c>
      <c r="I47" s="295"/>
      <c r="J47" s="295"/>
      <c r="K47" s="295"/>
      <c r="L47" s="295"/>
      <c r="M47" s="295"/>
      <c r="N47" s="295"/>
      <c r="O47" s="295"/>
      <c r="P47" s="295"/>
      <c r="Q47" s="295"/>
      <c r="R47" s="296"/>
    </row>
    <row r="48" spans="1:18" ht="24" customHeight="1">
      <c r="A48" s="33" t="s">
        <v>8</v>
      </c>
      <c r="B48" s="33" t="s">
        <v>9</v>
      </c>
      <c r="C48" s="34" t="s">
        <v>10</v>
      </c>
      <c r="D48" s="33" t="s">
        <v>11</v>
      </c>
      <c r="E48" s="33" t="s">
        <v>12</v>
      </c>
      <c r="F48" s="35" t="s">
        <v>13</v>
      </c>
      <c r="G48" s="36" t="s">
        <v>14</v>
      </c>
      <c r="H48" s="33" t="s">
        <v>15</v>
      </c>
      <c r="I48" s="37" t="s">
        <v>16</v>
      </c>
      <c r="J48" s="38" t="s">
        <v>17</v>
      </c>
      <c r="K48" s="39" t="s">
        <v>18</v>
      </c>
      <c r="L48" s="38" t="s">
        <v>19</v>
      </c>
      <c r="M48" s="38" t="s">
        <v>20</v>
      </c>
      <c r="N48" s="38" t="s">
        <v>21</v>
      </c>
      <c r="O48" s="33" t="s">
        <v>22</v>
      </c>
      <c r="P48" s="34" t="s">
        <v>23</v>
      </c>
      <c r="Q48" s="38" t="s">
        <v>24</v>
      </c>
      <c r="R48" s="33" t="s">
        <v>25</v>
      </c>
    </row>
    <row r="49" spans="1:18" ht="49.9" customHeight="1" thickTop="1" thickBot="1">
      <c r="A49" s="49" t="s">
        <v>61</v>
      </c>
      <c r="B49" s="49" t="s">
        <v>1214</v>
      </c>
      <c r="C49" s="50">
        <v>0.21527777777777779</v>
      </c>
      <c r="D49" s="49" t="s">
        <v>63</v>
      </c>
      <c r="E49" s="49" t="s">
        <v>51</v>
      </c>
      <c r="F49" s="49" t="s">
        <v>961</v>
      </c>
      <c r="G49" s="297"/>
      <c r="H49" s="169" t="s">
        <v>1215</v>
      </c>
      <c r="I49" s="170">
        <v>3.3500000000000002E-2</v>
      </c>
      <c r="J49" s="171">
        <v>6</v>
      </c>
      <c r="K49" s="172">
        <v>46343</v>
      </c>
      <c r="L49" s="171">
        <v>6</v>
      </c>
      <c r="M49" s="171">
        <v>0</v>
      </c>
      <c r="N49" s="171">
        <v>0</v>
      </c>
      <c r="O49" s="173" t="s">
        <v>549</v>
      </c>
      <c r="P49" s="174">
        <v>0.21527777777777779</v>
      </c>
      <c r="Q49" s="171">
        <v>179</v>
      </c>
      <c r="R49" s="175" t="s">
        <v>1228</v>
      </c>
    </row>
    <row r="50" spans="1:18" ht="17.45" customHeight="1" thickBot="1">
      <c r="A50" s="283"/>
      <c r="B50" s="284"/>
      <c r="C50" s="284"/>
      <c r="D50" s="284"/>
      <c r="E50" s="284"/>
      <c r="F50" s="284"/>
      <c r="G50" s="284"/>
      <c r="H50" s="284"/>
      <c r="I50" s="284"/>
      <c r="J50" s="284"/>
      <c r="K50" s="284"/>
      <c r="L50" s="284"/>
      <c r="M50" s="284"/>
      <c r="N50" s="284"/>
      <c r="O50" s="284"/>
      <c r="P50" s="284"/>
      <c r="Q50" s="284"/>
      <c r="R50" s="285"/>
    </row>
    <row r="51" spans="1:18" ht="22.15" customHeight="1" thickTop="1" thickBot="1">
      <c r="A51" s="279" t="s">
        <v>6</v>
      </c>
      <c r="B51" s="295"/>
      <c r="C51" s="295"/>
      <c r="D51" s="295"/>
      <c r="E51" s="295"/>
      <c r="F51" s="296"/>
      <c r="G51" s="32">
        <v>46034</v>
      </c>
      <c r="H51" s="278" t="s">
        <v>7</v>
      </c>
      <c r="I51" s="295"/>
      <c r="J51" s="295"/>
      <c r="K51" s="295"/>
      <c r="L51" s="295"/>
      <c r="M51" s="295"/>
      <c r="N51" s="295"/>
      <c r="O51" s="295"/>
      <c r="P51" s="295"/>
      <c r="Q51" s="295"/>
      <c r="R51" s="296"/>
    </row>
    <row r="52" spans="1:18" ht="24" customHeight="1">
      <c r="A52" s="33" t="s">
        <v>8</v>
      </c>
      <c r="B52" s="33" t="s">
        <v>9</v>
      </c>
      <c r="C52" s="34" t="s">
        <v>10</v>
      </c>
      <c r="D52" s="33" t="s">
        <v>11</v>
      </c>
      <c r="E52" s="33" t="s">
        <v>12</v>
      </c>
      <c r="F52" s="35" t="s">
        <v>13</v>
      </c>
      <c r="G52" s="36" t="s">
        <v>14</v>
      </c>
      <c r="H52" s="33" t="s">
        <v>15</v>
      </c>
      <c r="I52" s="37" t="s">
        <v>16</v>
      </c>
      <c r="J52" s="38" t="s">
        <v>17</v>
      </c>
      <c r="K52" s="39" t="s">
        <v>18</v>
      </c>
      <c r="L52" s="38" t="s">
        <v>19</v>
      </c>
      <c r="M52" s="38" t="s">
        <v>20</v>
      </c>
      <c r="N52" s="38" t="s">
        <v>21</v>
      </c>
      <c r="O52" s="33" t="s">
        <v>22</v>
      </c>
      <c r="P52" s="34" t="s">
        <v>23</v>
      </c>
      <c r="Q52" s="38" t="s">
        <v>24</v>
      </c>
      <c r="R52" s="33" t="s">
        <v>25</v>
      </c>
    </row>
    <row r="53" spans="1:18" ht="49.9" customHeight="1" thickTop="1" thickBot="1">
      <c r="A53" s="40" t="s">
        <v>61</v>
      </c>
      <c r="B53" s="40" t="s">
        <v>1214</v>
      </c>
      <c r="C53" s="41">
        <v>0.16666666666666671</v>
      </c>
      <c r="D53" s="40" t="s">
        <v>63</v>
      </c>
      <c r="E53" s="40" t="s">
        <v>51</v>
      </c>
      <c r="F53" s="40" t="s">
        <v>1219</v>
      </c>
      <c r="G53" s="297"/>
      <c r="H53" s="249" t="s">
        <v>1215</v>
      </c>
      <c r="I53" s="250">
        <v>5.5999999999999999E-3</v>
      </c>
      <c r="J53" s="251">
        <v>1</v>
      </c>
      <c r="K53" s="252">
        <v>46266</v>
      </c>
      <c r="L53" s="251">
        <v>1</v>
      </c>
      <c r="M53" s="251">
        <v>0</v>
      </c>
      <c r="N53" s="251">
        <v>0</v>
      </c>
      <c r="O53" s="253" t="s">
        <v>877</v>
      </c>
      <c r="P53" s="254">
        <v>0.16666666666666671</v>
      </c>
      <c r="Q53" s="251">
        <v>179</v>
      </c>
      <c r="R53" s="255" t="s">
        <v>302</v>
      </c>
    </row>
    <row r="54" spans="1:18" ht="17.45" customHeight="1" thickBot="1">
      <c r="A54" s="283"/>
      <c r="B54" s="284"/>
      <c r="C54" s="284"/>
      <c r="D54" s="284"/>
      <c r="E54" s="284"/>
      <c r="F54" s="284"/>
      <c r="G54" s="284"/>
      <c r="H54" s="284"/>
      <c r="I54" s="284"/>
      <c r="J54" s="284"/>
      <c r="K54" s="284"/>
      <c r="L54" s="284"/>
      <c r="M54" s="284"/>
      <c r="N54" s="284"/>
      <c r="O54" s="284"/>
      <c r="P54" s="284"/>
      <c r="Q54" s="284"/>
      <c r="R54" s="285"/>
    </row>
    <row r="55" spans="1:18" ht="22.15" customHeight="1" thickTop="1" thickBot="1">
      <c r="A55" s="279" t="s">
        <v>6</v>
      </c>
      <c r="B55" s="295"/>
      <c r="C55" s="295"/>
      <c r="D55" s="295"/>
      <c r="E55" s="295"/>
      <c r="F55" s="296"/>
      <c r="G55" s="32">
        <v>46035</v>
      </c>
      <c r="H55" s="278" t="s">
        <v>7</v>
      </c>
      <c r="I55" s="295"/>
      <c r="J55" s="295"/>
      <c r="K55" s="295"/>
      <c r="L55" s="295"/>
      <c r="M55" s="295"/>
      <c r="N55" s="295"/>
      <c r="O55" s="295"/>
      <c r="P55" s="295"/>
      <c r="Q55" s="295"/>
      <c r="R55" s="296"/>
    </row>
    <row r="56" spans="1:18" ht="24" customHeight="1">
      <c r="A56" s="33" t="s">
        <v>8</v>
      </c>
      <c r="B56" s="33" t="s">
        <v>9</v>
      </c>
      <c r="C56" s="34" t="s">
        <v>10</v>
      </c>
      <c r="D56" s="33" t="s">
        <v>11</v>
      </c>
      <c r="E56" s="33" t="s">
        <v>12</v>
      </c>
      <c r="F56" s="35" t="s">
        <v>13</v>
      </c>
      <c r="G56" s="36" t="s">
        <v>14</v>
      </c>
      <c r="H56" s="33" t="s">
        <v>15</v>
      </c>
      <c r="I56" s="37" t="s">
        <v>16</v>
      </c>
      <c r="J56" s="38" t="s">
        <v>17</v>
      </c>
      <c r="K56" s="39" t="s">
        <v>18</v>
      </c>
      <c r="L56" s="38" t="s">
        <v>19</v>
      </c>
      <c r="M56" s="38" t="s">
        <v>20</v>
      </c>
      <c r="N56" s="38" t="s">
        <v>21</v>
      </c>
      <c r="O56" s="33" t="s">
        <v>22</v>
      </c>
      <c r="P56" s="34" t="s">
        <v>23</v>
      </c>
      <c r="Q56" s="38" t="s">
        <v>24</v>
      </c>
      <c r="R56" s="33" t="s">
        <v>25</v>
      </c>
    </row>
    <row r="57" spans="1:18" ht="49.9" customHeight="1">
      <c r="A57" s="98" t="s">
        <v>61</v>
      </c>
      <c r="B57" s="98" t="s">
        <v>1214</v>
      </c>
      <c r="C57" s="99">
        <v>0.83333333333333337</v>
      </c>
      <c r="D57" s="98" t="s">
        <v>63</v>
      </c>
      <c r="E57" s="98" t="s">
        <v>51</v>
      </c>
      <c r="F57" s="98" t="s">
        <v>1219</v>
      </c>
      <c r="G57" s="302"/>
      <c r="H57" s="100" t="s">
        <v>1215</v>
      </c>
      <c r="I57" s="101">
        <v>1.12E-2</v>
      </c>
      <c r="J57" s="102">
        <v>2</v>
      </c>
      <c r="K57" s="103">
        <v>46338</v>
      </c>
      <c r="L57" s="102">
        <v>2</v>
      </c>
      <c r="M57" s="102">
        <v>0</v>
      </c>
      <c r="N57" s="102">
        <v>0</v>
      </c>
      <c r="O57" s="104" t="s">
        <v>877</v>
      </c>
      <c r="P57" s="105">
        <v>0.83333333333333337</v>
      </c>
      <c r="Q57" s="102">
        <v>179</v>
      </c>
      <c r="R57" s="106" t="s">
        <v>1229</v>
      </c>
    </row>
    <row r="58" spans="1:18" ht="49.9" customHeight="1" thickBot="1">
      <c r="A58" s="96" t="s">
        <v>402</v>
      </c>
      <c r="B58" s="96" t="s">
        <v>1217</v>
      </c>
      <c r="C58" s="97">
        <v>2.0833333333333329E-2</v>
      </c>
      <c r="D58" s="96" t="s">
        <v>63</v>
      </c>
      <c r="E58" s="96" t="s">
        <v>51</v>
      </c>
      <c r="F58" s="96" t="s">
        <v>647</v>
      </c>
      <c r="G58" s="299"/>
      <c r="H58" s="300"/>
      <c r="I58" s="140"/>
      <c r="J58" s="140"/>
      <c r="K58" s="140"/>
      <c r="L58" s="140"/>
      <c r="M58" s="140"/>
      <c r="N58" s="140"/>
      <c r="O58" s="141"/>
      <c r="P58" s="140"/>
      <c r="Q58" s="142"/>
      <c r="R58" s="301"/>
    </row>
    <row r="59" spans="1:18" ht="17.45" customHeight="1" thickBot="1">
      <c r="A59" s="283"/>
      <c r="B59" s="284"/>
      <c r="C59" s="284"/>
      <c r="D59" s="284"/>
      <c r="E59" s="284"/>
      <c r="F59" s="284"/>
      <c r="G59" s="284"/>
      <c r="H59" s="284"/>
      <c r="I59" s="284"/>
      <c r="J59" s="284"/>
      <c r="K59" s="284"/>
      <c r="L59" s="284"/>
      <c r="M59" s="284"/>
      <c r="N59" s="284"/>
      <c r="O59" s="284"/>
      <c r="P59" s="284"/>
      <c r="Q59" s="284"/>
      <c r="R59" s="285"/>
    </row>
    <row r="60" spans="1:18" ht="22.15" customHeight="1" thickTop="1" thickBot="1">
      <c r="A60" s="279" t="s">
        <v>6</v>
      </c>
      <c r="B60" s="295"/>
      <c r="C60" s="295"/>
      <c r="D60" s="295"/>
      <c r="E60" s="295"/>
      <c r="F60" s="296"/>
      <c r="G60" s="32">
        <v>46036</v>
      </c>
      <c r="H60" s="278" t="s">
        <v>7</v>
      </c>
      <c r="I60" s="295"/>
      <c r="J60" s="295"/>
      <c r="K60" s="295"/>
      <c r="L60" s="295"/>
      <c r="M60" s="295"/>
      <c r="N60" s="295"/>
      <c r="O60" s="295"/>
      <c r="P60" s="295"/>
      <c r="Q60" s="295"/>
      <c r="R60" s="296"/>
    </row>
    <row r="61" spans="1:18" ht="24" customHeight="1">
      <c r="A61" s="33" t="s">
        <v>8</v>
      </c>
      <c r="B61" s="33" t="s">
        <v>9</v>
      </c>
      <c r="C61" s="34" t="s">
        <v>10</v>
      </c>
      <c r="D61" s="33" t="s">
        <v>11</v>
      </c>
      <c r="E61" s="33" t="s">
        <v>12</v>
      </c>
      <c r="F61" s="35" t="s">
        <v>13</v>
      </c>
      <c r="G61" s="36" t="s">
        <v>14</v>
      </c>
      <c r="H61" s="33" t="s">
        <v>15</v>
      </c>
      <c r="I61" s="37" t="s">
        <v>16</v>
      </c>
      <c r="J61" s="38" t="s">
        <v>17</v>
      </c>
      <c r="K61" s="39" t="s">
        <v>18</v>
      </c>
      <c r="L61" s="38" t="s">
        <v>19</v>
      </c>
      <c r="M61" s="38" t="s">
        <v>20</v>
      </c>
      <c r="N61" s="38" t="s">
        <v>21</v>
      </c>
      <c r="O61" s="33" t="s">
        <v>22</v>
      </c>
      <c r="P61" s="34" t="s">
        <v>23</v>
      </c>
      <c r="Q61" s="38" t="s">
        <v>24</v>
      </c>
      <c r="R61" s="33" t="s">
        <v>25</v>
      </c>
    </row>
    <row r="62" spans="1:18" ht="49.9" customHeight="1" thickTop="1" thickBot="1">
      <c r="A62" s="21" t="s">
        <v>61</v>
      </c>
      <c r="B62" s="21" t="s">
        <v>1214</v>
      </c>
      <c r="C62" s="22">
        <v>0.82638888888888884</v>
      </c>
      <c r="D62" s="21" t="s">
        <v>63</v>
      </c>
      <c r="E62" s="21" t="s">
        <v>51</v>
      </c>
      <c r="F62" s="21" t="s">
        <v>961</v>
      </c>
      <c r="G62" s="297"/>
      <c r="H62" s="201" t="s">
        <v>1215</v>
      </c>
      <c r="I62" s="202">
        <v>1.6799999999999999E-2</v>
      </c>
      <c r="J62" s="203">
        <v>3</v>
      </c>
      <c r="K62" s="204">
        <v>46328</v>
      </c>
      <c r="L62" s="203">
        <v>3</v>
      </c>
      <c r="M62" s="203">
        <v>0</v>
      </c>
      <c r="N62" s="203">
        <v>0</v>
      </c>
      <c r="O62" s="205" t="s">
        <v>549</v>
      </c>
      <c r="P62" s="206">
        <v>0.82638888888888884</v>
      </c>
      <c r="Q62" s="203">
        <v>179</v>
      </c>
      <c r="R62" s="207" t="s">
        <v>1230</v>
      </c>
    </row>
    <row r="63" spans="1:18" ht="17.45" customHeight="1" thickBot="1">
      <c r="A63" s="283"/>
      <c r="B63" s="284"/>
      <c r="C63" s="284"/>
      <c r="D63" s="284"/>
      <c r="E63" s="284"/>
      <c r="F63" s="284"/>
      <c r="G63" s="284"/>
      <c r="H63" s="284"/>
      <c r="I63" s="284"/>
      <c r="J63" s="284"/>
      <c r="K63" s="284"/>
      <c r="L63" s="284"/>
      <c r="M63" s="284"/>
      <c r="N63" s="284"/>
      <c r="O63" s="284"/>
      <c r="P63" s="284"/>
      <c r="Q63" s="284"/>
      <c r="R63" s="285"/>
    </row>
    <row r="64" spans="1:18" ht="22.15" customHeight="1" thickTop="1" thickBot="1">
      <c r="A64" s="279" t="s">
        <v>6</v>
      </c>
      <c r="B64" s="295"/>
      <c r="C64" s="295"/>
      <c r="D64" s="295"/>
      <c r="E64" s="295"/>
      <c r="F64" s="296"/>
      <c r="G64" s="32">
        <v>46037</v>
      </c>
      <c r="H64" s="278" t="s">
        <v>7</v>
      </c>
      <c r="I64" s="295"/>
      <c r="J64" s="295"/>
      <c r="K64" s="295"/>
      <c r="L64" s="295"/>
      <c r="M64" s="295"/>
      <c r="N64" s="295"/>
      <c r="O64" s="295"/>
      <c r="P64" s="295"/>
      <c r="Q64" s="295"/>
      <c r="R64" s="296"/>
    </row>
    <row r="65" spans="1:18" ht="24" customHeight="1">
      <c r="A65" s="33" t="s">
        <v>8</v>
      </c>
      <c r="B65" s="33" t="s">
        <v>9</v>
      </c>
      <c r="C65" s="34" t="s">
        <v>10</v>
      </c>
      <c r="D65" s="33" t="s">
        <v>11</v>
      </c>
      <c r="E65" s="33" t="s">
        <v>12</v>
      </c>
      <c r="F65" s="35" t="s">
        <v>13</v>
      </c>
      <c r="G65" s="36" t="s">
        <v>14</v>
      </c>
      <c r="H65" s="33" t="s">
        <v>15</v>
      </c>
      <c r="I65" s="37" t="s">
        <v>16</v>
      </c>
      <c r="J65" s="38" t="s">
        <v>17</v>
      </c>
      <c r="K65" s="39" t="s">
        <v>18</v>
      </c>
      <c r="L65" s="38" t="s">
        <v>19</v>
      </c>
      <c r="M65" s="38" t="s">
        <v>20</v>
      </c>
      <c r="N65" s="38" t="s">
        <v>21</v>
      </c>
      <c r="O65" s="33" t="s">
        <v>22</v>
      </c>
      <c r="P65" s="34" t="s">
        <v>23</v>
      </c>
      <c r="Q65" s="38" t="s">
        <v>24</v>
      </c>
      <c r="R65" s="33" t="s">
        <v>25</v>
      </c>
    </row>
    <row r="66" spans="1:18" ht="49.9" customHeight="1">
      <c r="A66" s="67" t="s">
        <v>61</v>
      </c>
      <c r="B66" s="67" t="s">
        <v>1214</v>
      </c>
      <c r="C66" s="68">
        <v>0.4375</v>
      </c>
      <c r="D66" s="67" t="s">
        <v>63</v>
      </c>
      <c r="E66" s="67" t="s">
        <v>51</v>
      </c>
      <c r="F66" s="67" t="s">
        <v>961</v>
      </c>
      <c r="G66" s="297"/>
      <c r="H66" s="69" t="s">
        <v>1215</v>
      </c>
      <c r="I66" s="70">
        <v>1.6799999999999999E-2</v>
      </c>
      <c r="J66" s="71">
        <v>3</v>
      </c>
      <c r="K66" s="72">
        <v>46322</v>
      </c>
      <c r="L66" s="71">
        <v>3</v>
      </c>
      <c r="M66" s="71">
        <v>0</v>
      </c>
      <c r="N66" s="71">
        <v>0</v>
      </c>
      <c r="O66" s="73" t="s">
        <v>549</v>
      </c>
      <c r="P66" s="74">
        <v>0.4375</v>
      </c>
      <c r="Q66" s="71">
        <v>179</v>
      </c>
      <c r="R66" s="75" t="s">
        <v>1231</v>
      </c>
    </row>
    <row r="67" spans="1:18" ht="49.9" customHeight="1" thickBot="1">
      <c r="A67" s="96" t="s">
        <v>402</v>
      </c>
      <c r="B67" s="96" t="s">
        <v>1217</v>
      </c>
      <c r="C67" s="97">
        <v>2.0833333333333329E-2</v>
      </c>
      <c r="D67" s="96" t="s">
        <v>63</v>
      </c>
      <c r="E67" s="96" t="s">
        <v>51</v>
      </c>
      <c r="F67" s="96" t="s">
        <v>1218</v>
      </c>
      <c r="G67" s="299"/>
      <c r="H67" s="300"/>
      <c r="I67" s="140"/>
      <c r="J67" s="140"/>
      <c r="K67" s="140"/>
      <c r="L67" s="140"/>
      <c r="M67" s="140"/>
      <c r="N67" s="140"/>
      <c r="O67" s="141"/>
      <c r="P67" s="140"/>
      <c r="Q67" s="142"/>
      <c r="R67" s="301"/>
    </row>
    <row r="68" spans="1:18" ht="17.45" customHeight="1" thickBot="1">
      <c r="A68" s="283"/>
      <c r="B68" s="284"/>
      <c r="C68" s="284"/>
      <c r="D68" s="284"/>
      <c r="E68" s="284"/>
      <c r="F68" s="284"/>
      <c r="G68" s="284"/>
      <c r="H68" s="284"/>
      <c r="I68" s="284"/>
      <c r="J68" s="284"/>
      <c r="K68" s="284"/>
      <c r="L68" s="284"/>
      <c r="M68" s="284"/>
      <c r="N68" s="284"/>
      <c r="O68" s="284"/>
      <c r="P68" s="284"/>
      <c r="Q68" s="284"/>
      <c r="R68" s="285"/>
    </row>
    <row r="69" spans="1:18" ht="22.15" customHeight="1" thickTop="1" thickBot="1">
      <c r="A69" s="279" t="s">
        <v>6</v>
      </c>
      <c r="B69" s="295"/>
      <c r="C69" s="295"/>
      <c r="D69" s="295"/>
      <c r="E69" s="295"/>
      <c r="F69" s="296"/>
      <c r="G69" s="32">
        <v>46038</v>
      </c>
      <c r="H69" s="278" t="s">
        <v>7</v>
      </c>
      <c r="I69" s="295"/>
      <c r="J69" s="295"/>
      <c r="K69" s="295"/>
      <c r="L69" s="295"/>
      <c r="M69" s="295"/>
      <c r="N69" s="295"/>
      <c r="O69" s="295"/>
      <c r="P69" s="295"/>
      <c r="Q69" s="295"/>
      <c r="R69" s="296"/>
    </row>
    <row r="70" spans="1:18" ht="24" customHeight="1">
      <c r="A70" s="33" t="s">
        <v>8</v>
      </c>
      <c r="B70" s="33" t="s">
        <v>9</v>
      </c>
      <c r="C70" s="34" t="s">
        <v>10</v>
      </c>
      <c r="D70" s="33" t="s">
        <v>11</v>
      </c>
      <c r="E70" s="33" t="s">
        <v>12</v>
      </c>
      <c r="F70" s="35" t="s">
        <v>13</v>
      </c>
      <c r="G70" s="36" t="s">
        <v>14</v>
      </c>
      <c r="H70" s="33" t="s">
        <v>15</v>
      </c>
      <c r="I70" s="37" t="s">
        <v>16</v>
      </c>
      <c r="J70" s="38" t="s">
        <v>17</v>
      </c>
      <c r="K70" s="39" t="s">
        <v>18</v>
      </c>
      <c r="L70" s="38" t="s">
        <v>19</v>
      </c>
      <c r="M70" s="38" t="s">
        <v>20</v>
      </c>
      <c r="N70" s="38" t="s">
        <v>21</v>
      </c>
      <c r="O70" s="33" t="s">
        <v>22</v>
      </c>
      <c r="P70" s="34" t="s">
        <v>23</v>
      </c>
      <c r="Q70" s="38" t="s">
        <v>24</v>
      </c>
      <c r="R70" s="33" t="s">
        <v>25</v>
      </c>
    </row>
    <row r="71" spans="1:18" ht="49.9" customHeight="1" thickTop="1" thickBot="1">
      <c r="A71" s="49" t="s">
        <v>61</v>
      </c>
      <c r="B71" s="49" t="s">
        <v>1214</v>
      </c>
      <c r="C71" s="50">
        <v>0.16666666666666671</v>
      </c>
      <c r="D71" s="49" t="s">
        <v>63</v>
      </c>
      <c r="E71" s="49" t="s">
        <v>51</v>
      </c>
      <c r="F71" s="49" t="s">
        <v>1226</v>
      </c>
      <c r="G71" s="297"/>
      <c r="H71" s="169" t="s">
        <v>1215</v>
      </c>
      <c r="I71" s="170">
        <v>4.4699999999999997E-2</v>
      </c>
      <c r="J71" s="171">
        <v>8</v>
      </c>
      <c r="K71" s="172">
        <v>46343</v>
      </c>
      <c r="L71" s="171">
        <v>8</v>
      </c>
      <c r="M71" s="171">
        <v>0</v>
      </c>
      <c r="N71" s="171">
        <v>0</v>
      </c>
      <c r="O71" s="173" t="s">
        <v>292</v>
      </c>
      <c r="P71" s="174">
        <v>0.16666666666666671</v>
      </c>
      <c r="Q71" s="171">
        <v>179</v>
      </c>
      <c r="R71" s="175" t="s">
        <v>1232</v>
      </c>
    </row>
    <row r="72" spans="1:18" ht="17.45" customHeight="1" thickBot="1">
      <c r="A72" s="283"/>
      <c r="B72" s="284"/>
      <c r="C72" s="284"/>
      <c r="D72" s="284"/>
      <c r="E72" s="284"/>
      <c r="F72" s="284"/>
      <c r="G72" s="284"/>
      <c r="H72" s="284"/>
      <c r="I72" s="284"/>
      <c r="J72" s="284"/>
      <c r="K72" s="284"/>
      <c r="L72" s="284"/>
      <c r="M72" s="284"/>
      <c r="N72" s="284"/>
      <c r="O72" s="284"/>
      <c r="P72" s="284"/>
      <c r="Q72" s="284"/>
      <c r="R72" s="285"/>
    </row>
    <row r="73" spans="1:18" ht="22.15" customHeight="1" thickTop="1" thickBot="1">
      <c r="A73" s="279" t="s">
        <v>6</v>
      </c>
      <c r="B73" s="295"/>
      <c r="C73" s="295"/>
      <c r="D73" s="295"/>
      <c r="E73" s="295"/>
      <c r="F73" s="296"/>
      <c r="G73" s="32">
        <v>46039</v>
      </c>
      <c r="H73" s="278" t="s">
        <v>7</v>
      </c>
      <c r="I73" s="295"/>
      <c r="J73" s="295"/>
      <c r="K73" s="295"/>
      <c r="L73" s="295"/>
      <c r="M73" s="295"/>
      <c r="N73" s="295"/>
      <c r="O73" s="295"/>
      <c r="P73" s="295"/>
      <c r="Q73" s="295"/>
      <c r="R73" s="296"/>
    </row>
    <row r="74" spans="1:18" ht="24" customHeight="1">
      <c r="A74" s="33" t="s">
        <v>8</v>
      </c>
      <c r="B74" s="33" t="s">
        <v>9</v>
      </c>
      <c r="C74" s="34" t="s">
        <v>10</v>
      </c>
      <c r="D74" s="33" t="s">
        <v>11</v>
      </c>
      <c r="E74" s="33" t="s">
        <v>12</v>
      </c>
      <c r="F74" s="35" t="s">
        <v>13</v>
      </c>
      <c r="G74" s="36" t="s">
        <v>14</v>
      </c>
      <c r="H74" s="33" t="s">
        <v>15</v>
      </c>
      <c r="I74" s="37" t="s">
        <v>16</v>
      </c>
      <c r="J74" s="38" t="s">
        <v>17</v>
      </c>
      <c r="K74" s="39" t="s">
        <v>18</v>
      </c>
      <c r="L74" s="38" t="s">
        <v>19</v>
      </c>
      <c r="M74" s="38" t="s">
        <v>20</v>
      </c>
      <c r="N74" s="38" t="s">
        <v>21</v>
      </c>
      <c r="O74" s="33" t="s">
        <v>22</v>
      </c>
      <c r="P74" s="34" t="s">
        <v>23</v>
      </c>
      <c r="Q74" s="38" t="s">
        <v>24</v>
      </c>
      <c r="R74" s="33" t="s">
        <v>25</v>
      </c>
    </row>
    <row r="75" spans="1:18" ht="49.9" customHeight="1" thickTop="1" thickBot="1">
      <c r="A75" s="87" t="s">
        <v>61</v>
      </c>
      <c r="B75" s="87" t="s">
        <v>1214</v>
      </c>
      <c r="C75" s="88">
        <v>0.125</v>
      </c>
      <c r="D75" s="87" t="s">
        <v>63</v>
      </c>
      <c r="E75" s="87" t="s">
        <v>29</v>
      </c>
      <c r="F75" s="87" t="s">
        <v>1226</v>
      </c>
      <c r="G75" s="297"/>
      <c r="H75" s="208" t="s">
        <v>1215</v>
      </c>
      <c r="I75" s="209">
        <v>0.1061</v>
      </c>
      <c r="J75" s="210">
        <v>19</v>
      </c>
      <c r="K75" s="211">
        <v>46343</v>
      </c>
      <c r="L75" s="210">
        <v>19</v>
      </c>
      <c r="M75" s="210">
        <v>0</v>
      </c>
      <c r="N75" s="210">
        <v>0</v>
      </c>
      <c r="O75" s="212" t="s">
        <v>307</v>
      </c>
      <c r="P75" s="213">
        <v>0.125</v>
      </c>
      <c r="Q75" s="210">
        <v>179</v>
      </c>
      <c r="R75" s="214" t="s">
        <v>1233</v>
      </c>
    </row>
    <row r="76" spans="1:18" ht="17.45" customHeight="1" thickBot="1">
      <c r="A76" s="283"/>
      <c r="B76" s="284"/>
      <c r="C76" s="284"/>
      <c r="D76" s="284"/>
      <c r="E76" s="284"/>
      <c r="F76" s="284"/>
      <c r="G76" s="284"/>
      <c r="H76" s="284"/>
      <c r="I76" s="284"/>
      <c r="J76" s="284"/>
      <c r="K76" s="284"/>
      <c r="L76" s="284"/>
      <c r="M76" s="284"/>
      <c r="N76" s="284"/>
      <c r="O76" s="284"/>
      <c r="P76" s="284"/>
      <c r="Q76" s="284"/>
      <c r="R76" s="285"/>
    </row>
    <row r="77" spans="1:18" ht="22.15" customHeight="1" thickTop="1" thickBot="1">
      <c r="A77" s="279" t="s">
        <v>6</v>
      </c>
      <c r="B77" s="295"/>
      <c r="C77" s="295"/>
      <c r="D77" s="295"/>
      <c r="E77" s="295"/>
      <c r="F77" s="296"/>
      <c r="G77" s="32">
        <v>46040</v>
      </c>
      <c r="H77" s="278" t="s">
        <v>7</v>
      </c>
      <c r="I77" s="295"/>
      <c r="J77" s="295"/>
      <c r="K77" s="295"/>
      <c r="L77" s="295"/>
      <c r="M77" s="295"/>
      <c r="N77" s="295"/>
      <c r="O77" s="295"/>
      <c r="P77" s="295"/>
      <c r="Q77" s="295"/>
      <c r="R77" s="296"/>
    </row>
    <row r="78" spans="1:18" ht="24" customHeight="1">
      <c r="A78" s="33" t="s">
        <v>8</v>
      </c>
      <c r="B78" s="33" t="s">
        <v>9</v>
      </c>
      <c r="C78" s="34" t="s">
        <v>10</v>
      </c>
      <c r="D78" s="33" t="s">
        <v>11</v>
      </c>
      <c r="E78" s="33" t="s">
        <v>12</v>
      </c>
      <c r="F78" s="35" t="s">
        <v>13</v>
      </c>
      <c r="G78" s="36" t="s">
        <v>14</v>
      </c>
      <c r="H78" s="33" t="s">
        <v>15</v>
      </c>
      <c r="I78" s="37" t="s">
        <v>16</v>
      </c>
      <c r="J78" s="38" t="s">
        <v>17</v>
      </c>
      <c r="K78" s="39" t="s">
        <v>18</v>
      </c>
      <c r="L78" s="38" t="s">
        <v>19</v>
      </c>
      <c r="M78" s="38" t="s">
        <v>20</v>
      </c>
      <c r="N78" s="38" t="s">
        <v>21</v>
      </c>
      <c r="O78" s="33" t="s">
        <v>22</v>
      </c>
      <c r="P78" s="34" t="s">
        <v>23</v>
      </c>
      <c r="Q78" s="38" t="s">
        <v>24</v>
      </c>
      <c r="R78" s="33" t="s">
        <v>25</v>
      </c>
    </row>
    <row r="79" spans="1:18" ht="49.9" customHeight="1" thickTop="1" thickBot="1">
      <c r="A79" s="67" t="s">
        <v>61</v>
      </c>
      <c r="B79" s="67" t="s">
        <v>1214</v>
      </c>
      <c r="C79" s="68">
        <v>0.21527777777777779</v>
      </c>
      <c r="D79" s="67" t="s">
        <v>63</v>
      </c>
      <c r="E79" s="67" t="s">
        <v>103</v>
      </c>
      <c r="F79" s="67" t="s">
        <v>1221</v>
      </c>
      <c r="G79" s="297"/>
      <c r="H79" s="181" t="s">
        <v>1215</v>
      </c>
      <c r="I79" s="182">
        <v>8.3799999999999999E-2</v>
      </c>
      <c r="J79" s="183">
        <v>15</v>
      </c>
      <c r="K79" s="184">
        <v>46344</v>
      </c>
      <c r="L79" s="183">
        <v>15</v>
      </c>
      <c r="M79" s="183">
        <v>0</v>
      </c>
      <c r="N79" s="183">
        <v>0</v>
      </c>
      <c r="O79" s="185" t="s">
        <v>471</v>
      </c>
      <c r="P79" s="186">
        <v>0.21527777777777779</v>
      </c>
      <c r="Q79" s="183">
        <v>179</v>
      </c>
      <c r="R79" s="187" t="s">
        <v>1234</v>
      </c>
    </row>
    <row r="80" spans="1:18" ht="17.45" customHeight="1" thickBot="1">
      <c r="A80" s="283"/>
      <c r="B80" s="284"/>
      <c r="C80" s="284"/>
      <c r="D80" s="284"/>
      <c r="E80" s="284"/>
      <c r="F80" s="284"/>
      <c r="G80" s="284"/>
      <c r="H80" s="284"/>
      <c r="I80" s="284"/>
      <c r="J80" s="284"/>
      <c r="K80" s="284"/>
      <c r="L80" s="284"/>
      <c r="M80" s="284"/>
      <c r="N80" s="284"/>
      <c r="O80" s="284"/>
      <c r="P80" s="284"/>
      <c r="Q80" s="284"/>
      <c r="R80" s="285"/>
    </row>
    <row r="81" spans="1:18" ht="22.15" customHeight="1" thickTop="1" thickBot="1">
      <c r="A81" s="279" t="s">
        <v>6</v>
      </c>
      <c r="B81" s="295"/>
      <c r="C81" s="295"/>
      <c r="D81" s="295"/>
      <c r="E81" s="295"/>
      <c r="F81" s="296"/>
      <c r="G81" s="32">
        <v>46041</v>
      </c>
      <c r="H81" s="278" t="s">
        <v>7</v>
      </c>
      <c r="I81" s="295"/>
      <c r="J81" s="295"/>
      <c r="K81" s="295"/>
      <c r="L81" s="295"/>
      <c r="M81" s="295"/>
      <c r="N81" s="295"/>
      <c r="O81" s="295"/>
      <c r="P81" s="295"/>
      <c r="Q81" s="295"/>
      <c r="R81" s="296"/>
    </row>
    <row r="82" spans="1:18" ht="24" customHeight="1">
      <c r="A82" s="33" t="s">
        <v>8</v>
      </c>
      <c r="B82" s="33" t="s">
        <v>9</v>
      </c>
      <c r="C82" s="34" t="s">
        <v>10</v>
      </c>
      <c r="D82" s="33" t="s">
        <v>11</v>
      </c>
      <c r="E82" s="33" t="s">
        <v>12</v>
      </c>
      <c r="F82" s="35" t="s">
        <v>13</v>
      </c>
      <c r="G82" s="36" t="s">
        <v>14</v>
      </c>
      <c r="H82" s="33" t="s">
        <v>15</v>
      </c>
      <c r="I82" s="37" t="s">
        <v>16</v>
      </c>
      <c r="J82" s="38" t="s">
        <v>17</v>
      </c>
      <c r="K82" s="39" t="s">
        <v>18</v>
      </c>
      <c r="L82" s="38" t="s">
        <v>19</v>
      </c>
      <c r="M82" s="38" t="s">
        <v>20</v>
      </c>
      <c r="N82" s="38" t="s">
        <v>21</v>
      </c>
      <c r="O82" s="33" t="s">
        <v>22</v>
      </c>
      <c r="P82" s="34" t="s">
        <v>23</v>
      </c>
      <c r="Q82" s="38" t="s">
        <v>24</v>
      </c>
      <c r="R82" s="33" t="s">
        <v>25</v>
      </c>
    </row>
    <row r="83" spans="1:18" ht="49.9" customHeight="1" thickTop="1" thickBot="1">
      <c r="A83" s="87" t="s">
        <v>61</v>
      </c>
      <c r="B83" s="87" t="s">
        <v>1214</v>
      </c>
      <c r="C83" s="88">
        <v>0.16666666666666671</v>
      </c>
      <c r="D83" s="87" t="s">
        <v>63</v>
      </c>
      <c r="E83" s="87" t="s">
        <v>51</v>
      </c>
      <c r="F83" s="87" t="s">
        <v>1219</v>
      </c>
      <c r="G83" s="297"/>
      <c r="H83" s="208" t="s">
        <v>1215</v>
      </c>
      <c r="I83" s="209">
        <v>1.12E-2</v>
      </c>
      <c r="J83" s="210">
        <v>2</v>
      </c>
      <c r="K83" s="211">
        <v>46343</v>
      </c>
      <c r="L83" s="210">
        <v>2</v>
      </c>
      <c r="M83" s="210">
        <v>0</v>
      </c>
      <c r="N83" s="210">
        <v>0</v>
      </c>
      <c r="O83" s="212" t="s">
        <v>877</v>
      </c>
      <c r="P83" s="213">
        <v>0.16666666666666671</v>
      </c>
      <c r="Q83" s="210">
        <v>179</v>
      </c>
      <c r="R83" s="214" t="s">
        <v>298</v>
      </c>
    </row>
    <row r="84" spans="1:18" ht="17.45" customHeight="1" thickBot="1">
      <c r="A84" s="283"/>
      <c r="B84" s="284"/>
      <c r="C84" s="284"/>
      <c r="D84" s="284"/>
      <c r="E84" s="284"/>
      <c r="F84" s="284"/>
      <c r="G84" s="284"/>
      <c r="H84" s="284"/>
      <c r="I84" s="284"/>
      <c r="J84" s="284"/>
      <c r="K84" s="284"/>
      <c r="L84" s="284"/>
      <c r="M84" s="284"/>
      <c r="N84" s="284"/>
      <c r="O84" s="284"/>
      <c r="P84" s="284"/>
      <c r="Q84" s="284"/>
      <c r="R84" s="285"/>
    </row>
    <row r="85" spans="1:18" ht="22.15" customHeight="1" thickTop="1" thickBot="1">
      <c r="A85" s="279" t="s">
        <v>6</v>
      </c>
      <c r="B85" s="295"/>
      <c r="C85" s="295"/>
      <c r="D85" s="295"/>
      <c r="E85" s="295"/>
      <c r="F85" s="296"/>
      <c r="G85" s="32">
        <v>46042</v>
      </c>
      <c r="H85" s="278" t="s">
        <v>7</v>
      </c>
      <c r="I85" s="295"/>
      <c r="J85" s="295"/>
      <c r="K85" s="295"/>
      <c r="L85" s="295"/>
      <c r="M85" s="295"/>
      <c r="N85" s="295"/>
      <c r="O85" s="295"/>
      <c r="P85" s="295"/>
      <c r="Q85" s="295"/>
      <c r="R85" s="296"/>
    </row>
    <row r="86" spans="1:18" ht="24" customHeight="1">
      <c r="A86" s="33" t="s">
        <v>8</v>
      </c>
      <c r="B86" s="33" t="s">
        <v>9</v>
      </c>
      <c r="C86" s="34" t="s">
        <v>10</v>
      </c>
      <c r="D86" s="33" t="s">
        <v>11</v>
      </c>
      <c r="E86" s="33" t="s">
        <v>12</v>
      </c>
      <c r="F86" s="35" t="s">
        <v>13</v>
      </c>
      <c r="G86" s="36" t="s">
        <v>14</v>
      </c>
      <c r="H86" s="33" t="s">
        <v>15</v>
      </c>
      <c r="I86" s="37" t="s">
        <v>16</v>
      </c>
      <c r="J86" s="38" t="s">
        <v>17</v>
      </c>
      <c r="K86" s="39" t="s">
        <v>18</v>
      </c>
      <c r="L86" s="38" t="s">
        <v>19</v>
      </c>
      <c r="M86" s="38" t="s">
        <v>20</v>
      </c>
      <c r="N86" s="38" t="s">
        <v>21</v>
      </c>
      <c r="O86" s="33" t="s">
        <v>22</v>
      </c>
      <c r="P86" s="34" t="s">
        <v>23</v>
      </c>
      <c r="Q86" s="38" t="s">
        <v>24</v>
      </c>
      <c r="R86" s="33" t="s">
        <v>25</v>
      </c>
    </row>
    <row r="87" spans="1:18" ht="49.9" customHeight="1">
      <c r="A87" s="87" t="s">
        <v>61</v>
      </c>
      <c r="B87" s="87" t="s">
        <v>1214</v>
      </c>
      <c r="C87" s="88">
        <v>0.83333333333333337</v>
      </c>
      <c r="D87" s="87" t="s">
        <v>63</v>
      </c>
      <c r="E87" s="87" t="s">
        <v>107</v>
      </c>
      <c r="F87" s="87" t="s">
        <v>1219</v>
      </c>
      <c r="G87" s="297"/>
      <c r="H87" s="89" t="s">
        <v>1215</v>
      </c>
      <c r="I87" s="90">
        <v>2.23E-2</v>
      </c>
      <c r="J87" s="91">
        <v>4</v>
      </c>
      <c r="K87" s="92">
        <v>46344</v>
      </c>
      <c r="L87" s="91">
        <v>4</v>
      </c>
      <c r="M87" s="91">
        <v>0</v>
      </c>
      <c r="N87" s="91">
        <v>0</v>
      </c>
      <c r="O87" s="93" t="s">
        <v>918</v>
      </c>
      <c r="P87" s="94">
        <v>0.83333333333333337</v>
      </c>
      <c r="Q87" s="91">
        <v>179</v>
      </c>
      <c r="R87" s="95" t="s">
        <v>1139</v>
      </c>
    </row>
    <row r="88" spans="1:18" ht="49.9" customHeight="1" thickBot="1">
      <c r="A88" s="96" t="s">
        <v>402</v>
      </c>
      <c r="B88" s="96" t="s">
        <v>1217</v>
      </c>
      <c r="C88" s="97">
        <v>2.0833333333333329E-2</v>
      </c>
      <c r="D88" s="96" t="s">
        <v>63</v>
      </c>
      <c r="E88" s="96" t="s">
        <v>51</v>
      </c>
      <c r="F88" s="96" t="s">
        <v>647</v>
      </c>
      <c r="G88" s="299"/>
      <c r="H88" s="300"/>
      <c r="I88" s="140"/>
      <c r="J88" s="140"/>
      <c r="K88" s="140"/>
      <c r="L88" s="140"/>
      <c r="M88" s="140"/>
      <c r="N88" s="140"/>
      <c r="O88" s="141"/>
      <c r="P88" s="140"/>
      <c r="Q88" s="142"/>
      <c r="R88" s="301"/>
    </row>
    <row r="89" spans="1:18" ht="17.45" customHeight="1" thickBot="1">
      <c r="A89" s="283"/>
      <c r="B89" s="284"/>
      <c r="C89" s="284"/>
      <c r="D89" s="284"/>
      <c r="E89" s="284"/>
      <c r="F89" s="284"/>
      <c r="G89" s="284"/>
      <c r="H89" s="284"/>
      <c r="I89" s="284"/>
      <c r="J89" s="284"/>
      <c r="K89" s="284"/>
      <c r="L89" s="284"/>
      <c r="M89" s="284"/>
      <c r="N89" s="284"/>
      <c r="O89" s="284"/>
      <c r="P89" s="284"/>
      <c r="Q89" s="284"/>
      <c r="R89" s="285"/>
    </row>
    <row r="90" spans="1:18" ht="22.15" customHeight="1" thickTop="1" thickBot="1">
      <c r="A90" s="279" t="s">
        <v>6</v>
      </c>
      <c r="B90" s="295"/>
      <c r="C90" s="295"/>
      <c r="D90" s="295"/>
      <c r="E90" s="295"/>
      <c r="F90" s="296"/>
      <c r="G90" s="32">
        <v>46043</v>
      </c>
      <c r="H90" s="278" t="s">
        <v>7</v>
      </c>
      <c r="I90" s="295"/>
      <c r="J90" s="295"/>
      <c r="K90" s="295"/>
      <c r="L90" s="295"/>
      <c r="M90" s="295"/>
      <c r="N90" s="295"/>
      <c r="O90" s="295"/>
      <c r="P90" s="295"/>
      <c r="Q90" s="295"/>
      <c r="R90" s="296"/>
    </row>
    <row r="91" spans="1:18" ht="24" customHeight="1">
      <c r="A91" s="33" t="s">
        <v>8</v>
      </c>
      <c r="B91" s="33" t="s">
        <v>9</v>
      </c>
      <c r="C91" s="34" t="s">
        <v>10</v>
      </c>
      <c r="D91" s="33" t="s">
        <v>11</v>
      </c>
      <c r="E91" s="33" t="s">
        <v>12</v>
      </c>
      <c r="F91" s="35" t="s">
        <v>13</v>
      </c>
      <c r="G91" s="36" t="s">
        <v>14</v>
      </c>
      <c r="H91" s="33" t="s">
        <v>15</v>
      </c>
      <c r="I91" s="37" t="s">
        <v>16</v>
      </c>
      <c r="J91" s="38" t="s">
        <v>17</v>
      </c>
      <c r="K91" s="39" t="s">
        <v>18</v>
      </c>
      <c r="L91" s="38" t="s">
        <v>19</v>
      </c>
      <c r="M91" s="38" t="s">
        <v>20</v>
      </c>
      <c r="N91" s="38" t="s">
        <v>21</v>
      </c>
      <c r="O91" s="33" t="s">
        <v>22</v>
      </c>
      <c r="P91" s="34" t="s">
        <v>23</v>
      </c>
      <c r="Q91" s="38" t="s">
        <v>24</v>
      </c>
      <c r="R91" s="33" t="s">
        <v>25</v>
      </c>
    </row>
    <row r="92" spans="1:18" ht="49.9" customHeight="1" thickTop="1" thickBot="1">
      <c r="A92" s="21" t="s">
        <v>61</v>
      </c>
      <c r="B92" s="21" t="s">
        <v>1214</v>
      </c>
      <c r="C92" s="22">
        <v>0.82638888888888884</v>
      </c>
      <c r="D92" s="21" t="s">
        <v>63</v>
      </c>
      <c r="E92" s="21" t="s">
        <v>51</v>
      </c>
      <c r="F92" s="21" t="s">
        <v>961</v>
      </c>
      <c r="G92" s="297"/>
      <c r="H92" s="201" t="s">
        <v>1215</v>
      </c>
      <c r="I92" s="202">
        <v>1.12E-2</v>
      </c>
      <c r="J92" s="203">
        <v>2</v>
      </c>
      <c r="K92" s="204">
        <v>46345</v>
      </c>
      <c r="L92" s="203">
        <v>2</v>
      </c>
      <c r="M92" s="203">
        <v>0</v>
      </c>
      <c r="N92" s="203">
        <v>0</v>
      </c>
      <c r="O92" s="205" t="s">
        <v>549</v>
      </c>
      <c r="P92" s="206">
        <v>0.82638888888888884</v>
      </c>
      <c r="Q92" s="203">
        <v>179</v>
      </c>
      <c r="R92" s="207" t="s">
        <v>1235</v>
      </c>
    </row>
    <row r="93" spans="1:18" ht="17.45" customHeight="1" thickBot="1">
      <c r="A93" s="283"/>
      <c r="B93" s="284"/>
      <c r="C93" s="284"/>
      <c r="D93" s="284"/>
      <c r="E93" s="284"/>
      <c r="F93" s="284"/>
      <c r="G93" s="284"/>
      <c r="H93" s="284"/>
      <c r="I93" s="284"/>
      <c r="J93" s="284"/>
      <c r="K93" s="284"/>
      <c r="L93" s="284"/>
      <c r="M93" s="284"/>
      <c r="N93" s="284"/>
      <c r="O93" s="284"/>
      <c r="P93" s="284"/>
      <c r="Q93" s="284"/>
      <c r="R93" s="285"/>
    </row>
    <row r="94" spans="1:18" ht="22.15" customHeight="1" thickTop="1" thickBot="1">
      <c r="A94" s="279" t="s">
        <v>6</v>
      </c>
      <c r="B94" s="295"/>
      <c r="C94" s="295"/>
      <c r="D94" s="295"/>
      <c r="E94" s="295"/>
      <c r="F94" s="296"/>
      <c r="G94" s="32">
        <v>46044</v>
      </c>
      <c r="H94" s="278" t="s">
        <v>7</v>
      </c>
      <c r="I94" s="295"/>
      <c r="J94" s="295"/>
      <c r="K94" s="295"/>
      <c r="L94" s="295"/>
      <c r="M94" s="295"/>
      <c r="N94" s="295"/>
      <c r="O94" s="295"/>
      <c r="P94" s="295"/>
      <c r="Q94" s="295"/>
      <c r="R94" s="296"/>
    </row>
    <row r="95" spans="1:18" ht="24" customHeight="1">
      <c r="A95" s="33" t="s">
        <v>8</v>
      </c>
      <c r="B95" s="33" t="s">
        <v>9</v>
      </c>
      <c r="C95" s="34" t="s">
        <v>10</v>
      </c>
      <c r="D95" s="33" t="s">
        <v>11</v>
      </c>
      <c r="E95" s="33" t="s">
        <v>12</v>
      </c>
      <c r="F95" s="35" t="s">
        <v>13</v>
      </c>
      <c r="G95" s="36" t="s">
        <v>14</v>
      </c>
      <c r="H95" s="33" t="s">
        <v>15</v>
      </c>
      <c r="I95" s="37" t="s">
        <v>16</v>
      </c>
      <c r="J95" s="38" t="s">
        <v>17</v>
      </c>
      <c r="K95" s="39" t="s">
        <v>18</v>
      </c>
      <c r="L95" s="38" t="s">
        <v>19</v>
      </c>
      <c r="M95" s="38" t="s">
        <v>20</v>
      </c>
      <c r="N95" s="38" t="s">
        <v>21</v>
      </c>
      <c r="O95" s="33" t="s">
        <v>22</v>
      </c>
      <c r="P95" s="34" t="s">
        <v>23</v>
      </c>
      <c r="Q95" s="38" t="s">
        <v>24</v>
      </c>
      <c r="R95" s="33" t="s">
        <v>25</v>
      </c>
    </row>
    <row r="96" spans="1:18" ht="49.9" customHeight="1">
      <c r="A96" s="21" t="s">
        <v>61</v>
      </c>
      <c r="B96" s="21" t="s">
        <v>1214</v>
      </c>
      <c r="C96" s="22">
        <v>0.4375</v>
      </c>
      <c r="D96" s="21" t="s">
        <v>63</v>
      </c>
      <c r="E96" s="21" t="s">
        <v>51</v>
      </c>
      <c r="F96" s="21" t="s">
        <v>1219</v>
      </c>
      <c r="G96" s="302"/>
      <c r="H96" s="23" t="s">
        <v>1215</v>
      </c>
      <c r="I96" s="24">
        <v>0</v>
      </c>
      <c r="J96" s="25">
        <v>0</v>
      </c>
      <c r="K96" s="26" t="s">
        <v>66</v>
      </c>
      <c r="L96" s="25">
        <v>0</v>
      </c>
      <c r="M96" s="25">
        <v>0</v>
      </c>
      <c r="N96" s="25">
        <v>0</v>
      </c>
      <c r="O96" s="27" t="s">
        <v>877</v>
      </c>
      <c r="P96" s="28">
        <v>0.4375</v>
      </c>
      <c r="Q96" s="25">
        <v>179</v>
      </c>
      <c r="R96" s="29" t="s">
        <v>66</v>
      </c>
    </row>
    <row r="97" spans="1:18" ht="49.9" customHeight="1" thickBot="1">
      <c r="A97" s="96" t="s">
        <v>402</v>
      </c>
      <c r="B97" s="96" t="s">
        <v>1217</v>
      </c>
      <c r="C97" s="97">
        <v>2.0833333333333329E-2</v>
      </c>
      <c r="D97" s="96" t="s">
        <v>63</v>
      </c>
      <c r="E97" s="96" t="s">
        <v>51</v>
      </c>
      <c r="F97" s="96" t="s">
        <v>647</v>
      </c>
      <c r="G97" s="299"/>
      <c r="H97" s="300"/>
      <c r="I97" s="140"/>
      <c r="J97" s="140"/>
      <c r="K97" s="140"/>
      <c r="L97" s="140"/>
      <c r="M97" s="140"/>
      <c r="N97" s="140"/>
      <c r="O97" s="141"/>
      <c r="P97" s="140"/>
      <c r="Q97" s="142"/>
      <c r="R97" s="301"/>
    </row>
    <row r="98" spans="1:18" ht="17.45" customHeight="1" thickBot="1">
      <c r="A98" s="283"/>
      <c r="B98" s="284"/>
      <c r="C98" s="284"/>
      <c r="D98" s="284"/>
      <c r="E98" s="284"/>
      <c r="F98" s="284"/>
      <c r="G98" s="284"/>
      <c r="H98" s="284"/>
      <c r="I98" s="284"/>
      <c r="J98" s="284"/>
      <c r="K98" s="284"/>
      <c r="L98" s="284"/>
      <c r="M98" s="284"/>
      <c r="N98" s="284"/>
      <c r="O98" s="284"/>
      <c r="P98" s="284"/>
      <c r="Q98" s="284"/>
      <c r="R98" s="285"/>
    </row>
    <row r="99" spans="1:18" ht="22.15" customHeight="1" thickTop="1" thickBot="1">
      <c r="A99" s="279" t="s">
        <v>6</v>
      </c>
      <c r="B99" s="295"/>
      <c r="C99" s="295"/>
      <c r="D99" s="295"/>
      <c r="E99" s="295"/>
      <c r="F99" s="296"/>
      <c r="G99" s="32">
        <v>46045</v>
      </c>
      <c r="H99" s="278" t="s">
        <v>7</v>
      </c>
      <c r="I99" s="295"/>
      <c r="J99" s="295"/>
      <c r="K99" s="295"/>
      <c r="L99" s="295"/>
      <c r="M99" s="295"/>
      <c r="N99" s="295"/>
      <c r="O99" s="295"/>
      <c r="P99" s="295"/>
      <c r="Q99" s="295"/>
      <c r="R99" s="296"/>
    </row>
    <row r="100" spans="1:18" ht="24" customHeight="1">
      <c r="A100" s="33" t="s">
        <v>8</v>
      </c>
      <c r="B100" s="33" t="s">
        <v>9</v>
      </c>
      <c r="C100" s="34" t="s">
        <v>10</v>
      </c>
      <c r="D100" s="33" t="s">
        <v>11</v>
      </c>
      <c r="E100" s="33" t="s">
        <v>12</v>
      </c>
      <c r="F100" s="35" t="s">
        <v>13</v>
      </c>
      <c r="G100" s="36" t="s">
        <v>14</v>
      </c>
      <c r="H100" s="33" t="s">
        <v>15</v>
      </c>
      <c r="I100" s="37" t="s">
        <v>16</v>
      </c>
      <c r="J100" s="38" t="s">
        <v>17</v>
      </c>
      <c r="K100" s="39" t="s">
        <v>18</v>
      </c>
      <c r="L100" s="38" t="s">
        <v>19</v>
      </c>
      <c r="M100" s="38" t="s">
        <v>20</v>
      </c>
      <c r="N100" s="38" t="s">
        <v>21</v>
      </c>
      <c r="O100" s="33" t="s">
        <v>22</v>
      </c>
      <c r="P100" s="34" t="s">
        <v>23</v>
      </c>
      <c r="Q100" s="38" t="s">
        <v>24</v>
      </c>
      <c r="R100" s="33" t="s">
        <v>25</v>
      </c>
    </row>
    <row r="101" spans="1:18" ht="49.9" customHeight="1" thickTop="1" thickBot="1">
      <c r="A101" s="49" t="s">
        <v>61</v>
      </c>
      <c r="B101" s="49" t="s">
        <v>1214</v>
      </c>
      <c r="C101" s="50">
        <v>0.16666666666666671</v>
      </c>
      <c r="D101" s="49" t="s">
        <v>63</v>
      </c>
      <c r="E101" s="49" t="s">
        <v>51</v>
      </c>
      <c r="F101" s="49" t="s">
        <v>961</v>
      </c>
      <c r="G101" s="302"/>
      <c r="H101" s="169" t="s">
        <v>1215</v>
      </c>
      <c r="I101" s="170">
        <v>2.23E-2</v>
      </c>
      <c r="J101" s="171">
        <v>4</v>
      </c>
      <c r="K101" s="172">
        <v>46343</v>
      </c>
      <c r="L101" s="171">
        <v>4</v>
      </c>
      <c r="M101" s="171">
        <v>0</v>
      </c>
      <c r="N101" s="171">
        <v>0</v>
      </c>
      <c r="O101" s="173" t="s">
        <v>549</v>
      </c>
      <c r="P101" s="174">
        <v>0.16666666666666671</v>
      </c>
      <c r="Q101" s="171">
        <v>179</v>
      </c>
      <c r="R101" s="175" t="s">
        <v>1220</v>
      </c>
    </row>
    <row r="102" spans="1:18" ht="17.45" customHeight="1" thickBot="1">
      <c r="A102" s="283"/>
      <c r="B102" s="284"/>
      <c r="C102" s="284"/>
      <c r="D102" s="284"/>
      <c r="E102" s="284"/>
      <c r="F102" s="284"/>
      <c r="G102" s="284"/>
      <c r="H102" s="284"/>
      <c r="I102" s="284"/>
      <c r="J102" s="284"/>
      <c r="K102" s="284"/>
      <c r="L102" s="284"/>
      <c r="M102" s="284"/>
      <c r="N102" s="284"/>
      <c r="O102" s="284"/>
      <c r="P102" s="284"/>
      <c r="Q102" s="284"/>
      <c r="R102" s="285"/>
    </row>
    <row r="103" spans="1:18" ht="22.15" customHeight="1" thickTop="1" thickBot="1">
      <c r="A103" s="279" t="s">
        <v>6</v>
      </c>
      <c r="B103" s="295"/>
      <c r="C103" s="295"/>
      <c r="D103" s="295"/>
      <c r="E103" s="295"/>
      <c r="F103" s="296"/>
      <c r="G103" s="32">
        <v>46046</v>
      </c>
      <c r="H103" s="278" t="s">
        <v>7</v>
      </c>
      <c r="I103" s="295"/>
      <c r="J103" s="295"/>
      <c r="K103" s="295"/>
      <c r="L103" s="295"/>
      <c r="M103" s="295"/>
      <c r="N103" s="295"/>
      <c r="O103" s="295"/>
      <c r="P103" s="295"/>
      <c r="Q103" s="295"/>
      <c r="R103" s="296"/>
    </row>
    <row r="104" spans="1:18" ht="24" customHeight="1">
      <c r="A104" s="33" t="s">
        <v>8</v>
      </c>
      <c r="B104" s="33" t="s">
        <v>9</v>
      </c>
      <c r="C104" s="34" t="s">
        <v>10</v>
      </c>
      <c r="D104" s="33" t="s">
        <v>11</v>
      </c>
      <c r="E104" s="33" t="s">
        <v>12</v>
      </c>
      <c r="F104" s="35" t="s">
        <v>13</v>
      </c>
      <c r="G104" s="36" t="s">
        <v>14</v>
      </c>
      <c r="H104" s="33" t="s">
        <v>15</v>
      </c>
      <c r="I104" s="37" t="s">
        <v>16</v>
      </c>
      <c r="J104" s="38" t="s">
        <v>17</v>
      </c>
      <c r="K104" s="39" t="s">
        <v>18</v>
      </c>
      <c r="L104" s="38" t="s">
        <v>19</v>
      </c>
      <c r="M104" s="38" t="s">
        <v>20</v>
      </c>
      <c r="N104" s="38" t="s">
        <v>21</v>
      </c>
      <c r="O104" s="33" t="s">
        <v>22</v>
      </c>
      <c r="P104" s="34" t="s">
        <v>23</v>
      </c>
      <c r="Q104" s="38" t="s">
        <v>24</v>
      </c>
      <c r="R104" s="33" t="s">
        <v>25</v>
      </c>
    </row>
    <row r="105" spans="1:18" ht="49.9" customHeight="1" thickTop="1" thickBot="1">
      <c r="A105" s="49" t="s">
        <v>61</v>
      </c>
      <c r="B105" s="49" t="s">
        <v>1214</v>
      </c>
      <c r="C105" s="50">
        <v>0.125</v>
      </c>
      <c r="D105" s="49" t="s">
        <v>63</v>
      </c>
      <c r="E105" s="49" t="s">
        <v>51</v>
      </c>
      <c r="F105" s="49" t="s">
        <v>1219</v>
      </c>
      <c r="G105" s="297"/>
      <c r="H105" s="169" t="s">
        <v>1215</v>
      </c>
      <c r="I105" s="170">
        <v>5.5999999999999999E-3</v>
      </c>
      <c r="J105" s="171">
        <v>1</v>
      </c>
      <c r="K105" s="172">
        <v>46302</v>
      </c>
      <c r="L105" s="171">
        <v>1</v>
      </c>
      <c r="M105" s="171">
        <v>0</v>
      </c>
      <c r="N105" s="171">
        <v>0</v>
      </c>
      <c r="O105" s="173" t="s">
        <v>877</v>
      </c>
      <c r="P105" s="174">
        <v>0.125</v>
      </c>
      <c r="Q105" s="171">
        <v>179</v>
      </c>
      <c r="R105" s="175" t="s">
        <v>302</v>
      </c>
    </row>
    <row r="106" spans="1:18" ht="17.45" customHeight="1" thickBot="1">
      <c r="A106" s="283"/>
      <c r="B106" s="284"/>
      <c r="C106" s="284"/>
      <c r="D106" s="284"/>
      <c r="E106" s="284"/>
      <c r="F106" s="284"/>
      <c r="G106" s="284"/>
      <c r="H106" s="284"/>
      <c r="I106" s="284"/>
      <c r="J106" s="284"/>
      <c r="K106" s="284"/>
      <c r="L106" s="284"/>
      <c r="M106" s="284"/>
      <c r="N106" s="284"/>
      <c r="O106" s="284"/>
      <c r="P106" s="284"/>
      <c r="Q106" s="284"/>
      <c r="R106" s="285"/>
    </row>
    <row r="107" spans="1:18" ht="22.15" customHeight="1" thickTop="1" thickBot="1">
      <c r="A107" s="279" t="s">
        <v>6</v>
      </c>
      <c r="B107" s="295"/>
      <c r="C107" s="295"/>
      <c r="D107" s="295"/>
      <c r="E107" s="295"/>
      <c r="F107" s="296"/>
      <c r="G107" s="32">
        <v>46047</v>
      </c>
      <c r="H107" s="278" t="s">
        <v>7</v>
      </c>
      <c r="I107" s="295"/>
      <c r="J107" s="295"/>
      <c r="K107" s="295"/>
      <c r="L107" s="295"/>
      <c r="M107" s="295"/>
      <c r="N107" s="295"/>
      <c r="O107" s="295"/>
      <c r="P107" s="295"/>
      <c r="Q107" s="295"/>
      <c r="R107" s="296"/>
    </row>
    <row r="108" spans="1:18" ht="24" customHeight="1">
      <c r="A108" s="33" t="s">
        <v>8</v>
      </c>
      <c r="B108" s="33" t="s">
        <v>9</v>
      </c>
      <c r="C108" s="34" t="s">
        <v>10</v>
      </c>
      <c r="D108" s="33" t="s">
        <v>11</v>
      </c>
      <c r="E108" s="33" t="s">
        <v>12</v>
      </c>
      <c r="F108" s="35" t="s">
        <v>13</v>
      </c>
      <c r="G108" s="36" t="s">
        <v>14</v>
      </c>
      <c r="H108" s="33" t="s">
        <v>15</v>
      </c>
      <c r="I108" s="37" t="s">
        <v>16</v>
      </c>
      <c r="J108" s="38" t="s">
        <v>17</v>
      </c>
      <c r="K108" s="39" t="s">
        <v>18</v>
      </c>
      <c r="L108" s="38" t="s">
        <v>19</v>
      </c>
      <c r="M108" s="38" t="s">
        <v>20</v>
      </c>
      <c r="N108" s="38" t="s">
        <v>21</v>
      </c>
      <c r="O108" s="33" t="s">
        <v>22</v>
      </c>
      <c r="P108" s="34" t="s">
        <v>23</v>
      </c>
      <c r="Q108" s="38" t="s">
        <v>24</v>
      </c>
      <c r="R108" s="33" t="s">
        <v>25</v>
      </c>
    </row>
    <row r="109" spans="1:18" ht="49.9" customHeight="1" thickTop="1" thickBot="1">
      <c r="A109" s="58" t="s">
        <v>61</v>
      </c>
      <c r="B109" s="58" t="s">
        <v>1214</v>
      </c>
      <c r="C109" s="59">
        <v>0.21527777777777779</v>
      </c>
      <c r="D109" s="58" t="s">
        <v>63</v>
      </c>
      <c r="E109" s="58" t="s">
        <v>51</v>
      </c>
      <c r="F109" s="58" t="s">
        <v>961</v>
      </c>
      <c r="G109" s="297"/>
      <c r="H109" s="232" t="s">
        <v>1215</v>
      </c>
      <c r="I109" s="233">
        <v>1.6799999999999999E-2</v>
      </c>
      <c r="J109" s="234">
        <v>3</v>
      </c>
      <c r="K109" s="235">
        <v>46318</v>
      </c>
      <c r="L109" s="234">
        <v>3</v>
      </c>
      <c r="M109" s="234">
        <v>0</v>
      </c>
      <c r="N109" s="234">
        <v>0</v>
      </c>
      <c r="O109" s="236" t="s">
        <v>549</v>
      </c>
      <c r="P109" s="237">
        <v>0.21527777777777779</v>
      </c>
      <c r="Q109" s="234">
        <v>179</v>
      </c>
      <c r="R109" s="238" t="s">
        <v>1230</v>
      </c>
    </row>
    <row r="110" spans="1:18" ht="17.45" customHeight="1" thickBot="1">
      <c r="A110" s="283"/>
      <c r="B110" s="284"/>
      <c r="C110" s="284"/>
      <c r="D110" s="284"/>
      <c r="E110" s="284"/>
      <c r="F110" s="284"/>
      <c r="G110" s="284"/>
      <c r="H110" s="284"/>
      <c r="I110" s="284"/>
      <c r="J110" s="284"/>
      <c r="K110" s="284"/>
      <c r="L110" s="284"/>
      <c r="M110" s="284"/>
      <c r="N110" s="284"/>
      <c r="O110" s="284"/>
      <c r="P110" s="284"/>
      <c r="Q110" s="284"/>
      <c r="R110" s="285"/>
    </row>
    <row r="111" spans="1:18" ht="22.15" customHeight="1" thickTop="1" thickBot="1">
      <c r="A111" s="279" t="s">
        <v>6</v>
      </c>
      <c r="B111" s="295"/>
      <c r="C111" s="295"/>
      <c r="D111" s="295"/>
      <c r="E111" s="295"/>
      <c r="F111" s="296"/>
      <c r="G111" s="32">
        <v>46048</v>
      </c>
      <c r="H111" s="278" t="s">
        <v>7</v>
      </c>
      <c r="I111" s="295"/>
      <c r="J111" s="295"/>
      <c r="K111" s="295"/>
      <c r="L111" s="295"/>
      <c r="M111" s="295"/>
      <c r="N111" s="295"/>
      <c r="O111" s="295"/>
      <c r="P111" s="295"/>
      <c r="Q111" s="295"/>
      <c r="R111" s="296"/>
    </row>
    <row r="112" spans="1:18" ht="24" customHeight="1">
      <c r="A112" s="33" t="s">
        <v>8</v>
      </c>
      <c r="B112" s="33" t="s">
        <v>9</v>
      </c>
      <c r="C112" s="34" t="s">
        <v>10</v>
      </c>
      <c r="D112" s="33" t="s">
        <v>11</v>
      </c>
      <c r="E112" s="33" t="s">
        <v>12</v>
      </c>
      <c r="F112" s="35" t="s">
        <v>13</v>
      </c>
      <c r="G112" s="36" t="s">
        <v>14</v>
      </c>
      <c r="H112" s="33" t="s">
        <v>15</v>
      </c>
      <c r="I112" s="37" t="s">
        <v>16</v>
      </c>
      <c r="J112" s="38" t="s">
        <v>17</v>
      </c>
      <c r="K112" s="39" t="s">
        <v>18</v>
      </c>
      <c r="L112" s="38" t="s">
        <v>19</v>
      </c>
      <c r="M112" s="38" t="s">
        <v>20</v>
      </c>
      <c r="N112" s="38" t="s">
        <v>21</v>
      </c>
      <c r="O112" s="33" t="s">
        <v>22</v>
      </c>
      <c r="P112" s="34" t="s">
        <v>23</v>
      </c>
      <c r="Q112" s="38" t="s">
        <v>24</v>
      </c>
      <c r="R112" s="33" t="s">
        <v>25</v>
      </c>
    </row>
    <row r="113" spans="1:18" ht="49.9" customHeight="1" thickTop="1" thickBot="1">
      <c r="A113" s="49" t="s">
        <v>61</v>
      </c>
      <c r="B113" s="49" t="s">
        <v>1214</v>
      </c>
      <c r="C113" s="50">
        <v>0.16666666666666671</v>
      </c>
      <c r="D113" s="49" t="s">
        <v>63</v>
      </c>
      <c r="E113" s="49" t="s">
        <v>51</v>
      </c>
      <c r="F113" s="49" t="s">
        <v>1219</v>
      </c>
      <c r="G113" s="297"/>
      <c r="H113" s="169" t="s">
        <v>1215</v>
      </c>
      <c r="I113" s="170">
        <v>1.12E-2</v>
      </c>
      <c r="J113" s="171">
        <v>2</v>
      </c>
      <c r="K113" s="172">
        <v>46344</v>
      </c>
      <c r="L113" s="171">
        <v>2</v>
      </c>
      <c r="M113" s="171">
        <v>0</v>
      </c>
      <c r="N113" s="171">
        <v>0</v>
      </c>
      <c r="O113" s="173" t="s">
        <v>877</v>
      </c>
      <c r="P113" s="174">
        <v>0.16666666666666671</v>
      </c>
      <c r="Q113" s="171">
        <v>179</v>
      </c>
      <c r="R113" s="175" t="s">
        <v>1138</v>
      </c>
    </row>
    <row r="114" spans="1:18" ht="17.45" customHeight="1" thickBot="1">
      <c r="A114" s="283"/>
      <c r="B114" s="284"/>
      <c r="C114" s="284"/>
      <c r="D114" s="284"/>
      <c r="E114" s="284"/>
      <c r="F114" s="284"/>
      <c r="G114" s="284"/>
      <c r="H114" s="284"/>
      <c r="I114" s="284"/>
      <c r="J114" s="284"/>
      <c r="K114" s="284"/>
      <c r="L114" s="284"/>
      <c r="M114" s="284"/>
      <c r="N114" s="284"/>
      <c r="O114" s="284"/>
      <c r="P114" s="284"/>
      <c r="Q114" s="284"/>
      <c r="R114" s="285"/>
    </row>
    <row r="115" spans="1:18" ht="22.15" customHeight="1" thickTop="1" thickBot="1">
      <c r="A115" s="279" t="s">
        <v>6</v>
      </c>
      <c r="B115" s="295"/>
      <c r="C115" s="295"/>
      <c r="D115" s="295"/>
      <c r="E115" s="295"/>
      <c r="F115" s="296"/>
      <c r="G115" s="32">
        <v>46049</v>
      </c>
      <c r="H115" s="278" t="s">
        <v>7</v>
      </c>
      <c r="I115" s="295"/>
      <c r="J115" s="295"/>
      <c r="K115" s="295"/>
      <c r="L115" s="295"/>
      <c r="M115" s="295"/>
      <c r="N115" s="295"/>
      <c r="O115" s="295"/>
      <c r="P115" s="295"/>
      <c r="Q115" s="295"/>
      <c r="R115" s="296"/>
    </row>
    <row r="116" spans="1:18" ht="24" customHeight="1">
      <c r="A116" s="33" t="s">
        <v>8</v>
      </c>
      <c r="B116" s="33" t="s">
        <v>9</v>
      </c>
      <c r="C116" s="34" t="s">
        <v>10</v>
      </c>
      <c r="D116" s="33" t="s">
        <v>11</v>
      </c>
      <c r="E116" s="33" t="s">
        <v>12</v>
      </c>
      <c r="F116" s="35" t="s">
        <v>13</v>
      </c>
      <c r="G116" s="36" t="s">
        <v>14</v>
      </c>
      <c r="H116" s="33" t="s">
        <v>15</v>
      </c>
      <c r="I116" s="37" t="s">
        <v>16</v>
      </c>
      <c r="J116" s="38" t="s">
        <v>17</v>
      </c>
      <c r="K116" s="39" t="s">
        <v>18</v>
      </c>
      <c r="L116" s="38" t="s">
        <v>19</v>
      </c>
      <c r="M116" s="38" t="s">
        <v>20</v>
      </c>
      <c r="N116" s="38" t="s">
        <v>21</v>
      </c>
      <c r="O116" s="33" t="s">
        <v>22</v>
      </c>
      <c r="P116" s="34" t="s">
        <v>23</v>
      </c>
      <c r="Q116" s="38" t="s">
        <v>24</v>
      </c>
      <c r="R116" s="33" t="s">
        <v>25</v>
      </c>
    </row>
    <row r="117" spans="1:18" ht="49.9" customHeight="1">
      <c r="A117" s="21" t="s">
        <v>61</v>
      </c>
      <c r="B117" s="21" t="s">
        <v>1214</v>
      </c>
      <c r="C117" s="22">
        <v>0.83333333333333337</v>
      </c>
      <c r="D117" s="21" t="s">
        <v>63</v>
      </c>
      <c r="E117" s="21" t="s">
        <v>51</v>
      </c>
      <c r="F117" s="21" t="s">
        <v>1219</v>
      </c>
      <c r="G117" s="297"/>
      <c r="H117" s="23" t="s">
        <v>1215</v>
      </c>
      <c r="I117" s="24">
        <v>5.5999999999999999E-3</v>
      </c>
      <c r="J117" s="25">
        <v>1</v>
      </c>
      <c r="K117" s="26">
        <v>46294</v>
      </c>
      <c r="L117" s="25">
        <v>1</v>
      </c>
      <c r="M117" s="25">
        <v>0</v>
      </c>
      <c r="N117" s="25">
        <v>0</v>
      </c>
      <c r="O117" s="27" t="s">
        <v>877</v>
      </c>
      <c r="P117" s="28">
        <v>0.83333333333333337</v>
      </c>
      <c r="Q117" s="25">
        <v>179</v>
      </c>
      <c r="R117" s="29" t="s">
        <v>302</v>
      </c>
    </row>
    <row r="118" spans="1:18" ht="49.9" customHeight="1" thickBot="1">
      <c r="A118" s="96" t="s">
        <v>402</v>
      </c>
      <c r="B118" s="96" t="s">
        <v>1217</v>
      </c>
      <c r="C118" s="97">
        <v>2.0833333333333329E-2</v>
      </c>
      <c r="D118" s="96" t="s">
        <v>63</v>
      </c>
      <c r="E118" s="96" t="s">
        <v>51</v>
      </c>
      <c r="F118" s="96" t="s">
        <v>1218</v>
      </c>
      <c r="G118" s="299"/>
      <c r="H118" s="300"/>
      <c r="I118" s="140"/>
      <c r="J118" s="140"/>
      <c r="K118" s="140"/>
      <c r="L118" s="140"/>
      <c r="M118" s="140"/>
      <c r="N118" s="140"/>
      <c r="O118" s="141"/>
      <c r="P118" s="140"/>
      <c r="Q118" s="142"/>
      <c r="R118" s="301"/>
    </row>
    <row r="119" spans="1:18" ht="17.45" customHeight="1" thickBot="1">
      <c r="A119" s="283"/>
      <c r="B119" s="284"/>
      <c r="C119" s="284"/>
      <c r="D119" s="284"/>
      <c r="E119" s="284"/>
      <c r="F119" s="284"/>
      <c r="G119" s="284"/>
      <c r="H119" s="284"/>
      <c r="I119" s="284"/>
      <c r="J119" s="284"/>
      <c r="K119" s="284"/>
      <c r="L119" s="284"/>
      <c r="M119" s="284"/>
      <c r="N119" s="284"/>
      <c r="O119" s="284"/>
      <c r="P119" s="284"/>
      <c r="Q119" s="284"/>
      <c r="R119" s="285"/>
    </row>
    <row r="120" spans="1:18" ht="22.15" customHeight="1" thickTop="1" thickBot="1">
      <c r="A120" s="279" t="s">
        <v>6</v>
      </c>
      <c r="B120" s="295"/>
      <c r="C120" s="295"/>
      <c r="D120" s="295"/>
      <c r="E120" s="295"/>
      <c r="F120" s="296"/>
      <c r="G120" s="32">
        <v>46050</v>
      </c>
      <c r="H120" s="278" t="s">
        <v>7</v>
      </c>
      <c r="I120" s="295"/>
      <c r="J120" s="295"/>
      <c r="K120" s="295"/>
      <c r="L120" s="295"/>
      <c r="M120" s="295"/>
      <c r="N120" s="295"/>
      <c r="O120" s="295"/>
      <c r="P120" s="295"/>
      <c r="Q120" s="295"/>
      <c r="R120" s="296"/>
    </row>
    <row r="121" spans="1:18" ht="24" customHeight="1">
      <c r="A121" s="33" t="s">
        <v>8</v>
      </c>
      <c r="B121" s="33" t="s">
        <v>9</v>
      </c>
      <c r="C121" s="34" t="s">
        <v>10</v>
      </c>
      <c r="D121" s="33" t="s">
        <v>11</v>
      </c>
      <c r="E121" s="33" t="s">
        <v>12</v>
      </c>
      <c r="F121" s="35" t="s">
        <v>13</v>
      </c>
      <c r="G121" s="36" t="s">
        <v>14</v>
      </c>
      <c r="H121" s="33" t="s">
        <v>15</v>
      </c>
      <c r="I121" s="37" t="s">
        <v>16</v>
      </c>
      <c r="J121" s="38" t="s">
        <v>17</v>
      </c>
      <c r="K121" s="39" t="s">
        <v>18</v>
      </c>
      <c r="L121" s="38" t="s">
        <v>19</v>
      </c>
      <c r="M121" s="38" t="s">
        <v>20</v>
      </c>
      <c r="N121" s="38" t="s">
        <v>21</v>
      </c>
      <c r="O121" s="33" t="s">
        <v>22</v>
      </c>
      <c r="P121" s="34" t="s">
        <v>23</v>
      </c>
      <c r="Q121" s="38" t="s">
        <v>24</v>
      </c>
      <c r="R121" s="33" t="s">
        <v>25</v>
      </c>
    </row>
    <row r="122" spans="1:18" ht="49.9" customHeight="1" thickTop="1" thickBot="1">
      <c r="A122" s="49" t="s">
        <v>61</v>
      </c>
      <c r="B122" s="49" t="s">
        <v>1214</v>
      </c>
      <c r="C122" s="50">
        <v>0.82638888888888884</v>
      </c>
      <c r="D122" s="49" t="s">
        <v>63</v>
      </c>
      <c r="E122" s="49" t="s">
        <v>51</v>
      </c>
      <c r="F122" s="49" t="s">
        <v>961</v>
      </c>
      <c r="G122" s="297"/>
      <c r="H122" s="169" t="s">
        <v>1215</v>
      </c>
      <c r="I122" s="170">
        <v>1.12E-2</v>
      </c>
      <c r="J122" s="171">
        <v>2</v>
      </c>
      <c r="K122" s="172">
        <v>46334</v>
      </c>
      <c r="L122" s="171">
        <v>2</v>
      </c>
      <c r="M122" s="171">
        <v>0</v>
      </c>
      <c r="N122" s="171">
        <v>0</v>
      </c>
      <c r="O122" s="173" t="s">
        <v>549</v>
      </c>
      <c r="P122" s="174">
        <v>0.82638888888888884</v>
      </c>
      <c r="Q122" s="171">
        <v>179</v>
      </c>
      <c r="R122" s="175" t="s">
        <v>298</v>
      </c>
    </row>
    <row r="123" spans="1:18" ht="17.45" customHeight="1" thickBot="1">
      <c r="A123" s="283"/>
      <c r="B123" s="284"/>
      <c r="C123" s="284"/>
      <c r="D123" s="284"/>
      <c r="E123" s="284"/>
      <c r="F123" s="284"/>
      <c r="G123" s="284"/>
      <c r="H123" s="284"/>
      <c r="I123" s="284"/>
      <c r="J123" s="284"/>
      <c r="K123" s="284"/>
      <c r="L123" s="284"/>
      <c r="M123" s="284"/>
      <c r="N123" s="284"/>
      <c r="O123" s="284"/>
      <c r="P123" s="284"/>
      <c r="Q123" s="284"/>
      <c r="R123" s="285"/>
    </row>
    <row r="124" spans="1:18" ht="22.15" customHeight="1" thickTop="1" thickBot="1">
      <c r="A124" s="279" t="s">
        <v>6</v>
      </c>
      <c r="B124" s="295"/>
      <c r="C124" s="295"/>
      <c r="D124" s="295"/>
      <c r="E124" s="295"/>
      <c r="F124" s="296"/>
      <c r="G124" s="32">
        <v>46051</v>
      </c>
      <c r="H124" s="278" t="s">
        <v>7</v>
      </c>
      <c r="I124" s="295"/>
      <c r="J124" s="295"/>
      <c r="K124" s="295"/>
      <c r="L124" s="295"/>
      <c r="M124" s="295"/>
      <c r="N124" s="295"/>
      <c r="O124" s="295"/>
      <c r="P124" s="295"/>
      <c r="Q124" s="295"/>
      <c r="R124" s="296"/>
    </row>
    <row r="125" spans="1:18" ht="24" customHeight="1">
      <c r="A125" s="33" t="s">
        <v>8</v>
      </c>
      <c r="B125" s="33" t="s">
        <v>9</v>
      </c>
      <c r="C125" s="34" t="s">
        <v>10</v>
      </c>
      <c r="D125" s="33" t="s">
        <v>11</v>
      </c>
      <c r="E125" s="33" t="s">
        <v>12</v>
      </c>
      <c r="F125" s="35" t="s">
        <v>13</v>
      </c>
      <c r="G125" s="36" t="s">
        <v>14</v>
      </c>
      <c r="H125" s="33" t="s">
        <v>15</v>
      </c>
      <c r="I125" s="37" t="s">
        <v>16</v>
      </c>
      <c r="J125" s="38" t="s">
        <v>17</v>
      </c>
      <c r="K125" s="39" t="s">
        <v>18</v>
      </c>
      <c r="L125" s="38" t="s">
        <v>19</v>
      </c>
      <c r="M125" s="38" t="s">
        <v>20</v>
      </c>
      <c r="N125" s="38" t="s">
        <v>21</v>
      </c>
      <c r="O125" s="33" t="s">
        <v>22</v>
      </c>
      <c r="P125" s="34" t="s">
        <v>23</v>
      </c>
      <c r="Q125" s="38" t="s">
        <v>24</v>
      </c>
      <c r="R125" s="33" t="s">
        <v>25</v>
      </c>
    </row>
    <row r="126" spans="1:18" ht="49.9" customHeight="1">
      <c r="A126" s="98" t="s">
        <v>61</v>
      </c>
      <c r="B126" s="98" t="s">
        <v>1214</v>
      </c>
      <c r="C126" s="99">
        <v>0.4375</v>
      </c>
      <c r="D126" s="98" t="s">
        <v>63</v>
      </c>
      <c r="E126" s="98" t="s">
        <v>51</v>
      </c>
      <c r="F126" s="98" t="s">
        <v>961</v>
      </c>
      <c r="G126" s="302"/>
      <c r="H126" s="100" t="s">
        <v>1215</v>
      </c>
      <c r="I126" s="101">
        <v>1.12E-2</v>
      </c>
      <c r="J126" s="102">
        <v>2</v>
      </c>
      <c r="K126" s="103">
        <v>46340</v>
      </c>
      <c r="L126" s="102">
        <v>2</v>
      </c>
      <c r="M126" s="102">
        <v>0</v>
      </c>
      <c r="N126" s="102">
        <v>0</v>
      </c>
      <c r="O126" s="104" t="s">
        <v>549</v>
      </c>
      <c r="P126" s="105">
        <v>0.4375</v>
      </c>
      <c r="Q126" s="102">
        <v>179</v>
      </c>
      <c r="R126" s="106" t="s">
        <v>298</v>
      </c>
    </row>
    <row r="127" spans="1:18" ht="49.9" customHeight="1" thickBot="1">
      <c r="A127" s="96" t="s">
        <v>402</v>
      </c>
      <c r="B127" s="96" t="s">
        <v>1217</v>
      </c>
      <c r="C127" s="97">
        <v>2.0833333333333329E-2</v>
      </c>
      <c r="D127" s="96" t="s">
        <v>63</v>
      </c>
      <c r="E127" s="96" t="s">
        <v>51</v>
      </c>
      <c r="F127" s="96" t="s">
        <v>1218</v>
      </c>
      <c r="G127" s="299"/>
      <c r="H127" s="300"/>
      <c r="I127" s="140"/>
      <c r="J127" s="140"/>
      <c r="K127" s="140"/>
      <c r="L127" s="140"/>
      <c r="M127" s="140"/>
      <c r="N127" s="140"/>
      <c r="O127" s="141"/>
      <c r="P127" s="140"/>
      <c r="Q127" s="142"/>
      <c r="R127" s="301"/>
    </row>
    <row r="128" spans="1:18" ht="17.45" customHeight="1" thickBot="1">
      <c r="A128" s="283"/>
      <c r="B128" s="284"/>
      <c r="C128" s="284"/>
      <c r="D128" s="284"/>
      <c r="E128" s="284"/>
      <c r="F128" s="284"/>
      <c r="G128" s="284"/>
      <c r="H128" s="284"/>
      <c r="I128" s="284"/>
      <c r="J128" s="284"/>
      <c r="K128" s="284"/>
      <c r="L128" s="284"/>
      <c r="M128" s="284"/>
      <c r="N128" s="284"/>
      <c r="O128" s="284"/>
      <c r="P128" s="284"/>
      <c r="Q128" s="284"/>
      <c r="R128" s="285"/>
    </row>
    <row r="129" spans="1:18" ht="22.15" customHeight="1" thickTop="1" thickBot="1">
      <c r="A129" s="279" t="s">
        <v>6</v>
      </c>
      <c r="B129" s="295"/>
      <c r="C129" s="295"/>
      <c r="D129" s="295"/>
      <c r="E129" s="295"/>
      <c r="F129" s="296"/>
      <c r="G129" s="32">
        <v>46052</v>
      </c>
      <c r="H129" s="278" t="s">
        <v>7</v>
      </c>
      <c r="I129" s="295"/>
      <c r="J129" s="295"/>
      <c r="K129" s="295"/>
      <c r="L129" s="295"/>
      <c r="M129" s="295"/>
      <c r="N129" s="295"/>
      <c r="O129" s="295"/>
      <c r="P129" s="295"/>
      <c r="Q129" s="295"/>
      <c r="R129" s="296"/>
    </row>
    <row r="130" spans="1:18" ht="24" customHeight="1">
      <c r="A130" s="33" t="s">
        <v>8</v>
      </c>
      <c r="B130" s="33" t="s">
        <v>9</v>
      </c>
      <c r="C130" s="34" t="s">
        <v>10</v>
      </c>
      <c r="D130" s="33" t="s">
        <v>11</v>
      </c>
      <c r="E130" s="33" t="s">
        <v>12</v>
      </c>
      <c r="F130" s="35" t="s">
        <v>13</v>
      </c>
      <c r="G130" s="36" t="s">
        <v>14</v>
      </c>
      <c r="H130" s="33" t="s">
        <v>15</v>
      </c>
      <c r="I130" s="37" t="s">
        <v>16</v>
      </c>
      <c r="J130" s="38" t="s">
        <v>17</v>
      </c>
      <c r="K130" s="39" t="s">
        <v>18</v>
      </c>
      <c r="L130" s="38" t="s">
        <v>19</v>
      </c>
      <c r="M130" s="38" t="s">
        <v>20</v>
      </c>
      <c r="N130" s="38" t="s">
        <v>21</v>
      </c>
      <c r="O130" s="33" t="s">
        <v>22</v>
      </c>
      <c r="P130" s="34" t="s">
        <v>23</v>
      </c>
      <c r="Q130" s="38" t="s">
        <v>24</v>
      </c>
      <c r="R130" s="33" t="s">
        <v>25</v>
      </c>
    </row>
    <row r="131" spans="1:18" ht="49.9" customHeight="1" thickTop="1" thickBot="1">
      <c r="A131" s="78" t="s">
        <v>61</v>
      </c>
      <c r="B131" s="78" t="s">
        <v>1214</v>
      </c>
      <c r="C131" s="79">
        <v>0.16666666666666671</v>
      </c>
      <c r="D131" s="78" t="s">
        <v>63</v>
      </c>
      <c r="E131" s="78" t="s">
        <v>51</v>
      </c>
      <c r="F131" s="78" t="s">
        <v>1219</v>
      </c>
      <c r="G131" s="302"/>
      <c r="H131" s="222" t="s">
        <v>1215</v>
      </c>
      <c r="I131" s="223">
        <v>5.5999999999999999E-3</v>
      </c>
      <c r="J131" s="224">
        <v>1</v>
      </c>
      <c r="K131" s="225">
        <v>46307</v>
      </c>
      <c r="L131" s="224">
        <v>1</v>
      </c>
      <c r="M131" s="224">
        <v>0</v>
      </c>
      <c r="N131" s="224">
        <v>0</v>
      </c>
      <c r="O131" s="226" t="s">
        <v>877</v>
      </c>
      <c r="P131" s="227">
        <v>0.16666666666666671</v>
      </c>
      <c r="Q131" s="224">
        <v>179</v>
      </c>
      <c r="R131" s="228" t="s">
        <v>302</v>
      </c>
    </row>
    <row r="132" spans="1:18" ht="17.45" customHeight="1" thickBot="1">
      <c r="A132" s="283"/>
      <c r="B132" s="284"/>
      <c r="C132" s="284"/>
      <c r="D132" s="284"/>
      <c r="E132" s="284"/>
      <c r="F132" s="284"/>
      <c r="G132" s="284"/>
      <c r="H132" s="284"/>
      <c r="I132" s="284"/>
      <c r="J132" s="284"/>
      <c r="K132" s="284"/>
      <c r="L132" s="284"/>
      <c r="M132" s="284"/>
      <c r="N132" s="284"/>
      <c r="O132" s="284"/>
      <c r="P132" s="284"/>
      <c r="Q132" s="284"/>
      <c r="R132" s="285"/>
    </row>
    <row r="133" spans="1:18" ht="22.15" customHeight="1" thickTop="1" thickBot="1">
      <c r="A133" s="279" t="s">
        <v>6</v>
      </c>
      <c r="B133" s="295"/>
      <c r="C133" s="295"/>
      <c r="D133" s="295"/>
      <c r="E133" s="295"/>
      <c r="F133" s="296"/>
      <c r="G133" s="32">
        <v>46053</v>
      </c>
      <c r="H133" s="278" t="s">
        <v>7</v>
      </c>
      <c r="I133" s="295"/>
      <c r="J133" s="295"/>
      <c r="K133" s="295"/>
      <c r="L133" s="295"/>
      <c r="M133" s="295"/>
      <c r="N133" s="295"/>
      <c r="O133" s="295"/>
      <c r="P133" s="295"/>
      <c r="Q133" s="295"/>
      <c r="R133" s="296"/>
    </row>
    <row r="134" spans="1:18" ht="24" customHeight="1">
      <c r="A134" s="33" t="s">
        <v>8</v>
      </c>
      <c r="B134" s="33" t="s">
        <v>9</v>
      </c>
      <c r="C134" s="34" t="s">
        <v>10</v>
      </c>
      <c r="D134" s="33" t="s">
        <v>11</v>
      </c>
      <c r="E134" s="33" t="s">
        <v>12</v>
      </c>
      <c r="F134" s="35" t="s">
        <v>13</v>
      </c>
      <c r="G134" s="36" t="s">
        <v>14</v>
      </c>
      <c r="H134" s="33" t="s">
        <v>15</v>
      </c>
      <c r="I134" s="37" t="s">
        <v>16</v>
      </c>
      <c r="J134" s="38" t="s">
        <v>17</v>
      </c>
      <c r="K134" s="39" t="s">
        <v>18</v>
      </c>
      <c r="L134" s="38" t="s">
        <v>19</v>
      </c>
      <c r="M134" s="38" t="s">
        <v>20</v>
      </c>
      <c r="N134" s="38" t="s">
        <v>21</v>
      </c>
      <c r="O134" s="33" t="s">
        <v>22</v>
      </c>
      <c r="P134" s="34" t="s">
        <v>23</v>
      </c>
      <c r="Q134" s="38" t="s">
        <v>24</v>
      </c>
      <c r="R134" s="33" t="s">
        <v>25</v>
      </c>
    </row>
    <row r="135" spans="1:18" ht="49.9" customHeight="1">
      <c r="A135" s="40" t="s">
        <v>61</v>
      </c>
      <c r="B135" s="40" t="s">
        <v>1214</v>
      </c>
      <c r="C135" s="41">
        <v>0.125</v>
      </c>
      <c r="D135" s="40" t="s">
        <v>63</v>
      </c>
      <c r="E135" s="40" t="s">
        <v>51</v>
      </c>
      <c r="F135" s="40" t="s">
        <v>1219</v>
      </c>
      <c r="G135" s="302"/>
      <c r="H135" s="249" t="s">
        <v>1215</v>
      </c>
      <c r="I135" s="250">
        <v>5.5999999999999999E-3</v>
      </c>
      <c r="J135" s="251">
        <v>1</v>
      </c>
      <c r="K135" s="252">
        <v>46317</v>
      </c>
      <c r="L135" s="251">
        <v>1</v>
      </c>
      <c r="M135" s="251">
        <v>0</v>
      </c>
      <c r="N135" s="251">
        <v>0</v>
      </c>
      <c r="O135" s="253" t="s">
        <v>877</v>
      </c>
      <c r="P135" s="254">
        <v>0.125</v>
      </c>
      <c r="Q135" s="251">
        <v>179</v>
      </c>
      <c r="R135" s="255" t="s">
        <v>302</v>
      </c>
    </row>
  </sheetData>
  <mergeCells count="130">
    <mergeCell ref="H1:L1"/>
    <mergeCell ref="A1:E1"/>
    <mergeCell ref="H103:R103"/>
    <mergeCell ref="G41"/>
    <mergeCell ref="H55:R55"/>
    <mergeCell ref="A55:F55"/>
    <mergeCell ref="H9:R9"/>
    <mergeCell ref="A47:F47"/>
    <mergeCell ref="H39:R39"/>
    <mergeCell ref="G87:G88"/>
    <mergeCell ref="A33:R33"/>
    <mergeCell ref="A42:R42"/>
    <mergeCell ref="A81:F81"/>
    <mergeCell ref="A13:F13"/>
    <mergeCell ref="H81:R81"/>
    <mergeCell ref="G19"/>
    <mergeCell ref="G101"/>
    <mergeCell ref="A64:F64"/>
    <mergeCell ref="H13:R13"/>
    <mergeCell ref="A73:F73"/>
    <mergeCell ref="A51:F51"/>
    <mergeCell ref="A107:F107"/>
    <mergeCell ref="H47:R47"/>
    <mergeCell ref="A59:R59"/>
    <mergeCell ref="A60:F60"/>
    <mergeCell ref="G83"/>
    <mergeCell ref="G92"/>
    <mergeCell ref="A98:R98"/>
    <mergeCell ref="G32"/>
    <mergeCell ref="A21:F21"/>
    <mergeCell ref="G15"/>
    <mergeCell ref="A25:F25"/>
    <mergeCell ref="G79"/>
    <mergeCell ref="A16:R16"/>
    <mergeCell ref="G105"/>
    <mergeCell ref="H120:R120"/>
    <mergeCell ref="A124:F124"/>
    <mergeCell ref="H107:R107"/>
    <mergeCell ref="G36:G37"/>
    <mergeCell ref="A99:F99"/>
    <mergeCell ref="A54:R54"/>
    <mergeCell ref="G117:G118"/>
    <mergeCell ref="G135"/>
    <mergeCell ref="A46:R46"/>
    <mergeCell ref="G113"/>
    <mergeCell ref="A128:R128"/>
    <mergeCell ref="H43:R43"/>
    <mergeCell ref="G109"/>
    <mergeCell ref="A80:R80"/>
    <mergeCell ref="A89:R89"/>
    <mergeCell ref="A132:R132"/>
    <mergeCell ref="G66:G67"/>
    <mergeCell ref="A84:R84"/>
    <mergeCell ref="A120:F120"/>
    <mergeCell ref="A69:F69"/>
    <mergeCell ref="A133:F133"/>
    <mergeCell ref="H129:R129"/>
    <mergeCell ref="G122"/>
    <mergeCell ref="A2:F2"/>
    <mergeCell ref="A85:F85"/>
    <mergeCell ref="H25:R25"/>
    <mergeCell ref="H34:R34"/>
    <mergeCell ref="A76:R76"/>
    <mergeCell ref="H133:R133"/>
    <mergeCell ref="G71"/>
    <mergeCell ref="A8:R8"/>
    <mergeCell ref="H85:R85"/>
    <mergeCell ref="H94:R94"/>
    <mergeCell ref="H17:R17"/>
    <mergeCell ref="H69:R69"/>
    <mergeCell ref="A63:R63"/>
    <mergeCell ref="A9:F9"/>
    <mergeCell ref="A93:R93"/>
    <mergeCell ref="A68:R68"/>
    <mergeCell ref="A102:R102"/>
    <mergeCell ref="A30:F30"/>
    <mergeCell ref="H111:R111"/>
    <mergeCell ref="G53"/>
    <mergeCell ref="G27:G28"/>
    <mergeCell ref="G45"/>
    <mergeCell ref="A90:F90"/>
    <mergeCell ref="G126:G127"/>
    <mergeCell ref="A12:R12"/>
    <mergeCell ref="A129:F129"/>
    <mergeCell ref="G6:G7"/>
    <mergeCell ref="H60:R60"/>
    <mergeCell ref="G2:J2"/>
    <mergeCell ref="A17:F17"/>
    <mergeCell ref="A106:R106"/>
    <mergeCell ref="N1:R1"/>
    <mergeCell ref="G23"/>
    <mergeCell ref="A115:F115"/>
    <mergeCell ref="A111:F111"/>
    <mergeCell ref="K2:R2"/>
    <mergeCell ref="A34:F34"/>
    <mergeCell ref="A39:F39"/>
    <mergeCell ref="G62"/>
    <mergeCell ref="G49"/>
    <mergeCell ref="H77:R77"/>
    <mergeCell ref="A94:F94"/>
    <mergeCell ref="A103:F103"/>
    <mergeCell ref="A123:R123"/>
    <mergeCell ref="A110:R110"/>
    <mergeCell ref="A119:R119"/>
    <mergeCell ref="H30:R30"/>
    <mergeCell ref="G57:G58"/>
    <mergeCell ref="H4:R4"/>
    <mergeCell ref="A50:R50"/>
    <mergeCell ref="G131"/>
    <mergeCell ref="A3:R3"/>
    <mergeCell ref="G75"/>
    <mergeCell ref="H64:R64"/>
    <mergeCell ref="H21:R21"/>
    <mergeCell ref="H73:R73"/>
    <mergeCell ref="G11"/>
    <mergeCell ref="H51:R51"/>
    <mergeCell ref="A4:F4"/>
    <mergeCell ref="A43:F43"/>
    <mergeCell ref="A20:R20"/>
    <mergeCell ref="A72:R72"/>
    <mergeCell ref="A29:R29"/>
    <mergeCell ref="A38:R38"/>
    <mergeCell ref="H115:R115"/>
    <mergeCell ref="H90:R90"/>
    <mergeCell ref="H99:R99"/>
    <mergeCell ref="A77:F77"/>
    <mergeCell ref="A114:R114"/>
    <mergeCell ref="A24:R24"/>
    <mergeCell ref="G96:G97"/>
    <mergeCell ref="H124:R124"/>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J33"/>
  <sheetViews>
    <sheetView workbookViewId="0"/>
  </sheetViews>
  <sheetFormatPr defaultColWidth="8.85546875" defaultRowHeight="15.6" outlineLevelCol="1"/>
  <cols>
    <col min="1" max="1" width="11.5703125" style="266" bestFit="1" customWidth="1"/>
    <col min="2" max="2" width="9.7109375" style="266" bestFit="1" customWidth="1"/>
    <col min="3" max="3" width="6.7109375" style="266" bestFit="1" customWidth="1"/>
    <col min="4" max="4" width="5.5703125" style="266" bestFit="1" customWidth="1"/>
    <col min="5" max="5" width="8.140625" style="266" bestFit="1" customWidth="1"/>
    <col min="6" max="6" width="4.28515625" style="266" bestFit="1" customWidth="1"/>
    <col min="7" max="7" width="8.42578125" style="266" bestFit="1" customWidth="1"/>
    <col min="8" max="8" width="8.5703125" style="266" bestFit="1" customWidth="1"/>
    <col min="9"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6" width="3.85546875" style="266" bestFit="1" customWidth="1"/>
    <col min="27" max="27" width="4" style="266" bestFit="1" customWidth="1"/>
    <col min="28"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230</v>
      </c>
      <c r="B2" s="268">
        <v>46023</v>
      </c>
      <c r="C2" s="269" t="s">
        <v>1215</v>
      </c>
      <c r="D2" s="270" t="s">
        <v>563</v>
      </c>
      <c r="E2" s="269" t="s">
        <v>1213</v>
      </c>
      <c r="F2" s="269" t="s">
        <v>232</v>
      </c>
      <c r="G2" s="271">
        <v>2.7900000000000001E-2</v>
      </c>
      <c r="H2" s="272">
        <v>179</v>
      </c>
      <c r="I2" s="272">
        <v>5</v>
      </c>
      <c r="J2" s="272">
        <v>0</v>
      </c>
      <c r="K2" s="269" t="s">
        <v>233</v>
      </c>
      <c r="L2" s="273">
        <v>46337</v>
      </c>
      <c r="M2" s="272">
        <v>0</v>
      </c>
      <c r="N2" s="272">
        <v>0</v>
      </c>
      <c r="O2" s="272">
        <v>5</v>
      </c>
      <c r="P2" s="269" t="s">
        <v>549</v>
      </c>
      <c r="Q2" s="265"/>
      <c r="R2" s="265"/>
      <c r="S2" s="265"/>
      <c r="T2" s="265"/>
      <c r="U2" s="265"/>
      <c r="V2" s="265"/>
      <c r="W2" s="265"/>
      <c r="X2" s="265"/>
      <c r="Y2" s="265"/>
      <c r="Z2" s="265"/>
      <c r="AA2" s="265"/>
      <c r="AB2" s="272" t="s">
        <v>184</v>
      </c>
      <c r="AC2" s="272" t="s">
        <v>298</v>
      </c>
      <c r="AD2" s="265"/>
      <c r="AE2" s="265"/>
      <c r="AF2" s="265"/>
      <c r="AG2" s="265"/>
      <c r="AH2" s="265"/>
      <c r="AI2" s="265"/>
      <c r="AJ2" s="265"/>
    </row>
    <row r="3" spans="1:36">
      <c r="A3" s="267" t="s">
        <v>560</v>
      </c>
      <c r="B3" s="268">
        <v>46024</v>
      </c>
      <c r="C3" s="269" t="s">
        <v>1215</v>
      </c>
      <c r="D3" s="270" t="s">
        <v>751</v>
      </c>
      <c r="E3" s="269" t="s">
        <v>1213</v>
      </c>
      <c r="F3" s="269" t="s">
        <v>232</v>
      </c>
      <c r="G3" s="271">
        <v>2.23E-2</v>
      </c>
      <c r="H3" s="272">
        <v>179</v>
      </c>
      <c r="I3" s="272">
        <v>4</v>
      </c>
      <c r="J3" s="272">
        <v>0</v>
      </c>
      <c r="K3" s="269" t="s">
        <v>233</v>
      </c>
      <c r="L3" s="273">
        <v>46343</v>
      </c>
      <c r="M3" s="272">
        <v>0</v>
      </c>
      <c r="N3" s="272">
        <v>0</v>
      </c>
      <c r="O3" s="272">
        <v>4</v>
      </c>
      <c r="P3" s="269" t="s">
        <v>877</v>
      </c>
      <c r="Q3" s="265"/>
      <c r="R3" s="265"/>
      <c r="S3" s="265"/>
      <c r="T3" s="265"/>
      <c r="U3" s="265"/>
      <c r="V3" s="265"/>
      <c r="W3" s="265"/>
      <c r="X3" s="265"/>
      <c r="Y3" s="265"/>
      <c r="Z3" s="265"/>
      <c r="AA3" s="265"/>
      <c r="AB3" s="272" t="s">
        <v>164</v>
      </c>
      <c r="AC3" s="272" t="s">
        <v>298</v>
      </c>
      <c r="AD3" s="265"/>
      <c r="AE3" s="265"/>
      <c r="AF3" s="265"/>
      <c r="AG3" s="265"/>
      <c r="AH3" s="265"/>
      <c r="AI3" s="265"/>
      <c r="AJ3" s="265"/>
    </row>
    <row r="4" spans="1:36">
      <c r="A4" s="267" t="s">
        <v>234</v>
      </c>
      <c r="B4" s="268">
        <v>46025</v>
      </c>
      <c r="C4" s="269" t="s">
        <v>1215</v>
      </c>
      <c r="D4" s="270" t="s">
        <v>336</v>
      </c>
      <c r="E4" s="269" t="s">
        <v>1213</v>
      </c>
      <c r="F4" s="269" t="s">
        <v>232</v>
      </c>
      <c r="G4" s="271">
        <v>6.7000000000000004E-2</v>
      </c>
      <c r="H4" s="272">
        <v>179</v>
      </c>
      <c r="I4" s="272">
        <v>12</v>
      </c>
      <c r="J4" s="272">
        <v>0</v>
      </c>
      <c r="K4" s="269" t="s">
        <v>233</v>
      </c>
      <c r="L4" s="273">
        <v>46339</v>
      </c>
      <c r="M4" s="272">
        <v>0</v>
      </c>
      <c r="N4" s="272">
        <v>0</v>
      </c>
      <c r="O4" s="272">
        <v>12</v>
      </c>
      <c r="P4" s="269" t="s">
        <v>67</v>
      </c>
      <c r="Q4" s="265"/>
      <c r="R4" s="265"/>
      <c r="S4" s="265"/>
      <c r="T4" s="265"/>
      <c r="U4" s="265"/>
      <c r="V4" s="272" t="s">
        <v>976</v>
      </c>
      <c r="W4" s="265"/>
      <c r="X4" s="265"/>
      <c r="Y4" s="265"/>
      <c r="Z4" s="265"/>
      <c r="AA4" s="272" t="s">
        <v>310</v>
      </c>
      <c r="AB4" s="272" t="s">
        <v>300</v>
      </c>
      <c r="AC4" s="272" t="s">
        <v>298</v>
      </c>
      <c r="AD4" s="265"/>
      <c r="AE4" s="265"/>
      <c r="AF4" s="265"/>
      <c r="AG4" s="265"/>
      <c r="AH4" s="265"/>
      <c r="AI4" s="265"/>
      <c r="AJ4" s="265"/>
    </row>
    <row r="5" spans="1:36">
      <c r="A5" s="267" t="s">
        <v>236</v>
      </c>
      <c r="B5" s="268">
        <v>46026</v>
      </c>
      <c r="C5" s="269" t="s">
        <v>1215</v>
      </c>
      <c r="D5" s="270" t="s">
        <v>1236</v>
      </c>
      <c r="E5" s="269" t="s">
        <v>1213</v>
      </c>
      <c r="F5" s="269" t="s">
        <v>232</v>
      </c>
      <c r="G5" s="271">
        <v>5.0299999999999997E-2</v>
      </c>
      <c r="H5" s="272">
        <v>179</v>
      </c>
      <c r="I5" s="272">
        <v>9</v>
      </c>
      <c r="J5" s="272">
        <v>0</v>
      </c>
      <c r="K5" s="269" t="s">
        <v>233</v>
      </c>
      <c r="L5" s="273">
        <v>46344</v>
      </c>
      <c r="M5" s="272">
        <v>0</v>
      </c>
      <c r="N5" s="272">
        <v>0</v>
      </c>
      <c r="O5" s="272">
        <v>9</v>
      </c>
      <c r="P5" s="269" t="s">
        <v>819</v>
      </c>
      <c r="Q5" s="265"/>
      <c r="R5" s="265"/>
      <c r="S5" s="265"/>
      <c r="T5" s="265"/>
      <c r="U5" s="265"/>
      <c r="V5" s="265"/>
      <c r="W5" s="265"/>
      <c r="X5" s="265"/>
      <c r="Y5" s="265"/>
      <c r="Z5" s="265"/>
      <c r="AA5" s="265"/>
      <c r="AB5" s="272" t="s">
        <v>164</v>
      </c>
      <c r="AC5" s="272" t="s">
        <v>298</v>
      </c>
      <c r="AD5" s="265"/>
      <c r="AE5" s="265"/>
      <c r="AF5" s="272" t="s">
        <v>591</v>
      </c>
      <c r="AG5" s="265"/>
      <c r="AH5" s="265"/>
      <c r="AI5" s="265"/>
      <c r="AJ5" s="265"/>
    </row>
    <row r="6" spans="1:36">
      <c r="A6" s="267" t="s">
        <v>240</v>
      </c>
      <c r="B6" s="268">
        <v>46027</v>
      </c>
      <c r="C6" s="269" t="s">
        <v>1215</v>
      </c>
      <c r="D6" s="270" t="s">
        <v>751</v>
      </c>
      <c r="E6" s="269" t="s">
        <v>1213</v>
      </c>
      <c r="F6" s="269" t="s">
        <v>232</v>
      </c>
      <c r="G6" s="271">
        <v>4.4699999999999997E-2</v>
      </c>
      <c r="H6" s="272">
        <v>179</v>
      </c>
      <c r="I6" s="272">
        <v>8</v>
      </c>
      <c r="J6" s="272">
        <v>0</v>
      </c>
      <c r="K6" s="269" t="s">
        <v>233</v>
      </c>
      <c r="L6" s="273">
        <v>46343</v>
      </c>
      <c r="M6" s="272">
        <v>0</v>
      </c>
      <c r="N6" s="272">
        <v>0</v>
      </c>
      <c r="O6" s="272">
        <v>8</v>
      </c>
      <c r="P6" s="269" t="s">
        <v>374</v>
      </c>
      <c r="Q6" s="265"/>
      <c r="R6" s="265"/>
      <c r="S6" s="265"/>
      <c r="T6" s="265"/>
      <c r="U6" s="265"/>
      <c r="V6" s="265"/>
      <c r="W6" s="265"/>
      <c r="X6" s="265"/>
      <c r="Y6" s="265"/>
      <c r="Z6" s="265"/>
      <c r="AA6" s="272" t="s">
        <v>686</v>
      </c>
      <c r="AB6" s="272" t="s">
        <v>300</v>
      </c>
      <c r="AC6" s="272" t="s">
        <v>298</v>
      </c>
      <c r="AD6" s="265"/>
      <c r="AE6" s="265"/>
      <c r="AF6" s="272" t="s">
        <v>244</v>
      </c>
      <c r="AG6" s="265"/>
      <c r="AH6" s="265"/>
      <c r="AI6" s="265"/>
      <c r="AJ6" s="265"/>
    </row>
    <row r="7" spans="1:36">
      <c r="A7" s="267" t="s">
        <v>242</v>
      </c>
      <c r="B7" s="268">
        <v>46028</v>
      </c>
      <c r="C7" s="269" t="s">
        <v>1215</v>
      </c>
      <c r="D7" s="270" t="s">
        <v>1237</v>
      </c>
      <c r="E7" s="269" t="s">
        <v>1213</v>
      </c>
      <c r="F7" s="269" t="s">
        <v>232</v>
      </c>
      <c r="G7" s="271">
        <v>2.23E-2</v>
      </c>
      <c r="H7" s="272">
        <v>179</v>
      </c>
      <c r="I7" s="272">
        <v>4</v>
      </c>
      <c r="J7" s="272">
        <v>0</v>
      </c>
      <c r="K7" s="269" t="s">
        <v>233</v>
      </c>
      <c r="L7" s="273">
        <v>46326</v>
      </c>
      <c r="M7" s="272">
        <v>0</v>
      </c>
      <c r="N7" s="272">
        <v>0</v>
      </c>
      <c r="O7" s="272">
        <v>4</v>
      </c>
      <c r="P7" s="269" t="s">
        <v>549</v>
      </c>
      <c r="Q7" s="265"/>
      <c r="R7" s="265"/>
      <c r="S7" s="265"/>
      <c r="T7" s="265"/>
      <c r="U7" s="265"/>
      <c r="V7" s="265"/>
      <c r="W7" s="265"/>
      <c r="X7" s="265"/>
      <c r="Y7" s="265"/>
      <c r="Z7" s="265"/>
      <c r="AA7" s="265"/>
      <c r="AB7" s="272" t="s">
        <v>164</v>
      </c>
      <c r="AC7" s="272" t="s">
        <v>298</v>
      </c>
      <c r="AD7" s="265"/>
      <c r="AE7" s="265"/>
      <c r="AF7" s="265"/>
      <c r="AG7" s="265"/>
      <c r="AH7" s="265"/>
      <c r="AI7" s="265"/>
      <c r="AJ7" s="265"/>
    </row>
    <row r="8" spans="1:36">
      <c r="A8" s="267" t="s">
        <v>315</v>
      </c>
      <c r="B8" s="268">
        <v>46029</v>
      </c>
      <c r="C8" s="269" t="s">
        <v>1215</v>
      </c>
      <c r="D8" s="270" t="s">
        <v>1238</v>
      </c>
      <c r="E8" s="269" t="s">
        <v>1213</v>
      </c>
      <c r="F8" s="269" t="s">
        <v>232</v>
      </c>
      <c r="G8" s="271">
        <v>2.7900000000000001E-2</v>
      </c>
      <c r="H8" s="272">
        <v>179</v>
      </c>
      <c r="I8" s="272">
        <v>5</v>
      </c>
      <c r="J8" s="272">
        <v>0</v>
      </c>
      <c r="K8" s="269" t="s">
        <v>233</v>
      </c>
      <c r="L8" s="273">
        <v>46343</v>
      </c>
      <c r="M8" s="272">
        <v>0</v>
      </c>
      <c r="N8" s="272">
        <v>0</v>
      </c>
      <c r="O8" s="272">
        <v>5</v>
      </c>
      <c r="P8" s="269" t="s">
        <v>549</v>
      </c>
      <c r="Q8" s="265"/>
      <c r="R8" s="265"/>
      <c r="S8" s="265"/>
      <c r="T8" s="265"/>
      <c r="U8" s="265"/>
      <c r="V8" s="265"/>
      <c r="W8" s="265"/>
      <c r="X8" s="265"/>
      <c r="Y8" s="265"/>
      <c r="Z8" s="265"/>
      <c r="AA8" s="265"/>
      <c r="AB8" s="272" t="s">
        <v>184</v>
      </c>
      <c r="AC8" s="272" t="s">
        <v>298</v>
      </c>
      <c r="AD8" s="265"/>
      <c r="AE8" s="265"/>
      <c r="AF8" s="265"/>
      <c r="AG8" s="265"/>
      <c r="AH8" s="265"/>
      <c r="AI8" s="265"/>
      <c r="AJ8" s="265"/>
    </row>
    <row r="9" spans="1:36">
      <c r="A9" s="267" t="s">
        <v>230</v>
      </c>
      <c r="B9" s="268">
        <v>46030</v>
      </c>
      <c r="C9" s="269" t="s">
        <v>1215</v>
      </c>
      <c r="D9" s="270" t="s">
        <v>563</v>
      </c>
      <c r="E9" s="269" t="s">
        <v>1213</v>
      </c>
      <c r="F9" s="269" t="s">
        <v>232</v>
      </c>
      <c r="G9" s="271">
        <v>1.12E-2</v>
      </c>
      <c r="H9" s="272">
        <v>179</v>
      </c>
      <c r="I9" s="272">
        <v>2</v>
      </c>
      <c r="J9" s="272">
        <v>0</v>
      </c>
      <c r="K9" s="269" t="s">
        <v>233</v>
      </c>
      <c r="L9" s="273">
        <v>46326</v>
      </c>
      <c r="M9" s="272">
        <v>0</v>
      </c>
      <c r="N9" s="272">
        <v>0</v>
      </c>
      <c r="O9" s="272">
        <v>2</v>
      </c>
      <c r="P9" s="269" t="s">
        <v>549</v>
      </c>
      <c r="Q9" s="265"/>
      <c r="R9" s="265"/>
      <c r="S9" s="265"/>
      <c r="T9" s="265"/>
      <c r="U9" s="265"/>
      <c r="V9" s="265"/>
      <c r="W9" s="265"/>
      <c r="X9" s="265"/>
      <c r="Y9" s="265"/>
      <c r="Z9" s="265"/>
      <c r="AA9" s="265"/>
      <c r="AB9" s="265"/>
      <c r="AC9" s="272" t="s">
        <v>298</v>
      </c>
      <c r="AD9" s="265"/>
      <c r="AE9" s="265"/>
      <c r="AF9" s="265"/>
      <c r="AG9" s="265"/>
      <c r="AH9" s="265"/>
      <c r="AI9" s="265"/>
      <c r="AJ9" s="265"/>
    </row>
    <row r="10" spans="1:36">
      <c r="A10" s="267" t="s">
        <v>560</v>
      </c>
      <c r="B10" s="268">
        <v>46031</v>
      </c>
      <c r="C10" s="269" t="s">
        <v>1215</v>
      </c>
      <c r="D10" s="270" t="s">
        <v>751</v>
      </c>
      <c r="E10" s="269" t="s">
        <v>1213</v>
      </c>
      <c r="F10" s="269" t="s">
        <v>232</v>
      </c>
      <c r="G10" s="271">
        <v>2.23E-2</v>
      </c>
      <c r="H10" s="272">
        <v>179</v>
      </c>
      <c r="I10" s="272">
        <v>4</v>
      </c>
      <c r="J10" s="272">
        <v>0</v>
      </c>
      <c r="K10" s="269" t="s">
        <v>233</v>
      </c>
      <c r="L10" s="273">
        <v>46343</v>
      </c>
      <c r="M10" s="272">
        <v>0</v>
      </c>
      <c r="N10" s="272">
        <v>0</v>
      </c>
      <c r="O10" s="272">
        <v>4</v>
      </c>
      <c r="P10" s="269" t="s">
        <v>549</v>
      </c>
      <c r="Q10" s="265"/>
      <c r="R10" s="265"/>
      <c r="S10" s="265"/>
      <c r="T10" s="265"/>
      <c r="U10" s="265"/>
      <c r="V10" s="265"/>
      <c r="W10" s="265"/>
      <c r="X10" s="265"/>
      <c r="Y10" s="265"/>
      <c r="Z10" s="265"/>
      <c r="AA10" s="265"/>
      <c r="AB10" s="272" t="s">
        <v>128</v>
      </c>
      <c r="AC10" s="272" t="s">
        <v>298</v>
      </c>
      <c r="AD10" s="272" t="s">
        <v>430</v>
      </c>
      <c r="AE10" s="265"/>
      <c r="AF10" s="265"/>
      <c r="AG10" s="265"/>
      <c r="AH10" s="265"/>
      <c r="AI10" s="265"/>
      <c r="AJ10" s="265"/>
    </row>
    <row r="11" spans="1:36">
      <c r="A11" s="267" t="s">
        <v>234</v>
      </c>
      <c r="B11" s="268">
        <v>46032</v>
      </c>
      <c r="C11" s="269" t="s">
        <v>1215</v>
      </c>
      <c r="D11" s="270" t="s">
        <v>336</v>
      </c>
      <c r="E11" s="269" t="s">
        <v>1213</v>
      </c>
      <c r="F11" s="269" t="s">
        <v>232</v>
      </c>
      <c r="G11" s="271">
        <v>3.9100000000000003E-2</v>
      </c>
      <c r="H11" s="272">
        <v>179</v>
      </c>
      <c r="I11" s="272">
        <v>7</v>
      </c>
      <c r="J11" s="272">
        <v>0</v>
      </c>
      <c r="K11" s="269" t="s">
        <v>233</v>
      </c>
      <c r="L11" s="273">
        <v>46335</v>
      </c>
      <c r="M11" s="272">
        <v>0</v>
      </c>
      <c r="N11" s="272">
        <v>0</v>
      </c>
      <c r="O11" s="272">
        <v>7</v>
      </c>
      <c r="P11" s="269" t="s">
        <v>292</v>
      </c>
      <c r="Q11" s="265"/>
      <c r="R11" s="265"/>
      <c r="S11" s="265"/>
      <c r="T11" s="265"/>
      <c r="U11" s="265"/>
      <c r="V11" s="265"/>
      <c r="W11" s="265"/>
      <c r="X11" s="265"/>
      <c r="Y11" s="265"/>
      <c r="Z11" s="272" t="s">
        <v>174</v>
      </c>
      <c r="AA11" s="265"/>
      <c r="AB11" s="272" t="s">
        <v>300</v>
      </c>
      <c r="AC11" s="272" t="s">
        <v>298</v>
      </c>
      <c r="AD11" s="265"/>
      <c r="AE11" s="265"/>
      <c r="AF11" s="265"/>
      <c r="AG11" s="265"/>
      <c r="AH11" s="265"/>
      <c r="AI11" s="265"/>
      <c r="AJ11" s="265"/>
    </row>
    <row r="12" spans="1:36">
      <c r="A12" s="267" t="s">
        <v>236</v>
      </c>
      <c r="B12" s="268">
        <v>46033</v>
      </c>
      <c r="C12" s="269" t="s">
        <v>1215</v>
      </c>
      <c r="D12" s="270" t="s">
        <v>1236</v>
      </c>
      <c r="E12" s="269" t="s">
        <v>1213</v>
      </c>
      <c r="F12" s="269" t="s">
        <v>232</v>
      </c>
      <c r="G12" s="271">
        <v>3.3500000000000002E-2</v>
      </c>
      <c r="H12" s="272">
        <v>179</v>
      </c>
      <c r="I12" s="272">
        <v>6</v>
      </c>
      <c r="J12" s="272">
        <v>0</v>
      </c>
      <c r="K12" s="269" t="s">
        <v>233</v>
      </c>
      <c r="L12" s="273">
        <v>46343</v>
      </c>
      <c r="M12" s="272">
        <v>0</v>
      </c>
      <c r="N12" s="272">
        <v>0</v>
      </c>
      <c r="O12" s="272">
        <v>6</v>
      </c>
      <c r="P12" s="269" t="s">
        <v>549</v>
      </c>
      <c r="Q12" s="265"/>
      <c r="R12" s="265"/>
      <c r="S12" s="265"/>
      <c r="T12" s="265"/>
      <c r="U12" s="265"/>
      <c r="V12" s="265"/>
      <c r="W12" s="265"/>
      <c r="X12" s="265"/>
      <c r="Y12" s="265"/>
      <c r="Z12" s="265"/>
      <c r="AA12" s="265"/>
      <c r="AB12" s="272" t="s">
        <v>184</v>
      </c>
      <c r="AC12" s="272" t="s">
        <v>298</v>
      </c>
      <c r="AD12" s="272" t="s">
        <v>430</v>
      </c>
      <c r="AE12" s="265"/>
      <c r="AF12" s="265"/>
      <c r="AG12" s="265"/>
      <c r="AH12" s="265"/>
      <c r="AI12" s="265"/>
      <c r="AJ12" s="265"/>
    </row>
    <row r="13" spans="1:36">
      <c r="A13" s="267" t="s">
        <v>240</v>
      </c>
      <c r="B13" s="268">
        <v>46034</v>
      </c>
      <c r="C13" s="269" t="s">
        <v>1215</v>
      </c>
      <c r="D13" s="270" t="s">
        <v>751</v>
      </c>
      <c r="E13" s="269" t="s">
        <v>1213</v>
      </c>
      <c r="F13" s="269" t="s">
        <v>232</v>
      </c>
      <c r="G13" s="271">
        <v>5.5999999999999999E-3</v>
      </c>
      <c r="H13" s="272">
        <v>179</v>
      </c>
      <c r="I13" s="272">
        <v>1</v>
      </c>
      <c r="J13" s="272">
        <v>0</v>
      </c>
      <c r="K13" s="269" t="s">
        <v>233</v>
      </c>
      <c r="L13" s="273">
        <v>46266</v>
      </c>
      <c r="M13" s="272">
        <v>0</v>
      </c>
      <c r="N13" s="272">
        <v>0</v>
      </c>
      <c r="O13" s="272">
        <v>1</v>
      </c>
      <c r="P13" s="269" t="s">
        <v>877</v>
      </c>
      <c r="Q13" s="265"/>
      <c r="R13" s="265"/>
      <c r="S13" s="265"/>
      <c r="T13" s="265"/>
      <c r="U13" s="265"/>
      <c r="V13" s="265"/>
      <c r="W13" s="265"/>
      <c r="X13" s="265"/>
      <c r="Y13" s="265"/>
      <c r="Z13" s="265"/>
      <c r="AA13" s="265"/>
      <c r="AB13" s="265"/>
      <c r="AC13" s="272" t="s">
        <v>302</v>
      </c>
      <c r="AD13" s="265"/>
      <c r="AE13" s="265"/>
      <c r="AF13" s="265"/>
      <c r="AG13" s="265"/>
      <c r="AH13" s="265"/>
      <c r="AI13" s="265"/>
      <c r="AJ13" s="265"/>
    </row>
    <row r="14" spans="1:36">
      <c r="A14" s="267" t="s">
        <v>242</v>
      </c>
      <c r="B14" s="268">
        <v>46035</v>
      </c>
      <c r="C14" s="269" t="s">
        <v>1215</v>
      </c>
      <c r="D14" s="270" t="s">
        <v>1237</v>
      </c>
      <c r="E14" s="269" t="s">
        <v>1213</v>
      </c>
      <c r="F14" s="269" t="s">
        <v>232</v>
      </c>
      <c r="G14" s="271">
        <v>1.12E-2</v>
      </c>
      <c r="H14" s="272">
        <v>179</v>
      </c>
      <c r="I14" s="272">
        <v>2</v>
      </c>
      <c r="J14" s="272">
        <v>0</v>
      </c>
      <c r="K14" s="269" t="s">
        <v>233</v>
      </c>
      <c r="L14" s="273">
        <v>46338</v>
      </c>
      <c r="M14" s="272">
        <v>0</v>
      </c>
      <c r="N14" s="272">
        <v>0</v>
      </c>
      <c r="O14" s="272">
        <v>2</v>
      </c>
      <c r="P14" s="269" t="s">
        <v>877</v>
      </c>
      <c r="Q14" s="265"/>
      <c r="R14" s="265"/>
      <c r="S14" s="265"/>
      <c r="T14" s="265"/>
      <c r="U14" s="265"/>
      <c r="V14" s="265"/>
      <c r="W14" s="265"/>
      <c r="X14" s="265"/>
      <c r="Y14" s="265"/>
      <c r="Z14" s="265"/>
      <c r="AA14" s="265"/>
      <c r="AB14" s="272" t="s">
        <v>128</v>
      </c>
      <c r="AC14" s="272" t="s">
        <v>302</v>
      </c>
      <c r="AD14" s="265"/>
      <c r="AE14" s="265"/>
      <c r="AF14" s="265"/>
      <c r="AG14" s="265"/>
      <c r="AH14" s="265"/>
      <c r="AI14" s="265"/>
      <c r="AJ14" s="265"/>
    </row>
    <row r="15" spans="1:36">
      <c r="A15" s="267" t="s">
        <v>315</v>
      </c>
      <c r="B15" s="268">
        <v>46036</v>
      </c>
      <c r="C15" s="269" t="s">
        <v>1215</v>
      </c>
      <c r="D15" s="270" t="s">
        <v>1238</v>
      </c>
      <c r="E15" s="269" t="s">
        <v>1213</v>
      </c>
      <c r="F15" s="269" t="s">
        <v>232</v>
      </c>
      <c r="G15" s="271">
        <v>1.6799999999999999E-2</v>
      </c>
      <c r="H15" s="272">
        <v>179</v>
      </c>
      <c r="I15" s="272">
        <v>3</v>
      </c>
      <c r="J15" s="272">
        <v>0</v>
      </c>
      <c r="K15" s="269" t="s">
        <v>233</v>
      </c>
      <c r="L15" s="273">
        <v>46328</v>
      </c>
      <c r="M15" s="272">
        <v>0</v>
      </c>
      <c r="N15" s="272">
        <v>0</v>
      </c>
      <c r="O15" s="272">
        <v>3</v>
      </c>
      <c r="P15" s="269" t="s">
        <v>549</v>
      </c>
      <c r="Q15" s="265"/>
      <c r="R15" s="265"/>
      <c r="S15" s="265"/>
      <c r="T15" s="265"/>
      <c r="U15" s="265"/>
      <c r="V15" s="265"/>
      <c r="W15" s="265"/>
      <c r="X15" s="265"/>
      <c r="Y15" s="265"/>
      <c r="Z15" s="265"/>
      <c r="AA15" s="265"/>
      <c r="AB15" s="272" t="s">
        <v>128</v>
      </c>
      <c r="AC15" s="272" t="s">
        <v>298</v>
      </c>
      <c r="AD15" s="265"/>
      <c r="AE15" s="265"/>
      <c r="AF15" s="265"/>
      <c r="AG15" s="265"/>
      <c r="AH15" s="265"/>
      <c r="AI15" s="265"/>
      <c r="AJ15" s="265"/>
    </row>
    <row r="16" spans="1:36">
      <c r="A16" s="267" t="s">
        <v>230</v>
      </c>
      <c r="B16" s="268">
        <v>46037</v>
      </c>
      <c r="C16" s="269" t="s">
        <v>1215</v>
      </c>
      <c r="D16" s="270" t="s">
        <v>563</v>
      </c>
      <c r="E16" s="269" t="s">
        <v>1213</v>
      </c>
      <c r="F16" s="269" t="s">
        <v>232</v>
      </c>
      <c r="G16" s="271">
        <v>1.6799999999999999E-2</v>
      </c>
      <c r="H16" s="272">
        <v>179</v>
      </c>
      <c r="I16" s="272">
        <v>3</v>
      </c>
      <c r="J16" s="272">
        <v>0</v>
      </c>
      <c r="K16" s="269" t="s">
        <v>233</v>
      </c>
      <c r="L16" s="273">
        <v>46322</v>
      </c>
      <c r="M16" s="272">
        <v>0</v>
      </c>
      <c r="N16" s="272">
        <v>0</v>
      </c>
      <c r="O16" s="272">
        <v>3</v>
      </c>
      <c r="P16" s="269" t="s">
        <v>549</v>
      </c>
      <c r="Q16" s="265"/>
      <c r="R16" s="265"/>
      <c r="S16" s="265"/>
      <c r="T16" s="265"/>
      <c r="U16" s="265"/>
      <c r="V16" s="265"/>
      <c r="W16" s="265"/>
      <c r="X16" s="265"/>
      <c r="Y16" s="265"/>
      <c r="Z16" s="272" t="s">
        <v>174</v>
      </c>
      <c r="AA16" s="265"/>
      <c r="AB16" s="265"/>
      <c r="AC16" s="272" t="s">
        <v>298</v>
      </c>
      <c r="AD16" s="265"/>
      <c r="AE16" s="265"/>
      <c r="AF16" s="265"/>
      <c r="AG16" s="265"/>
      <c r="AH16" s="265"/>
      <c r="AI16" s="265"/>
      <c r="AJ16" s="265"/>
    </row>
    <row r="17" spans="1:36">
      <c r="A17" s="267" t="s">
        <v>560</v>
      </c>
      <c r="B17" s="268">
        <v>46038</v>
      </c>
      <c r="C17" s="269" t="s">
        <v>1215</v>
      </c>
      <c r="D17" s="270" t="s">
        <v>751</v>
      </c>
      <c r="E17" s="269" t="s">
        <v>1213</v>
      </c>
      <c r="F17" s="269" t="s">
        <v>232</v>
      </c>
      <c r="G17" s="271">
        <v>4.4699999999999997E-2</v>
      </c>
      <c r="H17" s="272">
        <v>179</v>
      </c>
      <c r="I17" s="272">
        <v>8</v>
      </c>
      <c r="J17" s="272">
        <v>0</v>
      </c>
      <c r="K17" s="269" t="s">
        <v>233</v>
      </c>
      <c r="L17" s="273">
        <v>46343</v>
      </c>
      <c r="M17" s="272">
        <v>0</v>
      </c>
      <c r="N17" s="272">
        <v>0</v>
      </c>
      <c r="O17" s="272">
        <v>8</v>
      </c>
      <c r="P17" s="269" t="s">
        <v>292</v>
      </c>
      <c r="Q17" s="265"/>
      <c r="R17" s="265"/>
      <c r="S17" s="265"/>
      <c r="T17" s="265"/>
      <c r="U17" s="265"/>
      <c r="V17" s="265"/>
      <c r="W17" s="265"/>
      <c r="X17" s="265"/>
      <c r="Y17" s="265"/>
      <c r="Z17" s="265"/>
      <c r="AA17" s="272" t="s">
        <v>686</v>
      </c>
      <c r="AB17" s="272" t="s">
        <v>300</v>
      </c>
      <c r="AC17" s="272" t="s">
        <v>304</v>
      </c>
      <c r="AD17" s="265"/>
      <c r="AE17" s="265"/>
      <c r="AF17" s="265"/>
      <c r="AG17" s="265"/>
      <c r="AH17" s="265"/>
      <c r="AI17" s="265"/>
      <c r="AJ17" s="265"/>
    </row>
    <row r="18" spans="1:36">
      <c r="A18" s="267" t="s">
        <v>234</v>
      </c>
      <c r="B18" s="268">
        <v>46039</v>
      </c>
      <c r="C18" s="269" t="s">
        <v>1215</v>
      </c>
      <c r="D18" s="270" t="s">
        <v>336</v>
      </c>
      <c r="E18" s="269" t="s">
        <v>1213</v>
      </c>
      <c r="F18" s="269" t="s">
        <v>232</v>
      </c>
      <c r="G18" s="271">
        <v>0.1061</v>
      </c>
      <c r="H18" s="272">
        <v>179</v>
      </c>
      <c r="I18" s="272">
        <v>19</v>
      </c>
      <c r="J18" s="272">
        <v>0</v>
      </c>
      <c r="K18" s="269" t="s">
        <v>233</v>
      </c>
      <c r="L18" s="273">
        <v>46343</v>
      </c>
      <c r="M18" s="272">
        <v>0</v>
      </c>
      <c r="N18" s="272">
        <v>0</v>
      </c>
      <c r="O18" s="272">
        <v>19</v>
      </c>
      <c r="P18" s="269" t="s">
        <v>307</v>
      </c>
      <c r="Q18" s="265"/>
      <c r="R18" s="265"/>
      <c r="S18" s="265"/>
      <c r="T18" s="265"/>
      <c r="U18" s="265"/>
      <c r="V18" s="265"/>
      <c r="W18" s="265"/>
      <c r="X18" s="265"/>
      <c r="Y18" s="265"/>
      <c r="Z18" s="272" t="s">
        <v>1029</v>
      </c>
      <c r="AA18" s="272" t="s">
        <v>686</v>
      </c>
      <c r="AB18" s="272" t="s">
        <v>300</v>
      </c>
      <c r="AC18" s="272" t="s">
        <v>301</v>
      </c>
      <c r="AD18" s="265"/>
      <c r="AE18" s="265"/>
      <c r="AF18" s="265"/>
      <c r="AG18" s="265"/>
      <c r="AH18" s="265"/>
      <c r="AI18" s="265"/>
      <c r="AJ18" s="265"/>
    </row>
    <row r="19" spans="1:36">
      <c r="A19" s="267" t="s">
        <v>236</v>
      </c>
      <c r="B19" s="268">
        <v>46040</v>
      </c>
      <c r="C19" s="269" t="s">
        <v>1215</v>
      </c>
      <c r="D19" s="270" t="s">
        <v>1236</v>
      </c>
      <c r="E19" s="269" t="s">
        <v>1213</v>
      </c>
      <c r="F19" s="269" t="s">
        <v>232</v>
      </c>
      <c r="G19" s="271">
        <v>8.3799999999999999E-2</v>
      </c>
      <c r="H19" s="272">
        <v>179</v>
      </c>
      <c r="I19" s="272">
        <v>15</v>
      </c>
      <c r="J19" s="272">
        <v>0</v>
      </c>
      <c r="K19" s="269" t="s">
        <v>233</v>
      </c>
      <c r="L19" s="273">
        <v>46344</v>
      </c>
      <c r="M19" s="272">
        <v>0</v>
      </c>
      <c r="N19" s="272">
        <v>0</v>
      </c>
      <c r="O19" s="272">
        <v>15</v>
      </c>
      <c r="P19" s="269" t="s">
        <v>471</v>
      </c>
      <c r="Q19" s="265"/>
      <c r="R19" s="265"/>
      <c r="S19" s="265"/>
      <c r="T19" s="265"/>
      <c r="U19" s="265"/>
      <c r="V19" s="265"/>
      <c r="W19" s="265"/>
      <c r="X19" s="265"/>
      <c r="Y19" s="265"/>
      <c r="Z19" s="272" t="s">
        <v>174</v>
      </c>
      <c r="AA19" s="272" t="s">
        <v>587</v>
      </c>
      <c r="AB19" s="272" t="s">
        <v>101</v>
      </c>
      <c r="AC19" s="272" t="s">
        <v>298</v>
      </c>
      <c r="AD19" s="265"/>
      <c r="AE19" s="265"/>
      <c r="AF19" s="265"/>
      <c r="AG19" s="265"/>
      <c r="AH19" s="265"/>
      <c r="AI19" s="265"/>
      <c r="AJ19" s="265"/>
    </row>
    <row r="20" spans="1:36">
      <c r="A20" s="267" t="s">
        <v>240</v>
      </c>
      <c r="B20" s="268">
        <v>46041</v>
      </c>
      <c r="C20" s="269" t="s">
        <v>1215</v>
      </c>
      <c r="D20" s="270" t="s">
        <v>751</v>
      </c>
      <c r="E20" s="269" t="s">
        <v>1213</v>
      </c>
      <c r="F20" s="269" t="s">
        <v>232</v>
      </c>
      <c r="G20" s="271">
        <v>1.12E-2</v>
      </c>
      <c r="H20" s="272">
        <v>179</v>
      </c>
      <c r="I20" s="272">
        <v>2</v>
      </c>
      <c r="J20" s="272">
        <v>0</v>
      </c>
      <c r="K20" s="269" t="s">
        <v>233</v>
      </c>
      <c r="L20" s="273">
        <v>46343</v>
      </c>
      <c r="M20" s="272">
        <v>0</v>
      </c>
      <c r="N20" s="272">
        <v>0</v>
      </c>
      <c r="O20" s="272">
        <v>2</v>
      </c>
      <c r="P20" s="269" t="s">
        <v>877</v>
      </c>
      <c r="Q20" s="265"/>
      <c r="R20" s="265"/>
      <c r="S20" s="265"/>
      <c r="T20" s="265"/>
      <c r="U20" s="265"/>
      <c r="V20" s="265"/>
      <c r="W20" s="265"/>
      <c r="X20" s="265"/>
      <c r="Y20" s="265"/>
      <c r="Z20" s="265"/>
      <c r="AA20" s="265"/>
      <c r="AB20" s="265"/>
      <c r="AC20" s="272" t="s">
        <v>298</v>
      </c>
      <c r="AD20" s="265"/>
      <c r="AE20" s="265"/>
      <c r="AF20" s="265"/>
      <c r="AG20" s="265"/>
      <c r="AH20" s="265"/>
      <c r="AI20" s="265"/>
      <c r="AJ20" s="265"/>
    </row>
    <row r="21" spans="1:36">
      <c r="A21" s="267" t="s">
        <v>242</v>
      </c>
      <c r="B21" s="268">
        <v>46042</v>
      </c>
      <c r="C21" s="269" t="s">
        <v>1215</v>
      </c>
      <c r="D21" s="270" t="s">
        <v>1237</v>
      </c>
      <c r="E21" s="269" t="s">
        <v>1213</v>
      </c>
      <c r="F21" s="269" t="s">
        <v>232</v>
      </c>
      <c r="G21" s="271">
        <v>2.23E-2</v>
      </c>
      <c r="H21" s="272">
        <v>179</v>
      </c>
      <c r="I21" s="272">
        <v>4</v>
      </c>
      <c r="J21" s="272">
        <v>0</v>
      </c>
      <c r="K21" s="269" t="s">
        <v>233</v>
      </c>
      <c r="L21" s="273">
        <v>46344</v>
      </c>
      <c r="M21" s="272">
        <v>0</v>
      </c>
      <c r="N21" s="272">
        <v>0</v>
      </c>
      <c r="O21" s="272">
        <v>4</v>
      </c>
      <c r="P21" s="269" t="s">
        <v>918</v>
      </c>
      <c r="Q21" s="265"/>
      <c r="R21" s="265"/>
      <c r="S21" s="265"/>
      <c r="T21" s="265"/>
      <c r="U21" s="265"/>
      <c r="V21" s="265"/>
      <c r="W21" s="265"/>
      <c r="X21" s="265"/>
      <c r="Y21" s="265"/>
      <c r="Z21" s="265"/>
      <c r="AA21" s="265"/>
      <c r="AB21" s="265"/>
      <c r="AC21" s="272" t="s">
        <v>302</v>
      </c>
      <c r="AD21" s="265"/>
      <c r="AE21" s="272" t="s">
        <v>967</v>
      </c>
      <c r="AF21" s="265"/>
      <c r="AG21" s="265"/>
      <c r="AH21" s="265"/>
      <c r="AI21" s="265"/>
      <c r="AJ21" s="265"/>
    </row>
    <row r="22" spans="1:36">
      <c r="A22" s="267" t="s">
        <v>315</v>
      </c>
      <c r="B22" s="268">
        <v>46043</v>
      </c>
      <c r="C22" s="269" t="s">
        <v>1215</v>
      </c>
      <c r="D22" s="270" t="s">
        <v>1238</v>
      </c>
      <c r="E22" s="269" t="s">
        <v>1213</v>
      </c>
      <c r="F22" s="269" t="s">
        <v>232</v>
      </c>
      <c r="G22" s="271">
        <v>1.12E-2</v>
      </c>
      <c r="H22" s="272">
        <v>179</v>
      </c>
      <c r="I22" s="272">
        <v>2</v>
      </c>
      <c r="J22" s="272">
        <v>0</v>
      </c>
      <c r="K22" s="269" t="s">
        <v>233</v>
      </c>
      <c r="L22" s="273">
        <v>46345</v>
      </c>
      <c r="M22" s="272">
        <v>0</v>
      </c>
      <c r="N22" s="272">
        <v>0</v>
      </c>
      <c r="O22" s="272">
        <v>2</v>
      </c>
      <c r="P22" s="269" t="s">
        <v>549</v>
      </c>
      <c r="Q22" s="265"/>
      <c r="R22" s="265"/>
      <c r="S22" s="265"/>
      <c r="T22" s="265"/>
      <c r="U22" s="265"/>
      <c r="V22" s="265"/>
      <c r="W22" s="265"/>
      <c r="X22" s="265"/>
      <c r="Y22" s="265"/>
      <c r="Z22" s="265"/>
      <c r="AA22" s="265"/>
      <c r="AB22" s="265"/>
      <c r="AC22" s="272" t="s">
        <v>302</v>
      </c>
      <c r="AD22" s="272" t="s">
        <v>430</v>
      </c>
      <c r="AE22" s="265"/>
      <c r="AF22" s="265"/>
      <c r="AG22" s="265"/>
      <c r="AH22" s="265"/>
      <c r="AI22" s="265"/>
      <c r="AJ22" s="265"/>
    </row>
    <row r="23" spans="1:36">
      <c r="A23" s="267" t="s">
        <v>230</v>
      </c>
      <c r="B23" s="268">
        <v>46044</v>
      </c>
      <c r="C23" s="269" t="s">
        <v>1215</v>
      </c>
      <c r="D23" s="270" t="s">
        <v>563</v>
      </c>
      <c r="E23" s="269" t="s">
        <v>1213</v>
      </c>
      <c r="F23" s="269" t="s">
        <v>232</v>
      </c>
      <c r="G23" s="271">
        <v>0</v>
      </c>
      <c r="H23" s="272">
        <v>179</v>
      </c>
      <c r="I23" s="272">
        <v>0</v>
      </c>
      <c r="J23" s="272">
        <v>0</v>
      </c>
      <c r="K23" s="269" t="s">
        <v>233</v>
      </c>
      <c r="L23" s="273" t="s">
        <v>66</v>
      </c>
      <c r="M23" s="272">
        <v>0</v>
      </c>
      <c r="N23" s="272">
        <v>0</v>
      </c>
      <c r="O23" s="272">
        <v>0</v>
      </c>
      <c r="P23" s="269" t="s">
        <v>877</v>
      </c>
      <c r="Q23" s="265"/>
      <c r="R23" s="265"/>
      <c r="S23" s="265"/>
      <c r="T23" s="265"/>
      <c r="U23" s="265"/>
      <c r="V23" s="265"/>
      <c r="W23" s="265"/>
      <c r="X23" s="265"/>
      <c r="Y23" s="265"/>
      <c r="Z23" s="265"/>
      <c r="AA23" s="265"/>
      <c r="AB23" s="265"/>
      <c r="AC23" s="265"/>
      <c r="AD23" s="265"/>
      <c r="AE23" s="265"/>
      <c r="AF23" s="265"/>
      <c r="AG23" s="265"/>
      <c r="AH23" s="265"/>
      <c r="AI23" s="265"/>
      <c r="AJ23" s="265"/>
    </row>
    <row r="24" spans="1:36">
      <c r="A24" s="267" t="s">
        <v>560</v>
      </c>
      <c r="B24" s="268">
        <v>46045</v>
      </c>
      <c r="C24" s="269" t="s">
        <v>1215</v>
      </c>
      <c r="D24" s="270" t="s">
        <v>751</v>
      </c>
      <c r="E24" s="269" t="s">
        <v>1213</v>
      </c>
      <c r="F24" s="269" t="s">
        <v>232</v>
      </c>
      <c r="G24" s="271">
        <v>2.23E-2</v>
      </c>
      <c r="H24" s="272">
        <v>179</v>
      </c>
      <c r="I24" s="272">
        <v>4</v>
      </c>
      <c r="J24" s="272">
        <v>0</v>
      </c>
      <c r="K24" s="269" t="s">
        <v>233</v>
      </c>
      <c r="L24" s="273">
        <v>46343</v>
      </c>
      <c r="M24" s="272">
        <v>0</v>
      </c>
      <c r="N24" s="272">
        <v>0</v>
      </c>
      <c r="O24" s="272">
        <v>4</v>
      </c>
      <c r="P24" s="269" t="s">
        <v>549</v>
      </c>
      <c r="Q24" s="265"/>
      <c r="R24" s="265"/>
      <c r="S24" s="265"/>
      <c r="T24" s="265"/>
      <c r="U24" s="265"/>
      <c r="V24" s="265"/>
      <c r="W24" s="265"/>
      <c r="X24" s="265"/>
      <c r="Y24" s="265"/>
      <c r="Z24" s="265"/>
      <c r="AA24" s="265"/>
      <c r="AB24" s="272" t="s">
        <v>164</v>
      </c>
      <c r="AC24" s="272" t="s">
        <v>298</v>
      </c>
      <c r="AD24" s="265"/>
      <c r="AE24" s="265"/>
      <c r="AF24" s="265"/>
      <c r="AG24" s="265"/>
      <c r="AH24" s="265"/>
      <c r="AI24" s="265"/>
      <c r="AJ24" s="265"/>
    </row>
    <row r="25" spans="1:36">
      <c r="A25" s="267" t="s">
        <v>234</v>
      </c>
      <c r="B25" s="268">
        <v>46046</v>
      </c>
      <c r="C25" s="269" t="s">
        <v>1215</v>
      </c>
      <c r="D25" s="270" t="s">
        <v>336</v>
      </c>
      <c r="E25" s="269" t="s">
        <v>1213</v>
      </c>
      <c r="F25" s="269" t="s">
        <v>232</v>
      </c>
      <c r="G25" s="271">
        <v>5.5999999999999999E-3</v>
      </c>
      <c r="H25" s="272">
        <v>179</v>
      </c>
      <c r="I25" s="272">
        <v>1</v>
      </c>
      <c r="J25" s="272">
        <v>0</v>
      </c>
      <c r="K25" s="269" t="s">
        <v>233</v>
      </c>
      <c r="L25" s="273">
        <v>46302</v>
      </c>
      <c r="M25" s="272">
        <v>0</v>
      </c>
      <c r="N25" s="272">
        <v>0</v>
      </c>
      <c r="O25" s="272">
        <v>1</v>
      </c>
      <c r="P25" s="269" t="s">
        <v>877</v>
      </c>
      <c r="Q25" s="265"/>
      <c r="R25" s="265"/>
      <c r="S25" s="265"/>
      <c r="T25" s="265"/>
      <c r="U25" s="265"/>
      <c r="V25" s="265"/>
      <c r="W25" s="265"/>
      <c r="X25" s="265"/>
      <c r="Y25" s="265"/>
      <c r="Z25" s="265"/>
      <c r="AA25" s="265"/>
      <c r="AB25" s="265"/>
      <c r="AC25" s="272" t="s">
        <v>302</v>
      </c>
      <c r="AD25" s="265"/>
      <c r="AE25" s="265"/>
      <c r="AF25" s="265"/>
      <c r="AG25" s="265"/>
      <c r="AH25" s="265"/>
      <c r="AI25" s="265"/>
      <c r="AJ25" s="265"/>
    </row>
    <row r="26" spans="1:36">
      <c r="A26" s="267" t="s">
        <v>236</v>
      </c>
      <c r="B26" s="268">
        <v>46047</v>
      </c>
      <c r="C26" s="269" t="s">
        <v>1215</v>
      </c>
      <c r="D26" s="270" t="s">
        <v>1236</v>
      </c>
      <c r="E26" s="269" t="s">
        <v>1213</v>
      </c>
      <c r="F26" s="269" t="s">
        <v>232</v>
      </c>
      <c r="G26" s="271">
        <v>1.6799999999999999E-2</v>
      </c>
      <c r="H26" s="272">
        <v>179</v>
      </c>
      <c r="I26" s="272">
        <v>3</v>
      </c>
      <c r="J26" s="272">
        <v>0</v>
      </c>
      <c r="K26" s="269" t="s">
        <v>233</v>
      </c>
      <c r="L26" s="273">
        <v>46318</v>
      </c>
      <c r="M26" s="272">
        <v>0</v>
      </c>
      <c r="N26" s="272">
        <v>0</v>
      </c>
      <c r="O26" s="272">
        <v>3</v>
      </c>
      <c r="P26" s="269" t="s">
        <v>549</v>
      </c>
      <c r="Q26" s="265"/>
      <c r="R26" s="265"/>
      <c r="S26" s="265"/>
      <c r="T26" s="265"/>
      <c r="U26" s="265"/>
      <c r="V26" s="265"/>
      <c r="W26" s="265"/>
      <c r="X26" s="265"/>
      <c r="Y26" s="265"/>
      <c r="Z26" s="265"/>
      <c r="AA26" s="265"/>
      <c r="AB26" s="272" t="s">
        <v>128</v>
      </c>
      <c r="AC26" s="272" t="s">
        <v>298</v>
      </c>
      <c r="AD26" s="265"/>
      <c r="AE26" s="265"/>
      <c r="AF26" s="265"/>
      <c r="AG26" s="265"/>
      <c r="AH26" s="265"/>
      <c r="AI26" s="265"/>
      <c r="AJ26" s="265"/>
    </row>
    <row r="27" spans="1:36">
      <c r="A27" s="267" t="s">
        <v>240</v>
      </c>
      <c r="B27" s="268">
        <v>46048</v>
      </c>
      <c r="C27" s="269" t="s">
        <v>1215</v>
      </c>
      <c r="D27" s="270" t="s">
        <v>751</v>
      </c>
      <c r="E27" s="269" t="s">
        <v>1213</v>
      </c>
      <c r="F27" s="269" t="s">
        <v>232</v>
      </c>
      <c r="G27" s="271">
        <v>1.12E-2</v>
      </c>
      <c r="H27" s="272">
        <v>179</v>
      </c>
      <c r="I27" s="272">
        <v>2</v>
      </c>
      <c r="J27" s="272">
        <v>0</v>
      </c>
      <c r="K27" s="269" t="s">
        <v>233</v>
      </c>
      <c r="L27" s="273">
        <v>46344</v>
      </c>
      <c r="M27" s="272">
        <v>0</v>
      </c>
      <c r="N27" s="272">
        <v>0</v>
      </c>
      <c r="O27" s="272">
        <v>2</v>
      </c>
      <c r="P27" s="269" t="s">
        <v>877</v>
      </c>
      <c r="Q27" s="265"/>
      <c r="R27" s="265"/>
      <c r="S27" s="265"/>
      <c r="T27" s="265"/>
      <c r="U27" s="265"/>
      <c r="V27" s="265"/>
      <c r="W27" s="265"/>
      <c r="X27" s="265"/>
      <c r="Y27" s="265"/>
      <c r="Z27" s="265"/>
      <c r="AA27" s="265"/>
      <c r="AB27" s="265"/>
      <c r="AC27" s="272" t="s">
        <v>302</v>
      </c>
      <c r="AD27" s="265"/>
      <c r="AE27" s="272" t="s">
        <v>570</v>
      </c>
      <c r="AF27" s="265"/>
      <c r="AG27" s="265"/>
      <c r="AH27" s="265"/>
      <c r="AI27" s="265"/>
      <c r="AJ27" s="265"/>
    </row>
    <row r="28" spans="1:36">
      <c r="A28" s="267" t="s">
        <v>242</v>
      </c>
      <c r="B28" s="268">
        <v>46049</v>
      </c>
      <c r="C28" s="269" t="s">
        <v>1215</v>
      </c>
      <c r="D28" s="270" t="s">
        <v>1237</v>
      </c>
      <c r="E28" s="269" t="s">
        <v>1213</v>
      </c>
      <c r="F28" s="269" t="s">
        <v>232</v>
      </c>
      <c r="G28" s="271">
        <v>5.5999999999999999E-3</v>
      </c>
      <c r="H28" s="272">
        <v>179</v>
      </c>
      <c r="I28" s="272">
        <v>1</v>
      </c>
      <c r="J28" s="272">
        <v>0</v>
      </c>
      <c r="K28" s="269" t="s">
        <v>233</v>
      </c>
      <c r="L28" s="273">
        <v>46294</v>
      </c>
      <c r="M28" s="272">
        <v>0</v>
      </c>
      <c r="N28" s="272">
        <v>0</v>
      </c>
      <c r="O28" s="272">
        <v>1</v>
      </c>
      <c r="P28" s="269" t="s">
        <v>877</v>
      </c>
      <c r="Q28" s="265"/>
      <c r="R28" s="265"/>
      <c r="S28" s="265"/>
      <c r="T28" s="265"/>
      <c r="U28" s="265"/>
      <c r="V28" s="265"/>
      <c r="W28" s="265"/>
      <c r="X28" s="265"/>
      <c r="Y28" s="265"/>
      <c r="Z28" s="265"/>
      <c r="AA28" s="265"/>
      <c r="AB28" s="265"/>
      <c r="AC28" s="272" t="s">
        <v>302</v>
      </c>
      <c r="AD28" s="265"/>
      <c r="AE28" s="265"/>
      <c r="AF28" s="265"/>
      <c r="AG28" s="265"/>
      <c r="AH28" s="265"/>
      <c r="AI28" s="265"/>
      <c r="AJ28" s="265"/>
    </row>
    <row r="29" spans="1:36">
      <c r="A29" s="267" t="s">
        <v>315</v>
      </c>
      <c r="B29" s="268">
        <v>46050</v>
      </c>
      <c r="C29" s="269" t="s">
        <v>1215</v>
      </c>
      <c r="D29" s="270" t="s">
        <v>1238</v>
      </c>
      <c r="E29" s="269" t="s">
        <v>1213</v>
      </c>
      <c r="F29" s="269" t="s">
        <v>232</v>
      </c>
      <c r="G29" s="271">
        <v>1.12E-2</v>
      </c>
      <c r="H29" s="272">
        <v>179</v>
      </c>
      <c r="I29" s="272">
        <v>2</v>
      </c>
      <c r="J29" s="272">
        <v>0</v>
      </c>
      <c r="K29" s="269" t="s">
        <v>233</v>
      </c>
      <c r="L29" s="273">
        <v>46334</v>
      </c>
      <c r="M29" s="272">
        <v>0</v>
      </c>
      <c r="N29" s="272">
        <v>0</v>
      </c>
      <c r="O29" s="272">
        <v>2</v>
      </c>
      <c r="P29" s="269" t="s">
        <v>549</v>
      </c>
      <c r="Q29" s="265"/>
      <c r="R29" s="265"/>
      <c r="S29" s="265"/>
      <c r="T29" s="265"/>
      <c r="U29" s="265"/>
      <c r="V29" s="265"/>
      <c r="W29" s="265"/>
      <c r="X29" s="265"/>
      <c r="Y29" s="265"/>
      <c r="Z29" s="265"/>
      <c r="AA29" s="265"/>
      <c r="AB29" s="265"/>
      <c r="AC29" s="272" t="s">
        <v>298</v>
      </c>
      <c r="AD29" s="265"/>
      <c r="AE29" s="265"/>
      <c r="AF29" s="265"/>
      <c r="AG29" s="265"/>
      <c r="AH29" s="265"/>
      <c r="AI29" s="265"/>
      <c r="AJ29" s="265"/>
    </row>
    <row r="30" spans="1:36">
      <c r="A30" s="267" t="s">
        <v>230</v>
      </c>
      <c r="B30" s="268">
        <v>46051</v>
      </c>
      <c r="C30" s="269" t="s">
        <v>1215</v>
      </c>
      <c r="D30" s="270" t="s">
        <v>563</v>
      </c>
      <c r="E30" s="269" t="s">
        <v>1213</v>
      </c>
      <c r="F30" s="269" t="s">
        <v>232</v>
      </c>
      <c r="G30" s="271">
        <v>1.12E-2</v>
      </c>
      <c r="H30" s="272">
        <v>179</v>
      </c>
      <c r="I30" s="272">
        <v>2</v>
      </c>
      <c r="J30" s="272">
        <v>0</v>
      </c>
      <c r="K30" s="269" t="s">
        <v>233</v>
      </c>
      <c r="L30" s="273">
        <v>46340</v>
      </c>
      <c r="M30" s="272">
        <v>0</v>
      </c>
      <c r="N30" s="272">
        <v>0</v>
      </c>
      <c r="O30" s="272">
        <v>2</v>
      </c>
      <c r="P30" s="269" t="s">
        <v>549</v>
      </c>
      <c r="Q30" s="265"/>
      <c r="R30" s="265"/>
      <c r="S30" s="265"/>
      <c r="T30" s="265"/>
      <c r="U30" s="265"/>
      <c r="V30" s="265"/>
      <c r="W30" s="265"/>
      <c r="X30" s="265"/>
      <c r="Y30" s="265"/>
      <c r="Z30" s="265"/>
      <c r="AA30" s="265"/>
      <c r="AB30" s="265"/>
      <c r="AC30" s="272" t="s">
        <v>298</v>
      </c>
      <c r="AD30" s="265"/>
      <c r="AE30" s="265"/>
      <c r="AF30" s="265"/>
      <c r="AG30" s="265"/>
      <c r="AH30" s="265"/>
      <c r="AI30" s="265"/>
      <c r="AJ30" s="265"/>
    </row>
    <row r="31" spans="1:36">
      <c r="A31" s="267" t="s">
        <v>560</v>
      </c>
      <c r="B31" s="268">
        <v>46052</v>
      </c>
      <c r="C31" s="269" t="s">
        <v>1215</v>
      </c>
      <c r="D31" s="270" t="s">
        <v>751</v>
      </c>
      <c r="E31" s="269" t="s">
        <v>1213</v>
      </c>
      <c r="F31" s="269" t="s">
        <v>232</v>
      </c>
      <c r="G31" s="271">
        <v>5.5999999999999999E-3</v>
      </c>
      <c r="H31" s="272">
        <v>179</v>
      </c>
      <c r="I31" s="272">
        <v>1</v>
      </c>
      <c r="J31" s="272">
        <v>0</v>
      </c>
      <c r="K31" s="269" t="s">
        <v>233</v>
      </c>
      <c r="L31" s="273">
        <v>46307</v>
      </c>
      <c r="M31" s="272">
        <v>0</v>
      </c>
      <c r="N31" s="272">
        <v>0</v>
      </c>
      <c r="O31" s="272">
        <v>1</v>
      </c>
      <c r="P31" s="269" t="s">
        <v>877</v>
      </c>
      <c r="Q31" s="265"/>
      <c r="R31" s="265"/>
      <c r="S31" s="265"/>
      <c r="T31" s="265"/>
      <c r="U31" s="265"/>
      <c r="V31" s="265"/>
      <c r="W31" s="265"/>
      <c r="X31" s="265"/>
      <c r="Y31" s="265"/>
      <c r="Z31" s="265"/>
      <c r="AA31" s="265"/>
      <c r="AB31" s="265"/>
      <c r="AC31" s="272" t="s">
        <v>302</v>
      </c>
      <c r="AD31" s="265"/>
      <c r="AE31" s="265"/>
      <c r="AF31" s="265"/>
      <c r="AG31" s="265"/>
      <c r="AH31" s="265"/>
      <c r="AI31" s="265"/>
      <c r="AJ31" s="265"/>
    </row>
    <row r="32" spans="1:36">
      <c r="A32" s="267" t="s">
        <v>234</v>
      </c>
      <c r="B32" s="268">
        <v>46053</v>
      </c>
      <c r="C32" s="269" t="s">
        <v>1215</v>
      </c>
      <c r="D32" s="270" t="s">
        <v>336</v>
      </c>
      <c r="E32" s="269" t="s">
        <v>1213</v>
      </c>
      <c r="F32" s="269" t="s">
        <v>232</v>
      </c>
      <c r="G32" s="271">
        <v>5.5999999999999999E-3</v>
      </c>
      <c r="H32" s="272">
        <v>179</v>
      </c>
      <c r="I32" s="272">
        <v>1</v>
      </c>
      <c r="J32" s="272">
        <v>0</v>
      </c>
      <c r="K32" s="269" t="s">
        <v>233</v>
      </c>
      <c r="L32" s="273">
        <v>46317</v>
      </c>
      <c r="M32" s="272">
        <v>0</v>
      </c>
      <c r="N32" s="272">
        <v>0</v>
      </c>
      <c r="O32" s="272">
        <v>1</v>
      </c>
      <c r="P32" s="269" t="s">
        <v>877</v>
      </c>
      <c r="Q32" s="265"/>
      <c r="R32" s="265"/>
      <c r="S32" s="265"/>
      <c r="T32" s="265"/>
      <c r="U32" s="265"/>
      <c r="V32" s="265"/>
      <c r="W32" s="265"/>
      <c r="X32" s="265"/>
      <c r="Y32" s="265"/>
      <c r="Z32" s="265"/>
      <c r="AA32" s="265"/>
      <c r="AB32" s="265"/>
      <c r="AC32" s="272" t="s">
        <v>302</v>
      </c>
      <c r="AD32" s="265"/>
      <c r="AE32" s="265"/>
      <c r="AF32" s="265"/>
      <c r="AG32" s="265"/>
      <c r="AH32" s="265"/>
      <c r="AI32" s="265"/>
      <c r="AJ32" s="265"/>
    </row>
    <row r="33" spans="1:36" ht="21">
      <c r="A33" s="274" t="s">
        <v>251</v>
      </c>
      <c r="B33" s="275"/>
      <c r="C33" s="274">
        <f>SUBTOTAL(103,CAI_YNB_LF_LEGACY[Flt])</f>
        <v>31</v>
      </c>
      <c r="D33" s="274"/>
      <c r="E33" s="274">
        <f>SUBTOTAL(103,CAI_YNB_LF_LEGACY[Brd-Off])</f>
        <v>31</v>
      </c>
      <c r="F33" s="274"/>
      <c r="G33" s="276">
        <f>SUBTOTAL(101,CAI_YNB_LF_LEGACY[LF%])</f>
        <v>2.5590322580645163E-2</v>
      </c>
      <c r="H33" s="277">
        <f>SUBTOTAL(109,CAI_YNB_LF_LEGACY[CAP])</f>
        <v>5549</v>
      </c>
      <c r="I33" s="277">
        <f>SUBTOTAL(109,CAI_YNB_LF_LEGACY[BKG(Y)])</f>
        <v>142</v>
      </c>
      <c r="J33" s="277">
        <f>SUBTOTAL(109,CAI_YNB_LF_LEGACY[GRP(Y)])</f>
        <v>0</v>
      </c>
      <c r="K33" s="274"/>
      <c r="L33" s="275"/>
      <c r="M33" s="277">
        <f>SUBTOTAL(109,CAI_YNB_LF_LEGACY[TO-DAY])</f>
        <v>0</v>
      </c>
      <c r="N33" s="277">
        <f>SUBTOTAL(109,CAI_YNB_LF_LEGACY[Y-DAY])</f>
        <v>0</v>
      </c>
      <c r="O33" s="277">
        <f>SUBTOTAL(109,CAI_YNB_LF_LEGACY[WEEKLY])</f>
        <v>142</v>
      </c>
      <c r="P33" s="274"/>
      <c r="Q33" s="277">
        <f>SUBTOTAL(109,CAI_YNB_LF_LEGACY[Y])</f>
        <v>0</v>
      </c>
      <c r="R33" s="277">
        <f>SUBTOTAL(109,CAI_YNB_LF_LEGACY[B])</f>
        <v>0</v>
      </c>
      <c r="S33" s="277">
        <f>SUBTOTAL(109,CAI_YNB_LF_LEGACY[M])</f>
        <v>0</v>
      </c>
      <c r="T33" s="277">
        <f>SUBTOTAL(109,CAI_YNB_LF_LEGACY[H])</f>
        <v>0</v>
      </c>
      <c r="U33" s="277">
        <f>SUBTOTAL(109,CAI_YNB_LF_LEGACY[Q])</f>
        <v>0</v>
      </c>
      <c r="V33" s="277">
        <f>SUBTOTAL(109,CAI_YNB_LF_LEGACY[K])</f>
        <v>0</v>
      </c>
      <c r="W33" s="277">
        <f>SUBTOTAL(109,CAI_YNB_LF_LEGACY[V])</f>
        <v>0</v>
      </c>
      <c r="X33" s="277">
        <f>SUBTOTAL(109,CAI_YNB_LF_LEGACY[L])</f>
        <v>0</v>
      </c>
      <c r="Y33" s="277">
        <f>SUBTOTAL(109,CAI_YNB_LF_LEGACY[G])</f>
        <v>0</v>
      </c>
      <c r="Z33" s="277">
        <f>SUBTOTAL(109,CAI_YNB_LF_LEGACY[S])</f>
        <v>0</v>
      </c>
      <c r="AA33" s="277">
        <f>SUBTOTAL(109,CAI_YNB_LF_LEGACY[W])</f>
        <v>0</v>
      </c>
      <c r="AB33" s="277">
        <f>SUBTOTAL(109,CAI_YNB_LF_LEGACY[T])</f>
        <v>0</v>
      </c>
      <c r="AC33" s="277">
        <f>SUBTOTAL(109,CAI_YNB_LF_LEGACY[X])</f>
        <v>0</v>
      </c>
      <c r="AD33" s="277">
        <f>SUBTOTAL(109,CAI_YNB_LF_LEGACY[U])</f>
        <v>0</v>
      </c>
      <c r="AE33" s="277">
        <f>SUBTOTAL(109,CAI_YNB_LF_LEGACY[O])</f>
        <v>0</v>
      </c>
      <c r="AF33" s="277">
        <f>SUBTOTAL(109,CAI_YNB_LF_LEGACY[I])</f>
        <v>0</v>
      </c>
      <c r="AG33" s="277">
        <f>SUBTOTAL(109,CAI_YNB_LF_LEGACY[E])</f>
        <v>0</v>
      </c>
      <c r="AH33" s="277">
        <f>SUBTOTAL(109,CAI_YNB_LF_LEGACY[A])</f>
        <v>0</v>
      </c>
      <c r="AI33" s="277">
        <f>SUBTOTAL(109,CAI_YNB_LF_LEGACY[P])</f>
        <v>0</v>
      </c>
      <c r="AJ33" s="277">
        <f>SUBTOTAL(103,CAI_YNB_LF_LEGACY[N])</f>
        <v>0</v>
      </c>
    </row>
  </sheetData>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41"/>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29.28515625" bestFit="1" customWidth="1"/>
    <col min="7" max="7" width="20" bestFit="1" customWidth="1"/>
    <col min="8" max="8" width="23.7109375" bestFit="1" customWidth="1"/>
    <col min="9" max="9" width="162.140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6" t="s">
        <v>254</v>
      </c>
      <c r="B2" s="117" t="s">
        <v>61</v>
      </c>
      <c r="C2" s="118" t="s">
        <v>1214</v>
      </c>
      <c r="D2" s="117" t="s">
        <v>1213</v>
      </c>
      <c r="E2" s="117" t="s">
        <v>563</v>
      </c>
      <c r="F2" s="117" t="s">
        <v>63</v>
      </c>
      <c r="G2" s="119">
        <v>9</v>
      </c>
      <c r="H2" s="120" t="s">
        <v>961</v>
      </c>
    </row>
    <row r="3" spans="1:8" ht="19.899999999999999" customHeight="1">
      <c r="A3" s="123">
        <v>46023</v>
      </c>
      <c r="B3" s="124" t="s">
        <v>402</v>
      </c>
      <c r="C3" s="125" t="s">
        <v>1217</v>
      </c>
      <c r="D3" s="124" t="s">
        <v>1213</v>
      </c>
      <c r="E3" s="126">
        <v>1.020833333333333</v>
      </c>
      <c r="F3" s="124" t="s">
        <v>63</v>
      </c>
      <c r="G3" s="127">
        <v>9</v>
      </c>
      <c r="H3" s="128" t="s">
        <v>1218</v>
      </c>
    </row>
    <row r="4" spans="1:8" ht="19.899999999999999" customHeight="1">
      <c r="A4" s="136">
        <v>46024</v>
      </c>
      <c r="B4" s="132" t="s">
        <v>61</v>
      </c>
      <c r="C4" s="133" t="s">
        <v>1214</v>
      </c>
      <c r="D4" s="132" t="s">
        <v>1213</v>
      </c>
      <c r="E4" s="137">
        <v>1.166666666666667</v>
      </c>
      <c r="F4" s="132" t="s">
        <v>63</v>
      </c>
      <c r="G4" s="134">
        <v>9</v>
      </c>
      <c r="H4" s="135" t="s">
        <v>1219</v>
      </c>
    </row>
    <row r="5" spans="1:8" ht="19.899999999999999" customHeight="1">
      <c r="A5" s="136">
        <v>46025</v>
      </c>
      <c r="B5" s="132" t="s">
        <v>61</v>
      </c>
      <c r="C5" s="133" t="s">
        <v>1214</v>
      </c>
      <c r="D5" s="132" t="s">
        <v>1213</v>
      </c>
      <c r="E5" s="137">
        <v>1.125</v>
      </c>
      <c r="F5" s="132" t="s">
        <v>63</v>
      </c>
      <c r="G5" s="134">
        <v>9</v>
      </c>
      <c r="H5" s="135" t="s">
        <v>1221</v>
      </c>
    </row>
    <row r="6" spans="1:8" ht="19.899999999999999" customHeight="1">
      <c r="A6" s="136">
        <v>46026</v>
      </c>
      <c r="B6" s="132" t="s">
        <v>61</v>
      </c>
      <c r="C6" s="133" t="s">
        <v>1214</v>
      </c>
      <c r="D6" s="132" t="s">
        <v>1213</v>
      </c>
      <c r="E6" s="137">
        <v>1.2152777777777779</v>
      </c>
      <c r="F6" s="132" t="s">
        <v>63</v>
      </c>
      <c r="G6" s="134">
        <v>3</v>
      </c>
      <c r="H6" s="135" t="s">
        <v>349</v>
      </c>
    </row>
    <row r="7" spans="1:8" ht="19.899999999999999" customHeight="1">
      <c r="A7" s="136">
        <v>46027</v>
      </c>
      <c r="B7" s="132" t="s">
        <v>61</v>
      </c>
      <c r="C7" s="133" t="s">
        <v>1214</v>
      </c>
      <c r="D7" s="132" t="s">
        <v>1213</v>
      </c>
      <c r="E7" s="137">
        <v>1.166666666666667</v>
      </c>
      <c r="F7" s="132" t="s">
        <v>63</v>
      </c>
      <c r="G7" s="134">
        <v>7</v>
      </c>
      <c r="H7" s="135" t="s">
        <v>349</v>
      </c>
    </row>
    <row r="8" spans="1:8" ht="19.899999999999999" customHeight="1">
      <c r="A8" s="129">
        <v>46028</v>
      </c>
      <c r="B8" s="117" t="s">
        <v>61</v>
      </c>
      <c r="C8" s="118" t="s">
        <v>1214</v>
      </c>
      <c r="D8" s="117" t="s">
        <v>1213</v>
      </c>
      <c r="E8" s="130">
        <v>1.833333333333333</v>
      </c>
      <c r="F8" s="117" t="s">
        <v>63</v>
      </c>
      <c r="G8" s="119">
        <v>9</v>
      </c>
      <c r="H8" s="120" t="s">
        <v>961</v>
      </c>
    </row>
    <row r="9" spans="1:8" ht="19.899999999999999" customHeight="1">
      <c r="A9" s="123">
        <v>46028</v>
      </c>
      <c r="B9" s="124" t="s">
        <v>402</v>
      </c>
      <c r="C9" s="125" t="s">
        <v>1217</v>
      </c>
      <c r="D9" s="124" t="s">
        <v>1213</v>
      </c>
      <c r="E9" s="126">
        <v>1.020833333333333</v>
      </c>
      <c r="F9" s="124" t="s">
        <v>63</v>
      </c>
      <c r="G9" s="127">
        <v>9</v>
      </c>
      <c r="H9" s="128" t="s">
        <v>1218</v>
      </c>
    </row>
    <row r="10" spans="1:8" ht="19.899999999999999" customHeight="1">
      <c r="A10" s="136">
        <v>46029</v>
      </c>
      <c r="B10" s="132" t="s">
        <v>61</v>
      </c>
      <c r="C10" s="133" t="s">
        <v>1214</v>
      </c>
      <c r="D10" s="132" t="s">
        <v>1213</v>
      </c>
      <c r="E10" s="137">
        <v>1.8263888888888891</v>
      </c>
      <c r="F10" s="132" t="s">
        <v>63</v>
      </c>
      <c r="G10" s="134">
        <v>9</v>
      </c>
      <c r="H10" s="135" t="s">
        <v>961</v>
      </c>
    </row>
    <row r="11" spans="1:8" ht="19.899999999999999" customHeight="1">
      <c r="A11" s="129">
        <v>46030</v>
      </c>
      <c r="B11" s="117" t="s">
        <v>61</v>
      </c>
      <c r="C11" s="118" t="s">
        <v>1214</v>
      </c>
      <c r="D11" s="117" t="s">
        <v>1213</v>
      </c>
      <c r="E11" s="130">
        <v>1.4375</v>
      </c>
      <c r="F11" s="117" t="s">
        <v>63</v>
      </c>
      <c r="G11" s="119">
        <v>9</v>
      </c>
      <c r="H11" s="120" t="s">
        <v>961</v>
      </c>
    </row>
    <row r="12" spans="1:8" ht="19.899999999999999" customHeight="1">
      <c r="A12" s="123">
        <v>46030</v>
      </c>
      <c r="B12" s="124" t="s">
        <v>402</v>
      </c>
      <c r="C12" s="125" t="s">
        <v>1217</v>
      </c>
      <c r="D12" s="124" t="s">
        <v>1213</v>
      </c>
      <c r="E12" s="126">
        <v>1.020833333333333</v>
      </c>
      <c r="F12" s="124" t="s">
        <v>63</v>
      </c>
      <c r="G12" s="127">
        <v>9</v>
      </c>
      <c r="H12" s="128" t="s">
        <v>647</v>
      </c>
    </row>
    <row r="13" spans="1:8" ht="19.899999999999999" customHeight="1">
      <c r="A13" s="136">
        <v>46031</v>
      </c>
      <c r="B13" s="132" t="s">
        <v>61</v>
      </c>
      <c r="C13" s="133" t="s">
        <v>1214</v>
      </c>
      <c r="D13" s="132" t="s">
        <v>1213</v>
      </c>
      <c r="E13" s="137">
        <v>1.166666666666667</v>
      </c>
      <c r="F13" s="132" t="s">
        <v>63</v>
      </c>
      <c r="G13" s="134">
        <v>9</v>
      </c>
      <c r="H13" s="135" t="s">
        <v>961</v>
      </c>
    </row>
    <row r="14" spans="1:8" ht="19.899999999999999" customHeight="1">
      <c r="A14" s="136">
        <v>46032</v>
      </c>
      <c r="B14" s="132" t="s">
        <v>61</v>
      </c>
      <c r="C14" s="133" t="s">
        <v>1214</v>
      </c>
      <c r="D14" s="132" t="s">
        <v>1213</v>
      </c>
      <c r="E14" s="137">
        <v>1.125</v>
      </c>
      <c r="F14" s="132" t="s">
        <v>63</v>
      </c>
      <c r="G14" s="134">
        <v>9</v>
      </c>
      <c r="H14" s="135" t="s">
        <v>1226</v>
      </c>
    </row>
    <row r="15" spans="1:8" ht="19.899999999999999" customHeight="1">
      <c r="A15" s="136">
        <v>46033</v>
      </c>
      <c r="B15" s="132" t="s">
        <v>61</v>
      </c>
      <c r="C15" s="133" t="s">
        <v>1214</v>
      </c>
      <c r="D15" s="132" t="s">
        <v>1213</v>
      </c>
      <c r="E15" s="137">
        <v>1.2152777777777779</v>
      </c>
      <c r="F15" s="132" t="s">
        <v>63</v>
      </c>
      <c r="G15" s="134">
        <v>9</v>
      </c>
      <c r="H15" s="135" t="s">
        <v>961</v>
      </c>
    </row>
    <row r="16" spans="1:8" ht="19.899999999999999" customHeight="1">
      <c r="A16" s="136">
        <v>46034</v>
      </c>
      <c r="B16" s="132" t="s">
        <v>61</v>
      </c>
      <c r="C16" s="133" t="s">
        <v>1214</v>
      </c>
      <c r="D16" s="132" t="s">
        <v>1213</v>
      </c>
      <c r="E16" s="137">
        <v>1.166666666666667</v>
      </c>
      <c r="F16" s="132" t="s">
        <v>63</v>
      </c>
      <c r="G16" s="134">
        <v>9</v>
      </c>
      <c r="H16" s="135" t="s">
        <v>1219</v>
      </c>
    </row>
    <row r="17" spans="1:8" ht="19.899999999999999" customHeight="1">
      <c r="A17" s="129">
        <v>46035</v>
      </c>
      <c r="B17" s="117" t="s">
        <v>61</v>
      </c>
      <c r="C17" s="118" t="s">
        <v>1214</v>
      </c>
      <c r="D17" s="117" t="s">
        <v>1213</v>
      </c>
      <c r="E17" s="130">
        <v>1.833333333333333</v>
      </c>
      <c r="F17" s="117" t="s">
        <v>63</v>
      </c>
      <c r="G17" s="119">
        <v>9</v>
      </c>
      <c r="H17" s="120" t="s">
        <v>1219</v>
      </c>
    </row>
    <row r="18" spans="1:8" ht="19.899999999999999" customHeight="1">
      <c r="A18" s="123">
        <v>46035</v>
      </c>
      <c r="B18" s="124" t="s">
        <v>402</v>
      </c>
      <c r="C18" s="125" t="s">
        <v>1217</v>
      </c>
      <c r="D18" s="124" t="s">
        <v>1213</v>
      </c>
      <c r="E18" s="126">
        <v>1.020833333333333</v>
      </c>
      <c r="F18" s="124" t="s">
        <v>63</v>
      </c>
      <c r="G18" s="127">
        <v>9</v>
      </c>
      <c r="H18" s="128" t="s">
        <v>647</v>
      </c>
    </row>
    <row r="19" spans="1:8" ht="19.899999999999999" customHeight="1">
      <c r="A19" s="136">
        <v>46036</v>
      </c>
      <c r="B19" s="132" t="s">
        <v>61</v>
      </c>
      <c r="C19" s="133" t="s">
        <v>1214</v>
      </c>
      <c r="D19" s="132" t="s">
        <v>1213</v>
      </c>
      <c r="E19" s="137">
        <v>1.8263888888888891</v>
      </c>
      <c r="F19" s="132" t="s">
        <v>63</v>
      </c>
      <c r="G19" s="134">
        <v>9</v>
      </c>
      <c r="H19" s="135" t="s">
        <v>961</v>
      </c>
    </row>
    <row r="20" spans="1:8" ht="19.899999999999999" customHeight="1">
      <c r="A20" s="129">
        <v>46037</v>
      </c>
      <c r="B20" s="117" t="s">
        <v>61</v>
      </c>
      <c r="C20" s="118" t="s">
        <v>1214</v>
      </c>
      <c r="D20" s="117" t="s">
        <v>1213</v>
      </c>
      <c r="E20" s="130">
        <v>1.4375</v>
      </c>
      <c r="F20" s="117" t="s">
        <v>63</v>
      </c>
      <c r="G20" s="119">
        <v>9</v>
      </c>
      <c r="H20" s="120" t="s">
        <v>961</v>
      </c>
    </row>
    <row r="21" spans="1:8" ht="19.899999999999999" customHeight="1">
      <c r="A21" s="123">
        <v>46037</v>
      </c>
      <c r="B21" s="124" t="s">
        <v>402</v>
      </c>
      <c r="C21" s="125" t="s">
        <v>1217</v>
      </c>
      <c r="D21" s="124" t="s">
        <v>1213</v>
      </c>
      <c r="E21" s="126">
        <v>1.020833333333333</v>
      </c>
      <c r="F21" s="124" t="s">
        <v>63</v>
      </c>
      <c r="G21" s="127">
        <v>9</v>
      </c>
      <c r="H21" s="128" t="s">
        <v>1218</v>
      </c>
    </row>
    <row r="22" spans="1:8" ht="19.899999999999999" customHeight="1">
      <c r="A22" s="136">
        <v>46038</v>
      </c>
      <c r="B22" s="132" t="s">
        <v>61</v>
      </c>
      <c r="C22" s="133" t="s">
        <v>1214</v>
      </c>
      <c r="D22" s="132" t="s">
        <v>1213</v>
      </c>
      <c r="E22" s="137">
        <v>1.166666666666667</v>
      </c>
      <c r="F22" s="132" t="s">
        <v>63</v>
      </c>
      <c r="G22" s="134">
        <v>9</v>
      </c>
      <c r="H22" s="135" t="s">
        <v>1226</v>
      </c>
    </row>
    <row r="23" spans="1:8" ht="19.899999999999999" customHeight="1">
      <c r="A23" s="136">
        <v>46039</v>
      </c>
      <c r="B23" s="132" t="s">
        <v>61</v>
      </c>
      <c r="C23" s="133" t="s">
        <v>1214</v>
      </c>
      <c r="D23" s="132" t="s">
        <v>1213</v>
      </c>
      <c r="E23" s="137">
        <v>1.125</v>
      </c>
      <c r="F23" s="132" t="s">
        <v>63</v>
      </c>
      <c r="G23" s="134">
        <v>4</v>
      </c>
      <c r="H23" s="135" t="s">
        <v>1226</v>
      </c>
    </row>
    <row r="24" spans="1:8" ht="19.899999999999999" customHeight="1">
      <c r="A24" s="136">
        <v>46040</v>
      </c>
      <c r="B24" s="132" t="s">
        <v>61</v>
      </c>
      <c r="C24" s="133" t="s">
        <v>1214</v>
      </c>
      <c r="D24" s="132" t="s">
        <v>1213</v>
      </c>
      <c r="E24" s="137">
        <v>1.2152777777777779</v>
      </c>
      <c r="F24" s="132" t="s">
        <v>63</v>
      </c>
      <c r="G24" s="134">
        <v>5</v>
      </c>
      <c r="H24" s="135" t="s">
        <v>1221</v>
      </c>
    </row>
    <row r="25" spans="1:8" ht="19.899999999999999" customHeight="1">
      <c r="A25" s="136">
        <v>46041</v>
      </c>
      <c r="B25" s="132" t="s">
        <v>61</v>
      </c>
      <c r="C25" s="133" t="s">
        <v>1214</v>
      </c>
      <c r="D25" s="132" t="s">
        <v>1213</v>
      </c>
      <c r="E25" s="137">
        <v>1.166666666666667</v>
      </c>
      <c r="F25" s="132" t="s">
        <v>63</v>
      </c>
      <c r="G25" s="134">
        <v>9</v>
      </c>
      <c r="H25" s="135" t="s">
        <v>1219</v>
      </c>
    </row>
    <row r="26" spans="1:8" ht="19.899999999999999" customHeight="1">
      <c r="A26" s="129">
        <v>46042</v>
      </c>
      <c r="B26" s="117" t="s">
        <v>61</v>
      </c>
      <c r="C26" s="118" t="s">
        <v>1214</v>
      </c>
      <c r="D26" s="117" t="s">
        <v>1213</v>
      </c>
      <c r="E26" s="130">
        <v>1.833333333333333</v>
      </c>
      <c r="F26" s="117" t="s">
        <v>63</v>
      </c>
      <c r="G26" s="119">
        <v>7</v>
      </c>
      <c r="H26" s="120" t="s">
        <v>1219</v>
      </c>
    </row>
    <row r="27" spans="1:8" ht="19.899999999999999" customHeight="1">
      <c r="A27" s="123">
        <v>46042</v>
      </c>
      <c r="B27" s="124" t="s">
        <v>402</v>
      </c>
      <c r="C27" s="125" t="s">
        <v>1217</v>
      </c>
      <c r="D27" s="124" t="s">
        <v>1213</v>
      </c>
      <c r="E27" s="126">
        <v>1.020833333333333</v>
      </c>
      <c r="F27" s="124" t="s">
        <v>63</v>
      </c>
      <c r="G27" s="127">
        <v>9</v>
      </c>
      <c r="H27" s="128" t="s">
        <v>647</v>
      </c>
    </row>
    <row r="28" spans="1:8" ht="19.899999999999999" customHeight="1">
      <c r="A28" s="136">
        <v>46043</v>
      </c>
      <c r="B28" s="132" t="s">
        <v>61</v>
      </c>
      <c r="C28" s="133" t="s">
        <v>1214</v>
      </c>
      <c r="D28" s="132" t="s">
        <v>1213</v>
      </c>
      <c r="E28" s="137">
        <v>1.8263888888888891</v>
      </c>
      <c r="F28" s="132" t="s">
        <v>63</v>
      </c>
      <c r="G28" s="134">
        <v>9</v>
      </c>
      <c r="H28" s="135" t="s">
        <v>961</v>
      </c>
    </row>
    <row r="29" spans="1:8" ht="19.899999999999999" customHeight="1">
      <c r="A29" s="129">
        <v>46044</v>
      </c>
      <c r="B29" s="117" t="s">
        <v>61</v>
      </c>
      <c r="C29" s="118" t="s">
        <v>1214</v>
      </c>
      <c r="D29" s="117" t="s">
        <v>1213</v>
      </c>
      <c r="E29" s="130">
        <v>1.4375</v>
      </c>
      <c r="F29" s="117" t="s">
        <v>63</v>
      </c>
      <c r="G29" s="119">
        <v>9</v>
      </c>
      <c r="H29" s="120" t="s">
        <v>1219</v>
      </c>
    </row>
    <row r="30" spans="1:8" ht="19.899999999999999" customHeight="1">
      <c r="A30" s="123">
        <v>46044</v>
      </c>
      <c r="B30" s="124" t="s">
        <v>402</v>
      </c>
      <c r="C30" s="125" t="s">
        <v>1217</v>
      </c>
      <c r="D30" s="124" t="s">
        <v>1213</v>
      </c>
      <c r="E30" s="126">
        <v>1.020833333333333</v>
      </c>
      <c r="F30" s="124" t="s">
        <v>63</v>
      </c>
      <c r="G30" s="127">
        <v>9</v>
      </c>
      <c r="H30" s="128" t="s">
        <v>647</v>
      </c>
    </row>
    <row r="31" spans="1:8" ht="19.899999999999999" customHeight="1">
      <c r="A31" s="136">
        <v>46045</v>
      </c>
      <c r="B31" s="132" t="s">
        <v>61</v>
      </c>
      <c r="C31" s="133" t="s">
        <v>1214</v>
      </c>
      <c r="D31" s="132" t="s">
        <v>1213</v>
      </c>
      <c r="E31" s="137">
        <v>1.166666666666667</v>
      </c>
      <c r="F31" s="132" t="s">
        <v>63</v>
      </c>
      <c r="G31" s="134">
        <v>9</v>
      </c>
      <c r="H31" s="135" t="s">
        <v>961</v>
      </c>
    </row>
    <row r="32" spans="1:8" ht="19.899999999999999" customHeight="1">
      <c r="A32" s="136">
        <v>46046</v>
      </c>
      <c r="B32" s="132" t="s">
        <v>61</v>
      </c>
      <c r="C32" s="133" t="s">
        <v>1214</v>
      </c>
      <c r="D32" s="132" t="s">
        <v>1213</v>
      </c>
      <c r="E32" s="137">
        <v>1.125</v>
      </c>
      <c r="F32" s="132" t="s">
        <v>63</v>
      </c>
      <c r="G32" s="134">
        <v>9</v>
      </c>
      <c r="H32" s="135" t="s">
        <v>1219</v>
      </c>
    </row>
    <row r="33" spans="1:8" ht="19.899999999999999" customHeight="1">
      <c r="A33" s="136">
        <v>46047</v>
      </c>
      <c r="B33" s="132" t="s">
        <v>61</v>
      </c>
      <c r="C33" s="133" t="s">
        <v>1214</v>
      </c>
      <c r="D33" s="132" t="s">
        <v>1213</v>
      </c>
      <c r="E33" s="137">
        <v>1.2152777777777779</v>
      </c>
      <c r="F33" s="132" t="s">
        <v>63</v>
      </c>
      <c r="G33" s="134">
        <v>9</v>
      </c>
      <c r="H33" s="135" t="s">
        <v>961</v>
      </c>
    </row>
    <row r="34" spans="1:8" ht="19.899999999999999" customHeight="1">
      <c r="A34" s="136">
        <v>46048</v>
      </c>
      <c r="B34" s="132" t="s">
        <v>61</v>
      </c>
      <c r="C34" s="133" t="s">
        <v>1214</v>
      </c>
      <c r="D34" s="132" t="s">
        <v>1213</v>
      </c>
      <c r="E34" s="137">
        <v>1.166666666666667</v>
      </c>
      <c r="F34" s="132" t="s">
        <v>63</v>
      </c>
      <c r="G34" s="134">
        <v>9</v>
      </c>
      <c r="H34" s="135" t="s">
        <v>1219</v>
      </c>
    </row>
    <row r="35" spans="1:8" ht="19.899999999999999" customHeight="1">
      <c r="A35" s="129">
        <v>46049</v>
      </c>
      <c r="B35" s="117" t="s">
        <v>61</v>
      </c>
      <c r="C35" s="118" t="s">
        <v>1214</v>
      </c>
      <c r="D35" s="117" t="s">
        <v>1213</v>
      </c>
      <c r="E35" s="130">
        <v>1.833333333333333</v>
      </c>
      <c r="F35" s="117" t="s">
        <v>63</v>
      </c>
      <c r="G35" s="119">
        <v>9</v>
      </c>
      <c r="H35" s="120" t="s">
        <v>1219</v>
      </c>
    </row>
    <row r="36" spans="1:8" ht="19.899999999999999" customHeight="1">
      <c r="A36" s="123">
        <v>46049</v>
      </c>
      <c r="B36" s="124" t="s">
        <v>402</v>
      </c>
      <c r="C36" s="125" t="s">
        <v>1217</v>
      </c>
      <c r="D36" s="124" t="s">
        <v>1213</v>
      </c>
      <c r="E36" s="126">
        <v>1.020833333333333</v>
      </c>
      <c r="F36" s="124" t="s">
        <v>63</v>
      </c>
      <c r="G36" s="127">
        <v>9</v>
      </c>
      <c r="H36" s="128" t="s">
        <v>1218</v>
      </c>
    </row>
    <row r="37" spans="1:8" ht="19.899999999999999" customHeight="1">
      <c r="A37" s="136">
        <v>46050</v>
      </c>
      <c r="B37" s="132" t="s">
        <v>61</v>
      </c>
      <c r="C37" s="133" t="s">
        <v>1214</v>
      </c>
      <c r="D37" s="132" t="s">
        <v>1213</v>
      </c>
      <c r="E37" s="137">
        <v>1.8263888888888891</v>
      </c>
      <c r="F37" s="132" t="s">
        <v>63</v>
      </c>
      <c r="G37" s="134">
        <v>9</v>
      </c>
      <c r="H37" s="135" t="s">
        <v>961</v>
      </c>
    </row>
    <row r="38" spans="1:8" ht="19.899999999999999" customHeight="1">
      <c r="A38" s="129">
        <v>46051</v>
      </c>
      <c r="B38" s="117" t="s">
        <v>61</v>
      </c>
      <c r="C38" s="118" t="s">
        <v>1214</v>
      </c>
      <c r="D38" s="117" t="s">
        <v>1213</v>
      </c>
      <c r="E38" s="130">
        <v>1.4375</v>
      </c>
      <c r="F38" s="117" t="s">
        <v>63</v>
      </c>
      <c r="G38" s="119">
        <v>9</v>
      </c>
      <c r="H38" s="120" t="s">
        <v>961</v>
      </c>
    </row>
    <row r="39" spans="1:8" ht="19.899999999999999" customHeight="1">
      <c r="A39" s="123">
        <v>46051</v>
      </c>
      <c r="B39" s="124" t="s">
        <v>402</v>
      </c>
      <c r="C39" s="125" t="s">
        <v>1217</v>
      </c>
      <c r="D39" s="124" t="s">
        <v>1213</v>
      </c>
      <c r="E39" s="126">
        <v>1.020833333333333</v>
      </c>
      <c r="F39" s="124" t="s">
        <v>63</v>
      </c>
      <c r="G39" s="127">
        <v>9</v>
      </c>
      <c r="H39" s="128" t="s">
        <v>1218</v>
      </c>
    </row>
    <row r="40" spans="1:8" ht="19.899999999999999" customHeight="1">
      <c r="A40" s="136">
        <v>46052</v>
      </c>
      <c r="B40" s="132" t="s">
        <v>61</v>
      </c>
      <c r="C40" s="133" t="s">
        <v>1214</v>
      </c>
      <c r="D40" s="132" t="s">
        <v>1213</v>
      </c>
      <c r="E40" s="137">
        <v>1.166666666666667</v>
      </c>
      <c r="F40" s="132" t="s">
        <v>63</v>
      </c>
      <c r="G40" s="134">
        <v>9</v>
      </c>
      <c r="H40" s="135" t="s">
        <v>1219</v>
      </c>
    </row>
    <row r="41" spans="1:8" ht="19.899999999999999" customHeight="1">
      <c r="A41" s="136">
        <v>46053</v>
      </c>
      <c r="B41" s="132" t="s">
        <v>61</v>
      </c>
      <c r="C41" s="133" t="s">
        <v>1214</v>
      </c>
      <c r="D41" s="132" t="s">
        <v>1213</v>
      </c>
      <c r="E41" s="137">
        <v>1.125</v>
      </c>
      <c r="F41" s="132" t="s">
        <v>63</v>
      </c>
      <c r="G41" s="134">
        <v>9</v>
      </c>
      <c r="H41" s="135" t="s">
        <v>1219</v>
      </c>
    </row>
  </sheetData>
  <pageMargins left="0.75" right="0.75" top="1" bottom="1" header="0.5" footer="0.5"/>
  <legacyDrawing r:id="rId1"/>
  <tableParts count="1">
    <tablePart r:id="rId2"/>
  </tablePar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32"/>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29.28515625" bestFit="1" customWidth="1"/>
    <col min="7" max="7" width="20" bestFit="1" customWidth="1"/>
    <col min="8" max="8" width="23.7109375" bestFit="1" customWidth="1"/>
    <col min="9" max="9" width="162.140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31" t="s">
        <v>254</v>
      </c>
      <c r="B2" s="132" t="s">
        <v>61</v>
      </c>
      <c r="C2" s="133" t="s">
        <v>1214</v>
      </c>
      <c r="D2" s="132" t="s">
        <v>1213</v>
      </c>
      <c r="E2" s="132" t="s">
        <v>563</v>
      </c>
      <c r="F2" s="132" t="s">
        <v>63</v>
      </c>
      <c r="G2" s="134">
        <v>9</v>
      </c>
      <c r="H2" s="135" t="s">
        <v>961</v>
      </c>
    </row>
    <row r="3" spans="1:8" ht="19.899999999999999" customHeight="1">
      <c r="A3" s="136">
        <v>46024</v>
      </c>
      <c r="B3" s="132" t="s">
        <v>61</v>
      </c>
      <c r="C3" s="133" t="s">
        <v>1214</v>
      </c>
      <c r="D3" s="132" t="s">
        <v>1213</v>
      </c>
      <c r="E3" s="137">
        <v>1.166666666666667</v>
      </c>
      <c r="F3" s="132" t="s">
        <v>63</v>
      </c>
      <c r="G3" s="134">
        <v>9</v>
      </c>
      <c r="H3" s="135" t="s">
        <v>1219</v>
      </c>
    </row>
    <row r="4" spans="1:8" ht="19.899999999999999" customHeight="1">
      <c r="A4" s="136">
        <v>46025</v>
      </c>
      <c r="B4" s="132" t="s">
        <v>61</v>
      </c>
      <c r="C4" s="133" t="s">
        <v>1214</v>
      </c>
      <c r="D4" s="132" t="s">
        <v>1213</v>
      </c>
      <c r="E4" s="137">
        <v>1.125</v>
      </c>
      <c r="F4" s="132" t="s">
        <v>63</v>
      </c>
      <c r="G4" s="134">
        <v>9</v>
      </c>
      <c r="H4" s="135" t="s">
        <v>1221</v>
      </c>
    </row>
    <row r="5" spans="1:8" ht="19.899999999999999" customHeight="1">
      <c r="A5" s="136">
        <v>46026</v>
      </c>
      <c r="B5" s="132" t="s">
        <v>61</v>
      </c>
      <c r="C5" s="133" t="s">
        <v>1214</v>
      </c>
      <c r="D5" s="132" t="s">
        <v>1213</v>
      </c>
      <c r="E5" s="137">
        <v>1.2152777777777779</v>
      </c>
      <c r="F5" s="132" t="s">
        <v>63</v>
      </c>
      <c r="G5" s="134">
        <v>3</v>
      </c>
      <c r="H5" s="135" t="s">
        <v>349</v>
      </c>
    </row>
    <row r="6" spans="1:8" ht="19.899999999999999" customHeight="1">
      <c r="A6" s="136">
        <v>46027</v>
      </c>
      <c r="B6" s="132" t="s">
        <v>61</v>
      </c>
      <c r="C6" s="133" t="s">
        <v>1214</v>
      </c>
      <c r="D6" s="132" t="s">
        <v>1213</v>
      </c>
      <c r="E6" s="137">
        <v>1.166666666666667</v>
      </c>
      <c r="F6" s="132" t="s">
        <v>63</v>
      </c>
      <c r="G6" s="134">
        <v>7</v>
      </c>
      <c r="H6" s="135" t="s">
        <v>349</v>
      </c>
    </row>
    <row r="7" spans="1:8" ht="19.899999999999999" customHeight="1">
      <c r="A7" s="136">
        <v>46028</v>
      </c>
      <c r="B7" s="132" t="s">
        <v>61</v>
      </c>
      <c r="C7" s="133" t="s">
        <v>1214</v>
      </c>
      <c r="D7" s="132" t="s">
        <v>1213</v>
      </c>
      <c r="E7" s="137">
        <v>1.833333333333333</v>
      </c>
      <c r="F7" s="132" t="s">
        <v>63</v>
      </c>
      <c r="G7" s="134">
        <v>9</v>
      </c>
      <c r="H7" s="135" t="s">
        <v>961</v>
      </c>
    </row>
    <row r="8" spans="1:8" ht="19.899999999999999" customHeight="1">
      <c r="A8" s="136">
        <v>46029</v>
      </c>
      <c r="B8" s="132" t="s">
        <v>61</v>
      </c>
      <c r="C8" s="133" t="s">
        <v>1214</v>
      </c>
      <c r="D8" s="132" t="s">
        <v>1213</v>
      </c>
      <c r="E8" s="137">
        <v>1.8263888888888891</v>
      </c>
      <c r="F8" s="132" t="s">
        <v>63</v>
      </c>
      <c r="G8" s="134">
        <v>9</v>
      </c>
      <c r="H8" s="135" t="s">
        <v>961</v>
      </c>
    </row>
    <row r="9" spans="1:8" ht="19.899999999999999" customHeight="1">
      <c r="A9" s="136">
        <v>46030</v>
      </c>
      <c r="B9" s="132" t="s">
        <v>61</v>
      </c>
      <c r="C9" s="133" t="s">
        <v>1214</v>
      </c>
      <c r="D9" s="132" t="s">
        <v>1213</v>
      </c>
      <c r="E9" s="137">
        <v>1.4375</v>
      </c>
      <c r="F9" s="132" t="s">
        <v>63</v>
      </c>
      <c r="G9" s="134">
        <v>9</v>
      </c>
      <c r="H9" s="135" t="s">
        <v>961</v>
      </c>
    </row>
    <row r="10" spans="1:8" ht="19.899999999999999" customHeight="1">
      <c r="A10" s="136">
        <v>46031</v>
      </c>
      <c r="B10" s="132" t="s">
        <v>61</v>
      </c>
      <c r="C10" s="133" t="s">
        <v>1214</v>
      </c>
      <c r="D10" s="132" t="s">
        <v>1213</v>
      </c>
      <c r="E10" s="137">
        <v>1.166666666666667</v>
      </c>
      <c r="F10" s="132" t="s">
        <v>63</v>
      </c>
      <c r="G10" s="134">
        <v>9</v>
      </c>
      <c r="H10" s="135" t="s">
        <v>961</v>
      </c>
    </row>
    <row r="11" spans="1:8" ht="19.899999999999999" customHeight="1">
      <c r="A11" s="136">
        <v>46032</v>
      </c>
      <c r="B11" s="132" t="s">
        <v>61</v>
      </c>
      <c r="C11" s="133" t="s">
        <v>1214</v>
      </c>
      <c r="D11" s="132" t="s">
        <v>1213</v>
      </c>
      <c r="E11" s="137">
        <v>1.125</v>
      </c>
      <c r="F11" s="132" t="s">
        <v>63</v>
      </c>
      <c r="G11" s="134">
        <v>9</v>
      </c>
      <c r="H11" s="135" t="s">
        <v>1226</v>
      </c>
    </row>
    <row r="12" spans="1:8" ht="19.899999999999999" customHeight="1">
      <c r="A12" s="136">
        <v>46033</v>
      </c>
      <c r="B12" s="132" t="s">
        <v>61</v>
      </c>
      <c r="C12" s="133" t="s">
        <v>1214</v>
      </c>
      <c r="D12" s="132" t="s">
        <v>1213</v>
      </c>
      <c r="E12" s="137">
        <v>1.2152777777777779</v>
      </c>
      <c r="F12" s="132" t="s">
        <v>63</v>
      </c>
      <c r="G12" s="134">
        <v>9</v>
      </c>
      <c r="H12" s="135" t="s">
        <v>961</v>
      </c>
    </row>
    <row r="13" spans="1:8" ht="19.899999999999999" customHeight="1">
      <c r="A13" s="136">
        <v>46034</v>
      </c>
      <c r="B13" s="132" t="s">
        <v>61</v>
      </c>
      <c r="C13" s="133" t="s">
        <v>1214</v>
      </c>
      <c r="D13" s="132" t="s">
        <v>1213</v>
      </c>
      <c r="E13" s="137">
        <v>1.166666666666667</v>
      </c>
      <c r="F13" s="132" t="s">
        <v>63</v>
      </c>
      <c r="G13" s="134">
        <v>9</v>
      </c>
      <c r="H13" s="135" t="s">
        <v>1219</v>
      </c>
    </row>
    <row r="14" spans="1:8" ht="19.899999999999999" customHeight="1">
      <c r="A14" s="136">
        <v>46035</v>
      </c>
      <c r="B14" s="132" t="s">
        <v>61</v>
      </c>
      <c r="C14" s="133" t="s">
        <v>1214</v>
      </c>
      <c r="D14" s="132" t="s">
        <v>1213</v>
      </c>
      <c r="E14" s="137">
        <v>1.833333333333333</v>
      </c>
      <c r="F14" s="132" t="s">
        <v>63</v>
      </c>
      <c r="G14" s="134">
        <v>9</v>
      </c>
      <c r="H14" s="135" t="s">
        <v>1219</v>
      </c>
    </row>
    <row r="15" spans="1:8" ht="19.899999999999999" customHeight="1">
      <c r="A15" s="136">
        <v>46036</v>
      </c>
      <c r="B15" s="132" t="s">
        <v>61</v>
      </c>
      <c r="C15" s="133" t="s">
        <v>1214</v>
      </c>
      <c r="D15" s="132" t="s">
        <v>1213</v>
      </c>
      <c r="E15" s="137">
        <v>1.8263888888888891</v>
      </c>
      <c r="F15" s="132" t="s">
        <v>63</v>
      </c>
      <c r="G15" s="134">
        <v>9</v>
      </c>
      <c r="H15" s="135" t="s">
        <v>961</v>
      </c>
    </row>
    <row r="16" spans="1:8" ht="19.899999999999999" customHeight="1">
      <c r="A16" s="136">
        <v>46037</v>
      </c>
      <c r="B16" s="132" t="s">
        <v>61</v>
      </c>
      <c r="C16" s="133" t="s">
        <v>1214</v>
      </c>
      <c r="D16" s="132" t="s">
        <v>1213</v>
      </c>
      <c r="E16" s="137">
        <v>1.4375</v>
      </c>
      <c r="F16" s="132" t="s">
        <v>63</v>
      </c>
      <c r="G16" s="134">
        <v>9</v>
      </c>
      <c r="H16" s="135" t="s">
        <v>961</v>
      </c>
    </row>
    <row r="17" spans="1:8" ht="19.899999999999999" customHeight="1">
      <c r="A17" s="136">
        <v>46038</v>
      </c>
      <c r="B17" s="132" t="s">
        <v>61</v>
      </c>
      <c r="C17" s="133" t="s">
        <v>1214</v>
      </c>
      <c r="D17" s="132" t="s">
        <v>1213</v>
      </c>
      <c r="E17" s="137">
        <v>1.166666666666667</v>
      </c>
      <c r="F17" s="132" t="s">
        <v>63</v>
      </c>
      <c r="G17" s="134">
        <v>9</v>
      </c>
      <c r="H17" s="135" t="s">
        <v>1226</v>
      </c>
    </row>
    <row r="18" spans="1:8" ht="19.899999999999999" customHeight="1">
      <c r="A18" s="136">
        <v>46039</v>
      </c>
      <c r="B18" s="132" t="s">
        <v>61</v>
      </c>
      <c r="C18" s="133" t="s">
        <v>1214</v>
      </c>
      <c r="D18" s="132" t="s">
        <v>1213</v>
      </c>
      <c r="E18" s="137">
        <v>1.125</v>
      </c>
      <c r="F18" s="132" t="s">
        <v>63</v>
      </c>
      <c r="G18" s="134">
        <v>4</v>
      </c>
      <c r="H18" s="135" t="s">
        <v>1226</v>
      </c>
    </row>
    <row r="19" spans="1:8" ht="19.899999999999999" customHeight="1">
      <c r="A19" s="136">
        <v>46040</v>
      </c>
      <c r="B19" s="132" t="s">
        <v>61</v>
      </c>
      <c r="C19" s="133" t="s">
        <v>1214</v>
      </c>
      <c r="D19" s="132" t="s">
        <v>1213</v>
      </c>
      <c r="E19" s="137">
        <v>1.2152777777777779</v>
      </c>
      <c r="F19" s="132" t="s">
        <v>63</v>
      </c>
      <c r="G19" s="134">
        <v>5</v>
      </c>
      <c r="H19" s="135" t="s">
        <v>1221</v>
      </c>
    </row>
    <row r="20" spans="1:8" ht="19.899999999999999" customHeight="1">
      <c r="A20" s="136">
        <v>46041</v>
      </c>
      <c r="B20" s="132" t="s">
        <v>61</v>
      </c>
      <c r="C20" s="133" t="s">
        <v>1214</v>
      </c>
      <c r="D20" s="132" t="s">
        <v>1213</v>
      </c>
      <c r="E20" s="137">
        <v>1.166666666666667</v>
      </c>
      <c r="F20" s="132" t="s">
        <v>63</v>
      </c>
      <c r="G20" s="134">
        <v>9</v>
      </c>
      <c r="H20" s="135" t="s">
        <v>1219</v>
      </c>
    </row>
    <row r="21" spans="1:8" ht="19.899999999999999" customHeight="1">
      <c r="A21" s="136">
        <v>46042</v>
      </c>
      <c r="B21" s="132" t="s">
        <v>61</v>
      </c>
      <c r="C21" s="133" t="s">
        <v>1214</v>
      </c>
      <c r="D21" s="132" t="s">
        <v>1213</v>
      </c>
      <c r="E21" s="137">
        <v>1.833333333333333</v>
      </c>
      <c r="F21" s="132" t="s">
        <v>63</v>
      </c>
      <c r="G21" s="134">
        <v>7</v>
      </c>
      <c r="H21" s="135" t="s">
        <v>1219</v>
      </c>
    </row>
    <row r="22" spans="1:8" ht="19.899999999999999" customHeight="1">
      <c r="A22" s="136">
        <v>46043</v>
      </c>
      <c r="B22" s="132" t="s">
        <v>61</v>
      </c>
      <c r="C22" s="133" t="s">
        <v>1214</v>
      </c>
      <c r="D22" s="132" t="s">
        <v>1213</v>
      </c>
      <c r="E22" s="137">
        <v>1.8263888888888891</v>
      </c>
      <c r="F22" s="132" t="s">
        <v>63</v>
      </c>
      <c r="G22" s="134">
        <v>9</v>
      </c>
      <c r="H22" s="135" t="s">
        <v>961</v>
      </c>
    </row>
    <row r="23" spans="1:8" ht="19.899999999999999" customHeight="1">
      <c r="A23" s="136">
        <v>46044</v>
      </c>
      <c r="B23" s="132" t="s">
        <v>61</v>
      </c>
      <c r="C23" s="133" t="s">
        <v>1214</v>
      </c>
      <c r="D23" s="132" t="s">
        <v>1213</v>
      </c>
      <c r="E23" s="137">
        <v>1.4375</v>
      </c>
      <c r="F23" s="132" t="s">
        <v>63</v>
      </c>
      <c r="G23" s="134">
        <v>9</v>
      </c>
      <c r="H23" s="135" t="s">
        <v>1219</v>
      </c>
    </row>
    <row r="24" spans="1:8" ht="19.899999999999999" customHeight="1">
      <c r="A24" s="136">
        <v>46045</v>
      </c>
      <c r="B24" s="132" t="s">
        <v>61</v>
      </c>
      <c r="C24" s="133" t="s">
        <v>1214</v>
      </c>
      <c r="D24" s="132" t="s">
        <v>1213</v>
      </c>
      <c r="E24" s="137">
        <v>1.166666666666667</v>
      </c>
      <c r="F24" s="132" t="s">
        <v>63</v>
      </c>
      <c r="G24" s="134">
        <v>9</v>
      </c>
      <c r="H24" s="135" t="s">
        <v>961</v>
      </c>
    </row>
    <row r="25" spans="1:8" ht="19.899999999999999" customHeight="1">
      <c r="A25" s="136">
        <v>46046</v>
      </c>
      <c r="B25" s="132" t="s">
        <v>61</v>
      </c>
      <c r="C25" s="133" t="s">
        <v>1214</v>
      </c>
      <c r="D25" s="132" t="s">
        <v>1213</v>
      </c>
      <c r="E25" s="137">
        <v>1.125</v>
      </c>
      <c r="F25" s="132" t="s">
        <v>63</v>
      </c>
      <c r="G25" s="134">
        <v>9</v>
      </c>
      <c r="H25" s="135" t="s">
        <v>1219</v>
      </c>
    </row>
    <row r="26" spans="1:8" ht="19.899999999999999" customHeight="1">
      <c r="A26" s="136">
        <v>46047</v>
      </c>
      <c r="B26" s="132" t="s">
        <v>61</v>
      </c>
      <c r="C26" s="133" t="s">
        <v>1214</v>
      </c>
      <c r="D26" s="132" t="s">
        <v>1213</v>
      </c>
      <c r="E26" s="137">
        <v>1.2152777777777779</v>
      </c>
      <c r="F26" s="132" t="s">
        <v>63</v>
      </c>
      <c r="G26" s="134">
        <v>9</v>
      </c>
      <c r="H26" s="135" t="s">
        <v>961</v>
      </c>
    </row>
    <row r="27" spans="1:8" ht="19.899999999999999" customHeight="1">
      <c r="A27" s="136">
        <v>46048</v>
      </c>
      <c r="B27" s="132" t="s">
        <v>61</v>
      </c>
      <c r="C27" s="133" t="s">
        <v>1214</v>
      </c>
      <c r="D27" s="132" t="s">
        <v>1213</v>
      </c>
      <c r="E27" s="137">
        <v>1.166666666666667</v>
      </c>
      <c r="F27" s="132" t="s">
        <v>63</v>
      </c>
      <c r="G27" s="134">
        <v>9</v>
      </c>
      <c r="H27" s="135" t="s">
        <v>1219</v>
      </c>
    </row>
    <row r="28" spans="1:8" ht="19.899999999999999" customHeight="1">
      <c r="A28" s="136">
        <v>46049</v>
      </c>
      <c r="B28" s="132" t="s">
        <v>61</v>
      </c>
      <c r="C28" s="133" t="s">
        <v>1214</v>
      </c>
      <c r="D28" s="132" t="s">
        <v>1213</v>
      </c>
      <c r="E28" s="137">
        <v>1.833333333333333</v>
      </c>
      <c r="F28" s="132" t="s">
        <v>63</v>
      </c>
      <c r="G28" s="134">
        <v>9</v>
      </c>
      <c r="H28" s="135" t="s">
        <v>1219</v>
      </c>
    </row>
    <row r="29" spans="1:8" ht="19.899999999999999" customHeight="1">
      <c r="A29" s="136">
        <v>46050</v>
      </c>
      <c r="B29" s="132" t="s">
        <v>61</v>
      </c>
      <c r="C29" s="133" t="s">
        <v>1214</v>
      </c>
      <c r="D29" s="132" t="s">
        <v>1213</v>
      </c>
      <c r="E29" s="137">
        <v>1.8263888888888891</v>
      </c>
      <c r="F29" s="132" t="s">
        <v>63</v>
      </c>
      <c r="G29" s="134">
        <v>9</v>
      </c>
      <c r="H29" s="135" t="s">
        <v>961</v>
      </c>
    </row>
    <row r="30" spans="1:8" ht="19.899999999999999" customHeight="1">
      <c r="A30" s="136">
        <v>46051</v>
      </c>
      <c r="B30" s="132" t="s">
        <v>61</v>
      </c>
      <c r="C30" s="133" t="s">
        <v>1214</v>
      </c>
      <c r="D30" s="132" t="s">
        <v>1213</v>
      </c>
      <c r="E30" s="137">
        <v>1.4375</v>
      </c>
      <c r="F30" s="132" t="s">
        <v>63</v>
      </c>
      <c r="G30" s="134">
        <v>9</v>
      </c>
      <c r="H30" s="135" t="s">
        <v>961</v>
      </c>
    </row>
    <row r="31" spans="1:8" ht="19.899999999999999" customHeight="1">
      <c r="A31" s="136">
        <v>46052</v>
      </c>
      <c r="B31" s="132" t="s">
        <v>61</v>
      </c>
      <c r="C31" s="133" t="s">
        <v>1214</v>
      </c>
      <c r="D31" s="132" t="s">
        <v>1213</v>
      </c>
      <c r="E31" s="137">
        <v>1.166666666666667</v>
      </c>
      <c r="F31" s="132" t="s">
        <v>63</v>
      </c>
      <c r="G31" s="134">
        <v>9</v>
      </c>
      <c r="H31" s="135" t="s">
        <v>1219</v>
      </c>
    </row>
    <row r="32" spans="1:8" ht="19.899999999999999" customHeight="1">
      <c r="A32" s="136">
        <v>46053</v>
      </c>
      <c r="B32" s="132" t="s">
        <v>61</v>
      </c>
      <c r="C32" s="133" t="s">
        <v>1214</v>
      </c>
      <c r="D32" s="132" t="s">
        <v>1213</v>
      </c>
      <c r="E32" s="137">
        <v>1.125</v>
      </c>
      <c r="F32" s="132" t="s">
        <v>63</v>
      </c>
      <c r="G32" s="134">
        <v>9</v>
      </c>
      <c r="H32" s="135" t="s">
        <v>1219</v>
      </c>
    </row>
  </sheetData>
  <pageMargins left="0.75" right="0.75" top="1" bottom="1" header="0.5" footer="0.5"/>
  <legacyDrawing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169"/>
  <sheetViews>
    <sheetView workbookViewId="0"/>
  </sheetViews>
  <sheetFormatPr defaultRowHeight="14.45"/>
  <cols>
    <col min="1" max="1" width="17.28515625" bestFit="1" customWidth="1"/>
    <col min="2" max="2" width="15.7109375" bestFit="1" customWidth="1"/>
    <col min="3" max="3" width="14.7109375" bestFit="1" customWidth="1"/>
    <col min="4" max="4" width="32.85546875" bestFit="1" customWidth="1"/>
    <col min="5" max="5" width="18.5703125" bestFit="1" customWidth="1"/>
    <col min="6" max="6" width="23.42578125" bestFit="1" customWidth="1"/>
    <col min="7" max="7" width="45.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27.42578125" bestFit="1" customWidth="1"/>
  </cols>
  <sheetData>
    <row r="1" spans="1:92" ht="28.9" customHeight="1">
      <c r="A1" s="291" t="s">
        <v>0</v>
      </c>
      <c r="B1" s="294"/>
      <c r="C1" s="294"/>
      <c r="D1" s="294"/>
      <c r="E1" s="294"/>
      <c r="F1" s="1" t="s">
        <v>1239</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45980.610567215408</v>
      </c>
      <c r="H2" s="294"/>
      <c r="I2" s="294"/>
      <c r="J2" s="294"/>
      <c r="K2" s="287">
        <v>45980.610567215743</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46023</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67" t="s">
        <v>61</v>
      </c>
      <c r="B6" s="67" t="s">
        <v>1240</v>
      </c>
      <c r="C6" s="68">
        <v>0.80208333333333337</v>
      </c>
      <c r="D6" s="67" t="s">
        <v>63</v>
      </c>
      <c r="E6" s="67" t="s">
        <v>156</v>
      </c>
      <c r="F6" s="67" t="s">
        <v>907</v>
      </c>
      <c r="G6" s="297"/>
      <c r="H6" s="69" t="s">
        <v>1241</v>
      </c>
      <c r="I6" s="70">
        <v>0.1229</v>
      </c>
      <c r="J6" s="71">
        <v>22</v>
      </c>
      <c r="K6" s="72">
        <v>46345</v>
      </c>
      <c r="L6" s="71">
        <v>22</v>
      </c>
      <c r="M6" s="71">
        <v>0</v>
      </c>
      <c r="N6" s="71">
        <v>0</v>
      </c>
      <c r="O6" s="73" t="s">
        <v>430</v>
      </c>
      <c r="P6" s="74">
        <v>0.80208333333333337</v>
      </c>
      <c r="Q6" s="71">
        <v>179</v>
      </c>
      <c r="R6" s="75" t="s">
        <v>1242</v>
      </c>
    </row>
    <row r="7" spans="1:92" ht="49.9" customHeight="1" thickBot="1">
      <c r="A7" s="96" t="s">
        <v>402</v>
      </c>
      <c r="B7" s="96" t="s">
        <v>1243</v>
      </c>
      <c r="C7" s="97">
        <v>0.76388888888888884</v>
      </c>
      <c r="D7" s="96" t="s">
        <v>63</v>
      </c>
      <c r="E7" s="96" t="s">
        <v>29</v>
      </c>
      <c r="F7" s="96" t="s">
        <v>647</v>
      </c>
      <c r="G7" s="299"/>
      <c r="H7" s="300"/>
      <c r="I7" s="140"/>
      <c r="J7" s="140"/>
      <c r="K7" s="140"/>
      <c r="L7" s="140"/>
      <c r="M7" s="140"/>
      <c r="N7" s="140"/>
      <c r="O7" s="141"/>
      <c r="P7" s="140"/>
      <c r="Q7" s="142"/>
      <c r="R7" s="301"/>
    </row>
    <row r="8" spans="1:92" ht="17.45" customHeight="1" thickBot="1">
      <c r="A8" s="283"/>
      <c r="B8" s="284"/>
      <c r="C8" s="284"/>
      <c r="D8" s="284"/>
      <c r="E8" s="284"/>
      <c r="F8" s="284"/>
      <c r="G8" s="284"/>
      <c r="H8" s="284"/>
      <c r="I8" s="284"/>
      <c r="J8" s="284"/>
      <c r="K8" s="284"/>
      <c r="L8" s="284"/>
      <c r="M8" s="284"/>
      <c r="N8" s="284"/>
      <c r="O8" s="284"/>
      <c r="P8" s="284"/>
      <c r="Q8" s="284"/>
      <c r="R8" s="285"/>
    </row>
    <row r="9" spans="1:92" ht="22.15" customHeight="1" thickTop="1" thickBot="1">
      <c r="A9" s="279" t="s">
        <v>6</v>
      </c>
      <c r="B9" s="295"/>
      <c r="C9" s="295"/>
      <c r="D9" s="295"/>
      <c r="E9" s="295"/>
      <c r="F9" s="296"/>
      <c r="G9" s="32">
        <v>46024</v>
      </c>
      <c r="H9" s="278" t="s">
        <v>7</v>
      </c>
      <c r="I9" s="295"/>
      <c r="J9" s="295"/>
      <c r="K9" s="295"/>
      <c r="L9" s="295"/>
      <c r="M9" s="295"/>
      <c r="N9" s="295"/>
      <c r="O9" s="295"/>
      <c r="P9" s="295"/>
      <c r="Q9" s="295"/>
      <c r="R9" s="296"/>
    </row>
    <row r="10" spans="1:92" ht="24" customHeight="1">
      <c r="A10" s="33" t="s">
        <v>8</v>
      </c>
      <c r="B10" s="33" t="s">
        <v>9</v>
      </c>
      <c r="C10" s="34" t="s">
        <v>10</v>
      </c>
      <c r="D10" s="33" t="s">
        <v>11</v>
      </c>
      <c r="E10" s="33" t="s">
        <v>12</v>
      </c>
      <c r="F10" s="35" t="s">
        <v>13</v>
      </c>
      <c r="G10" s="36" t="s">
        <v>14</v>
      </c>
      <c r="H10" s="33" t="s">
        <v>15</v>
      </c>
      <c r="I10" s="37" t="s">
        <v>16</v>
      </c>
      <c r="J10" s="38" t="s">
        <v>17</v>
      </c>
      <c r="K10" s="39" t="s">
        <v>18</v>
      </c>
      <c r="L10" s="38" t="s">
        <v>19</v>
      </c>
      <c r="M10" s="38" t="s">
        <v>20</v>
      </c>
      <c r="N10" s="38" t="s">
        <v>21</v>
      </c>
      <c r="O10" s="33" t="s">
        <v>22</v>
      </c>
      <c r="P10" s="34" t="s">
        <v>23</v>
      </c>
      <c r="Q10" s="38" t="s">
        <v>24</v>
      </c>
      <c r="R10" s="33" t="s">
        <v>25</v>
      </c>
    </row>
    <row r="11" spans="1:92" ht="49.9" customHeight="1">
      <c r="A11" s="8" t="s">
        <v>359</v>
      </c>
      <c r="B11" s="8" t="s">
        <v>1244</v>
      </c>
      <c r="C11" s="9">
        <v>0.72569444444444453</v>
      </c>
      <c r="D11" s="8" t="s">
        <v>361</v>
      </c>
      <c r="E11" s="8" t="s">
        <v>80</v>
      </c>
      <c r="F11" s="8" t="s">
        <v>1245</v>
      </c>
      <c r="G11" s="297"/>
      <c r="H11" s="10"/>
      <c r="I11" s="11"/>
      <c r="J11" s="11"/>
      <c r="K11" s="11"/>
      <c r="L11" s="11"/>
      <c r="M11" s="11"/>
      <c r="N11" s="11"/>
      <c r="O11" s="12"/>
      <c r="P11" s="11"/>
      <c r="Q11" s="13"/>
      <c r="R11" s="14"/>
    </row>
    <row r="12" spans="1:92" ht="49.9" customHeight="1" thickTop="1" thickBot="1">
      <c r="A12" s="76" t="s">
        <v>359</v>
      </c>
      <c r="B12" s="76" t="s">
        <v>1244</v>
      </c>
      <c r="C12" s="77">
        <v>0.72569444444444453</v>
      </c>
      <c r="D12" s="76" t="s">
        <v>46</v>
      </c>
      <c r="E12" s="76" t="s">
        <v>82</v>
      </c>
      <c r="F12" s="76" t="s">
        <v>1246</v>
      </c>
      <c r="G12" s="299"/>
      <c r="H12" s="300"/>
      <c r="I12" s="140"/>
      <c r="J12" s="140"/>
      <c r="K12" s="140"/>
      <c r="L12" s="140"/>
      <c r="M12" s="140"/>
      <c r="N12" s="140"/>
      <c r="O12" s="141"/>
      <c r="P12" s="140"/>
      <c r="Q12" s="142"/>
      <c r="R12" s="301"/>
    </row>
    <row r="13" spans="1:92" ht="17.45" customHeight="1" thickBot="1">
      <c r="A13" s="283"/>
      <c r="B13" s="284"/>
      <c r="C13" s="284"/>
      <c r="D13" s="284"/>
      <c r="E13" s="284"/>
      <c r="F13" s="284"/>
      <c r="G13" s="284"/>
      <c r="H13" s="284"/>
      <c r="I13" s="284"/>
      <c r="J13" s="284"/>
      <c r="K13" s="284"/>
      <c r="L13" s="284"/>
      <c r="M13" s="284"/>
      <c r="N13" s="284"/>
      <c r="O13" s="284"/>
      <c r="P13" s="284"/>
      <c r="Q13" s="284"/>
      <c r="R13" s="285"/>
    </row>
    <row r="14" spans="1:92" ht="22.15" customHeight="1" thickTop="1" thickBot="1">
      <c r="A14" s="279" t="s">
        <v>6</v>
      </c>
      <c r="B14" s="295"/>
      <c r="C14" s="295"/>
      <c r="D14" s="295"/>
      <c r="E14" s="295"/>
      <c r="F14" s="296"/>
      <c r="G14" s="32">
        <v>46025</v>
      </c>
      <c r="H14" s="278" t="s">
        <v>7</v>
      </c>
      <c r="I14" s="295"/>
      <c r="J14" s="295"/>
      <c r="K14" s="295"/>
      <c r="L14" s="295"/>
      <c r="M14" s="295"/>
      <c r="N14" s="295"/>
      <c r="O14" s="295"/>
      <c r="P14" s="295"/>
      <c r="Q14" s="295"/>
      <c r="R14" s="296"/>
    </row>
    <row r="15" spans="1:92" ht="24" customHeight="1">
      <c r="A15" s="33" t="s">
        <v>8</v>
      </c>
      <c r="B15" s="33" t="s">
        <v>9</v>
      </c>
      <c r="C15" s="34" t="s">
        <v>10</v>
      </c>
      <c r="D15" s="33" t="s">
        <v>11</v>
      </c>
      <c r="E15" s="33" t="s">
        <v>12</v>
      </c>
      <c r="F15" s="35" t="s">
        <v>13</v>
      </c>
      <c r="G15" s="36" t="s">
        <v>14</v>
      </c>
      <c r="H15" s="33" t="s">
        <v>15</v>
      </c>
      <c r="I15" s="37" t="s">
        <v>16</v>
      </c>
      <c r="J15" s="38" t="s">
        <v>17</v>
      </c>
      <c r="K15" s="39" t="s">
        <v>18</v>
      </c>
      <c r="L15" s="38" t="s">
        <v>19</v>
      </c>
      <c r="M15" s="38" t="s">
        <v>20</v>
      </c>
      <c r="N15" s="38" t="s">
        <v>21</v>
      </c>
      <c r="O15" s="33" t="s">
        <v>22</v>
      </c>
      <c r="P15" s="34" t="s">
        <v>23</v>
      </c>
      <c r="Q15" s="38" t="s">
        <v>24</v>
      </c>
      <c r="R15" s="33" t="s">
        <v>25</v>
      </c>
    </row>
    <row r="16" spans="1:92" ht="49.9" customHeight="1">
      <c r="A16" s="58" t="s">
        <v>61</v>
      </c>
      <c r="B16" s="58" t="s">
        <v>1240</v>
      </c>
      <c r="C16" s="59">
        <v>0.80208333333333337</v>
      </c>
      <c r="D16" s="58" t="s">
        <v>63</v>
      </c>
      <c r="E16" s="58" t="s">
        <v>177</v>
      </c>
      <c r="F16" s="58" t="s">
        <v>161</v>
      </c>
      <c r="G16" s="297"/>
      <c r="H16" s="60" t="s">
        <v>1241</v>
      </c>
      <c r="I16" s="61">
        <v>0.14530000000000001</v>
      </c>
      <c r="J16" s="62">
        <v>26</v>
      </c>
      <c r="K16" s="63">
        <v>46344</v>
      </c>
      <c r="L16" s="62">
        <v>26</v>
      </c>
      <c r="M16" s="62">
        <v>0</v>
      </c>
      <c r="N16" s="62">
        <v>0</v>
      </c>
      <c r="O16" s="64" t="s">
        <v>305</v>
      </c>
      <c r="P16" s="65">
        <v>0.80208333333333337</v>
      </c>
      <c r="Q16" s="62">
        <v>179</v>
      </c>
      <c r="R16" s="66" t="s">
        <v>1247</v>
      </c>
    </row>
    <row r="17" spans="1:18" ht="49.9" customHeight="1" thickBot="1">
      <c r="A17" s="96" t="s">
        <v>402</v>
      </c>
      <c r="B17" s="96" t="s">
        <v>1248</v>
      </c>
      <c r="C17" s="97">
        <v>3.472222222222222E-3</v>
      </c>
      <c r="D17" s="96" t="s">
        <v>63</v>
      </c>
      <c r="E17" s="96" t="s">
        <v>103</v>
      </c>
      <c r="F17" s="96" t="s">
        <v>647</v>
      </c>
      <c r="G17" s="299"/>
      <c r="H17" s="300"/>
      <c r="I17" s="140"/>
      <c r="J17" s="140"/>
      <c r="K17" s="140"/>
      <c r="L17" s="140"/>
      <c r="M17" s="140"/>
      <c r="N17" s="140"/>
      <c r="O17" s="141"/>
      <c r="P17" s="140"/>
      <c r="Q17" s="142"/>
      <c r="R17" s="301"/>
    </row>
    <row r="18" spans="1:18" ht="17.45" customHeight="1" thickBot="1">
      <c r="A18" s="283"/>
      <c r="B18" s="284"/>
      <c r="C18" s="284"/>
      <c r="D18" s="284"/>
      <c r="E18" s="284"/>
      <c r="F18" s="284"/>
      <c r="G18" s="284"/>
      <c r="H18" s="284"/>
      <c r="I18" s="284"/>
      <c r="J18" s="284"/>
      <c r="K18" s="284"/>
      <c r="L18" s="284"/>
      <c r="M18" s="284"/>
      <c r="N18" s="284"/>
      <c r="O18" s="284"/>
      <c r="P18" s="284"/>
      <c r="Q18" s="284"/>
      <c r="R18" s="285"/>
    </row>
    <row r="19" spans="1:18" ht="22.15" customHeight="1" thickTop="1" thickBot="1">
      <c r="A19" s="279" t="s">
        <v>6</v>
      </c>
      <c r="B19" s="295"/>
      <c r="C19" s="295"/>
      <c r="D19" s="295"/>
      <c r="E19" s="295"/>
      <c r="F19" s="296"/>
      <c r="G19" s="32">
        <v>46026</v>
      </c>
      <c r="H19" s="278" t="s">
        <v>7</v>
      </c>
      <c r="I19" s="295"/>
      <c r="J19" s="295"/>
      <c r="K19" s="295"/>
      <c r="L19" s="295"/>
      <c r="M19" s="295"/>
      <c r="N19" s="295"/>
      <c r="O19" s="295"/>
      <c r="P19" s="295"/>
      <c r="Q19" s="295"/>
      <c r="R19" s="296"/>
    </row>
    <row r="20" spans="1:18" ht="24" customHeight="1">
      <c r="A20" s="33" t="s">
        <v>8</v>
      </c>
      <c r="B20" s="33" t="s">
        <v>9</v>
      </c>
      <c r="C20" s="34" t="s">
        <v>10</v>
      </c>
      <c r="D20" s="33" t="s">
        <v>11</v>
      </c>
      <c r="E20" s="33" t="s">
        <v>12</v>
      </c>
      <c r="F20" s="35" t="s">
        <v>13</v>
      </c>
      <c r="G20" s="36" t="s">
        <v>14</v>
      </c>
      <c r="H20" s="33" t="s">
        <v>15</v>
      </c>
      <c r="I20" s="37" t="s">
        <v>16</v>
      </c>
      <c r="J20" s="38" t="s">
        <v>17</v>
      </c>
      <c r="K20" s="39" t="s">
        <v>18</v>
      </c>
      <c r="L20" s="38" t="s">
        <v>19</v>
      </c>
      <c r="M20" s="38" t="s">
        <v>20</v>
      </c>
      <c r="N20" s="38" t="s">
        <v>21</v>
      </c>
      <c r="O20" s="33" t="s">
        <v>22</v>
      </c>
      <c r="P20" s="34" t="s">
        <v>23</v>
      </c>
      <c r="Q20" s="38" t="s">
        <v>24</v>
      </c>
      <c r="R20" s="33" t="s">
        <v>25</v>
      </c>
    </row>
    <row r="21" spans="1:18" ht="49.9" customHeight="1">
      <c r="A21" s="8" t="s">
        <v>359</v>
      </c>
      <c r="B21" s="8" t="s">
        <v>1244</v>
      </c>
      <c r="C21" s="9">
        <v>0.80902777777777779</v>
      </c>
      <c r="D21" s="8" t="s">
        <v>361</v>
      </c>
      <c r="E21" s="8" t="s">
        <v>80</v>
      </c>
      <c r="F21" s="8" t="s">
        <v>1245</v>
      </c>
      <c r="G21" s="297"/>
      <c r="H21" s="10"/>
      <c r="I21" s="11"/>
      <c r="J21" s="11"/>
      <c r="K21" s="11"/>
      <c r="L21" s="11"/>
      <c r="M21" s="11"/>
      <c r="N21" s="11"/>
      <c r="O21" s="12"/>
      <c r="P21" s="11"/>
      <c r="Q21" s="13"/>
      <c r="R21" s="14"/>
    </row>
    <row r="22" spans="1:18" ht="49.9" customHeight="1">
      <c r="A22" s="15" t="s">
        <v>359</v>
      </c>
      <c r="B22" s="15" t="s">
        <v>1244</v>
      </c>
      <c r="C22" s="16">
        <v>0.80902777777777779</v>
      </c>
      <c r="D22" s="15" t="s">
        <v>46</v>
      </c>
      <c r="E22" s="15" t="s">
        <v>82</v>
      </c>
      <c r="F22" s="15" t="s">
        <v>1246</v>
      </c>
      <c r="G22" s="298"/>
      <c r="H22" s="10"/>
      <c r="I22" s="11"/>
      <c r="J22" s="11"/>
      <c r="K22" s="11"/>
      <c r="L22" s="11"/>
      <c r="M22" s="11"/>
      <c r="N22" s="11"/>
      <c r="O22" s="12"/>
      <c r="P22" s="11"/>
      <c r="Q22" s="13"/>
      <c r="R22" s="14"/>
    </row>
    <row r="23" spans="1:18" ht="49.9" customHeight="1" thickBot="1">
      <c r="A23" s="96" t="s">
        <v>402</v>
      </c>
      <c r="B23" s="96" t="s">
        <v>1243</v>
      </c>
      <c r="C23" s="97">
        <v>0.71875</v>
      </c>
      <c r="D23" s="96" t="s">
        <v>63</v>
      </c>
      <c r="E23" s="96" t="s">
        <v>143</v>
      </c>
      <c r="F23" s="96" t="s">
        <v>647</v>
      </c>
      <c r="G23" s="299"/>
      <c r="H23" s="300"/>
      <c r="I23" s="140"/>
      <c r="J23" s="140"/>
      <c r="K23" s="140"/>
      <c r="L23" s="140"/>
      <c r="M23" s="140"/>
      <c r="N23" s="140"/>
      <c r="O23" s="141"/>
      <c r="P23" s="140"/>
      <c r="Q23" s="142"/>
      <c r="R23" s="301"/>
    </row>
    <row r="24" spans="1:18" ht="17.45" customHeight="1" thickBot="1">
      <c r="A24" s="283"/>
      <c r="B24" s="284"/>
      <c r="C24" s="284"/>
      <c r="D24" s="284"/>
      <c r="E24" s="284"/>
      <c r="F24" s="284"/>
      <c r="G24" s="284"/>
      <c r="H24" s="284"/>
      <c r="I24" s="284"/>
      <c r="J24" s="284"/>
      <c r="K24" s="284"/>
      <c r="L24" s="284"/>
      <c r="M24" s="284"/>
      <c r="N24" s="284"/>
      <c r="O24" s="284"/>
      <c r="P24" s="284"/>
      <c r="Q24" s="284"/>
      <c r="R24" s="285"/>
    </row>
    <row r="25" spans="1:18" ht="22.15" customHeight="1" thickTop="1" thickBot="1">
      <c r="A25" s="279" t="s">
        <v>6</v>
      </c>
      <c r="B25" s="295"/>
      <c r="C25" s="295"/>
      <c r="D25" s="295"/>
      <c r="E25" s="295"/>
      <c r="F25" s="296"/>
      <c r="G25" s="32">
        <v>46027</v>
      </c>
      <c r="H25" s="278" t="s">
        <v>7</v>
      </c>
      <c r="I25" s="295"/>
      <c r="J25" s="295"/>
      <c r="K25" s="295"/>
      <c r="L25" s="295"/>
      <c r="M25" s="295"/>
      <c r="N25" s="295"/>
      <c r="O25" s="295"/>
      <c r="P25" s="295"/>
      <c r="Q25" s="295"/>
      <c r="R25" s="296"/>
    </row>
    <row r="26" spans="1:18" ht="24" customHeight="1">
      <c r="A26" s="33" t="s">
        <v>8</v>
      </c>
      <c r="B26" s="33" t="s">
        <v>9</v>
      </c>
      <c r="C26" s="34" t="s">
        <v>10</v>
      </c>
      <c r="D26" s="33" t="s">
        <v>11</v>
      </c>
      <c r="E26" s="33" t="s">
        <v>12</v>
      </c>
      <c r="F26" s="35" t="s">
        <v>13</v>
      </c>
      <c r="G26" s="36" t="s">
        <v>14</v>
      </c>
      <c r="H26" s="33" t="s">
        <v>15</v>
      </c>
      <c r="I26" s="37" t="s">
        <v>16</v>
      </c>
      <c r="J26" s="38" t="s">
        <v>17</v>
      </c>
      <c r="K26" s="39" t="s">
        <v>18</v>
      </c>
      <c r="L26" s="38" t="s">
        <v>19</v>
      </c>
      <c r="M26" s="38" t="s">
        <v>20</v>
      </c>
      <c r="N26" s="38" t="s">
        <v>21</v>
      </c>
      <c r="O26" s="33" t="s">
        <v>22</v>
      </c>
      <c r="P26" s="34" t="s">
        <v>23</v>
      </c>
      <c r="Q26" s="38" t="s">
        <v>24</v>
      </c>
      <c r="R26" s="33" t="s">
        <v>25</v>
      </c>
    </row>
    <row r="27" spans="1:18" ht="49.9" customHeight="1">
      <c r="A27" s="8" t="s">
        <v>359</v>
      </c>
      <c r="B27" s="8" t="s">
        <v>1249</v>
      </c>
      <c r="C27" s="9">
        <v>3.125E-2</v>
      </c>
      <c r="D27" s="8" t="s">
        <v>361</v>
      </c>
      <c r="E27" s="8" t="s">
        <v>80</v>
      </c>
      <c r="F27" s="8" t="s">
        <v>1250</v>
      </c>
      <c r="G27" s="297"/>
      <c r="H27" s="10"/>
      <c r="I27" s="11"/>
      <c r="J27" s="11"/>
      <c r="K27" s="11"/>
      <c r="L27" s="11"/>
      <c r="M27" s="11"/>
      <c r="N27" s="11"/>
      <c r="O27" s="12"/>
      <c r="P27" s="11"/>
      <c r="Q27" s="13"/>
      <c r="R27" s="14"/>
    </row>
    <row r="28" spans="1:18" ht="49.9" customHeight="1" thickTop="1" thickBot="1">
      <c r="A28" s="76" t="s">
        <v>359</v>
      </c>
      <c r="B28" s="76" t="s">
        <v>1249</v>
      </c>
      <c r="C28" s="77">
        <v>3.125E-2</v>
      </c>
      <c r="D28" s="76" t="s">
        <v>46</v>
      </c>
      <c r="E28" s="76" t="s">
        <v>82</v>
      </c>
      <c r="F28" s="76" t="s">
        <v>1251</v>
      </c>
      <c r="G28" s="299"/>
      <c r="H28" s="300"/>
      <c r="I28" s="140"/>
      <c r="J28" s="140"/>
      <c r="K28" s="140"/>
      <c r="L28" s="140"/>
      <c r="M28" s="140"/>
      <c r="N28" s="140"/>
      <c r="O28" s="141"/>
      <c r="P28" s="140"/>
      <c r="Q28" s="142"/>
      <c r="R28" s="301"/>
    </row>
    <row r="29" spans="1:18" ht="17.45" customHeight="1" thickBot="1">
      <c r="A29" s="283"/>
      <c r="B29" s="284"/>
      <c r="C29" s="284"/>
      <c r="D29" s="284"/>
      <c r="E29" s="284"/>
      <c r="F29" s="284"/>
      <c r="G29" s="284"/>
      <c r="H29" s="284"/>
      <c r="I29" s="284"/>
      <c r="J29" s="284"/>
      <c r="K29" s="284"/>
      <c r="L29" s="284"/>
      <c r="M29" s="284"/>
      <c r="N29" s="284"/>
      <c r="O29" s="284"/>
      <c r="P29" s="284"/>
      <c r="Q29" s="284"/>
      <c r="R29" s="285"/>
    </row>
    <row r="30" spans="1:18" ht="22.15" customHeight="1" thickTop="1" thickBot="1">
      <c r="A30" s="279" t="s">
        <v>6</v>
      </c>
      <c r="B30" s="295"/>
      <c r="C30" s="295"/>
      <c r="D30" s="295"/>
      <c r="E30" s="295"/>
      <c r="F30" s="296"/>
      <c r="G30" s="32">
        <v>46028</v>
      </c>
      <c r="H30" s="278" t="s">
        <v>7</v>
      </c>
      <c r="I30" s="295"/>
      <c r="J30" s="295"/>
      <c r="K30" s="295"/>
      <c r="L30" s="295"/>
      <c r="M30" s="295"/>
      <c r="N30" s="295"/>
      <c r="O30" s="295"/>
      <c r="P30" s="295"/>
      <c r="Q30" s="295"/>
      <c r="R30" s="296"/>
    </row>
    <row r="31" spans="1:18" ht="24" customHeight="1">
      <c r="A31" s="33" t="s">
        <v>8</v>
      </c>
      <c r="B31" s="33" t="s">
        <v>9</v>
      </c>
      <c r="C31" s="34" t="s">
        <v>10</v>
      </c>
      <c r="D31" s="33" t="s">
        <v>11</v>
      </c>
      <c r="E31" s="33" t="s">
        <v>12</v>
      </c>
      <c r="F31" s="35" t="s">
        <v>13</v>
      </c>
      <c r="G31" s="36" t="s">
        <v>14</v>
      </c>
      <c r="H31" s="33" t="s">
        <v>15</v>
      </c>
      <c r="I31" s="37" t="s">
        <v>16</v>
      </c>
      <c r="J31" s="38" t="s">
        <v>17</v>
      </c>
      <c r="K31" s="39" t="s">
        <v>18</v>
      </c>
      <c r="L31" s="38" t="s">
        <v>19</v>
      </c>
      <c r="M31" s="38" t="s">
        <v>20</v>
      </c>
      <c r="N31" s="38" t="s">
        <v>21</v>
      </c>
      <c r="O31" s="33" t="s">
        <v>22</v>
      </c>
      <c r="P31" s="34" t="s">
        <v>23</v>
      </c>
      <c r="Q31" s="38" t="s">
        <v>24</v>
      </c>
      <c r="R31" s="33" t="s">
        <v>25</v>
      </c>
    </row>
    <row r="32" spans="1:18" ht="49.9" customHeight="1">
      <c r="A32" s="8" t="s">
        <v>359</v>
      </c>
      <c r="B32" s="8" t="s">
        <v>1244</v>
      </c>
      <c r="C32" s="9">
        <v>0.1041666666666667</v>
      </c>
      <c r="D32" s="8" t="s">
        <v>361</v>
      </c>
      <c r="E32" s="8" t="s">
        <v>80</v>
      </c>
      <c r="F32" s="8" t="s">
        <v>1250</v>
      </c>
      <c r="G32" s="297"/>
      <c r="H32" s="10"/>
      <c r="I32" s="11"/>
      <c r="J32" s="11"/>
      <c r="K32" s="11"/>
      <c r="L32" s="11"/>
      <c r="M32" s="11"/>
      <c r="N32" s="11"/>
      <c r="O32" s="12"/>
      <c r="P32" s="11"/>
      <c r="Q32" s="13"/>
      <c r="R32" s="14"/>
    </row>
    <row r="33" spans="1:18" ht="49.9" customHeight="1">
      <c r="A33" s="15" t="s">
        <v>359</v>
      </c>
      <c r="B33" s="15" t="s">
        <v>1244</v>
      </c>
      <c r="C33" s="16">
        <v>0.1041666666666667</v>
      </c>
      <c r="D33" s="15" t="s">
        <v>46</v>
      </c>
      <c r="E33" s="15" t="s">
        <v>82</v>
      </c>
      <c r="F33" s="15" t="s">
        <v>1251</v>
      </c>
      <c r="G33" s="298"/>
      <c r="H33" s="10"/>
      <c r="I33" s="11"/>
      <c r="J33" s="11"/>
      <c r="K33" s="11"/>
      <c r="L33" s="11"/>
      <c r="M33" s="11"/>
      <c r="N33" s="11"/>
      <c r="O33" s="12"/>
      <c r="P33" s="11"/>
      <c r="Q33" s="13"/>
      <c r="R33" s="14"/>
    </row>
    <row r="34" spans="1:18" ht="49.9" customHeight="1" thickBot="1">
      <c r="A34" s="96" t="s">
        <v>402</v>
      </c>
      <c r="B34" s="96" t="s">
        <v>1243</v>
      </c>
      <c r="C34" s="97">
        <v>0.76388888888888884</v>
      </c>
      <c r="D34" s="96" t="s">
        <v>63</v>
      </c>
      <c r="E34" s="96" t="s">
        <v>100</v>
      </c>
      <c r="F34" s="96" t="s">
        <v>647</v>
      </c>
      <c r="G34" s="299"/>
      <c r="H34" s="300"/>
      <c r="I34" s="140"/>
      <c r="J34" s="140"/>
      <c r="K34" s="140"/>
      <c r="L34" s="140"/>
      <c r="M34" s="140"/>
      <c r="N34" s="140"/>
      <c r="O34" s="141"/>
      <c r="P34" s="140"/>
      <c r="Q34" s="142"/>
      <c r="R34" s="301"/>
    </row>
    <row r="35" spans="1:18" ht="17.45" customHeight="1" thickBot="1">
      <c r="A35" s="283"/>
      <c r="B35" s="284"/>
      <c r="C35" s="284"/>
      <c r="D35" s="284"/>
      <c r="E35" s="284"/>
      <c r="F35" s="284"/>
      <c r="G35" s="284"/>
      <c r="H35" s="284"/>
      <c r="I35" s="284"/>
      <c r="J35" s="284"/>
      <c r="K35" s="284"/>
      <c r="L35" s="284"/>
      <c r="M35" s="284"/>
      <c r="N35" s="284"/>
      <c r="O35" s="284"/>
      <c r="P35" s="284"/>
      <c r="Q35" s="284"/>
      <c r="R35" s="285"/>
    </row>
    <row r="36" spans="1:18" ht="22.15" customHeight="1" thickTop="1" thickBot="1">
      <c r="A36" s="279" t="s">
        <v>6</v>
      </c>
      <c r="B36" s="295"/>
      <c r="C36" s="295"/>
      <c r="D36" s="295"/>
      <c r="E36" s="295"/>
      <c r="F36" s="296"/>
      <c r="G36" s="32">
        <v>46029</v>
      </c>
      <c r="H36" s="278" t="s">
        <v>7</v>
      </c>
      <c r="I36" s="295"/>
      <c r="J36" s="295"/>
      <c r="K36" s="295"/>
      <c r="L36" s="295"/>
      <c r="M36" s="295"/>
      <c r="N36" s="295"/>
      <c r="O36" s="295"/>
      <c r="P36" s="295"/>
      <c r="Q36" s="295"/>
      <c r="R36" s="296"/>
    </row>
    <row r="37" spans="1:18" ht="24" customHeight="1">
      <c r="A37" s="33" t="s">
        <v>8</v>
      </c>
      <c r="B37" s="33" t="s">
        <v>9</v>
      </c>
      <c r="C37" s="34" t="s">
        <v>10</v>
      </c>
      <c r="D37" s="33" t="s">
        <v>11</v>
      </c>
      <c r="E37" s="33" t="s">
        <v>12</v>
      </c>
      <c r="F37" s="35" t="s">
        <v>13</v>
      </c>
      <c r="G37" s="36" t="s">
        <v>14</v>
      </c>
      <c r="H37" s="33" t="s">
        <v>15</v>
      </c>
      <c r="I37" s="37" t="s">
        <v>16</v>
      </c>
      <c r="J37" s="38" t="s">
        <v>17</v>
      </c>
      <c r="K37" s="39" t="s">
        <v>18</v>
      </c>
      <c r="L37" s="38" t="s">
        <v>19</v>
      </c>
      <c r="M37" s="38" t="s">
        <v>20</v>
      </c>
      <c r="N37" s="38" t="s">
        <v>21</v>
      </c>
      <c r="O37" s="33" t="s">
        <v>22</v>
      </c>
      <c r="P37" s="34" t="s">
        <v>23</v>
      </c>
      <c r="Q37" s="38" t="s">
        <v>24</v>
      </c>
      <c r="R37" s="33" t="s">
        <v>25</v>
      </c>
    </row>
    <row r="38" spans="1:18" ht="49.9" customHeight="1">
      <c r="A38" s="87" t="s">
        <v>61</v>
      </c>
      <c r="B38" s="87" t="s">
        <v>1252</v>
      </c>
      <c r="C38" s="88">
        <v>0.84375</v>
      </c>
      <c r="D38" s="87" t="s">
        <v>63</v>
      </c>
      <c r="E38" s="87" t="s">
        <v>107</v>
      </c>
      <c r="F38" s="87" t="s">
        <v>907</v>
      </c>
      <c r="G38" s="302"/>
      <c r="H38" s="89" t="s">
        <v>1253</v>
      </c>
      <c r="I38" s="90">
        <v>8.9399999999999993E-2</v>
      </c>
      <c r="J38" s="91">
        <v>16</v>
      </c>
      <c r="K38" s="92">
        <v>46339</v>
      </c>
      <c r="L38" s="91">
        <v>16</v>
      </c>
      <c r="M38" s="91">
        <v>0</v>
      </c>
      <c r="N38" s="91">
        <v>0</v>
      </c>
      <c r="O38" s="93" t="s">
        <v>552</v>
      </c>
      <c r="P38" s="94">
        <v>0.84375</v>
      </c>
      <c r="Q38" s="91">
        <v>179</v>
      </c>
      <c r="R38" s="95" t="s">
        <v>1254</v>
      </c>
    </row>
    <row r="39" spans="1:18" ht="49.9" customHeight="1">
      <c r="A39" s="19" t="s">
        <v>359</v>
      </c>
      <c r="B39" s="19" t="s">
        <v>1249</v>
      </c>
      <c r="C39" s="20">
        <v>3.125E-2</v>
      </c>
      <c r="D39" s="19" t="s">
        <v>361</v>
      </c>
      <c r="E39" s="19" t="s">
        <v>80</v>
      </c>
      <c r="F39" s="19" t="s">
        <v>1250</v>
      </c>
      <c r="G39" s="298"/>
      <c r="H39" s="10"/>
      <c r="I39" s="11"/>
      <c r="J39" s="11"/>
      <c r="K39" s="11"/>
      <c r="L39" s="11"/>
      <c r="M39" s="11"/>
      <c r="N39" s="11"/>
      <c r="O39" s="12"/>
      <c r="P39" s="11"/>
      <c r="Q39" s="13"/>
      <c r="R39" s="14"/>
    </row>
    <row r="40" spans="1:18" ht="49.9" customHeight="1" thickBot="1">
      <c r="A40" s="76" t="s">
        <v>359</v>
      </c>
      <c r="B40" s="76" t="s">
        <v>1249</v>
      </c>
      <c r="C40" s="77">
        <v>3.125E-2</v>
      </c>
      <c r="D40" s="76" t="s">
        <v>46</v>
      </c>
      <c r="E40" s="76" t="s">
        <v>82</v>
      </c>
      <c r="F40" s="76" t="s">
        <v>1251</v>
      </c>
      <c r="G40" s="299"/>
      <c r="H40" s="300"/>
      <c r="I40" s="140"/>
      <c r="J40" s="140"/>
      <c r="K40" s="140"/>
      <c r="L40" s="140"/>
      <c r="M40" s="140"/>
      <c r="N40" s="140"/>
      <c r="O40" s="141"/>
      <c r="P40" s="140"/>
      <c r="Q40" s="142"/>
      <c r="R40" s="301"/>
    </row>
    <row r="41" spans="1:18" ht="17.45" customHeight="1" thickBot="1">
      <c r="A41" s="283"/>
      <c r="B41" s="284"/>
      <c r="C41" s="284"/>
      <c r="D41" s="284"/>
      <c r="E41" s="284"/>
      <c r="F41" s="284"/>
      <c r="G41" s="284"/>
      <c r="H41" s="284"/>
      <c r="I41" s="284"/>
      <c r="J41" s="284"/>
      <c r="K41" s="284"/>
      <c r="L41" s="284"/>
      <c r="M41" s="284"/>
      <c r="N41" s="284"/>
      <c r="O41" s="284"/>
      <c r="P41" s="284"/>
      <c r="Q41" s="284"/>
      <c r="R41" s="285"/>
    </row>
    <row r="42" spans="1:18" ht="22.15" customHeight="1" thickTop="1" thickBot="1">
      <c r="A42" s="279" t="s">
        <v>6</v>
      </c>
      <c r="B42" s="295"/>
      <c r="C42" s="295"/>
      <c r="D42" s="295"/>
      <c r="E42" s="295"/>
      <c r="F42" s="296"/>
      <c r="G42" s="32">
        <v>46030</v>
      </c>
      <c r="H42" s="278" t="s">
        <v>7</v>
      </c>
      <c r="I42" s="295"/>
      <c r="J42" s="295"/>
      <c r="K42" s="295"/>
      <c r="L42" s="295"/>
      <c r="M42" s="295"/>
      <c r="N42" s="295"/>
      <c r="O42" s="295"/>
      <c r="P42" s="295"/>
      <c r="Q42" s="295"/>
      <c r="R42" s="296"/>
    </row>
    <row r="43" spans="1:18" ht="24" customHeight="1">
      <c r="A43" s="33" t="s">
        <v>8</v>
      </c>
      <c r="B43" s="33" t="s">
        <v>9</v>
      </c>
      <c r="C43" s="34" t="s">
        <v>10</v>
      </c>
      <c r="D43" s="33" t="s">
        <v>11</v>
      </c>
      <c r="E43" s="33" t="s">
        <v>12</v>
      </c>
      <c r="F43" s="35" t="s">
        <v>13</v>
      </c>
      <c r="G43" s="36" t="s">
        <v>14</v>
      </c>
      <c r="H43" s="33" t="s">
        <v>15</v>
      </c>
      <c r="I43" s="37" t="s">
        <v>16</v>
      </c>
      <c r="J43" s="38" t="s">
        <v>17</v>
      </c>
      <c r="K43" s="39" t="s">
        <v>18</v>
      </c>
      <c r="L43" s="38" t="s">
        <v>19</v>
      </c>
      <c r="M43" s="38" t="s">
        <v>20</v>
      </c>
      <c r="N43" s="38" t="s">
        <v>21</v>
      </c>
      <c r="O43" s="33" t="s">
        <v>22</v>
      </c>
      <c r="P43" s="34" t="s">
        <v>23</v>
      </c>
      <c r="Q43" s="38" t="s">
        <v>24</v>
      </c>
      <c r="R43" s="33" t="s">
        <v>25</v>
      </c>
    </row>
    <row r="44" spans="1:18" ht="49.9" customHeight="1">
      <c r="A44" s="87" t="s">
        <v>61</v>
      </c>
      <c r="B44" s="87" t="s">
        <v>1240</v>
      </c>
      <c r="C44" s="88">
        <v>0.80208333333333337</v>
      </c>
      <c r="D44" s="87" t="s">
        <v>63</v>
      </c>
      <c r="E44" s="87" t="s">
        <v>103</v>
      </c>
      <c r="F44" s="87" t="s">
        <v>1255</v>
      </c>
      <c r="G44" s="297"/>
      <c r="H44" s="89" t="s">
        <v>1241</v>
      </c>
      <c r="I44" s="90">
        <v>6.1499999999999999E-2</v>
      </c>
      <c r="J44" s="91">
        <v>11</v>
      </c>
      <c r="K44" s="92">
        <v>46344</v>
      </c>
      <c r="L44" s="91">
        <v>11</v>
      </c>
      <c r="M44" s="91">
        <v>0</v>
      </c>
      <c r="N44" s="91">
        <v>0</v>
      </c>
      <c r="O44" s="93" t="s">
        <v>968</v>
      </c>
      <c r="P44" s="94">
        <v>0.80208333333333337</v>
      </c>
      <c r="Q44" s="91">
        <v>179</v>
      </c>
      <c r="R44" s="95" t="s">
        <v>1256</v>
      </c>
    </row>
    <row r="45" spans="1:18" ht="49.9" customHeight="1" thickBot="1">
      <c r="A45" s="96" t="s">
        <v>402</v>
      </c>
      <c r="B45" s="96" t="s">
        <v>1243</v>
      </c>
      <c r="C45" s="97">
        <v>0.76388888888888884</v>
      </c>
      <c r="D45" s="96" t="s">
        <v>63</v>
      </c>
      <c r="E45" s="96" t="s">
        <v>51</v>
      </c>
      <c r="F45" s="96" t="s">
        <v>647</v>
      </c>
      <c r="G45" s="299"/>
      <c r="H45" s="300"/>
      <c r="I45" s="140"/>
      <c r="J45" s="140"/>
      <c r="K45" s="140"/>
      <c r="L45" s="140"/>
      <c r="M45" s="140"/>
      <c r="N45" s="140"/>
      <c r="O45" s="141"/>
      <c r="P45" s="140"/>
      <c r="Q45" s="142"/>
      <c r="R45" s="301"/>
    </row>
    <row r="46" spans="1:18" ht="17.45" customHeight="1" thickBot="1">
      <c r="A46" s="283"/>
      <c r="B46" s="284"/>
      <c r="C46" s="284"/>
      <c r="D46" s="284"/>
      <c r="E46" s="284"/>
      <c r="F46" s="284"/>
      <c r="G46" s="284"/>
      <c r="H46" s="284"/>
      <c r="I46" s="284"/>
      <c r="J46" s="284"/>
      <c r="K46" s="284"/>
      <c r="L46" s="284"/>
      <c r="M46" s="284"/>
      <c r="N46" s="284"/>
      <c r="O46" s="284"/>
      <c r="P46" s="284"/>
      <c r="Q46" s="284"/>
      <c r="R46" s="285"/>
    </row>
    <row r="47" spans="1:18" ht="22.15" customHeight="1" thickTop="1" thickBot="1">
      <c r="A47" s="279" t="s">
        <v>6</v>
      </c>
      <c r="B47" s="295"/>
      <c r="C47" s="295"/>
      <c r="D47" s="295"/>
      <c r="E47" s="295"/>
      <c r="F47" s="296"/>
      <c r="G47" s="32">
        <v>46031</v>
      </c>
      <c r="H47" s="278" t="s">
        <v>7</v>
      </c>
      <c r="I47" s="295"/>
      <c r="J47" s="295"/>
      <c r="K47" s="295"/>
      <c r="L47" s="295"/>
      <c r="M47" s="295"/>
      <c r="N47" s="295"/>
      <c r="O47" s="295"/>
      <c r="P47" s="295"/>
      <c r="Q47" s="295"/>
      <c r="R47" s="296"/>
    </row>
    <row r="48" spans="1:18" ht="24" customHeight="1">
      <c r="A48" s="33" t="s">
        <v>8</v>
      </c>
      <c r="B48" s="33" t="s">
        <v>9</v>
      </c>
      <c r="C48" s="34" t="s">
        <v>10</v>
      </c>
      <c r="D48" s="33" t="s">
        <v>11</v>
      </c>
      <c r="E48" s="33" t="s">
        <v>12</v>
      </c>
      <c r="F48" s="35" t="s">
        <v>13</v>
      </c>
      <c r="G48" s="36" t="s">
        <v>14</v>
      </c>
      <c r="H48" s="33" t="s">
        <v>15</v>
      </c>
      <c r="I48" s="37" t="s">
        <v>16</v>
      </c>
      <c r="J48" s="38" t="s">
        <v>17</v>
      </c>
      <c r="K48" s="39" t="s">
        <v>18</v>
      </c>
      <c r="L48" s="38" t="s">
        <v>19</v>
      </c>
      <c r="M48" s="38" t="s">
        <v>20</v>
      </c>
      <c r="N48" s="38" t="s">
        <v>21</v>
      </c>
      <c r="O48" s="33" t="s">
        <v>22</v>
      </c>
      <c r="P48" s="34" t="s">
        <v>23</v>
      </c>
      <c r="Q48" s="38" t="s">
        <v>24</v>
      </c>
      <c r="R48" s="33" t="s">
        <v>25</v>
      </c>
    </row>
    <row r="49" spans="1:18" ht="49.9" customHeight="1">
      <c r="A49" s="8" t="s">
        <v>359</v>
      </c>
      <c r="B49" s="8" t="s">
        <v>1244</v>
      </c>
      <c r="C49" s="9">
        <v>0.72569444444444453</v>
      </c>
      <c r="D49" s="8" t="s">
        <v>361</v>
      </c>
      <c r="E49" s="8" t="s">
        <v>80</v>
      </c>
      <c r="F49" s="8" t="s">
        <v>1245</v>
      </c>
      <c r="G49" s="297"/>
      <c r="H49" s="10"/>
      <c r="I49" s="11"/>
      <c r="J49" s="11"/>
      <c r="K49" s="11"/>
      <c r="L49" s="11"/>
      <c r="M49" s="11"/>
      <c r="N49" s="11"/>
      <c r="O49" s="12"/>
      <c r="P49" s="11"/>
      <c r="Q49" s="13"/>
      <c r="R49" s="14"/>
    </row>
    <row r="50" spans="1:18" ht="49.9" customHeight="1" thickTop="1" thickBot="1">
      <c r="A50" s="76" t="s">
        <v>359</v>
      </c>
      <c r="B50" s="76" t="s">
        <v>1244</v>
      </c>
      <c r="C50" s="77">
        <v>0.72569444444444453</v>
      </c>
      <c r="D50" s="76" t="s">
        <v>46</v>
      </c>
      <c r="E50" s="76" t="s">
        <v>82</v>
      </c>
      <c r="F50" s="76" t="s">
        <v>1246</v>
      </c>
      <c r="G50" s="299"/>
      <c r="H50" s="300"/>
      <c r="I50" s="140"/>
      <c r="J50" s="140"/>
      <c r="K50" s="140"/>
      <c r="L50" s="140"/>
      <c r="M50" s="140"/>
      <c r="N50" s="140"/>
      <c r="O50" s="141"/>
      <c r="P50" s="140"/>
      <c r="Q50" s="142"/>
      <c r="R50" s="301"/>
    </row>
    <row r="51" spans="1:18" ht="17.45" customHeight="1" thickBot="1">
      <c r="A51" s="283"/>
      <c r="B51" s="284"/>
      <c r="C51" s="284"/>
      <c r="D51" s="284"/>
      <c r="E51" s="284"/>
      <c r="F51" s="284"/>
      <c r="G51" s="284"/>
      <c r="H51" s="284"/>
      <c r="I51" s="284"/>
      <c r="J51" s="284"/>
      <c r="K51" s="284"/>
      <c r="L51" s="284"/>
      <c r="M51" s="284"/>
      <c r="N51" s="284"/>
      <c r="O51" s="284"/>
      <c r="P51" s="284"/>
      <c r="Q51" s="284"/>
      <c r="R51" s="285"/>
    </row>
    <row r="52" spans="1:18" ht="22.15" customHeight="1" thickTop="1" thickBot="1">
      <c r="A52" s="279" t="s">
        <v>6</v>
      </c>
      <c r="B52" s="295"/>
      <c r="C52" s="295"/>
      <c r="D52" s="295"/>
      <c r="E52" s="295"/>
      <c r="F52" s="296"/>
      <c r="G52" s="32">
        <v>46032</v>
      </c>
      <c r="H52" s="278" t="s">
        <v>7</v>
      </c>
      <c r="I52" s="295"/>
      <c r="J52" s="295"/>
      <c r="K52" s="295"/>
      <c r="L52" s="295"/>
      <c r="M52" s="295"/>
      <c r="N52" s="295"/>
      <c r="O52" s="295"/>
      <c r="P52" s="295"/>
      <c r="Q52" s="295"/>
      <c r="R52" s="296"/>
    </row>
    <row r="53" spans="1:18" ht="24" customHeight="1">
      <c r="A53" s="33" t="s">
        <v>8</v>
      </c>
      <c r="B53" s="33" t="s">
        <v>9</v>
      </c>
      <c r="C53" s="34" t="s">
        <v>10</v>
      </c>
      <c r="D53" s="33" t="s">
        <v>11</v>
      </c>
      <c r="E53" s="33" t="s">
        <v>12</v>
      </c>
      <c r="F53" s="35" t="s">
        <v>13</v>
      </c>
      <c r="G53" s="36" t="s">
        <v>14</v>
      </c>
      <c r="H53" s="33" t="s">
        <v>15</v>
      </c>
      <c r="I53" s="37" t="s">
        <v>16</v>
      </c>
      <c r="J53" s="38" t="s">
        <v>17</v>
      </c>
      <c r="K53" s="39" t="s">
        <v>18</v>
      </c>
      <c r="L53" s="38" t="s">
        <v>19</v>
      </c>
      <c r="M53" s="38" t="s">
        <v>20</v>
      </c>
      <c r="N53" s="38" t="s">
        <v>21</v>
      </c>
      <c r="O53" s="33" t="s">
        <v>22</v>
      </c>
      <c r="P53" s="34" t="s">
        <v>23</v>
      </c>
      <c r="Q53" s="38" t="s">
        <v>24</v>
      </c>
      <c r="R53" s="33" t="s">
        <v>25</v>
      </c>
    </row>
    <row r="54" spans="1:18" ht="49.9" customHeight="1">
      <c r="A54" s="40" t="s">
        <v>61</v>
      </c>
      <c r="B54" s="40" t="s">
        <v>1240</v>
      </c>
      <c r="C54" s="41">
        <v>0.80208333333333337</v>
      </c>
      <c r="D54" s="40" t="s">
        <v>63</v>
      </c>
      <c r="E54" s="40" t="s">
        <v>177</v>
      </c>
      <c r="F54" s="40" t="s">
        <v>161</v>
      </c>
      <c r="G54" s="297"/>
      <c r="H54" s="42" t="s">
        <v>1241</v>
      </c>
      <c r="I54" s="43">
        <v>0.1341</v>
      </c>
      <c r="J54" s="44">
        <v>24</v>
      </c>
      <c r="K54" s="45">
        <v>46340</v>
      </c>
      <c r="L54" s="44">
        <v>24</v>
      </c>
      <c r="M54" s="44">
        <v>0</v>
      </c>
      <c r="N54" s="44">
        <v>0</v>
      </c>
      <c r="O54" s="46" t="s">
        <v>305</v>
      </c>
      <c r="P54" s="47">
        <v>0.80208333333333337</v>
      </c>
      <c r="Q54" s="44">
        <v>179</v>
      </c>
      <c r="R54" s="48" t="s">
        <v>1257</v>
      </c>
    </row>
    <row r="55" spans="1:18" ht="49.9" customHeight="1" thickBot="1">
      <c r="A55" s="96" t="s">
        <v>402</v>
      </c>
      <c r="B55" s="96" t="s">
        <v>1248</v>
      </c>
      <c r="C55" s="97">
        <v>3.472222222222222E-3</v>
      </c>
      <c r="D55" s="96" t="s">
        <v>63</v>
      </c>
      <c r="E55" s="96" t="s">
        <v>51</v>
      </c>
      <c r="F55" s="96" t="s">
        <v>647</v>
      </c>
      <c r="G55" s="299"/>
      <c r="H55" s="300"/>
      <c r="I55" s="140"/>
      <c r="J55" s="140"/>
      <c r="K55" s="140"/>
      <c r="L55" s="140"/>
      <c r="M55" s="140"/>
      <c r="N55" s="140"/>
      <c r="O55" s="141"/>
      <c r="P55" s="140"/>
      <c r="Q55" s="142"/>
      <c r="R55" s="301"/>
    </row>
    <row r="56" spans="1:18" ht="17.45" customHeight="1" thickBot="1">
      <c r="A56" s="283"/>
      <c r="B56" s="284"/>
      <c r="C56" s="284"/>
      <c r="D56" s="284"/>
      <c r="E56" s="284"/>
      <c r="F56" s="284"/>
      <c r="G56" s="284"/>
      <c r="H56" s="284"/>
      <c r="I56" s="284"/>
      <c r="J56" s="284"/>
      <c r="K56" s="284"/>
      <c r="L56" s="284"/>
      <c r="M56" s="284"/>
      <c r="N56" s="284"/>
      <c r="O56" s="284"/>
      <c r="P56" s="284"/>
      <c r="Q56" s="284"/>
      <c r="R56" s="285"/>
    </row>
    <row r="57" spans="1:18" ht="22.15" customHeight="1" thickTop="1" thickBot="1">
      <c r="A57" s="279" t="s">
        <v>6</v>
      </c>
      <c r="B57" s="295"/>
      <c r="C57" s="295"/>
      <c r="D57" s="295"/>
      <c r="E57" s="295"/>
      <c r="F57" s="296"/>
      <c r="G57" s="32">
        <v>46033</v>
      </c>
      <c r="H57" s="278" t="s">
        <v>7</v>
      </c>
      <c r="I57" s="295"/>
      <c r="J57" s="295"/>
      <c r="K57" s="295"/>
      <c r="L57" s="295"/>
      <c r="M57" s="295"/>
      <c r="N57" s="295"/>
      <c r="O57" s="295"/>
      <c r="P57" s="295"/>
      <c r="Q57" s="295"/>
      <c r="R57" s="296"/>
    </row>
    <row r="58" spans="1:18" ht="24" customHeight="1">
      <c r="A58" s="33" t="s">
        <v>8</v>
      </c>
      <c r="B58" s="33" t="s">
        <v>9</v>
      </c>
      <c r="C58" s="34" t="s">
        <v>10</v>
      </c>
      <c r="D58" s="33" t="s">
        <v>11</v>
      </c>
      <c r="E58" s="33" t="s">
        <v>12</v>
      </c>
      <c r="F58" s="35" t="s">
        <v>13</v>
      </c>
      <c r="G58" s="36" t="s">
        <v>14</v>
      </c>
      <c r="H58" s="33" t="s">
        <v>15</v>
      </c>
      <c r="I58" s="37" t="s">
        <v>16</v>
      </c>
      <c r="J58" s="38" t="s">
        <v>17</v>
      </c>
      <c r="K58" s="39" t="s">
        <v>18</v>
      </c>
      <c r="L58" s="38" t="s">
        <v>19</v>
      </c>
      <c r="M58" s="38" t="s">
        <v>20</v>
      </c>
      <c r="N58" s="38" t="s">
        <v>21</v>
      </c>
      <c r="O58" s="33" t="s">
        <v>22</v>
      </c>
      <c r="P58" s="34" t="s">
        <v>23</v>
      </c>
      <c r="Q58" s="38" t="s">
        <v>24</v>
      </c>
      <c r="R58" s="33" t="s">
        <v>25</v>
      </c>
    </row>
    <row r="59" spans="1:18" ht="49.9" customHeight="1">
      <c r="A59" s="8" t="s">
        <v>359</v>
      </c>
      <c r="B59" s="8" t="s">
        <v>1244</v>
      </c>
      <c r="C59" s="9">
        <v>0.80902777777777779</v>
      </c>
      <c r="D59" s="8" t="s">
        <v>361</v>
      </c>
      <c r="E59" s="8" t="s">
        <v>80</v>
      </c>
      <c r="F59" s="8" t="s">
        <v>1245</v>
      </c>
      <c r="G59" s="297"/>
      <c r="H59" s="10"/>
      <c r="I59" s="11"/>
      <c r="J59" s="11"/>
      <c r="K59" s="11"/>
      <c r="L59" s="11"/>
      <c r="M59" s="11"/>
      <c r="N59" s="11"/>
      <c r="O59" s="12"/>
      <c r="P59" s="11"/>
      <c r="Q59" s="13"/>
      <c r="R59" s="14"/>
    </row>
    <row r="60" spans="1:18" ht="49.9" customHeight="1">
      <c r="A60" s="15" t="s">
        <v>359</v>
      </c>
      <c r="B60" s="15" t="s">
        <v>1244</v>
      </c>
      <c r="C60" s="16">
        <v>0.80902777777777779</v>
      </c>
      <c r="D60" s="15" t="s">
        <v>46</v>
      </c>
      <c r="E60" s="15" t="s">
        <v>82</v>
      </c>
      <c r="F60" s="15" t="s">
        <v>1246</v>
      </c>
      <c r="G60" s="298"/>
      <c r="H60" s="10"/>
      <c r="I60" s="11"/>
      <c r="J60" s="11"/>
      <c r="K60" s="11"/>
      <c r="L60" s="11"/>
      <c r="M60" s="11"/>
      <c r="N60" s="11"/>
      <c r="O60" s="12"/>
      <c r="P60" s="11"/>
      <c r="Q60" s="13"/>
      <c r="R60" s="14"/>
    </row>
    <row r="61" spans="1:18" ht="49.9" customHeight="1" thickBot="1">
      <c r="A61" s="96" t="s">
        <v>402</v>
      </c>
      <c r="B61" s="96" t="s">
        <v>1243</v>
      </c>
      <c r="C61" s="97">
        <v>0.71875</v>
      </c>
      <c r="D61" s="96" t="s">
        <v>63</v>
      </c>
      <c r="E61" s="96" t="s">
        <v>29</v>
      </c>
      <c r="F61" s="96" t="s">
        <v>647</v>
      </c>
      <c r="G61" s="299"/>
      <c r="H61" s="300"/>
      <c r="I61" s="140"/>
      <c r="J61" s="140"/>
      <c r="K61" s="140"/>
      <c r="L61" s="140"/>
      <c r="M61" s="140"/>
      <c r="N61" s="140"/>
      <c r="O61" s="141"/>
      <c r="P61" s="140"/>
      <c r="Q61" s="142"/>
      <c r="R61" s="301"/>
    </row>
    <row r="62" spans="1:18" ht="17.45" customHeight="1" thickBot="1">
      <c r="A62" s="283"/>
      <c r="B62" s="284"/>
      <c r="C62" s="284"/>
      <c r="D62" s="284"/>
      <c r="E62" s="284"/>
      <c r="F62" s="284"/>
      <c r="G62" s="284"/>
      <c r="H62" s="284"/>
      <c r="I62" s="284"/>
      <c r="J62" s="284"/>
      <c r="K62" s="284"/>
      <c r="L62" s="284"/>
      <c r="M62" s="284"/>
      <c r="N62" s="284"/>
      <c r="O62" s="284"/>
      <c r="P62" s="284"/>
      <c r="Q62" s="284"/>
      <c r="R62" s="285"/>
    </row>
    <row r="63" spans="1:18" ht="22.15" customHeight="1" thickTop="1" thickBot="1">
      <c r="A63" s="279" t="s">
        <v>6</v>
      </c>
      <c r="B63" s="295"/>
      <c r="C63" s="295"/>
      <c r="D63" s="295"/>
      <c r="E63" s="295"/>
      <c r="F63" s="296"/>
      <c r="G63" s="32">
        <v>46034</v>
      </c>
      <c r="H63" s="278" t="s">
        <v>7</v>
      </c>
      <c r="I63" s="295"/>
      <c r="J63" s="295"/>
      <c r="K63" s="295"/>
      <c r="L63" s="295"/>
      <c r="M63" s="295"/>
      <c r="N63" s="295"/>
      <c r="O63" s="295"/>
      <c r="P63" s="295"/>
      <c r="Q63" s="295"/>
      <c r="R63" s="296"/>
    </row>
    <row r="64" spans="1:18" ht="24" customHeight="1">
      <c r="A64" s="33" t="s">
        <v>8</v>
      </c>
      <c r="B64" s="33" t="s">
        <v>9</v>
      </c>
      <c r="C64" s="34" t="s">
        <v>10</v>
      </c>
      <c r="D64" s="33" t="s">
        <v>11</v>
      </c>
      <c r="E64" s="33" t="s">
        <v>12</v>
      </c>
      <c r="F64" s="35" t="s">
        <v>13</v>
      </c>
      <c r="G64" s="36" t="s">
        <v>14</v>
      </c>
      <c r="H64" s="33" t="s">
        <v>15</v>
      </c>
      <c r="I64" s="37" t="s">
        <v>16</v>
      </c>
      <c r="J64" s="38" t="s">
        <v>17</v>
      </c>
      <c r="K64" s="39" t="s">
        <v>18</v>
      </c>
      <c r="L64" s="38" t="s">
        <v>19</v>
      </c>
      <c r="M64" s="38" t="s">
        <v>20</v>
      </c>
      <c r="N64" s="38" t="s">
        <v>21</v>
      </c>
      <c r="O64" s="33" t="s">
        <v>22</v>
      </c>
      <c r="P64" s="34" t="s">
        <v>23</v>
      </c>
      <c r="Q64" s="38" t="s">
        <v>24</v>
      </c>
      <c r="R64" s="33" t="s">
        <v>25</v>
      </c>
    </row>
    <row r="65" spans="1:18" ht="49.9" customHeight="1">
      <c r="A65" s="8" t="s">
        <v>359</v>
      </c>
      <c r="B65" s="8" t="s">
        <v>1249</v>
      </c>
      <c r="C65" s="9">
        <v>3.125E-2</v>
      </c>
      <c r="D65" s="8" t="s">
        <v>361</v>
      </c>
      <c r="E65" s="8" t="s">
        <v>80</v>
      </c>
      <c r="F65" s="8" t="s">
        <v>1250</v>
      </c>
      <c r="G65" s="297"/>
      <c r="H65" s="10"/>
      <c r="I65" s="11"/>
      <c r="J65" s="11"/>
      <c r="K65" s="11"/>
      <c r="L65" s="11"/>
      <c r="M65" s="11"/>
      <c r="N65" s="11"/>
      <c r="O65" s="12"/>
      <c r="P65" s="11"/>
      <c r="Q65" s="13"/>
      <c r="R65" s="14"/>
    </row>
    <row r="66" spans="1:18" ht="49.9" customHeight="1" thickTop="1" thickBot="1">
      <c r="A66" s="76" t="s">
        <v>359</v>
      </c>
      <c r="B66" s="76" t="s">
        <v>1249</v>
      </c>
      <c r="C66" s="77">
        <v>3.125E-2</v>
      </c>
      <c r="D66" s="76" t="s">
        <v>46</v>
      </c>
      <c r="E66" s="76" t="s">
        <v>82</v>
      </c>
      <c r="F66" s="76" t="s">
        <v>1251</v>
      </c>
      <c r="G66" s="299"/>
      <c r="H66" s="300"/>
      <c r="I66" s="140"/>
      <c r="J66" s="140"/>
      <c r="K66" s="140"/>
      <c r="L66" s="140"/>
      <c r="M66" s="140"/>
      <c r="N66" s="140"/>
      <c r="O66" s="141"/>
      <c r="P66" s="140"/>
      <c r="Q66" s="142"/>
      <c r="R66" s="301"/>
    </row>
    <row r="67" spans="1:18" ht="17.45" customHeight="1" thickBot="1">
      <c r="A67" s="283"/>
      <c r="B67" s="284"/>
      <c r="C67" s="284"/>
      <c r="D67" s="284"/>
      <c r="E67" s="284"/>
      <c r="F67" s="284"/>
      <c r="G67" s="284"/>
      <c r="H67" s="284"/>
      <c r="I67" s="284"/>
      <c r="J67" s="284"/>
      <c r="K67" s="284"/>
      <c r="L67" s="284"/>
      <c r="M67" s="284"/>
      <c r="N67" s="284"/>
      <c r="O67" s="284"/>
      <c r="P67" s="284"/>
      <c r="Q67" s="284"/>
      <c r="R67" s="285"/>
    </row>
    <row r="68" spans="1:18" ht="22.15" customHeight="1" thickTop="1" thickBot="1">
      <c r="A68" s="279" t="s">
        <v>6</v>
      </c>
      <c r="B68" s="295"/>
      <c r="C68" s="295"/>
      <c r="D68" s="295"/>
      <c r="E68" s="295"/>
      <c r="F68" s="296"/>
      <c r="G68" s="32">
        <v>46035</v>
      </c>
      <c r="H68" s="278" t="s">
        <v>7</v>
      </c>
      <c r="I68" s="295"/>
      <c r="J68" s="295"/>
      <c r="K68" s="295"/>
      <c r="L68" s="295"/>
      <c r="M68" s="295"/>
      <c r="N68" s="295"/>
      <c r="O68" s="295"/>
      <c r="P68" s="295"/>
      <c r="Q68" s="295"/>
      <c r="R68" s="296"/>
    </row>
    <row r="69" spans="1:18" ht="24" customHeight="1">
      <c r="A69" s="33" t="s">
        <v>8</v>
      </c>
      <c r="B69" s="33" t="s">
        <v>9</v>
      </c>
      <c r="C69" s="34" t="s">
        <v>10</v>
      </c>
      <c r="D69" s="33" t="s">
        <v>11</v>
      </c>
      <c r="E69" s="33" t="s">
        <v>12</v>
      </c>
      <c r="F69" s="35" t="s">
        <v>13</v>
      </c>
      <c r="G69" s="36" t="s">
        <v>14</v>
      </c>
      <c r="H69" s="33" t="s">
        <v>15</v>
      </c>
      <c r="I69" s="37" t="s">
        <v>16</v>
      </c>
      <c r="J69" s="38" t="s">
        <v>17</v>
      </c>
      <c r="K69" s="39" t="s">
        <v>18</v>
      </c>
      <c r="L69" s="38" t="s">
        <v>19</v>
      </c>
      <c r="M69" s="38" t="s">
        <v>20</v>
      </c>
      <c r="N69" s="38" t="s">
        <v>21</v>
      </c>
      <c r="O69" s="33" t="s">
        <v>22</v>
      </c>
      <c r="P69" s="34" t="s">
        <v>23</v>
      </c>
      <c r="Q69" s="38" t="s">
        <v>24</v>
      </c>
      <c r="R69" s="33" t="s">
        <v>25</v>
      </c>
    </row>
    <row r="70" spans="1:18" ht="49.9" customHeight="1">
      <c r="A70" s="8" t="s">
        <v>359</v>
      </c>
      <c r="B70" s="8" t="s">
        <v>1244</v>
      </c>
      <c r="C70" s="9">
        <v>0.1041666666666667</v>
      </c>
      <c r="D70" s="8" t="s">
        <v>361</v>
      </c>
      <c r="E70" s="8" t="s">
        <v>80</v>
      </c>
      <c r="F70" s="8" t="s">
        <v>1250</v>
      </c>
      <c r="G70" s="297"/>
      <c r="H70" s="10"/>
      <c r="I70" s="11"/>
      <c r="J70" s="11"/>
      <c r="K70" s="11"/>
      <c r="L70" s="11"/>
      <c r="M70" s="11"/>
      <c r="N70" s="11"/>
      <c r="O70" s="12"/>
      <c r="P70" s="11"/>
      <c r="Q70" s="13"/>
      <c r="R70" s="14"/>
    </row>
    <row r="71" spans="1:18" ht="49.9" customHeight="1">
      <c r="A71" s="15" t="s">
        <v>359</v>
      </c>
      <c r="B71" s="15" t="s">
        <v>1244</v>
      </c>
      <c r="C71" s="16">
        <v>0.1041666666666667</v>
      </c>
      <c r="D71" s="15" t="s">
        <v>46</v>
      </c>
      <c r="E71" s="15" t="s">
        <v>82</v>
      </c>
      <c r="F71" s="15" t="s">
        <v>1251</v>
      </c>
      <c r="G71" s="298"/>
      <c r="H71" s="10"/>
      <c r="I71" s="11"/>
      <c r="J71" s="11"/>
      <c r="K71" s="11"/>
      <c r="L71" s="11"/>
      <c r="M71" s="11"/>
      <c r="N71" s="11"/>
      <c r="O71" s="12"/>
      <c r="P71" s="11"/>
      <c r="Q71" s="13"/>
      <c r="R71" s="14"/>
    </row>
    <row r="72" spans="1:18" ht="49.9" customHeight="1" thickBot="1">
      <c r="A72" s="96" t="s">
        <v>402</v>
      </c>
      <c r="B72" s="96" t="s">
        <v>1243</v>
      </c>
      <c r="C72" s="97">
        <v>0.76388888888888884</v>
      </c>
      <c r="D72" s="96" t="s">
        <v>63</v>
      </c>
      <c r="E72" s="96" t="s">
        <v>107</v>
      </c>
      <c r="F72" s="96" t="s">
        <v>1258</v>
      </c>
      <c r="G72" s="299"/>
      <c r="H72" s="300"/>
      <c r="I72" s="140"/>
      <c r="J72" s="140"/>
      <c r="K72" s="140"/>
      <c r="L72" s="140"/>
      <c r="M72" s="140"/>
      <c r="N72" s="140"/>
      <c r="O72" s="141"/>
      <c r="P72" s="140"/>
      <c r="Q72" s="142"/>
      <c r="R72" s="301"/>
    </row>
    <row r="73" spans="1:18" ht="17.45" customHeight="1" thickBot="1">
      <c r="A73" s="283"/>
      <c r="B73" s="284"/>
      <c r="C73" s="284"/>
      <c r="D73" s="284"/>
      <c r="E73" s="284"/>
      <c r="F73" s="284"/>
      <c r="G73" s="284"/>
      <c r="H73" s="284"/>
      <c r="I73" s="284"/>
      <c r="J73" s="284"/>
      <c r="K73" s="284"/>
      <c r="L73" s="284"/>
      <c r="M73" s="284"/>
      <c r="N73" s="284"/>
      <c r="O73" s="284"/>
      <c r="P73" s="284"/>
      <c r="Q73" s="284"/>
      <c r="R73" s="285"/>
    </row>
    <row r="74" spans="1:18" ht="22.15" customHeight="1" thickTop="1" thickBot="1">
      <c r="A74" s="279" t="s">
        <v>6</v>
      </c>
      <c r="B74" s="295"/>
      <c r="C74" s="295"/>
      <c r="D74" s="295"/>
      <c r="E74" s="295"/>
      <c r="F74" s="296"/>
      <c r="G74" s="32">
        <v>46036</v>
      </c>
      <c r="H74" s="278" t="s">
        <v>7</v>
      </c>
      <c r="I74" s="295"/>
      <c r="J74" s="295"/>
      <c r="K74" s="295"/>
      <c r="L74" s="295"/>
      <c r="M74" s="295"/>
      <c r="N74" s="295"/>
      <c r="O74" s="295"/>
      <c r="P74" s="295"/>
      <c r="Q74" s="295"/>
      <c r="R74" s="296"/>
    </row>
    <row r="75" spans="1:18" ht="24" customHeight="1">
      <c r="A75" s="33" t="s">
        <v>8</v>
      </c>
      <c r="B75" s="33" t="s">
        <v>9</v>
      </c>
      <c r="C75" s="34" t="s">
        <v>10</v>
      </c>
      <c r="D75" s="33" t="s">
        <v>11</v>
      </c>
      <c r="E75" s="33" t="s">
        <v>12</v>
      </c>
      <c r="F75" s="35" t="s">
        <v>13</v>
      </c>
      <c r="G75" s="36" t="s">
        <v>14</v>
      </c>
      <c r="H75" s="33" t="s">
        <v>15</v>
      </c>
      <c r="I75" s="37" t="s">
        <v>16</v>
      </c>
      <c r="J75" s="38" t="s">
        <v>17</v>
      </c>
      <c r="K75" s="39" t="s">
        <v>18</v>
      </c>
      <c r="L75" s="38" t="s">
        <v>19</v>
      </c>
      <c r="M75" s="38" t="s">
        <v>20</v>
      </c>
      <c r="N75" s="38" t="s">
        <v>21</v>
      </c>
      <c r="O75" s="33" t="s">
        <v>22</v>
      </c>
      <c r="P75" s="34" t="s">
        <v>23</v>
      </c>
      <c r="Q75" s="38" t="s">
        <v>24</v>
      </c>
      <c r="R75" s="33" t="s">
        <v>25</v>
      </c>
    </row>
    <row r="76" spans="1:18" ht="49.9" customHeight="1">
      <c r="A76" s="21" t="s">
        <v>61</v>
      </c>
      <c r="B76" s="21" t="s">
        <v>1252</v>
      </c>
      <c r="C76" s="22">
        <v>0.84375</v>
      </c>
      <c r="D76" s="21" t="s">
        <v>63</v>
      </c>
      <c r="E76" s="21" t="s">
        <v>107</v>
      </c>
      <c r="F76" s="21" t="s">
        <v>161</v>
      </c>
      <c r="G76" s="297"/>
      <c r="H76" s="23" t="s">
        <v>1253</v>
      </c>
      <c r="I76" s="24">
        <v>0.1285</v>
      </c>
      <c r="J76" s="25">
        <v>23</v>
      </c>
      <c r="K76" s="26">
        <v>46343</v>
      </c>
      <c r="L76" s="25">
        <v>23</v>
      </c>
      <c r="M76" s="25">
        <v>0</v>
      </c>
      <c r="N76" s="25">
        <v>0</v>
      </c>
      <c r="O76" s="27" t="s">
        <v>299</v>
      </c>
      <c r="P76" s="28">
        <v>0.84375</v>
      </c>
      <c r="Q76" s="25">
        <v>179</v>
      </c>
      <c r="R76" s="29" t="s">
        <v>1259</v>
      </c>
    </row>
    <row r="77" spans="1:18" ht="49.9" customHeight="1">
      <c r="A77" s="19" t="s">
        <v>359</v>
      </c>
      <c r="B77" s="19" t="s">
        <v>1249</v>
      </c>
      <c r="C77" s="20">
        <v>3.125E-2</v>
      </c>
      <c r="D77" s="19" t="s">
        <v>361</v>
      </c>
      <c r="E77" s="19" t="s">
        <v>80</v>
      </c>
      <c r="F77" s="19" t="s">
        <v>1260</v>
      </c>
      <c r="G77" s="298"/>
      <c r="H77" s="10"/>
      <c r="I77" s="11"/>
      <c r="J77" s="11"/>
      <c r="K77" s="11"/>
      <c r="L77" s="11"/>
      <c r="M77" s="11"/>
      <c r="N77" s="11"/>
      <c r="O77" s="12"/>
      <c r="P77" s="11"/>
      <c r="Q77" s="13"/>
      <c r="R77" s="14"/>
    </row>
    <row r="78" spans="1:18" ht="49.9" customHeight="1" thickBot="1">
      <c r="A78" s="76" t="s">
        <v>359</v>
      </c>
      <c r="B78" s="76" t="s">
        <v>1249</v>
      </c>
      <c r="C78" s="77">
        <v>3.125E-2</v>
      </c>
      <c r="D78" s="76" t="s">
        <v>46</v>
      </c>
      <c r="E78" s="76" t="s">
        <v>82</v>
      </c>
      <c r="F78" s="76" t="s">
        <v>1261</v>
      </c>
      <c r="G78" s="299"/>
      <c r="H78" s="300"/>
      <c r="I78" s="140"/>
      <c r="J78" s="140"/>
      <c r="K78" s="140"/>
      <c r="L78" s="140"/>
      <c r="M78" s="140"/>
      <c r="N78" s="140"/>
      <c r="O78" s="141"/>
      <c r="P78" s="140"/>
      <c r="Q78" s="142"/>
      <c r="R78" s="301"/>
    </row>
    <row r="79" spans="1:18" ht="17.45" customHeight="1" thickBot="1">
      <c r="A79" s="283"/>
      <c r="B79" s="284"/>
      <c r="C79" s="284"/>
      <c r="D79" s="284"/>
      <c r="E79" s="284"/>
      <c r="F79" s="284"/>
      <c r="G79" s="284"/>
      <c r="H79" s="284"/>
      <c r="I79" s="284"/>
      <c r="J79" s="284"/>
      <c r="K79" s="284"/>
      <c r="L79" s="284"/>
      <c r="M79" s="284"/>
      <c r="N79" s="284"/>
      <c r="O79" s="284"/>
      <c r="P79" s="284"/>
      <c r="Q79" s="284"/>
      <c r="R79" s="285"/>
    </row>
    <row r="80" spans="1:18" ht="22.15" customHeight="1" thickTop="1" thickBot="1">
      <c r="A80" s="279" t="s">
        <v>6</v>
      </c>
      <c r="B80" s="295"/>
      <c r="C80" s="295"/>
      <c r="D80" s="295"/>
      <c r="E80" s="295"/>
      <c r="F80" s="296"/>
      <c r="G80" s="32">
        <v>46037</v>
      </c>
      <c r="H80" s="278" t="s">
        <v>7</v>
      </c>
      <c r="I80" s="295"/>
      <c r="J80" s="295"/>
      <c r="K80" s="295"/>
      <c r="L80" s="295"/>
      <c r="M80" s="295"/>
      <c r="N80" s="295"/>
      <c r="O80" s="295"/>
      <c r="P80" s="295"/>
      <c r="Q80" s="295"/>
      <c r="R80" s="296"/>
    </row>
    <row r="81" spans="1:18" ht="24" customHeight="1">
      <c r="A81" s="33" t="s">
        <v>8</v>
      </c>
      <c r="B81" s="33" t="s">
        <v>9</v>
      </c>
      <c r="C81" s="34" t="s">
        <v>10</v>
      </c>
      <c r="D81" s="33" t="s">
        <v>11</v>
      </c>
      <c r="E81" s="33" t="s">
        <v>12</v>
      </c>
      <c r="F81" s="35" t="s">
        <v>13</v>
      </c>
      <c r="G81" s="36" t="s">
        <v>14</v>
      </c>
      <c r="H81" s="33" t="s">
        <v>15</v>
      </c>
      <c r="I81" s="37" t="s">
        <v>16</v>
      </c>
      <c r="J81" s="38" t="s">
        <v>17</v>
      </c>
      <c r="K81" s="39" t="s">
        <v>18</v>
      </c>
      <c r="L81" s="38" t="s">
        <v>19</v>
      </c>
      <c r="M81" s="38" t="s">
        <v>20</v>
      </c>
      <c r="N81" s="38" t="s">
        <v>21</v>
      </c>
      <c r="O81" s="33" t="s">
        <v>22</v>
      </c>
      <c r="P81" s="34" t="s">
        <v>23</v>
      </c>
      <c r="Q81" s="38" t="s">
        <v>24</v>
      </c>
      <c r="R81" s="33" t="s">
        <v>25</v>
      </c>
    </row>
    <row r="82" spans="1:18" ht="49.9" customHeight="1">
      <c r="A82" s="98" t="s">
        <v>61</v>
      </c>
      <c r="B82" s="98" t="s">
        <v>1240</v>
      </c>
      <c r="C82" s="99">
        <v>0.80208333333333337</v>
      </c>
      <c r="D82" s="98" t="s">
        <v>63</v>
      </c>
      <c r="E82" s="98" t="s">
        <v>143</v>
      </c>
      <c r="F82" s="98" t="s">
        <v>1262</v>
      </c>
      <c r="G82" s="297"/>
      <c r="H82" s="100" t="s">
        <v>1241</v>
      </c>
      <c r="I82" s="101">
        <v>0.1061</v>
      </c>
      <c r="J82" s="102">
        <v>19</v>
      </c>
      <c r="K82" s="103">
        <v>46341</v>
      </c>
      <c r="L82" s="102">
        <v>19</v>
      </c>
      <c r="M82" s="102">
        <v>0</v>
      </c>
      <c r="N82" s="102">
        <v>0</v>
      </c>
      <c r="O82" s="104" t="s">
        <v>981</v>
      </c>
      <c r="P82" s="105">
        <v>0.80208333333333337</v>
      </c>
      <c r="Q82" s="102">
        <v>179</v>
      </c>
      <c r="R82" s="106" t="s">
        <v>1263</v>
      </c>
    </row>
    <row r="83" spans="1:18" ht="49.9" customHeight="1" thickBot="1">
      <c r="A83" s="96" t="s">
        <v>402</v>
      </c>
      <c r="B83" s="96" t="s">
        <v>1243</v>
      </c>
      <c r="C83" s="97">
        <v>0.76388888888888884</v>
      </c>
      <c r="D83" s="96" t="s">
        <v>63</v>
      </c>
      <c r="E83" s="96" t="s">
        <v>51</v>
      </c>
      <c r="F83" s="96" t="s">
        <v>1258</v>
      </c>
      <c r="G83" s="299"/>
      <c r="H83" s="300"/>
      <c r="I83" s="140"/>
      <c r="J83" s="140"/>
      <c r="K83" s="140"/>
      <c r="L83" s="140"/>
      <c r="M83" s="140"/>
      <c r="N83" s="140"/>
      <c r="O83" s="141"/>
      <c r="P83" s="140"/>
      <c r="Q83" s="142"/>
      <c r="R83" s="301"/>
    </row>
    <row r="84" spans="1:18" ht="17.45" customHeight="1" thickBot="1">
      <c r="A84" s="283"/>
      <c r="B84" s="284"/>
      <c r="C84" s="284"/>
      <c r="D84" s="284"/>
      <c r="E84" s="284"/>
      <c r="F84" s="284"/>
      <c r="G84" s="284"/>
      <c r="H84" s="284"/>
      <c r="I84" s="284"/>
      <c r="J84" s="284"/>
      <c r="K84" s="284"/>
      <c r="L84" s="284"/>
      <c r="M84" s="284"/>
      <c r="N84" s="284"/>
      <c r="O84" s="284"/>
      <c r="P84" s="284"/>
      <c r="Q84" s="284"/>
      <c r="R84" s="285"/>
    </row>
    <row r="85" spans="1:18" ht="22.15" customHeight="1" thickTop="1" thickBot="1">
      <c r="A85" s="279" t="s">
        <v>6</v>
      </c>
      <c r="B85" s="295"/>
      <c r="C85" s="295"/>
      <c r="D85" s="295"/>
      <c r="E85" s="295"/>
      <c r="F85" s="296"/>
      <c r="G85" s="32">
        <v>46038</v>
      </c>
      <c r="H85" s="278" t="s">
        <v>7</v>
      </c>
      <c r="I85" s="295"/>
      <c r="J85" s="295"/>
      <c r="K85" s="295"/>
      <c r="L85" s="295"/>
      <c r="M85" s="295"/>
      <c r="N85" s="295"/>
      <c r="O85" s="295"/>
      <c r="P85" s="295"/>
      <c r="Q85" s="295"/>
      <c r="R85" s="296"/>
    </row>
    <row r="86" spans="1:18" ht="24" customHeight="1">
      <c r="A86" s="33" t="s">
        <v>8</v>
      </c>
      <c r="B86" s="33" t="s">
        <v>9</v>
      </c>
      <c r="C86" s="34" t="s">
        <v>10</v>
      </c>
      <c r="D86" s="33" t="s">
        <v>11</v>
      </c>
      <c r="E86" s="33" t="s">
        <v>12</v>
      </c>
      <c r="F86" s="35" t="s">
        <v>13</v>
      </c>
      <c r="G86" s="36" t="s">
        <v>14</v>
      </c>
      <c r="H86" s="33" t="s">
        <v>15</v>
      </c>
      <c r="I86" s="37" t="s">
        <v>16</v>
      </c>
      <c r="J86" s="38" t="s">
        <v>17</v>
      </c>
      <c r="K86" s="39" t="s">
        <v>18</v>
      </c>
      <c r="L86" s="38" t="s">
        <v>19</v>
      </c>
      <c r="M86" s="38" t="s">
        <v>20</v>
      </c>
      <c r="N86" s="38" t="s">
        <v>21</v>
      </c>
      <c r="O86" s="33" t="s">
        <v>22</v>
      </c>
      <c r="P86" s="34" t="s">
        <v>23</v>
      </c>
      <c r="Q86" s="38" t="s">
        <v>24</v>
      </c>
      <c r="R86" s="33" t="s">
        <v>25</v>
      </c>
    </row>
    <row r="87" spans="1:18" ht="49.9" customHeight="1">
      <c r="A87" s="8" t="s">
        <v>359</v>
      </c>
      <c r="B87" s="8" t="s">
        <v>1244</v>
      </c>
      <c r="C87" s="9">
        <v>0.72569444444444453</v>
      </c>
      <c r="D87" s="8" t="s">
        <v>361</v>
      </c>
      <c r="E87" s="8" t="s">
        <v>80</v>
      </c>
      <c r="F87" s="8" t="s">
        <v>1264</v>
      </c>
      <c r="G87" s="297"/>
      <c r="H87" s="10"/>
      <c r="I87" s="11"/>
      <c r="J87" s="11"/>
      <c r="K87" s="11"/>
      <c r="L87" s="11"/>
      <c r="M87" s="11"/>
      <c r="N87" s="11"/>
      <c r="O87" s="12"/>
      <c r="P87" s="11"/>
      <c r="Q87" s="13"/>
      <c r="R87" s="14"/>
    </row>
    <row r="88" spans="1:18" ht="49.9" customHeight="1" thickTop="1" thickBot="1">
      <c r="A88" s="76" t="s">
        <v>359</v>
      </c>
      <c r="B88" s="76" t="s">
        <v>1244</v>
      </c>
      <c r="C88" s="77">
        <v>0.72569444444444453</v>
      </c>
      <c r="D88" s="76" t="s">
        <v>46</v>
      </c>
      <c r="E88" s="76" t="s">
        <v>82</v>
      </c>
      <c r="F88" s="76" t="s">
        <v>1265</v>
      </c>
      <c r="G88" s="299"/>
      <c r="H88" s="300"/>
      <c r="I88" s="140"/>
      <c r="J88" s="140"/>
      <c r="K88" s="140"/>
      <c r="L88" s="140"/>
      <c r="M88" s="140"/>
      <c r="N88" s="140"/>
      <c r="O88" s="141"/>
      <c r="P88" s="140"/>
      <c r="Q88" s="142"/>
      <c r="R88" s="301"/>
    </row>
    <row r="89" spans="1:18" ht="17.45" customHeight="1" thickBot="1">
      <c r="A89" s="283"/>
      <c r="B89" s="284"/>
      <c r="C89" s="284"/>
      <c r="D89" s="284"/>
      <c r="E89" s="284"/>
      <c r="F89" s="284"/>
      <c r="G89" s="284"/>
      <c r="H89" s="284"/>
      <c r="I89" s="284"/>
      <c r="J89" s="284"/>
      <c r="K89" s="284"/>
      <c r="L89" s="284"/>
      <c r="M89" s="284"/>
      <c r="N89" s="284"/>
      <c r="O89" s="284"/>
      <c r="P89" s="284"/>
      <c r="Q89" s="284"/>
      <c r="R89" s="285"/>
    </row>
    <row r="90" spans="1:18" ht="22.15" customHeight="1" thickTop="1" thickBot="1">
      <c r="A90" s="279" t="s">
        <v>6</v>
      </c>
      <c r="B90" s="295"/>
      <c r="C90" s="295"/>
      <c r="D90" s="295"/>
      <c r="E90" s="295"/>
      <c r="F90" s="296"/>
      <c r="G90" s="32">
        <v>46039</v>
      </c>
      <c r="H90" s="278" t="s">
        <v>7</v>
      </c>
      <c r="I90" s="295"/>
      <c r="J90" s="295"/>
      <c r="K90" s="295"/>
      <c r="L90" s="295"/>
      <c r="M90" s="295"/>
      <c r="N90" s="295"/>
      <c r="O90" s="295"/>
      <c r="P90" s="295"/>
      <c r="Q90" s="295"/>
      <c r="R90" s="296"/>
    </row>
    <row r="91" spans="1:18" ht="24" customHeight="1">
      <c r="A91" s="33" t="s">
        <v>8</v>
      </c>
      <c r="B91" s="33" t="s">
        <v>9</v>
      </c>
      <c r="C91" s="34" t="s">
        <v>10</v>
      </c>
      <c r="D91" s="33" t="s">
        <v>11</v>
      </c>
      <c r="E91" s="33" t="s">
        <v>12</v>
      </c>
      <c r="F91" s="35" t="s">
        <v>13</v>
      </c>
      <c r="G91" s="36" t="s">
        <v>14</v>
      </c>
      <c r="H91" s="33" t="s">
        <v>15</v>
      </c>
      <c r="I91" s="37" t="s">
        <v>16</v>
      </c>
      <c r="J91" s="38" t="s">
        <v>17</v>
      </c>
      <c r="K91" s="39" t="s">
        <v>18</v>
      </c>
      <c r="L91" s="38" t="s">
        <v>19</v>
      </c>
      <c r="M91" s="38" t="s">
        <v>20</v>
      </c>
      <c r="N91" s="38" t="s">
        <v>21</v>
      </c>
      <c r="O91" s="33" t="s">
        <v>22</v>
      </c>
      <c r="P91" s="34" t="s">
        <v>23</v>
      </c>
      <c r="Q91" s="38" t="s">
        <v>24</v>
      </c>
      <c r="R91" s="33" t="s">
        <v>25</v>
      </c>
    </row>
    <row r="92" spans="1:18" ht="49.9" customHeight="1">
      <c r="A92" s="49" t="s">
        <v>61</v>
      </c>
      <c r="B92" s="49" t="s">
        <v>1240</v>
      </c>
      <c r="C92" s="50">
        <v>0.80208333333333337</v>
      </c>
      <c r="D92" s="49" t="s">
        <v>63</v>
      </c>
      <c r="E92" s="49" t="s">
        <v>143</v>
      </c>
      <c r="F92" s="49" t="s">
        <v>671</v>
      </c>
      <c r="G92" s="297"/>
      <c r="H92" s="51" t="s">
        <v>1241</v>
      </c>
      <c r="I92" s="52">
        <v>0.16200000000000001</v>
      </c>
      <c r="J92" s="53">
        <v>29</v>
      </c>
      <c r="K92" s="54">
        <v>46344</v>
      </c>
      <c r="L92" s="53">
        <v>29</v>
      </c>
      <c r="M92" s="53">
        <v>0</v>
      </c>
      <c r="N92" s="53">
        <v>0</v>
      </c>
      <c r="O92" s="55" t="s">
        <v>983</v>
      </c>
      <c r="P92" s="56">
        <v>0.80208333333333337</v>
      </c>
      <c r="Q92" s="53">
        <v>179</v>
      </c>
      <c r="R92" s="57" t="s">
        <v>1266</v>
      </c>
    </row>
    <row r="93" spans="1:18" ht="49.9" customHeight="1" thickBot="1">
      <c r="A93" s="96" t="s">
        <v>402</v>
      </c>
      <c r="B93" s="96" t="s">
        <v>1248</v>
      </c>
      <c r="C93" s="97">
        <v>3.472222222222222E-3</v>
      </c>
      <c r="D93" s="96" t="s">
        <v>63</v>
      </c>
      <c r="E93" s="96" t="s">
        <v>100</v>
      </c>
      <c r="F93" s="96" t="s">
        <v>1258</v>
      </c>
      <c r="G93" s="299"/>
      <c r="H93" s="300"/>
      <c r="I93" s="140"/>
      <c r="J93" s="140"/>
      <c r="K93" s="140"/>
      <c r="L93" s="140"/>
      <c r="M93" s="140"/>
      <c r="N93" s="140"/>
      <c r="O93" s="141"/>
      <c r="P93" s="140"/>
      <c r="Q93" s="142"/>
      <c r="R93" s="301"/>
    </row>
    <row r="94" spans="1:18" ht="17.45" customHeight="1" thickBot="1">
      <c r="A94" s="283"/>
      <c r="B94" s="284"/>
      <c r="C94" s="284"/>
      <c r="D94" s="284"/>
      <c r="E94" s="284"/>
      <c r="F94" s="284"/>
      <c r="G94" s="284"/>
      <c r="H94" s="284"/>
      <c r="I94" s="284"/>
      <c r="J94" s="284"/>
      <c r="K94" s="284"/>
      <c r="L94" s="284"/>
      <c r="M94" s="284"/>
      <c r="N94" s="284"/>
      <c r="O94" s="284"/>
      <c r="P94" s="284"/>
      <c r="Q94" s="284"/>
      <c r="R94" s="285"/>
    </row>
    <row r="95" spans="1:18" ht="22.15" customHeight="1" thickTop="1" thickBot="1">
      <c r="A95" s="279" t="s">
        <v>6</v>
      </c>
      <c r="B95" s="295"/>
      <c r="C95" s="295"/>
      <c r="D95" s="295"/>
      <c r="E95" s="295"/>
      <c r="F95" s="296"/>
      <c r="G95" s="32">
        <v>46040</v>
      </c>
      <c r="H95" s="278" t="s">
        <v>7</v>
      </c>
      <c r="I95" s="295"/>
      <c r="J95" s="295"/>
      <c r="K95" s="295"/>
      <c r="L95" s="295"/>
      <c r="M95" s="295"/>
      <c r="N95" s="295"/>
      <c r="O95" s="295"/>
      <c r="P95" s="295"/>
      <c r="Q95" s="295"/>
      <c r="R95" s="296"/>
    </row>
    <row r="96" spans="1:18" ht="24" customHeight="1">
      <c r="A96" s="33" t="s">
        <v>8</v>
      </c>
      <c r="B96" s="33" t="s">
        <v>9</v>
      </c>
      <c r="C96" s="34" t="s">
        <v>10</v>
      </c>
      <c r="D96" s="33" t="s">
        <v>11</v>
      </c>
      <c r="E96" s="33" t="s">
        <v>12</v>
      </c>
      <c r="F96" s="35" t="s">
        <v>13</v>
      </c>
      <c r="G96" s="36" t="s">
        <v>14</v>
      </c>
      <c r="H96" s="33" t="s">
        <v>15</v>
      </c>
      <c r="I96" s="37" t="s">
        <v>16</v>
      </c>
      <c r="J96" s="38" t="s">
        <v>17</v>
      </c>
      <c r="K96" s="39" t="s">
        <v>18</v>
      </c>
      <c r="L96" s="38" t="s">
        <v>19</v>
      </c>
      <c r="M96" s="38" t="s">
        <v>20</v>
      </c>
      <c r="N96" s="38" t="s">
        <v>21</v>
      </c>
      <c r="O96" s="33" t="s">
        <v>22</v>
      </c>
      <c r="P96" s="34" t="s">
        <v>23</v>
      </c>
      <c r="Q96" s="38" t="s">
        <v>24</v>
      </c>
      <c r="R96" s="33" t="s">
        <v>25</v>
      </c>
    </row>
    <row r="97" spans="1:18" ht="49.9" customHeight="1">
      <c r="A97" s="8" t="s">
        <v>359</v>
      </c>
      <c r="B97" s="8" t="s">
        <v>1244</v>
      </c>
      <c r="C97" s="9">
        <v>0.80902777777777779</v>
      </c>
      <c r="D97" s="8" t="s">
        <v>361</v>
      </c>
      <c r="E97" s="8" t="s">
        <v>80</v>
      </c>
      <c r="F97" s="8" t="s">
        <v>1267</v>
      </c>
      <c r="G97" s="297"/>
      <c r="H97" s="10"/>
      <c r="I97" s="11"/>
      <c r="J97" s="11"/>
      <c r="K97" s="11"/>
      <c r="L97" s="11"/>
      <c r="M97" s="11"/>
      <c r="N97" s="11"/>
      <c r="O97" s="12"/>
      <c r="P97" s="11"/>
      <c r="Q97" s="13"/>
      <c r="R97" s="14"/>
    </row>
    <row r="98" spans="1:18" ht="49.9" customHeight="1">
      <c r="A98" s="15" t="s">
        <v>359</v>
      </c>
      <c r="B98" s="15" t="s">
        <v>1244</v>
      </c>
      <c r="C98" s="16">
        <v>0.80902777777777779</v>
      </c>
      <c r="D98" s="15" t="s">
        <v>46</v>
      </c>
      <c r="E98" s="15" t="s">
        <v>82</v>
      </c>
      <c r="F98" s="15" t="s">
        <v>1268</v>
      </c>
      <c r="G98" s="298"/>
      <c r="H98" s="10"/>
      <c r="I98" s="11"/>
      <c r="J98" s="11"/>
      <c r="K98" s="11"/>
      <c r="L98" s="11"/>
      <c r="M98" s="11"/>
      <c r="N98" s="11"/>
      <c r="O98" s="12"/>
      <c r="P98" s="11"/>
      <c r="Q98" s="13"/>
      <c r="R98" s="14"/>
    </row>
    <row r="99" spans="1:18" ht="49.9" customHeight="1" thickBot="1">
      <c r="A99" s="96" t="s">
        <v>402</v>
      </c>
      <c r="B99" s="96" t="s">
        <v>1243</v>
      </c>
      <c r="C99" s="97">
        <v>0.71875</v>
      </c>
      <c r="D99" s="96" t="s">
        <v>63</v>
      </c>
      <c r="E99" s="96" t="s">
        <v>51</v>
      </c>
      <c r="F99" s="96" t="s">
        <v>1258</v>
      </c>
      <c r="G99" s="299"/>
      <c r="H99" s="300"/>
      <c r="I99" s="140"/>
      <c r="J99" s="140"/>
      <c r="K99" s="140"/>
      <c r="L99" s="140"/>
      <c r="M99" s="140"/>
      <c r="N99" s="140"/>
      <c r="O99" s="141"/>
      <c r="P99" s="140"/>
      <c r="Q99" s="142"/>
      <c r="R99" s="301"/>
    </row>
    <row r="100" spans="1:18" ht="17.45" customHeight="1" thickBot="1">
      <c r="A100" s="283"/>
      <c r="B100" s="284"/>
      <c r="C100" s="284"/>
      <c r="D100" s="284"/>
      <c r="E100" s="284"/>
      <c r="F100" s="284"/>
      <c r="G100" s="284"/>
      <c r="H100" s="284"/>
      <c r="I100" s="284"/>
      <c r="J100" s="284"/>
      <c r="K100" s="284"/>
      <c r="L100" s="284"/>
      <c r="M100" s="284"/>
      <c r="N100" s="284"/>
      <c r="O100" s="284"/>
      <c r="P100" s="284"/>
      <c r="Q100" s="284"/>
      <c r="R100" s="285"/>
    </row>
    <row r="101" spans="1:18" ht="22.15" customHeight="1" thickTop="1" thickBot="1">
      <c r="A101" s="279" t="s">
        <v>6</v>
      </c>
      <c r="B101" s="295"/>
      <c r="C101" s="295"/>
      <c r="D101" s="295"/>
      <c r="E101" s="295"/>
      <c r="F101" s="296"/>
      <c r="G101" s="32">
        <v>46041</v>
      </c>
      <c r="H101" s="278" t="s">
        <v>7</v>
      </c>
      <c r="I101" s="295"/>
      <c r="J101" s="295"/>
      <c r="K101" s="295"/>
      <c r="L101" s="295"/>
      <c r="M101" s="295"/>
      <c r="N101" s="295"/>
      <c r="O101" s="295"/>
      <c r="P101" s="295"/>
      <c r="Q101" s="295"/>
      <c r="R101" s="296"/>
    </row>
    <row r="102" spans="1:18" ht="24" customHeight="1">
      <c r="A102" s="33" t="s">
        <v>8</v>
      </c>
      <c r="B102" s="33" t="s">
        <v>9</v>
      </c>
      <c r="C102" s="34" t="s">
        <v>10</v>
      </c>
      <c r="D102" s="33" t="s">
        <v>11</v>
      </c>
      <c r="E102" s="33" t="s">
        <v>12</v>
      </c>
      <c r="F102" s="35" t="s">
        <v>13</v>
      </c>
      <c r="G102" s="36" t="s">
        <v>14</v>
      </c>
      <c r="H102" s="33" t="s">
        <v>15</v>
      </c>
      <c r="I102" s="37" t="s">
        <v>16</v>
      </c>
      <c r="J102" s="38" t="s">
        <v>17</v>
      </c>
      <c r="K102" s="39" t="s">
        <v>18</v>
      </c>
      <c r="L102" s="38" t="s">
        <v>19</v>
      </c>
      <c r="M102" s="38" t="s">
        <v>20</v>
      </c>
      <c r="N102" s="38" t="s">
        <v>21</v>
      </c>
      <c r="O102" s="33" t="s">
        <v>22</v>
      </c>
      <c r="P102" s="34" t="s">
        <v>23</v>
      </c>
      <c r="Q102" s="38" t="s">
        <v>24</v>
      </c>
      <c r="R102" s="33" t="s">
        <v>25</v>
      </c>
    </row>
    <row r="103" spans="1:18" ht="49.9" customHeight="1">
      <c r="A103" s="8" t="s">
        <v>359</v>
      </c>
      <c r="B103" s="8" t="s">
        <v>1249</v>
      </c>
      <c r="C103" s="9">
        <v>3.125E-2</v>
      </c>
      <c r="D103" s="8" t="s">
        <v>361</v>
      </c>
      <c r="E103" s="8" t="s">
        <v>80</v>
      </c>
      <c r="F103" s="8" t="s">
        <v>1260</v>
      </c>
      <c r="G103" s="297"/>
      <c r="H103" s="10"/>
      <c r="I103" s="11"/>
      <c r="J103" s="11"/>
      <c r="K103" s="11"/>
      <c r="L103" s="11"/>
      <c r="M103" s="11"/>
      <c r="N103" s="11"/>
      <c r="O103" s="12"/>
      <c r="P103" s="11"/>
      <c r="Q103" s="13"/>
      <c r="R103" s="14"/>
    </row>
    <row r="104" spans="1:18" ht="49.9" customHeight="1" thickTop="1" thickBot="1">
      <c r="A104" s="76" t="s">
        <v>359</v>
      </c>
      <c r="B104" s="76" t="s">
        <v>1249</v>
      </c>
      <c r="C104" s="77">
        <v>3.125E-2</v>
      </c>
      <c r="D104" s="76" t="s">
        <v>46</v>
      </c>
      <c r="E104" s="76" t="s">
        <v>82</v>
      </c>
      <c r="F104" s="76" t="s">
        <v>1261</v>
      </c>
      <c r="G104" s="299"/>
      <c r="H104" s="300"/>
      <c r="I104" s="140"/>
      <c r="J104" s="140"/>
      <c r="K104" s="140"/>
      <c r="L104" s="140"/>
      <c r="M104" s="140"/>
      <c r="N104" s="140"/>
      <c r="O104" s="141"/>
      <c r="P104" s="140"/>
      <c r="Q104" s="142"/>
      <c r="R104" s="301"/>
    </row>
    <row r="105" spans="1:18" ht="17.45" customHeight="1" thickBot="1">
      <c r="A105" s="283"/>
      <c r="B105" s="284"/>
      <c r="C105" s="284"/>
      <c r="D105" s="284"/>
      <c r="E105" s="284"/>
      <c r="F105" s="284"/>
      <c r="G105" s="284"/>
      <c r="H105" s="284"/>
      <c r="I105" s="284"/>
      <c r="J105" s="284"/>
      <c r="K105" s="284"/>
      <c r="L105" s="284"/>
      <c r="M105" s="284"/>
      <c r="N105" s="284"/>
      <c r="O105" s="284"/>
      <c r="P105" s="284"/>
      <c r="Q105" s="284"/>
      <c r="R105" s="285"/>
    </row>
    <row r="106" spans="1:18" ht="22.15" customHeight="1" thickTop="1" thickBot="1">
      <c r="A106" s="279" t="s">
        <v>6</v>
      </c>
      <c r="B106" s="295"/>
      <c r="C106" s="295"/>
      <c r="D106" s="295"/>
      <c r="E106" s="295"/>
      <c r="F106" s="296"/>
      <c r="G106" s="32">
        <v>46042</v>
      </c>
      <c r="H106" s="278" t="s">
        <v>7</v>
      </c>
      <c r="I106" s="295"/>
      <c r="J106" s="295"/>
      <c r="K106" s="295"/>
      <c r="L106" s="295"/>
      <c r="M106" s="295"/>
      <c r="N106" s="295"/>
      <c r="O106" s="295"/>
      <c r="P106" s="295"/>
      <c r="Q106" s="295"/>
      <c r="R106" s="296"/>
    </row>
    <row r="107" spans="1:18" ht="24" customHeight="1">
      <c r="A107" s="33" t="s">
        <v>8</v>
      </c>
      <c r="B107" s="33" t="s">
        <v>9</v>
      </c>
      <c r="C107" s="34" t="s">
        <v>10</v>
      </c>
      <c r="D107" s="33" t="s">
        <v>11</v>
      </c>
      <c r="E107" s="33" t="s">
        <v>12</v>
      </c>
      <c r="F107" s="35" t="s">
        <v>13</v>
      </c>
      <c r="G107" s="36" t="s">
        <v>14</v>
      </c>
      <c r="H107" s="33" t="s">
        <v>15</v>
      </c>
      <c r="I107" s="37" t="s">
        <v>16</v>
      </c>
      <c r="J107" s="38" t="s">
        <v>17</v>
      </c>
      <c r="K107" s="39" t="s">
        <v>18</v>
      </c>
      <c r="L107" s="38" t="s">
        <v>19</v>
      </c>
      <c r="M107" s="38" t="s">
        <v>20</v>
      </c>
      <c r="N107" s="38" t="s">
        <v>21</v>
      </c>
      <c r="O107" s="33" t="s">
        <v>22</v>
      </c>
      <c r="P107" s="34" t="s">
        <v>23</v>
      </c>
      <c r="Q107" s="38" t="s">
        <v>24</v>
      </c>
      <c r="R107" s="33" t="s">
        <v>25</v>
      </c>
    </row>
    <row r="108" spans="1:18" ht="49.9" customHeight="1">
      <c r="A108" s="8" t="s">
        <v>359</v>
      </c>
      <c r="B108" s="8" t="s">
        <v>1244</v>
      </c>
      <c r="C108" s="9">
        <v>0.1041666666666667</v>
      </c>
      <c r="D108" s="8" t="s">
        <v>361</v>
      </c>
      <c r="E108" s="8" t="s">
        <v>80</v>
      </c>
      <c r="F108" s="8" t="s">
        <v>1250</v>
      </c>
      <c r="G108" s="297"/>
      <c r="H108" s="10"/>
      <c r="I108" s="11"/>
      <c r="J108" s="11"/>
      <c r="K108" s="11"/>
      <c r="L108" s="11"/>
      <c r="M108" s="11"/>
      <c r="N108" s="11"/>
      <c r="O108" s="12"/>
      <c r="P108" s="11"/>
      <c r="Q108" s="13"/>
      <c r="R108" s="14"/>
    </row>
    <row r="109" spans="1:18" ht="49.9" customHeight="1">
      <c r="A109" s="15" t="s">
        <v>359</v>
      </c>
      <c r="B109" s="15" t="s">
        <v>1244</v>
      </c>
      <c r="C109" s="16">
        <v>0.1041666666666667</v>
      </c>
      <c r="D109" s="15" t="s">
        <v>46</v>
      </c>
      <c r="E109" s="15" t="s">
        <v>82</v>
      </c>
      <c r="F109" s="15" t="s">
        <v>1251</v>
      </c>
      <c r="G109" s="298"/>
      <c r="H109" s="10"/>
      <c r="I109" s="11"/>
      <c r="J109" s="11"/>
      <c r="K109" s="11"/>
      <c r="L109" s="11"/>
      <c r="M109" s="11"/>
      <c r="N109" s="11"/>
      <c r="O109" s="12"/>
      <c r="P109" s="11"/>
      <c r="Q109" s="13"/>
      <c r="R109" s="14"/>
    </row>
    <row r="110" spans="1:18" ht="49.9" customHeight="1" thickBot="1">
      <c r="A110" s="96" t="s">
        <v>402</v>
      </c>
      <c r="B110" s="96" t="s">
        <v>1243</v>
      </c>
      <c r="C110" s="97">
        <v>0.76388888888888884</v>
      </c>
      <c r="D110" s="96" t="s">
        <v>63</v>
      </c>
      <c r="E110" s="96" t="s">
        <v>100</v>
      </c>
      <c r="F110" s="96" t="s">
        <v>1258</v>
      </c>
      <c r="G110" s="299"/>
      <c r="H110" s="300"/>
      <c r="I110" s="140"/>
      <c r="J110" s="140"/>
      <c r="K110" s="140"/>
      <c r="L110" s="140"/>
      <c r="M110" s="140"/>
      <c r="N110" s="140"/>
      <c r="O110" s="141"/>
      <c r="P110" s="140"/>
      <c r="Q110" s="142"/>
      <c r="R110" s="301"/>
    </row>
    <row r="111" spans="1:18" ht="17.45" customHeight="1" thickBot="1">
      <c r="A111" s="283"/>
      <c r="B111" s="284"/>
      <c r="C111" s="284"/>
      <c r="D111" s="284"/>
      <c r="E111" s="284"/>
      <c r="F111" s="284"/>
      <c r="G111" s="284"/>
      <c r="H111" s="284"/>
      <c r="I111" s="284"/>
      <c r="J111" s="284"/>
      <c r="K111" s="284"/>
      <c r="L111" s="284"/>
      <c r="M111" s="284"/>
      <c r="N111" s="284"/>
      <c r="O111" s="284"/>
      <c r="P111" s="284"/>
      <c r="Q111" s="284"/>
      <c r="R111" s="285"/>
    </row>
    <row r="112" spans="1:18" ht="22.15" customHeight="1" thickTop="1" thickBot="1">
      <c r="A112" s="279" t="s">
        <v>6</v>
      </c>
      <c r="B112" s="295"/>
      <c r="C112" s="295"/>
      <c r="D112" s="295"/>
      <c r="E112" s="295"/>
      <c r="F112" s="296"/>
      <c r="G112" s="32">
        <v>46043</v>
      </c>
      <c r="H112" s="278" t="s">
        <v>7</v>
      </c>
      <c r="I112" s="295"/>
      <c r="J112" s="295"/>
      <c r="K112" s="295"/>
      <c r="L112" s="295"/>
      <c r="M112" s="295"/>
      <c r="N112" s="295"/>
      <c r="O112" s="295"/>
      <c r="P112" s="295"/>
      <c r="Q112" s="295"/>
      <c r="R112" s="296"/>
    </row>
    <row r="113" spans="1:18" ht="24" customHeight="1">
      <c r="A113" s="33" t="s">
        <v>8</v>
      </c>
      <c r="B113" s="33" t="s">
        <v>9</v>
      </c>
      <c r="C113" s="34" t="s">
        <v>10</v>
      </c>
      <c r="D113" s="33" t="s">
        <v>11</v>
      </c>
      <c r="E113" s="33" t="s">
        <v>12</v>
      </c>
      <c r="F113" s="35" t="s">
        <v>13</v>
      </c>
      <c r="G113" s="36" t="s">
        <v>14</v>
      </c>
      <c r="H113" s="33" t="s">
        <v>15</v>
      </c>
      <c r="I113" s="37" t="s">
        <v>16</v>
      </c>
      <c r="J113" s="38" t="s">
        <v>17</v>
      </c>
      <c r="K113" s="39" t="s">
        <v>18</v>
      </c>
      <c r="L113" s="38" t="s">
        <v>19</v>
      </c>
      <c r="M113" s="38" t="s">
        <v>20</v>
      </c>
      <c r="N113" s="38" t="s">
        <v>21</v>
      </c>
      <c r="O113" s="33" t="s">
        <v>22</v>
      </c>
      <c r="P113" s="34" t="s">
        <v>23</v>
      </c>
      <c r="Q113" s="38" t="s">
        <v>24</v>
      </c>
      <c r="R113" s="33" t="s">
        <v>25</v>
      </c>
    </row>
    <row r="114" spans="1:18" ht="49.9" customHeight="1">
      <c r="A114" s="49" t="s">
        <v>61</v>
      </c>
      <c r="B114" s="49" t="s">
        <v>1252</v>
      </c>
      <c r="C114" s="50">
        <v>0.84375</v>
      </c>
      <c r="D114" s="49" t="s">
        <v>63</v>
      </c>
      <c r="E114" s="49" t="s">
        <v>143</v>
      </c>
      <c r="F114" s="49" t="s">
        <v>161</v>
      </c>
      <c r="G114" s="297"/>
      <c r="H114" s="51" t="s">
        <v>1253</v>
      </c>
      <c r="I114" s="52">
        <v>0.1061</v>
      </c>
      <c r="J114" s="53">
        <v>19</v>
      </c>
      <c r="K114" s="54">
        <v>46325</v>
      </c>
      <c r="L114" s="53">
        <v>19</v>
      </c>
      <c r="M114" s="53">
        <v>0</v>
      </c>
      <c r="N114" s="53">
        <v>0</v>
      </c>
      <c r="O114" s="55" t="s">
        <v>298</v>
      </c>
      <c r="P114" s="56">
        <v>0.84375</v>
      </c>
      <c r="Q114" s="53">
        <v>179</v>
      </c>
      <c r="R114" s="57" t="s">
        <v>1269</v>
      </c>
    </row>
    <row r="115" spans="1:18" ht="49.9" customHeight="1">
      <c r="A115" s="19" t="s">
        <v>359</v>
      </c>
      <c r="B115" s="19" t="s">
        <v>1249</v>
      </c>
      <c r="C115" s="20">
        <v>3.125E-2</v>
      </c>
      <c r="D115" s="19" t="s">
        <v>361</v>
      </c>
      <c r="E115" s="19" t="s">
        <v>80</v>
      </c>
      <c r="F115" s="19" t="s">
        <v>1250</v>
      </c>
      <c r="G115" s="298"/>
      <c r="H115" s="10"/>
      <c r="I115" s="11"/>
      <c r="J115" s="11"/>
      <c r="K115" s="11"/>
      <c r="L115" s="11"/>
      <c r="M115" s="11"/>
      <c r="N115" s="11"/>
      <c r="O115" s="12"/>
      <c r="P115" s="11"/>
      <c r="Q115" s="13"/>
      <c r="R115" s="14"/>
    </row>
    <row r="116" spans="1:18" ht="49.9" customHeight="1" thickBot="1">
      <c r="A116" s="76" t="s">
        <v>359</v>
      </c>
      <c r="B116" s="76" t="s">
        <v>1249</v>
      </c>
      <c r="C116" s="77">
        <v>3.125E-2</v>
      </c>
      <c r="D116" s="76" t="s">
        <v>46</v>
      </c>
      <c r="E116" s="76" t="s">
        <v>82</v>
      </c>
      <c r="F116" s="76" t="s">
        <v>1251</v>
      </c>
      <c r="G116" s="299"/>
      <c r="H116" s="300"/>
      <c r="I116" s="140"/>
      <c r="J116" s="140"/>
      <c r="K116" s="140"/>
      <c r="L116" s="140"/>
      <c r="M116" s="140"/>
      <c r="N116" s="140"/>
      <c r="O116" s="141"/>
      <c r="P116" s="140"/>
      <c r="Q116" s="142"/>
      <c r="R116" s="301"/>
    </row>
    <row r="117" spans="1:18" ht="17.45" customHeight="1" thickBot="1">
      <c r="A117" s="283"/>
      <c r="B117" s="284"/>
      <c r="C117" s="284"/>
      <c r="D117" s="284"/>
      <c r="E117" s="284"/>
      <c r="F117" s="284"/>
      <c r="G117" s="284"/>
      <c r="H117" s="284"/>
      <c r="I117" s="284"/>
      <c r="J117" s="284"/>
      <c r="K117" s="284"/>
      <c r="L117" s="284"/>
      <c r="M117" s="284"/>
      <c r="N117" s="284"/>
      <c r="O117" s="284"/>
      <c r="P117" s="284"/>
      <c r="Q117" s="284"/>
      <c r="R117" s="285"/>
    </row>
    <row r="118" spans="1:18" ht="22.15" customHeight="1" thickTop="1" thickBot="1">
      <c r="A118" s="279" t="s">
        <v>6</v>
      </c>
      <c r="B118" s="295"/>
      <c r="C118" s="295"/>
      <c r="D118" s="295"/>
      <c r="E118" s="295"/>
      <c r="F118" s="296"/>
      <c r="G118" s="32">
        <v>46044</v>
      </c>
      <c r="H118" s="278" t="s">
        <v>7</v>
      </c>
      <c r="I118" s="295"/>
      <c r="J118" s="295"/>
      <c r="K118" s="295"/>
      <c r="L118" s="295"/>
      <c r="M118" s="295"/>
      <c r="N118" s="295"/>
      <c r="O118" s="295"/>
      <c r="P118" s="295"/>
      <c r="Q118" s="295"/>
      <c r="R118" s="296"/>
    </row>
    <row r="119" spans="1:18" ht="24" customHeight="1">
      <c r="A119" s="33" t="s">
        <v>8</v>
      </c>
      <c r="B119" s="33" t="s">
        <v>9</v>
      </c>
      <c r="C119" s="34" t="s">
        <v>10</v>
      </c>
      <c r="D119" s="33" t="s">
        <v>11</v>
      </c>
      <c r="E119" s="33" t="s">
        <v>12</v>
      </c>
      <c r="F119" s="35" t="s">
        <v>13</v>
      </c>
      <c r="G119" s="36" t="s">
        <v>14</v>
      </c>
      <c r="H119" s="33" t="s">
        <v>15</v>
      </c>
      <c r="I119" s="37" t="s">
        <v>16</v>
      </c>
      <c r="J119" s="38" t="s">
        <v>17</v>
      </c>
      <c r="K119" s="39" t="s">
        <v>18</v>
      </c>
      <c r="L119" s="38" t="s">
        <v>19</v>
      </c>
      <c r="M119" s="38" t="s">
        <v>20</v>
      </c>
      <c r="N119" s="38" t="s">
        <v>21</v>
      </c>
      <c r="O119" s="33" t="s">
        <v>22</v>
      </c>
      <c r="P119" s="34" t="s">
        <v>23</v>
      </c>
      <c r="Q119" s="38" t="s">
        <v>24</v>
      </c>
      <c r="R119" s="33" t="s">
        <v>25</v>
      </c>
    </row>
    <row r="120" spans="1:18" ht="49.9" customHeight="1">
      <c r="A120" s="67" t="s">
        <v>61</v>
      </c>
      <c r="B120" s="67" t="s">
        <v>1240</v>
      </c>
      <c r="C120" s="68">
        <v>0.80208333333333337</v>
      </c>
      <c r="D120" s="67" t="s">
        <v>63</v>
      </c>
      <c r="E120" s="67" t="s">
        <v>29</v>
      </c>
      <c r="F120" s="67" t="s">
        <v>876</v>
      </c>
      <c r="G120" s="297"/>
      <c r="H120" s="69" t="s">
        <v>1241</v>
      </c>
      <c r="I120" s="70">
        <v>5.5899999999999998E-2</v>
      </c>
      <c r="J120" s="71">
        <v>10</v>
      </c>
      <c r="K120" s="72">
        <v>46337</v>
      </c>
      <c r="L120" s="71">
        <v>10</v>
      </c>
      <c r="M120" s="71">
        <v>0</v>
      </c>
      <c r="N120" s="71">
        <v>0</v>
      </c>
      <c r="O120" s="73" t="s">
        <v>1113</v>
      </c>
      <c r="P120" s="74">
        <v>0.80208333333333337</v>
      </c>
      <c r="Q120" s="71">
        <v>179</v>
      </c>
      <c r="R120" s="75" t="s">
        <v>1270</v>
      </c>
    </row>
    <row r="121" spans="1:18" ht="49.9" customHeight="1" thickBot="1">
      <c r="A121" s="96" t="s">
        <v>402</v>
      </c>
      <c r="B121" s="96" t="s">
        <v>1243</v>
      </c>
      <c r="C121" s="97">
        <v>0.76388888888888884</v>
      </c>
      <c r="D121" s="96" t="s">
        <v>63</v>
      </c>
      <c r="E121" s="96" t="s">
        <v>126</v>
      </c>
      <c r="F121" s="96" t="s">
        <v>1258</v>
      </c>
      <c r="G121" s="299"/>
      <c r="H121" s="300"/>
      <c r="I121" s="140"/>
      <c r="J121" s="140"/>
      <c r="K121" s="140"/>
      <c r="L121" s="140"/>
      <c r="M121" s="140"/>
      <c r="N121" s="140"/>
      <c r="O121" s="141"/>
      <c r="P121" s="140"/>
      <c r="Q121" s="142"/>
      <c r="R121" s="301"/>
    </row>
    <row r="122" spans="1:18" ht="17.45" customHeight="1" thickBot="1">
      <c r="A122" s="283"/>
      <c r="B122" s="284"/>
      <c r="C122" s="284"/>
      <c r="D122" s="284"/>
      <c r="E122" s="284"/>
      <c r="F122" s="284"/>
      <c r="G122" s="284"/>
      <c r="H122" s="284"/>
      <c r="I122" s="284"/>
      <c r="J122" s="284"/>
      <c r="K122" s="284"/>
      <c r="L122" s="284"/>
      <c r="M122" s="284"/>
      <c r="N122" s="284"/>
      <c r="O122" s="284"/>
      <c r="P122" s="284"/>
      <c r="Q122" s="284"/>
      <c r="R122" s="285"/>
    </row>
    <row r="123" spans="1:18" ht="22.15" customHeight="1" thickTop="1" thickBot="1">
      <c r="A123" s="279" t="s">
        <v>6</v>
      </c>
      <c r="B123" s="295"/>
      <c r="C123" s="295"/>
      <c r="D123" s="295"/>
      <c r="E123" s="295"/>
      <c r="F123" s="296"/>
      <c r="G123" s="32">
        <v>46045</v>
      </c>
      <c r="H123" s="278" t="s">
        <v>7</v>
      </c>
      <c r="I123" s="295"/>
      <c r="J123" s="295"/>
      <c r="K123" s="295"/>
      <c r="L123" s="295"/>
      <c r="M123" s="295"/>
      <c r="N123" s="295"/>
      <c r="O123" s="295"/>
      <c r="P123" s="295"/>
      <c r="Q123" s="295"/>
      <c r="R123" s="296"/>
    </row>
    <row r="124" spans="1:18" ht="24" customHeight="1">
      <c r="A124" s="33" t="s">
        <v>8</v>
      </c>
      <c r="B124" s="33" t="s">
        <v>9</v>
      </c>
      <c r="C124" s="34" t="s">
        <v>10</v>
      </c>
      <c r="D124" s="33" t="s">
        <v>11</v>
      </c>
      <c r="E124" s="33" t="s">
        <v>12</v>
      </c>
      <c r="F124" s="35" t="s">
        <v>13</v>
      </c>
      <c r="G124" s="36" t="s">
        <v>14</v>
      </c>
      <c r="H124" s="33" t="s">
        <v>15</v>
      </c>
      <c r="I124" s="37" t="s">
        <v>16</v>
      </c>
      <c r="J124" s="38" t="s">
        <v>17</v>
      </c>
      <c r="K124" s="39" t="s">
        <v>18</v>
      </c>
      <c r="L124" s="38" t="s">
        <v>19</v>
      </c>
      <c r="M124" s="38" t="s">
        <v>20</v>
      </c>
      <c r="N124" s="38" t="s">
        <v>21</v>
      </c>
      <c r="O124" s="33" t="s">
        <v>22</v>
      </c>
      <c r="P124" s="34" t="s">
        <v>23</v>
      </c>
      <c r="Q124" s="38" t="s">
        <v>24</v>
      </c>
      <c r="R124" s="33" t="s">
        <v>25</v>
      </c>
    </row>
    <row r="125" spans="1:18" ht="49.9" customHeight="1">
      <c r="A125" s="8" t="s">
        <v>359</v>
      </c>
      <c r="B125" s="8" t="s">
        <v>1244</v>
      </c>
      <c r="C125" s="9">
        <v>0.72569444444444453</v>
      </c>
      <c r="D125" s="8" t="s">
        <v>361</v>
      </c>
      <c r="E125" s="8" t="s">
        <v>80</v>
      </c>
      <c r="F125" s="8" t="s">
        <v>1245</v>
      </c>
      <c r="G125" s="297"/>
      <c r="H125" s="10"/>
      <c r="I125" s="11"/>
      <c r="J125" s="11"/>
      <c r="K125" s="11"/>
      <c r="L125" s="11"/>
      <c r="M125" s="11"/>
      <c r="N125" s="11"/>
      <c r="O125" s="12"/>
      <c r="P125" s="11"/>
      <c r="Q125" s="13"/>
      <c r="R125" s="14"/>
    </row>
    <row r="126" spans="1:18" ht="49.9" customHeight="1" thickTop="1" thickBot="1">
      <c r="A126" s="76" t="s">
        <v>359</v>
      </c>
      <c r="B126" s="76" t="s">
        <v>1244</v>
      </c>
      <c r="C126" s="77">
        <v>0.72569444444444453</v>
      </c>
      <c r="D126" s="76" t="s">
        <v>46</v>
      </c>
      <c r="E126" s="76" t="s">
        <v>82</v>
      </c>
      <c r="F126" s="76" t="s">
        <v>1246</v>
      </c>
      <c r="G126" s="299"/>
      <c r="H126" s="300"/>
      <c r="I126" s="140"/>
      <c r="J126" s="140"/>
      <c r="K126" s="140"/>
      <c r="L126" s="140"/>
      <c r="M126" s="140"/>
      <c r="N126" s="140"/>
      <c r="O126" s="141"/>
      <c r="P126" s="140"/>
      <c r="Q126" s="142"/>
      <c r="R126" s="301"/>
    </row>
    <row r="127" spans="1:18" ht="17.45" customHeight="1" thickBot="1">
      <c r="A127" s="283"/>
      <c r="B127" s="284"/>
      <c r="C127" s="284"/>
      <c r="D127" s="284"/>
      <c r="E127" s="284"/>
      <c r="F127" s="284"/>
      <c r="G127" s="284"/>
      <c r="H127" s="284"/>
      <c r="I127" s="284"/>
      <c r="J127" s="284"/>
      <c r="K127" s="284"/>
      <c r="L127" s="284"/>
      <c r="M127" s="284"/>
      <c r="N127" s="284"/>
      <c r="O127" s="284"/>
      <c r="P127" s="284"/>
      <c r="Q127" s="284"/>
      <c r="R127" s="285"/>
    </row>
    <row r="128" spans="1:18" ht="22.15" customHeight="1" thickTop="1" thickBot="1">
      <c r="A128" s="279" t="s">
        <v>6</v>
      </c>
      <c r="B128" s="295"/>
      <c r="C128" s="295"/>
      <c r="D128" s="295"/>
      <c r="E128" s="295"/>
      <c r="F128" s="296"/>
      <c r="G128" s="32">
        <v>46046</v>
      </c>
      <c r="H128" s="278" t="s">
        <v>7</v>
      </c>
      <c r="I128" s="295"/>
      <c r="J128" s="295"/>
      <c r="K128" s="295"/>
      <c r="L128" s="295"/>
      <c r="M128" s="295"/>
      <c r="N128" s="295"/>
      <c r="O128" s="295"/>
      <c r="P128" s="295"/>
      <c r="Q128" s="295"/>
      <c r="R128" s="296"/>
    </row>
    <row r="129" spans="1:18" ht="24" customHeight="1">
      <c r="A129" s="33" t="s">
        <v>8</v>
      </c>
      <c r="B129" s="33" t="s">
        <v>9</v>
      </c>
      <c r="C129" s="34" t="s">
        <v>10</v>
      </c>
      <c r="D129" s="33" t="s">
        <v>11</v>
      </c>
      <c r="E129" s="33" t="s">
        <v>12</v>
      </c>
      <c r="F129" s="35" t="s">
        <v>13</v>
      </c>
      <c r="G129" s="36" t="s">
        <v>14</v>
      </c>
      <c r="H129" s="33" t="s">
        <v>15</v>
      </c>
      <c r="I129" s="37" t="s">
        <v>16</v>
      </c>
      <c r="J129" s="38" t="s">
        <v>17</v>
      </c>
      <c r="K129" s="39" t="s">
        <v>18</v>
      </c>
      <c r="L129" s="38" t="s">
        <v>19</v>
      </c>
      <c r="M129" s="38" t="s">
        <v>20</v>
      </c>
      <c r="N129" s="38" t="s">
        <v>21</v>
      </c>
      <c r="O129" s="33" t="s">
        <v>22</v>
      </c>
      <c r="P129" s="34" t="s">
        <v>23</v>
      </c>
      <c r="Q129" s="38" t="s">
        <v>24</v>
      </c>
      <c r="R129" s="33" t="s">
        <v>25</v>
      </c>
    </row>
    <row r="130" spans="1:18" ht="49.9" customHeight="1">
      <c r="A130" s="49" t="s">
        <v>61</v>
      </c>
      <c r="B130" s="49" t="s">
        <v>1240</v>
      </c>
      <c r="C130" s="50">
        <v>0.80208333333333337</v>
      </c>
      <c r="D130" s="49" t="s">
        <v>63</v>
      </c>
      <c r="E130" s="49" t="s">
        <v>103</v>
      </c>
      <c r="F130" s="49" t="s">
        <v>876</v>
      </c>
      <c r="G130" s="297"/>
      <c r="H130" s="51" t="s">
        <v>1241</v>
      </c>
      <c r="I130" s="52">
        <v>5.0299999999999997E-2</v>
      </c>
      <c r="J130" s="53">
        <v>9</v>
      </c>
      <c r="K130" s="54">
        <v>46344</v>
      </c>
      <c r="L130" s="53">
        <v>9</v>
      </c>
      <c r="M130" s="53">
        <v>0</v>
      </c>
      <c r="N130" s="53">
        <v>0</v>
      </c>
      <c r="O130" s="55" t="s">
        <v>158</v>
      </c>
      <c r="P130" s="56">
        <v>0.80208333333333337</v>
      </c>
      <c r="Q130" s="53">
        <v>179</v>
      </c>
      <c r="R130" s="57" t="s">
        <v>1271</v>
      </c>
    </row>
    <row r="131" spans="1:18" ht="49.9" customHeight="1" thickBot="1">
      <c r="A131" s="96" t="s">
        <v>402</v>
      </c>
      <c r="B131" s="96" t="s">
        <v>1248</v>
      </c>
      <c r="C131" s="97">
        <v>3.472222222222222E-3</v>
      </c>
      <c r="D131" s="96" t="s">
        <v>63</v>
      </c>
      <c r="E131" s="96" t="s">
        <v>51</v>
      </c>
      <c r="F131" s="96" t="s">
        <v>1258</v>
      </c>
      <c r="G131" s="299"/>
      <c r="H131" s="300"/>
      <c r="I131" s="140"/>
      <c r="J131" s="140"/>
      <c r="K131" s="140"/>
      <c r="L131" s="140"/>
      <c r="M131" s="140"/>
      <c r="N131" s="140"/>
      <c r="O131" s="141"/>
      <c r="P131" s="140"/>
      <c r="Q131" s="142"/>
      <c r="R131" s="301"/>
    </row>
    <row r="132" spans="1:18" ht="17.45" customHeight="1" thickBot="1">
      <c r="A132" s="283"/>
      <c r="B132" s="284"/>
      <c r="C132" s="284"/>
      <c r="D132" s="284"/>
      <c r="E132" s="284"/>
      <c r="F132" s="284"/>
      <c r="G132" s="284"/>
      <c r="H132" s="284"/>
      <c r="I132" s="284"/>
      <c r="J132" s="284"/>
      <c r="K132" s="284"/>
      <c r="L132" s="284"/>
      <c r="M132" s="284"/>
      <c r="N132" s="284"/>
      <c r="O132" s="284"/>
      <c r="P132" s="284"/>
      <c r="Q132" s="284"/>
      <c r="R132" s="285"/>
    </row>
    <row r="133" spans="1:18" ht="22.15" customHeight="1" thickTop="1" thickBot="1">
      <c r="A133" s="279" t="s">
        <v>6</v>
      </c>
      <c r="B133" s="295"/>
      <c r="C133" s="295"/>
      <c r="D133" s="295"/>
      <c r="E133" s="295"/>
      <c r="F133" s="296"/>
      <c r="G133" s="32">
        <v>46047</v>
      </c>
      <c r="H133" s="278" t="s">
        <v>7</v>
      </c>
      <c r="I133" s="295"/>
      <c r="J133" s="295"/>
      <c r="K133" s="295"/>
      <c r="L133" s="295"/>
      <c r="M133" s="295"/>
      <c r="N133" s="295"/>
      <c r="O133" s="295"/>
      <c r="P133" s="295"/>
      <c r="Q133" s="295"/>
      <c r="R133" s="296"/>
    </row>
    <row r="134" spans="1:18" ht="24" customHeight="1">
      <c r="A134" s="33" t="s">
        <v>8</v>
      </c>
      <c r="B134" s="33" t="s">
        <v>9</v>
      </c>
      <c r="C134" s="34" t="s">
        <v>10</v>
      </c>
      <c r="D134" s="33" t="s">
        <v>11</v>
      </c>
      <c r="E134" s="33" t="s">
        <v>12</v>
      </c>
      <c r="F134" s="35" t="s">
        <v>13</v>
      </c>
      <c r="G134" s="36" t="s">
        <v>14</v>
      </c>
      <c r="H134" s="33" t="s">
        <v>15</v>
      </c>
      <c r="I134" s="37" t="s">
        <v>16</v>
      </c>
      <c r="J134" s="38" t="s">
        <v>17</v>
      </c>
      <c r="K134" s="39" t="s">
        <v>18</v>
      </c>
      <c r="L134" s="38" t="s">
        <v>19</v>
      </c>
      <c r="M134" s="38" t="s">
        <v>20</v>
      </c>
      <c r="N134" s="38" t="s">
        <v>21</v>
      </c>
      <c r="O134" s="33" t="s">
        <v>22</v>
      </c>
      <c r="P134" s="34" t="s">
        <v>23</v>
      </c>
      <c r="Q134" s="38" t="s">
        <v>24</v>
      </c>
      <c r="R134" s="33" t="s">
        <v>25</v>
      </c>
    </row>
    <row r="135" spans="1:18" ht="49.9" customHeight="1">
      <c r="A135" s="8" t="s">
        <v>359</v>
      </c>
      <c r="B135" s="8" t="s">
        <v>1244</v>
      </c>
      <c r="C135" s="9">
        <v>0.80902777777777779</v>
      </c>
      <c r="D135" s="8" t="s">
        <v>361</v>
      </c>
      <c r="E135" s="8" t="s">
        <v>80</v>
      </c>
      <c r="F135" s="8" t="s">
        <v>1245</v>
      </c>
      <c r="G135" s="297"/>
      <c r="H135" s="10"/>
      <c r="I135" s="11"/>
      <c r="J135" s="11"/>
      <c r="K135" s="11"/>
      <c r="L135" s="11"/>
      <c r="M135" s="11"/>
      <c r="N135" s="11"/>
      <c r="O135" s="12"/>
      <c r="P135" s="11"/>
      <c r="Q135" s="13"/>
      <c r="R135" s="14"/>
    </row>
    <row r="136" spans="1:18" ht="49.9" customHeight="1">
      <c r="A136" s="15" t="s">
        <v>359</v>
      </c>
      <c r="B136" s="15" t="s">
        <v>1244</v>
      </c>
      <c r="C136" s="16">
        <v>0.80902777777777779</v>
      </c>
      <c r="D136" s="15" t="s">
        <v>46</v>
      </c>
      <c r="E136" s="15" t="s">
        <v>82</v>
      </c>
      <c r="F136" s="15" t="s">
        <v>1246</v>
      </c>
      <c r="G136" s="298"/>
      <c r="H136" s="10"/>
      <c r="I136" s="11"/>
      <c r="J136" s="11"/>
      <c r="K136" s="11"/>
      <c r="L136" s="11"/>
      <c r="M136" s="11"/>
      <c r="N136" s="11"/>
      <c r="O136" s="12"/>
      <c r="P136" s="11"/>
      <c r="Q136" s="13"/>
      <c r="R136" s="14"/>
    </row>
    <row r="137" spans="1:18" ht="49.9" customHeight="1" thickBot="1">
      <c r="A137" s="96" t="s">
        <v>402</v>
      </c>
      <c r="B137" s="96" t="s">
        <v>1243</v>
      </c>
      <c r="C137" s="97">
        <v>0.71875</v>
      </c>
      <c r="D137" s="96" t="s">
        <v>63</v>
      </c>
      <c r="E137" s="96" t="s">
        <v>51</v>
      </c>
      <c r="F137" s="96" t="s">
        <v>1258</v>
      </c>
      <c r="G137" s="299"/>
      <c r="H137" s="300"/>
      <c r="I137" s="140"/>
      <c r="J137" s="140"/>
      <c r="K137" s="140"/>
      <c r="L137" s="140"/>
      <c r="M137" s="140"/>
      <c r="N137" s="140"/>
      <c r="O137" s="141"/>
      <c r="P137" s="140"/>
      <c r="Q137" s="142"/>
      <c r="R137" s="301"/>
    </row>
    <row r="138" spans="1:18" ht="17.45" customHeight="1" thickBot="1">
      <c r="A138" s="283"/>
      <c r="B138" s="284"/>
      <c r="C138" s="284"/>
      <c r="D138" s="284"/>
      <c r="E138" s="284"/>
      <c r="F138" s="284"/>
      <c r="G138" s="284"/>
      <c r="H138" s="284"/>
      <c r="I138" s="284"/>
      <c r="J138" s="284"/>
      <c r="K138" s="284"/>
      <c r="L138" s="284"/>
      <c r="M138" s="284"/>
      <c r="N138" s="284"/>
      <c r="O138" s="284"/>
      <c r="P138" s="284"/>
      <c r="Q138" s="284"/>
      <c r="R138" s="285"/>
    </row>
    <row r="139" spans="1:18" ht="22.15" customHeight="1" thickTop="1" thickBot="1">
      <c r="A139" s="279" t="s">
        <v>6</v>
      </c>
      <c r="B139" s="295"/>
      <c r="C139" s="295"/>
      <c r="D139" s="295"/>
      <c r="E139" s="295"/>
      <c r="F139" s="296"/>
      <c r="G139" s="32">
        <v>46048</v>
      </c>
      <c r="H139" s="278" t="s">
        <v>7</v>
      </c>
      <c r="I139" s="295"/>
      <c r="J139" s="295"/>
      <c r="K139" s="295"/>
      <c r="L139" s="295"/>
      <c r="M139" s="295"/>
      <c r="N139" s="295"/>
      <c r="O139" s="295"/>
      <c r="P139" s="295"/>
      <c r="Q139" s="295"/>
      <c r="R139" s="296"/>
    </row>
    <row r="140" spans="1:18" ht="24" customHeight="1">
      <c r="A140" s="33" t="s">
        <v>8</v>
      </c>
      <c r="B140" s="33" t="s">
        <v>9</v>
      </c>
      <c r="C140" s="34" t="s">
        <v>10</v>
      </c>
      <c r="D140" s="33" t="s">
        <v>11</v>
      </c>
      <c r="E140" s="33" t="s">
        <v>12</v>
      </c>
      <c r="F140" s="35" t="s">
        <v>13</v>
      </c>
      <c r="G140" s="36" t="s">
        <v>14</v>
      </c>
      <c r="H140" s="33" t="s">
        <v>15</v>
      </c>
      <c r="I140" s="37" t="s">
        <v>16</v>
      </c>
      <c r="J140" s="38" t="s">
        <v>17</v>
      </c>
      <c r="K140" s="39" t="s">
        <v>18</v>
      </c>
      <c r="L140" s="38" t="s">
        <v>19</v>
      </c>
      <c r="M140" s="38" t="s">
        <v>20</v>
      </c>
      <c r="N140" s="38" t="s">
        <v>21</v>
      </c>
      <c r="O140" s="33" t="s">
        <v>22</v>
      </c>
      <c r="P140" s="34" t="s">
        <v>23</v>
      </c>
      <c r="Q140" s="38" t="s">
        <v>24</v>
      </c>
      <c r="R140" s="33" t="s">
        <v>25</v>
      </c>
    </row>
    <row r="141" spans="1:18" ht="49.9" customHeight="1">
      <c r="A141" s="8" t="s">
        <v>359</v>
      </c>
      <c r="B141" s="8" t="s">
        <v>1249</v>
      </c>
      <c r="C141" s="9">
        <v>3.125E-2</v>
      </c>
      <c r="D141" s="8" t="s">
        <v>361</v>
      </c>
      <c r="E141" s="8" t="s">
        <v>80</v>
      </c>
      <c r="F141" s="8" t="s">
        <v>1250</v>
      </c>
      <c r="G141" s="297"/>
      <c r="H141" s="10"/>
      <c r="I141" s="11"/>
      <c r="J141" s="11"/>
      <c r="K141" s="11"/>
      <c r="L141" s="11"/>
      <c r="M141" s="11"/>
      <c r="N141" s="11"/>
      <c r="O141" s="12"/>
      <c r="P141" s="11"/>
      <c r="Q141" s="13"/>
      <c r="R141" s="14"/>
    </row>
    <row r="142" spans="1:18" ht="49.9" customHeight="1" thickTop="1" thickBot="1">
      <c r="A142" s="76" t="s">
        <v>359</v>
      </c>
      <c r="B142" s="76" t="s">
        <v>1249</v>
      </c>
      <c r="C142" s="77">
        <v>3.125E-2</v>
      </c>
      <c r="D142" s="76" t="s">
        <v>46</v>
      </c>
      <c r="E142" s="76" t="s">
        <v>82</v>
      </c>
      <c r="F142" s="76" t="s">
        <v>1251</v>
      </c>
      <c r="G142" s="299"/>
      <c r="H142" s="300"/>
      <c r="I142" s="140"/>
      <c r="J142" s="140"/>
      <c r="K142" s="140"/>
      <c r="L142" s="140"/>
      <c r="M142" s="140"/>
      <c r="N142" s="140"/>
      <c r="O142" s="141"/>
      <c r="P142" s="140"/>
      <c r="Q142" s="142"/>
      <c r="R142" s="301"/>
    </row>
    <row r="143" spans="1:18" ht="17.45" customHeight="1" thickBot="1">
      <c r="A143" s="283"/>
      <c r="B143" s="284"/>
      <c r="C143" s="284"/>
      <c r="D143" s="284"/>
      <c r="E143" s="284"/>
      <c r="F143" s="284"/>
      <c r="G143" s="284"/>
      <c r="H143" s="284"/>
      <c r="I143" s="284"/>
      <c r="J143" s="284"/>
      <c r="K143" s="284"/>
      <c r="L143" s="284"/>
      <c r="M143" s="284"/>
      <c r="N143" s="284"/>
      <c r="O143" s="284"/>
      <c r="P143" s="284"/>
      <c r="Q143" s="284"/>
      <c r="R143" s="285"/>
    </row>
    <row r="144" spans="1:18" ht="22.15" customHeight="1" thickTop="1" thickBot="1">
      <c r="A144" s="279" t="s">
        <v>6</v>
      </c>
      <c r="B144" s="295"/>
      <c r="C144" s="295"/>
      <c r="D144" s="295"/>
      <c r="E144" s="295"/>
      <c r="F144" s="296"/>
      <c r="G144" s="32">
        <v>46049</v>
      </c>
      <c r="H144" s="278" t="s">
        <v>7</v>
      </c>
      <c r="I144" s="295"/>
      <c r="J144" s="295"/>
      <c r="K144" s="295"/>
      <c r="L144" s="295"/>
      <c r="M144" s="295"/>
      <c r="N144" s="295"/>
      <c r="O144" s="295"/>
      <c r="P144" s="295"/>
      <c r="Q144" s="295"/>
      <c r="R144" s="296"/>
    </row>
    <row r="145" spans="1:18" ht="24" customHeight="1">
      <c r="A145" s="33" t="s">
        <v>8</v>
      </c>
      <c r="B145" s="33" t="s">
        <v>9</v>
      </c>
      <c r="C145" s="34" t="s">
        <v>10</v>
      </c>
      <c r="D145" s="33" t="s">
        <v>11</v>
      </c>
      <c r="E145" s="33" t="s">
        <v>12</v>
      </c>
      <c r="F145" s="35" t="s">
        <v>13</v>
      </c>
      <c r="G145" s="36" t="s">
        <v>14</v>
      </c>
      <c r="H145" s="33" t="s">
        <v>15</v>
      </c>
      <c r="I145" s="37" t="s">
        <v>16</v>
      </c>
      <c r="J145" s="38" t="s">
        <v>17</v>
      </c>
      <c r="K145" s="39" t="s">
        <v>18</v>
      </c>
      <c r="L145" s="38" t="s">
        <v>19</v>
      </c>
      <c r="M145" s="38" t="s">
        <v>20</v>
      </c>
      <c r="N145" s="38" t="s">
        <v>21</v>
      </c>
      <c r="O145" s="33" t="s">
        <v>22</v>
      </c>
      <c r="P145" s="34" t="s">
        <v>23</v>
      </c>
      <c r="Q145" s="38" t="s">
        <v>24</v>
      </c>
      <c r="R145" s="33" t="s">
        <v>25</v>
      </c>
    </row>
    <row r="146" spans="1:18" ht="49.9" customHeight="1">
      <c r="A146" s="8" t="s">
        <v>359</v>
      </c>
      <c r="B146" s="8" t="s">
        <v>1244</v>
      </c>
      <c r="C146" s="9">
        <v>0.1041666666666667</v>
      </c>
      <c r="D146" s="8" t="s">
        <v>361</v>
      </c>
      <c r="E146" s="8" t="s">
        <v>80</v>
      </c>
      <c r="F146" s="8" t="s">
        <v>1250</v>
      </c>
      <c r="G146" s="302"/>
      <c r="H146" s="10"/>
      <c r="I146" s="11"/>
      <c r="J146" s="11"/>
      <c r="K146" s="11"/>
      <c r="L146" s="11"/>
      <c r="M146" s="11"/>
      <c r="N146" s="11"/>
      <c r="O146" s="12"/>
      <c r="P146" s="11"/>
      <c r="Q146" s="13"/>
      <c r="R146" s="14"/>
    </row>
    <row r="147" spans="1:18" ht="49.9" customHeight="1">
      <c r="A147" s="15" t="s">
        <v>359</v>
      </c>
      <c r="B147" s="15" t="s">
        <v>1244</v>
      </c>
      <c r="C147" s="16">
        <v>0.1041666666666667</v>
      </c>
      <c r="D147" s="15" t="s">
        <v>46</v>
      </c>
      <c r="E147" s="15" t="s">
        <v>82</v>
      </c>
      <c r="F147" s="15" t="s">
        <v>1251</v>
      </c>
      <c r="G147" s="298"/>
      <c r="H147" s="10"/>
      <c r="I147" s="11"/>
      <c r="J147" s="11"/>
      <c r="K147" s="11"/>
      <c r="L147" s="11"/>
      <c r="M147" s="11"/>
      <c r="N147" s="11"/>
      <c r="O147" s="12"/>
      <c r="P147" s="11"/>
      <c r="Q147" s="13"/>
      <c r="R147" s="14"/>
    </row>
    <row r="148" spans="1:18" ht="49.9" customHeight="1" thickBot="1">
      <c r="A148" s="96" t="s">
        <v>402</v>
      </c>
      <c r="B148" s="96" t="s">
        <v>1243</v>
      </c>
      <c r="C148" s="97">
        <v>0.76388888888888884</v>
      </c>
      <c r="D148" s="96" t="s">
        <v>63</v>
      </c>
      <c r="E148" s="96" t="s">
        <v>51</v>
      </c>
      <c r="F148" s="96" t="s">
        <v>1258</v>
      </c>
      <c r="G148" s="299"/>
      <c r="H148" s="300"/>
      <c r="I148" s="140"/>
      <c r="J148" s="140"/>
      <c r="K148" s="140"/>
      <c r="L148" s="140"/>
      <c r="M148" s="140"/>
      <c r="N148" s="140"/>
      <c r="O148" s="141"/>
      <c r="P148" s="140"/>
      <c r="Q148" s="142"/>
      <c r="R148" s="301"/>
    </row>
    <row r="149" spans="1:18" ht="17.45" customHeight="1" thickBot="1">
      <c r="A149" s="283"/>
      <c r="B149" s="284"/>
      <c r="C149" s="284"/>
      <c r="D149" s="284"/>
      <c r="E149" s="284"/>
      <c r="F149" s="284"/>
      <c r="G149" s="284"/>
      <c r="H149" s="284"/>
      <c r="I149" s="284"/>
      <c r="J149" s="284"/>
      <c r="K149" s="284"/>
      <c r="L149" s="284"/>
      <c r="M149" s="284"/>
      <c r="N149" s="284"/>
      <c r="O149" s="284"/>
      <c r="P149" s="284"/>
      <c r="Q149" s="284"/>
      <c r="R149" s="285"/>
    </row>
    <row r="150" spans="1:18" ht="22.15" customHeight="1" thickTop="1" thickBot="1">
      <c r="A150" s="279" t="s">
        <v>6</v>
      </c>
      <c r="B150" s="295"/>
      <c r="C150" s="295"/>
      <c r="D150" s="295"/>
      <c r="E150" s="295"/>
      <c r="F150" s="296"/>
      <c r="G150" s="32">
        <v>46050</v>
      </c>
      <c r="H150" s="278" t="s">
        <v>7</v>
      </c>
      <c r="I150" s="295"/>
      <c r="J150" s="295"/>
      <c r="K150" s="295"/>
      <c r="L150" s="295"/>
      <c r="M150" s="295"/>
      <c r="N150" s="295"/>
      <c r="O150" s="295"/>
      <c r="P150" s="295"/>
      <c r="Q150" s="295"/>
      <c r="R150" s="296"/>
    </row>
    <row r="151" spans="1:18" ht="24" customHeight="1">
      <c r="A151" s="33" t="s">
        <v>8</v>
      </c>
      <c r="B151" s="33" t="s">
        <v>9</v>
      </c>
      <c r="C151" s="34" t="s">
        <v>10</v>
      </c>
      <c r="D151" s="33" t="s">
        <v>11</v>
      </c>
      <c r="E151" s="33" t="s">
        <v>12</v>
      </c>
      <c r="F151" s="35" t="s">
        <v>13</v>
      </c>
      <c r="G151" s="36" t="s">
        <v>14</v>
      </c>
      <c r="H151" s="33" t="s">
        <v>15</v>
      </c>
      <c r="I151" s="37" t="s">
        <v>16</v>
      </c>
      <c r="J151" s="38" t="s">
        <v>17</v>
      </c>
      <c r="K151" s="39" t="s">
        <v>18</v>
      </c>
      <c r="L151" s="38" t="s">
        <v>19</v>
      </c>
      <c r="M151" s="38" t="s">
        <v>20</v>
      </c>
      <c r="N151" s="38" t="s">
        <v>21</v>
      </c>
      <c r="O151" s="33" t="s">
        <v>22</v>
      </c>
      <c r="P151" s="34" t="s">
        <v>23</v>
      </c>
      <c r="Q151" s="38" t="s">
        <v>24</v>
      </c>
      <c r="R151" s="33" t="s">
        <v>25</v>
      </c>
    </row>
    <row r="152" spans="1:18" ht="49.9" customHeight="1">
      <c r="A152" s="98" t="s">
        <v>61</v>
      </c>
      <c r="B152" s="98" t="s">
        <v>1252</v>
      </c>
      <c r="C152" s="99">
        <v>0.84375</v>
      </c>
      <c r="D152" s="98" t="s">
        <v>63</v>
      </c>
      <c r="E152" s="98" t="s">
        <v>29</v>
      </c>
      <c r="F152" s="98" t="s">
        <v>1255</v>
      </c>
      <c r="G152" s="297"/>
      <c r="H152" s="100" t="s">
        <v>1253</v>
      </c>
      <c r="I152" s="101">
        <v>1.6799999999999999E-2</v>
      </c>
      <c r="J152" s="102">
        <v>3</v>
      </c>
      <c r="K152" s="103">
        <v>46341</v>
      </c>
      <c r="L152" s="102">
        <v>3</v>
      </c>
      <c r="M152" s="102">
        <v>0</v>
      </c>
      <c r="N152" s="102">
        <v>0</v>
      </c>
      <c r="O152" s="104" t="s">
        <v>951</v>
      </c>
      <c r="P152" s="105">
        <v>0.84375</v>
      </c>
      <c r="Q152" s="102">
        <v>179</v>
      </c>
      <c r="R152" s="106" t="s">
        <v>967</v>
      </c>
    </row>
    <row r="153" spans="1:18" ht="49.9" customHeight="1">
      <c r="A153" s="19" t="s">
        <v>359</v>
      </c>
      <c r="B153" s="19" t="s">
        <v>1249</v>
      </c>
      <c r="C153" s="20">
        <v>3.125E-2</v>
      </c>
      <c r="D153" s="19" t="s">
        <v>361</v>
      </c>
      <c r="E153" s="19" t="s">
        <v>80</v>
      </c>
      <c r="F153" s="19" t="s">
        <v>1250</v>
      </c>
      <c r="G153" s="298"/>
      <c r="H153" s="10"/>
      <c r="I153" s="11"/>
      <c r="J153" s="11"/>
      <c r="K153" s="11"/>
      <c r="L153" s="11"/>
      <c r="M153" s="11"/>
      <c r="N153" s="11"/>
      <c r="O153" s="12"/>
      <c r="P153" s="11"/>
      <c r="Q153" s="13"/>
      <c r="R153" s="14"/>
    </row>
    <row r="154" spans="1:18" ht="49.9" customHeight="1" thickBot="1">
      <c r="A154" s="76" t="s">
        <v>359</v>
      </c>
      <c r="B154" s="76" t="s">
        <v>1249</v>
      </c>
      <c r="C154" s="77">
        <v>3.125E-2</v>
      </c>
      <c r="D154" s="76" t="s">
        <v>46</v>
      </c>
      <c r="E154" s="76" t="s">
        <v>82</v>
      </c>
      <c r="F154" s="76" t="s">
        <v>1251</v>
      </c>
      <c r="G154" s="299"/>
      <c r="H154" s="300"/>
      <c r="I154" s="140"/>
      <c r="J154" s="140"/>
      <c r="K154" s="140"/>
      <c r="L154" s="140"/>
      <c r="M154" s="140"/>
      <c r="N154" s="140"/>
      <c r="O154" s="141"/>
      <c r="P154" s="140"/>
      <c r="Q154" s="142"/>
      <c r="R154" s="301"/>
    </row>
    <row r="155" spans="1:18" ht="17.45" customHeight="1" thickBot="1">
      <c r="A155" s="283"/>
      <c r="B155" s="284"/>
      <c r="C155" s="284"/>
      <c r="D155" s="284"/>
      <c r="E155" s="284"/>
      <c r="F155" s="284"/>
      <c r="G155" s="284"/>
      <c r="H155" s="284"/>
      <c r="I155" s="284"/>
      <c r="J155" s="284"/>
      <c r="K155" s="284"/>
      <c r="L155" s="284"/>
      <c r="M155" s="284"/>
      <c r="N155" s="284"/>
      <c r="O155" s="284"/>
      <c r="P155" s="284"/>
      <c r="Q155" s="284"/>
      <c r="R155" s="285"/>
    </row>
    <row r="156" spans="1:18" ht="22.15" customHeight="1" thickTop="1" thickBot="1">
      <c r="A156" s="279" t="s">
        <v>6</v>
      </c>
      <c r="B156" s="295"/>
      <c r="C156" s="295"/>
      <c r="D156" s="295"/>
      <c r="E156" s="295"/>
      <c r="F156" s="296"/>
      <c r="G156" s="32">
        <v>46051</v>
      </c>
      <c r="H156" s="278" t="s">
        <v>7</v>
      </c>
      <c r="I156" s="295"/>
      <c r="J156" s="295"/>
      <c r="K156" s="295"/>
      <c r="L156" s="295"/>
      <c r="M156" s="295"/>
      <c r="N156" s="295"/>
      <c r="O156" s="295"/>
      <c r="P156" s="295"/>
      <c r="Q156" s="295"/>
      <c r="R156" s="296"/>
    </row>
    <row r="157" spans="1:18" ht="24" customHeight="1">
      <c r="A157" s="33" t="s">
        <v>8</v>
      </c>
      <c r="B157" s="33" t="s">
        <v>9</v>
      </c>
      <c r="C157" s="34" t="s">
        <v>10</v>
      </c>
      <c r="D157" s="33" t="s">
        <v>11</v>
      </c>
      <c r="E157" s="33" t="s">
        <v>12</v>
      </c>
      <c r="F157" s="35" t="s">
        <v>13</v>
      </c>
      <c r="G157" s="36" t="s">
        <v>14</v>
      </c>
      <c r="H157" s="33" t="s">
        <v>15</v>
      </c>
      <c r="I157" s="37" t="s">
        <v>16</v>
      </c>
      <c r="J157" s="38" t="s">
        <v>17</v>
      </c>
      <c r="K157" s="39" t="s">
        <v>18</v>
      </c>
      <c r="L157" s="38" t="s">
        <v>19</v>
      </c>
      <c r="M157" s="38" t="s">
        <v>20</v>
      </c>
      <c r="N157" s="38" t="s">
        <v>21</v>
      </c>
      <c r="O157" s="33" t="s">
        <v>22</v>
      </c>
      <c r="P157" s="34" t="s">
        <v>23</v>
      </c>
      <c r="Q157" s="38" t="s">
        <v>24</v>
      </c>
      <c r="R157" s="33" t="s">
        <v>25</v>
      </c>
    </row>
    <row r="158" spans="1:18" ht="49.9" customHeight="1">
      <c r="A158" s="21" t="s">
        <v>61</v>
      </c>
      <c r="B158" s="21" t="s">
        <v>1240</v>
      </c>
      <c r="C158" s="22">
        <v>0.80208333333333337</v>
      </c>
      <c r="D158" s="21" t="s">
        <v>63</v>
      </c>
      <c r="E158" s="21" t="s">
        <v>103</v>
      </c>
      <c r="F158" s="21" t="s">
        <v>1255</v>
      </c>
      <c r="G158" s="297"/>
      <c r="H158" s="23" t="s">
        <v>1241</v>
      </c>
      <c r="I158" s="24">
        <v>1.12E-2</v>
      </c>
      <c r="J158" s="25">
        <v>2</v>
      </c>
      <c r="K158" s="26">
        <v>46327</v>
      </c>
      <c r="L158" s="25">
        <v>2</v>
      </c>
      <c r="M158" s="25">
        <v>0</v>
      </c>
      <c r="N158" s="25">
        <v>0</v>
      </c>
      <c r="O158" s="27" t="s">
        <v>968</v>
      </c>
      <c r="P158" s="28">
        <v>0.80208333333333337</v>
      </c>
      <c r="Q158" s="25">
        <v>179</v>
      </c>
      <c r="R158" s="29" t="s">
        <v>969</v>
      </c>
    </row>
    <row r="159" spans="1:18" ht="49.9" customHeight="1" thickBot="1">
      <c r="A159" s="96" t="s">
        <v>402</v>
      </c>
      <c r="B159" s="96" t="s">
        <v>1243</v>
      </c>
      <c r="C159" s="97">
        <v>0.76388888888888884</v>
      </c>
      <c r="D159" s="96" t="s">
        <v>63</v>
      </c>
      <c r="E159" s="96" t="s">
        <v>51</v>
      </c>
      <c r="F159" s="96" t="s">
        <v>1258</v>
      </c>
      <c r="G159" s="299"/>
      <c r="H159" s="300"/>
      <c r="I159" s="140"/>
      <c r="J159" s="140"/>
      <c r="K159" s="140"/>
      <c r="L159" s="140"/>
      <c r="M159" s="140"/>
      <c r="N159" s="140"/>
      <c r="O159" s="141"/>
      <c r="P159" s="140"/>
      <c r="Q159" s="142"/>
      <c r="R159" s="301"/>
    </row>
    <row r="160" spans="1:18" ht="17.45" customHeight="1" thickBot="1">
      <c r="A160" s="283"/>
      <c r="B160" s="284"/>
      <c r="C160" s="284"/>
      <c r="D160" s="284"/>
      <c r="E160" s="284"/>
      <c r="F160" s="284"/>
      <c r="G160" s="284"/>
      <c r="H160" s="284"/>
      <c r="I160" s="284"/>
      <c r="J160" s="284"/>
      <c r="K160" s="284"/>
      <c r="L160" s="284"/>
      <c r="M160" s="284"/>
      <c r="N160" s="284"/>
      <c r="O160" s="284"/>
      <c r="P160" s="284"/>
      <c r="Q160" s="284"/>
      <c r="R160" s="285"/>
    </row>
    <row r="161" spans="1:18" ht="22.15" customHeight="1" thickTop="1" thickBot="1">
      <c r="A161" s="279" t="s">
        <v>6</v>
      </c>
      <c r="B161" s="295"/>
      <c r="C161" s="295"/>
      <c r="D161" s="295"/>
      <c r="E161" s="295"/>
      <c r="F161" s="296"/>
      <c r="G161" s="32">
        <v>46052</v>
      </c>
      <c r="H161" s="278" t="s">
        <v>7</v>
      </c>
      <c r="I161" s="295"/>
      <c r="J161" s="295"/>
      <c r="K161" s="295"/>
      <c r="L161" s="295"/>
      <c r="M161" s="295"/>
      <c r="N161" s="295"/>
      <c r="O161" s="295"/>
      <c r="P161" s="295"/>
      <c r="Q161" s="295"/>
      <c r="R161" s="296"/>
    </row>
    <row r="162" spans="1:18" ht="24" customHeight="1">
      <c r="A162" s="33" t="s">
        <v>8</v>
      </c>
      <c r="B162" s="33" t="s">
        <v>9</v>
      </c>
      <c r="C162" s="34" t="s">
        <v>10</v>
      </c>
      <c r="D162" s="33" t="s">
        <v>11</v>
      </c>
      <c r="E162" s="33" t="s">
        <v>12</v>
      </c>
      <c r="F162" s="35" t="s">
        <v>13</v>
      </c>
      <c r="G162" s="36" t="s">
        <v>14</v>
      </c>
      <c r="H162" s="33" t="s">
        <v>15</v>
      </c>
      <c r="I162" s="37" t="s">
        <v>16</v>
      </c>
      <c r="J162" s="38" t="s">
        <v>17</v>
      </c>
      <c r="K162" s="39" t="s">
        <v>18</v>
      </c>
      <c r="L162" s="38" t="s">
        <v>19</v>
      </c>
      <c r="M162" s="38" t="s">
        <v>20</v>
      </c>
      <c r="N162" s="38" t="s">
        <v>21</v>
      </c>
      <c r="O162" s="33" t="s">
        <v>22</v>
      </c>
      <c r="P162" s="34" t="s">
        <v>23</v>
      </c>
      <c r="Q162" s="38" t="s">
        <v>24</v>
      </c>
      <c r="R162" s="33" t="s">
        <v>25</v>
      </c>
    </row>
    <row r="163" spans="1:18" ht="49.9" customHeight="1">
      <c r="A163" s="8" t="s">
        <v>359</v>
      </c>
      <c r="B163" s="8" t="s">
        <v>1244</v>
      </c>
      <c r="C163" s="9">
        <v>0.72569444444444453</v>
      </c>
      <c r="D163" s="8" t="s">
        <v>361</v>
      </c>
      <c r="E163" s="8" t="s">
        <v>80</v>
      </c>
      <c r="F163" s="8" t="s">
        <v>1245</v>
      </c>
      <c r="G163" s="302"/>
      <c r="H163" s="10"/>
      <c r="I163" s="11"/>
      <c r="J163" s="11"/>
      <c r="K163" s="11"/>
      <c r="L163" s="11"/>
      <c r="M163" s="11"/>
      <c r="N163" s="11"/>
      <c r="O163" s="12"/>
      <c r="P163" s="11"/>
      <c r="Q163" s="13"/>
      <c r="R163" s="14"/>
    </row>
    <row r="164" spans="1:18" ht="49.9" customHeight="1" thickTop="1" thickBot="1">
      <c r="A164" s="76" t="s">
        <v>359</v>
      </c>
      <c r="B164" s="76" t="s">
        <v>1244</v>
      </c>
      <c r="C164" s="77">
        <v>0.72569444444444453</v>
      </c>
      <c r="D164" s="76" t="s">
        <v>46</v>
      </c>
      <c r="E164" s="76" t="s">
        <v>82</v>
      </c>
      <c r="F164" s="76" t="s">
        <v>1246</v>
      </c>
      <c r="G164" s="299"/>
      <c r="H164" s="300"/>
      <c r="I164" s="140"/>
      <c r="J164" s="140"/>
      <c r="K164" s="140"/>
      <c r="L164" s="140"/>
      <c r="M164" s="140"/>
      <c r="N164" s="140"/>
      <c r="O164" s="141"/>
      <c r="P164" s="140"/>
      <c r="Q164" s="142"/>
      <c r="R164" s="301"/>
    </row>
    <row r="165" spans="1:18" ht="17.45" customHeight="1" thickBot="1">
      <c r="A165" s="283"/>
      <c r="B165" s="284"/>
      <c r="C165" s="284"/>
      <c r="D165" s="284"/>
      <c r="E165" s="284"/>
      <c r="F165" s="284"/>
      <c r="G165" s="284"/>
      <c r="H165" s="284"/>
      <c r="I165" s="284"/>
      <c r="J165" s="284"/>
      <c r="K165" s="284"/>
      <c r="L165" s="284"/>
      <c r="M165" s="284"/>
      <c r="N165" s="284"/>
      <c r="O165" s="284"/>
      <c r="P165" s="284"/>
      <c r="Q165" s="284"/>
      <c r="R165" s="285"/>
    </row>
    <row r="166" spans="1:18" ht="22.15" customHeight="1" thickTop="1" thickBot="1">
      <c r="A166" s="279" t="s">
        <v>6</v>
      </c>
      <c r="B166" s="295"/>
      <c r="C166" s="295"/>
      <c r="D166" s="295"/>
      <c r="E166" s="295"/>
      <c r="F166" s="296"/>
      <c r="G166" s="32">
        <v>46053</v>
      </c>
      <c r="H166" s="278" t="s">
        <v>7</v>
      </c>
      <c r="I166" s="295"/>
      <c r="J166" s="295"/>
      <c r="K166" s="295"/>
      <c r="L166" s="295"/>
      <c r="M166" s="295"/>
      <c r="N166" s="295"/>
      <c r="O166" s="295"/>
      <c r="P166" s="295"/>
      <c r="Q166" s="295"/>
      <c r="R166" s="296"/>
    </row>
    <row r="167" spans="1:18" ht="24" customHeight="1">
      <c r="A167" s="33" t="s">
        <v>8</v>
      </c>
      <c r="B167" s="33" t="s">
        <v>9</v>
      </c>
      <c r="C167" s="34" t="s">
        <v>10</v>
      </c>
      <c r="D167" s="33" t="s">
        <v>11</v>
      </c>
      <c r="E167" s="33" t="s">
        <v>12</v>
      </c>
      <c r="F167" s="35" t="s">
        <v>13</v>
      </c>
      <c r="G167" s="36" t="s">
        <v>14</v>
      </c>
      <c r="H167" s="33" t="s">
        <v>15</v>
      </c>
      <c r="I167" s="37" t="s">
        <v>16</v>
      </c>
      <c r="J167" s="38" t="s">
        <v>17</v>
      </c>
      <c r="K167" s="39" t="s">
        <v>18</v>
      </c>
      <c r="L167" s="38" t="s">
        <v>19</v>
      </c>
      <c r="M167" s="38" t="s">
        <v>20</v>
      </c>
      <c r="N167" s="38" t="s">
        <v>21</v>
      </c>
      <c r="O167" s="33" t="s">
        <v>22</v>
      </c>
      <c r="P167" s="34" t="s">
        <v>23</v>
      </c>
      <c r="Q167" s="38" t="s">
        <v>24</v>
      </c>
      <c r="R167" s="33" t="s">
        <v>25</v>
      </c>
    </row>
    <row r="168" spans="1:18" ht="49.9" customHeight="1">
      <c r="A168" s="40" t="s">
        <v>61</v>
      </c>
      <c r="B168" s="40" t="s">
        <v>1240</v>
      </c>
      <c r="C168" s="41">
        <v>0.80208333333333337</v>
      </c>
      <c r="D168" s="40" t="s">
        <v>63</v>
      </c>
      <c r="E168" s="40" t="s">
        <v>126</v>
      </c>
      <c r="F168" s="40" t="s">
        <v>907</v>
      </c>
      <c r="G168" s="302"/>
      <c r="H168" s="42" t="s">
        <v>1241</v>
      </c>
      <c r="I168" s="43">
        <v>6.1499999999999999E-2</v>
      </c>
      <c r="J168" s="44">
        <v>11</v>
      </c>
      <c r="K168" s="45">
        <v>46335</v>
      </c>
      <c r="L168" s="44">
        <v>11</v>
      </c>
      <c r="M168" s="44">
        <v>0</v>
      </c>
      <c r="N168" s="44">
        <v>0</v>
      </c>
      <c r="O168" s="46" t="s">
        <v>446</v>
      </c>
      <c r="P168" s="47">
        <v>0.80208333333333337</v>
      </c>
      <c r="Q168" s="44">
        <v>179</v>
      </c>
      <c r="R168" s="48" t="s">
        <v>1272</v>
      </c>
    </row>
    <row r="169" spans="1:18" ht="49.9" customHeight="1">
      <c r="A169" s="96" t="s">
        <v>402</v>
      </c>
      <c r="B169" s="96" t="s">
        <v>1248</v>
      </c>
      <c r="C169" s="97">
        <v>3.472222222222222E-3</v>
      </c>
      <c r="D169" s="96" t="s">
        <v>63</v>
      </c>
      <c r="E169" s="96" t="s">
        <v>51</v>
      </c>
      <c r="F169" s="96" t="s">
        <v>1258</v>
      </c>
      <c r="G169" s="299"/>
      <c r="H169" s="300"/>
      <c r="I169" s="140"/>
      <c r="J169" s="140"/>
      <c r="K169" s="140"/>
      <c r="L169" s="140"/>
      <c r="M169" s="140"/>
      <c r="N169" s="140"/>
      <c r="O169" s="141"/>
      <c r="P169" s="140"/>
      <c r="Q169" s="142"/>
      <c r="R169" s="301"/>
    </row>
  </sheetData>
  <mergeCells count="130">
    <mergeCell ref="H166:R166"/>
    <mergeCell ref="A41:R41"/>
    <mergeCell ref="A118:F118"/>
    <mergeCell ref="A133:F133"/>
    <mergeCell ref="H1:L1"/>
    <mergeCell ref="A1:E1"/>
    <mergeCell ref="G82:G83"/>
    <mergeCell ref="A149:R149"/>
    <mergeCell ref="A18:R18"/>
    <mergeCell ref="G32:G34"/>
    <mergeCell ref="A95:F95"/>
    <mergeCell ref="H9:R9"/>
    <mergeCell ref="H118:R118"/>
    <mergeCell ref="A47:F47"/>
    <mergeCell ref="G87:G88"/>
    <mergeCell ref="H161:R161"/>
    <mergeCell ref="G65:G66"/>
    <mergeCell ref="A150:F150"/>
    <mergeCell ref="A144:F144"/>
    <mergeCell ref="G49:G50"/>
    <mergeCell ref="A35:R35"/>
    <mergeCell ref="H52:R52"/>
    <mergeCell ref="A62:R62"/>
    <mergeCell ref="G6:G7"/>
    <mergeCell ref="G2:J2"/>
    <mergeCell ref="H123:R123"/>
    <mergeCell ref="A122:R122"/>
    <mergeCell ref="A161:F161"/>
    <mergeCell ref="H144:R144"/>
    <mergeCell ref="H128:R128"/>
    <mergeCell ref="G163:G164"/>
    <mergeCell ref="A127:R127"/>
    <mergeCell ref="G44:G45"/>
    <mergeCell ref="H47:R47"/>
    <mergeCell ref="H139:R139"/>
    <mergeCell ref="A79:R79"/>
    <mergeCell ref="G108:G110"/>
    <mergeCell ref="A46:R46"/>
    <mergeCell ref="H63:R63"/>
    <mergeCell ref="A101:F101"/>
    <mergeCell ref="A105:R105"/>
    <mergeCell ref="A56:R56"/>
    <mergeCell ref="A139:F139"/>
    <mergeCell ref="G114:G116"/>
    <mergeCell ref="A85:F85"/>
    <mergeCell ref="A42:F42"/>
    <mergeCell ref="H25:R25"/>
    <mergeCell ref="G103:G104"/>
    <mergeCell ref="H133:R133"/>
    <mergeCell ref="A8:R8"/>
    <mergeCell ref="H36:R36"/>
    <mergeCell ref="H85:R85"/>
    <mergeCell ref="A100:R100"/>
    <mergeCell ref="G70:G72"/>
    <mergeCell ref="A112:F112"/>
    <mergeCell ref="G59:G61"/>
    <mergeCell ref="H74:R74"/>
    <mergeCell ref="H68:R68"/>
    <mergeCell ref="A165:R165"/>
    <mergeCell ref="A9:F9"/>
    <mergeCell ref="A155:R155"/>
    <mergeCell ref="G38:G40"/>
    <mergeCell ref="A117:R117"/>
    <mergeCell ref="H19:R19"/>
    <mergeCell ref="A30:F30"/>
    <mergeCell ref="A111:R111"/>
    <mergeCell ref="H80:R80"/>
    <mergeCell ref="A143:R143"/>
    <mergeCell ref="G27:G28"/>
    <mergeCell ref="G130:G131"/>
    <mergeCell ref="A94:R94"/>
    <mergeCell ref="G11:G12"/>
    <mergeCell ref="G146:G148"/>
    <mergeCell ref="H14:R14"/>
    <mergeCell ref="H106:R106"/>
    <mergeCell ref="A90:F90"/>
    <mergeCell ref="G141:G142"/>
    <mergeCell ref="H156:R156"/>
    <mergeCell ref="A74:F74"/>
    <mergeCell ref="G76:G78"/>
    <mergeCell ref="G125:G126"/>
    <mergeCell ref="A89:R89"/>
    <mergeCell ref="A106:F106"/>
    <mergeCell ref="A156:F156"/>
    <mergeCell ref="A52:F52"/>
    <mergeCell ref="H90:R90"/>
    <mergeCell ref="G54:G55"/>
    <mergeCell ref="N1:R1"/>
    <mergeCell ref="G92:G93"/>
    <mergeCell ref="A63:F63"/>
    <mergeCell ref="G21:G23"/>
    <mergeCell ref="A19:F19"/>
    <mergeCell ref="A68:F68"/>
    <mergeCell ref="K2:R2"/>
    <mergeCell ref="H57:R57"/>
    <mergeCell ref="A67:R67"/>
    <mergeCell ref="G16:G17"/>
    <mergeCell ref="H30:R30"/>
    <mergeCell ref="H4:R4"/>
    <mergeCell ref="A3:R3"/>
    <mergeCell ref="A14:F14"/>
    <mergeCell ref="A4:F4"/>
    <mergeCell ref="A29:R29"/>
    <mergeCell ref="A13:R13"/>
    <mergeCell ref="A2:F2"/>
    <mergeCell ref="G135:G137"/>
    <mergeCell ref="G168:G169"/>
    <mergeCell ref="A123:F123"/>
    <mergeCell ref="A24:R24"/>
    <mergeCell ref="A73:R73"/>
    <mergeCell ref="A51:R51"/>
    <mergeCell ref="H101:R101"/>
    <mergeCell ref="H42:R42"/>
    <mergeCell ref="G158:G159"/>
    <mergeCell ref="A25:F25"/>
    <mergeCell ref="A166:F166"/>
    <mergeCell ref="G97:G99"/>
    <mergeCell ref="A36:F36"/>
    <mergeCell ref="G152:G154"/>
    <mergeCell ref="H95:R95"/>
    <mergeCell ref="A138:R138"/>
    <mergeCell ref="A132:R132"/>
    <mergeCell ref="G120:G121"/>
    <mergeCell ref="H150:R150"/>
    <mergeCell ref="A128:F128"/>
    <mergeCell ref="A80:F80"/>
    <mergeCell ref="A84:R84"/>
    <mergeCell ref="H112:R112"/>
    <mergeCell ref="A57:F57"/>
    <mergeCell ref="A160:R160"/>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J16"/>
  <sheetViews>
    <sheetView workbookViewId="0"/>
  </sheetViews>
  <sheetFormatPr defaultColWidth="8.85546875" defaultRowHeight="15.6" outlineLevelCol="1"/>
  <cols>
    <col min="1" max="1" width="11.5703125" style="266" bestFit="1" customWidth="1"/>
    <col min="2" max="2" width="9.7109375" style="266" bestFit="1" customWidth="1"/>
    <col min="3" max="3" width="6.7109375" style="266" bestFit="1" customWidth="1"/>
    <col min="4" max="4" width="5.5703125" style="266" bestFit="1" customWidth="1"/>
    <col min="5" max="5" width="8.140625" style="266" bestFit="1" customWidth="1"/>
    <col min="6" max="6" width="4.28515625" style="266" bestFit="1" customWidth="1"/>
    <col min="7" max="7" width="8.42578125" style="266" bestFit="1" customWidth="1"/>
    <col min="8" max="8" width="8.5703125" style="266" bestFit="1" customWidth="1"/>
    <col min="9"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3" width="3.85546875" style="266" bestFit="1" customWidth="1"/>
    <col min="24" max="24" width="4.140625" style="266" bestFit="1" customWidth="1"/>
    <col min="25" max="26" width="3.85546875" style="266" bestFit="1" customWidth="1"/>
    <col min="27" max="27" width="4" style="266" bestFit="1" customWidth="1"/>
    <col min="28" max="28" width="3.85546875" style="266" bestFit="1" customWidth="1"/>
    <col min="29" max="29" width="4.28515625" style="266" bestFit="1" customWidth="1"/>
    <col min="30" max="30" width="4.5703125" style="266" bestFit="1" customWidth="1"/>
    <col min="31"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230</v>
      </c>
      <c r="B2" s="268">
        <v>46023</v>
      </c>
      <c r="C2" s="269" t="s">
        <v>1241</v>
      </c>
      <c r="D2" s="270" t="s">
        <v>334</v>
      </c>
      <c r="E2" s="269" t="s">
        <v>1239</v>
      </c>
      <c r="F2" s="269" t="s">
        <v>232</v>
      </c>
      <c r="G2" s="271">
        <v>0.1229</v>
      </c>
      <c r="H2" s="272">
        <v>179</v>
      </c>
      <c r="I2" s="272">
        <v>22</v>
      </c>
      <c r="J2" s="272">
        <v>0</v>
      </c>
      <c r="K2" s="269" t="s">
        <v>233</v>
      </c>
      <c r="L2" s="273">
        <v>46345</v>
      </c>
      <c r="M2" s="272">
        <v>0</v>
      </c>
      <c r="N2" s="272">
        <v>0</v>
      </c>
      <c r="O2" s="272">
        <v>22</v>
      </c>
      <c r="P2" s="269" t="s">
        <v>430</v>
      </c>
      <c r="Q2" s="265"/>
      <c r="R2" s="265"/>
      <c r="S2" s="265"/>
      <c r="T2" s="265"/>
      <c r="U2" s="265"/>
      <c r="V2" s="265"/>
      <c r="W2" s="265"/>
      <c r="X2" s="265"/>
      <c r="Y2" s="265"/>
      <c r="Z2" s="265"/>
      <c r="AA2" s="265"/>
      <c r="AB2" s="265"/>
      <c r="AC2" s="272" t="s">
        <v>304</v>
      </c>
      <c r="AD2" s="272" t="s">
        <v>552</v>
      </c>
      <c r="AE2" s="272" t="s">
        <v>850</v>
      </c>
      <c r="AF2" s="272" t="s">
        <v>901</v>
      </c>
      <c r="AG2" s="265"/>
      <c r="AH2" s="265"/>
      <c r="AI2" s="265"/>
      <c r="AJ2" s="265"/>
    </row>
    <row r="3" spans="1:36">
      <c r="A3" s="267" t="s">
        <v>234</v>
      </c>
      <c r="B3" s="268">
        <v>46025</v>
      </c>
      <c r="C3" s="269" t="s">
        <v>1241</v>
      </c>
      <c r="D3" s="270" t="s">
        <v>334</v>
      </c>
      <c r="E3" s="269" t="s">
        <v>1239</v>
      </c>
      <c r="F3" s="269" t="s">
        <v>232</v>
      </c>
      <c r="G3" s="271">
        <v>0.14530000000000001</v>
      </c>
      <c r="H3" s="272">
        <v>179</v>
      </c>
      <c r="I3" s="272">
        <v>26</v>
      </c>
      <c r="J3" s="272">
        <v>0</v>
      </c>
      <c r="K3" s="269" t="s">
        <v>233</v>
      </c>
      <c r="L3" s="273">
        <v>46344</v>
      </c>
      <c r="M3" s="272">
        <v>0</v>
      </c>
      <c r="N3" s="272">
        <v>0</v>
      </c>
      <c r="O3" s="272">
        <v>26</v>
      </c>
      <c r="P3" s="269" t="s">
        <v>305</v>
      </c>
      <c r="Q3" s="265"/>
      <c r="R3" s="265"/>
      <c r="S3" s="265"/>
      <c r="T3" s="265"/>
      <c r="U3" s="265"/>
      <c r="V3" s="265"/>
      <c r="W3" s="265"/>
      <c r="X3" s="265"/>
      <c r="Y3" s="265"/>
      <c r="Z3" s="265"/>
      <c r="AA3" s="272" t="s">
        <v>318</v>
      </c>
      <c r="AB3" s="265"/>
      <c r="AC3" s="272" t="s">
        <v>1273</v>
      </c>
      <c r="AD3" s="272" t="s">
        <v>584</v>
      </c>
      <c r="AE3" s="272" t="s">
        <v>951</v>
      </c>
      <c r="AF3" s="265"/>
      <c r="AG3" s="265"/>
      <c r="AH3" s="265"/>
      <c r="AI3" s="265"/>
      <c r="AJ3" s="265"/>
    </row>
    <row r="4" spans="1:36">
      <c r="A4" s="267" t="s">
        <v>315</v>
      </c>
      <c r="B4" s="268">
        <v>46029</v>
      </c>
      <c r="C4" s="269" t="s">
        <v>1253</v>
      </c>
      <c r="D4" s="270" t="s">
        <v>1274</v>
      </c>
      <c r="E4" s="269" t="s">
        <v>1239</v>
      </c>
      <c r="F4" s="269" t="s">
        <v>232</v>
      </c>
      <c r="G4" s="271">
        <v>8.9399999999999993E-2</v>
      </c>
      <c r="H4" s="272">
        <v>179</v>
      </c>
      <c r="I4" s="272">
        <v>16</v>
      </c>
      <c r="J4" s="272">
        <v>0</v>
      </c>
      <c r="K4" s="269" t="s">
        <v>233</v>
      </c>
      <c r="L4" s="273">
        <v>46339</v>
      </c>
      <c r="M4" s="272">
        <v>0</v>
      </c>
      <c r="N4" s="272">
        <v>0</v>
      </c>
      <c r="O4" s="272">
        <v>16</v>
      </c>
      <c r="P4" s="269" t="s">
        <v>552</v>
      </c>
      <c r="Q4" s="265"/>
      <c r="R4" s="265"/>
      <c r="S4" s="265"/>
      <c r="T4" s="265"/>
      <c r="U4" s="265"/>
      <c r="V4" s="265"/>
      <c r="W4" s="265"/>
      <c r="X4" s="265"/>
      <c r="Y4" s="265"/>
      <c r="Z4" s="265"/>
      <c r="AA4" s="272" t="s">
        <v>310</v>
      </c>
      <c r="AB4" s="265"/>
      <c r="AC4" s="272" t="s">
        <v>307</v>
      </c>
      <c r="AD4" s="272" t="s">
        <v>430</v>
      </c>
      <c r="AE4" s="272" t="s">
        <v>968</v>
      </c>
      <c r="AF4" s="272" t="s">
        <v>819</v>
      </c>
      <c r="AG4" s="265"/>
      <c r="AH4" s="265"/>
      <c r="AI4" s="265"/>
      <c r="AJ4" s="265"/>
    </row>
    <row r="5" spans="1:36">
      <c r="A5" s="267" t="s">
        <v>230</v>
      </c>
      <c r="B5" s="268">
        <v>46030</v>
      </c>
      <c r="C5" s="269" t="s">
        <v>1241</v>
      </c>
      <c r="D5" s="270" t="s">
        <v>334</v>
      </c>
      <c r="E5" s="269" t="s">
        <v>1239</v>
      </c>
      <c r="F5" s="269" t="s">
        <v>232</v>
      </c>
      <c r="G5" s="271">
        <v>6.1499999999999999E-2</v>
      </c>
      <c r="H5" s="272">
        <v>179</v>
      </c>
      <c r="I5" s="272">
        <v>11</v>
      </c>
      <c r="J5" s="272">
        <v>0</v>
      </c>
      <c r="K5" s="269" t="s">
        <v>233</v>
      </c>
      <c r="L5" s="273">
        <v>46344</v>
      </c>
      <c r="M5" s="272">
        <v>0</v>
      </c>
      <c r="N5" s="272">
        <v>0</v>
      </c>
      <c r="O5" s="272">
        <v>11</v>
      </c>
      <c r="P5" s="269" t="s">
        <v>968</v>
      </c>
      <c r="Q5" s="265"/>
      <c r="R5" s="265"/>
      <c r="S5" s="265"/>
      <c r="T5" s="265"/>
      <c r="U5" s="265"/>
      <c r="V5" s="265"/>
      <c r="W5" s="265"/>
      <c r="X5" s="265"/>
      <c r="Y5" s="265"/>
      <c r="Z5" s="265"/>
      <c r="AA5" s="265"/>
      <c r="AB5" s="265"/>
      <c r="AC5" s="272" t="s">
        <v>304</v>
      </c>
      <c r="AD5" s="265"/>
      <c r="AE5" s="272" t="s">
        <v>951</v>
      </c>
      <c r="AF5" s="272" t="s">
        <v>901</v>
      </c>
      <c r="AG5" s="265"/>
      <c r="AH5" s="265"/>
      <c r="AI5" s="265"/>
      <c r="AJ5" s="265"/>
    </row>
    <row r="6" spans="1:36">
      <c r="A6" s="267" t="s">
        <v>234</v>
      </c>
      <c r="B6" s="268">
        <v>46032</v>
      </c>
      <c r="C6" s="269" t="s">
        <v>1241</v>
      </c>
      <c r="D6" s="270" t="s">
        <v>334</v>
      </c>
      <c r="E6" s="269" t="s">
        <v>1239</v>
      </c>
      <c r="F6" s="269" t="s">
        <v>232</v>
      </c>
      <c r="G6" s="271">
        <v>0.1341</v>
      </c>
      <c r="H6" s="272">
        <v>179</v>
      </c>
      <c r="I6" s="272">
        <v>24</v>
      </c>
      <c r="J6" s="272">
        <v>0</v>
      </c>
      <c r="K6" s="269" t="s">
        <v>233</v>
      </c>
      <c r="L6" s="273">
        <v>46340</v>
      </c>
      <c r="M6" s="272">
        <v>0</v>
      </c>
      <c r="N6" s="272">
        <v>0</v>
      </c>
      <c r="O6" s="272">
        <v>24</v>
      </c>
      <c r="P6" s="269" t="s">
        <v>305</v>
      </c>
      <c r="Q6" s="265"/>
      <c r="R6" s="265"/>
      <c r="S6" s="265"/>
      <c r="T6" s="265"/>
      <c r="U6" s="265"/>
      <c r="V6" s="265"/>
      <c r="W6" s="265"/>
      <c r="X6" s="265"/>
      <c r="Y6" s="265"/>
      <c r="Z6" s="265"/>
      <c r="AA6" s="265"/>
      <c r="AB6" s="272" t="s">
        <v>184</v>
      </c>
      <c r="AC6" s="272" t="s">
        <v>301</v>
      </c>
      <c r="AD6" s="272" t="s">
        <v>552</v>
      </c>
      <c r="AE6" s="272" t="s">
        <v>905</v>
      </c>
      <c r="AF6" s="265"/>
      <c r="AG6" s="265"/>
      <c r="AH6" s="265"/>
      <c r="AI6" s="265"/>
      <c r="AJ6" s="265"/>
    </row>
    <row r="7" spans="1:36">
      <c r="A7" s="267" t="s">
        <v>315</v>
      </c>
      <c r="B7" s="268">
        <v>46036</v>
      </c>
      <c r="C7" s="269" t="s">
        <v>1253</v>
      </c>
      <c r="D7" s="270" t="s">
        <v>1274</v>
      </c>
      <c r="E7" s="269" t="s">
        <v>1239</v>
      </c>
      <c r="F7" s="269" t="s">
        <v>232</v>
      </c>
      <c r="G7" s="271">
        <v>0.1285</v>
      </c>
      <c r="H7" s="272">
        <v>179</v>
      </c>
      <c r="I7" s="272">
        <v>23</v>
      </c>
      <c r="J7" s="272">
        <v>0</v>
      </c>
      <c r="K7" s="269" t="s">
        <v>233</v>
      </c>
      <c r="L7" s="273">
        <v>46343</v>
      </c>
      <c r="M7" s="272">
        <v>0</v>
      </c>
      <c r="N7" s="272">
        <v>0</v>
      </c>
      <c r="O7" s="272">
        <v>23</v>
      </c>
      <c r="P7" s="269" t="s">
        <v>299</v>
      </c>
      <c r="Q7" s="265"/>
      <c r="R7" s="265"/>
      <c r="S7" s="265"/>
      <c r="T7" s="265"/>
      <c r="U7" s="265"/>
      <c r="V7" s="265"/>
      <c r="W7" s="265"/>
      <c r="X7" s="265"/>
      <c r="Y7" s="265"/>
      <c r="Z7" s="265"/>
      <c r="AA7" s="265"/>
      <c r="AB7" s="265"/>
      <c r="AC7" s="272" t="s">
        <v>298</v>
      </c>
      <c r="AD7" s="272" t="s">
        <v>552</v>
      </c>
      <c r="AE7" s="272" t="s">
        <v>918</v>
      </c>
      <c r="AF7" s="272" t="s">
        <v>374</v>
      </c>
      <c r="AG7" s="265"/>
      <c r="AH7" s="265"/>
      <c r="AI7" s="265"/>
      <c r="AJ7" s="265"/>
    </row>
    <row r="8" spans="1:36">
      <c r="A8" s="267" t="s">
        <v>230</v>
      </c>
      <c r="B8" s="268">
        <v>46037</v>
      </c>
      <c r="C8" s="269" t="s">
        <v>1241</v>
      </c>
      <c r="D8" s="270" t="s">
        <v>334</v>
      </c>
      <c r="E8" s="269" t="s">
        <v>1239</v>
      </c>
      <c r="F8" s="269" t="s">
        <v>232</v>
      </c>
      <c r="G8" s="271">
        <v>0.1061</v>
      </c>
      <c r="H8" s="272">
        <v>179</v>
      </c>
      <c r="I8" s="272">
        <v>19</v>
      </c>
      <c r="J8" s="272">
        <v>0</v>
      </c>
      <c r="K8" s="269" t="s">
        <v>233</v>
      </c>
      <c r="L8" s="273">
        <v>46341</v>
      </c>
      <c r="M8" s="272">
        <v>0</v>
      </c>
      <c r="N8" s="272">
        <v>0</v>
      </c>
      <c r="O8" s="272">
        <v>19</v>
      </c>
      <c r="P8" s="269" t="s">
        <v>981</v>
      </c>
      <c r="Q8" s="265"/>
      <c r="R8" s="265"/>
      <c r="S8" s="265"/>
      <c r="T8" s="265"/>
      <c r="U8" s="265"/>
      <c r="V8" s="265"/>
      <c r="W8" s="265"/>
      <c r="X8" s="272" t="s">
        <v>1118</v>
      </c>
      <c r="Y8" s="265"/>
      <c r="Z8" s="265"/>
      <c r="AA8" s="265"/>
      <c r="AB8" s="272" t="s">
        <v>183</v>
      </c>
      <c r="AC8" s="272" t="s">
        <v>299</v>
      </c>
      <c r="AD8" s="265"/>
      <c r="AE8" s="265"/>
      <c r="AF8" s="265"/>
      <c r="AG8" s="265"/>
      <c r="AH8" s="265"/>
      <c r="AI8" s="265"/>
      <c r="AJ8" s="265"/>
    </row>
    <row r="9" spans="1:36">
      <c r="A9" s="267" t="s">
        <v>234</v>
      </c>
      <c r="B9" s="268">
        <v>46039</v>
      </c>
      <c r="C9" s="269" t="s">
        <v>1241</v>
      </c>
      <c r="D9" s="270" t="s">
        <v>334</v>
      </c>
      <c r="E9" s="269" t="s">
        <v>1239</v>
      </c>
      <c r="F9" s="269" t="s">
        <v>232</v>
      </c>
      <c r="G9" s="271">
        <v>0.16200000000000001</v>
      </c>
      <c r="H9" s="272">
        <v>179</v>
      </c>
      <c r="I9" s="272">
        <v>29</v>
      </c>
      <c r="J9" s="272">
        <v>0</v>
      </c>
      <c r="K9" s="269" t="s">
        <v>233</v>
      </c>
      <c r="L9" s="273">
        <v>46344</v>
      </c>
      <c r="M9" s="272">
        <v>0</v>
      </c>
      <c r="N9" s="272">
        <v>0</v>
      </c>
      <c r="O9" s="272">
        <v>29</v>
      </c>
      <c r="P9" s="269" t="s">
        <v>983</v>
      </c>
      <c r="Q9" s="265"/>
      <c r="R9" s="265"/>
      <c r="S9" s="265"/>
      <c r="T9" s="265"/>
      <c r="U9" s="265"/>
      <c r="V9" s="265"/>
      <c r="W9" s="265"/>
      <c r="X9" s="272" t="s">
        <v>1275</v>
      </c>
      <c r="Y9" s="265"/>
      <c r="Z9" s="272" t="s">
        <v>1029</v>
      </c>
      <c r="AA9" s="272" t="s">
        <v>516</v>
      </c>
      <c r="AB9" s="265"/>
      <c r="AC9" s="265"/>
      <c r="AD9" s="265"/>
      <c r="AE9" s="265"/>
      <c r="AF9" s="265"/>
      <c r="AG9" s="265"/>
      <c r="AH9" s="265"/>
      <c r="AI9" s="265"/>
      <c r="AJ9" s="265"/>
    </row>
    <row r="10" spans="1:36">
      <c r="A10" s="267" t="s">
        <v>315</v>
      </c>
      <c r="B10" s="268">
        <v>46043</v>
      </c>
      <c r="C10" s="269" t="s">
        <v>1253</v>
      </c>
      <c r="D10" s="270" t="s">
        <v>1274</v>
      </c>
      <c r="E10" s="269" t="s">
        <v>1239</v>
      </c>
      <c r="F10" s="269" t="s">
        <v>232</v>
      </c>
      <c r="G10" s="271">
        <v>0.1061</v>
      </c>
      <c r="H10" s="272">
        <v>179</v>
      </c>
      <c r="I10" s="272">
        <v>19</v>
      </c>
      <c r="J10" s="272">
        <v>0</v>
      </c>
      <c r="K10" s="269" t="s">
        <v>233</v>
      </c>
      <c r="L10" s="273">
        <v>46325</v>
      </c>
      <c r="M10" s="272">
        <v>0</v>
      </c>
      <c r="N10" s="272">
        <v>0</v>
      </c>
      <c r="O10" s="272">
        <v>19</v>
      </c>
      <c r="P10" s="269" t="s">
        <v>298</v>
      </c>
      <c r="Q10" s="265"/>
      <c r="R10" s="265"/>
      <c r="S10" s="265"/>
      <c r="T10" s="265"/>
      <c r="U10" s="265"/>
      <c r="V10" s="265"/>
      <c r="W10" s="265"/>
      <c r="X10" s="265"/>
      <c r="Y10" s="265"/>
      <c r="Z10" s="265"/>
      <c r="AA10" s="272" t="s">
        <v>516</v>
      </c>
      <c r="AB10" s="272" t="s">
        <v>471</v>
      </c>
      <c r="AC10" s="272" t="s">
        <v>307</v>
      </c>
      <c r="AD10" s="272" t="s">
        <v>368</v>
      </c>
      <c r="AE10" s="265"/>
      <c r="AF10" s="265"/>
      <c r="AG10" s="265"/>
      <c r="AH10" s="265"/>
      <c r="AI10" s="265"/>
      <c r="AJ10" s="265"/>
    </row>
    <row r="11" spans="1:36">
      <c r="A11" s="267" t="s">
        <v>230</v>
      </c>
      <c r="B11" s="268">
        <v>46044</v>
      </c>
      <c r="C11" s="269" t="s">
        <v>1241</v>
      </c>
      <c r="D11" s="270" t="s">
        <v>334</v>
      </c>
      <c r="E11" s="269" t="s">
        <v>1239</v>
      </c>
      <c r="F11" s="269" t="s">
        <v>232</v>
      </c>
      <c r="G11" s="271">
        <v>5.5899999999999998E-2</v>
      </c>
      <c r="H11" s="272">
        <v>179</v>
      </c>
      <c r="I11" s="272">
        <v>10</v>
      </c>
      <c r="J11" s="272">
        <v>0</v>
      </c>
      <c r="K11" s="269" t="s">
        <v>233</v>
      </c>
      <c r="L11" s="273">
        <v>46337</v>
      </c>
      <c r="M11" s="272">
        <v>0</v>
      </c>
      <c r="N11" s="272">
        <v>0</v>
      </c>
      <c r="O11" s="272">
        <v>10</v>
      </c>
      <c r="P11" s="269" t="s">
        <v>1113</v>
      </c>
      <c r="Q11" s="265"/>
      <c r="R11" s="265"/>
      <c r="S11" s="265"/>
      <c r="T11" s="265"/>
      <c r="U11" s="265"/>
      <c r="V11" s="265"/>
      <c r="W11" s="265"/>
      <c r="X11" s="265"/>
      <c r="Y11" s="265"/>
      <c r="Z11" s="272" t="s">
        <v>1069</v>
      </c>
      <c r="AA11" s="272" t="s">
        <v>310</v>
      </c>
      <c r="AB11" s="265"/>
      <c r="AC11" s="265"/>
      <c r="AD11" s="265"/>
      <c r="AE11" s="265"/>
      <c r="AF11" s="265"/>
      <c r="AG11" s="265"/>
      <c r="AH11" s="265"/>
      <c r="AI11" s="265"/>
      <c r="AJ11" s="265"/>
    </row>
    <row r="12" spans="1:36">
      <c r="A12" s="267" t="s">
        <v>234</v>
      </c>
      <c r="B12" s="268">
        <v>46046</v>
      </c>
      <c r="C12" s="269" t="s">
        <v>1241</v>
      </c>
      <c r="D12" s="270" t="s">
        <v>334</v>
      </c>
      <c r="E12" s="269" t="s">
        <v>1239</v>
      </c>
      <c r="F12" s="269" t="s">
        <v>232</v>
      </c>
      <c r="G12" s="271">
        <v>5.0299999999999997E-2</v>
      </c>
      <c r="H12" s="272">
        <v>179</v>
      </c>
      <c r="I12" s="272">
        <v>9</v>
      </c>
      <c r="J12" s="272">
        <v>0</v>
      </c>
      <c r="K12" s="269" t="s">
        <v>233</v>
      </c>
      <c r="L12" s="273">
        <v>46344</v>
      </c>
      <c r="M12" s="272">
        <v>0</v>
      </c>
      <c r="N12" s="272">
        <v>0</v>
      </c>
      <c r="O12" s="272">
        <v>9</v>
      </c>
      <c r="P12" s="269" t="s">
        <v>158</v>
      </c>
      <c r="Q12" s="265"/>
      <c r="R12" s="265"/>
      <c r="S12" s="265"/>
      <c r="T12" s="265"/>
      <c r="U12" s="265"/>
      <c r="V12" s="265"/>
      <c r="W12" s="265"/>
      <c r="X12" s="265"/>
      <c r="Y12" s="265"/>
      <c r="Z12" s="272" t="s">
        <v>158</v>
      </c>
      <c r="AA12" s="272" t="s">
        <v>587</v>
      </c>
      <c r="AB12" s="265"/>
      <c r="AC12" s="265"/>
      <c r="AD12" s="265"/>
      <c r="AE12" s="265"/>
      <c r="AF12" s="265"/>
      <c r="AG12" s="265"/>
      <c r="AH12" s="265"/>
      <c r="AI12" s="265"/>
      <c r="AJ12" s="265"/>
    </row>
    <row r="13" spans="1:36">
      <c r="A13" s="267" t="s">
        <v>315</v>
      </c>
      <c r="B13" s="268">
        <v>46050</v>
      </c>
      <c r="C13" s="269" t="s">
        <v>1253</v>
      </c>
      <c r="D13" s="270" t="s">
        <v>1274</v>
      </c>
      <c r="E13" s="269" t="s">
        <v>1239</v>
      </c>
      <c r="F13" s="269" t="s">
        <v>232</v>
      </c>
      <c r="G13" s="271">
        <v>1.6799999999999999E-2</v>
      </c>
      <c r="H13" s="272">
        <v>179</v>
      </c>
      <c r="I13" s="272">
        <v>3</v>
      </c>
      <c r="J13" s="272">
        <v>0</v>
      </c>
      <c r="K13" s="269" t="s">
        <v>233</v>
      </c>
      <c r="L13" s="273">
        <v>46341</v>
      </c>
      <c r="M13" s="272">
        <v>0</v>
      </c>
      <c r="N13" s="272">
        <v>0</v>
      </c>
      <c r="O13" s="272">
        <v>3</v>
      </c>
      <c r="P13" s="269" t="s">
        <v>951</v>
      </c>
      <c r="Q13" s="265"/>
      <c r="R13" s="265"/>
      <c r="S13" s="265"/>
      <c r="T13" s="265"/>
      <c r="U13" s="265"/>
      <c r="V13" s="265"/>
      <c r="W13" s="265"/>
      <c r="X13" s="265"/>
      <c r="Y13" s="265"/>
      <c r="Z13" s="265"/>
      <c r="AA13" s="265"/>
      <c r="AB13" s="265"/>
      <c r="AC13" s="265"/>
      <c r="AD13" s="265"/>
      <c r="AE13" s="272" t="s">
        <v>967</v>
      </c>
      <c r="AF13" s="265"/>
      <c r="AG13" s="265"/>
      <c r="AH13" s="265"/>
      <c r="AI13" s="265"/>
      <c r="AJ13" s="265"/>
    </row>
    <row r="14" spans="1:36">
      <c r="A14" s="267" t="s">
        <v>230</v>
      </c>
      <c r="B14" s="268">
        <v>46051</v>
      </c>
      <c r="C14" s="269" t="s">
        <v>1241</v>
      </c>
      <c r="D14" s="270" t="s">
        <v>334</v>
      </c>
      <c r="E14" s="269" t="s">
        <v>1239</v>
      </c>
      <c r="F14" s="269" t="s">
        <v>232</v>
      </c>
      <c r="G14" s="271">
        <v>1.12E-2</v>
      </c>
      <c r="H14" s="272">
        <v>179</v>
      </c>
      <c r="I14" s="272">
        <v>2</v>
      </c>
      <c r="J14" s="272">
        <v>0</v>
      </c>
      <c r="K14" s="269" t="s">
        <v>233</v>
      </c>
      <c r="L14" s="273">
        <v>46327</v>
      </c>
      <c r="M14" s="272">
        <v>0</v>
      </c>
      <c r="N14" s="272">
        <v>0</v>
      </c>
      <c r="O14" s="272">
        <v>2</v>
      </c>
      <c r="P14" s="269" t="s">
        <v>968</v>
      </c>
      <c r="Q14" s="265"/>
      <c r="R14" s="265"/>
      <c r="S14" s="265"/>
      <c r="T14" s="265"/>
      <c r="U14" s="265"/>
      <c r="V14" s="265"/>
      <c r="W14" s="265"/>
      <c r="X14" s="265"/>
      <c r="Y14" s="265"/>
      <c r="Z14" s="265"/>
      <c r="AA14" s="272" t="s">
        <v>686</v>
      </c>
      <c r="AB14" s="265"/>
      <c r="AC14" s="265"/>
      <c r="AD14" s="265"/>
      <c r="AE14" s="272" t="s">
        <v>570</v>
      </c>
      <c r="AF14" s="265"/>
      <c r="AG14" s="265"/>
      <c r="AH14" s="265"/>
      <c r="AI14" s="265"/>
      <c r="AJ14" s="265"/>
    </row>
    <row r="15" spans="1:36">
      <c r="A15" s="267" t="s">
        <v>234</v>
      </c>
      <c r="B15" s="268">
        <v>46053</v>
      </c>
      <c r="C15" s="269" t="s">
        <v>1241</v>
      </c>
      <c r="D15" s="270" t="s">
        <v>334</v>
      </c>
      <c r="E15" s="269" t="s">
        <v>1239</v>
      </c>
      <c r="F15" s="269" t="s">
        <v>232</v>
      </c>
      <c r="G15" s="271">
        <v>6.1499999999999999E-2</v>
      </c>
      <c r="H15" s="272">
        <v>179</v>
      </c>
      <c r="I15" s="272">
        <v>11</v>
      </c>
      <c r="J15" s="272">
        <v>0</v>
      </c>
      <c r="K15" s="269" t="s">
        <v>233</v>
      </c>
      <c r="L15" s="273">
        <v>46335</v>
      </c>
      <c r="M15" s="272">
        <v>0</v>
      </c>
      <c r="N15" s="272">
        <v>0</v>
      </c>
      <c r="O15" s="272">
        <v>11</v>
      </c>
      <c r="P15" s="269" t="s">
        <v>446</v>
      </c>
      <c r="Q15" s="265"/>
      <c r="R15" s="265"/>
      <c r="S15" s="265"/>
      <c r="T15" s="265"/>
      <c r="U15" s="265"/>
      <c r="V15" s="265"/>
      <c r="W15" s="265"/>
      <c r="X15" s="265"/>
      <c r="Y15" s="265"/>
      <c r="Z15" s="265"/>
      <c r="AA15" s="272" t="s">
        <v>686</v>
      </c>
      <c r="AB15" s="265"/>
      <c r="AC15" s="272" t="s">
        <v>306</v>
      </c>
      <c r="AD15" s="272" t="s">
        <v>446</v>
      </c>
      <c r="AE15" s="272" t="s">
        <v>1016</v>
      </c>
      <c r="AF15" s="265"/>
      <c r="AG15" s="265"/>
      <c r="AH15" s="265"/>
      <c r="AI15" s="265"/>
      <c r="AJ15" s="265"/>
    </row>
    <row r="16" spans="1:36" ht="21">
      <c r="A16" s="274" t="s">
        <v>251</v>
      </c>
      <c r="B16" s="275"/>
      <c r="C16" s="274">
        <f>SUBTOTAL(103,CAI_AHB_LF_LEGACY[Flt])</f>
        <v>14</v>
      </c>
      <c r="D16" s="274"/>
      <c r="E16" s="274">
        <f>SUBTOTAL(103,CAI_AHB_LF_LEGACY[Brd-Off])</f>
        <v>14</v>
      </c>
      <c r="F16" s="274"/>
      <c r="G16" s="276">
        <f>SUBTOTAL(101,CAI_AHB_LF_LEGACY[LF%])</f>
        <v>8.9400000000000021E-2</v>
      </c>
      <c r="H16" s="277">
        <f>SUBTOTAL(109,CAI_AHB_LF_LEGACY[CAP])</f>
        <v>2506</v>
      </c>
      <c r="I16" s="277">
        <f>SUBTOTAL(109,CAI_AHB_LF_LEGACY[BKG(Y)])</f>
        <v>224</v>
      </c>
      <c r="J16" s="277">
        <f>SUBTOTAL(109,CAI_AHB_LF_LEGACY[GRP(Y)])</f>
        <v>0</v>
      </c>
      <c r="K16" s="274"/>
      <c r="L16" s="275"/>
      <c r="M16" s="277">
        <f>SUBTOTAL(109,CAI_AHB_LF_LEGACY[TO-DAY])</f>
        <v>0</v>
      </c>
      <c r="N16" s="277">
        <f>SUBTOTAL(109,CAI_AHB_LF_LEGACY[Y-DAY])</f>
        <v>0</v>
      </c>
      <c r="O16" s="277">
        <f>SUBTOTAL(109,CAI_AHB_LF_LEGACY[WEEKLY])</f>
        <v>224</v>
      </c>
      <c r="P16" s="274"/>
      <c r="Q16" s="277">
        <f>SUBTOTAL(109,CAI_AHB_LF_LEGACY[Y])</f>
        <v>0</v>
      </c>
      <c r="R16" s="277">
        <f>SUBTOTAL(109,CAI_AHB_LF_LEGACY[B])</f>
        <v>0</v>
      </c>
      <c r="S16" s="277">
        <f>SUBTOTAL(109,CAI_AHB_LF_LEGACY[M])</f>
        <v>0</v>
      </c>
      <c r="T16" s="277">
        <f>SUBTOTAL(109,CAI_AHB_LF_LEGACY[H])</f>
        <v>0</v>
      </c>
      <c r="U16" s="277">
        <f>SUBTOTAL(109,CAI_AHB_LF_LEGACY[Q])</f>
        <v>0</v>
      </c>
      <c r="V16" s="277">
        <f>SUBTOTAL(109,CAI_AHB_LF_LEGACY[K])</f>
        <v>0</v>
      </c>
      <c r="W16" s="277">
        <f>SUBTOTAL(109,CAI_AHB_LF_LEGACY[V])</f>
        <v>0</v>
      </c>
      <c r="X16" s="277">
        <f>SUBTOTAL(109,CAI_AHB_LF_LEGACY[L])</f>
        <v>0</v>
      </c>
      <c r="Y16" s="277">
        <f>SUBTOTAL(109,CAI_AHB_LF_LEGACY[G])</f>
        <v>0</v>
      </c>
      <c r="Z16" s="277">
        <f>SUBTOTAL(109,CAI_AHB_LF_LEGACY[S])</f>
        <v>0</v>
      </c>
      <c r="AA16" s="277">
        <f>SUBTOTAL(109,CAI_AHB_LF_LEGACY[W])</f>
        <v>0</v>
      </c>
      <c r="AB16" s="277">
        <f>SUBTOTAL(109,CAI_AHB_LF_LEGACY[T])</f>
        <v>0</v>
      </c>
      <c r="AC16" s="277">
        <f>SUBTOTAL(109,CAI_AHB_LF_LEGACY[X])</f>
        <v>0</v>
      </c>
      <c r="AD16" s="277">
        <f>SUBTOTAL(109,CAI_AHB_LF_LEGACY[U])</f>
        <v>0</v>
      </c>
      <c r="AE16" s="277">
        <f>SUBTOTAL(109,CAI_AHB_LF_LEGACY[O])</f>
        <v>0</v>
      </c>
      <c r="AF16" s="277">
        <f>SUBTOTAL(109,CAI_AHB_LF_LEGACY[I])</f>
        <v>0</v>
      </c>
      <c r="AG16" s="277">
        <f>SUBTOTAL(109,CAI_AHB_LF_LEGACY[E])</f>
        <v>0</v>
      </c>
      <c r="AH16" s="277">
        <f>SUBTOTAL(109,CAI_AHB_LF_LEGACY[A])</f>
        <v>0</v>
      </c>
      <c r="AI16" s="277">
        <f>SUBTOTAL(109,CAI_AHB_LF_LEGACY[P])</f>
        <v>0</v>
      </c>
      <c r="AJ16" s="277">
        <f>SUBTOTAL(103,CAI_AHB_LF_LEGACY[N])</f>
        <v>0</v>
      </c>
    </row>
  </sheetData>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I75"/>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66.140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6" t="s">
        <v>254</v>
      </c>
      <c r="B2" s="117" t="s">
        <v>61</v>
      </c>
      <c r="C2" s="118" t="s">
        <v>1240</v>
      </c>
      <c r="D2" s="117" t="s">
        <v>1239</v>
      </c>
      <c r="E2" s="117" t="s">
        <v>334</v>
      </c>
      <c r="F2" s="117" t="s">
        <v>63</v>
      </c>
      <c r="G2" s="119">
        <v>1</v>
      </c>
      <c r="H2" s="120" t="s">
        <v>907</v>
      </c>
    </row>
    <row r="3" spans="1:8" ht="19.899999999999999" customHeight="1">
      <c r="A3" s="123">
        <v>46023</v>
      </c>
      <c r="B3" s="124" t="s">
        <v>402</v>
      </c>
      <c r="C3" s="125" t="s">
        <v>1243</v>
      </c>
      <c r="D3" s="124" t="s">
        <v>1239</v>
      </c>
      <c r="E3" s="126">
        <v>1.7638888888888891</v>
      </c>
      <c r="F3" s="124" t="s">
        <v>63</v>
      </c>
      <c r="G3" s="127">
        <v>4</v>
      </c>
      <c r="H3" s="128" t="s">
        <v>647</v>
      </c>
    </row>
    <row r="4" spans="1:8" ht="19.899999999999999" customHeight="1">
      <c r="A4" s="121">
        <v>46024</v>
      </c>
      <c r="B4" s="112" t="s">
        <v>359</v>
      </c>
      <c r="C4" s="113" t="s">
        <v>1244</v>
      </c>
      <c r="D4" s="112" t="s">
        <v>1239</v>
      </c>
      <c r="E4" s="122">
        <v>1.725694444444444</v>
      </c>
      <c r="F4" s="112" t="s">
        <v>361</v>
      </c>
      <c r="G4" s="114">
        <v>9</v>
      </c>
      <c r="H4" s="115" t="s">
        <v>1245</v>
      </c>
    </row>
    <row r="5" spans="1:8" ht="19.899999999999999" customHeight="1">
      <c r="A5" s="123">
        <v>46024</v>
      </c>
      <c r="B5" s="124" t="s">
        <v>359</v>
      </c>
      <c r="C5" s="125" t="s">
        <v>1244</v>
      </c>
      <c r="D5" s="124" t="s">
        <v>1239</v>
      </c>
      <c r="E5" s="126">
        <v>1.725694444444444</v>
      </c>
      <c r="F5" s="124" t="s">
        <v>46</v>
      </c>
      <c r="G5" s="127">
        <v>9</v>
      </c>
      <c r="H5" s="128" t="s">
        <v>1246</v>
      </c>
    </row>
    <row r="6" spans="1:8" ht="19.899999999999999" customHeight="1">
      <c r="A6" s="129">
        <v>46025</v>
      </c>
      <c r="B6" s="117" t="s">
        <v>61</v>
      </c>
      <c r="C6" s="118" t="s">
        <v>1240</v>
      </c>
      <c r="D6" s="117" t="s">
        <v>1239</v>
      </c>
      <c r="E6" s="130">
        <v>1.802083333333333</v>
      </c>
      <c r="F6" s="117" t="s">
        <v>63</v>
      </c>
      <c r="G6" s="119">
        <v>6</v>
      </c>
      <c r="H6" s="120" t="s">
        <v>161</v>
      </c>
    </row>
    <row r="7" spans="1:8" ht="19.899999999999999" customHeight="1">
      <c r="A7" s="123">
        <v>46025</v>
      </c>
      <c r="B7" s="124" t="s">
        <v>402</v>
      </c>
      <c r="C7" s="125" t="s">
        <v>1248</v>
      </c>
      <c r="D7" s="124" t="s">
        <v>1239</v>
      </c>
      <c r="E7" s="126">
        <v>1.0034722222222221</v>
      </c>
      <c r="F7" s="124" t="s">
        <v>63</v>
      </c>
      <c r="G7" s="127">
        <v>5</v>
      </c>
      <c r="H7" s="128" t="s">
        <v>647</v>
      </c>
    </row>
    <row r="8" spans="1:8" ht="19.899999999999999" customHeight="1">
      <c r="A8" s="121">
        <v>46026</v>
      </c>
      <c r="B8" s="112" t="s">
        <v>359</v>
      </c>
      <c r="C8" s="113" t="s">
        <v>1244</v>
      </c>
      <c r="D8" s="112" t="s">
        <v>1239</v>
      </c>
      <c r="E8" s="122">
        <v>1.8090277777777779</v>
      </c>
      <c r="F8" s="112" t="s">
        <v>361</v>
      </c>
      <c r="G8" s="114">
        <v>9</v>
      </c>
      <c r="H8" s="115" t="s">
        <v>1245</v>
      </c>
    </row>
    <row r="9" spans="1:8" ht="19.899999999999999" customHeight="1">
      <c r="A9" s="121">
        <v>46026</v>
      </c>
      <c r="B9" s="112" t="s">
        <v>402</v>
      </c>
      <c r="C9" s="113" t="s">
        <v>1243</v>
      </c>
      <c r="D9" s="112" t="s">
        <v>1239</v>
      </c>
      <c r="E9" s="122">
        <v>1.71875</v>
      </c>
      <c r="F9" s="112" t="s">
        <v>63</v>
      </c>
      <c r="G9" s="114">
        <v>2</v>
      </c>
      <c r="H9" s="115" t="s">
        <v>647</v>
      </c>
    </row>
    <row r="10" spans="1:8" ht="19.899999999999999" customHeight="1">
      <c r="A10" s="123">
        <v>46026</v>
      </c>
      <c r="B10" s="124" t="s">
        <v>359</v>
      </c>
      <c r="C10" s="125" t="s">
        <v>1244</v>
      </c>
      <c r="D10" s="124" t="s">
        <v>1239</v>
      </c>
      <c r="E10" s="126">
        <v>1.8090277777777779</v>
      </c>
      <c r="F10" s="124" t="s">
        <v>46</v>
      </c>
      <c r="G10" s="127">
        <v>9</v>
      </c>
      <c r="H10" s="128" t="s">
        <v>1246</v>
      </c>
    </row>
    <row r="11" spans="1:8" ht="19.899999999999999" customHeight="1">
      <c r="A11" s="121">
        <v>46027</v>
      </c>
      <c r="B11" s="112" t="s">
        <v>359</v>
      </c>
      <c r="C11" s="113" t="s">
        <v>1249</v>
      </c>
      <c r="D11" s="112" t="s">
        <v>1239</v>
      </c>
      <c r="E11" s="122">
        <v>1.03125</v>
      </c>
      <c r="F11" s="112" t="s">
        <v>361</v>
      </c>
      <c r="G11" s="114">
        <v>9</v>
      </c>
      <c r="H11" s="115" t="s">
        <v>1250</v>
      </c>
    </row>
    <row r="12" spans="1:8" ht="19.899999999999999" customHeight="1">
      <c r="A12" s="123">
        <v>46027</v>
      </c>
      <c r="B12" s="124" t="s">
        <v>359</v>
      </c>
      <c r="C12" s="125" t="s">
        <v>1249</v>
      </c>
      <c r="D12" s="124" t="s">
        <v>1239</v>
      </c>
      <c r="E12" s="126">
        <v>1.03125</v>
      </c>
      <c r="F12" s="124" t="s">
        <v>46</v>
      </c>
      <c r="G12" s="127">
        <v>9</v>
      </c>
      <c r="H12" s="128" t="s">
        <v>1251</v>
      </c>
    </row>
    <row r="13" spans="1:8" ht="19.899999999999999" customHeight="1">
      <c r="A13" s="121">
        <v>46028</v>
      </c>
      <c r="B13" s="112" t="s">
        <v>359</v>
      </c>
      <c r="C13" s="113" t="s">
        <v>1244</v>
      </c>
      <c r="D13" s="112" t="s">
        <v>1239</v>
      </c>
      <c r="E13" s="122">
        <v>1.104166666666667</v>
      </c>
      <c r="F13" s="112" t="s">
        <v>361</v>
      </c>
      <c r="G13" s="114">
        <v>9</v>
      </c>
      <c r="H13" s="115" t="s">
        <v>1250</v>
      </c>
    </row>
    <row r="14" spans="1:8" ht="19.899999999999999" customHeight="1">
      <c r="A14" s="121">
        <v>46028</v>
      </c>
      <c r="B14" s="112" t="s">
        <v>402</v>
      </c>
      <c r="C14" s="113" t="s">
        <v>1243</v>
      </c>
      <c r="D14" s="112" t="s">
        <v>1239</v>
      </c>
      <c r="E14" s="122">
        <v>1.7638888888888891</v>
      </c>
      <c r="F14" s="112" t="s">
        <v>63</v>
      </c>
      <c r="G14" s="114">
        <v>8</v>
      </c>
      <c r="H14" s="115" t="s">
        <v>647</v>
      </c>
    </row>
    <row r="15" spans="1:8" ht="19.899999999999999" customHeight="1">
      <c r="A15" s="123">
        <v>46028</v>
      </c>
      <c r="B15" s="124" t="s">
        <v>359</v>
      </c>
      <c r="C15" s="125" t="s">
        <v>1244</v>
      </c>
      <c r="D15" s="124" t="s">
        <v>1239</v>
      </c>
      <c r="E15" s="126">
        <v>1.104166666666667</v>
      </c>
      <c r="F15" s="124" t="s">
        <v>46</v>
      </c>
      <c r="G15" s="127">
        <v>9</v>
      </c>
      <c r="H15" s="128" t="s">
        <v>1251</v>
      </c>
    </row>
    <row r="16" spans="1:8" ht="19.899999999999999" customHeight="1">
      <c r="A16" s="129">
        <v>46029</v>
      </c>
      <c r="B16" s="117" t="s">
        <v>61</v>
      </c>
      <c r="C16" s="118" t="s">
        <v>1252</v>
      </c>
      <c r="D16" s="117" t="s">
        <v>1239</v>
      </c>
      <c r="E16" s="130">
        <v>1.84375</v>
      </c>
      <c r="F16" s="117" t="s">
        <v>63</v>
      </c>
      <c r="G16" s="119">
        <v>7</v>
      </c>
      <c r="H16" s="120" t="s">
        <v>907</v>
      </c>
    </row>
    <row r="17" spans="1:8" ht="19.899999999999999" customHeight="1">
      <c r="A17" s="121">
        <v>46029</v>
      </c>
      <c r="B17" s="112" t="s">
        <v>359</v>
      </c>
      <c r="C17" s="113" t="s">
        <v>1249</v>
      </c>
      <c r="D17" s="112" t="s">
        <v>1239</v>
      </c>
      <c r="E17" s="122">
        <v>1.03125</v>
      </c>
      <c r="F17" s="112" t="s">
        <v>361</v>
      </c>
      <c r="G17" s="114">
        <v>9</v>
      </c>
      <c r="H17" s="115" t="s">
        <v>1250</v>
      </c>
    </row>
    <row r="18" spans="1:8" ht="19.899999999999999" customHeight="1">
      <c r="A18" s="123">
        <v>46029</v>
      </c>
      <c r="B18" s="124" t="s">
        <v>359</v>
      </c>
      <c r="C18" s="125" t="s">
        <v>1249</v>
      </c>
      <c r="D18" s="124" t="s">
        <v>1239</v>
      </c>
      <c r="E18" s="126">
        <v>1.03125</v>
      </c>
      <c r="F18" s="124" t="s">
        <v>46</v>
      </c>
      <c r="G18" s="127">
        <v>9</v>
      </c>
      <c r="H18" s="128" t="s">
        <v>1251</v>
      </c>
    </row>
    <row r="19" spans="1:8" ht="19.899999999999999" customHeight="1">
      <c r="A19" s="129">
        <v>46030</v>
      </c>
      <c r="B19" s="117" t="s">
        <v>61</v>
      </c>
      <c r="C19" s="118" t="s">
        <v>1240</v>
      </c>
      <c r="D19" s="117" t="s">
        <v>1239</v>
      </c>
      <c r="E19" s="130">
        <v>1.802083333333333</v>
      </c>
      <c r="F19" s="117" t="s">
        <v>63</v>
      </c>
      <c r="G19" s="119">
        <v>5</v>
      </c>
      <c r="H19" s="120" t="s">
        <v>1255</v>
      </c>
    </row>
    <row r="20" spans="1:8" ht="19.899999999999999" customHeight="1">
      <c r="A20" s="123">
        <v>46030</v>
      </c>
      <c r="B20" s="124" t="s">
        <v>402</v>
      </c>
      <c r="C20" s="125" t="s">
        <v>1243</v>
      </c>
      <c r="D20" s="124" t="s">
        <v>1239</v>
      </c>
      <c r="E20" s="126">
        <v>1.7638888888888891</v>
      </c>
      <c r="F20" s="124" t="s">
        <v>63</v>
      </c>
      <c r="G20" s="127">
        <v>9</v>
      </c>
      <c r="H20" s="128" t="s">
        <v>647</v>
      </c>
    </row>
    <row r="21" spans="1:8" ht="19.899999999999999" customHeight="1">
      <c r="A21" s="121">
        <v>46031</v>
      </c>
      <c r="B21" s="112" t="s">
        <v>359</v>
      </c>
      <c r="C21" s="113" t="s">
        <v>1244</v>
      </c>
      <c r="D21" s="112" t="s">
        <v>1239</v>
      </c>
      <c r="E21" s="122">
        <v>1.725694444444444</v>
      </c>
      <c r="F21" s="112" t="s">
        <v>361</v>
      </c>
      <c r="G21" s="114">
        <v>9</v>
      </c>
      <c r="H21" s="115" t="s">
        <v>1245</v>
      </c>
    </row>
    <row r="22" spans="1:8" ht="19.899999999999999" customHeight="1">
      <c r="A22" s="123">
        <v>46031</v>
      </c>
      <c r="B22" s="124" t="s">
        <v>359</v>
      </c>
      <c r="C22" s="125" t="s">
        <v>1244</v>
      </c>
      <c r="D22" s="124" t="s">
        <v>1239</v>
      </c>
      <c r="E22" s="126">
        <v>1.725694444444444</v>
      </c>
      <c r="F22" s="124" t="s">
        <v>46</v>
      </c>
      <c r="G22" s="127">
        <v>9</v>
      </c>
      <c r="H22" s="128" t="s">
        <v>1246</v>
      </c>
    </row>
    <row r="23" spans="1:8" ht="19.899999999999999" customHeight="1">
      <c r="A23" s="129">
        <v>46032</v>
      </c>
      <c r="B23" s="117" t="s">
        <v>61</v>
      </c>
      <c r="C23" s="118" t="s">
        <v>1240</v>
      </c>
      <c r="D23" s="117" t="s">
        <v>1239</v>
      </c>
      <c r="E23" s="130">
        <v>1.802083333333333</v>
      </c>
      <c r="F23" s="117" t="s">
        <v>63</v>
      </c>
      <c r="G23" s="119">
        <v>6</v>
      </c>
      <c r="H23" s="120" t="s">
        <v>161</v>
      </c>
    </row>
    <row r="24" spans="1:8" ht="19.899999999999999" customHeight="1">
      <c r="A24" s="123">
        <v>46032</v>
      </c>
      <c r="B24" s="124" t="s">
        <v>402</v>
      </c>
      <c r="C24" s="125" t="s">
        <v>1248</v>
      </c>
      <c r="D24" s="124" t="s">
        <v>1239</v>
      </c>
      <c r="E24" s="126">
        <v>1.0034722222222221</v>
      </c>
      <c r="F24" s="124" t="s">
        <v>63</v>
      </c>
      <c r="G24" s="127">
        <v>9</v>
      </c>
      <c r="H24" s="128" t="s">
        <v>647</v>
      </c>
    </row>
    <row r="25" spans="1:8" ht="19.899999999999999" customHeight="1">
      <c r="A25" s="121">
        <v>46033</v>
      </c>
      <c r="B25" s="112" t="s">
        <v>359</v>
      </c>
      <c r="C25" s="113" t="s">
        <v>1244</v>
      </c>
      <c r="D25" s="112" t="s">
        <v>1239</v>
      </c>
      <c r="E25" s="122">
        <v>1.8090277777777779</v>
      </c>
      <c r="F25" s="112" t="s">
        <v>361</v>
      </c>
      <c r="G25" s="114">
        <v>9</v>
      </c>
      <c r="H25" s="115" t="s">
        <v>1245</v>
      </c>
    </row>
    <row r="26" spans="1:8" ht="19.899999999999999" customHeight="1">
      <c r="A26" s="121">
        <v>46033</v>
      </c>
      <c r="B26" s="112" t="s">
        <v>402</v>
      </c>
      <c r="C26" s="113" t="s">
        <v>1243</v>
      </c>
      <c r="D26" s="112" t="s">
        <v>1239</v>
      </c>
      <c r="E26" s="122">
        <v>1.71875</v>
      </c>
      <c r="F26" s="112" t="s">
        <v>63</v>
      </c>
      <c r="G26" s="114">
        <v>4</v>
      </c>
      <c r="H26" s="115" t="s">
        <v>647</v>
      </c>
    </row>
    <row r="27" spans="1:8" ht="19.899999999999999" customHeight="1">
      <c r="A27" s="123">
        <v>46033</v>
      </c>
      <c r="B27" s="124" t="s">
        <v>359</v>
      </c>
      <c r="C27" s="125" t="s">
        <v>1244</v>
      </c>
      <c r="D27" s="124" t="s">
        <v>1239</v>
      </c>
      <c r="E27" s="126">
        <v>1.8090277777777779</v>
      </c>
      <c r="F27" s="124" t="s">
        <v>46</v>
      </c>
      <c r="G27" s="127">
        <v>9</v>
      </c>
      <c r="H27" s="128" t="s">
        <v>1246</v>
      </c>
    </row>
    <row r="28" spans="1:8" ht="19.899999999999999" customHeight="1">
      <c r="A28" s="121">
        <v>46034</v>
      </c>
      <c r="B28" s="112" t="s">
        <v>359</v>
      </c>
      <c r="C28" s="113" t="s">
        <v>1249</v>
      </c>
      <c r="D28" s="112" t="s">
        <v>1239</v>
      </c>
      <c r="E28" s="122">
        <v>1.03125</v>
      </c>
      <c r="F28" s="112" t="s">
        <v>361</v>
      </c>
      <c r="G28" s="114">
        <v>9</v>
      </c>
      <c r="H28" s="115" t="s">
        <v>1250</v>
      </c>
    </row>
    <row r="29" spans="1:8" ht="19.899999999999999" customHeight="1">
      <c r="A29" s="123">
        <v>46034</v>
      </c>
      <c r="B29" s="124" t="s">
        <v>359</v>
      </c>
      <c r="C29" s="125" t="s">
        <v>1249</v>
      </c>
      <c r="D29" s="124" t="s">
        <v>1239</v>
      </c>
      <c r="E29" s="126">
        <v>1.03125</v>
      </c>
      <c r="F29" s="124" t="s">
        <v>46</v>
      </c>
      <c r="G29" s="127">
        <v>9</v>
      </c>
      <c r="H29" s="128" t="s">
        <v>1251</v>
      </c>
    </row>
    <row r="30" spans="1:8" ht="19.899999999999999" customHeight="1">
      <c r="A30" s="121">
        <v>46035</v>
      </c>
      <c r="B30" s="112" t="s">
        <v>359</v>
      </c>
      <c r="C30" s="113" t="s">
        <v>1244</v>
      </c>
      <c r="D30" s="112" t="s">
        <v>1239</v>
      </c>
      <c r="E30" s="122">
        <v>1.104166666666667</v>
      </c>
      <c r="F30" s="112" t="s">
        <v>361</v>
      </c>
      <c r="G30" s="114">
        <v>9</v>
      </c>
      <c r="H30" s="115" t="s">
        <v>1250</v>
      </c>
    </row>
    <row r="31" spans="1:8" ht="19.899999999999999" customHeight="1">
      <c r="A31" s="121">
        <v>46035</v>
      </c>
      <c r="B31" s="112" t="s">
        <v>359</v>
      </c>
      <c r="C31" s="113" t="s">
        <v>1244</v>
      </c>
      <c r="D31" s="112" t="s">
        <v>1239</v>
      </c>
      <c r="E31" s="122">
        <v>1.104166666666667</v>
      </c>
      <c r="F31" s="112" t="s">
        <v>46</v>
      </c>
      <c r="G31" s="114">
        <v>9</v>
      </c>
      <c r="H31" s="115" t="s">
        <v>1251</v>
      </c>
    </row>
    <row r="32" spans="1:8" ht="19.899999999999999" customHeight="1">
      <c r="A32" s="123">
        <v>46035</v>
      </c>
      <c r="B32" s="124" t="s">
        <v>402</v>
      </c>
      <c r="C32" s="125" t="s">
        <v>1243</v>
      </c>
      <c r="D32" s="124" t="s">
        <v>1239</v>
      </c>
      <c r="E32" s="126">
        <v>1.7638888888888891</v>
      </c>
      <c r="F32" s="124" t="s">
        <v>63</v>
      </c>
      <c r="G32" s="127">
        <v>7</v>
      </c>
      <c r="H32" s="128" t="s">
        <v>1258</v>
      </c>
    </row>
    <row r="33" spans="1:8" ht="19.899999999999999" customHeight="1">
      <c r="A33" s="129">
        <v>46036</v>
      </c>
      <c r="B33" s="117" t="s">
        <v>61</v>
      </c>
      <c r="C33" s="118" t="s">
        <v>1252</v>
      </c>
      <c r="D33" s="117" t="s">
        <v>1239</v>
      </c>
      <c r="E33" s="130">
        <v>1.84375</v>
      </c>
      <c r="F33" s="117" t="s">
        <v>63</v>
      </c>
      <c r="G33" s="119">
        <v>7</v>
      </c>
      <c r="H33" s="120" t="s">
        <v>161</v>
      </c>
    </row>
    <row r="34" spans="1:8" ht="19.899999999999999" customHeight="1">
      <c r="A34" s="121">
        <v>46036</v>
      </c>
      <c r="B34" s="112" t="s">
        <v>359</v>
      </c>
      <c r="C34" s="113" t="s">
        <v>1249</v>
      </c>
      <c r="D34" s="112" t="s">
        <v>1239</v>
      </c>
      <c r="E34" s="122">
        <v>1.03125</v>
      </c>
      <c r="F34" s="112" t="s">
        <v>361</v>
      </c>
      <c r="G34" s="114">
        <v>9</v>
      </c>
      <c r="H34" s="115" t="s">
        <v>1260</v>
      </c>
    </row>
    <row r="35" spans="1:8" ht="19.899999999999999" customHeight="1">
      <c r="A35" s="123">
        <v>46036</v>
      </c>
      <c r="B35" s="124" t="s">
        <v>359</v>
      </c>
      <c r="C35" s="125" t="s">
        <v>1249</v>
      </c>
      <c r="D35" s="124" t="s">
        <v>1239</v>
      </c>
      <c r="E35" s="126">
        <v>1.03125</v>
      </c>
      <c r="F35" s="124" t="s">
        <v>46</v>
      </c>
      <c r="G35" s="127">
        <v>9</v>
      </c>
      <c r="H35" s="128" t="s">
        <v>1261</v>
      </c>
    </row>
    <row r="36" spans="1:8" ht="19.899999999999999" customHeight="1">
      <c r="A36" s="129">
        <v>46037</v>
      </c>
      <c r="B36" s="117" t="s">
        <v>61</v>
      </c>
      <c r="C36" s="118" t="s">
        <v>1240</v>
      </c>
      <c r="D36" s="117" t="s">
        <v>1239</v>
      </c>
      <c r="E36" s="130">
        <v>1.802083333333333</v>
      </c>
      <c r="F36" s="117" t="s">
        <v>63</v>
      </c>
      <c r="G36" s="119">
        <v>2</v>
      </c>
      <c r="H36" s="120" t="s">
        <v>1262</v>
      </c>
    </row>
    <row r="37" spans="1:8" ht="19.899999999999999" customHeight="1">
      <c r="A37" s="123">
        <v>46037</v>
      </c>
      <c r="B37" s="124" t="s">
        <v>402</v>
      </c>
      <c r="C37" s="125" t="s">
        <v>1243</v>
      </c>
      <c r="D37" s="124" t="s">
        <v>1239</v>
      </c>
      <c r="E37" s="126">
        <v>1.7638888888888891</v>
      </c>
      <c r="F37" s="124" t="s">
        <v>63</v>
      </c>
      <c r="G37" s="127">
        <v>9</v>
      </c>
      <c r="H37" s="128" t="s">
        <v>1258</v>
      </c>
    </row>
    <row r="38" spans="1:8" ht="19.899999999999999" customHeight="1">
      <c r="A38" s="121">
        <v>46038</v>
      </c>
      <c r="B38" s="112" t="s">
        <v>359</v>
      </c>
      <c r="C38" s="113" t="s">
        <v>1244</v>
      </c>
      <c r="D38" s="112" t="s">
        <v>1239</v>
      </c>
      <c r="E38" s="122">
        <v>1.725694444444444</v>
      </c>
      <c r="F38" s="112" t="s">
        <v>361</v>
      </c>
      <c r="G38" s="114">
        <v>9</v>
      </c>
      <c r="H38" s="115" t="s">
        <v>1264</v>
      </c>
    </row>
    <row r="39" spans="1:8" ht="19.899999999999999" customHeight="1">
      <c r="A39" s="123">
        <v>46038</v>
      </c>
      <c r="B39" s="124" t="s">
        <v>359</v>
      </c>
      <c r="C39" s="125" t="s">
        <v>1244</v>
      </c>
      <c r="D39" s="124" t="s">
        <v>1239</v>
      </c>
      <c r="E39" s="126">
        <v>1.725694444444444</v>
      </c>
      <c r="F39" s="124" t="s">
        <v>46</v>
      </c>
      <c r="G39" s="127">
        <v>9</v>
      </c>
      <c r="H39" s="128" t="s">
        <v>1265</v>
      </c>
    </row>
    <row r="40" spans="1:8" ht="19.899999999999999" customHeight="1">
      <c r="A40" s="129">
        <v>46039</v>
      </c>
      <c r="B40" s="117" t="s">
        <v>61</v>
      </c>
      <c r="C40" s="118" t="s">
        <v>1240</v>
      </c>
      <c r="D40" s="117" t="s">
        <v>1239</v>
      </c>
      <c r="E40" s="130">
        <v>1.802083333333333</v>
      </c>
      <c r="F40" s="117" t="s">
        <v>63</v>
      </c>
      <c r="G40" s="119">
        <v>2</v>
      </c>
      <c r="H40" s="120" t="s">
        <v>671</v>
      </c>
    </row>
    <row r="41" spans="1:8" ht="19.899999999999999" customHeight="1">
      <c r="A41" s="123">
        <v>46039</v>
      </c>
      <c r="B41" s="124" t="s">
        <v>402</v>
      </c>
      <c r="C41" s="125" t="s">
        <v>1248</v>
      </c>
      <c r="D41" s="124" t="s">
        <v>1239</v>
      </c>
      <c r="E41" s="126">
        <v>1.0034722222222221</v>
      </c>
      <c r="F41" s="124" t="s">
        <v>63</v>
      </c>
      <c r="G41" s="127">
        <v>8</v>
      </c>
      <c r="H41" s="128" t="s">
        <v>1258</v>
      </c>
    </row>
    <row r="42" spans="1:8" ht="19.899999999999999" customHeight="1">
      <c r="A42" s="121">
        <v>46040</v>
      </c>
      <c r="B42" s="112" t="s">
        <v>359</v>
      </c>
      <c r="C42" s="113" t="s">
        <v>1244</v>
      </c>
      <c r="D42" s="112" t="s">
        <v>1239</v>
      </c>
      <c r="E42" s="122">
        <v>1.8090277777777779</v>
      </c>
      <c r="F42" s="112" t="s">
        <v>361</v>
      </c>
      <c r="G42" s="114">
        <v>9</v>
      </c>
      <c r="H42" s="115" t="s">
        <v>1267</v>
      </c>
    </row>
    <row r="43" spans="1:8" ht="19.899999999999999" customHeight="1">
      <c r="A43" s="121">
        <v>46040</v>
      </c>
      <c r="B43" s="112" t="s">
        <v>402</v>
      </c>
      <c r="C43" s="113" t="s">
        <v>1243</v>
      </c>
      <c r="D43" s="112" t="s">
        <v>1239</v>
      </c>
      <c r="E43" s="122">
        <v>1.71875</v>
      </c>
      <c r="F43" s="112" t="s">
        <v>63</v>
      </c>
      <c r="G43" s="114">
        <v>9</v>
      </c>
      <c r="H43" s="115" t="s">
        <v>1258</v>
      </c>
    </row>
    <row r="44" spans="1:8" ht="19.899999999999999" customHeight="1">
      <c r="A44" s="123">
        <v>46040</v>
      </c>
      <c r="B44" s="124" t="s">
        <v>359</v>
      </c>
      <c r="C44" s="125" t="s">
        <v>1244</v>
      </c>
      <c r="D44" s="124" t="s">
        <v>1239</v>
      </c>
      <c r="E44" s="126">
        <v>1.8090277777777779</v>
      </c>
      <c r="F44" s="124" t="s">
        <v>46</v>
      </c>
      <c r="G44" s="127">
        <v>9</v>
      </c>
      <c r="H44" s="128" t="s">
        <v>1268</v>
      </c>
    </row>
    <row r="45" spans="1:8" ht="19.899999999999999" customHeight="1">
      <c r="A45" s="121">
        <v>46041</v>
      </c>
      <c r="B45" s="112" t="s">
        <v>359</v>
      </c>
      <c r="C45" s="113" t="s">
        <v>1249</v>
      </c>
      <c r="D45" s="112" t="s">
        <v>1239</v>
      </c>
      <c r="E45" s="122">
        <v>1.03125</v>
      </c>
      <c r="F45" s="112" t="s">
        <v>361</v>
      </c>
      <c r="G45" s="114">
        <v>9</v>
      </c>
      <c r="H45" s="115" t="s">
        <v>1260</v>
      </c>
    </row>
    <row r="46" spans="1:8" ht="19.899999999999999" customHeight="1">
      <c r="A46" s="123">
        <v>46041</v>
      </c>
      <c r="B46" s="124" t="s">
        <v>359</v>
      </c>
      <c r="C46" s="125" t="s">
        <v>1249</v>
      </c>
      <c r="D46" s="124" t="s">
        <v>1239</v>
      </c>
      <c r="E46" s="126">
        <v>1.03125</v>
      </c>
      <c r="F46" s="124" t="s">
        <v>46</v>
      </c>
      <c r="G46" s="127">
        <v>9</v>
      </c>
      <c r="H46" s="128" t="s">
        <v>1261</v>
      </c>
    </row>
    <row r="47" spans="1:8" ht="19.899999999999999" customHeight="1">
      <c r="A47" s="121">
        <v>46042</v>
      </c>
      <c r="B47" s="112" t="s">
        <v>359</v>
      </c>
      <c r="C47" s="113" t="s">
        <v>1244</v>
      </c>
      <c r="D47" s="112" t="s">
        <v>1239</v>
      </c>
      <c r="E47" s="122">
        <v>1.104166666666667</v>
      </c>
      <c r="F47" s="112" t="s">
        <v>361</v>
      </c>
      <c r="G47" s="114">
        <v>9</v>
      </c>
      <c r="H47" s="115" t="s">
        <v>1250</v>
      </c>
    </row>
    <row r="48" spans="1:8" ht="19.899999999999999" customHeight="1">
      <c r="A48" s="121">
        <v>46042</v>
      </c>
      <c r="B48" s="112" t="s">
        <v>359</v>
      </c>
      <c r="C48" s="113" t="s">
        <v>1244</v>
      </c>
      <c r="D48" s="112" t="s">
        <v>1239</v>
      </c>
      <c r="E48" s="122">
        <v>1.104166666666667</v>
      </c>
      <c r="F48" s="112" t="s">
        <v>46</v>
      </c>
      <c r="G48" s="114">
        <v>9</v>
      </c>
      <c r="H48" s="115" t="s">
        <v>1251</v>
      </c>
    </row>
    <row r="49" spans="1:8" ht="19.899999999999999" customHeight="1">
      <c r="A49" s="123">
        <v>46042</v>
      </c>
      <c r="B49" s="124" t="s">
        <v>402</v>
      </c>
      <c r="C49" s="125" t="s">
        <v>1243</v>
      </c>
      <c r="D49" s="124" t="s">
        <v>1239</v>
      </c>
      <c r="E49" s="126">
        <v>1.7638888888888891</v>
      </c>
      <c r="F49" s="124" t="s">
        <v>63</v>
      </c>
      <c r="G49" s="127">
        <v>8</v>
      </c>
      <c r="H49" s="128" t="s">
        <v>1258</v>
      </c>
    </row>
    <row r="50" spans="1:8" ht="19.899999999999999" customHeight="1">
      <c r="A50" s="129">
        <v>46043</v>
      </c>
      <c r="B50" s="117" t="s">
        <v>61</v>
      </c>
      <c r="C50" s="118" t="s">
        <v>1252</v>
      </c>
      <c r="D50" s="117" t="s">
        <v>1239</v>
      </c>
      <c r="E50" s="130">
        <v>1.84375</v>
      </c>
      <c r="F50" s="117" t="s">
        <v>63</v>
      </c>
      <c r="G50" s="119">
        <v>2</v>
      </c>
      <c r="H50" s="120" t="s">
        <v>161</v>
      </c>
    </row>
    <row r="51" spans="1:8" ht="19.899999999999999" customHeight="1">
      <c r="A51" s="121">
        <v>46043</v>
      </c>
      <c r="B51" s="112" t="s">
        <v>359</v>
      </c>
      <c r="C51" s="113" t="s">
        <v>1249</v>
      </c>
      <c r="D51" s="112" t="s">
        <v>1239</v>
      </c>
      <c r="E51" s="122">
        <v>1.03125</v>
      </c>
      <c r="F51" s="112" t="s">
        <v>361</v>
      </c>
      <c r="G51" s="114">
        <v>9</v>
      </c>
      <c r="H51" s="115" t="s">
        <v>1250</v>
      </c>
    </row>
    <row r="52" spans="1:8" ht="19.899999999999999" customHeight="1">
      <c r="A52" s="123">
        <v>46043</v>
      </c>
      <c r="B52" s="124" t="s">
        <v>359</v>
      </c>
      <c r="C52" s="125" t="s">
        <v>1249</v>
      </c>
      <c r="D52" s="124" t="s">
        <v>1239</v>
      </c>
      <c r="E52" s="126">
        <v>1.03125</v>
      </c>
      <c r="F52" s="124" t="s">
        <v>46</v>
      </c>
      <c r="G52" s="127">
        <v>9</v>
      </c>
      <c r="H52" s="128" t="s">
        <v>1251</v>
      </c>
    </row>
    <row r="53" spans="1:8" ht="19.899999999999999" customHeight="1">
      <c r="A53" s="129">
        <v>46044</v>
      </c>
      <c r="B53" s="117" t="s">
        <v>61</v>
      </c>
      <c r="C53" s="118" t="s">
        <v>1240</v>
      </c>
      <c r="D53" s="117" t="s">
        <v>1239</v>
      </c>
      <c r="E53" s="130">
        <v>1.802083333333333</v>
      </c>
      <c r="F53" s="117" t="s">
        <v>63</v>
      </c>
      <c r="G53" s="119">
        <v>4</v>
      </c>
      <c r="H53" s="120" t="s">
        <v>876</v>
      </c>
    </row>
    <row r="54" spans="1:8" ht="19.899999999999999" customHeight="1">
      <c r="A54" s="123">
        <v>46044</v>
      </c>
      <c r="B54" s="124" t="s">
        <v>402</v>
      </c>
      <c r="C54" s="125" t="s">
        <v>1243</v>
      </c>
      <c r="D54" s="124" t="s">
        <v>1239</v>
      </c>
      <c r="E54" s="126">
        <v>1.7638888888888891</v>
      </c>
      <c r="F54" s="124" t="s">
        <v>63</v>
      </c>
      <c r="G54" s="127">
        <v>3</v>
      </c>
      <c r="H54" s="128" t="s">
        <v>1258</v>
      </c>
    </row>
    <row r="55" spans="1:8" ht="19.899999999999999" customHeight="1">
      <c r="A55" s="121">
        <v>46045</v>
      </c>
      <c r="B55" s="112" t="s">
        <v>359</v>
      </c>
      <c r="C55" s="113" t="s">
        <v>1244</v>
      </c>
      <c r="D55" s="112" t="s">
        <v>1239</v>
      </c>
      <c r="E55" s="122">
        <v>1.725694444444444</v>
      </c>
      <c r="F55" s="112" t="s">
        <v>361</v>
      </c>
      <c r="G55" s="114">
        <v>9</v>
      </c>
      <c r="H55" s="115" t="s">
        <v>1245</v>
      </c>
    </row>
    <row r="56" spans="1:8" ht="19.899999999999999" customHeight="1">
      <c r="A56" s="123">
        <v>46045</v>
      </c>
      <c r="B56" s="124" t="s">
        <v>359</v>
      </c>
      <c r="C56" s="125" t="s">
        <v>1244</v>
      </c>
      <c r="D56" s="124" t="s">
        <v>1239</v>
      </c>
      <c r="E56" s="126">
        <v>1.725694444444444</v>
      </c>
      <c r="F56" s="124" t="s">
        <v>46</v>
      </c>
      <c r="G56" s="127">
        <v>9</v>
      </c>
      <c r="H56" s="128" t="s">
        <v>1246</v>
      </c>
    </row>
    <row r="57" spans="1:8" ht="19.899999999999999" customHeight="1">
      <c r="A57" s="129">
        <v>46046</v>
      </c>
      <c r="B57" s="117" t="s">
        <v>61</v>
      </c>
      <c r="C57" s="118" t="s">
        <v>1240</v>
      </c>
      <c r="D57" s="117" t="s">
        <v>1239</v>
      </c>
      <c r="E57" s="130">
        <v>1.802083333333333</v>
      </c>
      <c r="F57" s="117" t="s">
        <v>63</v>
      </c>
      <c r="G57" s="119">
        <v>5</v>
      </c>
      <c r="H57" s="120" t="s">
        <v>876</v>
      </c>
    </row>
    <row r="58" spans="1:8" ht="19.899999999999999" customHeight="1">
      <c r="A58" s="123">
        <v>46046</v>
      </c>
      <c r="B58" s="124" t="s">
        <v>402</v>
      </c>
      <c r="C58" s="125" t="s">
        <v>1248</v>
      </c>
      <c r="D58" s="124" t="s">
        <v>1239</v>
      </c>
      <c r="E58" s="126">
        <v>1.0034722222222221</v>
      </c>
      <c r="F58" s="124" t="s">
        <v>63</v>
      </c>
      <c r="G58" s="127">
        <v>9</v>
      </c>
      <c r="H58" s="128" t="s">
        <v>1258</v>
      </c>
    </row>
    <row r="59" spans="1:8" ht="19.899999999999999" customHeight="1">
      <c r="A59" s="121">
        <v>46047</v>
      </c>
      <c r="B59" s="112" t="s">
        <v>359</v>
      </c>
      <c r="C59" s="113" t="s">
        <v>1244</v>
      </c>
      <c r="D59" s="112" t="s">
        <v>1239</v>
      </c>
      <c r="E59" s="122">
        <v>1.8090277777777779</v>
      </c>
      <c r="F59" s="112" t="s">
        <v>361</v>
      </c>
      <c r="G59" s="114">
        <v>9</v>
      </c>
      <c r="H59" s="115" t="s">
        <v>1245</v>
      </c>
    </row>
    <row r="60" spans="1:8" ht="19.899999999999999" customHeight="1">
      <c r="A60" s="121">
        <v>46047</v>
      </c>
      <c r="B60" s="112" t="s">
        <v>359</v>
      </c>
      <c r="C60" s="113" t="s">
        <v>1244</v>
      </c>
      <c r="D60" s="112" t="s">
        <v>1239</v>
      </c>
      <c r="E60" s="122">
        <v>1.8090277777777779</v>
      </c>
      <c r="F60" s="112" t="s">
        <v>46</v>
      </c>
      <c r="G60" s="114">
        <v>9</v>
      </c>
      <c r="H60" s="115" t="s">
        <v>1246</v>
      </c>
    </row>
    <row r="61" spans="1:8" ht="19.899999999999999" customHeight="1">
      <c r="A61" s="123">
        <v>46047</v>
      </c>
      <c r="B61" s="124" t="s">
        <v>402</v>
      </c>
      <c r="C61" s="125" t="s">
        <v>1243</v>
      </c>
      <c r="D61" s="124" t="s">
        <v>1239</v>
      </c>
      <c r="E61" s="126">
        <v>1.71875</v>
      </c>
      <c r="F61" s="124" t="s">
        <v>63</v>
      </c>
      <c r="G61" s="127">
        <v>9</v>
      </c>
      <c r="H61" s="128" t="s">
        <v>1258</v>
      </c>
    </row>
    <row r="62" spans="1:8" ht="19.899999999999999" customHeight="1">
      <c r="A62" s="121">
        <v>46048</v>
      </c>
      <c r="B62" s="112" t="s">
        <v>359</v>
      </c>
      <c r="C62" s="113" t="s">
        <v>1249</v>
      </c>
      <c r="D62" s="112" t="s">
        <v>1239</v>
      </c>
      <c r="E62" s="122">
        <v>1.03125</v>
      </c>
      <c r="F62" s="112" t="s">
        <v>361</v>
      </c>
      <c r="G62" s="114">
        <v>9</v>
      </c>
      <c r="H62" s="115" t="s">
        <v>1250</v>
      </c>
    </row>
    <row r="63" spans="1:8" ht="19.899999999999999" customHeight="1">
      <c r="A63" s="123">
        <v>46048</v>
      </c>
      <c r="B63" s="124" t="s">
        <v>359</v>
      </c>
      <c r="C63" s="125" t="s">
        <v>1249</v>
      </c>
      <c r="D63" s="124" t="s">
        <v>1239</v>
      </c>
      <c r="E63" s="126">
        <v>1.03125</v>
      </c>
      <c r="F63" s="124" t="s">
        <v>46</v>
      </c>
      <c r="G63" s="127">
        <v>9</v>
      </c>
      <c r="H63" s="128" t="s">
        <v>1251</v>
      </c>
    </row>
    <row r="64" spans="1:8" ht="19.899999999999999" customHeight="1">
      <c r="A64" s="121">
        <v>46049</v>
      </c>
      <c r="B64" s="112" t="s">
        <v>359</v>
      </c>
      <c r="C64" s="113" t="s">
        <v>1244</v>
      </c>
      <c r="D64" s="112" t="s">
        <v>1239</v>
      </c>
      <c r="E64" s="122">
        <v>1.104166666666667</v>
      </c>
      <c r="F64" s="112" t="s">
        <v>361</v>
      </c>
      <c r="G64" s="114">
        <v>9</v>
      </c>
      <c r="H64" s="115" t="s">
        <v>1250</v>
      </c>
    </row>
    <row r="65" spans="1:8" ht="19.899999999999999" customHeight="1">
      <c r="A65" s="121">
        <v>46049</v>
      </c>
      <c r="B65" s="112" t="s">
        <v>359</v>
      </c>
      <c r="C65" s="113" t="s">
        <v>1244</v>
      </c>
      <c r="D65" s="112" t="s">
        <v>1239</v>
      </c>
      <c r="E65" s="122">
        <v>1.104166666666667</v>
      </c>
      <c r="F65" s="112" t="s">
        <v>46</v>
      </c>
      <c r="G65" s="114">
        <v>9</v>
      </c>
      <c r="H65" s="115" t="s">
        <v>1251</v>
      </c>
    </row>
    <row r="66" spans="1:8" ht="19.899999999999999" customHeight="1">
      <c r="A66" s="123">
        <v>46049</v>
      </c>
      <c r="B66" s="124" t="s">
        <v>402</v>
      </c>
      <c r="C66" s="125" t="s">
        <v>1243</v>
      </c>
      <c r="D66" s="124" t="s">
        <v>1239</v>
      </c>
      <c r="E66" s="126">
        <v>1.7638888888888891</v>
      </c>
      <c r="F66" s="124" t="s">
        <v>63</v>
      </c>
      <c r="G66" s="127">
        <v>9</v>
      </c>
      <c r="H66" s="128" t="s">
        <v>1258</v>
      </c>
    </row>
    <row r="67" spans="1:8" ht="19.899999999999999" customHeight="1">
      <c r="A67" s="129">
        <v>46050</v>
      </c>
      <c r="B67" s="117" t="s">
        <v>61</v>
      </c>
      <c r="C67" s="118" t="s">
        <v>1252</v>
      </c>
      <c r="D67" s="117" t="s">
        <v>1239</v>
      </c>
      <c r="E67" s="130">
        <v>1.84375</v>
      </c>
      <c r="F67" s="117" t="s">
        <v>63</v>
      </c>
      <c r="G67" s="119">
        <v>4</v>
      </c>
      <c r="H67" s="120" t="s">
        <v>1255</v>
      </c>
    </row>
    <row r="68" spans="1:8" ht="19.899999999999999" customHeight="1">
      <c r="A68" s="121">
        <v>46050</v>
      </c>
      <c r="B68" s="112" t="s">
        <v>359</v>
      </c>
      <c r="C68" s="113" t="s">
        <v>1249</v>
      </c>
      <c r="D68" s="112" t="s">
        <v>1239</v>
      </c>
      <c r="E68" s="122">
        <v>1.03125</v>
      </c>
      <c r="F68" s="112" t="s">
        <v>361</v>
      </c>
      <c r="G68" s="114">
        <v>9</v>
      </c>
      <c r="H68" s="115" t="s">
        <v>1250</v>
      </c>
    </row>
    <row r="69" spans="1:8" ht="19.899999999999999" customHeight="1">
      <c r="A69" s="123">
        <v>46050</v>
      </c>
      <c r="B69" s="124" t="s">
        <v>359</v>
      </c>
      <c r="C69" s="125" t="s">
        <v>1249</v>
      </c>
      <c r="D69" s="124" t="s">
        <v>1239</v>
      </c>
      <c r="E69" s="126">
        <v>1.03125</v>
      </c>
      <c r="F69" s="124" t="s">
        <v>46</v>
      </c>
      <c r="G69" s="127">
        <v>9</v>
      </c>
      <c r="H69" s="128" t="s">
        <v>1251</v>
      </c>
    </row>
    <row r="70" spans="1:8" ht="19.899999999999999" customHeight="1">
      <c r="A70" s="129">
        <v>46051</v>
      </c>
      <c r="B70" s="117" t="s">
        <v>61</v>
      </c>
      <c r="C70" s="118" t="s">
        <v>1240</v>
      </c>
      <c r="D70" s="117" t="s">
        <v>1239</v>
      </c>
      <c r="E70" s="130">
        <v>1.802083333333333</v>
      </c>
      <c r="F70" s="117" t="s">
        <v>63</v>
      </c>
      <c r="G70" s="119">
        <v>5</v>
      </c>
      <c r="H70" s="120" t="s">
        <v>1255</v>
      </c>
    </row>
    <row r="71" spans="1:8" ht="19.899999999999999" customHeight="1">
      <c r="A71" s="123">
        <v>46051</v>
      </c>
      <c r="B71" s="124" t="s">
        <v>402</v>
      </c>
      <c r="C71" s="125" t="s">
        <v>1243</v>
      </c>
      <c r="D71" s="124" t="s">
        <v>1239</v>
      </c>
      <c r="E71" s="126">
        <v>1.7638888888888891</v>
      </c>
      <c r="F71" s="124" t="s">
        <v>63</v>
      </c>
      <c r="G71" s="127">
        <v>9</v>
      </c>
      <c r="H71" s="128" t="s">
        <v>1258</v>
      </c>
    </row>
    <row r="72" spans="1:8" ht="19.899999999999999" customHeight="1">
      <c r="A72" s="121">
        <v>46052</v>
      </c>
      <c r="B72" s="112" t="s">
        <v>359</v>
      </c>
      <c r="C72" s="113" t="s">
        <v>1244</v>
      </c>
      <c r="D72" s="112" t="s">
        <v>1239</v>
      </c>
      <c r="E72" s="122">
        <v>1.725694444444444</v>
      </c>
      <c r="F72" s="112" t="s">
        <v>361</v>
      </c>
      <c r="G72" s="114">
        <v>9</v>
      </c>
      <c r="H72" s="115" t="s">
        <v>1245</v>
      </c>
    </row>
    <row r="73" spans="1:8" ht="19.899999999999999" customHeight="1">
      <c r="A73" s="123">
        <v>46052</v>
      </c>
      <c r="B73" s="124" t="s">
        <v>359</v>
      </c>
      <c r="C73" s="125" t="s">
        <v>1244</v>
      </c>
      <c r="D73" s="124" t="s">
        <v>1239</v>
      </c>
      <c r="E73" s="126">
        <v>1.725694444444444</v>
      </c>
      <c r="F73" s="124" t="s">
        <v>46</v>
      </c>
      <c r="G73" s="127">
        <v>9</v>
      </c>
      <c r="H73" s="128" t="s">
        <v>1246</v>
      </c>
    </row>
    <row r="74" spans="1:8" ht="19.899999999999999" customHeight="1">
      <c r="A74" s="129">
        <v>46053</v>
      </c>
      <c r="B74" s="117" t="s">
        <v>61</v>
      </c>
      <c r="C74" s="118" t="s">
        <v>1240</v>
      </c>
      <c r="D74" s="117" t="s">
        <v>1239</v>
      </c>
      <c r="E74" s="130">
        <v>1.802083333333333</v>
      </c>
      <c r="F74" s="117" t="s">
        <v>63</v>
      </c>
      <c r="G74" s="119">
        <v>3</v>
      </c>
      <c r="H74" s="120" t="s">
        <v>907</v>
      </c>
    </row>
    <row r="75" spans="1:8" ht="19.899999999999999" customHeight="1">
      <c r="A75" s="123">
        <v>46053</v>
      </c>
      <c r="B75" s="124" t="s">
        <v>402</v>
      </c>
      <c r="C75" s="125" t="s">
        <v>1248</v>
      </c>
      <c r="D75" s="124" t="s">
        <v>1239</v>
      </c>
      <c r="E75" s="126">
        <v>1.0034722222222221</v>
      </c>
      <c r="F75" s="124" t="s">
        <v>63</v>
      </c>
      <c r="G75" s="127">
        <v>9</v>
      </c>
      <c r="H75" s="128" t="s">
        <v>1258</v>
      </c>
    </row>
  </sheetData>
  <pageMargins left="0.75" right="0.75" top="1" bottom="1" header="0.5" footer="0.5"/>
  <legacyDrawing r:id="rId1"/>
  <tableParts count="1">
    <tablePart r:id="rId2"/>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I57"/>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66.140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31" t="s">
        <v>254</v>
      </c>
      <c r="B2" s="132" t="s">
        <v>61</v>
      </c>
      <c r="C2" s="133" t="s">
        <v>1240</v>
      </c>
      <c r="D2" s="132" t="s">
        <v>1239</v>
      </c>
      <c r="E2" s="132" t="s">
        <v>334</v>
      </c>
      <c r="F2" s="132" t="s">
        <v>63</v>
      </c>
      <c r="G2" s="134">
        <v>1</v>
      </c>
      <c r="H2" s="135" t="s">
        <v>907</v>
      </c>
    </row>
    <row r="3" spans="1:8" ht="19.899999999999999" customHeight="1">
      <c r="A3" s="121">
        <v>46024</v>
      </c>
      <c r="B3" s="112" t="s">
        <v>359</v>
      </c>
      <c r="C3" s="113" t="s">
        <v>1244</v>
      </c>
      <c r="D3" s="112" t="s">
        <v>1239</v>
      </c>
      <c r="E3" s="122">
        <v>1.725694444444444</v>
      </c>
      <c r="F3" s="112" t="s">
        <v>361</v>
      </c>
      <c r="G3" s="114">
        <v>9</v>
      </c>
      <c r="H3" s="115" t="s">
        <v>1245</v>
      </c>
    </row>
    <row r="4" spans="1:8" ht="19.899999999999999" customHeight="1">
      <c r="A4" s="123">
        <v>46024</v>
      </c>
      <c r="B4" s="124" t="s">
        <v>359</v>
      </c>
      <c r="C4" s="125" t="s">
        <v>1244</v>
      </c>
      <c r="D4" s="124" t="s">
        <v>1239</v>
      </c>
      <c r="E4" s="126">
        <v>1.725694444444444</v>
      </c>
      <c r="F4" s="124" t="s">
        <v>46</v>
      </c>
      <c r="G4" s="127">
        <v>9</v>
      </c>
      <c r="H4" s="128" t="s">
        <v>1246</v>
      </c>
    </row>
    <row r="5" spans="1:8" ht="19.899999999999999" customHeight="1">
      <c r="A5" s="136">
        <v>46025</v>
      </c>
      <c r="B5" s="132" t="s">
        <v>61</v>
      </c>
      <c r="C5" s="133" t="s">
        <v>1240</v>
      </c>
      <c r="D5" s="132" t="s">
        <v>1239</v>
      </c>
      <c r="E5" s="137">
        <v>1.802083333333333</v>
      </c>
      <c r="F5" s="132" t="s">
        <v>63</v>
      </c>
      <c r="G5" s="134">
        <v>6</v>
      </c>
      <c r="H5" s="135" t="s">
        <v>161</v>
      </c>
    </row>
    <row r="6" spans="1:8" ht="19.899999999999999" customHeight="1">
      <c r="A6" s="121">
        <v>46026</v>
      </c>
      <c r="B6" s="112" t="s">
        <v>359</v>
      </c>
      <c r="C6" s="113" t="s">
        <v>1244</v>
      </c>
      <c r="D6" s="112" t="s">
        <v>1239</v>
      </c>
      <c r="E6" s="122">
        <v>1.8090277777777779</v>
      </c>
      <c r="F6" s="112" t="s">
        <v>361</v>
      </c>
      <c r="G6" s="114">
        <v>9</v>
      </c>
      <c r="H6" s="115" t="s">
        <v>1245</v>
      </c>
    </row>
    <row r="7" spans="1:8" ht="19.899999999999999" customHeight="1">
      <c r="A7" s="121">
        <v>46026</v>
      </c>
      <c r="B7" s="112" t="s">
        <v>402</v>
      </c>
      <c r="C7" s="113" t="s">
        <v>1243</v>
      </c>
      <c r="D7" s="112" t="s">
        <v>1239</v>
      </c>
      <c r="E7" s="122">
        <v>1.71875</v>
      </c>
      <c r="F7" s="112" t="s">
        <v>63</v>
      </c>
      <c r="G7" s="114">
        <v>2</v>
      </c>
      <c r="H7" s="115" t="s">
        <v>647</v>
      </c>
    </row>
    <row r="8" spans="1:8" ht="19.899999999999999" customHeight="1">
      <c r="A8" s="123">
        <v>46026</v>
      </c>
      <c r="B8" s="124" t="s">
        <v>359</v>
      </c>
      <c r="C8" s="125" t="s">
        <v>1244</v>
      </c>
      <c r="D8" s="124" t="s">
        <v>1239</v>
      </c>
      <c r="E8" s="126">
        <v>1.8090277777777779</v>
      </c>
      <c r="F8" s="124" t="s">
        <v>46</v>
      </c>
      <c r="G8" s="127">
        <v>9</v>
      </c>
      <c r="H8" s="128" t="s">
        <v>1246</v>
      </c>
    </row>
    <row r="9" spans="1:8" ht="19.899999999999999" customHeight="1">
      <c r="A9" s="121">
        <v>46027</v>
      </c>
      <c r="B9" s="112" t="s">
        <v>359</v>
      </c>
      <c r="C9" s="113" t="s">
        <v>1249</v>
      </c>
      <c r="D9" s="112" t="s">
        <v>1239</v>
      </c>
      <c r="E9" s="122">
        <v>1.03125</v>
      </c>
      <c r="F9" s="112" t="s">
        <v>361</v>
      </c>
      <c r="G9" s="114">
        <v>9</v>
      </c>
      <c r="H9" s="115" t="s">
        <v>1250</v>
      </c>
    </row>
    <row r="10" spans="1:8" ht="19.899999999999999" customHeight="1">
      <c r="A10" s="123">
        <v>46027</v>
      </c>
      <c r="B10" s="124" t="s">
        <v>359</v>
      </c>
      <c r="C10" s="125" t="s">
        <v>1249</v>
      </c>
      <c r="D10" s="124" t="s">
        <v>1239</v>
      </c>
      <c r="E10" s="126">
        <v>1.03125</v>
      </c>
      <c r="F10" s="124" t="s">
        <v>46</v>
      </c>
      <c r="G10" s="127">
        <v>9</v>
      </c>
      <c r="H10" s="128" t="s">
        <v>1251</v>
      </c>
    </row>
    <row r="11" spans="1:8" ht="19.899999999999999" customHeight="1">
      <c r="A11" s="121">
        <v>46028</v>
      </c>
      <c r="B11" s="112" t="s">
        <v>359</v>
      </c>
      <c r="C11" s="113" t="s">
        <v>1244</v>
      </c>
      <c r="D11" s="112" t="s">
        <v>1239</v>
      </c>
      <c r="E11" s="122">
        <v>1.104166666666667</v>
      </c>
      <c r="F11" s="112" t="s">
        <v>361</v>
      </c>
      <c r="G11" s="114">
        <v>9</v>
      </c>
      <c r="H11" s="115" t="s">
        <v>1250</v>
      </c>
    </row>
    <row r="12" spans="1:8" ht="19.899999999999999" customHeight="1">
      <c r="A12" s="121">
        <v>46028</v>
      </c>
      <c r="B12" s="112" t="s">
        <v>402</v>
      </c>
      <c r="C12" s="113" t="s">
        <v>1243</v>
      </c>
      <c r="D12" s="112" t="s">
        <v>1239</v>
      </c>
      <c r="E12" s="122">
        <v>1.7638888888888891</v>
      </c>
      <c r="F12" s="112" t="s">
        <v>63</v>
      </c>
      <c r="G12" s="114">
        <v>8</v>
      </c>
      <c r="H12" s="115" t="s">
        <v>647</v>
      </c>
    </row>
    <row r="13" spans="1:8" ht="19.899999999999999" customHeight="1">
      <c r="A13" s="123">
        <v>46028</v>
      </c>
      <c r="B13" s="124" t="s">
        <v>359</v>
      </c>
      <c r="C13" s="125" t="s">
        <v>1244</v>
      </c>
      <c r="D13" s="124" t="s">
        <v>1239</v>
      </c>
      <c r="E13" s="126">
        <v>1.104166666666667</v>
      </c>
      <c r="F13" s="124" t="s">
        <v>46</v>
      </c>
      <c r="G13" s="127">
        <v>9</v>
      </c>
      <c r="H13" s="128" t="s">
        <v>1251</v>
      </c>
    </row>
    <row r="14" spans="1:8" ht="19.899999999999999" customHeight="1">
      <c r="A14" s="136">
        <v>46029</v>
      </c>
      <c r="B14" s="132" t="s">
        <v>61</v>
      </c>
      <c r="C14" s="133" t="s">
        <v>1252</v>
      </c>
      <c r="D14" s="132" t="s">
        <v>1239</v>
      </c>
      <c r="E14" s="137">
        <v>1.84375</v>
      </c>
      <c r="F14" s="132" t="s">
        <v>63</v>
      </c>
      <c r="G14" s="134">
        <v>7</v>
      </c>
      <c r="H14" s="135" t="s">
        <v>907</v>
      </c>
    </row>
    <row r="15" spans="1:8" ht="19.899999999999999" customHeight="1">
      <c r="A15" s="136">
        <v>46030</v>
      </c>
      <c r="B15" s="132" t="s">
        <v>61</v>
      </c>
      <c r="C15" s="133" t="s">
        <v>1240</v>
      </c>
      <c r="D15" s="132" t="s">
        <v>1239</v>
      </c>
      <c r="E15" s="137">
        <v>1.802083333333333</v>
      </c>
      <c r="F15" s="132" t="s">
        <v>63</v>
      </c>
      <c r="G15" s="134">
        <v>5</v>
      </c>
      <c r="H15" s="135" t="s">
        <v>1255</v>
      </c>
    </row>
    <row r="16" spans="1:8" ht="19.899999999999999" customHeight="1">
      <c r="A16" s="121">
        <v>46031</v>
      </c>
      <c r="B16" s="112" t="s">
        <v>359</v>
      </c>
      <c r="C16" s="113" t="s">
        <v>1244</v>
      </c>
      <c r="D16" s="112" t="s">
        <v>1239</v>
      </c>
      <c r="E16" s="122">
        <v>1.725694444444444</v>
      </c>
      <c r="F16" s="112" t="s">
        <v>361</v>
      </c>
      <c r="G16" s="114">
        <v>9</v>
      </c>
      <c r="H16" s="115" t="s">
        <v>1245</v>
      </c>
    </row>
    <row r="17" spans="1:8" ht="19.899999999999999" customHeight="1">
      <c r="A17" s="123">
        <v>46031</v>
      </c>
      <c r="B17" s="124" t="s">
        <v>359</v>
      </c>
      <c r="C17" s="125" t="s">
        <v>1244</v>
      </c>
      <c r="D17" s="124" t="s">
        <v>1239</v>
      </c>
      <c r="E17" s="126">
        <v>1.725694444444444</v>
      </c>
      <c r="F17" s="124" t="s">
        <v>46</v>
      </c>
      <c r="G17" s="127">
        <v>9</v>
      </c>
      <c r="H17" s="128" t="s">
        <v>1246</v>
      </c>
    </row>
    <row r="18" spans="1:8" ht="19.899999999999999" customHeight="1">
      <c r="A18" s="136">
        <v>46032</v>
      </c>
      <c r="B18" s="132" t="s">
        <v>61</v>
      </c>
      <c r="C18" s="133" t="s">
        <v>1240</v>
      </c>
      <c r="D18" s="132" t="s">
        <v>1239</v>
      </c>
      <c r="E18" s="137">
        <v>1.802083333333333</v>
      </c>
      <c r="F18" s="132" t="s">
        <v>63</v>
      </c>
      <c r="G18" s="134">
        <v>6</v>
      </c>
      <c r="H18" s="135" t="s">
        <v>161</v>
      </c>
    </row>
    <row r="19" spans="1:8" ht="19.899999999999999" customHeight="1">
      <c r="A19" s="121">
        <v>46033</v>
      </c>
      <c r="B19" s="112" t="s">
        <v>359</v>
      </c>
      <c r="C19" s="113" t="s">
        <v>1244</v>
      </c>
      <c r="D19" s="112" t="s">
        <v>1239</v>
      </c>
      <c r="E19" s="122">
        <v>1.8090277777777779</v>
      </c>
      <c r="F19" s="112" t="s">
        <v>361</v>
      </c>
      <c r="G19" s="114">
        <v>9</v>
      </c>
      <c r="H19" s="115" t="s">
        <v>1245</v>
      </c>
    </row>
    <row r="20" spans="1:8" ht="19.899999999999999" customHeight="1">
      <c r="A20" s="121">
        <v>46033</v>
      </c>
      <c r="B20" s="112" t="s">
        <v>402</v>
      </c>
      <c r="C20" s="113" t="s">
        <v>1243</v>
      </c>
      <c r="D20" s="112" t="s">
        <v>1239</v>
      </c>
      <c r="E20" s="122">
        <v>1.71875</v>
      </c>
      <c r="F20" s="112" t="s">
        <v>63</v>
      </c>
      <c r="G20" s="114">
        <v>4</v>
      </c>
      <c r="H20" s="115" t="s">
        <v>647</v>
      </c>
    </row>
    <row r="21" spans="1:8" ht="19.899999999999999" customHeight="1">
      <c r="A21" s="123">
        <v>46033</v>
      </c>
      <c r="B21" s="124" t="s">
        <v>359</v>
      </c>
      <c r="C21" s="125" t="s">
        <v>1244</v>
      </c>
      <c r="D21" s="124" t="s">
        <v>1239</v>
      </c>
      <c r="E21" s="126">
        <v>1.8090277777777779</v>
      </c>
      <c r="F21" s="124" t="s">
        <v>46</v>
      </c>
      <c r="G21" s="127">
        <v>9</v>
      </c>
      <c r="H21" s="128" t="s">
        <v>1246</v>
      </c>
    </row>
    <row r="22" spans="1:8" ht="19.899999999999999" customHeight="1">
      <c r="A22" s="121">
        <v>46034</v>
      </c>
      <c r="B22" s="112" t="s">
        <v>359</v>
      </c>
      <c r="C22" s="113" t="s">
        <v>1249</v>
      </c>
      <c r="D22" s="112" t="s">
        <v>1239</v>
      </c>
      <c r="E22" s="122">
        <v>1.03125</v>
      </c>
      <c r="F22" s="112" t="s">
        <v>361</v>
      </c>
      <c r="G22" s="114">
        <v>9</v>
      </c>
      <c r="H22" s="115" t="s">
        <v>1250</v>
      </c>
    </row>
    <row r="23" spans="1:8" ht="19.899999999999999" customHeight="1">
      <c r="A23" s="123">
        <v>46034</v>
      </c>
      <c r="B23" s="124" t="s">
        <v>359</v>
      </c>
      <c r="C23" s="125" t="s">
        <v>1249</v>
      </c>
      <c r="D23" s="124" t="s">
        <v>1239</v>
      </c>
      <c r="E23" s="126">
        <v>1.03125</v>
      </c>
      <c r="F23" s="124" t="s">
        <v>46</v>
      </c>
      <c r="G23" s="127">
        <v>9</v>
      </c>
      <c r="H23" s="128" t="s">
        <v>1251</v>
      </c>
    </row>
    <row r="24" spans="1:8" ht="19.899999999999999" customHeight="1">
      <c r="A24" s="121">
        <v>46035</v>
      </c>
      <c r="B24" s="112" t="s">
        <v>359</v>
      </c>
      <c r="C24" s="113" t="s">
        <v>1244</v>
      </c>
      <c r="D24" s="112" t="s">
        <v>1239</v>
      </c>
      <c r="E24" s="122">
        <v>1.104166666666667</v>
      </c>
      <c r="F24" s="112" t="s">
        <v>361</v>
      </c>
      <c r="G24" s="114">
        <v>9</v>
      </c>
      <c r="H24" s="115" t="s">
        <v>1250</v>
      </c>
    </row>
    <row r="25" spans="1:8" ht="19.899999999999999" customHeight="1">
      <c r="A25" s="121">
        <v>46035</v>
      </c>
      <c r="B25" s="112" t="s">
        <v>359</v>
      </c>
      <c r="C25" s="113" t="s">
        <v>1244</v>
      </c>
      <c r="D25" s="112" t="s">
        <v>1239</v>
      </c>
      <c r="E25" s="122">
        <v>1.104166666666667</v>
      </c>
      <c r="F25" s="112" t="s">
        <v>46</v>
      </c>
      <c r="G25" s="114">
        <v>9</v>
      </c>
      <c r="H25" s="115" t="s">
        <v>1251</v>
      </c>
    </row>
    <row r="26" spans="1:8" ht="19.899999999999999" customHeight="1">
      <c r="A26" s="123">
        <v>46035</v>
      </c>
      <c r="B26" s="124" t="s">
        <v>402</v>
      </c>
      <c r="C26" s="125" t="s">
        <v>1243</v>
      </c>
      <c r="D26" s="124" t="s">
        <v>1239</v>
      </c>
      <c r="E26" s="126">
        <v>1.7638888888888891</v>
      </c>
      <c r="F26" s="124" t="s">
        <v>63</v>
      </c>
      <c r="G26" s="127">
        <v>7</v>
      </c>
      <c r="H26" s="128" t="s">
        <v>1258</v>
      </c>
    </row>
    <row r="27" spans="1:8" ht="19.899999999999999" customHeight="1">
      <c r="A27" s="136">
        <v>46036</v>
      </c>
      <c r="B27" s="132" t="s">
        <v>61</v>
      </c>
      <c r="C27" s="133" t="s">
        <v>1252</v>
      </c>
      <c r="D27" s="132" t="s">
        <v>1239</v>
      </c>
      <c r="E27" s="137">
        <v>1.84375</v>
      </c>
      <c r="F27" s="132" t="s">
        <v>63</v>
      </c>
      <c r="G27" s="134">
        <v>7</v>
      </c>
      <c r="H27" s="135" t="s">
        <v>161</v>
      </c>
    </row>
    <row r="28" spans="1:8" ht="19.899999999999999" customHeight="1">
      <c r="A28" s="136">
        <v>46037</v>
      </c>
      <c r="B28" s="132" t="s">
        <v>61</v>
      </c>
      <c r="C28" s="133" t="s">
        <v>1240</v>
      </c>
      <c r="D28" s="132" t="s">
        <v>1239</v>
      </c>
      <c r="E28" s="137">
        <v>1.802083333333333</v>
      </c>
      <c r="F28" s="132" t="s">
        <v>63</v>
      </c>
      <c r="G28" s="134">
        <v>2</v>
      </c>
      <c r="H28" s="135" t="s">
        <v>1262</v>
      </c>
    </row>
    <row r="29" spans="1:8" ht="19.899999999999999" customHeight="1">
      <c r="A29" s="121">
        <v>46038</v>
      </c>
      <c r="B29" s="112" t="s">
        <v>359</v>
      </c>
      <c r="C29" s="113" t="s">
        <v>1244</v>
      </c>
      <c r="D29" s="112" t="s">
        <v>1239</v>
      </c>
      <c r="E29" s="122">
        <v>1.725694444444444</v>
      </c>
      <c r="F29" s="112" t="s">
        <v>361</v>
      </c>
      <c r="G29" s="114">
        <v>9</v>
      </c>
      <c r="H29" s="115" t="s">
        <v>1264</v>
      </c>
    </row>
    <row r="30" spans="1:8" ht="19.899999999999999" customHeight="1">
      <c r="A30" s="123">
        <v>46038</v>
      </c>
      <c r="B30" s="124" t="s">
        <v>359</v>
      </c>
      <c r="C30" s="125" t="s">
        <v>1244</v>
      </c>
      <c r="D30" s="124" t="s">
        <v>1239</v>
      </c>
      <c r="E30" s="126">
        <v>1.725694444444444</v>
      </c>
      <c r="F30" s="124" t="s">
        <v>46</v>
      </c>
      <c r="G30" s="127">
        <v>9</v>
      </c>
      <c r="H30" s="128" t="s">
        <v>1265</v>
      </c>
    </row>
    <row r="31" spans="1:8" ht="19.899999999999999" customHeight="1">
      <c r="A31" s="136">
        <v>46039</v>
      </c>
      <c r="B31" s="132" t="s">
        <v>61</v>
      </c>
      <c r="C31" s="133" t="s">
        <v>1240</v>
      </c>
      <c r="D31" s="132" t="s">
        <v>1239</v>
      </c>
      <c r="E31" s="137">
        <v>1.802083333333333</v>
      </c>
      <c r="F31" s="132" t="s">
        <v>63</v>
      </c>
      <c r="G31" s="134">
        <v>2</v>
      </c>
      <c r="H31" s="135" t="s">
        <v>671</v>
      </c>
    </row>
    <row r="32" spans="1:8" ht="19.899999999999999" customHeight="1">
      <c r="A32" s="121">
        <v>46040</v>
      </c>
      <c r="B32" s="112" t="s">
        <v>359</v>
      </c>
      <c r="C32" s="113" t="s">
        <v>1244</v>
      </c>
      <c r="D32" s="112" t="s">
        <v>1239</v>
      </c>
      <c r="E32" s="122">
        <v>1.8090277777777779</v>
      </c>
      <c r="F32" s="112" t="s">
        <v>361</v>
      </c>
      <c r="G32" s="114">
        <v>9</v>
      </c>
      <c r="H32" s="115" t="s">
        <v>1267</v>
      </c>
    </row>
    <row r="33" spans="1:8" ht="19.899999999999999" customHeight="1">
      <c r="A33" s="121">
        <v>46040</v>
      </c>
      <c r="B33" s="112" t="s">
        <v>402</v>
      </c>
      <c r="C33" s="113" t="s">
        <v>1243</v>
      </c>
      <c r="D33" s="112" t="s">
        <v>1239</v>
      </c>
      <c r="E33" s="122">
        <v>1.71875</v>
      </c>
      <c r="F33" s="112" t="s">
        <v>63</v>
      </c>
      <c r="G33" s="114">
        <v>9</v>
      </c>
      <c r="H33" s="115" t="s">
        <v>1258</v>
      </c>
    </row>
    <row r="34" spans="1:8" ht="19.899999999999999" customHeight="1">
      <c r="A34" s="123">
        <v>46040</v>
      </c>
      <c r="B34" s="124" t="s">
        <v>359</v>
      </c>
      <c r="C34" s="125" t="s">
        <v>1244</v>
      </c>
      <c r="D34" s="124" t="s">
        <v>1239</v>
      </c>
      <c r="E34" s="126">
        <v>1.8090277777777779</v>
      </c>
      <c r="F34" s="124" t="s">
        <v>46</v>
      </c>
      <c r="G34" s="127">
        <v>9</v>
      </c>
      <c r="H34" s="128" t="s">
        <v>1268</v>
      </c>
    </row>
    <row r="35" spans="1:8" ht="19.899999999999999" customHeight="1">
      <c r="A35" s="121">
        <v>46041</v>
      </c>
      <c r="B35" s="112" t="s">
        <v>359</v>
      </c>
      <c r="C35" s="113" t="s">
        <v>1249</v>
      </c>
      <c r="D35" s="112" t="s">
        <v>1239</v>
      </c>
      <c r="E35" s="122">
        <v>1.03125</v>
      </c>
      <c r="F35" s="112" t="s">
        <v>361</v>
      </c>
      <c r="G35" s="114">
        <v>9</v>
      </c>
      <c r="H35" s="115" t="s">
        <v>1260</v>
      </c>
    </row>
    <row r="36" spans="1:8" ht="19.899999999999999" customHeight="1">
      <c r="A36" s="123">
        <v>46041</v>
      </c>
      <c r="B36" s="124" t="s">
        <v>359</v>
      </c>
      <c r="C36" s="125" t="s">
        <v>1249</v>
      </c>
      <c r="D36" s="124" t="s">
        <v>1239</v>
      </c>
      <c r="E36" s="126">
        <v>1.03125</v>
      </c>
      <c r="F36" s="124" t="s">
        <v>46</v>
      </c>
      <c r="G36" s="127">
        <v>9</v>
      </c>
      <c r="H36" s="128" t="s">
        <v>1261</v>
      </c>
    </row>
    <row r="37" spans="1:8" ht="19.899999999999999" customHeight="1">
      <c r="A37" s="121">
        <v>46042</v>
      </c>
      <c r="B37" s="112" t="s">
        <v>359</v>
      </c>
      <c r="C37" s="113" t="s">
        <v>1244</v>
      </c>
      <c r="D37" s="112" t="s">
        <v>1239</v>
      </c>
      <c r="E37" s="122">
        <v>1.104166666666667</v>
      </c>
      <c r="F37" s="112" t="s">
        <v>361</v>
      </c>
      <c r="G37" s="114">
        <v>9</v>
      </c>
      <c r="H37" s="115" t="s">
        <v>1250</v>
      </c>
    </row>
    <row r="38" spans="1:8" ht="19.899999999999999" customHeight="1">
      <c r="A38" s="121">
        <v>46042</v>
      </c>
      <c r="B38" s="112" t="s">
        <v>359</v>
      </c>
      <c r="C38" s="113" t="s">
        <v>1244</v>
      </c>
      <c r="D38" s="112" t="s">
        <v>1239</v>
      </c>
      <c r="E38" s="122">
        <v>1.104166666666667</v>
      </c>
      <c r="F38" s="112" t="s">
        <v>46</v>
      </c>
      <c r="G38" s="114">
        <v>9</v>
      </c>
      <c r="H38" s="115" t="s">
        <v>1251</v>
      </c>
    </row>
    <row r="39" spans="1:8" ht="19.899999999999999" customHeight="1">
      <c r="A39" s="123">
        <v>46042</v>
      </c>
      <c r="B39" s="124" t="s">
        <v>402</v>
      </c>
      <c r="C39" s="125" t="s">
        <v>1243</v>
      </c>
      <c r="D39" s="124" t="s">
        <v>1239</v>
      </c>
      <c r="E39" s="126">
        <v>1.7638888888888891</v>
      </c>
      <c r="F39" s="124" t="s">
        <v>63</v>
      </c>
      <c r="G39" s="127">
        <v>8</v>
      </c>
      <c r="H39" s="128" t="s">
        <v>1258</v>
      </c>
    </row>
    <row r="40" spans="1:8" ht="19.899999999999999" customHeight="1">
      <c r="A40" s="136">
        <v>46043</v>
      </c>
      <c r="B40" s="132" t="s">
        <v>61</v>
      </c>
      <c r="C40" s="133" t="s">
        <v>1252</v>
      </c>
      <c r="D40" s="132" t="s">
        <v>1239</v>
      </c>
      <c r="E40" s="137">
        <v>1.84375</v>
      </c>
      <c r="F40" s="132" t="s">
        <v>63</v>
      </c>
      <c r="G40" s="134">
        <v>2</v>
      </c>
      <c r="H40" s="135" t="s">
        <v>161</v>
      </c>
    </row>
    <row r="41" spans="1:8" ht="19.899999999999999" customHeight="1">
      <c r="A41" s="136">
        <v>46044</v>
      </c>
      <c r="B41" s="132" t="s">
        <v>61</v>
      </c>
      <c r="C41" s="133" t="s">
        <v>1240</v>
      </c>
      <c r="D41" s="132" t="s">
        <v>1239</v>
      </c>
      <c r="E41" s="137">
        <v>1.802083333333333</v>
      </c>
      <c r="F41" s="132" t="s">
        <v>63</v>
      </c>
      <c r="G41" s="134">
        <v>4</v>
      </c>
      <c r="H41" s="135" t="s">
        <v>876</v>
      </c>
    </row>
    <row r="42" spans="1:8" ht="19.899999999999999" customHeight="1">
      <c r="A42" s="121">
        <v>46045</v>
      </c>
      <c r="B42" s="112" t="s">
        <v>359</v>
      </c>
      <c r="C42" s="113" t="s">
        <v>1244</v>
      </c>
      <c r="D42" s="112" t="s">
        <v>1239</v>
      </c>
      <c r="E42" s="122">
        <v>1.725694444444444</v>
      </c>
      <c r="F42" s="112" t="s">
        <v>361</v>
      </c>
      <c r="G42" s="114">
        <v>9</v>
      </c>
      <c r="H42" s="115" t="s">
        <v>1245</v>
      </c>
    </row>
    <row r="43" spans="1:8" ht="19.899999999999999" customHeight="1">
      <c r="A43" s="123">
        <v>46045</v>
      </c>
      <c r="B43" s="124" t="s">
        <v>359</v>
      </c>
      <c r="C43" s="125" t="s">
        <v>1244</v>
      </c>
      <c r="D43" s="124" t="s">
        <v>1239</v>
      </c>
      <c r="E43" s="126">
        <v>1.725694444444444</v>
      </c>
      <c r="F43" s="124" t="s">
        <v>46</v>
      </c>
      <c r="G43" s="127">
        <v>9</v>
      </c>
      <c r="H43" s="128" t="s">
        <v>1246</v>
      </c>
    </row>
    <row r="44" spans="1:8" ht="19.899999999999999" customHeight="1">
      <c r="A44" s="136">
        <v>46046</v>
      </c>
      <c r="B44" s="132" t="s">
        <v>61</v>
      </c>
      <c r="C44" s="133" t="s">
        <v>1240</v>
      </c>
      <c r="D44" s="132" t="s">
        <v>1239</v>
      </c>
      <c r="E44" s="137">
        <v>1.802083333333333</v>
      </c>
      <c r="F44" s="132" t="s">
        <v>63</v>
      </c>
      <c r="G44" s="134">
        <v>5</v>
      </c>
      <c r="H44" s="135" t="s">
        <v>876</v>
      </c>
    </row>
    <row r="45" spans="1:8" ht="19.899999999999999" customHeight="1">
      <c r="A45" s="121">
        <v>46047</v>
      </c>
      <c r="B45" s="112" t="s">
        <v>359</v>
      </c>
      <c r="C45" s="113" t="s">
        <v>1244</v>
      </c>
      <c r="D45" s="112" t="s">
        <v>1239</v>
      </c>
      <c r="E45" s="122">
        <v>1.8090277777777779</v>
      </c>
      <c r="F45" s="112" t="s">
        <v>361</v>
      </c>
      <c r="G45" s="114">
        <v>9</v>
      </c>
      <c r="H45" s="115" t="s">
        <v>1245</v>
      </c>
    </row>
    <row r="46" spans="1:8" ht="19.899999999999999" customHeight="1">
      <c r="A46" s="121">
        <v>46047</v>
      </c>
      <c r="B46" s="112" t="s">
        <v>359</v>
      </c>
      <c r="C46" s="113" t="s">
        <v>1244</v>
      </c>
      <c r="D46" s="112" t="s">
        <v>1239</v>
      </c>
      <c r="E46" s="122">
        <v>1.8090277777777779</v>
      </c>
      <c r="F46" s="112" t="s">
        <v>46</v>
      </c>
      <c r="G46" s="114">
        <v>9</v>
      </c>
      <c r="H46" s="115" t="s">
        <v>1246</v>
      </c>
    </row>
    <row r="47" spans="1:8" ht="19.899999999999999" customHeight="1">
      <c r="A47" s="123">
        <v>46047</v>
      </c>
      <c r="B47" s="124" t="s">
        <v>402</v>
      </c>
      <c r="C47" s="125" t="s">
        <v>1243</v>
      </c>
      <c r="D47" s="124" t="s">
        <v>1239</v>
      </c>
      <c r="E47" s="126">
        <v>1.71875</v>
      </c>
      <c r="F47" s="124" t="s">
        <v>63</v>
      </c>
      <c r="G47" s="127">
        <v>9</v>
      </c>
      <c r="H47" s="128" t="s">
        <v>1258</v>
      </c>
    </row>
    <row r="48" spans="1:8" ht="19.899999999999999" customHeight="1">
      <c r="A48" s="121">
        <v>46048</v>
      </c>
      <c r="B48" s="112" t="s">
        <v>359</v>
      </c>
      <c r="C48" s="113" t="s">
        <v>1249</v>
      </c>
      <c r="D48" s="112" t="s">
        <v>1239</v>
      </c>
      <c r="E48" s="122">
        <v>1.03125</v>
      </c>
      <c r="F48" s="112" t="s">
        <v>361</v>
      </c>
      <c r="G48" s="114">
        <v>9</v>
      </c>
      <c r="H48" s="115" t="s">
        <v>1250</v>
      </c>
    </row>
    <row r="49" spans="1:8" ht="19.899999999999999" customHeight="1">
      <c r="A49" s="123">
        <v>46048</v>
      </c>
      <c r="B49" s="124" t="s">
        <v>359</v>
      </c>
      <c r="C49" s="125" t="s">
        <v>1249</v>
      </c>
      <c r="D49" s="124" t="s">
        <v>1239</v>
      </c>
      <c r="E49" s="126">
        <v>1.03125</v>
      </c>
      <c r="F49" s="124" t="s">
        <v>46</v>
      </c>
      <c r="G49" s="127">
        <v>9</v>
      </c>
      <c r="H49" s="128" t="s">
        <v>1251</v>
      </c>
    </row>
    <row r="50" spans="1:8" ht="19.899999999999999" customHeight="1">
      <c r="A50" s="121">
        <v>46049</v>
      </c>
      <c r="B50" s="112" t="s">
        <v>359</v>
      </c>
      <c r="C50" s="113" t="s">
        <v>1244</v>
      </c>
      <c r="D50" s="112" t="s">
        <v>1239</v>
      </c>
      <c r="E50" s="122">
        <v>1.104166666666667</v>
      </c>
      <c r="F50" s="112" t="s">
        <v>361</v>
      </c>
      <c r="G50" s="114">
        <v>9</v>
      </c>
      <c r="H50" s="115" t="s">
        <v>1250</v>
      </c>
    </row>
    <row r="51" spans="1:8" ht="19.899999999999999" customHeight="1">
      <c r="A51" s="121">
        <v>46049</v>
      </c>
      <c r="B51" s="112" t="s">
        <v>359</v>
      </c>
      <c r="C51" s="113" t="s">
        <v>1244</v>
      </c>
      <c r="D51" s="112" t="s">
        <v>1239</v>
      </c>
      <c r="E51" s="122">
        <v>1.104166666666667</v>
      </c>
      <c r="F51" s="112" t="s">
        <v>46</v>
      </c>
      <c r="G51" s="114">
        <v>9</v>
      </c>
      <c r="H51" s="115" t="s">
        <v>1251</v>
      </c>
    </row>
    <row r="52" spans="1:8" ht="19.899999999999999" customHeight="1">
      <c r="A52" s="123">
        <v>46049</v>
      </c>
      <c r="B52" s="124" t="s">
        <v>402</v>
      </c>
      <c r="C52" s="125" t="s">
        <v>1243</v>
      </c>
      <c r="D52" s="124" t="s">
        <v>1239</v>
      </c>
      <c r="E52" s="126">
        <v>1.7638888888888891</v>
      </c>
      <c r="F52" s="124" t="s">
        <v>63</v>
      </c>
      <c r="G52" s="127">
        <v>9</v>
      </c>
      <c r="H52" s="128" t="s">
        <v>1258</v>
      </c>
    </row>
    <row r="53" spans="1:8" ht="19.899999999999999" customHeight="1">
      <c r="A53" s="136">
        <v>46050</v>
      </c>
      <c r="B53" s="132" t="s">
        <v>61</v>
      </c>
      <c r="C53" s="133" t="s">
        <v>1252</v>
      </c>
      <c r="D53" s="132" t="s">
        <v>1239</v>
      </c>
      <c r="E53" s="137">
        <v>1.84375</v>
      </c>
      <c r="F53" s="132" t="s">
        <v>63</v>
      </c>
      <c r="G53" s="134">
        <v>4</v>
      </c>
      <c r="H53" s="135" t="s">
        <v>1255</v>
      </c>
    </row>
    <row r="54" spans="1:8" ht="19.899999999999999" customHeight="1">
      <c r="A54" s="136">
        <v>46051</v>
      </c>
      <c r="B54" s="132" t="s">
        <v>61</v>
      </c>
      <c r="C54" s="133" t="s">
        <v>1240</v>
      </c>
      <c r="D54" s="132" t="s">
        <v>1239</v>
      </c>
      <c r="E54" s="137">
        <v>1.802083333333333</v>
      </c>
      <c r="F54" s="132" t="s">
        <v>63</v>
      </c>
      <c r="G54" s="134">
        <v>5</v>
      </c>
      <c r="H54" s="135" t="s">
        <v>1255</v>
      </c>
    </row>
    <row r="55" spans="1:8" ht="19.899999999999999" customHeight="1">
      <c r="A55" s="121">
        <v>46052</v>
      </c>
      <c r="B55" s="112" t="s">
        <v>359</v>
      </c>
      <c r="C55" s="113" t="s">
        <v>1244</v>
      </c>
      <c r="D55" s="112" t="s">
        <v>1239</v>
      </c>
      <c r="E55" s="122">
        <v>1.725694444444444</v>
      </c>
      <c r="F55" s="112" t="s">
        <v>361</v>
      </c>
      <c r="G55" s="114">
        <v>9</v>
      </c>
      <c r="H55" s="115" t="s">
        <v>1245</v>
      </c>
    </row>
    <row r="56" spans="1:8" ht="19.899999999999999" customHeight="1">
      <c r="A56" s="123">
        <v>46052</v>
      </c>
      <c r="B56" s="124" t="s">
        <v>359</v>
      </c>
      <c r="C56" s="125" t="s">
        <v>1244</v>
      </c>
      <c r="D56" s="124" t="s">
        <v>1239</v>
      </c>
      <c r="E56" s="126">
        <v>1.725694444444444</v>
      </c>
      <c r="F56" s="124" t="s">
        <v>46</v>
      </c>
      <c r="G56" s="127">
        <v>9</v>
      </c>
      <c r="H56" s="128" t="s">
        <v>1246</v>
      </c>
    </row>
    <row r="57" spans="1:8" ht="19.899999999999999" customHeight="1">
      <c r="A57" s="136">
        <v>46053</v>
      </c>
      <c r="B57" s="132" t="s">
        <v>61</v>
      </c>
      <c r="C57" s="133" t="s">
        <v>1240</v>
      </c>
      <c r="D57" s="132" t="s">
        <v>1239</v>
      </c>
      <c r="E57" s="137">
        <v>1.802083333333333</v>
      </c>
      <c r="F57" s="132" t="s">
        <v>63</v>
      </c>
      <c r="G57" s="134">
        <v>3</v>
      </c>
      <c r="H57" s="135" t="s">
        <v>907</v>
      </c>
    </row>
  </sheetData>
  <pageMargins left="0.75" right="0.75" top="1" bottom="1" header="0.5" footer="0.5"/>
  <legacyDrawing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N39"/>
  <sheetViews>
    <sheetView workbookViewId="0"/>
  </sheetViews>
  <sheetFormatPr defaultRowHeight="14.45"/>
  <cols>
    <col min="1" max="1" width="17.28515625" bestFit="1" customWidth="1"/>
    <col min="2" max="2" width="15.7109375" bestFit="1" customWidth="1"/>
    <col min="3" max="3" width="14.7109375" bestFit="1" customWidth="1"/>
    <col min="4" max="4" width="34.28515625" bestFit="1" customWidth="1"/>
    <col min="5" max="5" width="19" bestFit="1" customWidth="1"/>
    <col min="6" max="6" width="23.42578125" bestFit="1" customWidth="1"/>
    <col min="7" max="7" width="40.5703125" bestFit="1" customWidth="1"/>
    <col min="8" max="8" width="9.42578125" bestFit="1" customWidth="1"/>
    <col min="9" max="9" width="6.710937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16.140625" bestFit="1" customWidth="1"/>
  </cols>
  <sheetData>
    <row r="1" spans="1:92" ht="28.9" customHeight="1">
      <c r="A1" s="291" t="s">
        <v>0</v>
      </c>
      <c r="B1" s="294"/>
      <c r="C1" s="294"/>
      <c r="D1" s="294"/>
      <c r="E1" s="294"/>
      <c r="F1" s="1" t="s">
        <v>1276</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45980.610598977117</v>
      </c>
      <c r="H2" s="294"/>
      <c r="I2" s="294"/>
      <c r="J2" s="294"/>
      <c r="K2" s="287">
        <v>45980.61059897743</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46024</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67" t="s">
        <v>61</v>
      </c>
      <c r="B6" s="67" t="s">
        <v>1277</v>
      </c>
      <c r="C6" s="68">
        <v>0.58333333333333337</v>
      </c>
      <c r="D6" s="67" t="s">
        <v>63</v>
      </c>
      <c r="E6" s="67" t="s">
        <v>107</v>
      </c>
      <c r="F6" s="67" t="s">
        <v>1278</v>
      </c>
      <c r="G6" s="297"/>
      <c r="H6" s="69" t="s">
        <v>1279</v>
      </c>
      <c r="I6" s="70">
        <v>3.9100000000000003E-2</v>
      </c>
      <c r="J6" s="71">
        <v>7</v>
      </c>
      <c r="K6" s="72">
        <v>46345</v>
      </c>
      <c r="L6" s="71">
        <v>7</v>
      </c>
      <c r="M6" s="71">
        <v>0</v>
      </c>
      <c r="N6" s="71">
        <v>0</v>
      </c>
      <c r="O6" s="73" t="s">
        <v>918</v>
      </c>
      <c r="P6" s="74">
        <v>0.58333333333333337</v>
      </c>
      <c r="Q6" s="71">
        <v>179</v>
      </c>
      <c r="R6" s="75" t="s">
        <v>1132</v>
      </c>
    </row>
    <row r="7" spans="1:92" ht="18">
      <c r="A7" s="292" t="s">
        <v>1280</v>
      </c>
      <c r="B7" s="303"/>
      <c r="C7" s="303"/>
      <c r="D7" s="303"/>
      <c r="E7" s="303"/>
      <c r="F7" s="304"/>
      <c r="G7" s="298"/>
      <c r="H7" s="138"/>
      <c r="I7" s="138"/>
      <c r="J7" s="138"/>
      <c r="K7" s="138"/>
      <c r="L7" s="138"/>
      <c r="M7" s="138"/>
      <c r="N7" s="138"/>
      <c r="O7" s="139"/>
      <c r="P7" s="138"/>
      <c r="Q7" s="107"/>
      <c r="R7" s="107"/>
    </row>
    <row r="8" spans="1:92" ht="49.9" customHeight="1">
      <c r="A8" s="17" t="s">
        <v>359</v>
      </c>
      <c r="B8" s="17" t="s">
        <v>1244</v>
      </c>
      <c r="C8" s="18" t="s">
        <v>975</v>
      </c>
      <c r="D8" s="17" t="s">
        <v>361</v>
      </c>
      <c r="E8" s="17" t="s">
        <v>270</v>
      </c>
      <c r="F8" s="17" t="s">
        <v>1245</v>
      </c>
      <c r="G8" s="298"/>
      <c r="H8" s="138"/>
      <c r="I8" s="138"/>
      <c r="J8" s="138"/>
      <c r="K8" s="138"/>
      <c r="L8" s="138"/>
      <c r="M8" s="138"/>
      <c r="N8" s="138"/>
      <c r="O8" s="139"/>
      <c r="P8" s="138"/>
      <c r="Q8" s="107"/>
      <c r="R8" s="107"/>
    </row>
    <row r="9" spans="1:92" ht="49.9" customHeight="1" thickBot="1">
      <c r="A9" s="30" t="s">
        <v>359</v>
      </c>
      <c r="B9" s="30" t="s">
        <v>1244</v>
      </c>
      <c r="C9" s="31" t="s">
        <v>975</v>
      </c>
      <c r="D9" s="30" t="s">
        <v>46</v>
      </c>
      <c r="E9" s="30" t="s">
        <v>270</v>
      </c>
      <c r="F9" s="30" t="s">
        <v>1246</v>
      </c>
      <c r="G9" s="299"/>
      <c r="H9" s="140"/>
      <c r="I9" s="140"/>
      <c r="J9" s="140"/>
      <c r="K9" s="140"/>
      <c r="L9" s="140"/>
      <c r="M9" s="140"/>
      <c r="N9" s="140"/>
      <c r="O9" s="141"/>
      <c r="P9" s="140"/>
      <c r="Q9" s="142"/>
      <c r="R9" s="142"/>
    </row>
    <row r="10" spans="1:92" ht="17.45" customHeight="1" thickBot="1">
      <c r="A10" s="283"/>
      <c r="B10" s="284"/>
      <c r="C10" s="284"/>
      <c r="D10" s="284"/>
      <c r="E10" s="284"/>
      <c r="F10" s="284"/>
      <c r="G10" s="284"/>
      <c r="H10" s="284"/>
      <c r="I10" s="284"/>
      <c r="J10" s="284"/>
      <c r="K10" s="284"/>
      <c r="L10" s="284"/>
      <c r="M10" s="284"/>
      <c r="N10" s="284"/>
      <c r="O10" s="284"/>
      <c r="P10" s="284"/>
      <c r="Q10" s="284"/>
      <c r="R10" s="285"/>
    </row>
    <row r="11" spans="1:92" ht="22.15" customHeight="1" thickTop="1" thickBot="1">
      <c r="A11" s="279" t="s">
        <v>6</v>
      </c>
      <c r="B11" s="295"/>
      <c r="C11" s="295"/>
      <c r="D11" s="295"/>
      <c r="E11" s="295"/>
      <c r="F11" s="296"/>
      <c r="G11" s="32">
        <v>46031</v>
      </c>
      <c r="H11" s="278" t="s">
        <v>7</v>
      </c>
      <c r="I11" s="295"/>
      <c r="J11" s="295"/>
      <c r="K11" s="295"/>
      <c r="L11" s="295"/>
      <c r="M11" s="295"/>
      <c r="N11" s="295"/>
      <c r="O11" s="295"/>
      <c r="P11" s="295"/>
      <c r="Q11" s="295"/>
      <c r="R11" s="296"/>
    </row>
    <row r="12" spans="1:92" ht="24" customHeight="1">
      <c r="A12" s="33" t="s">
        <v>8</v>
      </c>
      <c r="B12" s="33" t="s">
        <v>9</v>
      </c>
      <c r="C12" s="34" t="s">
        <v>10</v>
      </c>
      <c r="D12" s="33" t="s">
        <v>11</v>
      </c>
      <c r="E12" s="33" t="s">
        <v>12</v>
      </c>
      <c r="F12" s="35" t="s">
        <v>13</v>
      </c>
      <c r="G12" s="36" t="s">
        <v>14</v>
      </c>
      <c r="H12" s="33" t="s">
        <v>15</v>
      </c>
      <c r="I12" s="37" t="s">
        <v>16</v>
      </c>
      <c r="J12" s="38" t="s">
        <v>17</v>
      </c>
      <c r="K12" s="39" t="s">
        <v>18</v>
      </c>
      <c r="L12" s="38" t="s">
        <v>19</v>
      </c>
      <c r="M12" s="38" t="s">
        <v>20</v>
      </c>
      <c r="N12" s="38" t="s">
        <v>21</v>
      </c>
      <c r="O12" s="33" t="s">
        <v>22</v>
      </c>
      <c r="P12" s="34" t="s">
        <v>23</v>
      </c>
      <c r="Q12" s="38" t="s">
        <v>24</v>
      </c>
      <c r="R12" s="33" t="s">
        <v>25</v>
      </c>
    </row>
    <row r="13" spans="1:92" ht="49.9" customHeight="1">
      <c r="A13" s="21" t="s">
        <v>61</v>
      </c>
      <c r="B13" s="21" t="s">
        <v>1277</v>
      </c>
      <c r="C13" s="22">
        <v>0.58333333333333337</v>
      </c>
      <c r="D13" s="21" t="s">
        <v>63</v>
      </c>
      <c r="E13" s="21" t="s">
        <v>156</v>
      </c>
      <c r="F13" s="21" t="s">
        <v>1196</v>
      </c>
      <c r="G13" s="302"/>
      <c r="H13" s="23" t="s">
        <v>1279</v>
      </c>
      <c r="I13" s="24">
        <v>3.3500000000000002E-2</v>
      </c>
      <c r="J13" s="25">
        <v>6</v>
      </c>
      <c r="K13" s="26">
        <v>46339</v>
      </c>
      <c r="L13" s="25">
        <v>6</v>
      </c>
      <c r="M13" s="25">
        <v>0</v>
      </c>
      <c r="N13" s="25">
        <v>0</v>
      </c>
      <c r="O13" s="27" t="s">
        <v>244</v>
      </c>
      <c r="P13" s="28">
        <v>0.58333333333333337</v>
      </c>
      <c r="Q13" s="25">
        <v>179</v>
      </c>
      <c r="R13" s="29" t="s">
        <v>900</v>
      </c>
    </row>
    <row r="14" spans="1:92" ht="18">
      <c r="A14" s="292" t="s">
        <v>1280</v>
      </c>
      <c r="B14" s="303"/>
      <c r="C14" s="303"/>
      <c r="D14" s="303"/>
      <c r="E14" s="303"/>
      <c r="F14" s="304"/>
      <c r="G14" s="298"/>
      <c r="H14" s="138"/>
      <c r="I14" s="138"/>
      <c r="J14" s="138"/>
      <c r="K14" s="138"/>
      <c r="L14" s="138"/>
      <c r="M14" s="138"/>
      <c r="N14" s="138"/>
      <c r="O14" s="139"/>
      <c r="P14" s="138"/>
      <c r="Q14" s="107"/>
      <c r="R14" s="107"/>
    </row>
    <row r="15" spans="1:92" ht="49.9" customHeight="1">
      <c r="A15" s="17" t="s">
        <v>359</v>
      </c>
      <c r="B15" s="17" t="s">
        <v>1244</v>
      </c>
      <c r="C15" s="18" t="s">
        <v>975</v>
      </c>
      <c r="D15" s="17" t="s">
        <v>361</v>
      </c>
      <c r="E15" s="17" t="s">
        <v>270</v>
      </c>
      <c r="F15" s="17" t="s">
        <v>1245</v>
      </c>
      <c r="G15" s="298"/>
      <c r="H15" s="138"/>
      <c r="I15" s="138"/>
      <c r="J15" s="138"/>
      <c r="K15" s="138"/>
      <c r="L15" s="138"/>
      <c r="M15" s="138"/>
      <c r="N15" s="138"/>
      <c r="O15" s="139"/>
      <c r="P15" s="138"/>
      <c r="Q15" s="107"/>
      <c r="R15" s="107"/>
    </row>
    <row r="16" spans="1:92" ht="49.9" customHeight="1" thickBot="1">
      <c r="A16" s="30" t="s">
        <v>359</v>
      </c>
      <c r="B16" s="30" t="s">
        <v>1244</v>
      </c>
      <c r="C16" s="31" t="s">
        <v>975</v>
      </c>
      <c r="D16" s="30" t="s">
        <v>46</v>
      </c>
      <c r="E16" s="30" t="s">
        <v>270</v>
      </c>
      <c r="F16" s="30" t="s">
        <v>1246</v>
      </c>
      <c r="G16" s="299"/>
      <c r="H16" s="140"/>
      <c r="I16" s="140"/>
      <c r="J16" s="140"/>
      <c r="K16" s="140"/>
      <c r="L16" s="140"/>
      <c r="M16" s="140"/>
      <c r="N16" s="140"/>
      <c r="O16" s="141"/>
      <c r="P16" s="140"/>
      <c r="Q16" s="142"/>
      <c r="R16" s="142"/>
    </row>
    <row r="17" spans="1:18" ht="17.45" customHeight="1" thickBot="1">
      <c r="A17" s="283"/>
      <c r="B17" s="284"/>
      <c r="C17" s="284"/>
      <c r="D17" s="284"/>
      <c r="E17" s="284"/>
      <c r="F17" s="284"/>
      <c r="G17" s="284"/>
      <c r="H17" s="284"/>
      <c r="I17" s="284"/>
      <c r="J17" s="284"/>
      <c r="K17" s="284"/>
      <c r="L17" s="284"/>
      <c r="M17" s="284"/>
      <c r="N17" s="284"/>
      <c r="O17" s="284"/>
      <c r="P17" s="284"/>
      <c r="Q17" s="284"/>
      <c r="R17" s="285"/>
    </row>
    <row r="18" spans="1:18" ht="22.15" customHeight="1" thickTop="1" thickBot="1">
      <c r="A18" s="279" t="s">
        <v>6</v>
      </c>
      <c r="B18" s="295"/>
      <c r="C18" s="295"/>
      <c r="D18" s="295"/>
      <c r="E18" s="295"/>
      <c r="F18" s="296"/>
      <c r="G18" s="32">
        <v>46038</v>
      </c>
      <c r="H18" s="278" t="s">
        <v>7</v>
      </c>
      <c r="I18" s="295"/>
      <c r="J18" s="295"/>
      <c r="K18" s="295"/>
      <c r="L18" s="295"/>
      <c r="M18" s="295"/>
      <c r="N18" s="295"/>
      <c r="O18" s="295"/>
      <c r="P18" s="295"/>
      <c r="Q18" s="295"/>
      <c r="R18" s="296"/>
    </row>
    <row r="19" spans="1:18" ht="24" customHeight="1">
      <c r="A19" s="33" t="s">
        <v>8</v>
      </c>
      <c r="B19" s="33" t="s">
        <v>9</v>
      </c>
      <c r="C19" s="34" t="s">
        <v>10</v>
      </c>
      <c r="D19" s="33" t="s">
        <v>11</v>
      </c>
      <c r="E19" s="33" t="s">
        <v>12</v>
      </c>
      <c r="F19" s="35" t="s">
        <v>13</v>
      </c>
      <c r="G19" s="36" t="s">
        <v>14</v>
      </c>
      <c r="H19" s="33" t="s">
        <v>15</v>
      </c>
      <c r="I19" s="37" t="s">
        <v>16</v>
      </c>
      <c r="J19" s="38" t="s">
        <v>17</v>
      </c>
      <c r="K19" s="39" t="s">
        <v>18</v>
      </c>
      <c r="L19" s="38" t="s">
        <v>19</v>
      </c>
      <c r="M19" s="38" t="s">
        <v>20</v>
      </c>
      <c r="N19" s="38" t="s">
        <v>21</v>
      </c>
      <c r="O19" s="33" t="s">
        <v>22</v>
      </c>
      <c r="P19" s="34" t="s">
        <v>23</v>
      </c>
      <c r="Q19" s="38" t="s">
        <v>24</v>
      </c>
      <c r="R19" s="33" t="s">
        <v>25</v>
      </c>
    </row>
    <row r="20" spans="1:18" ht="49.9" customHeight="1">
      <c r="A20" s="40" t="s">
        <v>61</v>
      </c>
      <c r="B20" s="40" t="s">
        <v>1277</v>
      </c>
      <c r="C20" s="41">
        <v>0.58333333333333337</v>
      </c>
      <c r="D20" s="40" t="s">
        <v>63</v>
      </c>
      <c r="E20" s="40" t="s">
        <v>100</v>
      </c>
      <c r="F20" s="40" t="s">
        <v>503</v>
      </c>
      <c r="G20" s="297"/>
      <c r="H20" s="42" t="s">
        <v>1279</v>
      </c>
      <c r="I20" s="43">
        <v>2.23E-2</v>
      </c>
      <c r="J20" s="44">
        <v>4</v>
      </c>
      <c r="K20" s="45">
        <v>46343</v>
      </c>
      <c r="L20" s="44">
        <v>4</v>
      </c>
      <c r="M20" s="44">
        <v>0</v>
      </c>
      <c r="N20" s="44">
        <v>0</v>
      </c>
      <c r="O20" s="46" t="s">
        <v>1117</v>
      </c>
      <c r="P20" s="47">
        <v>0.58333333333333337</v>
      </c>
      <c r="Q20" s="44">
        <v>179</v>
      </c>
      <c r="R20" s="48" t="s">
        <v>982</v>
      </c>
    </row>
    <row r="21" spans="1:18" ht="18">
      <c r="A21" s="292" t="s">
        <v>1280</v>
      </c>
      <c r="B21" s="303"/>
      <c r="C21" s="303"/>
      <c r="D21" s="303"/>
      <c r="E21" s="303"/>
      <c r="F21" s="304"/>
      <c r="G21" s="298"/>
      <c r="H21" s="138"/>
      <c r="I21" s="138"/>
      <c r="J21" s="138"/>
      <c r="K21" s="138"/>
      <c r="L21" s="138"/>
      <c r="M21" s="138"/>
      <c r="N21" s="138"/>
      <c r="O21" s="139"/>
      <c r="P21" s="138"/>
      <c r="Q21" s="107"/>
      <c r="R21" s="107"/>
    </row>
    <row r="22" spans="1:18" ht="49.9" customHeight="1">
      <c r="A22" s="17" t="s">
        <v>359</v>
      </c>
      <c r="B22" s="17" t="s">
        <v>1244</v>
      </c>
      <c r="C22" s="18" t="s">
        <v>975</v>
      </c>
      <c r="D22" s="17" t="s">
        <v>361</v>
      </c>
      <c r="E22" s="17" t="s">
        <v>270</v>
      </c>
      <c r="F22" s="17" t="s">
        <v>1264</v>
      </c>
      <c r="G22" s="298"/>
      <c r="H22" s="138"/>
      <c r="I22" s="138"/>
      <c r="J22" s="138"/>
      <c r="K22" s="138"/>
      <c r="L22" s="138"/>
      <c r="M22" s="138"/>
      <c r="N22" s="138"/>
      <c r="O22" s="139"/>
      <c r="P22" s="138"/>
      <c r="Q22" s="107"/>
      <c r="R22" s="107"/>
    </row>
    <row r="23" spans="1:18" ht="49.9" customHeight="1" thickBot="1">
      <c r="A23" s="30" t="s">
        <v>359</v>
      </c>
      <c r="B23" s="30" t="s">
        <v>1244</v>
      </c>
      <c r="C23" s="31" t="s">
        <v>975</v>
      </c>
      <c r="D23" s="30" t="s">
        <v>46</v>
      </c>
      <c r="E23" s="30" t="s">
        <v>270</v>
      </c>
      <c r="F23" s="30" t="s">
        <v>1265</v>
      </c>
      <c r="G23" s="299"/>
      <c r="H23" s="140"/>
      <c r="I23" s="140"/>
      <c r="J23" s="140"/>
      <c r="K23" s="140"/>
      <c r="L23" s="140"/>
      <c r="M23" s="140"/>
      <c r="N23" s="140"/>
      <c r="O23" s="141"/>
      <c r="P23" s="140"/>
      <c r="Q23" s="142"/>
      <c r="R23" s="142"/>
    </row>
    <row r="24" spans="1:18" ht="17.45" customHeight="1" thickBot="1">
      <c r="A24" s="283"/>
      <c r="B24" s="284"/>
      <c r="C24" s="284"/>
      <c r="D24" s="284"/>
      <c r="E24" s="284"/>
      <c r="F24" s="284"/>
      <c r="G24" s="284"/>
      <c r="H24" s="284"/>
      <c r="I24" s="284"/>
      <c r="J24" s="284"/>
      <c r="K24" s="284"/>
      <c r="L24" s="284"/>
      <c r="M24" s="284"/>
      <c r="N24" s="284"/>
      <c r="O24" s="284"/>
      <c r="P24" s="284"/>
      <c r="Q24" s="284"/>
      <c r="R24" s="285"/>
    </row>
    <row r="25" spans="1:18" ht="22.15" customHeight="1" thickTop="1" thickBot="1">
      <c r="A25" s="279" t="s">
        <v>6</v>
      </c>
      <c r="B25" s="295"/>
      <c r="C25" s="295"/>
      <c r="D25" s="295"/>
      <c r="E25" s="295"/>
      <c r="F25" s="296"/>
      <c r="G25" s="32">
        <v>46045</v>
      </c>
      <c r="H25" s="278" t="s">
        <v>7</v>
      </c>
      <c r="I25" s="295"/>
      <c r="J25" s="295"/>
      <c r="K25" s="295"/>
      <c r="L25" s="295"/>
      <c r="M25" s="295"/>
      <c r="N25" s="295"/>
      <c r="O25" s="295"/>
      <c r="P25" s="295"/>
      <c r="Q25" s="295"/>
      <c r="R25" s="296"/>
    </row>
    <row r="26" spans="1:18" ht="24" customHeight="1">
      <c r="A26" s="33" t="s">
        <v>8</v>
      </c>
      <c r="B26" s="33" t="s">
        <v>9</v>
      </c>
      <c r="C26" s="34" t="s">
        <v>10</v>
      </c>
      <c r="D26" s="33" t="s">
        <v>11</v>
      </c>
      <c r="E26" s="33" t="s">
        <v>12</v>
      </c>
      <c r="F26" s="35" t="s">
        <v>13</v>
      </c>
      <c r="G26" s="36" t="s">
        <v>14</v>
      </c>
      <c r="H26" s="33" t="s">
        <v>15</v>
      </c>
      <c r="I26" s="37" t="s">
        <v>16</v>
      </c>
      <c r="J26" s="38" t="s">
        <v>17</v>
      </c>
      <c r="K26" s="39" t="s">
        <v>18</v>
      </c>
      <c r="L26" s="38" t="s">
        <v>19</v>
      </c>
      <c r="M26" s="38" t="s">
        <v>20</v>
      </c>
      <c r="N26" s="38" t="s">
        <v>21</v>
      </c>
      <c r="O26" s="33" t="s">
        <v>22</v>
      </c>
      <c r="P26" s="34" t="s">
        <v>23</v>
      </c>
      <c r="Q26" s="38" t="s">
        <v>24</v>
      </c>
      <c r="R26" s="33" t="s">
        <v>25</v>
      </c>
    </row>
    <row r="27" spans="1:18" ht="49.9" customHeight="1">
      <c r="A27" s="87" t="s">
        <v>61</v>
      </c>
      <c r="B27" s="87" t="s">
        <v>1277</v>
      </c>
      <c r="C27" s="88">
        <v>0.58333333333333337</v>
      </c>
      <c r="D27" s="87" t="s">
        <v>63</v>
      </c>
      <c r="E27" s="87" t="s">
        <v>177</v>
      </c>
      <c r="F27" s="87" t="s">
        <v>1281</v>
      </c>
      <c r="G27" s="297"/>
      <c r="H27" s="89" t="s">
        <v>1279</v>
      </c>
      <c r="I27" s="90">
        <v>6.1499999999999999E-2</v>
      </c>
      <c r="J27" s="91">
        <v>11</v>
      </c>
      <c r="K27" s="92">
        <v>46338</v>
      </c>
      <c r="L27" s="91">
        <v>11</v>
      </c>
      <c r="M27" s="91">
        <v>0</v>
      </c>
      <c r="N27" s="91">
        <v>0</v>
      </c>
      <c r="O27" s="93" t="s">
        <v>1029</v>
      </c>
      <c r="P27" s="94">
        <v>0.58333333333333337</v>
      </c>
      <c r="Q27" s="91">
        <v>179</v>
      </c>
      <c r="R27" s="95" t="s">
        <v>1282</v>
      </c>
    </row>
    <row r="28" spans="1:18" ht="18">
      <c r="A28" s="292" t="s">
        <v>1280</v>
      </c>
      <c r="B28" s="303"/>
      <c r="C28" s="303"/>
      <c r="D28" s="303"/>
      <c r="E28" s="303"/>
      <c r="F28" s="304"/>
      <c r="G28" s="298"/>
      <c r="H28" s="138"/>
      <c r="I28" s="138"/>
      <c r="J28" s="138"/>
      <c r="K28" s="138"/>
      <c r="L28" s="138"/>
      <c r="M28" s="138"/>
      <c r="N28" s="138"/>
      <c r="O28" s="139"/>
      <c r="P28" s="138"/>
      <c r="Q28" s="107"/>
      <c r="R28" s="107"/>
    </row>
    <row r="29" spans="1:18" ht="49.9" customHeight="1">
      <c r="A29" s="17" t="s">
        <v>359</v>
      </c>
      <c r="B29" s="17" t="s">
        <v>1244</v>
      </c>
      <c r="C29" s="18" t="s">
        <v>975</v>
      </c>
      <c r="D29" s="17" t="s">
        <v>361</v>
      </c>
      <c r="E29" s="17" t="s">
        <v>270</v>
      </c>
      <c r="F29" s="17" t="s">
        <v>1245</v>
      </c>
      <c r="G29" s="298"/>
      <c r="H29" s="138"/>
      <c r="I29" s="138"/>
      <c r="J29" s="138"/>
      <c r="K29" s="138"/>
      <c r="L29" s="138"/>
      <c r="M29" s="138"/>
      <c r="N29" s="138"/>
      <c r="O29" s="139"/>
      <c r="P29" s="138"/>
      <c r="Q29" s="107"/>
      <c r="R29" s="107"/>
    </row>
    <row r="30" spans="1:18" ht="49.9" customHeight="1" thickBot="1">
      <c r="A30" s="30" t="s">
        <v>359</v>
      </c>
      <c r="B30" s="30" t="s">
        <v>1244</v>
      </c>
      <c r="C30" s="31" t="s">
        <v>975</v>
      </c>
      <c r="D30" s="30" t="s">
        <v>46</v>
      </c>
      <c r="E30" s="30" t="s">
        <v>270</v>
      </c>
      <c r="F30" s="30" t="s">
        <v>1246</v>
      </c>
      <c r="G30" s="299"/>
      <c r="H30" s="140"/>
      <c r="I30" s="140"/>
      <c r="J30" s="140"/>
      <c r="K30" s="140"/>
      <c r="L30" s="140"/>
      <c r="M30" s="140"/>
      <c r="N30" s="140"/>
      <c r="O30" s="141"/>
      <c r="P30" s="140"/>
      <c r="Q30" s="142"/>
      <c r="R30" s="142"/>
    </row>
    <row r="31" spans="1:18" ht="17.45" customHeight="1" thickBot="1">
      <c r="A31" s="283"/>
      <c r="B31" s="284"/>
      <c r="C31" s="284"/>
      <c r="D31" s="284"/>
      <c r="E31" s="284"/>
      <c r="F31" s="284"/>
      <c r="G31" s="284"/>
      <c r="H31" s="284"/>
      <c r="I31" s="284"/>
      <c r="J31" s="284"/>
      <c r="K31" s="284"/>
      <c r="L31" s="284"/>
      <c r="M31" s="284"/>
      <c r="N31" s="284"/>
      <c r="O31" s="284"/>
      <c r="P31" s="284"/>
      <c r="Q31" s="284"/>
      <c r="R31" s="285"/>
    </row>
    <row r="32" spans="1:18" ht="22.15" customHeight="1" thickTop="1" thickBot="1">
      <c r="A32" s="279" t="s">
        <v>6</v>
      </c>
      <c r="B32" s="295"/>
      <c r="C32" s="295"/>
      <c r="D32" s="295"/>
      <c r="E32" s="295"/>
      <c r="F32" s="296"/>
      <c r="G32" s="32">
        <v>46052</v>
      </c>
      <c r="H32" s="278" t="s">
        <v>7</v>
      </c>
      <c r="I32" s="295"/>
      <c r="J32" s="295"/>
      <c r="K32" s="295"/>
      <c r="L32" s="295"/>
      <c r="M32" s="295"/>
      <c r="N32" s="295"/>
      <c r="O32" s="295"/>
      <c r="P32" s="295"/>
      <c r="Q32" s="295"/>
      <c r="R32" s="296"/>
    </row>
    <row r="33" spans="1:18" ht="24" customHeight="1">
      <c r="A33" s="33" t="s">
        <v>8</v>
      </c>
      <c r="B33" s="33" t="s">
        <v>9</v>
      </c>
      <c r="C33" s="34" t="s">
        <v>10</v>
      </c>
      <c r="D33" s="33" t="s">
        <v>11</v>
      </c>
      <c r="E33" s="33" t="s">
        <v>12</v>
      </c>
      <c r="F33" s="35" t="s">
        <v>13</v>
      </c>
      <c r="G33" s="36" t="s">
        <v>14</v>
      </c>
      <c r="H33" s="33" t="s">
        <v>15</v>
      </c>
      <c r="I33" s="37" t="s">
        <v>16</v>
      </c>
      <c r="J33" s="38" t="s">
        <v>17</v>
      </c>
      <c r="K33" s="39" t="s">
        <v>18</v>
      </c>
      <c r="L33" s="38" t="s">
        <v>19</v>
      </c>
      <c r="M33" s="38" t="s">
        <v>20</v>
      </c>
      <c r="N33" s="38" t="s">
        <v>21</v>
      </c>
      <c r="O33" s="33" t="s">
        <v>22</v>
      </c>
      <c r="P33" s="34" t="s">
        <v>23</v>
      </c>
      <c r="Q33" s="38" t="s">
        <v>24</v>
      </c>
      <c r="R33" s="33" t="s">
        <v>25</v>
      </c>
    </row>
    <row r="34" spans="1:18" ht="49.9" customHeight="1">
      <c r="A34" s="87" t="s">
        <v>61</v>
      </c>
      <c r="B34" s="87" t="s">
        <v>1277</v>
      </c>
      <c r="C34" s="88">
        <v>0.58333333333333337</v>
      </c>
      <c r="D34" s="87" t="s">
        <v>63</v>
      </c>
      <c r="E34" s="87" t="s">
        <v>103</v>
      </c>
      <c r="F34" s="87" t="s">
        <v>892</v>
      </c>
      <c r="G34" s="302"/>
      <c r="H34" s="89" t="s">
        <v>1279</v>
      </c>
      <c r="I34" s="90">
        <v>2.7900000000000001E-2</v>
      </c>
      <c r="J34" s="91">
        <v>5</v>
      </c>
      <c r="K34" s="92">
        <v>46343</v>
      </c>
      <c r="L34" s="91">
        <v>5</v>
      </c>
      <c r="M34" s="91">
        <v>0</v>
      </c>
      <c r="N34" s="91">
        <v>0</v>
      </c>
      <c r="O34" s="93" t="s">
        <v>431</v>
      </c>
      <c r="P34" s="94">
        <v>0.58333333333333337</v>
      </c>
      <c r="Q34" s="91">
        <v>179</v>
      </c>
      <c r="R34" s="95" t="s">
        <v>968</v>
      </c>
    </row>
    <row r="35" spans="1:18" ht="18">
      <c r="A35" s="292" t="s">
        <v>1280</v>
      </c>
      <c r="B35" s="303"/>
      <c r="C35" s="303"/>
      <c r="D35" s="303"/>
      <c r="E35" s="303"/>
      <c r="F35" s="304"/>
      <c r="G35" s="298"/>
      <c r="H35" s="138"/>
      <c r="I35" s="138"/>
      <c r="J35" s="138"/>
      <c r="K35" s="138"/>
      <c r="L35" s="138"/>
      <c r="M35" s="138"/>
      <c r="N35" s="138"/>
      <c r="O35" s="139"/>
      <c r="P35" s="138"/>
      <c r="Q35" s="107"/>
      <c r="R35" s="107"/>
    </row>
    <row r="36" spans="1:18" ht="49.9" customHeight="1">
      <c r="A36" s="17" t="s">
        <v>359</v>
      </c>
      <c r="B36" s="17" t="s">
        <v>1244</v>
      </c>
      <c r="C36" s="18" t="s">
        <v>975</v>
      </c>
      <c r="D36" s="17" t="s">
        <v>361</v>
      </c>
      <c r="E36" s="17" t="s">
        <v>270</v>
      </c>
      <c r="F36" s="17" t="s">
        <v>1245</v>
      </c>
      <c r="G36" s="298"/>
      <c r="H36" s="138"/>
      <c r="I36" s="138"/>
      <c r="J36" s="138"/>
      <c r="K36" s="138"/>
      <c r="L36" s="138"/>
      <c r="M36" s="138"/>
      <c r="N36" s="138"/>
      <c r="O36" s="139"/>
      <c r="P36" s="138"/>
      <c r="Q36" s="107"/>
      <c r="R36" s="107"/>
    </row>
    <row r="37" spans="1:18" ht="49.9" customHeight="1" thickBot="1">
      <c r="A37" s="30" t="s">
        <v>359</v>
      </c>
      <c r="B37" s="30" t="s">
        <v>1244</v>
      </c>
      <c r="C37" s="31" t="s">
        <v>975</v>
      </c>
      <c r="D37" s="30" t="s">
        <v>46</v>
      </c>
      <c r="E37" s="30" t="s">
        <v>270</v>
      </c>
      <c r="F37" s="30" t="s">
        <v>1246</v>
      </c>
      <c r="G37" s="299"/>
      <c r="H37" s="140"/>
      <c r="I37" s="140"/>
      <c r="J37" s="140"/>
      <c r="K37" s="140"/>
      <c r="L37" s="140"/>
      <c r="M37" s="140"/>
      <c r="N37" s="140"/>
      <c r="O37" s="141"/>
      <c r="P37" s="140"/>
      <c r="Q37" s="142"/>
      <c r="R37" s="142"/>
    </row>
    <row r="38" spans="1:18" ht="17.45" customHeight="1" thickBot="1">
      <c r="A38" s="283"/>
      <c r="B38" s="284"/>
      <c r="C38" s="284"/>
      <c r="D38" s="284"/>
      <c r="E38" s="284"/>
      <c r="F38" s="284"/>
      <c r="G38" s="284"/>
      <c r="H38" s="284"/>
      <c r="I38" s="284"/>
      <c r="J38" s="284"/>
      <c r="K38" s="284"/>
      <c r="L38" s="284"/>
      <c r="M38" s="284"/>
      <c r="N38" s="284"/>
      <c r="O38" s="284"/>
      <c r="P38" s="284"/>
      <c r="Q38" s="284"/>
      <c r="R38" s="285"/>
    </row>
    <row r="39" spans="1:18" ht="15" thickTop="1"/>
  </sheetData>
  <mergeCells count="32">
    <mergeCell ref="G6:G9"/>
    <mergeCell ref="A17:R17"/>
    <mergeCell ref="A28:F28"/>
    <mergeCell ref="H11:R11"/>
    <mergeCell ref="H1:L1"/>
    <mergeCell ref="A1:E1"/>
    <mergeCell ref="G27:G30"/>
    <mergeCell ref="A18:F18"/>
    <mergeCell ref="A21:F21"/>
    <mergeCell ref="H4:R4"/>
    <mergeCell ref="A2:F2"/>
    <mergeCell ref="A3:R3"/>
    <mergeCell ref="G13:G16"/>
    <mergeCell ref="H25:R25"/>
    <mergeCell ref="A14:F14"/>
    <mergeCell ref="N1:R1"/>
    <mergeCell ref="A38:R38"/>
    <mergeCell ref="A10:R10"/>
    <mergeCell ref="G20:G23"/>
    <mergeCell ref="K2:R2"/>
    <mergeCell ref="H32:R32"/>
    <mergeCell ref="A31:R31"/>
    <mergeCell ref="A11:F11"/>
    <mergeCell ref="A24:R24"/>
    <mergeCell ref="H18:R18"/>
    <mergeCell ref="A7:F7"/>
    <mergeCell ref="A25:F25"/>
    <mergeCell ref="A32:F32"/>
    <mergeCell ref="G34:G37"/>
    <mergeCell ref="G2:J2"/>
    <mergeCell ref="A35:F35"/>
    <mergeCell ref="A4:F4"/>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J7"/>
  <sheetViews>
    <sheetView workbookViewId="0"/>
  </sheetViews>
  <sheetFormatPr defaultColWidth="8.85546875" defaultRowHeight="15.6" outlineLevelCol="1"/>
  <cols>
    <col min="1" max="1" width="6.85546875" style="266" bestFit="1" customWidth="1"/>
    <col min="2" max="2" width="9.7109375" style="266" bestFit="1" customWidth="1"/>
    <col min="3" max="3" width="6.7109375" style="266" bestFit="1" customWidth="1"/>
    <col min="4" max="4" width="5.5703125" style="266" bestFit="1" customWidth="1"/>
    <col min="5" max="5" width="8.28515625" style="266" bestFit="1" customWidth="1"/>
    <col min="6" max="6" width="4.28515625" style="266" bestFit="1" customWidth="1"/>
    <col min="7" max="7" width="8.42578125" style="266" bestFit="1" customWidth="1"/>
    <col min="8"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6" width="3.85546875" style="266" bestFit="1" customWidth="1"/>
    <col min="27" max="27" width="4" style="266" bestFit="1" customWidth="1"/>
    <col min="28"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560</v>
      </c>
      <c r="B2" s="268">
        <v>46024</v>
      </c>
      <c r="C2" s="269" t="s">
        <v>1279</v>
      </c>
      <c r="D2" s="270" t="s">
        <v>1283</v>
      </c>
      <c r="E2" s="269" t="s">
        <v>1276</v>
      </c>
      <c r="F2" s="269" t="s">
        <v>232</v>
      </c>
      <c r="G2" s="271">
        <v>3.9100000000000003E-2</v>
      </c>
      <c r="H2" s="272">
        <v>179</v>
      </c>
      <c r="I2" s="272">
        <v>7</v>
      </c>
      <c r="J2" s="272">
        <v>0</v>
      </c>
      <c r="K2" s="269" t="s">
        <v>233</v>
      </c>
      <c r="L2" s="273">
        <v>46345</v>
      </c>
      <c r="M2" s="272">
        <v>0</v>
      </c>
      <c r="N2" s="272">
        <v>0</v>
      </c>
      <c r="O2" s="272">
        <v>7</v>
      </c>
      <c r="P2" s="269" t="s">
        <v>918</v>
      </c>
      <c r="Q2" s="265"/>
      <c r="R2" s="265"/>
      <c r="S2" s="265"/>
      <c r="T2" s="265"/>
      <c r="U2" s="265"/>
      <c r="V2" s="265"/>
      <c r="W2" s="265"/>
      <c r="X2" s="265"/>
      <c r="Y2" s="265"/>
      <c r="Z2" s="265"/>
      <c r="AA2" s="265"/>
      <c r="AB2" s="265"/>
      <c r="AC2" s="272" t="s">
        <v>302</v>
      </c>
      <c r="AD2" s="265"/>
      <c r="AE2" s="265"/>
      <c r="AF2" s="272" t="s">
        <v>900</v>
      </c>
      <c r="AG2" s="265"/>
      <c r="AH2" s="265"/>
      <c r="AI2" s="265"/>
      <c r="AJ2" s="265"/>
    </row>
    <row r="3" spans="1:36">
      <c r="A3" s="267" t="s">
        <v>560</v>
      </c>
      <c r="B3" s="268">
        <v>46031</v>
      </c>
      <c r="C3" s="269" t="s">
        <v>1279</v>
      </c>
      <c r="D3" s="270" t="s">
        <v>1283</v>
      </c>
      <c r="E3" s="269" t="s">
        <v>1276</v>
      </c>
      <c r="F3" s="269" t="s">
        <v>232</v>
      </c>
      <c r="G3" s="271">
        <v>3.3500000000000002E-2</v>
      </c>
      <c r="H3" s="272">
        <v>179</v>
      </c>
      <c r="I3" s="272">
        <v>6</v>
      </c>
      <c r="J3" s="272">
        <v>0</v>
      </c>
      <c r="K3" s="269" t="s">
        <v>233</v>
      </c>
      <c r="L3" s="273">
        <v>46339</v>
      </c>
      <c r="M3" s="272">
        <v>0</v>
      </c>
      <c r="N3" s="272">
        <v>0</v>
      </c>
      <c r="O3" s="272">
        <v>6</v>
      </c>
      <c r="P3" s="269" t="s">
        <v>244</v>
      </c>
      <c r="Q3" s="265"/>
      <c r="R3" s="265"/>
      <c r="S3" s="265"/>
      <c r="T3" s="265"/>
      <c r="U3" s="265"/>
      <c r="V3" s="265"/>
      <c r="W3" s="265"/>
      <c r="X3" s="265"/>
      <c r="Y3" s="265"/>
      <c r="Z3" s="265"/>
      <c r="AA3" s="265"/>
      <c r="AB3" s="265"/>
      <c r="AC3" s="265"/>
      <c r="AD3" s="265"/>
      <c r="AE3" s="265"/>
      <c r="AF3" s="272" t="s">
        <v>900</v>
      </c>
      <c r="AG3" s="265"/>
      <c r="AH3" s="265"/>
      <c r="AI3" s="265"/>
      <c r="AJ3" s="265"/>
    </row>
    <row r="4" spans="1:36">
      <c r="A4" s="267" t="s">
        <v>560</v>
      </c>
      <c r="B4" s="268">
        <v>46038</v>
      </c>
      <c r="C4" s="269" t="s">
        <v>1279</v>
      </c>
      <c r="D4" s="270" t="s">
        <v>1283</v>
      </c>
      <c r="E4" s="269" t="s">
        <v>1276</v>
      </c>
      <c r="F4" s="269" t="s">
        <v>232</v>
      </c>
      <c r="G4" s="271">
        <v>2.23E-2</v>
      </c>
      <c r="H4" s="272">
        <v>179</v>
      </c>
      <c r="I4" s="272">
        <v>4</v>
      </c>
      <c r="J4" s="272">
        <v>0</v>
      </c>
      <c r="K4" s="269" t="s">
        <v>233</v>
      </c>
      <c r="L4" s="273">
        <v>46343</v>
      </c>
      <c r="M4" s="272">
        <v>0</v>
      </c>
      <c r="N4" s="272">
        <v>0</v>
      </c>
      <c r="O4" s="272">
        <v>4</v>
      </c>
      <c r="P4" s="269" t="s">
        <v>1117</v>
      </c>
      <c r="Q4" s="265"/>
      <c r="R4" s="265"/>
      <c r="S4" s="265"/>
      <c r="T4" s="265"/>
      <c r="U4" s="265"/>
      <c r="V4" s="265"/>
      <c r="W4" s="265"/>
      <c r="X4" s="265"/>
      <c r="Y4" s="272" t="s">
        <v>982</v>
      </c>
      <c r="Z4" s="265"/>
      <c r="AA4" s="265"/>
      <c r="AB4" s="265"/>
      <c r="AC4" s="265"/>
      <c r="AD4" s="265"/>
      <c r="AE4" s="265"/>
      <c r="AF4" s="265"/>
      <c r="AG4" s="265"/>
      <c r="AH4" s="265"/>
      <c r="AI4" s="265"/>
      <c r="AJ4" s="265"/>
    </row>
    <row r="5" spans="1:36">
      <c r="A5" s="267" t="s">
        <v>560</v>
      </c>
      <c r="B5" s="268">
        <v>46045</v>
      </c>
      <c r="C5" s="269" t="s">
        <v>1279</v>
      </c>
      <c r="D5" s="270" t="s">
        <v>1283</v>
      </c>
      <c r="E5" s="269" t="s">
        <v>1276</v>
      </c>
      <c r="F5" s="269" t="s">
        <v>232</v>
      </c>
      <c r="G5" s="271">
        <v>6.1499999999999999E-2</v>
      </c>
      <c r="H5" s="272">
        <v>179</v>
      </c>
      <c r="I5" s="272">
        <v>11</v>
      </c>
      <c r="J5" s="272">
        <v>0</v>
      </c>
      <c r="K5" s="269" t="s">
        <v>233</v>
      </c>
      <c r="L5" s="273">
        <v>46338</v>
      </c>
      <c r="M5" s="272">
        <v>0</v>
      </c>
      <c r="N5" s="272">
        <v>0</v>
      </c>
      <c r="O5" s="272">
        <v>11</v>
      </c>
      <c r="P5" s="269" t="s">
        <v>1029</v>
      </c>
      <c r="Q5" s="265"/>
      <c r="R5" s="265"/>
      <c r="S5" s="265"/>
      <c r="T5" s="265"/>
      <c r="U5" s="265"/>
      <c r="V5" s="265"/>
      <c r="W5" s="265"/>
      <c r="X5" s="265"/>
      <c r="Y5" s="265"/>
      <c r="Z5" s="272" t="s">
        <v>583</v>
      </c>
      <c r="AA5" s="272" t="s">
        <v>516</v>
      </c>
      <c r="AB5" s="265"/>
      <c r="AC5" s="272" t="s">
        <v>298</v>
      </c>
      <c r="AD5" s="265"/>
      <c r="AE5" s="265"/>
      <c r="AF5" s="265"/>
      <c r="AG5" s="265"/>
      <c r="AH5" s="265"/>
      <c r="AI5" s="265"/>
      <c r="AJ5" s="265"/>
    </row>
    <row r="6" spans="1:36">
      <c r="A6" s="267" t="s">
        <v>560</v>
      </c>
      <c r="B6" s="268">
        <v>46052</v>
      </c>
      <c r="C6" s="269" t="s">
        <v>1279</v>
      </c>
      <c r="D6" s="270" t="s">
        <v>1283</v>
      </c>
      <c r="E6" s="269" t="s">
        <v>1276</v>
      </c>
      <c r="F6" s="269" t="s">
        <v>232</v>
      </c>
      <c r="G6" s="271">
        <v>2.7900000000000001E-2</v>
      </c>
      <c r="H6" s="272">
        <v>179</v>
      </c>
      <c r="I6" s="272">
        <v>5</v>
      </c>
      <c r="J6" s="272">
        <v>0</v>
      </c>
      <c r="K6" s="269" t="s">
        <v>233</v>
      </c>
      <c r="L6" s="273">
        <v>46343</v>
      </c>
      <c r="M6" s="272">
        <v>0</v>
      </c>
      <c r="N6" s="272">
        <v>0</v>
      </c>
      <c r="O6" s="272">
        <v>5</v>
      </c>
      <c r="P6" s="269" t="s">
        <v>431</v>
      </c>
      <c r="Q6" s="265"/>
      <c r="R6" s="265"/>
      <c r="S6" s="265"/>
      <c r="T6" s="265"/>
      <c r="U6" s="265"/>
      <c r="V6" s="265"/>
      <c r="W6" s="265"/>
      <c r="X6" s="265"/>
      <c r="Y6" s="265"/>
      <c r="Z6" s="265"/>
      <c r="AA6" s="265"/>
      <c r="AB6" s="265"/>
      <c r="AC6" s="265"/>
      <c r="AD6" s="265"/>
      <c r="AE6" s="272" t="s">
        <v>968</v>
      </c>
      <c r="AF6" s="265"/>
      <c r="AG6" s="265"/>
      <c r="AH6" s="265"/>
      <c r="AI6" s="265"/>
      <c r="AJ6" s="265"/>
    </row>
    <row r="7" spans="1:36" ht="21">
      <c r="A7" s="274" t="s">
        <v>251</v>
      </c>
      <c r="B7" s="275"/>
      <c r="C7" s="274">
        <f>SUBTOTAL(103,ATZ_AHB_LF_LEGACY[Flt])</f>
        <v>5</v>
      </c>
      <c r="D7" s="274"/>
      <c r="E7" s="274">
        <f>SUBTOTAL(103,ATZ_AHB_LF_LEGACY[Brd-Off])</f>
        <v>5</v>
      </c>
      <c r="F7" s="274"/>
      <c r="G7" s="276">
        <f>SUBTOTAL(101,ATZ_AHB_LF_LEGACY[LF%])</f>
        <v>3.6859999999999997E-2</v>
      </c>
      <c r="H7" s="277">
        <f>SUBTOTAL(109,ATZ_AHB_LF_LEGACY[CAP])</f>
        <v>895</v>
      </c>
      <c r="I7" s="277">
        <f>SUBTOTAL(109,ATZ_AHB_LF_LEGACY[BKG(Y)])</f>
        <v>33</v>
      </c>
      <c r="J7" s="277">
        <f>SUBTOTAL(109,ATZ_AHB_LF_LEGACY[GRP(Y)])</f>
        <v>0</v>
      </c>
      <c r="K7" s="274"/>
      <c r="L7" s="275"/>
      <c r="M7" s="277">
        <f>SUBTOTAL(109,ATZ_AHB_LF_LEGACY[TO-DAY])</f>
        <v>0</v>
      </c>
      <c r="N7" s="277">
        <f>SUBTOTAL(109,ATZ_AHB_LF_LEGACY[Y-DAY])</f>
        <v>0</v>
      </c>
      <c r="O7" s="277">
        <f>SUBTOTAL(109,ATZ_AHB_LF_LEGACY[WEEKLY])</f>
        <v>33</v>
      </c>
      <c r="P7" s="274"/>
      <c r="Q7" s="277">
        <f>SUBTOTAL(109,ATZ_AHB_LF_LEGACY[Y])</f>
        <v>0</v>
      </c>
      <c r="R7" s="277">
        <f>SUBTOTAL(109,ATZ_AHB_LF_LEGACY[B])</f>
        <v>0</v>
      </c>
      <c r="S7" s="277">
        <f>SUBTOTAL(109,ATZ_AHB_LF_LEGACY[M])</f>
        <v>0</v>
      </c>
      <c r="T7" s="277">
        <f>SUBTOTAL(109,ATZ_AHB_LF_LEGACY[H])</f>
        <v>0</v>
      </c>
      <c r="U7" s="277">
        <f>SUBTOTAL(109,ATZ_AHB_LF_LEGACY[Q])</f>
        <v>0</v>
      </c>
      <c r="V7" s="277">
        <f>SUBTOTAL(109,ATZ_AHB_LF_LEGACY[K])</f>
        <v>0</v>
      </c>
      <c r="W7" s="277">
        <f>SUBTOTAL(109,ATZ_AHB_LF_LEGACY[V])</f>
        <v>0</v>
      </c>
      <c r="X7" s="277">
        <f>SUBTOTAL(109,ATZ_AHB_LF_LEGACY[L])</f>
        <v>0</v>
      </c>
      <c r="Y7" s="277">
        <f>SUBTOTAL(109,ATZ_AHB_LF_LEGACY[G])</f>
        <v>0</v>
      </c>
      <c r="Z7" s="277">
        <f>SUBTOTAL(109,ATZ_AHB_LF_LEGACY[S])</f>
        <v>0</v>
      </c>
      <c r="AA7" s="277">
        <f>SUBTOTAL(109,ATZ_AHB_LF_LEGACY[W])</f>
        <v>0</v>
      </c>
      <c r="AB7" s="277">
        <f>SUBTOTAL(109,ATZ_AHB_LF_LEGACY[T])</f>
        <v>0</v>
      </c>
      <c r="AC7" s="277">
        <f>SUBTOTAL(109,ATZ_AHB_LF_LEGACY[X])</f>
        <v>0</v>
      </c>
      <c r="AD7" s="277">
        <f>SUBTOTAL(109,ATZ_AHB_LF_LEGACY[U])</f>
        <v>0</v>
      </c>
      <c r="AE7" s="277">
        <f>SUBTOTAL(109,ATZ_AHB_LF_LEGACY[O])</f>
        <v>0</v>
      </c>
      <c r="AF7" s="277">
        <f>SUBTOTAL(109,ATZ_AHB_LF_LEGACY[I])</f>
        <v>0</v>
      </c>
      <c r="AG7" s="277">
        <f>SUBTOTAL(109,ATZ_AHB_LF_LEGACY[E])</f>
        <v>0</v>
      </c>
      <c r="AH7" s="277">
        <f>SUBTOTAL(109,ATZ_AHB_LF_LEGACY[A])</f>
        <v>0</v>
      </c>
      <c r="AI7" s="277">
        <f>SUBTOTAL(109,ATZ_AHB_LF_LEGACY[P])</f>
        <v>0</v>
      </c>
      <c r="AJ7" s="277">
        <f>SUBTOTAL(103,ATZ_AHB_LF_LEGACY[N])</f>
        <v>0</v>
      </c>
    </row>
  </sheetData>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I111"/>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56.57031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43"/>
      <c r="B2" s="144"/>
      <c r="C2" s="144"/>
      <c r="D2" s="144"/>
      <c r="E2" s="144"/>
      <c r="F2" s="145" t="s">
        <v>1284</v>
      </c>
      <c r="G2" s="144"/>
      <c r="H2" s="146"/>
    </row>
    <row r="3" spans="1:8" ht="19.899999999999999" customHeight="1">
      <c r="A3" s="111" t="s">
        <v>254</v>
      </c>
      <c r="B3" s="112" t="s">
        <v>61</v>
      </c>
      <c r="C3" s="113" t="s">
        <v>1240</v>
      </c>
      <c r="D3" s="112" t="s">
        <v>1239</v>
      </c>
      <c r="E3" s="112" t="s">
        <v>334</v>
      </c>
      <c r="F3" s="112" t="s">
        <v>63</v>
      </c>
      <c r="G3" s="114">
        <v>1</v>
      </c>
      <c r="H3" s="115" t="s">
        <v>907</v>
      </c>
    </row>
    <row r="4" spans="1:8" ht="19.899999999999999" customHeight="1">
      <c r="A4" s="147" t="s">
        <v>254</v>
      </c>
      <c r="B4" s="124" t="s">
        <v>402</v>
      </c>
      <c r="C4" s="125" t="s">
        <v>1243</v>
      </c>
      <c r="D4" s="124" t="s">
        <v>1239</v>
      </c>
      <c r="E4" s="124" t="s">
        <v>1285</v>
      </c>
      <c r="F4" s="124" t="s">
        <v>63</v>
      </c>
      <c r="G4" s="127">
        <v>4</v>
      </c>
      <c r="H4" s="128" t="s">
        <v>647</v>
      </c>
    </row>
    <row r="5" spans="1:8" ht="19.899999999999999" customHeight="1">
      <c r="A5" s="116" t="s">
        <v>339</v>
      </c>
      <c r="B5" s="117" t="s">
        <v>61</v>
      </c>
      <c r="C5" s="118" t="s">
        <v>1277</v>
      </c>
      <c r="D5" s="117" t="s">
        <v>1276</v>
      </c>
      <c r="E5" s="117" t="s">
        <v>1283</v>
      </c>
      <c r="F5" s="117" t="s">
        <v>63</v>
      </c>
      <c r="G5" s="119">
        <v>7</v>
      </c>
      <c r="H5" s="120" t="s">
        <v>1278</v>
      </c>
    </row>
    <row r="6" spans="1:8" ht="19.899999999999999" customHeight="1">
      <c r="A6" s="143"/>
      <c r="B6" s="144"/>
      <c r="C6" s="144"/>
      <c r="D6" s="144"/>
      <c r="E6" s="144"/>
      <c r="F6" s="145" t="s">
        <v>1284</v>
      </c>
      <c r="G6" s="144"/>
      <c r="H6" s="146"/>
    </row>
    <row r="7" spans="1:8" ht="19.899999999999999" customHeight="1">
      <c r="A7" s="121">
        <v>46024</v>
      </c>
      <c r="B7" s="112" t="s">
        <v>359</v>
      </c>
      <c r="C7" s="113" t="s">
        <v>1244</v>
      </c>
      <c r="D7" s="112" t="s">
        <v>1239</v>
      </c>
      <c r="E7" s="122">
        <v>1.725694444444444</v>
      </c>
      <c r="F7" s="112" t="s">
        <v>361</v>
      </c>
      <c r="G7" s="114">
        <v>9</v>
      </c>
      <c r="H7" s="115" t="s">
        <v>1245</v>
      </c>
    </row>
    <row r="8" spans="1:8" ht="19.899999999999999" customHeight="1">
      <c r="A8" s="123">
        <v>46024</v>
      </c>
      <c r="B8" s="124" t="s">
        <v>359</v>
      </c>
      <c r="C8" s="125" t="s">
        <v>1244</v>
      </c>
      <c r="D8" s="124" t="s">
        <v>1239</v>
      </c>
      <c r="E8" s="126">
        <v>1.725694444444444</v>
      </c>
      <c r="F8" s="124" t="s">
        <v>46</v>
      </c>
      <c r="G8" s="127">
        <v>9</v>
      </c>
      <c r="H8" s="128" t="s">
        <v>1246</v>
      </c>
    </row>
    <row r="9" spans="1:8" ht="19.899999999999999" customHeight="1">
      <c r="A9" s="143"/>
      <c r="B9" s="144"/>
      <c r="C9" s="144"/>
      <c r="D9" s="144"/>
      <c r="E9" s="144"/>
      <c r="F9" s="145" t="s">
        <v>1284</v>
      </c>
      <c r="G9" s="144"/>
      <c r="H9" s="146"/>
    </row>
    <row r="10" spans="1:8" ht="19.899999999999999" customHeight="1">
      <c r="A10" s="121">
        <v>46025</v>
      </c>
      <c r="B10" s="112" t="s">
        <v>61</v>
      </c>
      <c r="C10" s="113" t="s">
        <v>1240</v>
      </c>
      <c r="D10" s="112" t="s">
        <v>1239</v>
      </c>
      <c r="E10" s="122">
        <v>1.802083333333333</v>
      </c>
      <c r="F10" s="112" t="s">
        <v>63</v>
      </c>
      <c r="G10" s="114">
        <v>6</v>
      </c>
      <c r="H10" s="115" t="s">
        <v>161</v>
      </c>
    </row>
    <row r="11" spans="1:8" ht="19.899999999999999" customHeight="1">
      <c r="A11" s="123">
        <v>46025</v>
      </c>
      <c r="B11" s="124" t="s">
        <v>402</v>
      </c>
      <c r="C11" s="125" t="s">
        <v>1248</v>
      </c>
      <c r="D11" s="124" t="s">
        <v>1239</v>
      </c>
      <c r="E11" s="126">
        <v>1.0034722222222221</v>
      </c>
      <c r="F11" s="124" t="s">
        <v>63</v>
      </c>
      <c r="G11" s="127">
        <v>5</v>
      </c>
      <c r="H11" s="128" t="s">
        <v>647</v>
      </c>
    </row>
    <row r="12" spans="1:8" ht="19.899999999999999" customHeight="1">
      <c r="A12" s="143"/>
      <c r="B12" s="144"/>
      <c r="C12" s="144"/>
      <c r="D12" s="144"/>
      <c r="E12" s="144"/>
      <c r="F12" s="145" t="s">
        <v>1284</v>
      </c>
      <c r="G12" s="144"/>
      <c r="H12" s="146"/>
    </row>
    <row r="13" spans="1:8" ht="19.899999999999999" customHeight="1">
      <c r="A13" s="121">
        <v>46026</v>
      </c>
      <c r="B13" s="112" t="s">
        <v>359</v>
      </c>
      <c r="C13" s="113" t="s">
        <v>1244</v>
      </c>
      <c r="D13" s="112" t="s">
        <v>1239</v>
      </c>
      <c r="E13" s="122">
        <v>1.8090277777777779</v>
      </c>
      <c r="F13" s="112" t="s">
        <v>361</v>
      </c>
      <c r="G13" s="114">
        <v>9</v>
      </c>
      <c r="H13" s="115" t="s">
        <v>1245</v>
      </c>
    </row>
    <row r="14" spans="1:8" ht="19.899999999999999" customHeight="1">
      <c r="A14" s="121">
        <v>46026</v>
      </c>
      <c r="B14" s="112" t="s">
        <v>402</v>
      </c>
      <c r="C14" s="113" t="s">
        <v>1243</v>
      </c>
      <c r="D14" s="112" t="s">
        <v>1239</v>
      </c>
      <c r="E14" s="122">
        <v>1.71875</v>
      </c>
      <c r="F14" s="112" t="s">
        <v>63</v>
      </c>
      <c r="G14" s="114">
        <v>2</v>
      </c>
      <c r="H14" s="115" t="s">
        <v>647</v>
      </c>
    </row>
    <row r="15" spans="1:8" ht="19.899999999999999" customHeight="1">
      <c r="A15" s="123">
        <v>46026</v>
      </c>
      <c r="B15" s="124" t="s">
        <v>359</v>
      </c>
      <c r="C15" s="125" t="s">
        <v>1244</v>
      </c>
      <c r="D15" s="124" t="s">
        <v>1239</v>
      </c>
      <c r="E15" s="126">
        <v>1.8090277777777779</v>
      </c>
      <c r="F15" s="124" t="s">
        <v>46</v>
      </c>
      <c r="G15" s="127">
        <v>9</v>
      </c>
      <c r="H15" s="128" t="s">
        <v>1246</v>
      </c>
    </row>
    <row r="16" spans="1:8" ht="19.899999999999999" customHeight="1">
      <c r="A16" s="143"/>
      <c r="B16" s="144"/>
      <c r="C16" s="144"/>
      <c r="D16" s="144"/>
      <c r="E16" s="144"/>
      <c r="F16" s="145" t="s">
        <v>1284</v>
      </c>
      <c r="G16" s="144"/>
      <c r="H16" s="146"/>
    </row>
    <row r="17" spans="1:8" ht="19.899999999999999" customHeight="1">
      <c r="A17" s="121">
        <v>46027</v>
      </c>
      <c r="B17" s="112" t="s">
        <v>359</v>
      </c>
      <c r="C17" s="113" t="s">
        <v>1249</v>
      </c>
      <c r="D17" s="112" t="s">
        <v>1239</v>
      </c>
      <c r="E17" s="122">
        <v>1.03125</v>
      </c>
      <c r="F17" s="112" t="s">
        <v>361</v>
      </c>
      <c r="G17" s="114">
        <v>9</v>
      </c>
      <c r="H17" s="115" t="s">
        <v>1250</v>
      </c>
    </row>
    <row r="18" spans="1:8" ht="19.899999999999999" customHeight="1">
      <c r="A18" s="123">
        <v>46027</v>
      </c>
      <c r="B18" s="124" t="s">
        <v>359</v>
      </c>
      <c r="C18" s="125" t="s">
        <v>1249</v>
      </c>
      <c r="D18" s="124" t="s">
        <v>1239</v>
      </c>
      <c r="E18" s="126">
        <v>1.03125</v>
      </c>
      <c r="F18" s="124" t="s">
        <v>46</v>
      </c>
      <c r="G18" s="127">
        <v>9</v>
      </c>
      <c r="H18" s="128" t="s">
        <v>1251</v>
      </c>
    </row>
    <row r="19" spans="1:8" ht="19.899999999999999" customHeight="1">
      <c r="A19" s="143"/>
      <c r="B19" s="144"/>
      <c r="C19" s="144"/>
      <c r="D19" s="144"/>
      <c r="E19" s="144"/>
      <c r="F19" s="145" t="s">
        <v>1284</v>
      </c>
      <c r="G19" s="144"/>
      <c r="H19" s="146"/>
    </row>
    <row r="20" spans="1:8" ht="19.899999999999999" customHeight="1">
      <c r="A20" s="121">
        <v>46028</v>
      </c>
      <c r="B20" s="112" t="s">
        <v>359</v>
      </c>
      <c r="C20" s="113" t="s">
        <v>1244</v>
      </c>
      <c r="D20" s="112" t="s">
        <v>1239</v>
      </c>
      <c r="E20" s="122">
        <v>1.104166666666667</v>
      </c>
      <c r="F20" s="112" t="s">
        <v>361</v>
      </c>
      <c r="G20" s="114">
        <v>9</v>
      </c>
      <c r="H20" s="115" t="s">
        <v>1250</v>
      </c>
    </row>
    <row r="21" spans="1:8" ht="19.899999999999999" customHeight="1">
      <c r="A21" s="121">
        <v>46028</v>
      </c>
      <c r="B21" s="112" t="s">
        <v>402</v>
      </c>
      <c r="C21" s="113" t="s">
        <v>1243</v>
      </c>
      <c r="D21" s="112" t="s">
        <v>1239</v>
      </c>
      <c r="E21" s="122">
        <v>1.7638888888888891</v>
      </c>
      <c r="F21" s="112" t="s">
        <v>63</v>
      </c>
      <c r="G21" s="114">
        <v>8</v>
      </c>
      <c r="H21" s="115" t="s">
        <v>647</v>
      </c>
    </row>
    <row r="22" spans="1:8" ht="19.899999999999999" customHeight="1">
      <c r="A22" s="123">
        <v>46028</v>
      </c>
      <c r="B22" s="124" t="s">
        <v>359</v>
      </c>
      <c r="C22" s="125" t="s">
        <v>1244</v>
      </c>
      <c r="D22" s="124" t="s">
        <v>1239</v>
      </c>
      <c r="E22" s="126">
        <v>1.104166666666667</v>
      </c>
      <c r="F22" s="124" t="s">
        <v>46</v>
      </c>
      <c r="G22" s="127">
        <v>9</v>
      </c>
      <c r="H22" s="128" t="s">
        <v>1251</v>
      </c>
    </row>
    <row r="23" spans="1:8" ht="19.899999999999999" customHeight="1">
      <c r="A23" s="143"/>
      <c r="B23" s="144"/>
      <c r="C23" s="144"/>
      <c r="D23" s="144"/>
      <c r="E23" s="144"/>
      <c r="F23" s="145" t="s">
        <v>1284</v>
      </c>
      <c r="G23" s="144"/>
      <c r="H23" s="146"/>
    </row>
    <row r="24" spans="1:8" ht="19.899999999999999" customHeight="1">
      <c r="A24" s="121">
        <v>46029</v>
      </c>
      <c r="B24" s="112" t="s">
        <v>61</v>
      </c>
      <c r="C24" s="113" t="s">
        <v>1252</v>
      </c>
      <c r="D24" s="112" t="s">
        <v>1239</v>
      </c>
      <c r="E24" s="122">
        <v>1.84375</v>
      </c>
      <c r="F24" s="112" t="s">
        <v>63</v>
      </c>
      <c r="G24" s="114">
        <v>7</v>
      </c>
      <c r="H24" s="115" t="s">
        <v>907</v>
      </c>
    </row>
    <row r="25" spans="1:8" ht="19.899999999999999" customHeight="1">
      <c r="A25" s="121">
        <v>46029</v>
      </c>
      <c r="B25" s="112" t="s">
        <v>359</v>
      </c>
      <c r="C25" s="113" t="s">
        <v>1249</v>
      </c>
      <c r="D25" s="112" t="s">
        <v>1239</v>
      </c>
      <c r="E25" s="122">
        <v>1.03125</v>
      </c>
      <c r="F25" s="112" t="s">
        <v>361</v>
      </c>
      <c r="G25" s="114">
        <v>9</v>
      </c>
      <c r="H25" s="115" t="s">
        <v>1250</v>
      </c>
    </row>
    <row r="26" spans="1:8" ht="19.899999999999999" customHeight="1">
      <c r="A26" s="123">
        <v>46029</v>
      </c>
      <c r="B26" s="124" t="s">
        <v>359</v>
      </c>
      <c r="C26" s="125" t="s">
        <v>1249</v>
      </c>
      <c r="D26" s="124" t="s">
        <v>1239</v>
      </c>
      <c r="E26" s="126">
        <v>1.03125</v>
      </c>
      <c r="F26" s="124" t="s">
        <v>46</v>
      </c>
      <c r="G26" s="127">
        <v>9</v>
      </c>
      <c r="H26" s="128" t="s">
        <v>1251</v>
      </c>
    </row>
    <row r="27" spans="1:8" ht="19.899999999999999" customHeight="1">
      <c r="A27" s="143"/>
      <c r="B27" s="144"/>
      <c r="C27" s="144"/>
      <c r="D27" s="144"/>
      <c r="E27" s="144"/>
      <c r="F27" s="145" t="s">
        <v>1284</v>
      </c>
      <c r="G27" s="144"/>
      <c r="H27" s="146"/>
    </row>
    <row r="28" spans="1:8" ht="19.899999999999999" customHeight="1">
      <c r="A28" s="121">
        <v>46030</v>
      </c>
      <c r="B28" s="112" t="s">
        <v>61</v>
      </c>
      <c r="C28" s="113" t="s">
        <v>1240</v>
      </c>
      <c r="D28" s="112" t="s">
        <v>1239</v>
      </c>
      <c r="E28" s="122">
        <v>1.802083333333333</v>
      </c>
      <c r="F28" s="112" t="s">
        <v>63</v>
      </c>
      <c r="G28" s="114">
        <v>5</v>
      </c>
      <c r="H28" s="115" t="s">
        <v>1255</v>
      </c>
    </row>
    <row r="29" spans="1:8" ht="19.899999999999999" customHeight="1">
      <c r="A29" s="123">
        <v>46030</v>
      </c>
      <c r="B29" s="124" t="s">
        <v>402</v>
      </c>
      <c r="C29" s="125" t="s">
        <v>1243</v>
      </c>
      <c r="D29" s="124" t="s">
        <v>1239</v>
      </c>
      <c r="E29" s="126">
        <v>1.7638888888888891</v>
      </c>
      <c r="F29" s="124" t="s">
        <v>63</v>
      </c>
      <c r="G29" s="127">
        <v>9</v>
      </c>
      <c r="H29" s="128" t="s">
        <v>647</v>
      </c>
    </row>
    <row r="30" spans="1:8" ht="19.899999999999999" customHeight="1">
      <c r="A30" s="129">
        <v>46031</v>
      </c>
      <c r="B30" s="117" t="s">
        <v>61</v>
      </c>
      <c r="C30" s="118" t="s">
        <v>1277</v>
      </c>
      <c r="D30" s="117" t="s">
        <v>1276</v>
      </c>
      <c r="E30" s="130">
        <v>1.583333333333333</v>
      </c>
      <c r="F30" s="117" t="s">
        <v>63</v>
      </c>
      <c r="G30" s="119">
        <v>1</v>
      </c>
      <c r="H30" s="120" t="s">
        <v>1196</v>
      </c>
    </row>
    <row r="31" spans="1:8" ht="19.899999999999999" customHeight="1">
      <c r="A31" s="143"/>
      <c r="B31" s="144"/>
      <c r="C31" s="144"/>
      <c r="D31" s="144"/>
      <c r="E31" s="144"/>
      <c r="F31" s="145" t="s">
        <v>1284</v>
      </c>
      <c r="G31" s="144"/>
      <c r="H31" s="146"/>
    </row>
    <row r="32" spans="1:8" ht="19.899999999999999" customHeight="1">
      <c r="A32" s="121">
        <v>46031</v>
      </c>
      <c r="B32" s="112" t="s">
        <v>359</v>
      </c>
      <c r="C32" s="113" t="s">
        <v>1244</v>
      </c>
      <c r="D32" s="112" t="s">
        <v>1239</v>
      </c>
      <c r="E32" s="122">
        <v>1.725694444444444</v>
      </c>
      <c r="F32" s="112" t="s">
        <v>361</v>
      </c>
      <c r="G32" s="114">
        <v>9</v>
      </c>
      <c r="H32" s="115" t="s">
        <v>1245</v>
      </c>
    </row>
    <row r="33" spans="1:8" ht="19.899999999999999" customHeight="1">
      <c r="A33" s="123">
        <v>46031</v>
      </c>
      <c r="B33" s="124" t="s">
        <v>359</v>
      </c>
      <c r="C33" s="125" t="s">
        <v>1244</v>
      </c>
      <c r="D33" s="124" t="s">
        <v>1239</v>
      </c>
      <c r="E33" s="126">
        <v>1.725694444444444</v>
      </c>
      <c r="F33" s="124" t="s">
        <v>46</v>
      </c>
      <c r="G33" s="127">
        <v>9</v>
      </c>
      <c r="H33" s="128" t="s">
        <v>1246</v>
      </c>
    </row>
    <row r="34" spans="1:8" ht="19.899999999999999" customHeight="1">
      <c r="A34" s="143"/>
      <c r="B34" s="144"/>
      <c r="C34" s="144"/>
      <c r="D34" s="144"/>
      <c r="E34" s="144"/>
      <c r="F34" s="145" t="s">
        <v>1284</v>
      </c>
      <c r="G34" s="144"/>
      <c r="H34" s="146"/>
    </row>
    <row r="35" spans="1:8" ht="19.899999999999999" customHeight="1">
      <c r="A35" s="121">
        <v>46032</v>
      </c>
      <c r="B35" s="112" t="s">
        <v>61</v>
      </c>
      <c r="C35" s="113" t="s">
        <v>1240</v>
      </c>
      <c r="D35" s="112" t="s">
        <v>1239</v>
      </c>
      <c r="E35" s="122">
        <v>1.802083333333333</v>
      </c>
      <c r="F35" s="112" t="s">
        <v>63</v>
      </c>
      <c r="G35" s="114">
        <v>6</v>
      </c>
      <c r="H35" s="115" t="s">
        <v>161</v>
      </c>
    </row>
    <row r="36" spans="1:8" ht="19.899999999999999" customHeight="1">
      <c r="A36" s="123">
        <v>46032</v>
      </c>
      <c r="B36" s="124" t="s">
        <v>402</v>
      </c>
      <c r="C36" s="125" t="s">
        <v>1248</v>
      </c>
      <c r="D36" s="124" t="s">
        <v>1239</v>
      </c>
      <c r="E36" s="126">
        <v>1.0034722222222221</v>
      </c>
      <c r="F36" s="124" t="s">
        <v>63</v>
      </c>
      <c r="G36" s="127">
        <v>9</v>
      </c>
      <c r="H36" s="128" t="s">
        <v>647</v>
      </c>
    </row>
    <row r="37" spans="1:8" ht="19.899999999999999" customHeight="1">
      <c r="A37" s="143"/>
      <c r="B37" s="144"/>
      <c r="C37" s="144"/>
      <c r="D37" s="144"/>
      <c r="E37" s="144"/>
      <c r="F37" s="145" t="s">
        <v>1284</v>
      </c>
      <c r="G37" s="144"/>
      <c r="H37" s="146"/>
    </row>
    <row r="38" spans="1:8" ht="19.899999999999999" customHeight="1">
      <c r="A38" s="121">
        <v>46033</v>
      </c>
      <c r="B38" s="112" t="s">
        <v>359</v>
      </c>
      <c r="C38" s="113" t="s">
        <v>1244</v>
      </c>
      <c r="D38" s="112" t="s">
        <v>1239</v>
      </c>
      <c r="E38" s="122">
        <v>1.8090277777777779</v>
      </c>
      <c r="F38" s="112" t="s">
        <v>361</v>
      </c>
      <c r="G38" s="114">
        <v>9</v>
      </c>
      <c r="H38" s="115" t="s">
        <v>1245</v>
      </c>
    </row>
    <row r="39" spans="1:8" ht="19.899999999999999" customHeight="1">
      <c r="A39" s="121">
        <v>46033</v>
      </c>
      <c r="B39" s="112" t="s">
        <v>402</v>
      </c>
      <c r="C39" s="113" t="s">
        <v>1243</v>
      </c>
      <c r="D39" s="112" t="s">
        <v>1239</v>
      </c>
      <c r="E39" s="122">
        <v>1.71875</v>
      </c>
      <c r="F39" s="112" t="s">
        <v>63</v>
      </c>
      <c r="G39" s="114">
        <v>4</v>
      </c>
      <c r="H39" s="115" t="s">
        <v>647</v>
      </c>
    </row>
    <row r="40" spans="1:8" ht="19.899999999999999" customHeight="1">
      <c r="A40" s="123">
        <v>46033</v>
      </c>
      <c r="B40" s="124" t="s">
        <v>359</v>
      </c>
      <c r="C40" s="125" t="s">
        <v>1244</v>
      </c>
      <c r="D40" s="124" t="s">
        <v>1239</v>
      </c>
      <c r="E40" s="126">
        <v>1.8090277777777779</v>
      </c>
      <c r="F40" s="124" t="s">
        <v>46</v>
      </c>
      <c r="G40" s="127">
        <v>9</v>
      </c>
      <c r="H40" s="128" t="s">
        <v>1246</v>
      </c>
    </row>
    <row r="41" spans="1:8" ht="19.899999999999999" customHeight="1">
      <c r="A41" s="143"/>
      <c r="B41" s="144"/>
      <c r="C41" s="144"/>
      <c r="D41" s="144"/>
      <c r="E41" s="144"/>
      <c r="F41" s="145" t="s">
        <v>1284</v>
      </c>
      <c r="G41" s="144"/>
      <c r="H41" s="146"/>
    </row>
    <row r="42" spans="1:8" ht="19.899999999999999" customHeight="1">
      <c r="A42" s="121">
        <v>46034</v>
      </c>
      <c r="B42" s="112" t="s">
        <v>359</v>
      </c>
      <c r="C42" s="113" t="s">
        <v>1249</v>
      </c>
      <c r="D42" s="112" t="s">
        <v>1239</v>
      </c>
      <c r="E42" s="122">
        <v>1.03125</v>
      </c>
      <c r="F42" s="112" t="s">
        <v>361</v>
      </c>
      <c r="G42" s="114">
        <v>9</v>
      </c>
      <c r="H42" s="115" t="s">
        <v>1250</v>
      </c>
    </row>
    <row r="43" spans="1:8" ht="19.899999999999999" customHeight="1">
      <c r="A43" s="123">
        <v>46034</v>
      </c>
      <c r="B43" s="124" t="s">
        <v>359</v>
      </c>
      <c r="C43" s="125" t="s">
        <v>1249</v>
      </c>
      <c r="D43" s="124" t="s">
        <v>1239</v>
      </c>
      <c r="E43" s="126">
        <v>1.03125</v>
      </c>
      <c r="F43" s="124" t="s">
        <v>46</v>
      </c>
      <c r="G43" s="127">
        <v>9</v>
      </c>
      <c r="H43" s="128" t="s">
        <v>1251</v>
      </c>
    </row>
    <row r="44" spans="1:8" ht="19.899999999999999" customHeight="1">
      <c r="A44" s="143"/>
      <c r="B44" s="144"/>
      <c r="C44" s="144"/>
      <c r="D44" s="144"/>
      <c r="E44" s="144"/>
      <c r="F44" s="145" t="s">
        <v>1284</v>
      </c>
      <c r="G44" s="144"/>
      <c r="H44" s="146"/>
    </row>
    <row r="45" spans="1:8" ht="19.899999999999999" customHeight="1">
      <c r="A45" s="121">
        <v>46035</v>
      </c>
      <c r="B45" s="112" t="s">
        <v>359</v>
      </c>
      <c r="C45" s="113" t="s">
        <v>1244</v>
      </c>
      <c r="D45" s="112" t="s">
        <v>1239</v>
      </c>
      <c r="E45" s="122">
        <v>1.104166666666667</v>
      </c>
      <c r="F45" s="112" t="s">
        <v>361</v>
      </c>
      <c r="G45" s="114">
        <v>9</v>
      </c>
      <c r="H45" s="115" t="s">
        <v>1250</v>
      </c>
    </row>
    <row r="46" spans="1:8" ht="19.899999999999999" customHeight="1">
      <c r="A46" s="121">
        <v>46035</v>
      </c>
      <c r="B46" s="112" t="s">
        <v>359</v>
      </c>
      <c r="C46" s="113" t="s">
        <v>1244</v>
      </c>
      <c r="D46" s="112" t="s">
        <v>1239</v>
      </c>
      <c r="E46" s="122">
        <v>1.104166666666667</v>
      </c>
      <c r="F46" s="112" t="s">
        <v>46</v>
      </c>
      <c r="G46" s="114">
        <v>9</v>
      </c>
      <c r="H46" s="115" t="s">
        <v>1251</v>
      </c>
    </row>
    <row r="47" spans="1:8" ht="19.899999999999999" customHeight="1">
      <c r="A47" s="123">
        <v>46035</v>
      </c>
      <c r="B47" s="124" t="s">
        <v>402</v>
      </c>
      <c r="C47" s="125" t="s">
        <v>1243</v>
      </c>
      <c r="D47" s="124" t="s">
        <v>1239</v>
      </c>
      <c r="E47" s="126">
        <v>1.7638888888888891</v>
      </c>
      <c r="F47" s="124" t="s">
        <v>63</v>
      </c>
      <c r="G47" s="127">
        <v>7</v>
      </c>
      <c r="H47" s="128" t="s">
        <v>1258</v>
      </c>
    </row>
    <row r="48" spans="1:8" ht="19.899999999999999" customHeight="1">
      <c r="A48" s="143"/>
      <c r="B48" s="144"/>
      <c r="C48" s="144"/>
      <c r="D48" s="144"/>
      <c r="E48" s="144"/>
      <c r="F48" s="145" t="s">
        <v>1284</v>
      </c>
      <c r="G48" s="144"/>
      <c r="H48" s="146"/>
    </row>
    <row r="49" spans="1:8" ht="19.899999999999999" customHeight="1">
      <c r="A49" s="121">
        <v>46036</v>
      </c>
      <c r="B49" s="112" t="s">
        <v>61</v>
      </c>
      <c r="C49" s="113" t="s">
        <v>1252</v>
      </c>
      <c r="D49" s="112" t="s">
        <v>1239</v>
      </c>
      <c r="E49" s="122">
        <v>1.84375</v>
      </c>
      <c r="F49" s="112" t="s">
        <v>63</v>
      </c>
      <c r="G49" s="114">
        <v>7</v>
      </c>
      <c r="H49" s="115" t="s">
        <v>161</v>
      </c>
    </row>
    <row r="50" spans="1:8" ht="19.899999999999999" customHeight="1">
      <c r="A50" s="121">
        <v>46036</v>
      </c>
      <c r="B50" s="112" t="s">
        <v>359</v>
      </c>
      <c r="C50" s="113" t="s">
        <v>1249</v>
      </c>
      <c r="D50" s="112" t="s">
        <v>1239</v>
      </c>
      <c r="E50" s="122">
        <v>1.03125</v>
      </c>
      <c r="F50" s="112" t="s">
        <v>361</v>
      </c>
      <c r="G50" s="114">
        <v>9</v>
      </c>
      <c r="H50" s="115" t="s">
        <v>1260</v>
      </c>
    </row>
    <row r="51" spans="1:8" ht="19.899999999999999" customHeight="1">
      <c r="A51" s="123">
        <v>46036</v>
      </c>
      <c r="B51" s="124" t="s">
        <v>359</v>
      </c>
      <c r="C51" s="125" t="s">
        <v>1249</v>
      </c>
      <c r="D51" s="124" t="s">
        <v>1239</v>
      </c>
      <c r="E51" s="126">
        <v>1.03125</v>
      </c>
      <c r="F51" s="124" t="s">
        <v>46</v>
      </c>
      <c r="G51" s="127">
        <v>9</v>
      </c>
      <c r="H51" s="128" t="s">
        <v>1261</v>
      </c>
    </row>
    <row r="52" spans="1:8" ht="19.899999999999999" customHeight="1">
      <c r="A52" s="143"/>
      <c r="B52" s="144"/>
      <c r="C52" s="144"/>
      <c r="D52" s="144"/>
      <c r="E52" s="144"/>
      <c r="F52" s="145" t="s">
        <v>1284</v>
      </c>
      <c r="G52" s="144"/>
      <c r="H52" s="146"/>
    </row>
    <row r="53" spans="1:8" ht="19.899999999999999" customHeight="1">
      <c r="A53" s="121">
        <v>46037</v>
      </c>
      <c r="B53" s="112" t="s">
        <v>61</v>
      </c>
      <c r="C53" s="113" t="s">
        <v>1240</v>
      </c>
      <c r="D53" s="112" t="s">
        <v>1239</v>
      </c>
      <c r="E53" s="122">
        <v>1.802083333333333</v>
      </c>
      <c r="F53" s="112" t="s">
        <v>63</v>
      </c>
      <c r="G53" s="114">
        <v>2</v>
      </c>
      <c r="H53" s="115" t="s">
        <v>1262</v>
      </c>
    </row>
    <row r="54" spans="1:8" ht="19.899999999999999" customHeight="1">
      <c r="A54" s="123">
        <v>46037</v>
      </c>
      <c r="B54" s="124" t="s">
        <v>402</v>
      </c>
      <c r="C54" s="125" t="s">
        <v>1243</v>
      </c>
      <c r="D54" s="124" t="s">
        <v>1239</v>
      </c>
      <c r="E54" s="126">
        <v>1.7638888888888891</v>
      </c>
      <c r="F54" s="124" t="s">
        <v>63</v>
      </c>
      <c r="G54" s="127">
        <v>9</v>
      </c>
      <c r="H54" s="128" t="s">
        <v>1258</v>
      </c>
    </row>
    <row r="55" spans="1:8" ht="19.899999999999999" customHeight="1">
      <c r="A55" s="129">
        <v>46038</v>
      </c>
      <c r="B55" s="117" t="s">
        <v>61</v>
      </c>
      <c r="C55" s="118" t="s">
        <v>1277</v>
      </c>
      <c r="D55" s="117" t="s">
        <v>1276</v>
      </c>
      <c r="E55" s="130">
        <v>1.583333333333333</v>
      </c>
      <c r="F55" s="117" t="s">
        <v>63</v>
      </c>
      <c r="G55" s="119">
        <v>8</v>
      </c>
      <c r="H55" s="120" t="s">
        <v>503</v>
      </c>
    </row>
    <row r="56" spans="1:8" ht="19.899999999999999" customHeight="1">
      <c r="A56" s="143"/>
      <c r="B56" s="144"/>
      <c r="C56" s="144"/>
      <c r="D56" s="144"/>
      <c r="E56" s="144"/>
      <c r="F56" s="145" t="s">
        <v>1284</v>
      </c>
      <c r="G56" s="144"/>
      <c r="H56" s="146"/>
    </row>
    <row r="57" spans="1:8" ht="19.899999999999999" customHeight="1">
      <c r="A57" s="121">
        <v>46038</v>
      </c>
      <c r="B57" s="112" t="s">
        <v>359</v>
      </c>
      <c r="C57" s="113" t="s">
        <v>1244</v>
      </c>
      <c r="D57" s="112" t="s">
        <v>1239</v>
      </c>
      <c r="E57" s="122">
        <v>1.725694444444444</v>
      </c>
      <c r="F57" s="112" t="s">
        <v>361</v>
      </c>
      <c r="G57" s="114">
        <v>9</v>
      </c>
      <c r="H57" s="115" t="s">
        <v>1264</v>
      </c>
    </row>
    <row r="58" spans="1:8" ht="19.899999999999999" customHeight="1">
      <c r="A58" s="123">
        <v>46038</v>
      </c>
      <c r="B58" s="124" t="s">
        <v>359</v>
      </c>
      <c r="C58" s="125" t="s">
        <v>1244</v>
      </c>
      <c r="D58" s="124" t="s">
        <v>1239</v>
      </c>
      <c r="E58" s="126">
        <v>1.725694444444444</v>
      </c>
      <c r="F58" s="124" t="s">
        <v>46</v>
      </c>
      <c r="G58" s="127">
        <v>9</v>
      </c>
      <c r="H58" s="128" t="s">
        <v>1265</v>
      </c>
    </row>
    <row r="59" spans="1:8" ht="19.899999999999999" customHeight="1">
      <c r="A59" s="143"/>
      <c r="B59" s="144"/>
      <c r="C59" s="144"/>
      <c r="D59" s="144"/>
      <c r="E59" s="144"/>
      <c r="F59" s="145" t="s">
        <v>1284</v>
      </c>
      <c r="G59" s="144"/>
      <c r="H59" s="146"/>
    </row>
    <row r="60" spans="1:8" ht="19.899999999999999" customHeight="1">
      <c r="A60" s="121">
        <v>46039</v>
      </c>
      <c r="B60" s="112" t="s">
        <v>61</v>
      </c>
      <c r="C60" s="113" t="s">
        <v>1240</v>
      </c>
      <c r="D60" s="112" t="s">
        <v>1239</v>
      </c>
      <c r="E60" s="122">
        <v>1.802083333333333</v>
      </c>
      <c r="F60" s="112" t="s">
        <v>63</v>
      </c>
      <c r="G60" s="114">
        <v>2</v>
      </c>
      <c r="H60" s="115" t="s">
        <v>671</v>
      </c>
    </row>
    <row r="61" spans="1:8" ht="19.899999999999999" customHeight="1">
      <c r="A61" s="123">
        <v>46039</v>
      </c>
      <c r="B61" s="124" t="s">
        <v>402</v>
      </c>
      <c r="C61" s="125" t="s">
        <v>1248</v>
      </c>
      <c r="D61" s="124" t="s">
        <v>1239</v>
      </c>
      <c r="E61" s="126">
        <v>1.0034722222222221</v>
      </c>
      <c r="F61" s="124" t="s">
        <v>63</v>
      </c>
      <c r="G61" s="127">
        <v>8</v>
      </c>
      <c r="H61" s="128" t="s">
        <v>1258</v>
      </c>
    </row>
    <row r="62" spans="1:8" ht="19.899999999999999" customHeight="1">
      <c r="A62" s="143"/>
      <c r="B62" s="144"/>
      <c r="C62" s="144"/>
      <c r="D62" s="144"/>
      <c r="E62" s="144"/>
      <c r="F62" s="145" t="s">
        <v>1284</v>
      </c>
      <c r="G62" s="144"/>
      <c r="H62" s="146"/>
    </row>
    <row r="63" spans="1:8" ht="19.899999999999999" customHeight="1">
      <c r="A63" s="121">
        <v>46040</v>
      </c>
      <c r="B63" s="112" t="s">
        <v>359</v>
      </c>
      <c r="C63" s="113" t="s">
        <v>1244</v>
      </c>
      <c r="D63" s="112" t="s">
        <v>1239</v>
      </c>
      <c r="E63" s="122">
        <v>1.8090277777777779</v>
      </c>
      <c r="F63" s="112" t="s">
        <v>361</v>
      </c>
      <c r="G63" s="114">
        <v>9</v>
      </c>
      <c r="H63" s="115" t="s">
        <v>1267</v>
      </c>
    </row>
    <row r="64" spans="1:8" ht="19.899999999999999" customHeight="1">
      <c r="A64" s="121">
        <v>46040</v>
      </c>
      <c r="B64" s="112" t="s">
        <v>402</v>
      </c>
      <c r="C64" s="113" t="s">
        <v>1243</v>
      </c>
      <c r="D64" s="112" t="s">
        <v>1239</v>
      </c>
      <c r="E64" s="122">
        <v>1.71875</v>
      </c>
      <c r="F64" s="112" t="s">
        <v>63</v>
      </c>
      <c r="G64" s="114">
        <v>9</v>
      </c>
      <c r="H64" s="115" t="s">
        <v>1258</v>
      </c>
    </row>
    <row r="65" spans="1:8" ht="19.899999999999999" customHeight="1">
      <c r="A65" s="123">
        <v>46040</v>
      </c>
      <c r="B65" s="124" t="s">
        <v>359</v>
      </c>
      <c r="C65" s="125" t="s">
        <v>1244</v>
      </c>
      <c r="D65" s="124" t="s">
        <v>1239</v>
      </c>
      <c r="E65" s="126">
        <v>1.8090277777777779</v>
      </c>
      <c r="F65" s="124" t="s">
        <v>46</v>
      </c>
      <c r="G65" s="127">
        <v>9</v>
      </c>
      <c r="H65" s="128" t="s">
        <v>1268</v>
      </c>
    </row>
    <row r="66" spans="1:8" ht="19.899999999999999" customHeight="1">
      <c r="A66" s="143"/>
      <c r="B66" s="144"/>
      <c r="C66" s="144"/>
      <c r="D66" s="144"/>
      <c r="E66" s="144"/>
      <c r="F66" s="145" t="s">
        <v>1284</v>
      </c>
      <c r="G66" s="144"/>
      <c r="H66" s="146"/>
    </row>
    <row r="67" spans="1:8" ht="19.899999999999999" customHeight="1">
      <c r="A67" s="121">
        <v>46041</v>
      </c>
      <c r="B67" s="112" t="s">
        <v>359</v>
      </c>
      <c r="C67" s="113" t="s">
        <v>1249</v>
      </c>
      <c r="D67" s="112" t="s">
        <v>1239</v>
      </c>
      <c r="E67" s="122">
        <v>1.03125</v>
      </c>
      <c r="F67" s="112" t="s">
        <v>361</v>
      </c>
      <c r="G67" s="114">
        <v>9</v>
      </c>
      <c r="H67" s="115" t="s">
        <v>1260</v>
      </c>
    </row>
    <row r="68" spans="1:8" ht="19.899999999999999" customHeight="1">
      <c r="A68" s="123">
        <v>46041</v>
      </c>
      <c r="B68" s="124" t="s">
        <v>359</v>
      </c>
      <c r="C68" s="125" t="s">
        <v>1249</v>
      </c>
      <c r="D68" s="124" t="s">
        <v>1239</v>
      </c>
      <c r="E68" s="126">
        <v>1.03125</v>
      </c>
      <c r="F68" s="124" t="s">
        <v>46</v>
      </c>
      <c r="G68" s="127">
        <v>9</v>
      </c>
      <c r="H68" s="128" t="s">
        <v>1261</v>
      </c>
    </row>
    <row r="69" spans="1:8" ht="19.899999999999999" customHeight="1">
      <c r="A69" s="143"/>
      <c r="B69" s="144"/>
      <c r="C69" s="144"/>
      <c r="D69" s="144"/>
      <c r="E69" s="144"/>
      <c r="F69" s="145" t="s">
        <v>1284</v>
      </c>
      <c r="G69" s="144"/>
      <c r="H69" s="146"/>
    </row>
    <row r="70" spans="1:8" ht="19.899999999999999" customHeight="1">
      <c r="A70" s="121">
        <v>46042</v>
      </c>
      <c r="B70" s="112" t="s">
        <v>359</v>
      </c>
      <c r="C70" s="113" t="s">
        <v>1244</v>
      </c>
      <c r="D70" s="112" t="s">
        <v>1239</v>
      </c>
      <c r="E70" s="122">
        <v>1.104166666666667</v>
      </c>
      <c r="F70" s="112" t="s">
        <v>361</v>
      </c>
      <c r="G70" s="114">
        <v>9</v>
      </c>
      <c r="H70" s="115" t="s">
        <v>1250</v>
      </c>
    </row>
    <row r="71" spans="1:8" ht="19.899999999999999" customHeight="1">
      <c r="A71" s="121">
        <v>46042</v>
      </c>
      <c r="B71" s="112" t="s">
        <v>359</v>
      </c>
      <c r="C71" s="113" t="s">
        <v>1244</v>
      </c>
      <c r="D71" s="112" t="s">
        <v>1239</v>
      </c>
      <c r="E71" s="122">
        <v>1.104166666666667</v>
      </c>
      <c r="F71" s="112" t="s">
        <v>46</v>
      </c>
      <c r="G71" s="114">
        <v>9</v>
      </c>
      <c r="H71" s="115" t="s">
        <v>1251</v>
      </c>
    </row>
    <row r="72" spans="1:8" ht="19.899999999999999" customHeight="1">
      <c r="A72" s="123">
        <v>46042</v>
      </c>
      <c r="B72" s="124" t="s">
        <v>402</v>
      </c>
      <c r="C72" s="125" t="s">
        <v>1243</v>
      </c>
      <c r="D72" s="124" t="s">
        <v>1239</v>
      </c>
      <c r="E72" s="126">
        <v>1.7638888888888891</v>
      </c>
      <c r="F72" s="124" t="s">
        <v>63</v>
      </c>
      <c r="G72" s="127">
        <v>8</v>
      </c>
      <c r="H72" s="128" t="s">
        <v>1258</v>
      </c>
    </row>
    <row r="73" spans="1:8" ht="19.899999999999999" customHeight="1">
      <c r="A73" s="143"/>
      <c r="B73" s="144"/>
      <c r="C73" s="144"/>
      <c r="D73" s="144"/>
      <c r="E73" s="144"/>
      <c r="F73" s="145" t="s">
        <v>1284</v>
      </c>
      <c r="G73" s="144"/>
      <c r="H73" s="146"/>
    </row>
    <row r="74" spans="1:8" ht="19.899999999999999" customHeight="1">
      <c r="A74" s="121">
        <v>46043</v>
      </c>
      <c r="B74" s="112" t="s">
        <v>61</v>
      </c>
      <c r="C74" s="113" t="s">
        <v>1252</v>
      </c>
      <c r="D74" s="112" t="s">
        <v>1239</v>
      </c>
      <c r="E74" s="122">
        <v>1.84375</v>
      </c>
      <c r="F74" s="112" t="s">
        <v>63</v>
      </c>
      <c r="G74" s="114">
        <v>2</v>
      </c>
      <c r="H74" s="115" t="s">
        <v>161</v>
      </c>
    </row>
    <row r="75" spans="1:8" ht="19.899999999999999" customHeight="1">
      <c r="A75" s="121">
        <v>46043</v>
      </c>
      <c r="B75" s="112" t="s">
        <v>359</v>
      </c>
      <c r="C75" s="113" t="s">
        <v>1249</v>
      </c>
      <c r="D75" s="112" t="s">
        <v>1239</v>
      </c>
      <c r="E75" s="122">
        <v>1.03125</v>
      </c>
      <c r="F75" s="112" t="s">
        <v>361</v>
      </c>
      <c r="G75" s="114">
        <v>9</v>
      </c>
      <c r="H75" s="115" t="s">
        <v>1250</v>
      </c>
    </row>
    <row r="76" spans="1:8" ht="19.899999999999999" customHeight="1">
      <c r="A76" s="123">
        <v>46043</v>
      </c>
      <c r="B76" s="124" t="s">
        <v>359</v>
      </c>
      <c r="C76" s="125" t="s">
        <v>1249</v>
      </c>
      <c r="D76" s="124" t="s">
        <v>1239</v>
      </c>
      <c r="E76" s="126">
        <v>1.03125</v>
      </c>
      <c r="F76" s="124" t="s">
        <v>46</v>
      </c>
      <c r="G76" s="127">
        <v>9</v>
      </c>
      <c r="H76" s="128" t="s">
        <v>1251</v>
      </c>
    </row>
    <row r="77" spans="1:8" ht="19.899999999999999" customHeight="1">
      <c r="A77" s="143"/>
      <c r="B77" s="144"/>
      <c r="C77" s="144"/>
      <c r="D77" s="144"/>
      <c r="E77" s="144"/>
      <c r="F77" s="145" t="s">
        <v>1284</v>
      </c>
      <c r="G77" s="144"/>
      <c r="H77" s="146"/>
    </row>
    <row r="78" spans="1:8" ht="19.899999999999999" customHeight="1">
      <c r="A78" s="121">
        <v>46044</v>
      </c>
      <c r="B78" s="112" t="s">
        <v>61</v>
      </c>
      <c r="C78" s="113" t="s">
        <v>1240</v>
      </c>
      <c r="D78" s="112" t="s">
        <v>1239</v>
      </c>
      <c r="E78" s="122">
        <v>1.802083333333333</v>
      </c>
      <c r="F78" s="112" t="s">
        <v>63</v>
      </c>
      <c r="G78" s="114">
        <v>4</v>
      </c>
      <c r="H78" s="115" t="s">
        <v>876</v>
      </c>
    </row>
    <row r="79" spans="1:8" ht="19.899999999999999" customHeight="1">
      <c r="A79" s="123">
        <v>46044</v>
      </c>
      <c r="B79" s="124" t="s">
        <v>402</v>
      </c>
      <c r="C79" s="125" t="s">
        <v>1243</v>
      </c>
      <c r="D79" s="124" t="s">
        <v>1239</v>
      </c>
      <c r="E79" s="126">
        <v>1.7638888888888891</v>
      </c>
      <c r="F79" s="124" t="s">
        <v>63</v>
      </c>
      <c r="G79" s="127">
        <v>3</v>
      </c>
      <c r="H79" s="128" t="s">
        <v>1258</v>
      </c>
    </row>
    <row r="80" spans="1:8" ht="19.899999999999999" customHeight="1">
      <c r="A80" s="129">
        <v>46045</v>
      </c>
      <c r="B80" s="117" t="s">
        <v>61</v>
      </c>
      <c r="C80" s="118" t="s">
        <v>1277</v>
      </c>
      <c r="D80" s="117" t="s">
        <v>1276</v>
      </c>
      <c r="E80" s="130">
        <v>1.583333333333333</v>
      </c>
      <c r="F80" s="117" t="s">
        <v>63</v>
      </c>
      <c r="G80" s="119">
        <v>6</v>
      </c>
      <c r="H80" s="120" t="s">
        <v>1281</v>
      </c>
    </row>
    <row r="81" spans="1:8" ht="19.899999999999999" customHeight="1">
      <c r="A81" s="143"/>
      <c r="B81" s="144"/>
      <c r="C81" s="144"/>
      <c r="D81" s="144"/>
      <c r="E81" s="144"/>
      <c r="F81" s="145" t="s">
        <v>1284</v>
      </c>
      <c r="G81" s="144"/>
      <c r="H81" s="146"/>
    </row>
    <row r="82" spans="1:8" ht="19.899999999999999" customHeight="1">
      <c r="A82" s="121">
        <v>46045</v>
      </c>
      <c r="B82" s="112" t="s">
        <v>359</v>
      </c>
      <c r="C82" s="113" t="s">
        <v>1244</v>
      </c>
      <c r="D82" s="112" t="s">
        <v>1239</v>
      </c>
      <c r="E82" s="122">
        <v>1.725694444444444</v>
      </c>
      <c r="F82" s="112" t="s">
        <v>361</v>
      </c>
      <c r="G82" s="114">
        <v>9</v>
      </c>
      <c r="H82" s="115" t="s">
        <v>1245</v>
      </c>
    </row>
    <row r="83" spans="1:8" ht="19.899999999999999" customHeight="1">
      <c r="A83" s="123">
        <v>46045</v>
      </c>
      <c r="B83" s="124" t="s">
        <v>359</v>
      </c>
      <c r="C83" s="125" t="s">
        <v>1244</v>
      </c>
      <c r="D83" s="124" t="s">
        <v>1239</v>
      </c>
      <c r="E83" s="126">
        <v>1.725694444444444</v>
      </c>
      <c r="F83" s="124" t="s">
        <v>46</v>
      </c>
      <c r="G83" s="127">
        <v>9</v>
      </c>
      <c r="H83" s="128" t="s">
        <v>1246</v>
      </c>
    </row>
    <row r="84" spans="1:8" ht="19.899999999999999" customHeight="1">
      <c r="A84" s="143"/>
      <c r="B84" s="144"/>
      <c r="C84" s="144"/>
      <c r="D84" s="144"/>
      <c r="E84" s="144"/>
      <c r="F84" s="145" t="s">
        <v>1284</v>
      </c>
      <c r="G84" s="144"/>
      <c r="H84" s="146"/>
    </row>
    <row r="85" spans="1:8" ht="19.899999999999999" customHeight="1">
      <c r="A85" s="121">
        <v>46046</v>
      </c>
      <c r="B85" s="112" t="s">
        <v>61</v>
      </c>
      <c r="C85" s="113" t="s">
        <v>1240</v>
      </c>
      <c r="D85" s="112" t="s">
        <v>1239</v>
      </c>
      <c r="E85" s="122">
        <v>1.802083333333333</v>
      </c>
      <c r="F85" s="112" t="s">
        <v>63</v>
      </c>
      <c r="G85" s="114">
        <v>5</v>
      </c>
      <c r="H85" s="115" t="s">
        <v>876</v>
      </c>
    </row>
    <row r="86" spans="1:8" ht="19.899999999999999" customHeight="1">
      <c r="A86" s="123">
        <v>46046</v>
      </c>
      <c r="B86" s="124" t="s">
        <v>402</v>
      </c>
      <c r="C86" s="125" t="s">
        <v>1248</v>
      </c>
      <c r="D86" s="124" t="s">
        <v>1239</v>
      </c>
      <c r="E86" s="126">
        <v>1.0034722222222221</v>
      </c>
      <c r="F86" s="124" t="s">
        <v>63</v>
      </c>
      <c r="G86" s="127">
        <v>9</v>
      </c>
      <c r="H86" s="128" t="s">
        <v>1258</v>
      </c>
    </row>
    <row r="87" spans="1:8" ht="19.899999999999999" customHeight="1">
      <c r="A87" s="143"/>
      <c r="B87" s="144"/>
      <c r="C87" s="144"/>
      <c r="D87" s="144"/>
      <c r="E87" s="144"/>
      <c r="F87" s="145" t="s">
        <v>1284</v>
      </c>
      <c r="G87" s="144"/>
      <c r="H87" s="146"/>
    </row>
    <row r="88" spans="1:8" ht="19.899999999999999" customHeight="1">
      <c r="A88" s="121">
        <v>46047</v>
      </c>
      <c r="B88" s="112" t="s">
        <v>359</v>
      </c>
      <c r="C88" s="113" t="s">
        <v>1244</v>
      </c>
      <c r="D88" s="112" t="s">
        <v>1239</v>
      </c>
      <c r="E88" s="122">
        <v>1.8090277777777779</v>
      </c>
      <c r="F88" s="112" t="s">
        <v>361</v>
      </c>
      <c r="G88" s="114">
        <v>9</v>
      </c>
      <c r="H88" s="115" t="s">
        <v>1245</v>
      </c>
    </row>
    <row r="89" spans="1:8" ht="19.899999999999999" customHeight="1">
      <c r="A89" s="121">
        <v>46047</v>
      </c>
      <c r="B89" s="112" t="s">
        <v>359</v>
      </c>
      <c r="C89" s="113" t="s">
        <v>1244</v>
      </c>
      <c r="D89" s="112" t="s">
        <v>1239</v>
      </c>
      <c r="E89" s="122">
        <v>1.8090277777777779</v>
      </c>
      <c r="F89" s="112" t="s">
        <v>46</v>
      </c>
      <c r="G89" s="114">
        <v>9</v>
      </c>
      <c r="H89" s="115" t="s">
        <v>1246</v>
      </c>
    </row>
    <row r="90" spans="1:8" ht="19.899999999999999" customHeight="1">
      <c r="A90" s="123">
        <v>46047</v>
      </c>
      <c r="B90" s="124" t="s">
        <v>402</v>
      </c>
      <c r="C90" s="125" t="s">
        <v>1243</v>
      </c>
      <c r="D90" s="124" t="s">
        <v>1239</v>
      </c>
      <c r="E90" s="126">
        <v>1.71875</v>
      </c>
      <c r="F90" s="124" t="s">
        <v>63</v>
      </c>
      <c r="G90" s="127">
        <v>9</v>
      </c>
      <c r="H90" s="128" t="s">
        <v>1258</v>
      </c>
    </row>
    <row r="91" spans="1:8" ht="19.899999999999999" customHeight="1">
      <c r="A91" s="143"/>
      <c r="B91" s="144"/>
      <c r="C91" s="144"/>
      <c r="D91" s="144"/>
      <c r="E91" s="144"/>
      <c r="F91" s="145" t="s">
        <v>1284</v>
      </c>
      <c r="G91" s="144"/>
      <c r="H91" s="146"/>
    </row>
    <row r="92" spans="1:8" ht="19.899999999999999" customHeight="1">
      <c r="A92" s="121">
        <v>46048</v>
      </c>
      <c r="B92" s="112" t="s">
        <v>359</v>
      </c>
      <c r="C92" s="113" t="s">
        <v>1249</v>
      </c>
      <c r="D92" s="112" t="s">
        <v>1239</v>
      </c>
      <c r="E92" s="122">
        <v>1.03125</v>
      </c>
      <c r="F92" s="112" t="s">
        <v>361</v>
      </c>
      <c r="G92" s="114">
        <v>9</v>
      </c>
      <c r="H92" s="115" t="s">
        <v>1250</v>
      </c>
    </row>
    <row r="93" spans="1:8" ht="19.899999999999999" customHeight="1">
      <c r="A93" s="123">
        <v>46048</v>
      </c>
      <c r="B93" s="124" t="s">
        <v>359</v>
      </c>
      <c r="C93" s="125" t="s">
        <v>1249</v>
      </c>
      <c r="D93" s="124" t="s">
        <v>1239</v>
      </c>
      <c r="E93" s="126">
        <v>1.03125</v>
      </c>
      <c r="F93" s="124" t="s">
        <v>46</v>
      </c>
      <c r="G93" s="127">
        <v>9</v>
      </c>
      <c r="H93" s="128" t="s">
        <v>1251</v>
      </c>
    </row>
    <row r="94" spans="1:8" ht="19.899999999999999" customHeight="1">
      <c r="A94" s="143"/>
      <c r="B94" s="144"/>
      <c r="C94" s="144"/>
      <c r="D94" s="144"/>
      <c r="E94" s="144"/>
      <c r="F94" s="145" t="s">
        <v>1284</v>
      </c>
      <c r="G94" s="144"/>
      <c r="H94" s="146"/>
    </row>
    <row r="95" spans="1:8" ht="19.899999999999999" customHeight="1">
      <c r="A95" s="121">
        <v>46049</v>
      </c>
      <c r="B95" s="112" t="s">
        <v>359</v>
      </c>
      <c r="C95" s="113" t="s">
        <v>1244</v>
      </c>
      <c r="D95" s="112" t="s">
        <v>1239</v>
      </c>
      <c r="E95" s="122">
        <v>1.104166666666667</v>
      </c>
      <c r="F95" s="112" t="s">
        <v>361</v>
      </c>
      <c r="G95" s="114">
        <v>9</v>
      </c>
      <c r="H95" s="115" t="s">
        <v>1250</v>
      </c>
    </row>
    <row r="96" spans="1:8" ht="19.899999999999999" customHeight="1">
      <c r="A96" s="121">
        <v>46049</v>
      </c>
      <c r="B96" s="112" t="s">
        <v>359</v>
      </c>
      <c r="C96" s="113" t="s">
        <v>1244</v>
      </c>
      <c r="D96" s="112" t="s">
        <v>1239</v>
      </c>
      <c r="E96" s="122">
        <v>1.104166666666667</v>
      </c>
      <c r="F96" s="112" t="s">
        <v>46</v>
      </c>
      <c r="G96" s="114">
        <v>9</v>
      </c>
      <c r="H96" s="115" t="s">
        <v>1251</v>
      </c>
    </row>
    <row r="97" spans="1:8" ht="19.899999999999999" customHeight="1">
      <c r="A97" s="123">
        <v>46049</v>
      </c>
      <c r="B97" s="124" t="s">
        <v>402</v>
      </c>
      <c r="C97" s="125" t="s">
        <v>1243</v>
      </c>
      <c r="D97" s="124" t="s">
        <v>1239</v>
      </c>
      <c r="E97" s="126">
        <v>1.7638888888888891</v>
      </c>
      <c r="F97" s="124" t="s">
        <v>63</v>
      </c>
      <c r="G97" s="127">
        <v>9</v>
      </c>
      <c r="H97" s="128" t="s">
        <v>1258</v>
      </c>
    </row>
    <row r="98" spans="1:8" ht="19.899999999999999" customHeight="1">
      <c r="A98" s="143"/>
      <c r="B98" s="144"/>
      <c r="C98" s="144"/>
      <c r="D98" s="144"/>
      <c r="E98" s="144"/>
      <c r="F98" s="145" t="s">
        <v>1284</v>
      </c>
      <c r="G98" s="144"/>
      <c r="H98" s="146"/>
    </row>
    <row r="99" spans="1:8" ht="19.899999999999999" customHeight="1">
      <c r="A99" s="121">
        <v>46050</v>
      </c>
      <c r="B99" s="112" t="s">
        <v>61</v>
      </c>
      <c r="C99" s="113" t="s">
        <v>1252</v>
      </c>
      <c r="D99" s="112" t="s">
        <v>1239</v>
      </c>
      <c r="E99" s="122">
        <v>1.84375</v>
      </c>
      <c r="F99" s="112" t="s">
        <v>63</v>
      </c>
      <c r="G99" s="114">
        <v>4</v>
      </c>
      <c r="H99" s="115" t="s">
        <v>1255</v>
      </c>
    </row>
    <row r="100" spans="1:8" ht="19.899999999999999" customHeight="1">
      <c r="A100" s="121">
        <v>46050</v>
      </c>
      <c r="B100" s="112" t="s">
        <v>359</v>
      </c>
      <c r="C100" s="113" t="s">
        <v>1249</v>
      </c>
      <c r="D100" s="112" t="s">
        <v>1239</v>
      </c>
      <c r="E100" s="122">
        <v>1.03125</v>
      </c>
      <c r="F100" s="112" t="s">
        <v>361</v>
      </c>
      <c r="G100" s="114">
        <v>9</v>
      </c>
      <c r="H100" s="115" t="s">
        <v>1250</v>
      </c>
    </row>
    <row r="101" spans="1:8" ht="19.899999999999999" customHeight="1">
      <c r="A101" s="123">
        <v>46050</v>
      </c>
      <c r="B101" s="124" t="s">
        <v>359</v>
      </c>
      <c r="C101" s="125" t="s">
        <v>1249</v>
      </c>
      <c r="D101" s="124" t="s">
        <v>1239</v>
      </c>
      <c r="E101" s="126">
        <v>1.03125</v>
      </c>
      <c r="F101" s="124" t="s">
        <v>46</v>
      </c>
      <c r="G101" s="127">
        <v>9</v>
      </c>
      <c r="H101" s="128" t="s">
        <v>1251</v>
      </c>
    </row>
    <row r="102" spans="1:8" ht="19.899999999999999" customHeight="1">
      <c r="A102" s="143"/>
      <c r="B102" s="144"/>
      <c r="C102" s="144"/>
      <c r="D102" s="144"/>
      <c r="E102" s="144"/>
      <c r="F102" s="145" t="s">
        <v>1284</v>
      </c>
      <c r="G102" s="144"/>
      <c r="H102" s="146"/>
    </row>
    <row r="103" spans="1:8" ht="19.899999999999999" customHeight="1">
      <c r="A103" s="121">
        <v>46051</v>
      </c>
      <c r="B103" s="112" t="s">
        <v>61</v>
      </c>
      <c r="C103" s="113" t="s">
        <v>1240</v>
      </c>
      <c r="D103" s="112" t="s">
        <v>1239</v>
      </c>
      <c r="E103" s="122">
        <v>1.802083333333333</v>
      </c>
      <c r="F103" s="112" t="s">
        <v>63</v>
      </c>
      <c r="G103" s="114">
        <v>5</v>
      </c>
      <c r="H103" s="115" t="s">
        <v>1255</v>
      </c>
    </row>
    <row r="104" spans="1:8" ht="19.899999999999999" customHeight="1">
      <c r="A104" s="123">
        <v>46051</v>
      </c>
      <c r="B104" s="124" t="s">
        <v>402</v>
      </c>
      <c r="C104" s="125" t="s">
        <v>1243</v>
      </c>
      <c r="D104" s="124" t="s">
        <v>1239</v>
      </c>
      <c r="E104" s="126">
        <v>1.7638888888888891</v>
      </c>
      <c r="F104" s="124" t="s">
        <v>63</v>
      </c>
      <c r="G104" s="127">
        <v>9</v>
      </c>
      <c r="H104" s="128" t="s">
        <v>1258</v>
      </c>
    </row>
    <row r="105" spans="1:8" ht="19.899999999999999" customHeight="1">
      <c r="A105" s="129">
        <v>46052</v>
      </c>
      <c r="B105" s="117" t="s">
        <v>61</v>
      </c>
      <c r="C105" s="118" t="s">
        <v>1277</v>
      </c>
      <c r="D105" s="117" t="s">
        <v>1276</v>
      </c>
      <c r="E105" s="130">
        <v>1.583333333333333</v>
      </c>
      <c r="F105" s="117" t="s">
        <v>63</v>
      </c>
      <c r="G105" s="119">
        <v>5</v>
      </c>
      <c r="H105" s="120" t="s">
        <v>892</v>
      </c>
    </row>
    <row r="106" spans="1:8" ht="19.899999999999999" customHeight="1">
      <c r="A106" s="143"/>
      <c r="B106" s="144"/>
      <c r="C106" s="144"/>
      <c r="D106" s="144"/>
      <c r="E106" s="144"/>
      <c r="F106" s="145" t="s">
        <v>1284</v>
      </c>
      <c r="G106" s="144"/>
      <c r="H106" s="146"/>
    </row>
    <row r="107" spans="1:8" ht="19.899999999999999" customHeight="1">
      <c r="A107" s="121">
        <v>46052</v>
      </c>
      <c r="B107" s="112" t="s">
        <v>359</v>
      </c>
      <c r="C107" s="113" t="s">
        <v>1244</v>
      </c>
      <c r="D107" s="112" t="s">
        <v>1239</v>
      </c>
      <c r="E107" s="122">
        <v>1.725694444444444</v>
      </c>
      <c r="F107" s="112" t="s">
        <v>361</v>
      </c>
      <c r="G107" s="114">
        <v>9</v>
      </c>
      <c r="H107" s="115" t="s">
        <v>1245</v>
      </c>
    </row>
    <row r="108" spans="1:8" ht="19.899999999999999" customHeight="1">
      <c r="A108" s="123">
        <v>46052</v>
      </c>
      <c r="B108" s="124" t="s">
        <v>359</v>
      </c>
      <c r="C108" s="125" t="s">
        <v>1244</v>
      </c>
      <c r="D108" s="124" t="s">
        <v>1239</v>
      </c>
      <c r="E108" s="126">
        <v>1.725694444444444</v>
      </c>
      <c r="F108" s="124" t="s">
        <v>46</v>
      </c>
      <c r="G108" s="127">
        <v>9</v>
      </c>
      <c r="H108" s="128" t="s">
        <v>1246</v>
      </c>
    </row>
    <row r="109" spans="1:8" ht="19.899999999999999" customHeight="1">
      <c r="A109" s="143"/>
      <c r="B109" s="144"/>
      <c r="C109" s="144"/>
      <c r="D109" s="144"/>
      <c r="E109" s="144"/>
      <c r="F109" s="145" t="s">
        <v>1284</v>
      </c>
      <c r="G109" s="144"/>
      <c r="H109" s="146"/>
    </row>
    <row r="110" spans="1:8" ht="19.899999999999999" customHeight="1">
      <c r="A110" s="121">
        <v>46053</v>
      </c>
      <c r="B110" s="112" t="s">
        <v>61</v>
      </c>
      <c r="C110" s="113" t="s">
        <v>1240</v>
      </c>
      <c r="D110" s="112" t="s">
        <v>1239</v>
      </c>
      <c r="E110" s="122">
        <v>1.802083333333333</v>
      </c>
      <c r="F110" s="112" t="s">
        <v>63</v>
      </c>
      <c r="G110" s="114">
        <v>3</v>
      </c>
      <c r="H110" s="115" t="s">
        <v>907</v>
      </c>
    </row>
    <row r="111" spans="1:8" ht="19.899999999999999" customHeight="1">
      <c r="A111" s="123">
        <v>46053</v>
      </c>
      <c r="B111" s="124" t="s">
        <v>402</v>
      </c>
      <c r="C111" s="125" t="s">
        <v>1248</v>
      </c>
      <c r="D111" s="124" t="s">
        <v>1239</v>
      </c>
      <c r="E111" s="126">
        <v>1.0034722222222221</v>
      </c>
      <c r="F111" s="124" t="s">
        <v>63</v>
      </c>
      <c r="G111" s="127">
        <v>9</v>
      </c>
      <c r="H111" s="128" t="s">
        <v>1258</v>
      </c>
    </row>
  </sheetData>
  <pageMargins left="0.75" right="0.75" top="1" bottom="1" header="0.5" footer="0.5"/>
  <legacyDrawing r:id="rId1"/>
  <tableParts count="1">
    <tablePart r:id="rId2"/>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N232"/>
  <sheetViews>
    <sheetView workbookViewId="0"/>
  </sheetViews>
  <sheetFormatPr defaultRowHeight="14.45"/>
  <cols>
    <col min="1" max="1" width="17.28515625" bestFit="1" customWidth="1"/>
    <col min="2" max="2" width="15.7109375" bestFit="1" customWidth="1"/>
    <col min="3" max="3" width="14.7109375" bestFit="1" customWidth="1"/>
    <col min="4" max="4" width="32.85546875" bestFit="1" customWidth="1"/>
    <col min="5" max="5" width="18.5703125" bestFit="1" customWidth="1"/>
    <col min="6" max="6" width="23.42578125" bestFit="1" customWidth="1"/>
    <col min="7" max="7" width="45.140625" bestFit="1" customWidth="1"/>
    <col min="8" max="8" width="9.42578125" bestFit="1" customWidth="1"/>
    <col min="9" max="9" width="6.710937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22.7109375" bestFit="1" customWidth="1"/>
  </cols>
  <sheetData>
    <row r="1" spans="1:92" ht="28.9" customHeight="1">
      <c r="A1" s="291" t="s">
        <v>0</v>
      </c>
      <c r="B1" s="294"/>
      <c r="C1" s="294"/>
      <c r="D1" s="294"/>
      <c r="E1" s="294"/>
      <c r="F1" s="1" t="s">
        <v>1286</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45980.610609838077</v>
      </c>
      <c r="H2" s="294"/>
      <c r="I2" s="294"/>
      <c r="J2" s="294"/>
      <c r="K2" s="287">
        <v>45980.610609838433</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46023</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98" t="s">
        <v>61</v>
      </c>
      <c r="B6" s="98" t="s">
        <v>1287</v>
      </c>
      <c r="C6" s="99">
        <v>0.63194444444444442</v>
      </c>
      <c r="D6" s="98" t="s">
        <v>63</v>
      </c>
      <c r="E6" s="98" t="s">
        <v>107</v>
      </c>
      <c r="F6" s="98" t="s">
        <v>1288</v>
      </c>
      <c r="G6" s="297"/>
      <c r="H6" s="100" t="s">
        <v>1289</v>
      </c>
      <c r="I6" s="101">
        <v>5.0299999999999997E-2</v>
      </c>
      <c r="J6" s="102">
        <v>9</v>
      </c>
      <c r="K6" s="103">
        <v>46343</v>
      </c>
      <c r="L6" s="102">
        <v>9</v>
      </c>
      <c r="M6" s="102">
        <v>0</v>
      </c>
      <c r="N6" s="102">
        <v>0</v>
      </c>
      <c r="O6" s="104" t="s">
        <v>918</v>
      </c>
      <c r="P6" s="105">
        <v>0.63194444444444442</v>
      </c>
      <c r="Q6" s="102">
        <v>179</v>
      </c>
      <c r="R6" s="106" t="s">
        <v>1290</v>
      </c>
    </row>
    <row r="7" spans="1:92" ht="15" customHeight="1">
      <c r="A7" s="19" t="s">
        <v>359</v>
      </c>
      <c r="B7" s="19" t="s">
        <v>1291</v>
      </c>
      <c r="C7" s="20">
        <v>0.76736111111111116</v>
      </c>
      <c r="D7" s="19" t="s">
        <v>361</v>
      </c>
      <c r="E7" s="19" t="s">
        <v>80</v>
      </c>
      <c r="F7" s="19" t="s">
        <v>1292</v>
      </c>
      <c r="G7" s="298"/>
      <c r="H7" s="10"/>
      <c r="I7" s="11"/>
      <c r="J7" s="11"/>
      <c r="K7" s="11"/>
      <c r="L7" s="11"/>
      <c r="M7" s="11"/>
      <c r="N7" s="11"/>
      <c r="O7" s="12"/>
      <c r="P7" s="11"/>
      <c r="Q7" s="13"/>
      <c r="R7" s="14"/>
    </row>
    <row r="8" spans="1:92" ht="15" customHeight="1">
      <c r="A8" s="15" t="s">
        <v>359</v>
      </c>
      <c r="B8" s="15" t="s">
        <v>1291</v>
      </c>
      <c r="C8" s="16">
        <v>0.76736111111111116</v>
      </c>
      <c r="D8" s="15" t="s">
        <v>46</v>
      </c>
      <c r="E8" s="15" t="s">
        <v>82</v>
      </c>
      <c r="F8" s="15" t="s">
        <v>1293</v>
      </c>
      <c r="G8" s="298"/>
      <c r="H8" s="10"/>
      <c r="I8" s="11"/>
      <c r="J8" s="11"/>
      <c r="K8" s="11"/>
      <c r="L8" s="11"/>
      <c r="M8" s="11"/>
      <c r="N8" s="11"/>
      <c r="O8" s="12"/>
      <c r="P8" s="11"/>
      <c r="Q8" s="13"/>
      <c r="R8" s="14"/>
    </row>
    <row r="9" spans="1:92" ht="15" customHeight="1">
      <c r="A9" s="19" t="s">
        <v>402</v>
      </c>
      <c r="B9" s="19" t="s">
        <v>1294</v>
      </c>
      <c r="C9" s="20">
        <v>0.48958333333333331</v>
      </c>
      <c r="D9" s="19" t="s">
        <v>63</v>
      </c>
      <c r="E9" s="19" t="s">
        <v>51</v>
      </c>
      <c r="F9" s="19" t="s">
        <v>1146</v>
      </c>
      <c r="G9" s="298"/>
      <c r="H9" s="10"/>
      <c r="I9" s="11"/>
      <c r="J9" s="11"/>
      <c r="K9" s="11"/>
      <c r="L9" s="11"/>
      <c r="M9" s="11"/>
      <c r="N9" s="11"/>
      <c r="O9" s="12"/>
      <c r="P9" s="11"/>
      <c r="Q9" s="13"/>
      <c r="R9" s="14"/>
    </row>
    <row r="10" spans="1:92" ht="15" customHeight="1">
      <c r="A10" s="19" t="s">
        <v>68</v>
      </c>
      <c r="B10" s="19" t="s">
        <v>1295</v>
      </c>
      <c r="C10" s="20">
        <v>0.86805555555555547</v>
      </c>
      <c r="D10" s="19" t="s">
        <v>643</v>
      </c>
      <c r="E10" s="19" t="s">
        <v>51</v>
      </c>
      <c r="F10" s="19" t="s">
        <v>1296</v>
      </c>
      <c r="G10" s="298"/>
      <c r="H10" s="10"/>
      <c r="I10" s="11"/>
      <c r="J10" s="11"/>
      <c r="K10" s="11"/>
      <c r="L10" s="11"/>
      <c r="M10" s="11"/>
      <c r="N10" s="11"/>
      <c r="O10" s="12"/>
      <c r="P10" s="11"/>
      <c r="Q10" s="13"/>
      <c r="R10" s="14"/>
    </row>
    <row r="11" spans="1:92" ht="15" customHeight="1" thickBot="1">
      <c r="A11" s="96" t="s">
        <v>415</v>
      </c>
      <c r="B11" s="96" t="s">
        <v>1297</v>
      </c>
      <c r="C11" s="97">
        <v>0.4548611111111111</v>
      </c>
      <c r="D11" s="96" t="s">
        <v>63</v>
      </c>
      <c r="E11" s="96" t="s">
        <v>103</v>
      </c>
      <c r="F11" s="96" t="s">
        <v>1298</v>
      </c>
      <c r="G11" s="299"/>
      <c r="H11" s="300"/>
      <c r="I11" s="140"/>
      <c r="J11" s="140"/>
      <c r="K11" s="140"/>
      <c r="L11" s="140"/>
      <c r="M11" s="140"/>
      <c r="N11" s="140"/>
      <c r="O11" s="141"/>
      <c r="P11" s="140"/>
      <c r="Q11" s="142"/>
      <c r="R11" s="301"/>
    </row>
    <row r="12" spans="1:92" ht="17.45" customHeight="1" thickBot="1">
      <c r="A12" s="283"/>
      <c r="B12" s="284"/>
      <c r="C12" s="284"/>
      <c r="D12" s="284"/>
      <c r="E12" s="284"/>
      <c r="F12" s="284"/>
      <c r="G12" s="284"/>
      <c r="H12" s="284"/>
      <c r="I12" s="284"/>
      <c r="J12" s="284"/>
      <c r="K12" s="284"/>
      <c r="L12" s="284"/>
      <c r="M12" s="284"/>
      <c r="N12" s="284"/>
      <c r="O12" s="284"/>
      <c r="P12" s="284"/>
      <c r="Q12" s="284"/>
      <c r="R12" s="285"/>
    </row>
    <row r="13" spans="1:92" ht="22.15" customHeight="1" thickTop="1" thickBot="1">
      <c r="A13" s="279" t="s">
        <v>6</v>
      </c>
      <c r="B13" s="295"/>
      <c r="C13" s="295"/>
      <c r="D13" s="295"/>
      <c r="E13" s="295"/>
      <c r="F13" s="296"/>
      <c r="G13" s="32">
        <v>46024</v>
      </c>
      <c r="H13" s="278" t="s">
        <v>7</v>
      </c>
      <c r="I13" s="295"/>
      <c r="J13" s="295"/>
      <c r="K13" s="295"/>
      <c r="L13" s="295"/>
      <c r="M13" s="295"/>
      <c r="N13" s="295"/>
      <c r="O13" s="295"/>
      <c r="P13" s="295"/>
      <c r="Q13" s="295"/>
      <c r="R13" s="296"/>
    </row>
    <row r="14" spans="1:92" ht="24" customHeight="1">
      <c r="A14" s="33" t="s">
        <v>8</v>
      </c>
      <c r="B14" s="33" t="s">
        <v>9</v>
      </c>
      <c r="C14" s="34" t="s">
        <v>10</v>
      </c>
      <c r="D14" s="33" t="s">
        <v>11</v>
      </c>
      <c r="E14" s="33" t="s">
        <v>12</v>
      </c>
      <c r="F14" s="35" t="s">
        <v>13</v>
      </c>
      <c r="G14" s="36" t="s">
        <v>14</v>
      </c>
      <c r="H14" s="33" t="s">
        <v>15</v>
      </c>
      <c r="I14" s="37" t="s">
        <v>16</v>
      </c>
      <c r="J14" s="38" t="s">
        <v>17</v>
      </c>
      <c r="K14" s="39" t="s">
        <v>18</v>
      </c>
      <c r="L14" s="38" t="s">
        <v>19</v>
      </c>
      <c r="M14" s="38" t="s">
        <v>20</v>
      </c>
      <c r="N14" s="38" t="s">
        <v>21</v>
      </c>
      <c r="O14" s="33" t="s">
        <v>22</v>
      </c>
      <c r="P14" s="34" t="s">
        <v>23</v>
      </c>
      <c r="Q14" s="38" t="s">
        <v>24</v>
      </c>
      <c r="R14" s="33" t="s">
        <v>25</v>
      </c>
    </row>
    <row r="15" spans="1:92" ht="49.9" customHeight="1">
      <c r="A15" s="87" t="s">
        <v>61</v>
      </c>
      <c r="B15" s="87" t="s">
        <v>1287</v>
      </c>
      <c r="C15" s="88">
        <v>0.82986111111111116</v>
      </c>
      <c r="D15" s="87" t="s">
        <v>63</v>
      </c>
      <c r="E15" s="87" t="s">
        <v>51</v>
      </c>
      <c r="F15" s="87" t="s">
        <v>1288</v>
      </c>
      <c r="G15" s="297"/>
      <c r="H15" s="89" t="s">
        <v>1289</v>
      </c>
      <c r="I15" s="90">
        <v>3.9100000000000003E-2</v>
      </c>
      <c r="J15" s="91">
        <v>7</v>
      </c>
      <c r="K15" s="92">
        <v>46344</v>
      </c>
      <c r="L15" s="91">
        <v>7</v>
      </c>
      <c r="M15" s="91">
        <v>0</v>
      </c>
      <c r="N15" s="91">
        <v>0</v>
      </c>
      <c r="O15" s="93" t="s">
        <v>877</v>
      </c>
      <c r="P15" s="94">
        <v>0.82986111111111116</v>
      </c>
      <c r="Q15" s="91">
        <v>179</v>
      </c>
      <c r="R15" s="95" t="s">
        <v>1132</v>
      </c>
    </row>
    <row r="16" spans="1:92" ht="49.9" customHeight="1">
      <c r="A16" s="19" t="s">
        <v>402</v>
      </c>
      <c r="B16" s="19" t="s">
        <v>1294</v>
      </c>
      <c r="C16" s="20">
        <v>0.48958333333333331</v>
      </c>
      <c r="D16" s="19" t="s">
        <v>63</v>
      </c>
      <c r="E16" s="19" t="s">
        <v>103</v>
      </c>
      <c r="F16" s="19" t="s">
        <v>1146</v>
      </c>
      <c r="G16" s="298"/>
      <c r="H16" s="10"/>
      <c r="I16" s="11"/>
      <c r="J16" s="11"/>
      <c r="K16" s="11"/>
      <c r="L16" s="11"/>
      <c r="M16" s="11"/>
      <c r="N16" s="11"/>
      <c r="O16" s="12"/>
      <c r="P16" s="11"/>
      <c r="Q16" s="13"/>
      <c r="R16" s="14"/>
    </row>
    <row r="17" spans="1:18" ht="49.9" customHeight="1" thickBot="1">
      <c r="A17" s="96" t="s">
        <v>68</v>
      </c>
      <c r="B17" s="96" t="s">
        <v>1295</v>
      </c>
      <c r="C17" s="97">
        <v>0.86805555555555547</v>
      </c>
      <c r="D17" s="96" t="s">
        <v>643</v>
      </c>
      <c r="E17" s="96" t="s">
        <v>51</v>
      </c>
      <c r="F17" s="96" t="s">
        <v>1296</v>
      </c>
      <c r="G17" s="299"/>
      <c r="H17" s="300"/>
      <c r="I17" s="140"/>
      <c r="J17" s="140"/>
      <c r="K17" s="140"/>
      <c r="L17" s="140"/>
      <c r="M17" s="140"/>
      <c r="N17" s="140"/>
      <c r="O17" s="141"/>
      <c r="P17" s="140"/>
      <c r="Q17" s="142"/>
      <c r="R17" s="301"/>
    </row>
    <row r="18" spans="1:18" ht="17.45" customHeight="1" thickBot="1">
      <c r="A18" s="283"/>
      <c r="B18" s="284"/>
      <c r="C18" s="284"/>
      <c r="D18" s="284"/>
      <c r="E18" s="284"/>
      <c r="F18" s="284"/>
      <c r="G18" s="284"/>
      <c r="H18" s="284"/>
      <c r="I18" s="284"/>
      <c r="J18" s="284"/>
      <c r="K18" s="284"/>
      <c r="L18" s="284"/>
      <c r="M18" s="284"/>
      <c r="N18" s="284"/>
      <c r="O18" s="284"/>
      <c r="P18" s="284"/>
      <c r="Q18" s="284"/>
      <c r="R18" s="285"/>
    </row>
    <row r="19" spans="1:18" ht="22.15" customHeight="1" thickTop="1" thickBot="1">
      <c r="A19" s="279" t="s">
        <v>6</v>
      </c>
      <c r="B19" s="295"/>
      <c r="C19" s="295"/>
      <c r="D19" s="295"/>
      <c r="E19" s="295"/>
      <c r="F19" s="296"/>
      <c r="G19" s="32">
        <v>46025</v>
      </c>
      <c r="H19" s="278" t="s">
        <v>7</v>
      </c>
      <c r="I19" s="295"/>
      <c r="J19" s="295"/>
      <c r="K19" s="295"/>
      <c r="L19" s="295"/>
      <c r="M19" s="295"/>
      <c r="N19" s="295"/>
      <c r="O19" s="295"/>
      <c r="P19" s="295"/>
      <c r="Q19" s="295"/>
      <c r="R19" s="296"/>
    </row>
    <row r="20" spans="1:18" ht="24" customHeight="1">
      <c r="A20" s="33" t="s">
        <v>8</v>
      </c>
      <c r="B20" s="33" t="s">
        <v>9</v>
      </c>
      <c r="C20" s="34" t="s">
        <v>10</v>
      </c>
      <c r="D20" s="33" t="s">
        <v>11</v>
      </c>
      <c r="E20" s="33" t="s">
        <v>12</v>
      </c>
      <c r="F20" s="35" t="s">
        <v>13</v>
      </c>
      <c r="G20" s="36" t="s">
        <v>14</v>
      </c>
      <c r="H20" s="33" t="s">
        <v>15</v>
      </c>
      <c r="I20" s="37" t="s">
        <v>16</v>
      </c>
      <c r="J20" s="38" t="s">
        <v>17</v>
      </c>
      <c r="K20" s="39" t="s">
        <v>18</v>
      </c>
      <c r="L20" s="38" t="s">
        <v>19</v>
      </c>
      <c r="M20" s="38" t="s">
        <v>20</v>
      </c>
      <c r="N20" s="38" t="s">
        <v>21</v>
      </c>
      <c r="O20" s="33" t="s">
        <v>22</v>
      </c>
      <c r="P20" s="34" t="s">
        <v>23</v>
      </c>
      <c r="Q20" s="38" t="s">
        <v>24</v>
      </c>
      <c r="R20" s="33" t="s">
        <v>25</v>
      </c>
    </row>
    <row r="21" spans="1:18" ht="49.9" customHeight="1">
      <c r="A21" s="8" t="s">
        <v>359</v>
      </c>
      <c r="B21" s="8" t="s">
        <v>1291</v>
      </c>
      <c r="C21" s="9">
        <v>0.76736111111111116</v>
      </c>
      <c r="D21" s="8" t="s">
        <v>361</v>
      </c>
      <c r="E21" s="8" t="s">
        <v>80</v>
      </c>
      <c r="F21" s="8" t="s">
        <v>493</v>
      </c>
      <c r="G21" s="297"/>
      <c r="H21" s="10"/>
      <c r="I21" s="11"/>
      <c r="J21" s="11"/>
      <c r="K21" s="11"/>
      <c r="L21" s="11"/>
      <c r="M21" s="11"/>
      <c r="N21" s="11"/>
      <c r="O21" s="12"/>
      <c r="P21" s="11"/>
      <c r="Q21" s="13"/>
      <c r="R21" s="14"/>
    </row>
    <row r="22" spans="1:18" ht="49.9" customHeight="1">
      <c r="A22" s="15" t="s">
        <v>359</v>
      </c>
      <c r="B22" s="15" t="s">
        <v>1291</v>
      </c>
      <c r="C22" s="16">
        <v>0.76736111111111116</v>
      </c>
      <c r="D22" s="15" t="s">
        <v>46</v>
      </c>
      <c r="E22" s="15" t="s">
        <v>82</v>
      </c>
      <c r="F22" s="15" t="s">
        <v>1299</v>
      </c>
      <c r="G22" s="298"/>
      <c r="H22" s="10"/>
      <c r="I22" s="11"/>
      <c r="J22" s="11"/>
      <c r="K22" s="11"/>
      <c r="L22" s="11"/>
      <c r="M22" s="11"/>
      <c r="N22" s="11"/>
      <c r="O22" s="12"/>
      <c r="P22" s="11"/>
      <c r="Q22" s="13"/>
      <c r="R22" s="14"/>
    </row>
    <row r="23" spans="1:18" ht="49.9" customHeight="1">
      <c r="A23" s="19" t="s">
        <v>402</v>
      </c>
      <c r="B23" s="19" t="s">
        <v>1300</v>
      </c>
      <c r="C23" s="20">
        <v>0.8125</v>
      </c>
      <c r="D23" s="19" t="s">
        <v>63</v>
      </c>
      <c r="E23" s="19" t="s">
        <v>29</v>
      </c>
      <c r="F23" s="19" t="s">
        <v>1146</v>
      </c>
      <c r="G23" s="298"/>
      <c r="H23" s="10"/>
      <c r="I23" s="11"/>
      <c r="J23" s="11"/>
      <c r="K23" s="11"/>
      <c r="L23" s="11"/>
      <c r="M23" s="11"/>
      <c r="N23" s="11"/>
      <c r="O23" s="12"/>
      <c r="P23" s="11"/>
      <c r="Q23" s="13"/>
      <c r="R23" s="14"/>
    </row>
    <row r="24" spans="1:18" ht="49.9" customHeight="1" thickBot="1">
      <c r="A24" s="96" t="s">
        <v>68</v>
      </c>
      <c r="B24" s="96" t="s">
        <v>1295</v>
      </c>
      <c r="C24" s="97">
        <v>0.86805555555555547</v>
      </c>
      <c r="D24" s="96" t="s">
        <v>643</v>
      </c>
      <c r="E24" s="96" t="s">
        <v>51</v>
      </c>
      <c r="F24" s="96" t="s">
        <v>1296</v>
      </c>
      <c r="G24" s="299"/>
      <c r="H24" s="300"/>
      <c r="I24" s="140"/>
      <c r="J24" s="140"/>
      <c r="K24" s="140"/>
      <c r="L24" s="140"/>
      <c r="M24" s="140"/>
      <c r="N24" s="140"/>
      <c r="O24" s="141"/>
      <c r="P24" s="140"/>
      <c r="Q24" s="142"/>
      <c r="R24" s="301"/>
    </row>
    <row r="25" spans="1:18" ht="17.45" customHeight="1" thickBot="1">
      <c r="A25" s="283"/>
      <c r="B25" s="284"/>
      <c r="C25" s="284"/>
      <c r="D25" s="284"/>
      <c r="E25" s="284"/>
      <c r="F25" s="284"/>
      <c r="G25" s="284"/>
      <c r="H25" s="284"/>
      <c r="I25" s="284"/>
      <c r="J25" s="284"/>
      <c r="K25" s="284"/>
      <c r="L25" s="284"/>
      <c r="M25" s="284"/>
      <c r="N25" s="284"/>
      <c r="O25" s="284"/>
      <c r="P25" s="284"/>
      <c r="Q25" s="284"/>
      <c r="R25" s="285"/>
    </row>
    <row r="26" spans="1:18" ht="22.15" customHeight="1" thickTop="1" thickBot="1">
      <c r="A26" s="279" t="s">
        <v>6</v>
      </c>
      <c r="B26" s="295"/>
      <c r="C26" s="295"/>
      <c r="D26" s="295"/>
      <c r="E26" s="295"/>
      <c r="F26" s="296"/>
      <c r="G26" s="32">
        <v>46026</v>
      </c>
      <c r="H26" s="278" t="s">
        <v>7</v>
      </c>
      <c r="I26" s="295"/>
      <c r="J26" s="295"/>
      <c r="K26" s="295"/>
      <c r="L26" s="295"/>
      <c r="M26" s="295"/>
      <c r="N26" s="295"/>
      <c r="O26" s="295"/>
      <c r="P26" s="295"/>
      <c r="Q26" s="295"/>
      <c r="R26" s="296"/>
    </row>
    <row r="27" spans="1:18" ht="24" customHeight="1">
      <c r="A27" s="33" t="s">
        <v>8</v>
      </c>
      <c r="B27" s="33" t="s">
        <v>9</v>
      </c>
      <c r="C27" s="34" t="s">
        <v>10</v>
      </c>
      <c r="D27" s="33" t="s">
        <v>11</v>
      </c>
      <c r="E27" s="33" t="s">
        <v>12</v>
      </c>
      <c r="F27" s="35" t="s">
        <v>13</v>
      </c>
      <c r="G27" s="36" t="s">
        <v>14</v>
      </c>
      <c r="H27" s="33" t="s">
        <v>15</v>
      </c>
      <c r="I27" s="37" t="s">
        <v>16</v>
      </c>
      <c r="J27" s="38" t="s">
        <v>17</v>
      </c>
      <c r="K27" s="39" t="s">
        <v>18</v>
      </c>
      <c r="L27" s="38" t="s">
        <v>19</v>
      </c>
      <c r="M27" s="38" t="s">
        <v>20</v>
      </c>
      <c r="N27" s="38" t="s">
        <v>21</v>
      </c>
      <c r="O27" s="33" t="s">
        <v>22</v>
      </c>
      <c r="P27" s="34" t="s">
        <v>23</v>
      </c>
      <c r="Q27" s="38" t="s">
        <v>24</v>
      </c>
      <c r="R27" s="33" t="s">
        <v>25</v>
      </c>
    </row>
    <row r="28" spans="1:18" ht="49.9" customHeight="1">
      <c r="A28" s="8" t="s">
        <v>402</v>
      </c>
      <c r="B28" s="8" t="s">
        <v>1294</v>
      </c>
      <c r="C28" s="9">
        <v>0.48958333333333331</v>
      </c>
      <c r="D28" s="8" t="s">
        <v>63</v>
      </c>
      <c r="E28" s="8" t="s">
        <v>51</v>
      </c>
      <c r="F28" s="8" t="s">
        <v>1146</v>
      </c>
      <c r="G28" s="297"/>
      <c r="H28" s="10"/>
      <c r="I28" s="11"/>
      <c r="J28" s="11"/>
      <c r="K28" s="11"/>
      <c r="L28" s="11"/>
      <c r="M28" s="11"/>
      <c r="N28" s="11"/>
      <c r="O28" s="12"/>
      <c r="P28" s="11"/>
      <c r="Q28" s="13"/>
      <c r="R28" s="14"/>
    </row>
    <row r="29" spans="1:18" ht="49.9" customHeight="1" thickTop="1" thickBot="1">
      <c r="A29" s="96" t="s">
        <v>415</v>
      </c>
      <c r="B29" s="96" t="s">
        <v>1297</v>
      </c>
      <c r="C29" s="97">
        <v>0.4375</v>
      </c>
      <c r="D29" s="96" t="s">
        <v>63</v>
      </c>
      <c r="E29" s="96" t="s">
        <v>103</v>
      </c>
      <c r="F29" s="96" t="s">
        <v>1298</v>
      </c>
      <c r="G29" s="299"/>
      <c r="H29" s="300"/>
      <c r="I29" s="140"/>
      <c r="J29" s="140"/>
      <c r="K29" s="140"/>
      <c r="L29" s="140"/>
      <c r="M29" s="140"/>
      <c r="N29" s="140"/>
      <c r="O29" s="141"/>
      <c r="P29" s="140"/>
      <c r="Q29" s="142"/>
      <c r="R29" s="301"/>
    </row>
    <row r="30" spans="1:18" ht="17.45" customHeight="1" thickBot="1">
      <c r="A30" s="283"/>
      <c r="B30" s="284"/>
      <c r="C30" s="284"/>
      <c r="D30" s="284"/>
      <c r="E30" s="284"/>
      <c r="F30" s="284"/>
      <c r="G30" s="284"/>
      <c r="H30" s="284"/>
      <c r="I30" s="284"/>
      <c r="J30" s="284"/>
      <c r="K30" s="284"/>
      <c r="L30" s="284"/>
      <c r="M30" s="284"/>
      <c r="N30" s="284"/>
      <c r="O30" s="284"/>
      <c r="P30" s="284"/>
      <c r="Q30" s="284"/>
      <c r="R30" s="285"/>
    </row>
    <row r="31" spans="1:18" ht="22.15" customHeight="1" thickTop="1" thickBot="1">
      <c r="A31" s="279" t="s">
        <v>6</v>
      </c>
      <c r="B31" s="295"/>
      <c r="C31" s="295"/>
      <c r="D31" s="295"/>
      <c r="E31" s="295"/>
      <c r="F31" s="296"/>
      <c r="G31" s="32">
        <v>46027</v>
      </c>
      <c r="H31" s="278" t="s">
        <v>7</v>
      </c>
      <c r="I31" s="295"/>
      <c r="J31" s="295"/>
      <c r="K31" s="295"/>
      <c r="L31" s="295"/>
      <c r="M31" s="295"/>
      <c r="N31" s="295"/>
      <c r="O31" s="295"/>
      <c r="P31" s="295"/>
      <c r="Q31" s="295"/>
      <c r="R31" s="296"/>
    </row>
    <row r="32" spans="1:18" ht="24" customHeight="1">
      <c r="A32" s="33" t="s">
        <v>8</v>
      </c>
      <c r="B32" s="33" t="s">
        <v>9</v>
      </c>
      <c r="C32" s="34" t="s">
        <v>10</v>
      </c>
      <c r="D32" s="33" t="s">
        <v>11</v>
      </c>
      <c r="E32" s="33" t="s">
        <v>12</v>
      </c>
      <c r="F32" s="35" t="s">
        <v>13</v>
      </c>
      <c r="G32" s="36" t="s">
        <v>14</v>
      </c>
      <c r="H32" s="33" t="s">
        <v>15</v>
      </c>
      <c r="I32" s="37" t="s">
        <v>16</v>
      </c>
      <c r="J32" s="38" t="s">
        <v>17</v>
      </c>
      <c r="K32" s="39" t="s">
        <v>18</v>
      </c>
      <c r="L32" s="38" t="s">
        <v>19</v>
      </c>
      <c r="M32" s="38" t="s">
        <v>20</v>
      </c>
      <c r="N32" s="38" t="s">
        <v>21</v>
      </c>
      <c r="O32" s="33" t="s">
        <v>22</v>
      </c>
      <c r="P32" s="34" t="s">
        <v>23</v>
      </c>
      <c r="Q32" s="38" t="s">
        <v>24</v>
      </c>
      <c r="R32" s="33" t="s">
        <v>25</v>
      </c>
    </row>
    <row r="33" spans="1:18" ht="49.9" customHeight="1">
      <c r="A33" s="8" t="s">
        <v>359</v>
      </c>
      <c r="B33" s="8" t="s">
        <v>1291</v>
      </c>
      <c r="C33" s="9">
        <v>0.76736111111111116</v>
      </c>
      <c r="D33" s="8" t="s">
        <v>361</v>
      </c>
      <c r="E33" s="8" t="s">
        <v>80</v>
      </c>
      <c r="F33" s="8" t="s">
        <v>1292</v>
      </c>
      <c r="G33" s="297"/>
      <c r="H33" s="10"/>
      <c r="I33" s="11"/>
      <c r="J33" s="11"/>
      <c r="K33" s="11"/>
      <c r="L33" s="11"/>
      <c r="M33" s="11"/>
      <c r="N33" s="11"/>
      <c r="O33" s="12"/>
      <c r="P33" s="11"/>
      <c r="Q33" s="13"/>
      <c r="R33" s="14"/>
    </row>
    <row r="34" spans="1:18" ht="49.9" customHeight="1">
      <c r="A34" s="15" t="s">
        <v>359</v>
      </c>
      <c r="B34" s="15" t="s">
        <v>1291</v>
      </c>
      <c r="C34" s="16">
        <v>0.76736111111111116</v>
      </c>
      <c r="D34" s="15" t="s">
        <v>46</v>
      </c>
      <c r="E34" s="15" t="s">
        <v>82</v>
      </c>
      <c r="F34" s="15" t="s">
        <v>1293</v>
      </c>
      <c r="G34" s="298"/>
      <c r="H34" s="10"/>
      <c r="I34" s="11"/>
      <c r="J34" s="11"/>
      <c r="K34" s="11"/>
      <c r="L34" s="11"/>
      <c r="M34" s="11"/>
      <c r="N34" s="11"/>
      <c r="O34" s="12"/>
      <c r="P34" s="11"/>
      <c r="Q34" s="13"/>
      <c r="R34" s="14"/>
    </row>
    <row r="35" spans="1:18" ht="49.9" customHeight="1">
      <c r="A35" s="19" t="s">
        <v>402</v>
      </c>
      <c r="B35" s="19" t="s">
        <v>1294</v>
      </c>
      <c r="C35" s="20">
        <v>0.48958333333333331</v>
      </c>
      <c r="D35" s="19" t="s">
        <v>63</v>
      </c>
      <c r="E35" s="19" t="s">
        <v>100</v>
      </c>
      <c r="F35" s="19" t="s">
        <v>1146</v>
      </c>
      <c r="G35" s="298"/>
      <c r="H35" s="10"/>
      <c r="I35" s="11"/>
      <c r="J35" s="11"/>
      <c r="K35" s="11"/>
      <c r="L35" s="11"/>
      <c r="M35" s="11"/>
      <c r="N35" s="11"/>
      <c r="O35" s="12"/>
      <c r="P35" s="11"/>
      <c r="Q35" s="13"/>
      <c r="R35" s="14"/>
    </row>
    <row r="36" spans="1:18" ht="49.9" customHeight="1" thickBot="1">
      <c r="A36" s="96" t="s">
        <v>68</v>
      </c>
      <c r="B36" s="96" t="s">
        <v>1295</v>
      </c>
      <c r="C36" s="97">
        <v>0.86805555555555547</v>
      </c>
      <c r="D36" s="96" t="s">
        <v>643</v>
      </c>
      <c r="E36" s="96" t="s">
        <v>51</v>
      </c>
      <c r="F36" s="96" t="s">
        <v>1296</v>
      </c>
      <c r="G36" s="299"/>
      <c r="H36" s="300"/>
      <c r="I36" s="140"/>
      <c r="J36" s="140"/>
      <c r="K36" s="140"/>
      <c r="L36" s="140"/>
      <c r="M36" s="140"/>
      <c r="N36" s="140"/>
      <c r="O36" s="141"/>
      <c r="P36" s="140"/>
      <c r="Q36" s="142"/>
      <c r="R36" s="301"/>
    </row>
    <row r="37" spans="1:18" ht="17.45" customHeight="1" thickBot="1">
      <c r="A37" s="283"/>
      <c r="B37" s="284"/>
      <c r="C37" s="284"/>
      <c r="D37" s="284"/>
      <c r="E37" s="284"/>
      <c r="F37" s="284"/>
      <c r="G37" s="284"/>
      <c r="H37" s="284"/>
      <c r="I37" s="284"/>
      <c r="J37" s="284"/>
      <c r="K37" s="284"/>
      <c r="L37" s="284"/>
      <c r="M37" s="284"/>
      <c r="N37" s="284"/>
      <c r="O37" s="284"/>
      <c r="P37" s="284"/>
      <c r="Q37" s="284"/>
      <c r="R37" s="285"/>
    </row>
    <row r="38" spans="1:18" ht="22.15" customHeight="1" thickTop="1" thickBot="1">
      <c r="A38" s="279" t="s">
        <v>6</v>
      </c>
      <c r="B38" s="295"/>
      <c r="C38" s="295"/>
      <c r="D38" s="295"/>
      <c r="E38" s="295"/>
      <c r="F38" s="296"/>
      <c r="G38" s="32">
        <v>46028</v>
      </c>
      <c r="H38" s="278" t="s">
        <v>7</v>
      </c>
      <c r="I38" s="295"/>
      <c r="J38" s="295"/>
      <c r="K38" s="295"/>
      <c r="L38" s="295"/>
      <c r="M38" s="295"/>
      <c r="N38" s="295"/>
      <c r="O38" s="295"/>
      <c r="P38" s="295"/>
      <c r="Q38" s="295"/>
      <c r="R38" s="296"/>
    </row>
    <row r="39" spans="1:18" ht="24" customHeight="1">
      <c r="A39" s="33" t="s">
        <v>8</v>
      </c>
      <c r="B39" s="33" t="s">
        <v>9</v>
      </c>
      <c r="C39" s="34" t="s">
        <v>10</v>
      </c>
      <c r="D39" s="33" t="s">
        <v>11</v>
      </c>
      <c r="E39" s="33" t="s">
        <v>12</v>
      </c>
      <c r="F39" s="35" t="s">
        <v>13</v>
      </c>
      <c r="G39" s="36" t="s">
        <v>14</v>
      </c>
      <c r="H39" s="33" t="s">
        <v>15</v>
      </c>
      <c r="I39" s="37" t="s">
        <v>16</v>
      </c>
      <c r="J39" s="38" t="s">
        <v>17</v>
      </c>
      <c r="K39" s="39" t="s">
        <v>18</v>
      </c>
      <c r="L39" s="38" t="s">
        <v>19</v>
      </c>
      <c r="M39" s="38" t="s">
        <v>20</v>
      </c>
      <c r="N39" s="38" t="s">
        <v>21</v>
      </c>
      <c r="O39" s="33" t="s">
        <v>22</v>
      </c>
      <c r="P39" s="34" t="s">
        <v>23</v>
      </c>
      <c r="Q39" s="38" t="s">
        <v>24</v>
      </c>
      <c r="R39" s="33" t="s">
        <v>25</v>
      </c>
    </row>
    <row r="40" spans="1:18" ht="49.9" customHeight="1">
      <c r="A40" s="8" t="s">
        <v>359</v>
      </c>
      <c r="B40" s="8" t="s">
        <v>1291</v>
      </c>
      <c r="C40" s="9">
        <v>0.76736111111111116</v>
      </c>
      <c r="D40" s="8" t="s">
        <v>361</v>
      </c>
      <c r="E40" s="8" t="s">
        <v>80</v>
      </c>
      <c r="F40" s="8" t="s">
        <v>1292</v>
      </c>
      <c r="G40" s="297"/>
      <c r="H40" s="10"/>
      <c r="I40" s="11"/>
      <c r="J40" s="11"/>
      <c r="K40" s="11"/>
      <c r="L40" s="11"/>
      <c r="M40" s="11"/>
      <c r="N40" s="11"/>
      <c r="O40" s="12"/>
      <c r="P40" s="11"/>
      <c r="Q40" s="13"/>
      <c r="R40" s="14"/>
    </row>
    <row r="41" spans="1:18" ht="49.9" customHeight="1">
      <c r="A41" s="15" t="s">
        <v>359</v>
      </c>
      <c r="B41" s="15" t="s">
        <v>1291</v>
      </c>
      <c r="C41" s="16">
        <v>0.76736111111111116</v>
      </c>
      <c r="D41" s="15" t="s">
        <v>46</v>
      </c>
      <c r="E41" s="15" t="s">
        <v>82</v>
      </c>
      <c r="F41" s="15" t="s">
        <v>1293</v>
      </c>
      <c r="G41" s="298"/>
      <c r="H41" s="10"/>
      <c r="I41" s="11"/>
      <c r="J41" s="11"/>
      <c r="K41" s="11"/>
      <c r="L41" s="11"/>
      <c r="M41" s="11"/>
      <c r="N41" s="11"/>
      <c r="O41" s="12"/>
      <c r="P41" s="11"/>
      <c r="Q41" s="13"/>
      <c r="R41" s="14"/>
    </row>
    <row r="42" spans="1:18" ht="49.9" customHeight="1">
      <c r="A42" s="19" t="s">
        <v>402</v>
      </c>
      <c r="B42" s="19" t="s">
        <v>1294</v>
      </c>
      <c r="C42" s="20">
        <v>0.48958333333333331</v>
      </c>
      <c r="D42" s="19" t="s">
        <v>63</v>
      </c>
      <c r="E42" s="19" t="s">
        <v>51</v>
      </c>
      <c r="F42" s="19" t="s">
        <v>1146</v>
      </c>
      <c r="G42" s="298"/>
      <c r="H42" s="10"/>
      <c r="I42" s="11"/>
      <c r="J42" s="11"/>
      <c r="K42" s="11"/>
      <c r="L42" s="11"/>
      <c r="M42" s="11"/>
      <c r="N42" s="11"/>
      <c r="O42" s="12"/>
      <c r="P42" s="11"/>
      <c r="Q42" s="13"/>
      <c r="R42" s="14"/>
    </row>
    <row r="43" spans="1:18" ht="49.9" customHeight="1" thickBot="1">
      <c r="A43" s="96" t="s">
        <v>415</v>
      </c>
      <c r="B43" s="96" t="s">
        <v>1297</v>
      </c>
      <c r="C43" s="97">
        <v>0.4375</v>
      </c>
      <c r="D43" s="96" t="s">
        <v>63</v>
      </c>
      <c r="E43" s="96" t="s">
        <v>103</v>
      </c>
      <c r="F43" s="96" t="s">
        <v>1298</v>
      </c>
      <c r="G43" s="299"/>
      <c r="H43" s="300"/>
      <c r="I43" s="140"/>
      <c r="J43" s="140"/>
      <c r="K43" s="140"/>
      <c r="L43" s="140"/>
      <c r="M43" s="140"/>
      <c r="N43" s="140"/>
      <c r="O43" s="141"/>
      <c r="P43" s="140"/>
      <c r="Q43" s="142"/>
      <c r="R43" s="301"/>
    </row>
    <row r="44" spans="1:18" ht="17.45" customHeight="1" thickBot="1">
      <c r="A44" s="283"/>
      <c r="B44" s="284"/>
      <c r="C44" s="284"/>
      <c r="D44" s="284"/>
      <c r="E44" s="284"/>
      <c r="F44" s="284"/>
      <c r="G44" s="284"/>
      <c r="H44" s="284"/>
      <c r="I44" s="284"/>
      <c r="J44" s="284"/>
      <c r="K44" s="284"/>
      <c r="L44" s="284"/>
      <c r="M44" s="284"/>
      <c r="N44" s="284"/>
      <c r="O44" s="284"/>
      <c r="P44" s="284"/>
      <c r="Q44" s="284"/>
      <c r="R44" s="285"/>
    </row>
    <row r="45" spans="1:18" ht="22.15" customHeight="1" thickTop="1" thickBot="1">
      <c r="A45" s="279" t="s">
        <v>6</v>
      </c>
      <c r="B45" s="295"/>
      <c r="C45" s="295"/>
      <c r="D45" s="295"/>
      <c r="E45" s="295"/>
      <c r="F45" s="296"/>
      <c r="G45" s="32">
        <v>46029</v>
      </c>
      <c r="H45" s="278" t="s">
        <v>7</v>
      </c>
      <c r="I45" s="295"/>
      <c r="J45" s="295"/>
      <c r="K45" s="295"/>
      <c r="L45" s="295"/>
      <c r="M45" s="295"/>
      <c r="N45" s="295"/>
      <c r="O45" s="295"/>
      <c r="P45" s="295"/>
      <c r="Q45" s="295"/>
      <c r="R45" s="296"/>
    </row>
    <row r="46" spans="1:18" ht="24" customHeight="1">
      <c r="A46" s="33" t="s">
        <v>8</v>
      </c>
      <c r="B46" s="33" t="s">
        <v>9</v>
      </c>
      <c r="C46" s="34" t="s">
        <v>10</v>
      </c>
      <c r="D46" s="33" t="s">
        <v>11</v>
      </c>
      <c r="E46" s="33" t="s">
        <v>12</v>
      </c>
      <c r="F46" s="35" t="s">
        <v>13</v>
      </c>
      <c r="G46" s="36" t="s">
        <v>14</v>
      </c>
      <c r="H46" s="33" t="s">
        <v>15</v>
      </c>
      <c r="I46" s="37" t="s">
        <v>16</v>
      </c>
      <c r="J46" s="38" t="s">
        <v>17</v>
      </c>
      <c r="K46" s="39" t="s">
        <v>18</v>
      </c>
      <c r="L46" s="38" t="s">
        <v>19</v>
      </c>
      <c r="M46" s="38" t="s">
        <v>20</v>
      </c>
      <c r="N46" s="38" t="s">
        <v>21</v>
      </c>
      <c r="O46" s="33" t="s">
        <v>22</v>
      </c>
      <c r="P46" s="34" t="s">
        <v>23</v>
      </c>
      <c r="Q46" s="38" t="s">
        <v>24</v>
      </c>
      <c r="R46" s="33" t="s">
        <v>25</v>
      </c>
    </row>
    <row r="47" spans="1:18" ht="49.9" customHeight="1">
      <c r="A47" s="8" t="s">
        <v>359</v>
      </c>
      <c r="B47" s="8" t="s">
        <v>1291</v>
      </c>
      <c r="C47" s="9">
        <v>0.76736111111111116</v>
      </c>
      <c r="D47" s="8" t="s">
        <v>361</v>
      </c>
      <c r="E47" s="8" t="s">
        <v>80</v>
      </c>
      <c r="F47" s="8" t="s">
        <v>1292</v>
      </c>
      <c r="G47" s="297"/>
      <c r="H47" s="10"/>
      <c r="I47" s="11"/>
      <c r="J47" s="11"/>
      <c r="K47" s="11"/>
      <c r="L47" s="11"/>
      <c r="M47" s="11"/>
      <c r="N47" s="11"/>
      <c r="O47" s="12"/>
      <c r="P47" s="11"/>
      <c r="Q47" s="13"/>
      <c r="R47" s="14"/>
    </row>
    <row r="48" spans="1:18" ht="49.9" customHeight="1">
      <c r="A48" s="15" t="s">
        <v>359</v>
      </c>
      <c r="B48" s="15" t="s">
        <v>1291</v>
      </c>
      <c r="C48" s="16">
        <v>0.76736111111111116</v>
      </c>
      <c r="D48" s="15" t="s">
        <v>46</v>
      </c>
      <c r="E48" s="15" t="s">
        <v>82</v>
      </c>
      <c r="F48" s="15" t="s">
        <v>1293</v>
      </c>
      <c r="G48" s="298"/>
      <c r="H48" s="10"/>
      <c r="I48" s="11"/>
      <c r="J48" s="11"/>
      <c r="K48" s="11"/>
      <c r="L48" s="11"/>
      <c r="M48" s="11"/>
      <c r="N48" s="11"/>
      <c r="O48" s="12"/>
      <c r="P48" s="11"/>
      <c r="Q48" s="13"/>
      <c r="R48" s="14"/>
    </row>
    <row r="49" spans="1:18" ht="49.9" customHeight="1">
      <c r="A49" s="19" t="s">
        <v>402</v>
      </c>
      <c r="B49" s="19" t="s">
        <v>1294</v>
      </c>
      <c r="C49" s="20">
        <v>0.48958333333333331</v>
      </c>
      <c r="D49" s="19" t="s">
        <v>63</v>
      </c>
      <c r="E49" s="19" t="s">
        <v>100</v>
      </c>
      <c r="F49" s="19" t="s">
        <v>1146</v>
      </c>
      <c r="G49" s="298"/>
      <c r="H49" s="10"/>
      <c r="I49" s="11"/>
      <c r="J49" s="11"/>
      <c r="K49" s="11"/>
      <c r="L49" s="11"/>
      <c r="M49" s="11"/>
      <c r="N49" s="11"/>
      <c r="O49" s="12"/>
      <c r="P49" s="11"/>
      <c r="Q49" s="13"/>
      <c r="R49" s="14"/>
    </row>
    <row r="50" spans="1:18" ht="49.9" customHeight="1">
      <c r="A50" s="19" t="s">
        <v>68</v>
      </c>
      <c r="B50" s="19" t="s">
        <v>1295</v>
      </c>
      <c r="C50" s="20">
        <v>0.86805555555555547</v>
      </c>
      <c r="D50" s="19" t="s">
        <v>643</v>
      </c>
      <c r="E50" s="19" t="s">
        <v>51</v>
      </c>
      <c r="F50" s="19" t="s">
        <v>1296</v>
      </c>
      <c r="G50" s="298"/>
      <c r="H50" s="10"/>
      <c r="I50" s="11"/>
      <c r="J50" s="11"/>
      <c r="K50" s="11"/>
      <c r="L50" s="11"/>
      <c r="M50" s="11"/>
      <c r="N50" s="11"/>
      <c r="O50" s="12"/>
      <c r="P50" s="11"/>
      <c r="Q50" s="13"/>
      <c r="R50" s="14"/>
    </row>
    <row r="51" spans="1:18" ht="49.9" customHeight="1" thickBot="1">
      <c r="A51" s="96" t="s">
        <v>415</v>
      </c>
      <c r="B51" s="96" t="s">
        <v>1297</v>
      </c>
      <c r="C51" s="97">
        <v>0.4548611111111111</v>
      </c>
      <c r="D51" s="96" t="s">
        <v>63</v>
      </c>
      <c r="E51" s="96" t="s">
        <v>103</v>
      </c>
      <c r="F51" s="96" t="s">
        <v>1298</v>
      </c>
      <c r="G51" s="299"/>
      <c r="H51" s="300"/>
      <c r="I51" s="140"/>
      <c r="J51" s="140"/>
      <c r="K51" s="140"/>
      <c r="L51" s="140"/>
      <c r="M51" s="140"/>
      <c r="N51" s="140"/>
      <c r="O51" s="141"/>
      <c r="P51" s="140"/>
      <c r="Q51" s="142"/>
      <c r="R51" s="301"/>
    </row>
    <row r="52" spans="1:18" ht="17.45" customHeight="1" thickBot="1">
      <c r="A52" s="283"/>
      <c r="B52" s="284"/>
      <c r="C52" s="284"/>
      <c r="D52" s="284"/>
      <c r="E52" s="284"/>
      <c r="F52" s="284"/>
      <c r="G52" s="284"/>
      <c r="H52" s="284"/>
      <c r="I52" s="284"/>
      <c r="J52" s="284"/>
      <c r="K52" s="284"/>
      <c r="L52" s="284"/>
      <c r="M52" s="284"/>
      <c r="N52" s="284"/>
      <c r="O52" s="284"/>
      <c r="P52" s="284"/>
      <c r="Q52" s="284"/>
      <c r="R52" s="285"/>
    </row>
    <row r="53" spans="1:18" ht="22.15" customHeight="1" thickTop="1" thickBot="1">
      <c r="A53" s="279" t="s">
        <v>6</v>
      </c>
      <c r="B53" s="295"/>
      <c r="C53" s="295"/>
      <c r="D53" s="295"/>
      <c r="E53" s="295"/>
      <c r="F53" s="296"/>
      <c r="G53" s="32">
        <v>46030</v>
      </c>
      <c r="H53" s="278" t="s">
        <v>7</v>
      </c>
      <c r="I53" s="295"/>
      <c r="J53" s="295"/>
      <c r="K53" s="295"/>
      <c r="L53" s="295"/>
      <c r="M53" s="295"/>
      <c r="N53" s="295"/>
      <c r="O53" s="295"/>
      <c r="P53" s="295"/>
      <c r="Q53" s="295"/>
      <c r="R53" s="296"/>
    </row>
    <row r="54" spans="1:18" ht="24" customHeight="1">
      <c r="A54" s="33" t="s">
        <v>8</v>
      </c>
      <c r="B54" s="33" t="s">
        <v>9</v>
      </c>
      <c r="C54" s="34" t="s">
        <v>10</v>
      </c>
      <c r="D54" s="33" t="s">
        <v>11</v>
      </c>
      <c r="E54" s="33" t="s">
        <v>12</v>
      </c>
      <c r="F54" s="35" t="s">
        <v>13</v>
      </c>
      <c r="G54" s="36" t="s">
        <v>14</v>
      </c>
      <c r="H54" s="33" t="s">
        <v>15</v>
      </c>
      <c r="I54" s="37" t="s">
        <v>16</v>
      </c>
      <c r="J54" s="38" t="s">
        <v>17</v>
      </c>
      <c r="K54" s="39" t="s">
        <v>18</v>
      </c>
      <c r="L54" s="38" t="s">
        <v>19</v>
      </c>
      <c r="M54" s="38" t="s">
        <v>20</v>
      </c>
      <c r="N54" s="38" t="s">
        <v>21</v>
      </c>
      <c r="O54" s="33" t="s">
        <v>22</v>
      </c>
      <c r="P54" s="34" t="s">
        <v>23</v>
      </c>
      <c r="Q54" s="38" t="s">
        <v>24</v>
      </c>
      <c r="R54" s="33" t="s">
        <v>25</v>
      </c>
    </row>
    <row r="55" spans="1:18" ht="15" customHeight="1">
      <c r="A55" s="49" t="s">
        <v>61</v>
      </c>
      <c r="B55" s="49" t="s">
        <v>1287</v>
      </c>
      <c r="C55" s="50">
        <v>0.63194444444444442</v>
      </c>
      <c r="D55" s="49" t="s">
        <v>63</v>
      </c>
      <c r="E55" s="49" t="s">
        <v>126</v>
      </c>
      <c r="F55" s="49" t="s">
        <v>42</v>
      </c>
      <c r="G55" s="297"/>
      <c r="H55" s="51" t="s">
        <v>1289</v>
      </c>
      <c r="I55" s="52">
        <v>2.23E-2</v>
      </c>
      <c r="J55" s="53">
        <v>4</v>
      </c>
      <c r="K55" s="54">
        <v>46343</v>
      </c>
      <c r="L55" s="53">
        <v>4</v>
      </c>
      <c r="M55" s="53">
        <v>0</v>
      </c>
      <c r="N55" s="53">
        <v>0</v>
      </c>
      <c r="O55" s="55" t="s">
        <v>819</v>
      </c>
      <c r="P55" s="56">
        <v>0.63194444444444442</v>
      </c>
      <c r="Q55" s="53">
        <v>179</v>
      </c>
      <c r="R55" s="57" t="s">
        <v>1301</v>
      </c>
    </row>
    <row r="56" spans="1:18" ht="15" customHeight="1">
      <c r="A56" s="19" t="s">
        <v>359</v>
      </c>
      <c r="B56" s="19" t="s">
        <v>1291</v>
      </c>
      <c r="C56" s="20">
        <v>0.76736111111111116</v>
      </c>
      <c r="D56" s="19" t="s">
        <v>361</v>
      </c>
      <c r="E56" s="19" t="s">
        <v>80</v>
      </c>
      <c r="F56" s="19" t="s">
        <v>1292</v>
      </c>
      <c r="G56" s="298"/>
      <c r="H56" s="10"/>
      <c r="I56" s="11"/>
      <c r="J56" s="11"/>
      <c r="K56" s="11"/>
      <c r="L56" s="11"/>
      <c r="M56" s="11"/>
      <c r="N56" s="11"/>
      <c r="O56" s="12"/>
      <c r="P56" s="11"/>
      <c r="Q56" s="13"/>
      <c r="R56" s="14"/>
    </row>
    <row r="57" spans="1:18" ht="15" customHeight="1">
      <c r="A57" s="15" t="s">
        <v>359</v>
      </c>
      <c r="B57" s="15" t="s">
        <v>1291</v>
      </c>
      <c r="C57" s="16">
        <v>0.76736111111111116</v>
      </c>
      <c r="D57" s="15" t="s">
        <v>46</v>
      </c>
      <c r="E57" s="15" t="s">
        <v>82</v>
      </c>
      <c r="F57" s="15" t="s">
        <v>1293</v>
      </c>
      <c r="G57" s="298"/>
      <c r="H57" s="10"/>
      <c r="I57" s="11"/>
      <c r="J57" s="11"/>
      <c r="K57" s="11"/>
      <c r="L57" s="11"/>
      <c r="M57" s="11"/>
      <c r="N57" s="11"/>
      <c r="O57" s="12"/>
      <c r="P57" s="11"/>
      <c r="Q57" s="13"/>
      <c r="R57" s="14"/>
    </row>
    <row r="58" spans="1:18" ht="15" customHeight="1">
      <c r="A58" s="19" t="s">
        <v>402</v>
      </c>
      <c r="B58" s="19" t="s">
        <v>1294</v>
      </c>
      <c r="C58" s="20">
        <v>0.48958333333333331</v>
      </c>
      <c r="D58" s="19" t="s">
        <v>63</v>
      </c>
      <c r="E58" s="19" t="s">
        <v>100</v>
      </c>
      <c r="F58" s="19" t="s">
        <v>1146</v>
      </c>
      <c r="G58" s="298"/>
      <c r="H58" s="10"/>
      <c r="I58" s="11"/>
      <c r="J58" s="11"/>
      <c r="K58" s="11"/>
      <c r="L58" s="11"/>
      <c r="M58" s="11"/>
      <c r="N58" s="11"/>
      <c r="O58" s="12"/>
      <c r="P58" s="11"/>
      <c r="Q58" s="13"/>
      <c r="R58" s="14"/>
    </row>
    <row r="59" spans="1:18" ht="15" customHeight="1">
      <c r="A59" s="19" t="s">
        <v>68</v>
      </c>
      <c r="B59" s="19" t="s">
        <v>1295</v>
      </c>
      <c r="C59" s="20">
        <v>0.86805555555555547</v>
      </c>
      <c r="D59" s="19" t="s">
        <v>643</v>
      </c>
      <c r="E59" s="19" t="s">
        <v>51</v>
      </c>
      <c r="F59" s="19" t="s">
        <v>1296</v>
      </c>
      <c r="G59" s="298"/>
      <c r="H59" s="10"/>
      <c r="I59" s="11"/>
      <c r="J59" s="11"/>
      <c r="K59" s="11"/>
      <c r="L59" s="11"/>
      <c r="M59" s="11"/>
      <c r="N59" s="11"/>
      <c r="O59" s="12"/>
      <c r="P59" s="11"/>
      <c r="Q59" s="13"/>
      <c r="R59" s="14"/>
    </row>
    <row r="60" spans="1:18" ht="15" customHeight="1" thickBot="1">
      <c r="A60" s="96" t="s">
        <v>415</v>
      </c>
      <c r="B60" s="96" t="s">
        <v>1297</v>
      </c>
      <c r="C60" s="97">
        <v>0.4548611111111111</v>
      </c>
      <c r="D60" s="96" t="s">
        <v>63</v>
      </c>
      <c r="E60" s="96" t="s">
        <v>103</v>
      </c>
      <c r="F60" s="96" t="s">
        <v>1298</v>
      </c>
      <c r="G60" s="299"/>
      <c r="H60" s="300"/>
      <c r="I60" s="140"/>
      <c r="J60" s="140"/>
      <c r="K60" s="140"/>
      <c r="L60" s="140"/>
      <c r="M60" s="140"/>
      <c r="N60" s="140"/>
      <c r="O60" s="141"/>
      <c r="P60" s="140"/>
      <c r="Q60" s="142"/>
      <c r="R60" s="301"/>
    </row>
    <row r="61" spans="1:18" ht="17.45" customHeight="1" thickBot="1">
      <c r="A61" s="283"/>
      <c r="B61" s="284"/>
      <c r="C61" s="284"/>
      <c r="D61" s="284"/>
      <c r="E61" s="284"/>
      <c r="F61" s="284"/>
      <c r="G61" s="284"/>
      <c r="H61" s="284"/>
      <c r="I61" s="284"/>
      <c r="J61" s="284"/>
      <c r="K61" s="284"/>
      <c r="L61" s="284"/>
      <c r="M61" s="284"/>
      <c r="N61" s="284"/>
      <c r="O61" s="284"/>
      <c r="P61" s="284"/>
      <c r="Q61" s="284"/>
      <c r="R61" s="285"/>
    </row>
    <row r="62" spans="1:18" ht="22.15" customHeight="1" thickTop="1" thickBot="1">
      <c r="A62" s="279" t="s">
        <v>6</v>
      </c>
      <c r="B62" s="295"/>
      <c r="C62" s="295"/>
      <c r="D62" s="295"/>
      <c r="E62" s="295"/>
      <c r="F62" s="296"/>
      <c r="G62" s="32">
        <v>46031</v>
      </c>
      <c r="H62" s="278" t="s">
        <v>7</v>
      </c>
      <c r="I62" s="295"/>
      <c r="J62" s="295"/>
      <c r="K62" s="295"/>
      <c r="L62" s="295"/>
      <c r="M62" s="295"/>
      <c r="N62" s="295"/>
      <c r="O62" s="295"/>
      <c r="P62" s="295"/>
      <c r="Q62" s="295"/>
      <c r="R62" s="296"/>
    </row>
    <row r="63" spans="1:18" ht="24" customHeight="1">
      <c r="A63" s="33" t="s">
        <v>8</v>
      </c>
      <c r="B63" s="33" t="s">
        <v>9</v>
      </c>
      <c r="C63" s="34" t="s">
        <v>10</v>
      </c>
      <c r="D63" s="33" t="s">
        <v>11</v>
      </c>
      <c r="E63" s="33" t="s">
        <v>12</v>
      </c>
      <c r="F63" s="35" t="s">
        <v>13</v>
      </c>
      <c r="G63" s="36" t="s">
        <v>14</v>
      </c>
      <c r="H63" s="33" t="s">
        <v>15</v>
      </c>
      <c r="I63" s="37" t="s">
        <v>16</v>
      </c>
      <c r="J63" s="38" t="s">
        <v>17</v>
      </c>
      <c r="K63" s="39" t="s">
        <v>18</v>
      </c>
      <c r="L63" s="38" t="s">
        <v>19</v>
      </c>
      <c r="M63" s="38" t="s">
        <v>20</v>
      </c>
      <c r="N63" s="38" t="s">
        <v>21</v>
      </c>
      <c r="O63" s="33" t="s">
        <v>22</v>
      </c>
      <c r="P63" s="34" t="s">
        <v>23</v>
      </c>
      <c r="Q63" s="38" t="s">
        <v>24</v>
      </c>
      <c r="R63" s="33" t="s">
        <v>25</v>
      </c>
    </row>
    <row r="64" spans="1:18" ht="49.9" customHeight="1">
      <c r="A64" s="67" t="s">
        <v>61</v>
      </c>
      <c r="B64" s="67" t="s">
        <v>1287</v>
      </c>
      <c r="C64" s="68">
        <v>0.82986111111111116</v>
      </c>
      <c r="D64" s="67" t="s">
        <v>63</v>
      </c>
      <c r="E64" s="67" t="s">
        <v>107</v>
      </c>
      <c r="F64" s="67" t="s">
        <v>1288</v>
      </c>
      <c r="G64" s="297"/>
      <c r="H64" s="69" t="s">
        <v>1289</v>
      </c>
      <c r="I64" s="70">
        <v>3.9100000000000003E-2</v>
      </c>
      <c r="J64" s="71">
        <v>7</v>
      </c>
      <c r="K64" s="72">
        <v>46342</v>
      </c>
      <c r="L64" s="71">
        <v>7</v>
      </c>
      <c r="M64" s="71">
        <v>0</v>
      </c>
      <c r="N64" s="71">
        <v>0</v>
      </c>
      <c r="O64" s="73" t="s">
        <v>918</v>
      </c>
      <c r="P64" s="74">
        <v>0.82986111111111116</v>
      </c>
      <c r="Q64" s="71">
        <v>179</v>
      </c>
      <c r="R64" s="75" t="s">
        <v>1302</v>
      </c>
    </row>
    <row r="65" spans="1:18" ht="49.9" customHeight="1">
      <c r="A65" s="19" t="s">
        <v>402</v>
      </c>
      <c r="B65" s="19" t="s">
        <v>1294</v>
      </c>
      <c r="C65" s="20">
        <v>0.48958333333333331</v>
      </c>
      <c r="D65" s="19" t="s">
        <v>63</v>
      </c>
      <c r="E65" s="19" t="s">
        <v>51</v>
      </c>
      <c r="F65" s="19" t="s">
        <v>1146</v>
      </c>
      <c r="G65" s="298"/>
      <c r="H65" s="10"/>
      <c r="I65" s="11"/>
      <c r="J65" s="11"/>
      <c r="K65" s="11"/>
      <c r="L65" s="11"/>
      <c r="M65" s="11"/>
      <c r="N65" s="11"/>
      <c r="O65" s="12"/>
      <c r="P65" s="11"/>
      <c r="Q65" s="13"/>
      <c r="R65" s="14"/>
    </row>
    <row r="66" spans="1:18" ht="49.9" customHeight="1" thickBot="1">
      <c r="A66" s="96" t="s">
        <v>68</v>
      </c>
      <c r="B66" s="96" t="s">
        <v>1295</v>
      </c>
      <c r="C66" s="97">
        <v>0.86805555555555547</v>
      </c>
      <c r="D66" s="96" t="s">
        <v>643</v>
      </c>
      <c r="E66" s="96" t="s">
        <v>51</v>
      </c>
      <c r="F66" s="96" t="s">
        <v>1296</v>
      </c>
      <c r="G66" s="299"/>
      <c r="H66" s="300"/>
      <c r="I66" s="140"/>
      <c r="J66" s="140"/>
      <c r="K66" s="140"/>
      <c r="L66" s="140"/>
      <c r="M66" s="140"/>
      <c r="N66" s="140"/>
      <c r="O66" s="141"/>
      <c r="P66" s="140"/>
      <c r="Q66" s="142"/>
      <c r="R66" s="301"/>
    </row>
    <row r="67" spans="1:18" ht="17.45" customHeight="1" thickBot="1">
      <c r="A67" s="283"/>
      <c r="B67" s="284"/>
      <c r="C67" s="284"/>
      <c r="D67" s="284"/>
      <c r="E67" s="284"/>
      <c r="F67" s="284"/>
      <c r="G67" s="284"/>
      <c r="H67" s="284"/>
      <c r="I67" s="284"/>
      <c r="J67" s="284"/>
      <c r="K67" s="284"/>
      <c r="L67" s="284"/>
      <c r="M67" s="284"/>
      <c r="N67" s="284"/>
      <c r="O67" s="284"/>
      <c r="P67" s="284"/>
      <c r="Q67" s="284"/>
      <c r="R67" s="285"/>
    </row>
    <row r="68" spans="1:18" ht="22.15" customHeight="1" thickTop="1" thickBot="1">
      <c r="A68" s="279" t="s">
        <v>6</v>
      </c>
      <c r="B68" s="295"/>
      <c r="C68" s="295"/>
      <c r="D68" s="295"/>
      <c r="E68" s="295"/>
      <c r="F68" s="296"/>
      <c r="G68" s="32">
        <v>46032</v>
      </c>
      <c r="H68" s="278" t="s">
        <v>7</v>
      </c>
      <c r="I68" s="295"/>
      <c r="J68" s="295"/>
      <c r="K68" s="295"/>
      <c r="L68" s="295"/>
      <c r="M68" s="295"/>
      <c r="N68" s="295"/>
      <c r="O68" s="295"/>
      <c r="P68" s="295"/>
      <c r="Q68" s="295"/>
      <c r="R68" s="296"/>
    </row>
    <row r="69" spans="1:18" ht="24" customHeight="1">
      <c r="A69" s="33" t="s">
        <v>8</v>
      </c>
      <c r="B69" s="33" t="s">
        <v>9</v>
      </c>
      <c r="C69" s="34" t="s">
        <v>10</v>
      </c>
      <c r="D69" s="33" t="s">
        <v>11</v>
      </c>
      <c r="E69" s="33" t="s">
        <v>12</v>
      </c>
      <c r="F69" s="35" t="s">
        <v>13</v>
      </c>
      <c r="G69" s="36" t="s">
        <v>14</v>
      </c>
      <c r="H69" s="33" t="s">
        <v>15</v>
      </c>
      <c r="I69" s="37" t="s">
        <v>16</v>
      </c>
      <c r="J69" s="38" t="s">
        <v>17</v>
      </c>
      <c r="K69" s="39" t="s">
        <v>18</v>
      </c>
      <c r="L69" s="38" t="s">
        <v>19</v>
      </c>
      <c r="M69" s="38" t="s">
        <v>20</v>
      </c>
      <c r="N69" s="38" t="s">
        <v>21</v>
      </c>
      <c r="O69" s="33" t="s">
        <v>22</v>
      </c>
      <c r="P69" s="34" t="s">
        <v>23</v>
      </c>
      <c r="Q69" s="38" t="s">
        <v>24</v>
      </c>
      <c r="R69" s="33" t="s">
        <v>25</v>
      </c>
    </row>
    <row r="70" spans="1:18" ht="49.9" customHeight="1">
      <c r="A70" s="8" t="s">
        <v>359</v>
      </c>
      <c r="B70" s="8" t="s">
        <v>1291</v>
      </c>
      <c r="C70" s="9">
        <v>0.76736111111111116</v>
      </c>
      <c r="D70" s="8" t="s">
        <v>361</v>
      </c>
      <c r="E70" s="8" t="s">
        <v>80</v>
      </c>
      <c r="F70" s="8" t="s">
        <v>493</v>
      </c>
      <c r="G70" s="297"/>
      <c r="H70" s="10"/>
      <c r="I70" s="11"/>
      <c r="J70" s="11"/>
      <c r="K70" s="11"/>
      <c r="L70" s="11"/>
      <c r="M70" s="11"/>
      <c r="N70" s="11"/>
      <c r="O70" s="12"/>
      <c r="P70" s="11"/>
      <c r="Q70" s="13"/>
      <c r="R70" s="14"/>
    </row>
    <row r="71" spans="1:18" ht="49.9" customHeight="1">
      <c r="A71" s="15" t="s">
        <v>359</v>
      </c>
      <c r="B71" s="15" t="s">
        <v>1291</v>
      </c>
      <c r="C71" s="16">
        <v>0.76736111111111116</v>
      </c>
      <c r="D71" s="15" t="s">
        <v>46</v>
      </c>
      <c r="E71" s="15" t="s">
        <v>82</v>
      </c>
      <c r="F71" s="15" t="s">
        <v>1299</v>
      </c>
      <c r="G71" s="298"/>
      <c r="H71" s="10"/>
      <c r="I71" s="11"/>
      <c r="J71" s="11"/>
      <c r="K71" s="11"/>
      <c r="L71" s="11"/>
      <c r="M71" s="11"/>
      <c r="N71" s="11"/>
      <c r="O71" s="12"/>
      <c r="P71" s="11"/>
      <c r="Q71" s="13"/>
      <c r="R71" s="14"/>
    </row>
    <row r="72" spans="1:18" ht="49.9" customHeight="1">
      <c r="A72" s="19" t="s">
        <v>402</v>
      </c>
      <c r="B72" s="19" t="s">
        <v>1300</v>
      </c>
      <c r="C72" s="20">
        <v>0.8125</v>
      </c>
      <c r="D72" s="19" t="s">
        <v>63</v>
      </c>
      <c r="E72" s="19" t="s">
        <v>107</v>
      </c>
      <c r="F72" s="19" t="s">
        <v>1146</v>
      </c>
      <c r="G72" s="298"/>
      <c r="H72" s="10"/>
      <c r="I72" s="11"/>
      <c r="J72" s="11"/>
      <c r="K72" s="11"/>
      <c r="L72" s="11"/>
      <c r="M72" s="11"/>
      <c r="N72" s="11"/>
      <c r="O72" s="12"/>
      <c r="P72" s="11"/>
      <c r="Q72" s="13"/>
      <c r="R72" s="14"/>
    </row>
    <row r="73" spans="1:18" ht="49.9" customHeight="1" thickBot="1">
      <c r="A73" s="96" t="s">
        <v>68</v>
      </c>
      <c r="B73" s="96" t="s">
        <v>1295</v>
      </c>
      <c r="C73" s="97">
        <v>0.86805555555555547</v>
      </c>
      <c r="D73" s="96" t="s">
        <v>643</v>
      </c>
      <c r="E73" s="96" t="s">
        <v>51</v>
      </c>
      <c r="F73" s="96" t="s">
        <v>1296</v>
      </c>
      <c r="G73" s="299"/>
      <c r="H73" s="300"/>
      <c r="I73" s="140"/>
      <c r="J73" s="140"/>
      <c r="K73" s="140"/>
      <c r="L73" s="140"/>
      <c r="M73" s="140"/>
      <c r="N73" s="140"/>
      <c r="O73" s="141"/>
      <c r="P73" s="140"/>
      <c r="Q73" s="142"/>
      <c r="R73" s="301"/>
    </row>
    <row r="74" spans="1:18" ht="17.45" customHeight="1" thickBot="1">
      <c r="A74" s="283"/>
      <c r="B74" s="284"/>
      <c r="C74" s="284"/>
      <c r="D74" s="284"/>
      <c r="E74" s="284"/>
      <c r="F74" s="284"/>
      <c r="G74" s="284"/>
      <c r="H74" s="284"/>
      <c r="I74" s="284"/>
      <c r="J74" s="284"/>
      <c r="K74" s="284"/>
      <c r="L74" s="284"/>
      <c r="M74" s="284"/>
      <c r="N74" s="284"/>
      <c r="O74" s="284"/>
      <c r="P74" s="284"/>
      <c r="Q74" s="284"/>
      <c r="R74" s="285"/>
    </row>
    <row r="75" spans="1:18" ht="22.15" customHeight="1" thickTop="1" thickBot="1">
      <c r="A75" s="279" t="s">
        <v>6</v>
      </c>
      <c r="B75" s="295"/>
      <c r="C75" s="295"/>
      <c r="D75" s="295"/>
      <c r="E75" s="295"/>
      <c r="F75" s="296"/>
      <c r="G75" s="32">
        <v>46033</v>
      </c>
      <c r="H75" s="278" t="s">
        <v>7</v>
      </c>
      <c r="I75" s="295"/>
      <c r="J75" s="295"/>
      <c r="K75" s="295"/>
      <c r="L75" s="295"/>
      <c r="M75" s="295"/>
      <c r="N75" s="295"/>
      <c r="O75" s="295"/>
      <c r="P75" s="295"/>
      <c r="Q75" s="295"/>
      <c r="R75" s="296"/>
    </row>
    <row r="76" spans="1:18" ht="24" customHeight="1">
      <c r="A76" s="33" t="s">
        <v>8</v>
      </c>
      <c r="B76" s="33" t="s">
        <v>9</v>
      </c>
      <c r="C76" s="34" t="s">
        <v>10</v>
      </c>
      <c r="D76" s="33" t="s">
        <v>11</v>
      </c>
      <c r="E76" s="33" t="s">
        <v>12</v>
      </c>
      <c r="F76" s="35" t="s">
        <v>13</v>
      </c>
      <c r="G76" s="36" t="s">
        <v>14</v>
      </c>
      <c r="H76" s="33" t="s">
        <v>15</v>
      </c>
      <c r="I76" s="37" t="s">
        <v>16</v>
      </c>
      <c r="J76" s="38" t="s">
        <v>17</v>
      </c>
      <c r="K76" s="39" t="s">
        <v>18</v>
      </c>
      <c r="L76" s="38" t="s">
        <v>19</v>
      </c>
      <c r="M76" s="38" t="s">
        <v>20</v>
      </c>
      <c r="N76" s="38" t="s">
        <v>21</v>
      </c>
      <c r="O76" s="33" t="s">
        <v>22</v>
      </c>
      <c r="P76" s="34" t="s">
        <v>23</v>
      </c>
      <c r="Q76" s="38" t="s">
        <v>24</v>
      </c>
      <c r="R76" s="33" t="s">
        <v>25</v>
      </c>
    </row>
    <row r="77" spans="1:18" ht="49.9" customHeight="1">
      <c r="A77" s="78" t="s">
        <v>61</v>
      </c>
      <c r="B77" s="78" t="s">
        <v>1287</v>
      </c>
      <c r="C77" s="79">
        <v>0.63194444444444442</v>
      </c>
      <c r="D77" s="78" t="s">
        <v>63</v>
      </c>
      <c r="E77" s="78" t="s">
        <v>156</v>
      </c>
      <c r="F77" s="78" t="s">
        <v>42</v>
      </c>
      <c r="G77" s="297"/>
      <c r="H77" s="80" t="s">
        <v>1289</v>
      </c>
      <c r="I77" s="81">
        <v>3.3500000000000002E-2</v>
      </c>
      <c r="J77" s="82">
        <v>6</v>
      </c>
      <c r="K77" s="83">
        <v>46338</v>
      </c>
      <c r="L77" s="82">
        <v>6</v>
      </c>
      <c r="M77" s="82">
        <v>0</v>
      </c>
      <c r="N77" s="82">
        <v>0</v>
      </c>
      <c r="O77" s="84" t="s">
        <v>244</v>
      </c>
      <c r="P77" s="85">
        <v>0.63194444444444442</v>
      </c>
      <c r="Q77" s="82">
        <v>179</v>
      </c>
      <c r="R77" s="86" t="s">
        <v>1303</v>
      </c>
    </row>
    <row r="78" spans="1:18" ht="49.9" customHeight="1">
      <c r="A78" s="19" t="s">
        <v>402</v>
      </c>
      <c r="B78" s="19" t="s">
        <v>1294</v>
      </c>
      <c r="C78" s="20">
        <v>0.48958333333333331</v>
      </c>
      <c r="D78" s="19" t="s">
        <v>63</v>
      </c>
      <c r="E78" s="19" t="s">
        <v>103</v>
      </c>
      <c r="F78" s="19" t="s">
        <v>1063</v>
      </c>
      <c r="G78" s="298"/>
      <c r="H78" s="10"/>
      <c r="I78" s="11"/>
      <c r="J78" s="11"/>
      <c r="K78" s="11"/>
      <c r="L78" s="11"/>
      <c r="M78" s="11"/>
      <c r="N78" s="11"/>
      <c r="O78" s="12"/>
      <c r="P78" s="11"/>
      <c r="Q78" s="13"/>
      <c r="R78" s="14"/>
    </row>
    <row r="79" spans="1:18" ht="49.9" customHeight="1" thickBot="1">
      <c r="A79" s="96" t="s">
        <v>415</v>
      </c>
      <c r="B79" s="96" t="s">
        <v>1297</v>
      </c>
      <c r="C79" s="97">
        <v>0.4375</v>
      </c>
      <c r="D79" s="96" t="s">
        <v>63</v>
      </c>
      <c r="E79" s="96" t="s">
        <v>29</v>
      </c>
      <c r="F79" s="96" t="s">
        <v>1298</v>
      </c>
      <c r="G79" s="299"/>
      <c r="H79" s="300"/>
      <c r="I79" s="140"/>
      <c r="J79" s="140"/>
      <c r="K79" s="140"/>
      <c r="L79" s="140"/>
      <c r="M79" s="140"/>
      <c r="N79" s="140"/>
      <c r="O79" s="141"/>
      <c r="P79" s="140"/>
      <c r="Q79" s="142"/>
      <c r="R79" s="301"/>
    </row>
    <row r="80" spans="1:18" ht="17.45" customHeight="1" thickBot="1">
      <c r="A80" s="283"/>
      <c r="B80" s="284"/>
      <c r="C80" s="284"/>
      <c r="D80" s="284"/>
      <c r="E80" s="284"/>
      <c r="F80" s="284"/>
      <c r="G80" s="284"/>
      <c r="H80" s="284"/>
      <c r="I80" s="284"/>
      <c r="J80" s="284"/>
      <c r="K80" s="284"/>
      <c r="L80" s="284"/>
      <c r="M80" s="284"/>
      <c r="N80" s="284"/>
      <c r="O80" s="284"/>
      <c r="P80" s="284"/>
      <c r="Q80" s="284"/>
      <c r="R80" s="285"/>
    </row>
    <row r="81" spans="1:18" ht="22.15" customHeight="1" thickTop="1" thickBot="1">
      <c r="A81" s="279" t="s">
        <v>6</v>
      </c>
      <c r="B81" s="295"/>
      <c r="C81" s="295"/>
      <c r="D81" s="295"/>
      <c r="E81" s="295"/>
      <c r="F81" s="296"/>
      <c r="G81" s="32">
        <v>46034</v>
      </c>
      <c r="H81" s="278" t="s">
        <v>7</v>
      </c>
      <c r="I81" s="295"/>
      <c r="J81" s="295"/>
      <c r="K81" s="295"/>
      <c r="L81" s="295"/>
      <c r="M81" s="295"/>
      <c r="N81" s="295"/>
      <c r="O81" s="295"/>
      <c r="P81" s="295"/>
      <c r="Q81" s="295"/>
      <c r="R81" s="296"/>
    </row>
    <row r="82" spans="1:18" ht="24" customHeight="1">
      <c r="A82" s="33" t="s">
        <v>8</v>
      </c>
      <c r="B82" s="33" t="s">
        <v>9</v>
      </c>
      <c r="C82" s="34" t="s">
        <v>10</v>
      </c>
      <c r="D82" s="33" t="s">
        <v>11</v>
      </c>
      <c r="E82" s="33" t="s">
        <v>12</v>
      </c>
      <c r="F82" s="35" t="s">
        <v>13</v>
      </c>
      <c r="G82" s="36" t="s">
        <v>14</v>
      </c>
      <c r="H82" s="33" t="s">
        <v>15</v>
      </c>
      <c r="I82" s="37" t="s">
        <v>16</v>
      </c>
      <c r="J82" s="38" t="s">
        <v>17</v>
      </c>
      <c r="K82" s="39" t="s">
        <v>18</v>
      </c>
      <c r="L82" s="38" t="s">
        <v>19</v>
      </c>
      <c r="M82" s="38" t="s">
        <v>20</v>
      </c>
      <c r="N82" s="38" t="s">
        <v>21</v>
      </c>
      <c r="O82" s="33" t="s">
        <v>22</v>
      </c>
      <c r="P82" s="34" t="s">
        <v>23</v>
      </c>
      <c r="Q82" s="38" t="s">
        <v>24</v>
      </c>
      <c r="R82" s="33" t="s">
        <v>25</v>
      </c>
    </row>
    <row r="83" spans="1:18" ht="49.9" customHeight="1">
      <c r="A83" s="8" t="s">
        <v>359</v>
      </c>
      <c r="B83" s="8" t="s">
        <v>1291</v>
      </c>
      <c r="C83" s="9">
        <v>0.76736111111111116</v>
      </c>
      <c r="D83" s="8" t="s">
        <v>361</v>
      </c>
      <c r="E83" s="8" t="s">
        <v>80</v>
      </c>
      <c r="F83" s="8" t="s">
        <v>1292</v>
      </c>
      <c r="G83" s="297"/>
      <c r="H83" s="10"/>
      <c r="I83" s="11"/>
      <c r="J83" s="11"/>
      <c r="K83" s="11"/>
      <c r="L83" s="11"/>
      <c r="M83" s="11"/>
      <c r="N83" s="11"/>
      <c r="O83" s="12"/>
      <c r="P83" s="11"/>
      <c r="Q83" s="13"/>
      <c r="R83" s="14"/>
    </row>
    <row r="84" spans="1:18" ht="49.9" customHeight="1">
      <c r="A84" s="15" t="s">
        <v>359</v>
      </c>
      <c r="B84" s="15" t="s">
        <v>1291</v>
      </c>
      <c r="C84" s="16">
        <v>0.76736111111111116</v>
      </c>
      <c r="D84" s="15" t="s">
        <v>46</v>
      </c>
      <c r="E84" s="15" t="s">
        <v>82</v>
      </c>
      <c r="F84" s="15" t="s">
        <v>1293</v>
      </c>
      <c r="G84" s="298"/>
      <c r="H84" s="10"/>
      <c r="I84" s="11"/>
      <c r="J84" s="11"/>
      <c r="K84" s="11"/>
      <c r="L84" s="11"/>
      <c r="M84" s="11"/>
      <c r="N84" s="11"/>
      <c r="O84" s="12"/>
      <c r="P84" s="11"/>
      <c r="Q84" s="13"/>
      <c r="R84" s="14"/>
    </row>
    <row r="85" spans="1:18" ht="49.9" customHeight="1">
      <c r="A85" s="19" t="s">
        <v>68</v>
      </c>
      <c r="B85" s="19" t="s">
        <v>1295</v>
      </c>
      <c r="C85" s="20">
        <v>0.86805555555555547</v>
      </c>
      <c r="D85" s="19" t="s">
        <v>643</v>
      </c>
      <c r="E85" s="19" t="s">
        <v>51</v>
      </c>
      <c r="F85" s="19" t="s">
        <v>1296</v>
      </c>
      <c r="G85" s="298"/>
      <c r="H85" s="10"/>
      <c r="I85" s="11"/>
      <c r="J85" s="11"/>
      <c r="K85" s="11"/>
      <c r="L85" s="11"/>
      <c r="M85" s="11"/>
      <c r="N85" s="11"/>
      <c r="O85" s="12"/>
      <c r="P85" s="11"/>
      <c r="Q85" s="13"/>
      <c r="R85" s="14"/>
    </row>
    <row r="86" spans="1:18" ht="49.9" customHeight="1">
      <c r="A86" s="19" t="s">
        <v>402</v>
      </c>
      <c r="B86" s="19" t="s">
        <v>1294</v>
      </c>
      <c r="C86" s="20">
        <v>0.48958333333333331</v>
      </c>
      <c r="D86" s="19" t="s">
        <v>63</v>
      </c>
      <c r="E86" s="19" t="s">
        <v>103</v>
      </c>
      <c r="F86" s="19" t="s">
        <v>1063</v>
      </c>
      <c r="G86" s="298"/>
      <c r="H86" s="10"/>
      <c r="I86" s="11"/>
      <c r="J86" s="11"/>
      <c r="K86" s="11"/>
      <c r="L86" s="11"/>
      <c r="M86" s="11"/>
      <c r="N86" s="11"/>
      <c r="O86" s="12"/>
      <c r="P86" s="11"/>
      <c r="Q86" s="13"/>
      <c r="R86" s="14"/>
    </row>
    <row r="87" spans="1:18" ht="49.9" customHeight="1" thickBot="1">
      <c r="A87" s="96" t="s">
        <v>415</v>
      </c>
      <c r="B87" s="96" t="s">
        <v>1297</v>
      </c>
      <c r="C87" s="97">
        <v>0.4548611111111111</v>
      </c>
      <c r="D87" s="96" t="s">
        <v>63</v>
      </c>
      <c r="E87" s="96" t="s">
        <v>103</v>
      </c>
      <c r="F87" s="96" t="s">
        <v>1298</v>
      </c>
      <c r="G87" s="299"/>
      <c r="H87" s="300"/>
      <c r="I87" s="140"/>
      <c r="J87" s="140"/>
      <c r="K87" s="140"/>
      <c r="L87" s="140"/>
      <c r="M87" s="140"/>
      <c r="N87" s="140"/>
      <c r="O87" s="141"/>
      <c r="P87" s="140"/>
      <c r="Q87" s="142"/>
      <c r="R87" s="301"/>
    </row>
    <row r="88" spans="1:18" ht="17.45" customHeight="1" thickBot="1">
      <c r="A88" s="283"/>
      <c r="B88" s="284"/>
      <c r="C88" s="284"/>
      <c r="D88" s="284"/>
      <c r="E88" s="284"/>
      <c r="F88" s="284"/>
      <c r="G88" s="284"/>
      <c r="H88" s="284"/>
      <c r="I88" s="284"/>
      <c r="J88" s="284"/>
      <c r="K88" s="284"/>
      <c r="L88" s="284"/>
      <c r="M88" s="284"/>
      <c r="N88" s="284"/>
      <c r="O88" s="284"/>
      <c r="P88" s="284"/>
      <c r="Q88" s="284"/>
      <c r="R88" s="285"/>
    </row>
    <row r="89" spans="1:18" ht="22.15" customHeight="1" thickTop="1" thickBot="1">
      <c r="A89" s="279" t="s">
        <v>6</v>
      </c>
      <c r="B89" s="295"/>
      <c r="C89" s="295"/>
      <c r="D89" s="295"/>
      <c r="E89" s="295"/>
      <c r="F89" s="296"/>
      <c r="G89" s="32">
        <v>46035</v>
      </c>
      <c r="H89" s="278" t="s">
        <v>7</v>
      </c>
      <c r="I89" s="295"/>
      <c r="J89" s="295"/>
      <c r="K89" s="295"/>
      <c r="L89" s="295"/>
      <c r="M89" s="295"/>
      <c r="N89" s="295"/>
      <c r="O89" s="295"/>
      <c r="P89" s="295"/>
      <c r="Q89" s="295"/>
      <c r="R89" s="296"/>
    </row>
    <row r="90" spans="1:18" ht="24" customHeight="1">
      <c r="A90" s="33" t="s">
        <v>8</v>
      </c>
      <c r="B90" s="33" t="s">
        <v>9</v>
      </c>
      <c r="C90" s="34" t="s">
        <v>10</v>
      </c>
      <c r="D90" s="33" t="s">
        <v>11</v>
      </c>
      <c r="E90" s="33" t="s">
        <v>12</v>
      </c>
      <c r="F90" s="35" t="s">
        <v>13</v>
      </c>
      <c r="G90" s="36" t="s">
        <v>14</v>
      </c>
      <c r="H90" s="33" t="s">
        <v>15</v>
      </c>
      <c r="I90" s="37" t="s">
        <v>16</v>
      </c>
      <c r="J90" s="38" t="s">
        <v>17</v>
      </c>
      <c r="K90" s="39" t="s">
        <v>18</v>
      </c>
      <c r="L90" s="38" t="s">
        <v>19</v>
      </c>
      <c r="M90" s="38" t="s">
        <v>20</v>
      </c>
      <c r="N90" s="38" t="s">
        <v>21</v>
      </c>
      <c r="O90" s="33" t="s">
        <v>22</v>
      </c>
      <c r="P90" s="34" t="s">
        <v>23</v>
      </c>
      <c r="Q90" s="38" t="s">
        <v>24</v>
      </c>
      <c r="R90" s="33" t="s">
        <v>25</v>
      </c>
    </row>
    <row r="91" spans="1:18" ht="49.9" customHeight="1">
      <c r="A91" s="8" t="s">
        <v>359</v>
      </c>
      <c r="B91" s="8" t="s">
        <v>1291</v>
      </c>
      <c r="C91" s="9">
        <v>0.76736111111111116</v>
      </c>
      <c r="D91" s="8" t="s">
        <v>361</v>
      </c>
      <c r="E91" s="8" t="s">
        <v>80</v>
      </c>
      <c r="F91" s="8" t="s">
        <v>1292</v>
      </c>
      <c r="G91" s="297"/>
      <c r="H91" s="10"/>
      <c r="I91" s="11"/>
      <c r="J91" s="11"/>
      <c r="K91" s="11"/>
      <c r="L91" s="11"/>
      <c r="M91" s="11"/>
      <c r="N91" s="11"/>
      <c r="O91" s="12"/>
      <c r="P91" s="11"/>
      <c r="Q91" s="13"/>
      <c r="R91" s="14"/>
    </row>
    <row r="92" spans="1:18" ht="49.9" customHeight="1">
      <c r="A92" s="15" t="s">
        <v>359</v>
      </c>
      <c r="B92" s="15" t="s">
        <v>1291</v>
      </c>
      <c r="C92" s="16">
        <v>0.76736111111111116</v>
      </c>
      <c r="D92" s="15" t="s">
        <v>46</v>
      </c>
      <c r="E92" s="15" t="s">
        <v>82</v>
      </c>
      <c r="F92" s="15" t="s">
        <v>1293</v>
      </c>
      <c r="G92" s="298"/>
      <c r="H92" s="10"/>
      <c r="I92" s="11"/>
      <c r="J92" s="11"/>
      <c r="K92" s="11"/>
      <c r="L92" s="11"/>
      <c r="M92" s="11"/>
      <c r="N92" s="11"/>
      <c r="O92" s="12"/>
      <c r="P92" s="11"/>
      <c r="Q92" s="13"/>
      <c r="R92" s="14"/>
    </row>
    <row r="93" spans="1:18" ht="49.9" customHeight="1">
      <c r="A93" s="19" t="s">
        <v>402</v>
      </c>
      <c r="B93" s="19" t="s">
        <v>1294</v>
      </c>
      <c r="C93" s="20">
        <v>0.48958333333333331</v>
      </c>
      <c r="D93" s="19" t="s">
        <v>63</v>
      </c>
      <c r="E93" s="19" t="s">
        <v>29</v>
      </c>
      <c r="F93" s="19" t="s">
        <v>1063</v>
      </c>
      <c r="G93" s="298"/>
      <c r="H93" s="10"/>
      <c r="I93" s="11"/>
      <c r="J93" s="11"/>
      <c r="K93" s="11"/>
      <c r="L93" s="11"/>
      <c r="M93" s="11"/>
      <c r="N93" s="11"/>
      <c r="O93" s="12"/>
      <c r="P93" s="11"/>
      <c r="Q93" s="13"/>
      <c r="R93" s="14"/>
    </row>
    <row r="94" spans="1:18" ht="49.9" customHeight="1" thickBot="1">
      <c r="A94" s="96" t="s">
        <v>415</v>
      </c>
      <c r="B94" s="96" t="s">
        <v>1297</v>
      </c>
      <c r="C94" s="97">
        <v>0.4375</v>
      </c>
      <c r="D94" s="96" t="s">
        <v>63</v>
      </c>
      <c r="E94" s="96" t="s">
        <v>103</v>
      </c>
      <c r="F94" s="96" t="s">
        <v>1298</v>
      </c>
      <c r="G94" s="299"/>
      <c r="H94" s="300"/>
      <c r="I94" s="140"/>
      <c r="J94" s="140"/>
      <c r="K94" s="140"/>
      <c r="L94" s="140"/>
      <c r="M94" s="140"/>
      <c r="N94" s="140"/>
      <c r="O94" s="141"/>
      <c r="P94" s="140"/>
      <c r="Q94" s="142"/>
      <c r="R94" s="301"/>
    </row>
    <row r="95" spans="1:18" ht="17.45" customHeight="1" thickBot="1">
      <c r="A95" s="283"/>
      <c r="B95" s="284"/>
      <c r="C95" s="284"/>
      <c r="D95" s="284"/>
      <c r="E95" s="284"/>
      <c r="F95" s="284"/>
      <c r="G95" s="284"/>
      <c r="H95" s="284"/>
      <c r="I95" s="284"/>
      <c r="J95" s="284"/>
      <c r="K95" s="284"/>
      <c r="L95" s="284"/>
      <c r="M95" s="284"/>
      <c r="N95" s="284"/>
      <c r="O95" s="284"/>
      <c r="P95" s="284"/>
      <c r="Q95" s="284"/>
      <c r="R95" s="285"/>
    </row>
    <row r="96" spans="1:18" ht="22.15" customHeight="1" thickTop="1" thickBot="1">
      <c r="A96" s="279" t="s">
        <v>6</v>
      </c>
      <c r="B96" s="295"/>
      <c r="C96" s="295"/>
      <c r="D96" s="295"/>
      <c r="E96" s="295"/>
      <c r="F96" s="296"/>
      <c r="G96" s="32">
        <v>46036</v>
      </c>
      <c r="H96" s="278" t="s">
        <v>7</v>
      </c>
      <c r="I96" s="295"/>
      <c r="J96" s="295"/>
      <c r="K96" s="295"/>
      <c r="L96" s="295"/>
      <c r="M96" s="295"/>
      <c r="N96" s="295"/>
      <c r="O96" s="295"/>
      <c r="P96" s="295"/>
      <c r="Q96" s="295"/>
      <c r="R96" s="296"/>
    </row>
    <row r="97" spans="1:18" ht="24" customHeight="1">
      <c r="A97" s="33" t="s">
        <v>8</v>
      </c>
      <c r="B97" s="33" t="s">
        <v>9</v>
      </c>
      <c r="C97" s="34" t="s">
        <v>10</v>
      </c>
      <c r="D97" s="33" t="s">
        <v>11</v>
      </c>
      <c r="E97" s="33" t="s">
        <v>12</v>
      </c>
      <c r="F97" s="35" t="s">
        <v>13</v>
      </c>
      <c r="G97" s="36" t="s">
        <v>14</v>
      </c>
      <c r="H97" s="33" t="s">
        <v>15</v>
      </c>
      <c r="I97" s="37" t="s">
        <v>16</v>
      </c>
      <c r="J97" s="38" t="s">
        <v>17</v>
      </c>
      <c r="K97" s="39" t="s">
        <v>18</v>
      </c>
      <c r="L97" s="38" t="s">
        <v>19</v>
      </c>
      <c r="M97" s="38" t="s">
        <v>20</v>
      </c>
      <c r="N97" s="38" t="s">
        <v>21</v>
      </c>
      <c r="O97" s="33" t="s">
        <v>22</v>
      </c>
      <c r="P97" s="34" t="s">
        <v>23</v>
      </c>
      <c r="Q97" s="38" t="s">
        <v>24</v>
      </c>
      <c r="R97" s="33" t="s">
        <v>25</v>
      </c>
    </row>
    <row r="98" spans="1:18" ht="49.9" customHeight="1">
      <c r="A98" s="8" t="s">
        <v>359</v>
      </c>
      <c r="B98" s="8" t="s">
        <v>1291</v>
      </c>
      <c r="C98" s="9">
        <v>0.76736111111111116</v>
      </c>
      <c r="D98" s="8" t="s">
        <v>361</v>
      </c>
      <c r="E98" s="8" t="s">
        <v>80</v>
      </c>
      <c r="F98" s="8" t="s">
        <v>1304</v>
      </c>
      <c r="G98" s="297"/>
      <c r="H98" s="10"/>
      <c r="I98" s="11"/>
      <c r="J98" s="11"/>
      <c r="K98" s="11"/>
      <c r="L98" s="11"/>
      <c r="M98" s="11"/>
      <c r="N98" s="11"/>
      <c r="O98" s="12"/>
      <c r="P98" s="11"/>
      <c r="Q98" s="13"/>
      <c r="R98" s="14"/>
    </row>
    <row r="99" spans="1:18" ht="49.9" customHeight="1">
      <c r="A99" s="15" t="s">
        <v>359</v>
      </c>
      <c r="B99" s="15" t="s">
        <v>1291</v>
      </c>
      <c r="C99" s="16">
        <v>0.76736111111111116</v>
      </c>
      <c r="D99" s="15" t="s">
        <v>46</v>
      </c>
      <c r="E99" s="15" t="s">
        <v>82</v>
      </c>
      <c r="F99" s="15" t="s">
        <v>1305</v>
      </c>
      <c r="G99" s="298"/>
      <c r="H99" s="10"/>
      <c r="I99" s="11"/>
      <c r="J99" s="11"/>
      <c r="K99" s="11"/>
      <c r="L99" s="11"/>
      <c r="M99" s="11"/>
      <c r="N99" s="11"/>
      <c r="O99" s="12"/>
      <c r="P99" s="11"/>
      <c r="Q99" s="13"/>
      <c r="R99" s="14"/>
    </row>
    <row r="100" spans="1:18" ht="49.9" customHeight="1">
      <c r="A100" s="19" t="s">
        <v>68</v>
      </c>
      <c r="B100" s="19" t="s">
        <v>1295</v>
      </c>
      <c r="C100" s="20">
        <v>0.86805555555555547</v>
      </c>
      <c r="D100" s="19" t="s">
        <v>643</v>
      </c>
      <c r="E100" s="19" t="s">
        <v>51</v>
      </c>
      <c r="F100" s="19" t="s">
        <v>1296</v>
      </c>
      <c r="G100" s="298"/>
      <c r="H100" s="10"/>
      <c r="I100" s="11"/>
      <c r="J100" s="11"/>
      <c r="K100" s="11"/>
      <c r="L100" s="11"/>
      <c r="M100" s="11"/>
      <c r="N100" s="11"/>
      <c r="O100" s="12"/>
      <c r="P100" s="11"/>
      <c r="Q100" s="13"/>
      <c r="R100" s="14"/>
    </row>
    <row r="101" spans="1:18" ht="49.9" customHeight="1">
      <c r="A101" s="19" t="s">
        <v>402</v>
      </c>
      <c r="B101" s="19" t="s">
        <v>1294</v>
      </c>
      <c r="C101" s="20">
        <v>0.48958333333333331</v>
      </c>
      <c r="D101" s="19" t="s">
        <v>63</v>
      </c>
      <c r="E101" s="19" t="s">
        <v>103</v>
      </c>
      <c r="F101" s="19" t="s">
        <v>1063</v>
      </c>
      <c r="G101" s="298"/>
      <c r="H101" s="10"/>
      <c r="I101" s="11"/>
      <c r="J101" s="11"/>
      <c r="K101" s="11"/>
      <c r="L101" s="11"/>
      <c r="M101" s="11"/>
      <c r="N101" s="11"/>
      <c r="O101" s="12"/>
      <c r="P101" s="11"/>
      <c r="Q101" s="13"/>
      <c r="R101" s="14"/>
    </row>
    <row r="102" spans="1:18" ht="49.9" customHeight="1" thickBot="1">
      <c r="A102" s="96" t="s">
        <v>415</v>
      </c>
      <c r="B102" s="96" t="s">
        <v>1297</v>
      </c>
      <c r="C102" s="97">
        <v>0.4548611111111111</v>
      </c>
      <c r="D102" s="96" t="s">
        <v>63</v>
      </c>
      <c r="E102" s="96" t="s">
        <v>103</v>
      </c>
      <c r="F102" s="96" t="s">
        <v>1298</v>
      </c>
      <c r="G102" s="299"/>
      <c r="H102" s="300"/>
      <c r="I102" s="140"/>
      <c r="J102" s="140"/>
      <c r="K102" s="140"/>
      <c r="L102" s="140"/>
      <c r="M102" s="140"/>
      <c r="N102" s="140"/>
      <c r="O102" s="141"/>
      <c r="P102" s="140"/>
      <c r="Q102" s="142"/>
      <c r="R102" s="301"/>
    </row>
    <row r="103" spans="1:18" ht="17.45" customHeight="1" thickBot="1">
      <c r="A103" s="283"/>
      <c r="B103" s="284"/>
      <c r="C103" s="284"/>
      <c r="D103" s="284"/>
      <c r="E103" s="284"/>
      <c r="F103" s="284"/>
      <c r="G103" s="284"/>
      <c r="H103" s="284"/>
      <c r="I103" s="284"/>
      <c r="J103" s="284"/>
      <c r="K103" s="284"/>
      <c r="L103" s="284"/>
      <c r="M103" s="284"/>
      <c r="N103" s="284"/>
      <c r="O103" s="284"/>
      <c r="P103" s="284"/>
      <c r="Q103" s="284"/>
      <c r="R103" s="285"/>
    </row>
    <row r="104" spans="1:18" ht="22.15" customHeight="1" thickTop="1" thickBot="1">
      <c r="A104" s="279" t="s">
        <v>6</v>
      </c>
      <c r="B104" s="295"/>
      <c r="C104" s="295"/>
      <c r="D104" s="295"/>
      <c r="E104" s="295"/>
      <c r="F104" s="296"/>
      <c r="G104" s="32">
        <v>46037</v>
      </c>
      <c r="H104" s="278" t="s">
        <v>7</v>
      </c>
      <c r="I104" s="295"/>
      <c r="J104" s="295"/>
      <c r="K104" s="295"/>
      <c r="L104" s="295"/>
      <c r="M104" s="295"/>
      <c r="N104" s="295"/>
      <c r="O104" s="295"/>
      <c r="P104" s="295"/>
      <c r="Q104" s="295"/>
      <c r="R104" s="296"/>
    </row>
    <row r="105" spans="1:18" ht="24" customHeight="1">
      <c r="A105" s="33" t="s">
        <v>8</v>
      </c>
      <c r="B105" s="33" t="s">
        <v>9</v>
      </c>
      <c r="C105" s="34" t="s">
        <v>10</v>
      </c>
      <c r="D105" s="33" t="s">
        <v>11</v>
      </c>
      <c r="E105" s="33" t="s">
        <v>12</v>
      </c>
      <c r="F105" s="35" t="s">
        <v>13</v>
      </c>
      <c r="G105" s="36" t="s">
        <v>14</v>
      </c>
      <c r="H105" s="33" t="s">
        <v>15</v>
      </c>
      <c r="I105" s="37" t="s">
        <v>16</v>
      </c>
      <c r="J105" s="38" t="s">
        <v>17</v>
      </c>
      <c r="K105" s="39" t="s">
        <v>18</v>
      </c>
      <c r="L105" s="38" t="s">
        <v>19</v>
      </c>
      <c r="M105" s="38" t="s">
        <v>20</v>
      </c>
      <c r="N105" s="38" t="s">
        <v>21</v>
      </c>
      <c r="O105" s="33" t="s">
        <v>22</v>
      </c>
      <c r="P105" s="34" t="s">
        <v>23</v>
      </c>
      <c r="Q105" s="38" t="s">
        <v>24</v>
      </c>
      <c r="R105" s="33" t="s">
        <v>25</v>
      </c>
    </row>
    <row r="106" spans="1:18" ht="15" customHeight="1">
      <c r="A106" s="8" t="s">
        <v>359</v>
      </c>
      <c r="B106" s="8" t="s">
        <v>1291</v>
      </c>
      <c r="C106" s="9">
        <v>0.76736111111111116</v>
      </c>
      <c r="D106" s="8" t="s">
        <v>361</v>
      </c>
      <c r="E106" s="8" t="s">
        <v>80</v>
      </c>
      <c r="F106" s="8" t="s">
        <v>1304</v>
      </c>
      <c r="G106" s="297"/>
      <c r="H106" s="10"/>
      <c r="I106" s="11"/>
      <c r="J106" s="11"/>
      <c r="K106" s="11"/>
      <c r="L106" s="11"/>
      <c r="M106" s="11"/>
      <c r="N106" s="11"/>
      <c r="O106" s="12"/>
      <c r="P106" s="11"/>
      <c r="Q106" s="13"/>
      <c r="R106" s="14"/>
    </row>
    <row r="107" spans="1:18" ht="15" customHeight="1">
      <c r="A107" s="15" t="s">
        <v>359</v>
      </c>
      <c r="B107" s="15" t="s">
        <v>1291</v>
      </c>
      <c r="C107" s="16">
        <v>0.76736111111111116</v>
      </c>
      <c r="D107" s="15" t="s">
        <v>46</v>
      </c>
      <c r="E107" s="15" t="s">
        <v>82</v>
      </c>
      <c r="F107" s="15" t="s">
        <v>1305</v>
      </c>
      <c r="G107" s="298"/>
      <c r="H107" s="10"/>
      <c r="I107" s="11"/>
      <c r="J107" s="11"/>
      <c r="K107" s="11"/>
      <c r="L107" s="11"/>
      <c r="M107" s="11"/>
      <c r="N107" s="11"/>
      <c r="O107" s="12"/>
      <c r="P107" s="11"/>
      <c r="Q107" s="13"/>
      <c r="R107" s="14"/>
    </row>
    <row r="108" spans="1:18" ht="15" customHeight="1">
      <c r="A108" s="19" t="s">
        <v>68</v>
      </c>
      <c r="B108" s="19" t="s">
        <v>1295</v>
      </c>
      <c r="C108" s="20">
        <v>0.86805555555555547</v>
      </c>
      <c r="D108" s="19" t="s">
        <v>643</v>
      </c>
      <c r="E108" s="19" t="s">
        <v>51</v>
      </c>
      <c r="F108" s="19" t="s">
        <v>1296</v>
      </c>
      <c r="G108" s="298"/>
      <c r="H108" s="10"/>
      <c r="I108" s="11"/>
      <c r="J108" s="11"/>
      <c r="K108" s="11"/>
      <c r="L108" s="11"/>
      <c r="M108" s="11"/>
      <c r="N108" s="11"/>
      <c r="O108" s="12"/>
      <c r="P108" s="11"/>
      <c r="Q108" s="13"/>
      <c r="R108" s="14"/>
    </row>
    <row r="109" spans="1:18" ht="15" customHeight="1">
      <c r="A109" s="78" t="s">
        <v>61</v>
      </c>
      <c r="B109" s="78" t="s">
        <v>1287</v>
      </c>
      <c r="C109" s="79">
        <v>0.63194444444444442</v>
      </c>
      <c r="D109" s="78" t="s">
        <v>63</v>
      </c>
      <c r="E109" s="78" t="s">
        <v>51</v>
      </c>
      <c r="F109" s="78" t="s">
        <v>1306</v>
      </c>
      <c r="G109" s="298"/>
      <c r="H109" s="80" t="s">
        <v>1289</v>
      </c>
      <c r="I109" s="81">
        <v>1.6799999999999999E-2</v>
      </c>
      <c r="J109" s="82">
        <v>3</v>
      </c>
      <c r="K109" s="83">
        <v>46339</v>
      </c>
      <c r="L109" s="82">
        <v>3</v>
      </c>
      <c r="M109" s="82">
        <v>0</v>
      </c>
      <c r="N109" s="82">
        <v>0</v>
      </c>
      <c r="O109" s="84" t="s">
        <v>667</v>
      </c>
      <c r="P109" s="85">
        <v>0.63194444444444442</v>
      </c>
      <c r="Q109" s="82">
        <v>179</v>
      </c>
      <c r="R109" s="86" t="s">
        <v>1307</v>
      </c>
    </row>
    <row r="110" spans="1:18" ht="15" customHeight="1">
      <c r="A110" s="19" t="s">
        <v>402</v>
      </c>
      <c r="B110" s="19" t="s">
        <v>1294</v>
      </c>
      <c r="C110" s="20">
        <v>0.48958333333333331</v>
      </c>
      <c r="D110" s="19" t="s">
        <v>63</v>
      </c>
      <c r="E110" s="19" t="s">
        <v>103</v>
      </c>
      <c r="F110" s="19" t="s">
        <v>1063</v>
      </c>
      <c r="G110" s="298"/>
      <c r="H110" s="10"/>
      <c r="I110" s="11"/>
      <c r="J110" s="11"/>
      <c r="K110" s="11"/>
      <c r="L110" s="11"/>
      <c r="M110" s="11"/>
      <c r="N110" s="11"/>
      <c r="O110" s="12"/>
      <c r="P110" s="11"/>
      <c r="Q110" s="13"/>
      <c r="R110" s="14"/>
    </row>
    <row r="111" spans="1:18" ht="15" customHeight="1" thickBot="1">
      <c r="A111" s="96" t="s">
        <v>415</v>
      </c>
      <c r="B111" s="96" t="s">
        <v>1297</v>
      </c>
      <c r="C111" s="97">
        <v>0.4548611111111111</v>
      </c>
      <c r="D111" s="96" t="s">
        <v>63</v>
      </c>
      <c r="E111" s="96" t="s">
        <v>103</v>
      </c>
      <c r="F111" s="96" t="s">
        <v>1298</v>
      </c>
      <c r="G111" s="299"/>
      <c r="H111" s="300"/>
      <c r="I111" s="140"/>
      <c r="J111" s="140"/>
      <c r="K111" s="140"/>
      <c r="L111" s="140"/>
      <c r="M111" s="140"/>
      <c r="N111" s="140"/>
      <c r="O111" s="141"/>
      <c r="P111" s="140"/>
      <c r="Q111" s="142"/>
      <c r="R111" s="301"/>
    </row>
    <row r="112" spans="1:18" ht="17.45" customHeight="1" thickBot="1">
      <c r="A112" s="283"/>
      <c r="B112" s="284"/>
      <c r="C112" s="284"/>
      <c r="D112" s="284"/>
      <c r="E112" s="284"/>
      <c r="F112" s="284"/>
      <c r="G112" s="284"/>
      <c r="H112" s="284"/>
      <c r="I112" s="284"/>
      <c r="J112" s="284"/>
      <c r="K112" s="284"/>
      <c r="L112" s="284"/>
      <c r="M112" s="284"/>
      <c r="N112" s="284"/>
      <c r="O112" s="284"/>
      <c r="P112" s="284"/>
      <c r="Q112" s="284"/>
      <c r="R112" s="285"/>
    </row>
    <row r="113" spans="1:18" ht="22.15" customHeight="1" thickTop="1" thickBot="1">
      <c r="A113" s="279" t="s">
        <v>6</v>
      </c>
      <c r="B113" s="295"/>
      <c r="C113" s="295"/>
      <c r="D113" s="295"/>
      <c r="E113" s="295"/>
      <c r="F113" s="296"/>
      <c r="G113" s="32">
        <v>46038</v>
      </c>
      <c r="H113" s="278" t="s">
        <v>7</v>
      </c>
      <c r="I113" s="295"/>
      <c r="J113" s="295"/>
      <c r="K113" s="295"/>
      <c r="L113" s="295"/>
      <c r="M113" s="295"/>
      <c r="N113" s="295"/>
      <c r="O113" s="295"/>
      <c r="P113" s="295"/>
      <c r="Q113" s="295"/>
      <c r="R113" s="296"/>
    </row>
    <row r="114" spans="1:18" ht="24" customHeight="1">
      <c r="A114" s="33" t="s">
        <v>8</v>
      </c>
      <c r="B114" s="33" t="s">
        <v>9</v>
      </c>
      <c r="C114" s="34" t="s">
        <v>10</v>
      </c>
      <c r="D114" s="33" t="s">
        <v>11</v>
      </c>
      <c r="E114" s="33" t="s">
        <v>12</v>
      </c>
      <c r="F114" s="35" t="s">
        <v>13</v>
      </c>
      <c r="G114" s="36" t="s">
        <v>14</v>
      </c>
      <c r="H114" s="33" t="s">
        <v>15</v>
      </c>
      <c r="I114" s="37" t="s">
        <v>16</v>
      </c>
      <c r="J114" s="38" t="s">
        <v>17</v>
      </c>
      <c r="K114" s="39" t="s">
        <v>18</v>
      </c>
      <c r="L114" s="38" t="s">
        <v>19</v>
      </c>
      <c r="M114" s="38" t="s">
        <v>20</v>
      </c>
      <c r="N114" s="38" t="s">
        <v>21</v>
      </c>
      <c r="O114" s="33" t="s">
        <v>22</v>
      </c>
      <c r="P114" s="34" t="s">
        <v>23</v>
      </c>
      <c r="Q114" s="38" t="s">
        <v>24</v>
      </c>
      <c r="R114" s="33" t="s">
        <v>25</v>
      </c>
    </row>
    <row r="115" spans="1:18" ht="49.9" customHeight="1">
      <c r="A115" s="40" t="s">
        <v>61</v>
      </c>
      <c r="B115" s="40" t="s">
        <v>1287</v>
      </c>
      <c r="C115" s="41">
        <v>0.82986111111111116</v>
      </c>
      <c r="D115" s="40" t="s">
        <v>63</v>
      </c>
      <c r="E115" s="40" t="s">
        <v>107</v>
      </c>
      <c r="F115" s="40" t="s">
        <v>1306</v>
      </c>
      <c r="G115" s="297"/>
      <c r="H115" s="42" t="s">
        <v>1289</v>
      </c>
      <c r="I115" s="43">
        <v>7.8200000000000006E-2</v>
      </c>
      <c r="J115" s="44">
        <v>14</v>
      </c>
      <c r="K115" s="45">
        <v>46345</v>
      </c>
      <c r="L115" s="44">
        <v>14</v>
      </c>
      <c r="M115" s="44">
        <v>0</v>
      </c>
      <c r="N115" s="44">
        <v>0</v>
      </c>
      <c r="O115" s="46" t="s">
        <v>1119</v>
      </c>
      <c r="P115" s="47">
        <v>0.82986111111111116</v>
      </c>
      <c r="Q115" s="44">
        <v>179</v>
      </c>
      <c r="R115" s="48" t="s">
        <v>1308</v>
      </c>
    </row>
    <row r="116" spans="1:18" ht="49.9" customHeight="1">
      <c r="A116" s="19" t="s">
        <v>402</v>
      </c>
      <c r="B116" s="19" t="s">
        <v>1294</v>
      </c>
      <c r="C116" s="20">
        <v>0.48958333333333331</v>
      </c>
      <c r="D116" s="19" t="s">
        <v>63</v>
      </c>
      <c r="E116" s="19" t="s">
        <v>103</v>
      </c>
      <c r="F116" s="19" t="s">
        <v>1063</v>
      </c>
      <c r="G116" s="298"/>
      <c r="H116" s="10"/>
      <c r="I116" s="11"/>
      <c r="J116" s="11"/>
      <c r="K116" s="11"/>
      <c r="L116" s="11"/>
      <c r="M116" s="11"/>
      <c r="N116" s="11"/>
      <c r="O116" s="12"/>
      <c r="P116" s="11"/>
      <c r="Q116" s="13"/>
      <c r="R116" s="14"/>
    </row>
    <row r="117" spans="1:18" ht="49.9" customHeight="1">
      <c r="A117" s="19" t="s">
        <v>68</v>
      </c>
      <c r="B117" s="19" t="s">
        <v>1295</v>
      </c>
      <c r="C117" s="20">
        <v>0.86805555555555547</v>
      </c>
      <c r="D117" s="19" t="s">
        <v>70</v>
      </c>
      <c r="E117" s="19" t="s">
        <v>51</v>
      </c>
      <c r="F117" s="19" t="s">
        <v>653</v>
      </c>
      <c r="G117" s="298"/>
      <c r="H117" s="10"/>
      <c r="I117" s="11"/>
      <c r="J117" s="11"/>
      <c r="K117" s="11"/>
      <c r="L117" s="11"/>
      <c r="M117" s="11"/>
      <c r="N117" s="11"/>
      <c r="O117" s="12"/>
      <c r="P117" s="11"/>
      <c r="Q117" s="13"/>
      <c r="R117" s="14"/>
    </row>
    <row r="118" spans="1:18" ht="49.9" customHeight="1" thickBot="1">
      <c r="A118" s="96" t="s">
        <v>415</v>
      </c>
      <c r="B118" s="96" t="s">
        <v>1297</v>
      </c>
      <c r="C118" s="97">
        <v>0.4375</v>
      </c>
      <c r="D118" s="96" t="s">
        <v>63</v>
      </c>
      <c r="E118" s="96" t="s">
        <v>103</v>
      </c>
      <c r="F118" s="96" t="s">
        <v>1298</v>
      </c>
      <c r="G118" s="299"/>
      <c r="H118" s="300"/>
      <c r="I118" s="140"/>
      <c r="J118" s="140"/>
      <c r="K118" s="140"/>
      <c r="L118" s="140"/>
      <c r="M118" s="140"/>
      <c r="N118" s="140"/>
      <c r="O118" s="141"/>
      <c r="P118" s="140"/>
      <c r="Q118" s="142"/>
      <c r="R118" s="301"/>
    </row>
    <row r="119" spans="1:18" ht="17.45" customHeight="1" thickBot="1">
      <c r="A119" s="283"/>
      <c r="B119" s="284"/>
      <c r="C119" s="284"/>
      <c r="D119" s="284"/>
      <c r="E119" s="284"/>
      <c r="F119" s="284"/>
      <c r="G119" s="284"/>
      <c r="H119" s="284"/>
      <c r="I119" s="284"/>
      <c r="J119" s="284"/>
      <c r="K119" s="284"/>
      <c r="L119" s="284"/>
      <c r="M119" s="284"/>
      <c r="N119" s="284"/>
      <c r="O119" s="284"/>
      <c r="P119" s="284"/>
      <c r="Q119" s="284"/>
      <c r="R119" s="285"/>
    </row>
    <row r="120" spans="1:18" ht="22.15" customHeight="1" thickTop="1" thickBot="1">
      <c r="A120" s="279" t="s">
        <v>6</v>
      </c>
      <c r="B120" s="295"/>
      <c r="C120" s="295"/>
      <c r="D120" s="295"/>
      <c r="E120" s="295"/>
      <c r="F120" s="296"/>
      <c r="G120" s="32">
        <v>46039</v>
      </c>
      <c r="H120" s="278" t="s">
        <v>7</v>
      </c>
      <c r="I120" s="295"/>
      <c r="J120" s="295"/>
      <c r="K120" s="295"/>
      <c r="L120" s="295"/>
      <c r="M120" s="295"/>
      <c r="N120" s="295"/>
      <c r="O120" s="295"/>
      <c r="P120" s="295"/>
      <c r="Q120" s="295"/>
      <c r="R120" s="296"/>
    </row>
    <row r="121" spans="1:18" ht="24" customHeight="1">
      <c r="A121" s="33" t="s">
        <v>8</v>
      </c>
      <c r="B121" s="33" t="s">
        <v>9</v>
      </c>
      <c r="C121" s="34" t="s">
        <v>10</v>
      </c>
      <c r="D121" s="33" t="s">
        <v>11</v>
      </c>
      <c r="E121" s="33" t="s">
        <v>12</v>
      </c>
      <c r="F121" s="35" t="s">
        <v>13</v>
      </c>
      <c r="G121" s="36" t="s">
        <v>14</v>
      </c>
      <c r="H121" s="33" t="s">
        <v>15</v>
      </c>
      <c r="I121" s="37" t="s">
        <v>16</v>
      </c>
      <c r="J121" s="38" t="s">
        <v>17</v>
      </c>
      <c r="K121" s="39" t="s">
        <v>18</v>
      </c>
      <c r="L121" s="38" t="s">
        <v>19</v>
      </c>
      <c r="M121" s="38" t="s">
        <v>20</v>
      </c>
      <c r="N121" s="38" t="s">
        <v>21</v>
      </c>
      <c r="O121" s="33" t="s">
        <v>22</v>
      </c>
      <c r="P121" s="34" t="s">
        <v>23</v>
      </c>
      <c r="Q121" s="38" t="s">
        <v>24</v>
      </c>
      <c r="R121" s="33" t="s">
        <v>25</v>
      </c>
    </row>
    <row r="122" spans="1:18" ht="49.9" customHeight="1">
      <c r="A122" s="8" t="s">
        <v>359</v>
      </c>
      <c r="B122" s="8" t="s">
        <v>1291</v>
      </c>
      <c r="C122" s="9">
        <v>0.76736111111111116</v>
      </c>
      <c r="D122" s="8" t="s">
        <v>361</v>
      </c>
      <c r="E122" s="8" t="s">
        <v>80</v>
      </c>
      <c r="F122" s="8" t="s">
        <v>1309</v>
      </c>
      <c r="G122" s="297"/>
      <c r="H122" s="10"/>
      <c r="I122" s="11"/>
      <c r="J122" s="11"/>
      <c r="K122" s="11"/>
      <c r="L122" s="11"/>
      <c r="M122" s="11"/>
      <c r="N122" s="11"/>
      <c r="O122" s="12"/>
      <c r="P122" s="11"/>
      <c r="Q122" s="13"/>
      <c r="R122" s="14"/>
    </row>
    <row r="123" spans="1:18" ht="49.9" customHeight="1">
      <c r="A123" s="15" t="s">
        <v>359</v>
      </c>
      <c r="B123" s="15" t="s">
        <v>1291</v>
      </c>
      <c r="C123" s="16">
        <v>0.76736111111111116</v>
      </c>
      <c r="D123" s="15" t="s">
        <v>46</v>
      </c>
      <c r="E123" s="15" t="s">
        <v>82</v>
      </c>
      <c r="F123" s="15" t="s">
        <v>1310</v>
      </c>
      <c r="G123" s="298"/>
      <c r="H123" s="10"/>
      <c r="I123" s="11"/>
      <c r="J123" s="11"/>
      <c r="K123" s="11"/>
      <c r="L123" s="11"/>
      <c r="M123" s="11"/>
      <c r="N123" s="11"/>
      <c r="O123" s="12"/>
      <c r="P123" s="11"/>
      <c r="Q123" s="13"/>
      <c r="R123" s="14"/>
    </row>
    <row r="124" spans="1:18" ht="49.9" customHeight="1">
      <c r="A124" s="19" t="s">
        <v>402</v>
      </c>
      <c r="B124" s="19" t="s">
        <v>1300</v>
      </c>
      <c r="C124" s="20">
        <v>0.8125</v>
      </c>
      <c r="D124" s="19" t="s">
        <v>63</v>
      </c>
      <c r="E124" s="19" t="s">
        <v>29</v>
      </c>
      <c r="F124" s="19" t="s">
        <v>1063</v>
      </c>
      <c r="G124" s="298"/>
      <c r="H124" s="10"/>
      <c r="I124" s="11"/>
      <c r="J124" s="11"/>
      <c r="K124" s="11"/>
      <c r="L124" s="11"/>
      <c r="M124" s="11"/>
      <c r="N124" s="11"/>
      <c r="O124" s="12"/>
      <c r="P124" s="11"/>
      <c r="Q124" s="13"/>
      <c r="R124" s="14"/>
    </row>
    <row r="125" spans="1:18" ht="49.9" customHeight="1">
      <c r="A125" s="19" t="s">
        <v>415</v>
      </c>
      <c r="B125" s="19" t="s">
        <v>1297</v>
      </c>
      <c r="C125" s="20">
        <v>0.4375</v>
      </c>
      <c r="D125" s="19" t="s">
        <v>63</v>
      </c>
      <c r="E125" s="19" t="s">
        <v>103</v>
      </c>
      <c r="F125" s="19" t="s">
        <v>1298</v>
      </c>
      <c r="G125" s="298"/>
      <c r="H125" s="10"/>
      <c r="I125" s="11"/>
      <c r="J125" s="11"/>
      <c r="K125" s="11"/>
      <c r="L125" s="11"/>
      <c r="M125" s="11"/>
      <c r="N125" s="11"/>
      <c r="O125" s="12"/>
      <c r="P125" s="11"/>
      <c r="Q125" s="13"/>
      <c r="R125" s="14"/>
    </row>
    <row r="126" spans="1:18" ht="49.9" customHeight="1" thickBot="1">
      <c r="A126" s="96" t="s">
        <v>68</v>
      </c>
      <c r="B126" s="96" t="s">
        <v>1295</v>
      </c>
      <c r="C126" s="97">
        <v>0.86805555555555547</v>
      </c>
      <c r="D126" s="96" t="s">
        <v>70</v>
      </c>
      <c r="E126" s="96" t="s">
        <v>51</v>
      </c>
      <c r="F126" s="96" t="s">
        <v>1311</v>
      </c>
      <c r="G126" s="299"/>
      <c r="H126" s="300"/>
      <c r="I126" s="140"/>
      <c r="J126" s="140"/>
      <c r="K126" s="140"/>
      <c r="L126" s="140"/>
      <c r="M126" s="140"/>
      <c r="N126" s="140"/>
      <c r="O126" s="141"/>
      <c r="P126" s="140"/>
      <c r="Q126" s="142"/>
      <c r="R126" s="301"/>
    </row>
    <row r="127" spans="1:18" ht="17.45" customHeight="1" thickBot="1">
      <c r="A127" s="283"/>
      <c r="B127" s="284"/>
      <c r="C127" s="284"/>
      <c r="D127" s="284"/>
      <c r="E127" s="284"/>
      <c r="F127" s="284"/>
      <c r="G127" s="284"/>
      <c r="H127" s="284"/>
      <c r="I127" s="284"/>
      <c r="J127" s="284"/>
      <c r="K127" s="284"/>
      <c r="L127" s="284"/>
      <c r="M127" s="284"/>
      <c r="N127" s="284"/>
      <c r="O127" s="284"/>
      <c r="P127" s="284"/>
      <c r="Q127" s="284"/>
      <c r="R127" s="285"/>
    </row>
    <row r="128" spans="1:18" ht="22.15" customHeight="1" thickTop="1" thickBot="1">
      <c r="A128" s="279" t="s">
        <v>6</v>
      </c>
      <c r="B128" s="295"/>
      <c r="C128" s="295"/>
      <c r="D128" s="295"/>
      <c r="E128" s="295"/>
      <c r="F128" s="296"/>
      <c r="G128" s="32">
        <v>46040</v>
      </c>
      <c r="H128" s="278" t="s">
        <v>7</v>
      </c>
      <c r="I128" s="295"/>
      <c r="J128" s="295"/>
      <c r="K128" s="295"/>
      <c r="L128" s="295"/>
      <c r="M128" s="295"/>
      <c r="N128" s="295"/>
      <c r="O128" s="295"/>
      <c r="P128" s="295"/>
      <c r="Q128" s="295"/>
      <c r="R128" s="296"/>
    </row>
    <row r="129" spans="1:18" ht="24" customHeight="1">
      <c r="A129" s="33" t="s">
        <v>8</v>
      </c>
      <c r="B129" s="33" t="s">
        <v>9</v>
      </c>
      <c r="C129" s="34" t="s">
        <v>10</v>
      </c>
      <c r="D129" s="33" t="s">
        <v>11</v>
      </c>
      <c r="E129" s="33" t="s">
        <v>12</v>
      </c>
      <c r="F129" s="35" t="s">
        <v>13</v>
      </c>
      <c r="G129" s="36" t="s">
        <v>14</v>
      </c>
      <c r="H129" s="33" t="s">
        <v>15</v>
      </c>
      <c r="I129" s="37" t="s">
        <v>16</v>
      </c>
      <c r="J129" s="38" t="s">
        <v>17</v>
      </c>
      <c r="K129" s="39" t="s">
        <v>18</v>
      </c>
      <c r="L129" s="38" t="s">
        <v>19</v>
      </c>
      <c r="M129" s="38" t="s">
        <v>20</v>
      </c>
      <c r="N129" s="38" t="s">
        <v>21</v>
      </c>
      <c r="O129" s="33" t="s">
        <v>22</v>
      </c>
      <c r="P129" s="34" t="s">
        <v>23</v>
      </c>
      <c r="Q129" s="38" t="s">
        <v>24</v>
      </c>
      <c r="R129" s="33" t="s">
        <v>25</v>
      </c>
    </row>
    <row r="130" spans="1:18" ht="49.9" customHeight="1">
      <c r="A130" s="87" t="s">
        <v>61</v>
      </c>
      <c r="B130" s="87" t="s">
        <v>1287</v>
      </c>
      <c r="C130" s="88">
        <v>0.63194444444444442</v>
      </c>
      <c r="D130" s="87" t="s">
        <v>63</v>
      </c>
      <c r="E130" s="87" t="s">
        <v>107</v>
      </c>
      <c r="F130" s="87" t="s">
        <v>1255</v>
      </c>
      <c r="G130" s="297"/>
      <c r="H130" s="89" t="s">
        <v>1289</v>
      </c>
      <c r="I130" s="90">
        <v>8.9399999999999993E-2</v>
      </c>
      <c r="J130" s="91">
        <v>16</v>
      </c>
      <c r="K130" s="92">
        <v>46342</v>
      </c>
      <c r="L130" s="91">
        <v>16</v>
      </c>
      <c r="M130" s="91">
        <v>0</v>
      </c>
      <c r="N130" s="91">
        <v>0</v>
      </c>
      <c r="O130" s="93" t="s">
        <v>299</v>
      </c>
      <c r="P130" s="94">
        <v>0.63194444444444442</v>
      </c>
      <c r="Q130" s="91">
        <v>179</v>
      </c>
      <c r="R130" s="95" t="s">
        <v>1312</v>
      </c>
    </row>
    <row r="131" spans="1:18" ht="49.9" customHeight="1">
      <c r="A131" s="19" t="s">
        <v>402</v>
      </c>
      <c r="B131" s="19" t="s">
        <v>1294</v>
      </c>
      <c r="C131" s="20">
        <v>0.48958333333333331</v>
      </c>
      <c r="D131" s="19" t="s">
        <v>63</v>
      </c>
      <c r="E131" s="19" t="s">
        <v>103</v>
      </c>
      <c r="F131" s="19" t="s">
        <v>1063</v>
      </c>
      <c r="G131" s="298"/>
      <c r="H131" s="10"/>
      <c r="I131" s="11"/>
      <c r="J131" s="11"/>
      <c r="K131" s="11"/>
      <c r="L131" s="11"/>
      <c r="M131" s="11"/>
      <c r="N131" s="11"/>
      <c r="O131" s="12"/>
      <c r="P131" s="11"/>
      <c r="Q131" s="13"/>
      <c r="R131" s="14"/>
    </row>
    <row r="132" spans="1:18" ht="49.9" customHeight="1" thickBot="1">
      <c r="A132" s="96" t="s">
        <v>415</v>
      </c>
      <c r="B132" s="96" t="s">
        <v>1297</v>
      </c>
      <c r="C132" s="97">
        <v>0.4375</v>
      </c>
      <c r="D132" s="96" t="s">
        <v>63</v>
      </c>
      <c r="E132" s="96" t="s">
        <v>103</v>
      </c>
      <c r="F132" s="96" t="s">
        <v>1298</v>
      </c>
      <c r="G132" s="299"/>
      <c r="H132" s="300"/>
      <c r="I132" s="140"/>
      <c r="J132" s="140"/>
      <c r="K132" s="140"/>
      <c r="L132" s="140"/>
      <c r="M132" s="140"/>
      <c r="N132" s="140"/>
      <c r="O132" s="141"/>
      <c r="P132" s="140"/>
      <c r="Q132" s="142"/>
      <c r="R132" s="301"/>
    </row>
    <row r="133" spans="1:18" ht="17.45" customHeight="1" thickBot="1">
      <c r="A133" s="283"/>
      <c r="B133" s="284"/>
      <c r="C133" s="284"/>
      <c r="D133" s="284"/>
      <c r="E133" s="284"/>
      <c r="F133" s="284"/>
      <c r="G133" s="284"/>
      <c r="H133" s="284"/>
      <c r="I133" s="284"/>
      <c r="J133" s="284"/>
      <c r="K133" s="284"/>
      <c r="L133" s="284"/>
      <c r="M133" s="284"/>
      <c r="N133" s="284"/>
      <c r="O133" s="284"/>
      <c r="P133" s="284"/>
      <c r="Q133" s="284"/>
      <c r="R133" s="285"/>
    </row>
    <row r="134" spans="1:18" ht="22.15" customHeight="1" thickTop="1" thickBot="1">
      <c r="A134" s="279" t="s">
        <v>6</v>
      </c>
      <c r="B134" s="295"/>
      <c r="C134" s="295"/>
      <c r="D134" s="295"/>
      <c r="E134" s="295"/>
      <c r="F134" s="296"/>
      <c r="G134" s="32">
        <v>46041</v>
      </c>
      <c r="H134" s="278" t="s">
        <v>7</v>
      </c>
      <c r="I134" s="295"/>
      <c r="J134" s="295"/>
      <c r="K134" s="295"/>
      <c r="L134" s="295"/>
      <c r="M134" s="295"/>
      <c r="N134" s="295"/>
      <c r="O134" s="295"/>
      <c r="P134" s="295"/>
      <c r="Q134" s="295"/>
      <c r="R134" s="296"/>
    </row>
    <row r="135" spans="1:18" ht="24" customHeight="1">
      <c r="A135" s="33" t="s">
        <v>8</v>
      </c>
      <c r="B135" s="33" t="s">
        <v>9</v>
      </c>
      <c r="C135" s="34" t="s">
        <v>10</v>
      </c>
      <c r="D135" s="33" t="s">
        <v>11</v>
      </c>
      <c r="E135" s="33" t="s">
        <v>12</v>
      </c>
      <c r="F135" s="35" t="s">
        <v>13</v>
      </c>
      <c r="G135" s="36" t="s">
        <v>14</v>
      </c>
      <c r="H135" s="33" t="s">
        <v>15</v>
      </c>
      <c r="I135" s="37" t="s">
        <v>16</v>
      </c>
      <c r="J135" s="38" t="s">
        <v>17</v>
      </c>
      <c r="K135" s="39" t="s">
        <v>18</v>
      </c>
      <c r="L135" s="38" t="s">
        <v>19</v>
      </c>
      <c r="M135" s="38" t="s">
        <v>20</v>
      </c>
      <c r="N135" s="38" t="s">
        <v>21</v>
      </c>
      <c r="O135" s="33" t="s">
        <v>22</v>
      </c>
      <c r="P135" s="34" t="s">
        <v>23</v>
      </c>
      <c r="Q135" s="38" t="s">
        <v>24</v>
      </c>
      <c r="R135" s="33" t="s">
        <v>25</v>
      </c>
    </row>
    <row r="136" spans="1:18" ht="49.9" customHeight="1">
      <c r="A136" s="8" t="s">
        <v>359</v>
      </c>
      <c r="B136" s="8" t="s">
        <v>1291</v>
      </c>
      <c r="C136" s="9">
        <v>0.76736111111111116</v>
      </c>
      <c r="D136" s="8" t="s">
        <v>361</v>
      </c>
      <c r="E136" s="8" t="s">
        <v>80</v>
      </c>
      <c r="F136" s="8" t="s">
        <v>1304</v>
      </c>
      <c r="G136" s="297"/>
      <c r="H136" s="10"/>
      <c r="I136" s="11"/>
      <c r="J136" s="11"/>
      <c r="K136" s="11"/>
      <c r="L136" s="11"/>
      <c r="M136" s="11"/>
      <c r="N136" s="11"/>
      <c r="O136" s="12"/>
      <c r="P136" s="11"/>
      <c r="Q136" s="13"/>
      <c r="R136" s="14"/>
    </row>
    <row r="137" spans="1:18" ht="49.9" customHeight="1">
      <c r="A137" s="15" t="s">
        <v>359</v>
      </c>
      <c r="B137" s="15" t="s">
        <v>1291</v>
      </c>
      <c r="C137" s="16">
        <v>0.76736111111111116</v>
      </c>
      <c r="D137" s="15" t="s">
        <v>46</v>
      </c>
      <c r="E137" s="15" t="s">
        <v>82</v>
      </c>
      <c r="F137" s="15" t="s">
        <v>1305</v>
      </c>
      <c r="G137" s="298"/>
      <c r="H137" s="10"/>
      <c r="I137" s="11"/>
      <c r="J137" s="11"/>
      <c r="K137" s="11"/>
      <c r="L137" s="11"/>
      <c r="M137" s="11"/>
      <c r="N137" s="11"/>
      <c r="O137" s="12"/>
      <c r="P137" s="11"/>
      <c r="Q137" s="13"/>
      <c r="R137" s="14"/>
    </row>
    <row r="138" spans="1:18" ht="49.9" customHeight="1">
      <c r="A138" s="19" t="s">
        <v>68</v>
      </c>
      <c r="B138" s="19" t="s">
        <v>1295</v>
      </c>
      <c r="C138" s="20">
        <v>0.86805555555555547</v>
      </c>
      <c r="D138" s="19" t="s">
        <v>643</v>
      </c>
      <c r="E138" s="19" t="s">
        <v>51</v>
      </c>
      <c r="F138" s="19" t="s">
        <v>1296</v>
      </c>
      <c r="G138" s="298"/>
      <c r="H138" s="10"/>
      <c r="I138" s="11"/>
      <c r="J138" s="11"/>
      <c r="K138" s="11"/>
      <c r="L138" s="11"/>
      <c r="M138" s="11"/>
      <c r="N138" s="11"/>
      <c r="O138" s="12"/>
      <c r="P138" s="11"/>
      <c r="Q138" s="13"/>
      <c r="R138" s="14"/>
    </row>
    <row r="139" spans="1:18" ht="49.9" customHeight="1">
      <c r="A139" s="19" t="s">
        <v>402</v>
      </c>
      <c r="B139" s="19" t="s">
        <v>1294</v>
      </c>
      <c r="C139" s="20">
        <v>0.48958333333333331</v>
      </c>
      <c r="D139" s="19" t="s">
        <v>63</v>
      </c>
      <c r="E139" s="19" t="s">
        <v>103</v>
      </c>
      <c r="F139" s="19" t="s">
        <v>1063</v>
      </c>
      <c r="G139" s="298"/>
      <c r="H139" s="10"/>
      <c r="I139" s="11"/>
      <c r="J139" s="11"/>
      <c r="K139" s="11"/>
      <c r="L139" s="11"/>
      <c r="M139" s="11"/>
      <c r="N139" s="11"/>
      <c r="O139" s="12"/>
      <c r="P139" s="11"/>
      <c r="Q139" s="13"/>
      <c r="R139" s="14"/>
    </row>
    <row r="140" spans="1:18" ht="49.9" customHeight="1" thickBot="1">
      <c r="A140" s="96" t="s">
        <v>415</v>
      </c>
      <c r="B140" s="96" t="s">
        <v>1297</v>
      </c>
      <c r="C140" s="97">
        <v>0.4548611111111111</v>
      </c>
      <c r="D140" s="96" t="s">
        <v>63</v>
      </c>
      <c r="E140" s="96" t="s">
        <v>103</v>
      </c>
      <c r="F140" s="96" t="s">
        <v>1298</v>
      </c>
      <c r="G140" s="299"/>
      <c r="H140" s="300"/>
      <c r="I140" s="140"/>
      <c r="J140" s="140"/>
      <c r="K140" s="140"/>
      <c r="L140" s="140"/>
      <c r="M140" s="140"/>
      <c r="N140" s="140"/>
      <c r="O140" s="141"/>
      <c r="P140" s="140"/>
      <c r="Q140" s="142"/>
      <c r="R140" s="301"/>
    </row>
    <row r="141" spans="1:18" ht="17.45" customHeight="1" thickBot="1">
      <c r="A141" s="283"/>
      <c r="B141" s="284"/>
      <c r="C141" s="284"/>
      <c r="D141" s="284"/>
      <c r="E141" s="284"/>
      <c r="F141" s="284"/>
      <c r="G141" s="284"/>
      <c r="H141" s="284"/>
      <c r="I141" s="284"/>
      <c r="J141" s="284"/>
      <c r="K141" s="284"/>
      <c r="L141" s="284"/>
      <c r="M141" s="284"/>
      <c r="N141" s="284"/>
      <c r="O141" s="284"/>
      <c r="P141" s="284"/>
      <c r="Q141" s="284"/>
      <c r="R141" s="285"/>
    </row>
    <row r="142" spans="1:18" ht="22.15" customHeight="1" thickTop="1" thickBot="1">
      <c r="A142" s="279" t="s">
        <v>6</v>
      </c>
      <c r="B142" s="295"/>
      <c r="C142" s="295"/>
      <c r="D142" s="295"/>
      <c r="E142" s="295"/>
      <c r="F142" s="296"/>
      <c r="G142" s="32">
        <v>46042</v>
      </c>
      <c r="H142" s="278" t="s">
        <v>7</v>
      </c>
      <c r="I142" s="295"/>
      <c r="J142" s="295"/>
      <c r="K142" s="295"/>
      <c r="L142" s="295"/>
      <c r="M142" s="295"/>
      <c r="N142" s="295"/>
      <c r="O142" s="295"/>
      <c r="P142" s="295"/>
      <c r="Q142" s="295"/>
      <c r="R142" s="296"/>
    </row>
    <row r="143" spans="1:18" ht="24" customHeight="1">
      <c r="A143" s="33" t="s">
        <v>8</v>
      </c>
      <c r="B143" s="33" t="s">
        <v>9</v>
      </c>
      <c r="C143" s="34" t="s">
        <v>10</v>
      </c>
      <c r="D143" s="33" t="s">
        <v>11</v>
      </c>
      <c r="E143" s="33" t="s">
        <v>12</v>
      </c>
      <c r="F143" s="35" t="s">
        <v>13</v>
      </c>
      <c r="G143" s="36" t="s">
        <v>14</v>
      </c>
      <c r="H143" s="33" t="s">
        <v>15</v>
      </c>
      <c r="I143" s="37" t="s">
        <v>16</v>
      </c>
      <c r="J143" s="38" t="s">
        <v>17</v>
      </c>
      <c r="K143" s="39" t="s">
        <v>18</v>
      </c>
      <c r="L143" s="38" t="s">
        <v>19</v>
      </c>
      <c r="M143" s="38" t="s">
        <v>20</v>
      </c>
      <c r="N143" s="38" t="s">
        <v>21</v>
      </c>
      <c r="O143" s="33" t="s">
        <v>22</v>
      </c>
      <c r="P143" s="34" t="s">
        <v>23</v>
      </c>
      <c r="Q143" s="38" t="s">
        <v>24</v>
      </c>
      <c r="R143" s="33" t="s">
        <v>25</v>
      </c>
    </row>
    <row r="144" spans="1:18" ht="49.9" customHeight="1">
      <c r="A144" s="8" t="s">
        <v>359</v>
      </c>
      <c r="B144" s="8" t="s">
        <v>1291</v>
      </c>
      <c r="C144" s="9">
        <v>0.76736111111111116</v>
      </c>
      <c r="D144" s="8" t="s">
        <v>361</v>
      </c>
      <c r="E144" s="8" t="s">
        <v>80</v>
      </c>
      <c r="F144" s="8" t="s">
        <v>1304</v>
      </c>
      <c r="G144" s="297"/>
      <c r="H144" s="10"/>
      <c r="I144" s="11"/>
      <c r="J144" s="11"/>
      <c r="K144" s="11"/>
      <c r="L144" s="11"/>
      <c r="M144" s="11"/>
      <c r="N144" s="11"/>
      <c r="O144" s="12"/>
      <c r="P144" s="11"/>
      <c r="Q144" s="13"/>
      <c r="R144" s="14"/>
    </row>
    <row r="145" spans="1:18" ht="49.9" customHeight="1">
      <c r="A145" s="15" t="s">
        <v>359</v>
      </c>
      <c r="B145" s="15" t="s">
        <v>1291</v>
      </c>
      <c r="C145" s="16">
        <v>0.76736111111111116</v>
      </c>
      <c r="D145" s="15" t="s">
        <v>46</v>
      </c>
      <c r="E145" s="15" t="s">
        <v>82</v>
      </c>
      <c r="F145" s="15" t="s">
        <v>1305</v>
      </c>
      <c r="G145" s="298"/>
      <c r="H145" s="10"/>
      <c r="I145" s="11"/>
      <c r="J145" s="11"/>
      <c r="K145" s="11"/>
      <c r="L145" s="11"/>
      <c r="M145" s="11"/>
      <c r="N145" s="11"/>
      <c r="O145" s="12"/>
      <c r="P145" s="11"/>
      <c r="Q145" s="13"/>
      <c r="R145" s="14"/>
    </row>
    <row r="146" spans="1:18" ht="49.9" customHeight="1">
      <c r="A146" s="19" t="s">
        <v>402</v>
      </c>
      <c r="B146" s="19" t="s">
        <v>1294</v>
      </c>
      <c r="C146" s="20">
        <v>0.48958333333333331</v>
      </c>
      <c r="D146" s="19" t="s">
        <v>63</v>
      </c>
      <c r="E146" s="19" t="s">
        <v>103</v>
      </c>
      <c r="F146" s="19" t="s">
        <v>1063</v>
      </c>
      <c r="G146" s="298"/>
      <c r="H146" s="10"/>
      <c r="I146" s="11"/>
      <c r="J146" s="11"/>
      <c r="K146" s="11"/>
      <c r="L146" s="11"/>
      <c r="M146" s="11"/>
      <c r="N146" s="11"/>
      <c r="O146" s="12"/>
      <c r="P146" s="11"/>
      <c r="Q146" s="13"/>
      <c r="R146" s="14"/>
    </row>
    <row r="147" spans="1:18" ht="49.9" customHeight="1" thickBot="1">
      <c r="A147" s="96" t="s">
        <v>415</v>
      </c>
      <c r="B147" s="96" t="s">
        <v>1297</v>
      </c>
      <c r="C147" s="97">
        <v>0.4375</v>
      </c>
      <c r="D147" s="96" t="s">
        <v>63</v>
      </c>
      <c r="E147" s="96" t="s">
        <v>103</v>
      </c>
      <c r="F147" s="96" t="s">
        <v>1298</v>
      </c>
      <c r="G147" s="299"/>
      <c r="H147" s="300"/>
      <c r="I147" s="140"/>
      <c r="J147" s="140"/>
      <c r="K147" s="140"/>
      <c r="L147" s="140"/>
      <c r="M147" s="140"/>
      <c r="N147" s="140"/>
      <c r="O147" s="141"/>
      <c r="P147" s="140"/>
      <c r="Q147" s="142"/>
      <c r="R147" s="301"/>
    </row>
    <row r="148" spans="1:18" ht="17.45" customHeight="1" thickBot="1">
      <c r="A148" s="283"/>
      <c r="B148" s="284"/>
      <c r="C148" s="284"/>
      <c r="D148" s="284"/>
      <c r="E148" s="284"/>
      <c r="F148" s="284"/>
      <c r="G148" s="284"/>
      <c r="H148" s="284"/>
      <c r="I148" s="284"/>
      <c r="J148" s="284"/>
      <c r="K148" s="284"/>
      <c r="L148" s="284"/>
      <c r="M148" s="284"/>
      <c r="N148" s="284"/>
      <c r="O148" s="284"/>
      <c r="P148" s="284"/>
      <c r="Q148" s="284"/>
      <c r="R148" s="285"/>
    </row>
    <row r="149" spans="1:18" ht="22.15" customHeight="1" thickTop="1" thickBot="1">
      <c r="A149" s="279" t="s">
        <v>6</v>
      </c>
      <c r="B149" s="295"/>
      <c r="C149" s="295"/>
      <c r="D149" s="295"/>
      <c r="E149" s="295"/>
      <c r="F149" s="296"/>
      <c r="G149" s="32">
        <v>46043</v>
      </c>
      <c r="H149" s="278" t="s">
        <v>7</v>
      </c>
      <c r="I149" s="295"/>
      <c r="J149" s="295"/>
      <c r="K149" s="295"/>
      <c r="L149" s="295"/>
      <c r="M149" s="295"/>
      <c r="N149" s="295"/>
      <c r="O149" s="295"/>
      <c r="P149" s="295"/>
      <c r="Q149" s="295"/>
      <c r="R149" s="296"/>
    </row>
    <row r="150" spans="1:18" ht="24" customHeight="1">
      <c r="A150" s="33" t="s">
        <v>8</v>
      </c>
      <c r="B150" s="33" t="s">
        <v>9</v>
      </c>
      <c r="C150" s="34" t="s">
        <v>10</v>
      </c>
      <c r="D150" s="33" t="s">
        <v>11</v>
      </c>
      <c r="E150" s="33" t="s">
        <v>12</v>
      </c>
      <c r="F150" s="35" t="s">
        <v>13</v>
      </c>
      <c r="G150" s="36" t="s">
        <v>14</v>
      </c>
      <c r="H150" s="33" t="s">
        <v>15</v>
      </c>
      <c r="I150" s="37" t="s">
        <v>16</v>
      </c>
      <c r="J150" s="38" t="s">
        <v>17</v>
      </c>
      <c r="K150" s="39" t="s">
        <v>18</v>
      </c>
      <c r="L150" s="38" t="s">
        <v>19</v>
      </c>
      <c r="M150" s="38" t="s">
        <v>20</v>
      </c>
      <c r="N150" s="38" t="s">
        <v>21</v>
      </c>
      <c r="O150" s="33" t="s">
        <v>22</v>
      </c>
      <c r="P150" s="34" t="s">
        <v>23</v>
      </c>
      <c r="Q150" s="38" t="s">
        <v>24</v>
      </c>
      <c r="R150" s="33" t="s">
        <v>25</v>
      </c>
    </row>
    <row r="151" spans="1:18" ht="49.9" customHeight="1">
      <c r="A151" s="8" t="s">
        <v>359</v>
      </c>
      <c r="B151" s="8" t="s">
        <v>1291</v>
      </c>
      <c r="C151" s="9">
        <v>0.76736111111111116</v>
      </c>
      <c r="D151" s="8" t="s">
        <v>361</v>
      </c>
      <c r="E151" s="8" t="s">
        <v>80</v>
      </c>
      <c r="F151" s="8" t="s">
        <v>1304</v>
      </c>
      <c r="G151" s="297"/>
      <c r="H151" s="10"/>
      <c r="I151" s="11"/>
      <c r="J151" s="11"/>
      <c r="K151" s="11"/>
      <c r="L151" s="11"/>
      <c r="M151" s="11"/>
      <c r="N151" s="11"/>
      <c r="O151" s="12"/>
      <c r="P151" s="11"/>
      <c r="Q151" s="13"/>
      <c r="R151" s="14"/>
    </row>
    <row r="152" spans="1:18" ht="49.9" customHeight="1">
      <c r="A152" s="15" t="s">
        <v>359</v>
      </c>
      <c r="B152" s="15" t="s">
        <v>1291</v>
      </c>
      <c r="C152" s="16">
        <v>0.76736111111111116</v>
      </c>
      <c r="D152" s="15" t="s">
        <v>46</v>
      </c>
      <c r="E152" s="15" t="s">
        <v>82</v>
      </c>
      <c r="F152" s="15" t="s">
        <v>1305</v>
      </c>
      <c r="G152" s="298"/>
      <c r="H152" s="10"/>
      <c r="I152" s="11"/>
      <c r="J152" s="11"/>
      <c r="K152" s="11"/>
      <c r="L152" s="11"/>
      <c r="M152" s="11"/>
      <c r="N152" s="11"/>
      <c r="O152" s="12"/>
      <c r="P152" s="11"/>
      <c r="Q152" s="13"/>
      <c r="R152" s="14"/>
    </row>
    <row r="153" spans="1:18" ht="49.9" customHeight="1">
      <c r="A153" s="19" t="s">
        <v>68</v>
      </c>
      <c r="B153" s="19" t="s">
        <v>1295</v>
      </c>
      <c r="C153" s="20">
        <v>0.86805555555555547</v>
      </c>
      <c r="D153" s="19" t="s">
        <v>643</v>
      </c>
      <c r="E153" s="19" t="s">
        <v>51</v>
      </c>
      <c r="F153" s="19" t="s">
        <v>1296</v>
      </c>
      <c r="G153" s="298"/>
      <c r="H153" s="10"/>
      <c r="I153" s="11"/>
      <c r="J153" s="11"/>
      <c r="K153" s="11"/>
      <c r="L153" s="11"/>
      <c r="M153" s="11"/>
      <c r="N153" s="11"/>
      <c r="O153" s="12"/>
      <c r="P153" s="11"/>
      <c r="Q153" s="13"/>
      <c r="R153" s="14"/>
    </row>
    <row r="154" spans="1:18" ht="49.9" customHeight="1">
      <c r="A154" s="19" t="s">
        <v>402</v>
      </c>
      <c r="B154" s="19" t="s">
        <v>1294</v>
      </c>
      <c r="C154" s="20">
        <v>0.48958333333333331</v>
      </c>
      <c r="D154" s="19" t="s">
        <v>63</v>
      </c>
      <c r="E154" s="19" t="s">
        <v>103</v>
      </c>
      <c r="F154" s="19" t="s">
        <v>1063</v>
      </c>
      <c r="G154" s="298"/>
      <c r="H154" s="10"/>
      <c r="I154" s="11"/>
      <c r="J154" s="11"/>
      <c r="K154" s="11"/>
      <c r="L154" s="11"/>
      <c r="M154" s="11"/>
      <c r="N154" s="11"/>
      <c r="O154" s="12"/>
      <c r="P154" s="11"/>
      <c r="Q154" s="13"/>
      <c r="R154" s="14"/>
    </row>
    <row r="155" spans="1:18" ht="49.9" customHeight="1" thickBot="1">
      <c r="A155" s="96" t="s">
        <v>415</v>
      </c>
      <c r="B155" s="96" t="s">
        <v>1297</v>
      </c>
      <c r="C155" s="97">
        <v>0.4548611111111111</v>
      </c>
      <c r="D155" s="96" t="s">
        <v>63</v>
      </c>
      <c r="E155" s="96" t="s">
        <v>103</v>
      </c>
      <c r="F155" s="96" t="s">
        <v>1298</v>
      </c>
      <c r="G155" s="299"/>
      <c r="H155" s="300"/>
      <c r="I155" s="140"/>
      <c r="J155" s="140"/>
      <c r="K155" s="140"/>
      <c r="L155" s="140"/>
      <c r="M155" s="140"/>
      <c r="N155" s="140"/>
      <c r="O155" s="141"/>
      <c r="P155" s="140"/>
      <c r="Q155" s="142"/>
      <c r="R155" s="301"/>
    </row>
    <row r="156" spans="1:18" ht="17.45" customHeight="1" thickBot="1">
      <c r="A156" s="283"/>
      <c r="B156" s="284"/>
      <c r="C156" s="284"/>
      <c r="D156" s="284"/>
      <c r="E156" s="284"/>
      <c r="F156" s="284"/>
      <c r="G156" s="284"/>
      <c r="H156" s="284"/>
      <c r="I156" s="284"/>
      <c r="J156" s="284"/>
      <c r="K156" s="284"/>
      <c r="L156" s="284"/>
      <c r="M156" s="284"/>
      <c r="N156" s="284"/>
      <c r="O156" s="284"/>
      <c r="P156" s="284"/>
      <c r="Q156" s="284"/>
      <c r="R156" s="285"/>
    </row>
    <row r="157" spans="1:18" ht="22.15" customHeight="1" thickTop="1" thickBot="1">
      <c r="A157" s="279" t="s">
        <v>6</v>
      </c>
      <c r="B157" s="295"/>
      <c r="C157" s="295"/>
      <c r="D157" s="295"/>
      <c r="E157" s="295"/>
      <c r="F157" s="296"/>
      <c r="G157" s="32">
        <v>46044</v>
      </c>
      <c r="H157" s="278" t="s">
        <v>7</v>
      </c>
      <c r="I157" s="295"/>
      <c r="J157" s="295"/>
      <c r="K157" s="295"/>
      <c r="L157" s="295"/>
      <c r="M157" s="295"/>
      <c r="N157" s="295"/>
      <c r="O157" s="295"/>
      <c r="P157" s="295"/>
      <c r="Q157" s="295"/>
      <c r="R157" s="296"/>
    </row>
    <row r="158" spans="1:18" ht="24" customHeight="1">
      <c r="A158" s="33" t="s">
        <v>8</v>
      </c>
      <c r="B158" s="33" t="s">
        <v>9</v>
      </c>
      <c r="C158" s="34" t="s">
        <v>10</v>
      </c>
      <c r="D158" s="33" t="s">
        <v>11</v>
      </c>
      <c r="E158" s="33" t="s">
        <v>12</v>
      </c>
      <c r="F158" s="35" t="s">
        <v>13</v>
      </c>
      <c r="G158" s="36" t="s">
        <v>14</v>
      </c>
      <c r="H158" s="33" t="s">
        <v>15</v>
      </c>
      <c r="I158" s="37" t="s">
        <v>16</v>
      </c>
      <c r="J158" s="38" t="s">
        <v>17</v>
      </c>
      <c r="K158" s="39" t="s">
        <v>18</v>
      </c>
      <c r="L158" s="38" t="s">
        <v>19</v>
      </c>
      <c r="M158" s="38" t="s">
        <v>20</v>
      </c>
      <c r="N158" s="38" t="s">
        <v>21</v>
      </c>
      <c r="O158" s="33" t="s">
        <v>22</v>
      </c>
      <c r="P158" s="34" t="s">
        <v>23</v>
      </c>
      <c r="Q158" s="38" t="s">
        <v>24</v>
      </c>
      <c r="R158" s="33" t="s">
        <v>25</v>
      </c>
    </row>
    <row r="159" spans="1:18" ht="15" customHeight="1">
      <c r="A159" s="78" t="s">
        <v>61</v>
      </c>
      <c r="B159" s="78" t="s">
        <v>1287</v>
      </c>
      <c r="C159" s="79">
        <v>0.63194444444444442</v>
      </c>
      <c r="D159" s="78" t="s">
        <v>63</v>
      </c>
      <c r="E159" s="78" t="s">
        <v>100</v>
      </c>
      <c r="F159" s="78" t="s">
        <v>1313</v>
      </c>
      <c r="G159" s="297"/>
      <c r="H159" s="80" t="s">
        <v>1289</v>
      </c>
      <c r="I159" s="81">
        <v>3.3500000000000002E-2</v>
      </c>
      <c r="J159" s="82">
        <v>6</v>
      </c>
      <c r="K159" s="83">
        <v>46339</v>
      </c>
      <c r="L159" s="82">
        <v>6</v>
      </c>
      <c r="M159" s="82">
        <v>0</v>
      </c>
      <c r="N159" s="82">
        <v>0</v>
      </c>
      <c r="O159" s="84" t="s">
        <v>317</v>
      </c>
      <c r="P159" s="85">
        <v>0.63194444444444442</v>
      </c>
      <c r="Q159" s="82">
        <v>179</v>
      </c>
      <c r="R159" s="86" t="s">
        <v>1314</v>
      </c>
    </row>
    <row r="160" spans="1:18" ht="15" customHeight="1">
      <c r="A160" s="19" t="s">
        <v>359</v>
      </c>
      <c r="B160" s="19" t="s">
        <v>1291</v>
      </c>
      <c r="C160" s="20">
        <v>0.76736111111111116</v>
      </c>
      <c r="D160" s="19" t="s">
        <v>361</v>
      </c>
      <c r="E160" s="19" t="s">
        <v>80</v>
      </c>
      <c r="F160" s="19" t="s">
        <v>1304</v>
      </c>
      <c r="G160" s="298"/>
      <c r="H160" s="10"/>
      <c r="I160" s="11"/>
      <c r="J160" s="11"/>
      <c r="K160" s="11"/>
      <c r="L160" s="11"/>
      <c r="M160" s="11"/>
      <c r="N160" s="11"/>
      <c r="O160" s="12"/>
      <c r="P160" s="11"/>
      <c r="Q160" s="13"/>
      <c r="R160" s="14"/>
    </row>
    <row r="161" spans="1:18" ht="15" customHeight="1">
      <c r="A161" s="15" t="s">
        <v>359</v>
      </c>
      <c r="B161" s="15" t="s">
        <v>1291</v>
      </c>
      <c r="C161" s="16">
        <v>0.76736111111111116</v>
      </c>
      <c r="D161" s="15" t="s">
        <v>46</v>
      </c>
      <c r="E161" s="15" t="s">
        <v>82</v>
      </c>
      <c r="F161" s="15" t="s">
        <v>1305</v>
      </c>
      <c r="G161" s="298"/>
      <c r="H161" s="10"/>
      <c r="I161" s="11"/>
      <c r="J161" s="11"/>
      <c r="K161" s="11"/>
      <c r="L161" s="11"/>
      <c r="M161" s="11"/>
      <c r="N161" s="11"/>
      <c r="O161" s="12"/>
      <c r="P161" s="11"/>
      <c r="Q161" s="13"/>
      <c r="R161" s="14"/>
    </row>
    <row r="162" spans="1:18" ht="15" customHeight="1">
      <c r="A162" s="19" t="s">
        <v>68</v>
      </c>
      <c r="B162" s="19" t="s">
        <v>1295</v>
      </c>
      <c r="C162" s="20">
        <v>0.86805555555555547</v>
      </c>
      <c r="D162" s="19" t="s">
        <v>643</v>
      </c>
      <c r="E162" s="19" t="s">
        <v>51</v>
      </c>
      <c r="F162" s="19" t="s">
        <v>1296</v>
      </c>
      <c r="G162" s="298"/>
      <c r="H162" s="10"/>
      <c r="I162" s="11"/>
      <c r="J162" s="11"/>
      <c r="K162" s="11"/>
      <c r="L162" s="11"/>
      <c r="M162" s="11"/>
      <c r="N162" s="11"/>
      <c r="O162" s="12"/>
      <c r="P162" s="11"/>
      <c r="Q162" s="13"/>
      <c r="R162" s="14"/>
    </row>
    <row r="163" spans="1:18" ht="15" customHeight="1">
      <c r="A163" s="19" t="s">
        <v>402</v>
      </c>
      <c r="B163" s="19" t="s">
        <v>1294</v>
      </c>
      <c r="C163" s="20">
        <v>0.48958333333333331</v>
      </c>
      <c r="D163" s="19" t="s">
        <v>63</v>
      </c>
      <c r="E163" s="19" t="s">
        <v>103</v>
      </c>
      <c r="F163" s="19" t="s">
        <v>1063</v>
      </c>
      <c r="G163" s="298"/>
      <c r="H163" s="10"/>
      <c r="I163" s="11"/>
      <c r="J163" s="11"/>
      <c r="K163" s="11"/>
      <c r="L163" s="11"/>
      <c r="M163" s="11"/>
      <c r="N163" s="11"/>
      <c r="O163" s="12"/>
      <c r="P163" s="11"/>
      <c r="Q163" s="13"/>
      <c r="R163" s="14"/>
    </row>
    <row r="164" spans="1:18" ht="15" customHeight="1" thickBot="1">
      <c r="A164" s="96" t="s">
        <v>415</v>
      </c>
      <c r="B164" s="96" t="s">
        <v>1297</v>
      </c>
      <c r="C164" s="97">
        <v>0.4548611111111111</v>
      </c>
      <c r="D164" s="96" t="s">
        <v>63</v>
      </c>
      <c r="E164" s="96" t="s">
        <v>103</v>
      </c>
      <c r="F164" s="96" t="s">
        <v>1298</v>
      </c>
      <c r="G164" s="299"/>
      <c r="H164" s="300"/>
      <c r="I164" s="140"/>
      <c r="J164" s="140"/>
      <c r="K164" s="140"/>
      <c r="L164" s="140"/>
      <c r="M164" s="140"/>
      <c r="N164" s="140"/>
      <c r="O164" s="141"/>
      <c r="P164" s="140"/>
      <c r="Q164" s="142"/>
      <c r="R164" s="301"/>
    </row>
    <row r="165" spans="1:18" ht="17.45" customHeight="1" thickBot="1">
      <c r="A165" s="283"/>
      <c r="B165" s="284"/>
      <c r="C165" s="284"/>
      <c r="D165" s="284"/>
      <c r="E165" s="284"/>
      <c r="F165" s="284"/>
      <c r="G165" s="284"/>
      <c r="H165" s="284"/>
      <c r="I165" s="284"/>
      <c r="J165" s="284"/>
      <c r="K165" s="284"/>
      <c r="L165" s="284"/>
      <c r="M165" s="284"/>
      <c r="N165" s="284"/>
      <c r="O165" s="284"/>
      <c r="P165" s="284"/>
      <c r="Q165" s="284"/>
      <c r="R165" s="285"/>
    </row>
    <row r="166" spans="1:18" ht="22.15" customHeight="1" thickTop="1" thickBot="1">
      <c r="A166" s="279" t="s">
        <v>6</v>
      </c>
      <c r="B166" s="295"/>
      <c r="C166" s="295"/>
      <c r="D166" s="295"/>
      <c r="E166" s="295"/>
      <c r="F166" s="296"/>
      <c r="G166" s="32">
        <v>46045</v>
      </c>
      <c r="H166" s="278" t="s">
        <v>7</v>
      </c>
      <c r="I166" s="295"/>
      <c r="J166" s="295"/>
      <c r="K166" s="295"/>
      <c r="L166" s="295"/>
      <c r="M166" s="295"/>
      <c r="N166" s="295"/>
      <c r="O166" s="295"/>
      <c r="P166" s="295"/>
      <c r="Q166" s="295"/>
      <c r="R166" s="296"/>
    </row>
    <row r="167" spans="1:18" ht="24" customHeight="1">
      <c r="A167" s="33" t="s">
        <v>8</v>
      </c>
      <c r="B167" s="33" t="s">
        <v>9</v>
      </c>
      <c r="C167" s="34" t="s">
        <v>10</v>
      </c>
      <c r="D167" s="33" t="s">
        <v>11</v>
      </c>
      <c r="E167" s="33" t="s">
        <v>12</v>
      </c>
      <c r="F167" s="35" t="s">
        <v>13</v>
      </c>
      <c r="G167" s="36" t="s">
        <v>14</v>
      </c>
      <c r="H167" s="33" t="s">
        <v>15</v>
      </c>
      <c r="I167" s="37" t="s">
        <v>16</v>
      </c>
      <c r="J167" s="38" t="s">
        <v>17</v>
      </c>
      <c r="K167" s="39" t="s">
        <v>18</v>
      </c>
      <c r="L167" s="38" t="s">
        <v>19</v>
      </c>
      <c r="M167" s="38" t="s">
        <v>20</v>
      </c>
      <c r="N167" s="38" t="s">
        <v>21</v>
      </c>
      <c r="O167" s="33" t="s">
        <v>22</v>
      </c>
      <c r="P167" s="34" t="s">
        <v>23</v>
      </c>
      <c r="Q167" s="38" t="s">
        <v>24</v>
      </c>
      <c r="R167" s="33" t="s">
        <v>25</v>
      </c>
    </row>
    <row r="168" spans="1:18" ht="49.9" customHeight="1">
      <c r="A168" s="87" t="s">
        <v>61</v>
      </c>
      <c r="B168" s="87" t="s">
        <v>1287</v>
      </c>
      <c r="C168" s="88">
        <v>0.82986111111111116</v>
      </c>
      <c r="D168" s="87" t="s">
        <v>63</v>
      </c>
      <c r="E168" s="87" t="s">
        <v>126</v>
      </c>
      <c r="F168" s="87" t="s">
        <v>1313</v>
      </c>
      <c r="G168" s="302"/>
      <c r="H168" s="89" t="s">
        <v>1289</v>
      </c>
      <c r="I168" s="90">
        <v>6.1499999999999999E-2</v>
      </c>
      <c r="J168" s="91">
        <v>11</v>
      </c>
      <c r="K168" s="92">
        <v>46326</v>
      </c>
      <c r="L168" s="91">
        <v>11</v>
      </c>
      <c r="M168" s="91">
        <v>0</v>
      </c>
      <c r="N168" s="91">
        <v>0</v>
      </c>
      <c r="O168" s="93" t="s">
        <v>583</v>
      </c>
      <c r="P168" s="94">
        <v>0.82986111111111116</v>
      </c>
      <c r="Q168" s="91">
        <v>179</v>
      </c>
      <c r="R168" s="95" t="s">
        <v>1315</v>
      </c>
    </row>
    <row r="169" spans="1:18" ht="49.9" customHeight="1">
      <c r="A169" s="19" t="s">
        <v>68</v>
      </c>
      <c r="B169" s="19" t="s">
        <v>1295</v>
      </c>
      <c r="C169" s="20">
        <v>0.86805555555555547</v>
      </c>
      <c r="D169" s="19" t="s">
        <v>643</v>
      </c>
      <c r="E169" s="19" t="s">
        <v>51</v>
      </c>
      <c r="F169" s="19" t="s">
        <v>1296</v>
      </c>
      <c r="G169" s="298"/>
      <c r="H169" s="10"/>
      <c r="I169" s="11"/>
      <c r="J169" s="11"/>
      <c r="K169" s="11"/>
      <c r="L169" s="11"/>
      <c r="M169" s="11"/>
      <c r="N169" s="11"/>
      <c r="O169" s="12"/>
      <c r="P169" s="11"/>
      <c r="Q169" s="13"/>
      <c r="R169" s="14"/>
    </row>
    <row r="170" spans="1:18" ht="49.9" customHeight="1">
      <c r="A170" s="19" t="s">
        <v>402</v>
      </c>
      <c r="B170" s="19" t="s">
        <v>1294</v>
      </c>
      <c r="C170" s="20">
        <v>0.48958333333333331</v>
      </c>
      <c r="D170" s="19" t="s">
        <v>63</v>
      </c>
      <c r="E170" s="19" t="s">
        <v>103</v>
      </c>
      <c r="F170" s="19" t="s">
        <v>1063</v>
      </c>
      <c r="G170" s="298"/>
      <c r="H170" s="10"/>
      <c r="I170" s="11"/>
      <c r="J170" s="11"/>
      <c r="K170" s="11"/>
      <c r="L170" s="11"/>
      <c r="M170" s="11"/>
      <c r="N170" s="11"/>
      <c r="O170" s="12"/>
      <c r="P170" s="11"/>
      <c r="Q170" s="13"/>
      <c r="R170" s="14"/>
    </row>
    <row r="171" spans="1:18" ht="49.9" customHeight="1" thickBot="1">
      <c r="A171" s="96" t="s">
        <v>415</v>
      </c>
      <c r="B171" s="96" t="s">
        <v>1297</v>
      </c>
      <c r="C171" s="97">
        <v>0.4375</v>
      </c>
      <c r="D171" s="96" t="s">
        <v>63</v>
      </c>
      <c r="E171" s="96" t="s">
        <v>103</v>
      </c>
      <c r="F171" s="96" t="s">
        <v>1298</v>
      </c>
      <c r="G171" s="299"/>
      <c r="H171" s="300"/>
      <c r="I171" s="140"/>
      <c r="J171" s="140"/>
      <c r="K171" s="140"/>
      <c r="L171" s="140"/>
      <c r="M171" s="140"/>
      <c r="N171" s="140"/>
      <c r="O171" s="141"/>
      <c r="P171" s="140"/>
      <c r="Q171" s="142"/>
      <c r="R171" s="301"/>
    </row>
    <row r="172" spans="1:18" ht="17.45" customHeight="1" thickBot="1">
      <c r="A172" s="283"/>
      <c r="B172" s="284"/>
      <c r="C172" s="284"/>
      <c r="D172" s="284"/>
      <c r="E172" s="284"/>
      <c r="F172" s="284"/>
      <c r="G172" s="284"/>
      <c r="H172" s="284"/>
      <c r="I172" s="284"/>
      <c r="J172" s="284"/>
      <c r="K172" s="284"/>
      <c r="L172" s="284"/>
      <c r="M172" s="284"/>
      <c r="N172" s="284"/>
      <c r="O172" s="284"/>
      <c r="P172" s="284"/>
      <c r="Q172" s="284"/>
      <c r="R172" s="285"/>
    </row>
    <row r="173" spans="1:18" ht="22.15" customHeight="1" thickTop="1" thickBot="1">
      <c r="A173" s="279" t="s">
        <v>6</v>
      </c>
      <c r="B173" s="295"/>
      <c r="C173" s="295"/>
      <c r="D173" s="295"/>
      <c r="E173" s="295"/>
      <c r="F173" s="296"/>
      <c r="G173" s="32">
        <v>46046</v>
      </c>
      <c r="H173" s="278" t="s">
        <v>7</v>
      </c>
      <c r="I173" s="295"/>
      <c r="J173" s="295"/>
      <c r="K173" s="295"/>
      <c r="L173" s="295"/>
      <c r="M173" s="295"/>
      <c r="N173" s="295"/>
      <c r="O173" s="295"/>
      <c r="P173" s="295"/>
      <c r="Q173" s="295"/>
      <c r="R173" s="296"/>
    </row>
    <row r="174" spans="1:18" ht="24" customHeight="1">
      <c r="A174" s="33" t="s">
        <v>8</v>
      </c>
      <c r="B174" s="33" t="s">
        <v>9</v>
      </c>
      <c r="C174" s="34" t="s">
        <v>10</v>
      </c>
      <c r="D174" s="33" t="s">
        <v>11</v>
      </c>
      <c r="E174" s="33" t="s">
        <v>12</v>
      </c>
      <c r="F174" s="35" t="s">
        <v>13</v>
      </c>
      <c r="G174" s="36" t="s">
        <v>14</v>
      </c>
      <c r="H174" s="33" t="s">
        <v>15</v>
      </c>
      <c r="I174" s="37" t="s">
        <v>16</v>
      </c>
      <c r="J174" s="38" t="s">
        <v>17</v>
      </c>
      <c r="K174" s="39" t="s">
        <v>18</v>
      </c>
      <c r="L174" s="38" t="s">
        <v>19</v>
      </c>
      <c r="M174" s="38" t="s">
        <v>20</v>
      </c>
      <c r="N174" s="38" t="s">
        <v>21</v>
      </c>
      <c r="O174" s="33" t="s">
        <v>22</v>
      </c>
      <c r="P174" s="34" t="s">
        <v>23</v>
      </c>
      <c r="Q174" s="38" t="s">
        <v>24</v>
      </c>
      <c r="R174" s="33" t="s">
        <v>25</v>
      </c>
    </row>
    <row r="175" spans="1:18" ht="49.9" customHeight="1">
      <c r="A175" s="8" t="s">
        <v>359</v>
      </c>
      <c r="B175" s="8" t="s">
        <v>1291</v>
      </c>
      <c r="C175" s="9">
        <v>0.76736111111111116</v>
      </c>
      <c r="D175" s="8" t="s">
        <v>361</v>
      </c>
      <c r="E175" s="8" t="s">
        <v>80</v>
      </c>
      <c r="F175" s="8" t="s">
        <v>1309</v>
      </c>
      <c r="G175" s="297"/>
      <c r="H175" s="10"/>
      <c r="I175" s="11"/>
      <c r="J175" s="11"/>
      <c r="K175" s="11"/>
      <c r="L175" s="11"/>
      <c r="M175" s="11"/>
      <c r="N175" s="11"/>
      <c r="O175" s="12"/>
      <c r="P175" s="11"/>
      <c r="Q175" s="13"/>
      <c r="R175" s="14"/>
    </row>
    <row r="176" spans="1:18" ht="49.9" customHeight="1">
      <c r="A176" s="15" t="s">
        <v>359</v>
      </c>
      <c r="B176" s="15" t="s">
        <v>1291</v>
      </c>
      <c r="C176" s="16">
        <v>0.76736111111111116</v>
      </c>
      <c r="D176" s="15" t="s">
        <v>46</v>
      </c>
      <c r="E176" s="15" t="s">
        <v>82</v>
      </c>
      <c r="F176" s="15" t="s">
        <v>1310</v>
      </c>
      <c r="G176" s="298"/>
      <c r="H176" s="10"/>
      <c r="I176" s="11"/>
      <c r="J176" s="11"/>
      <c r="K176" s="11"/>
      <c r="L176" s="11"/>
      <c r="M176" s="11"/>
      <c r="N176" s="11"/>
      <c r="O176" s="12"/>
      <c r="P176" s="11"/>
      <c r="Q176" s="13"/>
      <c r="R176" s="14"/>
    </row>
    <row r="177" spans="1:18" ht="49.9" customHeight="1">
      <c r="A177" s="19" t="s">
        <v>68</v>
      </c>
      <c r="B177" s="19" t="s">
        <v>1295</v>
      </c>
      <c r="C177" s="20">
        <v>0.86805555555555547</v>
      </c>
      <c r="D177" s="19" t="s">
        <v>643</v>
      </c>
      <c r="E177" s="19" t="s">
        <v>51</v>
      </c>
      <c r="F177" s="19" t="s">
        <v>1296</v>
      </c>
      <c r="G177" s="298"/>
      <c r="H177" s="10"/>
      <c r="I177" s="11"/>
      <c r="J177" s="11"/>
      <c r="K177" s="11"/>
      <c r="L177" s="11"/>
      <c r="M177" s="11"/>
      <c r="N177" s="11"/>
      <c r="O177" s="12"/>
      <c r="P177" s="11"/>
      <c r="Q177" s="13"/>
      <c r="R177" s="14"/>
    </row>
    <row r="178" spans="1:18" ht="49.9" customHeight="1">
      <c r="A178" s="19" t="s">
        <v>402</v>
      </c>
      <c r="B178" s="19" t="s">
        <v>1300</v>
      </c>
      <c r="C178" s="20">
        <v>0.8125</v>
      </c>
      <c r="D178" s="19" t="s">
        <v>63</v>
      </c>
      <c r="E178" s="19" t="s">
        <v>29</v>
      </c>
      <c r="F178" s="19" t="s">
        <v>1063</v>
      </c>
      <c r="G178" s="298"/>
      <c r="H178" s="10"/>
      <c r="I178" s="11"/>
      <c r="J178" s="11"/>
      <c r="K178" s="11"/>
      <c r="L178" s="11"/>
      <c r="M178" s="11"/>
      <c r="N178" s="11"/>
      <c r="O178" s="12"/>
      <c r="P178" s="11"/>
      <c r="Q178" s="13"/>
      <c r="R178" s="14"/>
    </row>
    <row r="179" spans="1:18" ht="49.9" customHeight="1" thickBot="1">
      <c r="A179" s="96" t="s">
        <v>415</v>
      </c>
      <c r="B179" s="96" t="s">
        <v>1297</v>
      </c>
      <c r="C179" s="97">
        <v>0.4375</v>
      </c>
      <c r="D179" s="96" t="s">
        <v>63</v>
      </c>
      <c r="E179" s="96" t="s">
        <v>103</v>
      </c>
      <c r="F179" s="96" t="s">
        <v>1298</v>
      </c>
      <c r="G179" s="299"/>
      <c r="H179" s="300"/>
      <c r="I179" s="140"/>
      <c r="J179" s="140"/>
      <c r="K179" s="140"/>
      <c r="L179" s="140"/>
      <c r="M179" s="140"/>
      <c r="N179" s="140"/>
      <c r="O179" s="141"/>
      <c r="P179" s="140"/>
      <c r="Q179" s="142"/>
      <c r="R179" s="301"/>
    </row>
    <row r="180" spans="1:18" ht="17.45" customHeight="1" thickBot="1">
      <c r="A180" s="283"/>
      <c r="B180" s="284"/>
      <c r="C180" s="284"/>
      <c r="D180" s="284"/>
      <c r="E180" s="284"/>
      <c r="F180" s="284"/>
      <c r="G180" s="284"/>
      <c r="H180" s="284"/>
      <c r="I180" s="284"/>
      <c r="J180" s="284"/>
      <c r="K180" s="284"/>
      <c r="L180" s="284"/>
      <c r="M180" s="284"/>
      <c r="N180" s="284"/>
      <c r="O180" s="284"/>
      <c r="P180" s="284"/>
      <c r="Q180" s="284"/>
      <c r="R180" s="285"/>
    </row>
    <row r="181" spans="1:18" ht="22.15" customHeight="1" thickTop="1" thickBot="1">
      <c r="A181" s="279" t="s">
        <v>6</v>
      </c>
      <c r="B181" s="295"/>
      <c r="C181" s="295"/>
      <c r="D181" s="295"/>
      <c r="E181" s="295"/>
      <c r="F181" s="296"/>
      <c r="G181" s="32">
        <v>46047</v>
      </c>
      <c r="H181" s="278" t="s">
        <v>7</v>
      </c>
      <c r="I181" s="295"/>
      <c r="J181" s="295"/>
      <c r="K181" s="295"/>
      <c r="L181" s="295"/>
      <c r="M181" s="295"/>
      <c r="N181" s="295"/>
      <c r="O181" s="295"/>
      <c r="P181" s="295"/>
      <c r="Q181" s="295"/>
      <c r="R181" s="296"/>
    </row>
    <row r="182" spans="1:18" ht="24" customHeight="1">
      <c r="A182" s="33" t="s">
        <v>8</v>
      </c>
      <c r="B182" s="33" t="s">
        <v>9</v>
      </c>
      <c r="C182" s="34" t="s">
        <v>10</v>
      </c>
      <c r="D182" s="33" t="s">
        <v>11</v>
      </c>
      <c r="E182" s="33" t="s">
        <v>12</v>
      </c>
      <c r="F182" s="35" t="s">
        <v>13</v>
      </c>
      <c r="G182" s="36" t="s">
        <v>14</v>
      </c>
      <c r="H182" s="33" t="s">
        <v>15</v>
      </c>
      <c r="I182" s="37" t="s">
        <v>16</v>
      </c>
      <c r="J182" s="38" t="s">
        <v>17</v>
      </c>
      <c r="K182" s="39" t="s">
        <v>18</v>
      </c>
      <c r="L182" s="38" t="s">
        <v>19</v>
      </c>
      <c r="M182" s="38" t="s">
        <v>20</v>
      </c>
      <c r="N182" s="38" t="s">
        <v>21</v>
      </c>
      <c r="O182" s="33" t="s">
        <v>22</v>
      </c>
      <c r="P182" s="34" t="s">
        <v>23</v>
      </c>
      <c r="Q182" s="38" t="s">
        <v>24</v>
      </c>
      <c r="R182" s="33" t="s">
        <v>25</v>
      </c>
    </row>
    <row r="183" spans="1:18" ht="49.9" customHeight="1">
      <c r="A183" s="40" t="s">
        <v>61</v>
      </c>
      <c r="B183" s="40" t="s">
        <v>1287</v>
      </c>
      <c r="C183" s="41">
        <v>0.63194444444444442</v>
      </c>
      <c r="D183" s="40" t="s">
        <v>63</v>
      </c>
      <c r="E183" s="40" t="s">
        <v>126</v>
      </c>
      <c r="F183" s="40" t="s">
        <v>33</v>
      </c>
      <c r="G183" s="297"/>
      <c r="H183" s="42" t="s">
        <v>1289</v>
      </c>
      <c r="I183" s="43">
        <v>1.12E-2</v>
      </c>
      <c r="J183" s="44">
        <v>2</v>
      </c>
      <c r="K183" s="45">
        <v>46341</v>
      </c>
      <c r="L183" s="44">
        <v>2</v>
      </c>
      <c r="M183" s="44">
        <v>0</v>
      </c>
      <c r="N183" s="44">
        <v>0</v>
      </c>
      <c r="O183" s="46" t="s">
        <v>310</v>
      </c>
      <c r="P183" s="47">
        <v>0.63194444444444442</v>
      </c>
      <c r="Q183" s="44">
        <v>179</v>
      </c>
      <c r="R183" s="48" t="s">
        <v>318</v>
      </c>
    </row>
    <row r="184" spans="1:18" ht="49.9" customHeight="1">
      <c r="A184" s="19" t="s">
        <v>402</v>
      </c>
      <c r="B184" s="19" t="s">
        <v>1294</v>
      </c>
      <c r="C184" s="20">
        <v>0.48958333333333331</v>
      </c>
      <c r="D184" s="19" t="s">
        <v>63</v>
      </c>
      <c r="E184" s="19" t="s">
        <v>103</v>
      </c>
      <c r="F184" s="19" t="s">
        <v>1063</v>
      </c>
      <c r="G184" s="298"/>
      <c r="H184" s="10"/>
      <c r="I184" s="11"/>
      <c r="J184" s="11"/>
      <c r="K184" s="11"/>
      <c r="L184" s="11"/>
      <c r="M184" s="11"/>
      <c r="N184" s="11"/>
      <c r="O184" s="12"/>
      <c r="P184" s="11"/>
      <c r="Q184" s="13"/>
      <c r="R184" s="14"/>
    </row>
    <row r="185" spans="1:18" ht="49.9" customHeight="1" thickBot="1">
      <c r="A185" s="96" t="s">
        <v>415</v>
      </c>
      <c r="B185" s="96" t="s">
        <v>1297</v>
      </c>
      <c r="C185" s="97">
        <v>0.4375</v>
      </c>
      <c r="D185" s="96" t="s">
        <v>63</v>
      </c>
      <c r="E185" s="96" t="s">
        <v>103</v>
      </c>
      <c r="F185" s="96" t="s">
        <v>1298</v>
      </c>
      <c r="G185" s="299"/>
      <c r="H185" s="300"/>
      <c r="I185" s="140"/>
      <c r="J185" s="140"/>
      <c r="K185" s="140"/>
      <c r="L185" s="140"/>
      <c r="M185" s="140"/>
      <c r="N185" s="140"/>
      <c r="O185" s="141"/>
      <c r="P185" s="140"/>
      <c r="Q185" s="142"/>
      <c r="R185" s="301"/>
    </row>
    <row r="186" spans="1:18" ht="17.45" customHeight="1" thickBot="1">
      <c r="A186" s="283"/>
      <c r="B186" s="284"/>
      <c r="C186" s="284"/>
      <c r="D186" s="284"/>
      <c r="E186" s="284"/>
      <c r="F186" s="284"/>
      <c r="G186" s="284"/>
      <c r="H186" s="284"/>
      <c r="I186" s="284"/>
      <c r="J186" s="284"/>
      <c r="K186" s="284"/>
      <c r="L186" s="284"/>
      <c r="M186" s="284"/>
      <c r="N186" s="284"/>
      <c r="O186" s="284"/>
      <c r="P186" s="284"/>
      <c r="Q186" s="284"/>
      <c r="R186" s="285"/>
    </row>
    <row r="187" spans="1:18" ht="22.15" customHeight="1" thickTop="1" thickBot="1">
      <c r="A187" s="279" t="s">
        <v>6</v>
      </c>
      <c r="B187" s="295"/>
      <c r="C187" s="295"/>
      <c r="D187" s="295"/>
      <c r="E187" s="295"/>
      <c r="F187" s="296"/>
      <c r="G187" s="32">
        <v>46048</v>
      </c>
      <c r="H187" s="278" t="s">
        <v>7</v>
      </c>
      <c r="I187" s="295"/>
      <c r="J187" s="295"/>
      <c r="K187" s="295"/>
      <c r="L187" s="295"/>
      <c r="M187" s="295"/>
      <c r="N187" s="295"/>
      <c r="O187" s="295"/>
      <c r="P187" s="295"/>
      <c r="Q187" s="295"/>
      <c r="R187" s="296"/>
    </row>
    <row r="188" spans="1:18" ht="24" customHeight="1">
      <c r="A188" s="33" t="s">
        <v>8</v>
      </c>
      <c r="B188" s="33" t="s">
        <v>9</v>
      </c>
      <c r="C188" s="34" t="s">
        <v>10</v>
      </c>
      <c r="D188" s="33" t="s">
        <v>11</v>
      </c>
      <c r="E188" s="33" t="s">
        <v>12</v>
      </c>
      <c r="F188" s="35" t="s">
        <v>13</v>
      </c>
      <c r="G188" s="36" t="s">
        <v>14</v>
      </c>
      <c r="H188" s="33" t="s">
        <v>15</v>
      </c>
      <c r="I188" s="37" t="s">
        <v>16</v>
      </c>
      <c r="J188" s="38" t="s">
        <v>17</v>
      </c>
      <c r="K188" s="39" t="s">
        <v>18</v>
      </c>
      <c r="L188" s="38" t="s">
        <v>19</v>
      </c>
      <c r="M188" s="38" t="s">
        <v>20</v>
      </c>
      <c r="N188" s="38" t="s">
        <v>21</v>
      </c>
      <c r="O188" s="33" t="s">
        <v>22</v>
      </c>
      <c r="P188" s="34" t="s">
        <v>23</v>
      </c>
      <c r="Q188" s="38" t="s">
        <v>24</v>
      </c>
      <c r="R188" s="33" t="s">
        <v>25</v>
      </c>
    </row>
    <row r="189" spans="1:18" ht="49.9" customHeight="1">
      <c r="A189" s="8" t="s">
        <v>359</v>
      </c>
      <c r="B189" s="8" t="s">
        <v>1291</v>
      </c>
      <c r="C189" s="9">
        <v>0.76736111111111116</v>
      </c>
      <c r="D189" s="8" t="s">
        <v>361</v>
      </c>
      <c r="E189" s="8" t="s">
        <v>80</v>
      </c>
      <c r="F189" s="8" t="s">
        <v>1304</v>
      </c>
      <c r="G189" s="297"/>
      <c r="H189" s="10"/>
      <c r="I189" s="11"/>
      <c r="J189" s="11"/>
      <c r="K189" s="11"/>
      <c r="L189" s="11"/>
      <c r="M189" s="11"/>
      <c r="N189" s="11"/>
      <c r="O189" s="12"/>
      <c r="P189" s="11"/>
      <c r="Q189" s="13"/>
      <c r="R189" s="14"/>
    </row>
    <row r="190" spans="1:18" ht="49.9" customHeight="1">
      <c r="A190" s="15" t="s">
        <v>359</v>
      </c>
      <c r="B190" s="15" t="s">
        <v>1291</v>
      </c>
      <c r="C190" s="16">
        <v>0.76736111111111116</v>
      </c>
      <c r="D190" s="15" t="s">
        <v>46</v>
      </c>
      <c r="E190" s="15" t="s">
        <v>82</v>
      </c>
      <c r="F190" s="15" t="s">
        <v>1305</v>
      </c>
      <c r="G190" s="298"/>
      <c r="H190" s="10"/>
      <c r="I190" s="11"/>
      <c r="J190" s="11"/>
      <c r="K190" s="11"/>
      <c r="L190" s="11"/>
      <c r="M190" s="11"/>
      <c r="N190" s="11"/>
      <c r="O190" s="12"/>
      <c r="P190" s="11"/>
      <c r="Q190" s="13"/>
      <c r="R190" s="14"/>
    </row>
    <row r="191" spans="1:18" ht="49.9" customHeight="1">
      <c r="A191" s="19" t="s">
        <v>68</v>
      </c>
      <c r="B191" s="19" t="s">
        <v>1295</v>
      </c>
      <c r="C191" s="20">
        <v>0.86805555555555547</v>
      </c>
      <c r="D191" s="19" t="s">
        <v>643</v>
      </c>
      <c r="E191" s="19" t="s">
        <v>51</v>
      </c>
      <c r="F191" s="19" t="s">
        <v>1296</v>
      </c>
      <c r="G191" s="298"/>
      <c r="H191" s="10"/>
      <c r="I191" s="11"/>
      <c r="J191" s="11"/>
      <c r="K191" s="11"/>
      <c r="L191" s="11"/>
      <c r="M191" s="11"/>
      <c r="N191" s="11"/>
      <c r="O191" s="12"/>
      <c r="P191" s="11"/>
      <c r="Q191" s="13"/>
      <c r="R191" s="14"/>
    </row>
    <row r="192" spans="1:18" ht="49.9" customHeight="1">
      <c r="A192" s="19" t="s">
        <v>402</v>
      </c>
      <c r="B192" s="19" t="s">
        <v>1294</v>
      </c>
      <c r="C192" s="20">
        <v>0.48958333333333331</v>
      </c>
      <c r="D192" s="19" t="s">
        <v>63</v>
      </c>
      <c r="E192" s="19" t="s">
        <v>103</v>
      </c>
      <c r="F192" s="19" t="s">
        <v>1063</v>
      </c>
      <c r="G192" s="298"/>
      <c r="H192" s="10"/>
      <c r="I192" s="11"/>
      <c r="J192" s="11"/>
      <c r="K192" s="11"/>
      <c r="L192" s="11"/>
      <c r="M192" s="11"/>
      <c r="N192" s="11"/>
      <c r="O192" s="12"/>
      <c r="P192" s="11"/>
      <c r="Q192" s="13"/>
      <c r="R192" s="14"/>
    </row>
    <row r="193" spans="1:18" ht="49.9" customHeight="1" thickBot="1">
      <c r="A193" s="96" t="s">
        <v>415</v>
      </c>
      <c r="B193" s="96" t="s">
        <v>1297</v>
      </c>
      <c r="C193" s="97">
        <v>0.4548611111111111</v>
      </c>
      <c r="D193" s="96" t="s">
        <v>63</v>
      </c>
      <c r="E193" s="96" t="s">
        <v>103</v>
      </c>
      <c r="F193" s="96" t="s">
        <v>1298</v>
      </c>
      <c r="G193" s="299"/>
      <c r="H193" s="300"/>
      <c r="I193" s="140"/>
      <c r="J193" s="140"/>
      <c r="K193" s="140"/>
      <c r="L193" s="140"/>
      <c r="M193" s="140"/>
      <c r="N193" s="140"/>
      <c r="O193" s="141"/>
      <c r="P193" s="140"/>
      <c r="Q193" s="142"/>
      <c r="R193" s="301"/>
    </row>
    <row r="194" spans="1:18" ht="17.45" customHeight="1" thickBot="1">
      <c r="A194" s="283"/>
      <c r="B194" s="284"/>
      <c r="C194" s="284"/>
      <c r="D194" s="284"/>
      <c r="E194" s="284"/>
      <c r="F194" s="284"/>
      <c r="G194" s="284"/>
      <c r="H194" s="284"/>
      <c r="I194" s="284"/>
      <c r="J194" s="284"/>
      <c r="K194" s="284"/>
      <c r="L194" s="284"/>
      <c r="M194" s="284"/>
      <c r="N194" s="284"/>
      <c r="O194" s="284"/>
      <c r="P194" s="284"/>
      <c r="Q194" s="284"/>
      <c r="R194" s="285"/>
    </row>
    <row r="195" spans="1:18" ht="22.15" customHeight="1" thickTop="1" thickBot="1">
      <c r="A195" s="279" t="s">
        <v>6</v>
      </c>
      <c r="B195" s="295"/>
      <c r="C195" s="295"/>
      <c r="D195" s="295"/>
      <c r="E195" s="295"/>
      <c r="F195" s="296"/>
      <c r="G195" s="32">
        <v>46049</v>
      </c>
      <c r="H195" s="278" t="s">
        <v>7</v>
      </c>
      <c r="I195" s="295"/>
      <c r="J195" s="295"/>
      <c r="K195" s="295"/>
      <c r="L195" s="295"/>
      <c r="M195" s="295"/>
      <c r="N195" s="295"/>
      <c r="O195" s="295"/>
      <c r="P195" s="295"/>
      <c r="Q195" s="295"/>
      <c r="R195" s="296"/>
    </row>
    <row r="196" spans="1:18" ht="24" customHeight="1">
      <c r="A196" s="33" t="s">
        <v>8</v>
      </c>
      <c r="B196" s="33" t="s">
        <v>9</v>
      </c>
      <c r="C196" s="34" t="s">
        <v>10</v>
      </c>
      <c r="D196" s="33" t="s">
        <v>11</v>
      </c>
      <c r="E196" s="33" t="s">
        <v>12</v>
      </c>
      <c r="F196" s="35" t="s">
        <v>13</v>
      </c>
      <c r="G196" s="36" t="s">
        <v>14</v>
      </c>
      <c r="H196" s="33" t="s">
        <v>15</v>
      </c>
      <c r="I196" s="37" t="s">
        <v>16</v>
      </c>
      <c r="J196" s="38" t="s">
        <v>17</v>
      </c>
      <c r="K196" s="39" t="s">
        <v>18</v>
      </c>
      <c r="L196" s="38" t="s">
        <v>19</v>
      </c>
      <c r="M196" s="38" t="s">
        <v>20</v>
      </c>
      <c r="N196" s="38" t="s">
        <v>21</v>
      </c>
      <c r="O196" s="33" t="s">
        <v>22</v>
      </c>
      <c r="P196" s="34" t="s">
        <v>23</v>
      </c>
      <c r="Q196" s="38" t="s">
        <v>24</v>
      </c>
      <c r="R196" s="33" t="s">
        <v>25</v>
      </c>
    </row>
    <row r="197" spans="1:18" ht="49.9" customHeight="1">
      <c r="A197" s="8" t="s">
        <v>359</v>
      </c>
      <c r="B197" s="8" t="s">
        <v>1291</v>
      </c>
      <c r="C197" s="9">
        <v>0.76736111111111116</v>
      </c>
      <c r="D197" s="8" t="s">
        <v>361</v>
      </c>
      <c r="E197" s="8" t="s">
        <v>80</v>
      </c>
      <c r="F197" s="8" t="s">
        <v>1304</v>
      </c>
      <c r="G197" s="297"/>
      <c r="H197" s="10"/>
      <c r="I197" s="11"/>
      <c r="J197" s="11"/>
      <c r="K197" s="11"/>
      <c r="L197" s="11"/>
      <c r="M197" s="11"/>
      <c r="N197" s="11"/>
      <c r="O197" s="12"/>
      <c r="P197" s="11"/>
      <c r="Q197" s="13"/>
      <c r="R197" s="14"/>
    </row>
    <row r="198" spans="1:18" ht="49.9" customHeight="1">
      <c r="A198" s="15" t="s">
        <v>359</v>
      </c>
      <c r="B198" s="15" t="s">
        <v>1291</v>
      </c>
      <c r="C198" s="16">
        <v>0.76736111111111116</v>
      </c>
      <c r="D198" s="15" t="s">
        <v>46</v>
      </c>
      <c r="E198" s="15" t="s">
        <v>82</v>
      </c>
      <c r="F198" s="15" t="s">
        <v>1305</v>
      </c>
      <c r="G198" s="298"/>
      <c r="H198" s="10"/>
      <c r="I198" s="11"/>
      <c r="J198" s="11"/>
      <c r="K198" s="11"/>
      <c r="L198" s="11"/>
      <c r="M198" s="11"/>
      <c r="N198" s="11"/>
      <c r="O198" s="12"/>
      <c r="P198" s="11"/>
      <c r="Q198" s="13"/>
      <c r="R198" s="14"/>
    </row>
    <row r="199" spans="1:18" ht="49.9" customHeight="1">
      <c r="A199" s="19" t="s">
        <v>402</v>
      </c>
      <c r="B199" s="19" t="s">
        <v>1294</v>
      </c>
      <c r="C199" s="20">
        <v>0.48958333333333331</v>
      </c>
      <c r="D199" s="19" t="s">
        <v>63</v>
      </c>
      <c r="E199" s="19" t="s">
        <v>103</v>
      </c>
      <c r="F199" s="19" t="s">
        <v>1063</v>
      </c>
      <c r="G199" s="298"/>
      <c r="H199" s="10"/>
      <c r="I199" s="11"/>
      <c r="J199" s="11"/>
      <c r="K199" s="11"/>
      <c r="L199" s="11"/>
      <c r="M199" s="11"/>
      <c r="N199" s="11"/>
      <c r="O199" s="12"/>
      <c r="P199" s="11"/>
      <c r="Q199" s="13"/>
      <c r="R199" s="14"/>
    </row>
    <row r="200" spans="1:18" ht="49.9" customHeight="1" thickBot="1">
      <c r="A200" s="96" t="s">
        <v>415</v>
      </c>
      <c r="B200" s="96" t="s">
        <v>1297</v>
      </c>
      <c r="C200" s="97">
        <v>0.44097222222222232</v>
      </c>
      <c r="D200" s="96" t="s">
        <v>63</v>
      </c>
      <c r="E200" s="96" t="s">
        <v>103</v>
      </c>
      <c r="F200" s="96" t="s">
        <v>1298</v>
      </c>
      <c r="G200" s="299"/>
      <c r="H200" s="300"/>
      <c r="I200" s="140"/>
      <c r="J200" s="140"/>
      <c r="K200" s="140"/>
      <c r="L200" s="140"/>
      <c r="M200" s="140"/>
      <c r="N200" s="140"/>
      <c r="O200" s="141"/>
      <c r="P200" s="140"/>
      <c r="Q200" s="142"/>
      <c r="R200" s="301"/>
    </row>
    <row r="201" spans="1:18" ht="17.45" customHeight="1" thickBot="1">
      <c r="A201" s="283"/>
      <c r="B201" s="284"/>
      <c r="C201" s="284"/>
      <c r="D201" s="284"/>
      <c r="E201" s="284"/>
      <c r="F201" s="284"/>
      <c r="G201" s="284"/>
      <c r="H201" s="284"/>
      <c r="I201" s="284"/>
      <c r="J201" s="284"/>
      <c r="K201" s="284"/>
      <c r="L201" s="284"/>
      <c r="M201" s="284"/>
      <c r="N201" s="284"/>
      <c r="O201" s="284"/>
      <c r="P201" s="284"/>
      <c r="Q201" s="284"/>
      <c r="R201" s="285"/>
    </row>
    <row r="202" spans="1:18" ht="22.15" customHeight="1" thickTop="1" thickBot="1">
      <c r="A202" s="279" t="s">
        <v>6</v>
      </c>
      <c r="B202" s="295"/>
      <c r="C202" s="295"/>
      <c r="D202" s="295"/>
      <c r="E202" s="295"/>
      <c r="F202" s="296"/>
      <c r="G202" s="32">
        <v>46050</v>
      </c>
      <c r="H202" s="278" t="s">
        <v>7</v>
      </c>
      <c r="I202" s="295"/>
      <c r="J202" s="295"/>
      <c r="K202" s="295"/>
      <c r="L202" s="295"/>
      <c r="M202" s="295"/>
      <c r="N202" s="295"/>
      <c r="O202" s="295"/>
      <c r="P202" s="295"/>
      <c r="Q202" s="295"/>
      <c r="R202" s="296"/>
    </row>
    <row r="203" spans="1:18" ht="24" customHeight="1">
      <c r="A203" s="33" t="s">
        <v>8</v>
      </c>
      <c r="B203" s="33" t="s">
        <v>9</v>
      </c>
      <c r="C203" s="34" t="s">
        <v>10</v>
      </c>
      <c r="D203" s="33" t="s">
        <v>11</v>
      </c>
      <c r="E203" s="33" t="s">
        <v>12</v>
      </c>
      <c r="F203" s="35" t="s">
        <v>13</v>
      </c>
      <c r="G203" s="36" t="s">
        <v>14</v>
      </c>
      <c r="H203" s="33" t="s">
        <v>15</v>
      </c>
      <c r="I203" s="37" t="s">
        <v>16</v>
      </c>
      <c r="J203" s="38" t="s">
        <v>17</v>
      </c>
      <c r="K203" s="39" t="s">
        <v>18</v>
      </c>
      <c r="L203" s="38" t="s">
        <v>19</v>
      </c>
      <c r="M203" s="38" t="s">
        <v>20</v>
      </c>
      <c r="N203" s="38" t="s">
        <v>21</v>
      </c>
      <c r="O203" s="33" t="s">
        <v>22</v>
      </c>
      <c r="P203" s="34" t="s">
        <v>23</v>
      </c>
      <c r="Q203" s="38" t="s">
        <v>24</v>
      </c>
      <c r="R203" s="33" t="s">
        <v>25</v>
      </c>
    </row>
    <row r="204" spans="1:18" ht="49.9" customHeight="1">
      <c r="A204" s="8" t="s">
        <v>359</v>
      </c>
      <c r="B204" s="8" t="s">
        <v>1291</v>
      </c>
      <c r="C204" s="9">
        <v>0.76736111111111116</v>
      </c>
      <c r="D204" s="8" t="s">
        <v>361</v>
      </c>
      <c r="E204" s="8" t="s">
        <v>80</v>
      </c>
      <c r="F204" s="8" t="s">
        <v>1304</v>
      </c>
      <c r="G204" s="297"/>
      <c r="H204" s="10"/>
      <c r="I204" s="11"/>
      <c r="J204" s="11"/>
      <c r="K204" s="11"/>
      <c r="L204" s="11"/>
      <c r="M204" s="11"/>
      <c r="N204" s="11"/>
      <c r="O204" s="12"/>
      <c r="P204" s="11"/>
      <c r="Q204" s="13"/>
      <c r="R204" s="14"/>
    </row>
    <row r="205" spans="1:18" ht="49.9" customHeight="1">
      <c r="A205" s="15" t="s">
        <v>359</v>
      </c>
      <c r="B205" s="15" t="s">
        <v>1291</v>
      </c>
      <c r="C205" s="16">
        <v>0.76736111111111116</v>
      </c>
      <c r="D205" s="15" t="s">
        <v>46</v>
      </c>
      <c r="E205" s="15" t="s">
        <v>82</v>
      </c>
      <c r="F205" s="15" t="s">
        <v>1305</v>
      </c>
      <c r="G205" s="298"/>
      <c r="H205" s="10"/>
      <c r="I205" s="11"/>
      <c r="J205" s="11"/>
      <c r="K205" s="11"/>
      <c r="L205" s="11"/>
      <c r="M205" s="11"/>
      <c r="N205" s="11"/>
      <c r="O205" s="12"/>
      <c r="P205" s="11"/>
      <c r="Q205" s="13"/>
      <c r="R205" s="14"/>
    </row>
    <row r="206" spans="1:18" ht="49.9" customHeight="1">
      <c r="A206" s="19" t="s">
        <v>68</v>
      </c>
      <c r="B206" s="19" t="s">
        <v>1295</v>
      </c>
      <c r="C206" s="20">
        <v>0.86805555555555547</v>
      </c>
      <c r="D206" s="19" t="s">
        <v>643</v>
      </c>
      <c r="E206" s="19" t="s">
        <v>51</v>
      </c>
      <c r="F206" s="19" t="s">
        <v>1296</v>
      </c>
      <c r="G206" s="298"/>
      <c r="H206" s="10"/>
      <c r="I206" s="11"/>
      <c r="J206" s="11"/>
      <c r="K206" s="11"/>
      <c r="L206" s="11"/>
      <c r="M206" s="11"/>
      <c r="N206" s="11"/>
      <c r="O206" s="12"/>
      <c r="P206" s="11"/>
      <c r="Q206" s="13"/>
      <c r="R206" s="14"/>
    </row>
    <row r="207" spans="1:18" ht="49.9" customHeight="1">
      <c r="A207" s="19" t="s">
        <v>402</v>
      </c>
      <c r="B207" s="19" t="s">
        <v>1294</v>
      </c>
      <c r="C207" s="20">
        <v>0.48958333333333331</v>
      </c>
      <c r="D207" s="19" t="s">
        <v>63</v>
      </c>
      <c r="E207" s="19" t="s">
        <v>103</v>
      </c>
      <c r="F207" s="19" t="s">
        <v>1063</v>
      </c>
      <c r="G207" s="298"/>
      <c r="H207" s="10"/>
      <c r="I207" s="11"/>
      <c r="J207" s="11"/>
      <c r="K207" s="11"/>
      <c r="L207" s="11"/>
      <c r="M207" s="11"/>
      <c r="N207" s="11"/>
      <c r="O207" s="12"/>
      <c r="P207" s="11"/>
      <c r="Q207" s="13"/>
      <c r="R207" s="14"/>
    </row>
    <row r="208" spans="1:18" ht="49.9" customHeight="1" thickBot="1">
      <c r="A208" s="96" t="s">
        <v>415</v>
      </c>
      <c r="B208" s="96" t="s">
        <v>1297</v>
      </c>
      <c r="C208" s="97">
        <v>0.4548611111111111</v>
      </c>
      <c r="D208" s="96" t="s">
        <v>63</v>
      </c>
      <c r="E208" s="96" t="s">
        <v>103</v>
      </c>
      <c r="F208" s="96" t="s">
        <v>1298</v>
      </c>
      <c r="G208" s="299"/>
      <c r="H208" s="300"/>
      <c r="I208" s="140"/>
      <c r="J208" s="140"/>
      <c r="K208" s="140"/>
      <c r="L208" s="140"/>
      <c r="M208" s="140"/>
      <c r="N208" s="140"/>
      <c r="O208" s="141"/>
      <c r="P208" s="140"/>
      <c r="Q208" s="142"/>
      <c r="R208" s="301"/>
    </row>
    <row r="209" spans="1:18" ht="17.45" customHeight="1" thickBot="1">
      <c r="A209" s="283"/>
      <c r="B209" s="284"/>
      <c r="C209" s="284"/>
      <c r="D209" s="284"/>
      <c r="E209" s="284"/>
      <c r="F209" s="284"/>
      <c r="G209" s="284"/>
      <c r="H209" s="284"/>
      <c r="I209" s="284"/>
      <c r="J209" s="284"/>
      <c r="K209" s="284"/>
      <c r="L209" s="284"/>
      <c r="M209" s="284"/>
      <c r="N209" s="284"/>
      <c r="O209" s="284"/>
      <c r="P209" s="284"/>
      <c r="Q209" s="284"/>
      <c r="R209" s="285"/>
    </row>
    <row r="210" spans="1:18" ht="22.15" customHeight="1" thickTop="1" thickBot="1">
      <c r="A210" s="279" t="s">
        <v>6</v>
      </c>
      <c r="B210" s="295"/>
      <c r="C210" s="295"/>
      <c r="D210" s="295"/>
      <c r="E210" s="295"/>
      <c r="F210" s="296"/>
      <c r="G210" s="32">
        <v>46051</v>
      </c>
      <c r="H210" s="278" t="s">
        <v>7</v>
      </c>
      <c r="I210" s="295"/>
      <c r="J210" s="295"/>
      <c r="K210" s="295"/>
      <c r="L210" s="295"/>
      <c r="M210" s="295"/>
      <c r="N210" s="295"/>
      <c r="O210" s="295"/>
      <c r="P210" s="295"/>
      <c r="Q210" s="295"/>
      <c r="R210" s="296"/>
    </row>
    <row r="211" spans="1:18" ht="24" customHeight="1">
      <c r="A211" s="33" t="s">
        <v>8</v>
      </c>
      <c r="B211" s="33" t="s">
        <v>9</v>
      </c>
      <c r="C211" s="34" t="s">
        <v>10</v>
      </c>
      <c r="D211" s="33" t="s">
        <v>11</v>
      </c>
      <c r="E211" s="33" t="s">
        <v>12</v>
      </c>
      <c r="F211" s="35" t="s">
        <v>13</v>
      </c>
      <c r="G211" s="36" t="s">
        <v>14</v>
      </c>
      <c r="H211" s="33" t="s">
        <v>15</v>
      </c>
      <c r="I211" s="37" t="s">
        <v>16</v>
      </c>
      <c r="J211" s="38" t="s">
        <v>17</v>
      </c>
      <c r="K211" s="39" t="s">
        <v>18</v>
      </c>
      <c r="L211" s="38" t="s">
        <v>19</v>
      </c>
      <c r="M211" s="38" t="s">
        <v>20</v>
      </c>
      <c r="N211" s="38" t="s">
        <v>21</v>
      </c>
      <c r="O211" s="33" t="s">
        <v>22</v>
      </c>
      <c r="P211" s="34" t="s">
        <v>23</v>
      </c>
      <c r="Q211" s="38" t="s">
        <v>24</v>
      </c>
      <c r="R211" s="33" t="s">
        <v>25</v>
      </c>
    </row>
    <row r="212" spans="1:18" ht="15" customHeight="1">
      <c r="A212" s="40" t="s">
        <v>61</v>
      </c>
      <c r="B212" s="40" t="s">
        <v>1287</v>
      </c>
      <c r="C212" s="41">
        <v>0.63194444444444442</v>
      </c>
      <c r="D212" s="40" t="s">
        <v>63</v>
      </c>
      <c r="E212" s="40" t="s">
        <v>29</v>
      </c>
      <c r="F212" s="40" t="s">
        <v>1288</v>
      </c>
      <c r="G212" s="297"/>
      <c r="H212" s="42" t="s">
        <v>1289</v>
      </c>
      <c r="I212" s="43">
        <v>1.6799999999999999E-2</v>
      </c>
      <c r="J212" s="44">
        <v>3</v>
      </c>
      <c r="K212" s="45">
        <v>46342</v>
      </c>
      <c r="L212" s="44">
        <v>3</v>
      </c>
      <c r="M212" s="44">
        <v>0</v>
      </c>
      <c r="N212" s="44">
        <v>0</v>
      </c>
      <c r="O212" s="46" t="s">
        <v>951</v>
      </c>
      <c r="P212" s="47">
        <v>0.63194444444444442</v>
      </c>
      <c r="Q212" s="44">
        <v>179</v>
      </c>
      <c r="R212" s="48" t="s">
        <v>967</v>
      </c>
    </row>
    <row r="213" spans="1:18" ht="15" customHeight="1">
      <c r="A213" s="19" t="s">
        <v>359</v>
      </c>
      <c r="B213" s="19" t="s">
        <v>1291</v>
      </c>
      <c r="C213" s="20">
        <v>0.76736111111111116</v>
      </c>
      <c r="D213" s="19" t="s">
        <v>361</v>
      </c>
      <c r="E213" s="19" t="s">
        <v>80</v>
      </c>
      <c r="F213" s="19" t="s">
        <v>1304</v>
      </c>
      <c r="G213" s="298"/>
      <c r="H213" s="10"/>
      <c r="I213" s="11"/>
      <c r="J213" s="11"/>
      <c r="K213" s="11"/>
      <c r="L213" s="11"/>
      <c r="M213" s="11"/>
      <c r="N213" s="11"/>
      <c r="O213" s="12"/>
      <c r="P213" s="11"/>
      <c r="Q213" s="13"/>
      <c r="R213" s="14"/>
    </row>
    <row r="214" spans="1:18" ht="15" customHeight="1">
      <c r="A214" s="15" t="s">
        <v>359</v>
      </c>
      <c r="B214" s="15" t="s">
        <v>1291</v>
      </c>
      <c r="C214" s="16">
        <v>0.76736111111111116</v>
      </c>
      <c r="D214" s="15" t="s">
        <v>46</v>
      </c>
      <c r="E214" s="15" t="s">
        <v>82</v>
      </c>
      <c r="F214" s="15" t="s">
        <v>1305</v>
      </c>
      <c r="G214" s="298"/>
      <c r="H214" s="10"/>
      <c r="I214" s="11"/>
      <c r="J214" s="11"/>
      <c r="K214" s="11"/>
      <c r="L214" s="11"/>
      <c r="M214" s="11"/>
      <c r="N214" s="11"/>
      <c r="O214" s="12"/>
      <c r="P214" s="11"/>
      <c r="Q214" s="13"/>
      <c r="R214" s="14"/>
    </row>
    <row r="215" spans="1:18" ht="15" customHeight="1">
      <c r="A215" s="19" t="s">
        <v>68</v>
      </c>
      <c r="B215" s="19" t="s">
        <v>1295</v>
      </c>
      <c r="C215" s="20">
        <v>0.86805555555555547</v>
      </c>
      <c r="D215" s="19" t="s">
        <v>643</v>
      </c>
      <c r="E215" s="19" t="s">
        <v>51</v>
      </c>
      <c r="F215" s="19" t="s">
        <v>1296</v>
      </c>
      <c r="G215" s="298"/>
      <c r="H215" s="10"/>
      <c r="I215" s="11"/>
      <c r="J215" s="11"/>
      <c r="K215" s="11"/>
      <c r="L215" s="11"/>
      <c r="M215" s="11"/>
      <c r="N215" s="11"/>
      <c r="O215" s="12"/>
      <c r="P215" s="11"/>
      <c r="Q215" s="13"/>
      <c r="R215" s="14"/>
    </row>
    <row r="216" spans="1:18" ht="15" customHeight="1">
      <c r="A216" s="19" t="s">
        <v>402</v>
      </c>
      <c r="B216" s="19" t="s">
        <v>1294</v>
      </c>
      <c r="C216" s="20">
        <v>0.48958333333333331</v>
      </c>
      <c r="D216" s="19" t="s">
        <v>63</v>
      </c>
      <c r="E216" s="19" t="s">
        <v>103</v>
      </c>
      <c r="F216" s="19" t="s">
        <v>1063</v>
      </c>
      <c r="G216" s="298"/>
      <c r="H216" s="10"/>
      <c r="I216" s="11"/>
      <c r="J216" s="11"/>
      <c r="K216" s="11"/>
      <c r="L216" s="11"/>
      <c r="M216" s="11"/>
      <c r="N216" s="11"/>
      <c r="O216" s="12"/>
      <c r="P216" s="11"/>
      <c r="Q216" s="13"/>
      <c r="R216" s="14"/>
    </row>
    <row r="217" spans="1:18" ht="15" customHeight="1" thickBot="1">
      <c r="A217" s="96" t="s">
        <v>415</v>
      </c>
      <c r="B217" s="96" t="s">
        <v>1297</v>
      </c>
      <c r="C217" s="97">
        <v>0.4548611111111111</v>
      </c>
      <c r="D217" s="96" t="s">
        <v>63</v>
      </c>
      <c r="E217" s="96" t="s">
        <v>103</v>
      </c>
      <c r="F217" s="96" t="s">
        <v>1298</v>
      </c>
      <c r="G217" s="299"/>
      <c r="H217" s="300"/>
      <c r="I217" s="140"/>
      <c r="J217" s="140"/>
      <c r="K217" s="140"/>
      <c r="L217" s="140"/>
      <c r="M217" s="140"/>
      <c r="N217" s="140"/>
      <c r="O217" s="141"/>
      <c r="P217" s="140"/>
      <c r="Q217" s="142"/>
      <c r="R217" s="301"/>
    </row>
    <row r="218" spans="1:18" ht="17.45" customHeight="1" thickBot="1">
      <c r="A218" s="283"/>
      <c r="B218" s="284"/>
      <c r="C218" s="284"/>
      <c r="D218" s="284"/>
      <c r="E218" s="284"/>
      <c r="F218" s="284"/>
      <c r="G218" s="284"/>
      <c r="H218" s="284"/>
      <c r="I218" s="284"/>
      <c r="J218" s="284"/>
      <c r="K218" s="284"/>
      <c r="L218" s="284"/>
      <c r="M218" s="284"/>
      <c r="N218" s="284"/>
      <c r="O218" s="284"/>
      <c r="P218" s="284"/>
      <c r="Q218" s="284"/>
      <c r="R218" s="285"/>
    </row>
    <row r="219" spans="1:18" ht="22.15" customHeight="1" thickTop="1" thickBot="1">
      <c r="A219" s="279" t="s">
        <v>6</v>
      </c>
      <c r="B219" s="295"/>
      <c r="C219" s="295"/>
      <c r="D219" s="295"/>
      <c r="E219" s="295"/>
      <c r="F219" s="296"/>
      <c r="G219" s="32">
        <v>46052</v>
      </c>
      <c r="H219" s="278" t="s">
        <v>7</v>
      </c>
      <c r="I219" s="295"/>
      <c r="J219" s="295"/>
      <c r="K219" s="295"/>
      <c r="L219" s="295"/>
      <c r="M219" s="295"/>
      <c r="N219" s="295"/>
      <c r="O219" s="295"/>
      <c r="P219" s="295"/>
      <c r="Q219" s="295"/>
      <c r="R219" s="296"/>
    </row>
    <row r="220" spans="1:18" ht="24" customHeight="1">
      <c r="A220" s="33" t="s">
        <v>8</v>
      </c>
      <c r="B220" s="33" t="s">
        <v>9</v>
      </c>
      <c r="C220" s="34" t="s">
        <v>10</v>
      </c>
      <c r="D220" s="33" t="s">
        <v>11</v>
      </c>
      <c r="E220" s="33" t="s">
        <v>12</v>
      </c>
      <c r="F220" s="35" t="s">
        <v>13</v>
      </c>
      <c r="G220" s="36" t="s">
        <v>14</v>
      </c>
      <c r="H220" s="33" t="s">
        <v>15</v>
      </c>
      <c r="I220" s="37" t="s">
        <v>16</v>
      </c>
      <c r="J220" s="38" t="s">
        <v>17</v>
      </c>
      <c r="K220" s="39" t="s">
        <v>18</v>
      </c>
      <c r="L220" s="38" t="s">
        <v>19</v>
      </c>
      <c r="M220" s="38" t="s">
        <v>20</v>
      </c>
      <c r="N220" s="38" t="s">
        <v>21</v>
      </c>
      <c r="O220" s="33" t="s">
        <v>22</v>
      </c>
      <c r="P220" s="34" t="s">
        <v>23</v>
      </c>
      <c r="Q220" s="38" t="s">
        <v>24</v>
      </c>
      <c r="R220" s="33" t="s">
        <v>25</v>
      </c>
    </row>
    <row r="221" spans="1:18" ht="49.9" customHeight="1">
      <c r="A221" s="21" t="s">
        <v>61</v>
      </c>
      <c r="B221" s="21" t="s">
        <v>1287</v>
      </c>
      <c r="C221" s="22">
        <v>0.82986111111111116</v>
      </c>
      <c r="D221" s="21" t="s">
        <v>63</v>
      </c>
      <c r="E221" s="21" t="s">
        <v>177</v>
      </c>
      <c r="F221" s="21" t="s">
        <v>1316</v>
      </c>
      <c r="G221" s="302"/>
      <c r="H221" s="23" t="s">
        <v>1289</v>
      </c>
      <c r="I221" s="24">
        <v>4.4699999999999997E-2</v>
      </c>
      <c r="J221" s="25">
        <v>8</v>
      </c>
      <c r="K221" s="26">
        <v>46336</v>
      </c>
      <c r="L221" s="25">
        <v>8</v>
      </c>
      <c r="M221" s="25">
        <v>0</v>
      </c>
      <c r="N221" s="25">
        <v>0</v>
      </c>
      <c r="O221" s="27" t="s">
        <v>436</v>
      </c>
      <c r="P221" s="28">
        <v>0.82986111111111116</v>
      </c>
      <c r="Q221" s="25">
        <v>179</v>
      </c>
      <c r="R221" s="29" t="s">
        <v>1317</v>
      </c>
    </row>
    <row r="222" spans="1:18" ht="49.9" customHeight="1">
      <c r="A222" s="19" t="s">
        <v>68</v>
      </c>
      <c r="B222" s="19" t="s">
        <v>1295</v>
      </c>
      <c r="C222" s="20">
        <v>0.86805555555555547</v>
      </c>
      <c r="D222" s="19" t="s">
        <v>643</v>
      </c>
      <c r="E222" s="19" t="s">
        <v>51</v>
      </c>
      <c r="F222" s="19" t="s">
        <v>1296</v>
      </c>
      <c r="G222" s="298"/>
      <c r="H222" s="10"/>
      <c r="I222" s="11"/>
      <c r="J222" s="11"/>
      <c r="K222" s="11"/>
      <c r="L222" s="11"/>
      <c r="M222" s="11"/>
      <c r="N222" s="11"/>
      <c r="O222" s="12"/>
      <c r="P222" s="11"/>
      <c r="Q222" s="13"/>
      <c r="R222" s="14"/>
    </row>
    <row r="223" spans="1:18" ht="49.9" customHeight="1">
      <c r="A223" s="19" t="s">
        <v>402</v>
      </c>
      <c r="B223" s="19" t="s">
        <v>1294</v>
      </c>
      <c r="C223" s="20">
        <v>0.48958333333333331</v>
      </c>
      <c r="D223" s="19" t="s">
        <v>63</v>
      </c>
      <c r="E223" s="19" t="s">
        <v>29</v>
      </c>
      <c r="F223" s="19" t="s">
        <v>1063</v>
      </c>
      <c r="G223" s="298"/>
      <c r="H223" s="10"/>
      <c r="I223" s="11"/>
      <c r="J223" s="11"/>
      <c r="K223" s="11"/>
      <c r="L223" s="11"/>
      <c r="M223" s="11"/>
      <c r="N223" s="11"/>
      <c r="O223" s="12"/>
      <c r="P223" s="11"/>
      <c r="Q223" s="13"/>
      <c r="R223" s="14"/>
    </row>
    <row r="224" spans="1:18" ht="49.9" customHeight="1" thickBot="1">
      <c r="A224" s="96" t="s">
        <v>415</v>
      </c>
      <c r="B224" s="96" t="s">
        <v>1297</v>
      </c>
      <c r="C224" s="97">
        <v>0.4375</v>
      </c>
      <c r="D224" s="96" t="s">
        <v>63</v>
      </c>
      <c r="E224" s="96" t="s">
        <v>103</v>
      </c>
      <c r="F224" s="96" t="s">
        <v>1298</v>
      </c>
      <c r="G224" s="299"/>
      <c r="H224" s="300"/>
      <c r="I224" s="140"/>
      <c r="J224" s="140"/>
      <c r="K224" s="140"/>
      <c r="L224" s="140"/>
      <c r="M224" s="140"/>
      <c r="N224" s="140"/>
      <c r="O224" s="141"/>
      <c r="P224" s="140"/>
      <c r="Q224" s="142"/>
      <c r="R224" s="301"/>
    </row>
    <row r="225" spans="1:18" ht="17.45" customHeight="1" thickBot="1">
      <c r="A225" s="283"/>
      <c r="B225" s="284"/>
      <c r="C225" s="284"/>
      <c r="D225" s="284"/>
      <c r="E225" s="284"/>
      <c r="F225" s="284"/>
      <c r="G225" s="284"/>
      <c r="H225" s="284"/>
      <c r="I225" s="284"/>
      <c r="J225" s="284"/>
      <c r="K225" s="284"/>
      <c r="L225" s="284"/>
      <c r="M225" s="284"/>
      <c r="N225" s="284"/>
      <c r="O225" s="284"/>
      <c r="P225" s="284"/>
      <c r="Q225" s="284"/>
      <c r="R225" s="285"/>
    </row>
    <row r="226" spans="1:18" ht="22.15" customHeight="1" thickTop="1" thickBot="1">
      <c r="A226" s="279" t="s">
        <v>6</v>
      </c>
      <c r="B226" s="295"/>
      <c r="C226" s="295"/>
      <c r="D226" s="295"/>
      <c r="E226" s="295"/>
      <c r="F226" s="296"/>
      <c r="G226" s="32">
        <v>46053</v>
      </c>
      <c r="H226" s="278" t="s">
        <v>7</v>
      </c>
      <c r="I226" s="295"/>
      <c r="J226" s="295"/>
      <c r="K226" s="295"/>
      <c r="L226" s="295"/>
      <c r="M226" s="295"/>
      <c r="N226" s="295"/>
      <c r="O226" s="295"/>
      <c r="P226" s="295"/>
      <c r="Q226" s="295"/>
      <c r="R226" s="296"/>
    </row>
    <row r="227" spans="1:18" ht="24" customHeight="1">
      <c r="A227" s="33" t="s">
        <v>8</v>
      </c>
      <c r="B227" s="33" t="s">
        <v>9</v>
      </c>
      <c r="C227" s="34" t="s">
        <v>10</v>
      </c>
      <c r="D227" s="33" t="s">
        <v>11</v>
      </c>
      <c r="E227" s="33" t="s">
        <v>12</v>
      </c>
      <c r="F227" s="35" t="s">
        <v>13</v>
      </c>
      <c r="G227" s="36" t="s">
        <v>14</v>
      </c>
      <c r="H227" s="33" t="s">
        <v>15</v>
      </c>
      <c r="I227" s="37" t="s">
        <v>16</v>
      </c>
      <c r="J227" s="38" t="s">
        <v>17</v>
      </c>
      <c r="K227" s="39" t="s">
        <v>18</v>
      </c>
      <c r="L227" s="38" t="s">
        <v>19</v>
      </c>
      <c r="M227" s="38" t="s">
        <v>20</v>
      </c>
      <c r="N227" s="38" t="s">
        <v>21</v>
      </c>
      <c r="O227" s="33" t="s">
        <v>22</v>
      </c>
      <c r="P227" s="34" t="s">
        <v>23</v>
      </c>
      <c r="Q227" s="38" t="s">
        <v>24</v>
      </c>
      <c r="R227" s="33" t="s">
        <v>25</v>
      </c>
    </row>
    <row r="228" spans="1:18" ht="49.9" customHeight="1">
      <c r="A228" s="8" t="s">
        <v>359</v>
      </c>
      <c r="B228" s="8" t="s">
        <v>1291</v>
      </c>
      <c r="C228" s="9">
        <v>0.76736111111111116</v>
      </c>
      <c r="D228" s="8" t="s">
        <v>361</v>
      </c>
      <c r="E228" s="8" t="s">
        <v>80</v>
      </c>
      <c r="F228" s="8" t="s">
        <v>1309</v>
      </c>
      <c r="G228" s="302"/>
      <c r="H228" s="10"/>
      <c r="I228" s="11"/>
      <c r="J228" s="11"/>
      <c r="K228" s="11"/>
      <c r="L228" s="11"/>
      <c r="M228" s="11"/>
      <c r="N228" s="11"/>
      <c r="O228" s="12"/>
      <c r="P228" s="11"/>
      <c r="Q228" s="13"/>
      <c r="R228" s="14"/>
    </row>
    <row r="229" spans="1:18" ht="49.9" customHeight="1">
      <c r="A229" s="15" t="s">
        <v>359</v>
      </c>
      <c r="B229" s="15" t="s">
        <v>1291</v>
      </c>
      <c r="C229" s="16">
        <v>0.76736111111111116</v>
      </c>
      <c r="D229" s="15" t="s">
        <v>46</v>
      </c>
      <c r="E229" s="15" t="s">
        <v>82</v>
      </c>
      <c r="F229" s="15" t="s">
        <v>1310</v>
      </c>
      <c r="G229" s="298"/>
      <c r="H229" s="10"/>
      <c r="I229" s="11"/>
      <c r="J229" s="11"/>
      <c r="K229" s="11"/>
      <c r="L229" s="11"/>
      <c r="M229" s="11"/>
      <c r="N229" s="11"/>
      <c r="O229" s="12"/>
      <c r="P229" s="11"/>
      <c r="Q229" s="13"/>
      <c r="R229" s="14"/>
    </row>
    <row r="230" spans="1:18" ht="49.9" customHeight="1">
      <c r="A230" s="19" t="s">
        <v>68</v>
      </c>
      <c r="B230" s="19" t="s">
        <v>1295</v>
      </c>
      <c r="C230" s="20">
        <v>0.86805555555555547</v>
      </c>
      <c r="D230" s="19" t="s">
        <v>643</v>
      </c>
      <c r="E230" s="19" t="s">
        <v>51</v>
      </c>
      <c r="F230" s="19" t="s">
        <v>1296</v>
      </c>
      <c r="G230" s="298"/>
      <c r="H230" s="10"/>
      <c r="I230" s="11"/>
      <c r="J230" s="11"/>
      <c r="K230" s="11"/>
      <c r="L230" s="11"/>
      <c r="M230" s="11"/>
      <c r="N230" s="11"/>
      <c r="O230" s="12"/>
      <c r="P230" s="11"/>
      <c r="Q230" s="13"/>
      <c r="R230" s="14"/>
    </row>
    <row r="231" spans="1:18" ht="49.9" customHeight="1">
      <c r="A231" s="19" t="s">
        <v>402</v>
      </c>
      <c r="B231" s="19" t="s">
        <v>1300</v>
      </c>
      <c r="C231" s="20">
        <v>0.8125</v>
      </c>
      <c r="D231" s="19" t="s">
        <v>63</v>
      </c>
      <c r="E231" s="19" t="s">
        <v>103</v>
      </c>
      <c r="F231" s="19" t="s">
        <v>1063</v>
      </c>
      <c r="G231" s="298"/>
      <c r="H231" s="10"/>
      <c r="I231" s="11"/>
      <c r="J231" s="11"/>
      <c r="K231" s="11"/>
      <c r="L231" s="11"/>
      <c r="M231" s="11"/>
      <c r="N231" s="11"/>
      <c r="O231" s="12"/>
      <c r="P231" s="11"/>
      <c r="Q231" s="13"/>
      <c r="R231" s="14"/>
    </row>
    <row r="232" spans="1:18" ht="49.9" customHeight="1">
      <c r="A232" s="96" t="s">
        <v>415</v>
      </c>
      <c r="B232" s="96" t="s">
        <v>1297</v>
      </c>
      <c r="C232" s="97">
        <v>0.4375</v>
      </c>
      <c r="D232" s="96" t="s">
        <v>63</v>
      </c>
      <c r="E232" s="96" t="s">
        <v>103</v>
      </c>
      <c r="F232" s="96" t="s">
        <v>1298</v>
      </c>
      <c r="G232" s="299"/>
      <c r="H232" s="300"/>
      <c r="I232" s="140"/>
      <c r="J232" s="140"/>
      <c r="K232" s="140"/>
      <c r="L232" s="140"/>
      <c r="M232" s="140"/>
      <c r="N232" s="140"/>
      <c r="O232" s="141"/>
      <c r="P232" s="140"/>
      <c r="Q232" s="142"/>
      <c r="R232" s="301"/>
    </row>
  </sheetData>
  <mergeCells count="130">
    <mergeCell ref="H1:L1"/>
    <mergeCell ref="A1:E1"/>
    <mergeCell ref="H113:R113"/>
    <mergeCell ref="A18:R18"/>
    <mergeCell ref="H142:R142"/>
    <mergeCell ref="H89:R89"/>
    <mergeCell ref="A141:R141"/>
    <mergeCell ref="G33:G36"/>
    <mergeCell ref="A134:F134"/>
    <mergeCell ref="A81:F81"/>
    <mergeCell ref="A38:F38"/>
    <mergeCell ref="A13:F13"/>
    <mergeCell ref="H13:R13"/>
    <mergeCell ref="A2:F2"/>
    <mergeCell ref="H19:R19"/>
    <mergeCell ref="A26:F26"/>
    <mergeCell ref="A218:R218"/>
    <mergeCell ref="A149:F149"/>
    <mergeCell ref="A74:R74"/>
    <mergeCell ref="A195:F195"/>
    <mergeCell ref="H157:R157"/>
    <mergeCell ref="A194:R194"/>
    <mergeCell ref="G47:G51"/>
    <mergeCell ref="A62:F62"/>
    <mergeCell ref="A165:R165"/>
    <mergeCell ref="A180:R180"/>
    <mergeCell ref="G144:G147"/>
    <mergeCell ref="H75:R75"/>
    <mergeCell ref="G136:G140"/>
    <mergeCell ref="A142:F142"/>
    <mergeCell ref="G197:G200"/>
    <mergeCell ref="A112:R112"/>
    <mergeCell ref="A202:F202"/>
    <mergeCell ref="H128:R128"/>
    <mergeCell ref="H81:R81"/>
    <mergeCell ref="G98:G102"/>
    <mergeCell ref="A127:R127"/>
    <mergeCell ref="G83:G87"/>
    <mergeCell ref="H53:R53"/>
    <mergeCell ref="H166:R166"/>
    <mergeCell ref="G221:G224"/>
    <mergeCell ref="G228:G232"/>
    <mergeCell ref="H96:R96"/>
    <mergeCell ref="G189:G193"/>
    <mergeCell ref="G91:G94"/>
    <mergeCell ref="H104:R104"/>
    <mergeCell ref="A103:R103"/>
    <mergeCell ref="H210:R210"/>
    <mergeCell ref="H38:R38"/>
    <mergeCell ref="A133:R133"/>
    <mergeCell ref="G204:G208"/>
    <mergeCell ref="A80:R80"/>
    <mergeCell ref="A210:F210"/>
    <mergeCell ref="H202:R202"/>
    <mergeCell ref="A148:R148"/>
    <mergeCell ref="G175:G179"/>
    <mergeCell ref="A45:F45"/>
    <mergeCell ref="A226:F226"/>
    <mergeCell ref="G212:G217"/>
    <mergeCell ref="H62:R62"/>
    <mergeCell ref="A225:R225"/>
    <mergeCell ref="H120:R120"/>
    <mergeCell ref="G115:G118"/>
    <mergeCell ref="A61:R61"/>
    <mergeCell ref="G2:J2"/>
    <mergeCell ref="A53:F53"/>
    <mergeCell ref="N1:R1"/>
    <mergeCell ref="A209:R209"/>
    <mergeCell ref="A19:F19"/>
    <mergeCell ref="A68:F68"/>
    <mergeCell ref="A156:R156"/>
    <mergeCell ref="A52:R52"/>
    <mergeCell ref="A173:F173"/>
    <mergeCell ref="H187:R187"/>
    <mergeCell ref="K2:R2"/>
    <mergeCell ref="G6:G11"/>
    <mergeCell ref="A67:R67"/>
    <mergeCell ref="G151:G155"/>
    <mergeCell ref="A157:F157"/>
    <mergeCell ref="A166:F166"/>
    <mergeCell ref="H149:R149"/>
    <mergeCell ref="A201:R201"/>
    <mergeCell ref="G55:G60"/>
    <mergeCell ref="A30:R30"/>
    <mergeCell ref="A88:R88"/>
    <mergeCell ref="G106:G111"/>
    <mergeCell ref="A31:F31"/>
    <mergeCell ref="H45:R45"/>
    <mergeCell ref="G40:G43"/>
    <mergeCell ref="A25:R25"/>
    <mergeCell ref="G64:G66"/>
    <mergeCell ref="A128:F128"/>
    <mergeCell ref="A89:F89"/>
    <mergeCell ref="A120:F120"/>
    <mergeCell ref="H134:R134"/>
    <mergeCell ref="A12:R12"/>
    <mergeCell ref="A181:F181"/>
    <mergeCell ref="H68:R68"/>
    <mergeCell ref="G28:G29"/>
    <mergeCell ref="H173:R173"/>
    <mergeCell ref="A37:R37"/>
    <mergeCell ref="H26:R26"/>
    <mergeCell ref="G70:G73"/>
    <mergeCell ref="A172:R172"/>
    <mergeCell ref="A75:F75"/>
    <mergeCell ref="H181:R181"/>
    <mergeCell ref="H4:R4"/>
    <mergeCell ref="A104:F104"/>
    <mergeCell ref="A113:F113"/>
    <mergeCell ref="A3:R3"/>
    <mergeCell ref="H31:R31"/>
    <mergeCell ref="A95:R95"/>
    <mergeCell ref="A219:F219"/>
    <mergeCell ref="G183:G185"/>
    <mergeCell ref="H226:R226"/>
    <mergeCell ref="A4:F4"/>
    <mergeCell ref="A96:F96"/>
    <mergeCell ref="H219:R219"/>
    <mergeCell ref="G130:G132"/>
    <mergeCell ref="G77:G79"/>
    <mergeCell ref="A44:R44"/>
    <mergeCell ref="A186:R186"/>
    <mergeCell ref="G122:G126"/>
    <mergeCell ref="H195:R195"/>
    <mergeCell ref="G168:G171"/>
    <mergeCell ref="G21:G24"/>
    <mergeCell ref="A187:F187"/>
    <mergeCell ref="G15:G17"/>
    <mergeCell ref="A119:R119"/>
    <mergeCell ref="G159:G164"/>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J15"/>
  <sheetViews>
    <sheetView workbookViewId="0"/>
  </sheetViews>
  <sheetFormatPr defaultColWidth="8.85546875" defaultRowHeight="15.6" outlineLevelCol="1"/>
  <cols>
    <col min="1" max="1" width="9.85546875" style="266" bestFit="1" customWidth="1"/>
    <col min="2" max="2" width="9.7109375" style="266" bestFit="1" customWidth="1"/>
    <col min="3" max="3" width="6.7109375" style="266" bestFit="1" customWidth="1"/>
    <col min="4" max="4" width="5.5703125" style="266" bestFit="1" customWidth="1"/>
    <col min="5" max="5" width="7.85546875" style="266" bestFit="1" customWidth="1"/>
    <col min="6" max="6" width="4.28515625" style="266" bestFit="1" customWidth="1"/>
    <col min="7" max="7" width="8.42578125" style="266" bestFit="1" customWidth="1"/>
    <col min="8" max="8" width="8.5703125" style="266" bestFit="1" customWidth="1"/>
    <col min="9"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6" width="3.85546875" style="266" bestFit="1" customWidth="1"/>
    <col min="27" max="27" width="5" style="266" bestFit="1" customWidth="1"/>
    <col min="28" max="29" width="3.85546875" style="266" bestFit="1" customWidth="1"/>
    <col min="30" max="30" width="4.5703125" style="266" bestFit="1" customWidth="1"/>
    <col min="31"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230</v>
      </c>
      <c r="B2" s="268">
        <v>46023</v>
      </c>
      <c r="C2" s="269" t="s">
        <v>1289</v>
      </c>
      <c r="D2" s="270" t="s">
        <v>703</v>
      </c>
      <c r="E2" s="269" t="s">
        <v>1286</v>
      </c>
      <c r="F2" s="269" t="s">
        <v>232</v>
      </c>
      <c r="G2" s="271">
        <v>5.0299999999999997E-2</v>
      </c>
      <c r="H2" s="272">
        <v>179</v>
      </c>
      <c r="I2" s="272">
        <v>9</v>
      </c>
      <c r="J2" s="272">
        <v>0</v>
      </c>
      <c r="K2" s="269" t="s">
        <v>233</v>
      </c>
      <c r="L2" s="273">
        <v>46343</v>
      </c>
      <c r="M2" s="272">
        <v>0</v>
      </c>
      <c r="N2" s="272">
        <v>0</v>
      </c>
      <c r="O2" s="272">
        <v>9</v>
      </c>
      <c r="P2" s="269" t="s">
        <v>918</v>
      </c>
      <c r="Q2" s="265"/>
      <c r="R2" s="265"/>
      <c r="S2" s="265"/>
      <c r="T2" s="265"/>
      <c r="U2" s="265"/>
      <c r="V2" s="265"/>
      <c r="W2" s="265"/>
      <c r="X2" s="265"/>
      <c r="Y2" s="265"/>
      <c r="Z2" s="265"/>
      <c r="AA2" s="265"/>
      <c r="AB2" s="265"/>
      <c r="AC2" s="272" t="s">
        <v>304</v>
      </c>
      <c r="AD2" s="265"/>
      <c r="AE2" s="272" t="s">
        <v>1016</v>
      </c>
      <c r="AF2" s="272" t="s">
        <v>901</v>
      </c>
      <c r="AG2" s="265"/>
      <c r="AH2" s="265"/>
      <c r="AI2" s="265"/>
      <c r="AJ2" s="265"/>
    </row>
    <row r="3" spans="1:36">
      <c r="A3" s="267" t="s">
        <v>560</v>
      </c>
      <c r="B3" s="268">
        <v>46024</v>
      </c>
      <c r="C3" s="269" t="s">
        <v>1289</v>
      </c>
      <c r="D3" s="270" t="s">
        <v>574</v>
      </c>
      <c r="E3" s="269" t="s">
        <v>1286</v>
      </c>
      <c r="F3" s="269" t="s">
        <v>232</v>
      </c>
      <c r="G3" s="271">
        <v>3.9100000000000003E-2</v>
      </c>
      <c r="H3" s="272">
        <v>179</v>
      </c>
      <c r="I3" s="272">
        <v>7</v>
      </c>
      <c r="J3" s="272">
        <v>0</v>
      </c>
      <c r="K3" s="269" t="s">
        <v>233</v>
      </c>
      <c r="L3" s="273">
        <v>46344</v>
      </c>
      <c r="M3" s="272">
        <v>0</v>
      </c>
      <c r="N3" s="272">
        <v>0</v>
      </c>
      <c r="O3" s="272">
        <v>7</v>
      </c>
      <c r="P3" s="269" t="s">
        <v>877</v>
      </c>
      <c r="Q3" s="265"/>
      <c r="R3" s="265"/>
      <c r="S3" s="265"/>
      <c r="T3" s="265"/>
      <c r="U3" s="265"/>
      <c r="V3" s="265"/>
      <c r="W3" s="265"/>
      <c r="X3" s="265"/>
      <c r="Y3" s="265"/>
      <c r="Z3" s="265"/>
      <c r="AA3" s="265"/>
      <c r="AB3" s="265"/>
      <c r="AC3" s="272" t="s">
        <v>302</v>
      </c>
      <c r="AD3" s="265"/>
      <c r="AE3" s="265"/>
      <c r="AF3" s="272" t="s">
        <v>900</v>
      </c>
      <c r="AG3" s="265"/>
      <c r="AH3" s="265"/>
      <c r="AI3" s="265"/>
      <c r="AJ3" s="265"/>
    </row>
    <row r="4" spans="1:36">
      <c r="A4" s="267" t="s">
        <v>230</v>
      </c>
      <c r="B4" s="268">
        <v>46030</v>
      </c>
      <c r="C4" s="269" t="s">
        <v>1289</v>
      </c>
      <c r="D4" s="270" t="s">
        <v>703</v>
      </c>
      <c r="E4" s="269" t="s">
        <v>1286</v>
      </c>
      <c r="F4" s="269" t="s">
        <v>232</v>
      </c>
      <c r="G4" s="271">
        <v>2.23E-2</v>
      </c>
      <c r="H4" s="272">
        <v>179</v>
      </c>
      <c r="I4" s="272">
        <v>4</v>
      </c>
      <c r="J4" s="272">
        <v>0</v>
      </c>
      <c r="K4" s="269" t="s">
        <v>233</v>
      </c>
      <c r="L4" s="273">
        <v>46343</v>
      </c>
      <c r="M4" s="272">
        <v>0</v>
      </c>
      <c r="N4" s="272">
        <v>0</v>
      </c>
      <c r="O4" s="272">
        <v>4</v>
      </c>
      <c r="P4" s="269" t="s">
        <v>819</v>
      </c>
      <c r="Q4" s="265"/>
      <c r="R4" s="265"/>
      <c r="S4" s="265"/>
      <c r="T4" s="265"/>
      <c r="U4" s="265"/>
      <c r="V4" s="265"/>
      <c r="W4" s="265"/>
      <c r="X4" s="265"/>
      <c r="Y4" s="265"/>
      <c r="Z4" s="265"/>
      <c r="AA4" s="265"/>
      <c r="AB4" s="265"/>
      <c r="AC4" s="272" t="s">
        <v>302</v>
      </c>
      <c r="AD4" s="265"/>
      <c r="AE4" s="265"/>
      <c r="AF4" s="272" t="s">
        <v>819</v>
      </c>
      <c r="AG4" s="265"/>
      <c r="AH4" s="265"/>
      <c r="AI4" s="265"/>
      <c r="AJ4" s="265"/>
    </row>
    <row r="5" spans="1:36">
      <c r="A5" s="267" t="s">
        <v>560</v>
      </c>
      <c r="B5" s="268">
        <v>46031</v>
      </c>
      <c r="C5" s="269" t="s">
        <v>1289</v>
      </c>
      <c r="D5" s="270" t="s">
        <v>574</v>
      </c>
      <c r="E5" s="269" t="s">
        <v>1286</v>
      </c>
      <c r="F5" s="269" t="s">
        <v>232</v>
      </c>
      <c r="G5" s="271">
        <v>3.9100000000000003E-2</v>
      </c>
      <c r="H5" s="272">
        <v>179</v>
      </c>
      <c r="I5" s="272">
        <v>7</v>
      </c>
      <c r="J5" s="272">
        <v>0</v>
      </c>
      <c r="K5" s="269" t="s">
        <v>233</v>
      </c>
      <c r="L5" s="273">
        <v>46342</v>
      </c>
      <c r="M5" s="272">
        <v>0</v>
      </c>
      <c r="N5" s="272">
        <v>0</v>
      </c>
      <c r="O5" s="272">
        <v>7</v>
      </c>
      <c r="P5" s="269" t="s">
        <v>918</v>
      </c>
      <c r="Q5" s="265"/>
      <c r="R5" s="265"/>
      <c r="S5" s="265"/>
      <c r="T5" s="265"/>
      <c r="U5" s="265"/>
      <c r="V5" s="265"/>
      <c r="W5" s="265"/>
      <c r="X5" s="265"/>
      <c r="Y5" s="265"/>
      <c r="Z5" s="265"/>
      <c r="AA5" s="265"/>
      <c r="AB5" s="272" t="s">
        <v>128</v>
      </c>
      <c r="AC5" s="272" t="s">
        <v>298</v>
      </c>
      <c r="AD5" s="265"/>
      <c r="AE5" s="265"/>
      <c r="AF5" s="272" t="s">
        <v>901</v>
      </c>
      <c r="AG5" s="265"/>
      <c r="AH5" s="265"/>
      <c r="AI5" s="265"/>
      <c r="AJ5" s="265"/>
    </row>
    <row r="6" spans="1:36">
      <c r="A6" s="267" t="s">
        <v>236</v>
      </c>
      <c r="B6" s="268">
        <v>46033</v>
      </c>
      <c r="C6" s="269" t="s">
        <v>1289</v>
      </c>
      <c r="D6" s="270" t="s">
        <v>703</v>
      </c>
      <c r="E6" s="269" t="s">
        <v>1286</v>
      </c>
      <c r="F6" s="269" t="s">
        <v>232</v>
      </c>
      <c r="G6" s="271">
        <v>3.3500000000000002E-2</v>
      </c>
      <c r="H6" s="272">
        <v>179</v>
      </c>
      <c r="I6" s="272">
        <v>6</v>
      </c>
      <c r="J6" s="272">
        <v>0</v>
      </c>
      <c r="K6" s="269" t="s">
        <v>233</v>
      </c>
      <c r="L6" s="273">
        <v>46338</v>
      </c>
      <c r="M6" s="272">
        <v>0</v>
      </c>
      <c r="N6" s="272">
        <v>0</v>
      </c>
      <c r="O6" s="272">
        <v>6</v>
      </c>
      <c r="P6" s="269" t="s">
        <v>244</v>
      </c>
      <c r="Q6" s="265"/>
      <c r="R6" s="265"/>
      <c r="S6" s="265"/>
      <c r="T6" s="265"/>
      <c r="U6" s="265"/>
      <c r="V6" s="265"/>
      <c r="W6" s="265"/>
      <c r="X6" s="265"/>
      <c r="Y6" s="265"/>
      <c r="Z6" s="265"/>
      <c r="AA6" s="265"/>
      <c r="AB6" s="265"/>
      <c r="AC6" s="272" t="s">
        <v>302</v>
      </c>
      <c r="AD6" s="265"/>
      <c r="AE6" s="272" t="s">
        <v>967</v>
      </c>
      <c r="AF6" s="272" t="s">
        <v>571</v>
      </c>
      <c r="AG6" s="265"/>
      <c r="AH6" s="265"/>
      <c r="AI6" s="265"/>
      <c r="AJ6" s="265"/>
    </row>
    <row r="7" spans="1:36">
      <c r="A7" s="267" t="s">
        <v>230</v>
      </c>
      <c r="B7" s="268">
        <v>46037</v>
      </c>
      <c r="C7" s="269" t="s">
        <v>1289</v>
      </c>
      <c r="D7" s="270" t="s">
        <v>703</v>
      </c>
      <c r="E7" s="269" t="s">
        <v>1286</v>
      </c>
      <c r="F7" s="269" t="s">
        <v>232</v>
      </c>
      <c r="G7" s="271">
        <v>1.6799999999999999E-2</v>
      </c>
      <c r="H7" s="272">
        <v>179</v>
      </c>
      <c r="I7" s="272">
        <v>3</v>
      </c>
      <c r="J7" s="272">
        <v>0</v>
      </c>
      <c r="K7" s="269" t="s">
        <v>233</v>
      </c>
      <c r="L7" s="273">
        <v>46339</v>
      </c>
      <c r="M7" s="272">
        <v>0</v>
      </c>
      <c r="N7" s="272">
        <v>0</v>
      </c>
      <c r="O7" s="272">
        <v>3</v>
      </c>
      <c r="P7" s="269" t="s">
        <v>667</v>
      </c>
      <c r="Q7" s="265"/>
      <c r="R7" s="265"/>
      <c r="S7" s="265"/>
      <c r="T7" s="265"/>
      <c r="U7" s="265"/>
      <c r="V7" s="265"/>
      <c r="W7" s="265"/>
      <c r="X7" s="265"/>
      <c r="Y7" s="272" t="s">
        <v>1034</v>
      </c>
      <c r="Z7" s="265"/>
      <c r="AA7" s="265"/>
      <c r="AB7" s="265"/>
      <c r="AC7" s="272" t="s">
        <v>298</v>
      </c>
      <c r="AD7" s="265"/>
      <c r="AE7" s="265"/>
      <c r="AF7" s="265"/>
      <c r="AG7" s="265"/>
      <c r="AH7" s="265"/>
      <c r="AI7" s="265"/>
      <c r="AJ7" s="265"/>
    </row>
    <row r="8" spans="1:36">
      <c r="A8" s="267" t="s">
        <v>560</v>
      </c>
      <c r="B8" s="268">
        <v>46038</v>
      </c>
      <c r="C8" s="269" t="s">
        <v>1289</v>
      </c>
      <c r="D8" s="270" t="s">
        <v>574</v>
      </c>
      <c r="E8" s="269" t="s">
        <v>1286</v>
      </c>
      <c r="F8" s="269" t="s">
        <v>232</v>
      </c>
      <c r="G8" s="271">
        <v>7.8200000000000006E-2</v>
      </c>
      <c r="H8" s="272">
        <v>179</v>
      </c>
      <c r="I8" s="272">
        <v>14</v>
      </c>
      <c r="J8" s="272">
        <v>0</v>
      </c>
      <c r="K8" s="269" t="s">
        <v>233</v>
      </c>
      <c r="L8" s="273">
        <v>46345</v>
      </c>
      <c r="M8" s="272">
        <v>0</v>
      </c>
      <c r="N8" s="272">
        <v>0</v>
      </c>
      <c r="O8" s="272">
        <v>14</v>
      </c>
      <c r="P8" s="269" t="s">
        <v>1119</v>
      </c>
      <c r="Q8" s="265"/>
      <c r="R8" s="265"/>
      <c r="S8" s="265"/>
      <c r="T8" s="265"/>
      <c r="U8" s="265"/>
      <c r="V8" s="265"/>
      <c r="W8" s="265"/>
      <c r="X8" s="265"/>
      <c r="Y8" s="272" t="s">
        <v>1117</v>
      </c>
      <c r="Z8" s="272" t="s">
        <v>569</v>
      </c>
      <c r="AA8" s="272" t="s">
        <v>587</v>
      </c>
      <c r="AB8" s="265"/>
      <c r="AC8" s="265"/>
      <c r="AD8" s="265"/>
      <c r="AE8" s="265"/>
      <c r="AF8" s="265"/>
      <c r="AG8" s="265"/>
      <c r="AH8" s="265"/>
      <c r="AI8" s="265"/>
      <c r="AJ8" s="265"/>
    </row>
    <row r="9" spans="1:36">
      <c r="A9" s="267" t="s">
        <v>236</v>
      </c>
      <c r="B9" s="268">
        <v>46040</v>
      </c>
      <c r="C9" s="269" t="s">
        <v>1289</v>
      </c>
      <c r="D9" s="270" t="s">
        <v>703</v>
      </c>
      <c r="E9" s="269" t="s">
        <v>1286</v>
      </c>
      <c r="F9" s="269" t="s">
        <v>232</v>
      </c>
      <c r="G9" s="271">
        <v>8.9399999999999993E-2</v>
      </c>
      <c r="H9" s="272">
        <v>179</v>
      </c>
      <c r="I9" s="272">
        <v>16</v>
      </c>
      <c r="J9" s="272">
        <v>0</v>
      </c>
      <c r="K9" s="269" t="s">
        <v>233</v>
      </c>
      <c r="L9" s="273">
        <v>46342</v>
      </c>
      <c r="M9" s="272">
        <v>0</v>
      </c>
      <c r="N9" s="272">
        <v>0</v>
      </c>
      <c r="O9" s="272">
        <v>16</v>
      </c>
      <c r="P9" s="269" t="s">
        <v>299</v>
      </c>
      <c r="Q9" s="265"/>
      <c r="R9" s="265"/>
      <c r="S9" s="265"/>
      <c r="T9" s="265"/>
      <c r="U9" s="265"/>
      <c r="V9" s="265"/>
      <c r="W9" s="265"/>
      <c r="X9" s="265"/>
      <c r="Y9" s="265"/>
      <c r="Z9" s="265"/>
      <c r="AA9" s="265"/>
      <c r="AB9" s="265"/>
      <c r="AC9" s="272" t="s">
        <v>298</v>
      </c>
      <c r="AD9" s="272" t="s">
        <v>584</v>
      </c>
      <c r="AE9" s="272" t="s">
        <v>951</v>
      </c>
      <c r="AF9" s="265"/>
      <c r="AG9" s="265"/>
      <c r="AH9" s="265"/>
      <c r="AI9" s="265"/>
      <c r="AJ9" s="265"/>
    </row>
    <row r="10" spans="1:36">
      <c r="A10" s="267" t="s">
        <v>230</v>
      </c>
      <c r="B10" s="268">
        <v>46044</v>
      </c>
      <c r="C10" s="269" t="s">
        <v>1289</v>
      </c>
      <c r="D10" s="270" t="s">
        <v>703</v>
      </c>
      <c r="E10" s="269" t="s">
        <v>1286</v>
      </c>
      <c r="F10" s="269" t="s">
        <v>232</v>
      </c>
      <c r="G10" s="271">
        <v>3.3500000000000002E-2</v>
      </c>
      <c r="H10" s="272">
        <v>179</v>
      </c>
      <c r="I10" s="272">
        <v>6</v>
      </c>
      <c r="J10" s="272">
        <v>0</v>
      </c>
      <c r="K10" s="269" t="s">
        <v>233</v>
      </c>
      <c r="L10" s="273">
        <v>46339</v>
      </c>
      <c r="M10" s="272">
        <v>0</v>
      </c>
      <c r="N10" s="272">
        <v>0</v>
      </c>
      <c r="O10" s="272">
        <v>6</v>
      </c>
      <c r="P10" s="269" t="s">
        <v>317</v>
      </c>
      <c r="Q10" s="265"/>
      <c r="R10" s="265"/>
      <c r="S10" s="265"/>
      <c r="T10" s="265"/>
      <c r="U10" s="265"/>
      <c r="V10" s="265"/>
      <c r="W10" s="265"/>
      <c r="X10" s="265"/>
      <c r="Y10" s="265"/>
      <c r="Z10" s="272" t="s">
        <v>174</v>
      </c>
      <c r="AA10" s="272" t="s">
        <v>587</v>
      </c>
      <c r="AB10" s="265"/>
      <c r="AC10" s="265"/>
      <c r="AD10" s="265"/>
      <c r="AE10" s="272" t="s">
        <v>570</v>
      </c>
      <c r="AF10" s="265"/>
      <c r="AG10" s="265"/>
      <c r="AH10" s="265"/>
      <c r="AI10" s="265"/>
      <c r="AJ10" s="265"/>
    </row>
    <row r="11" spans="1:36">
      <c r="A11" s="267" t="s">
        <v>560</v>
      </c>
      <c r="B11" s="268">
        <v>46045</v>
      </c>
      <c r="C11" s="269" t="s">
        <v>1289</v>
      </c>
      <c r="D11" s="270" t="s">
        <v>574</v>
      </c>
      <c r="E11" s="269" t="s">
        <v>1286</v>
      </c>
      <c r="F11" s="269" t="s">
        <v>232</v>
      </c>
      <c r="G11" s="271">
        <v>6.1499999999999999E-2</v>
      </c>
      <c r="H11" s="272">
        <v>179</v>
      </c>
      <c r="I11" s="272">
        <v>11</v>
      </c>
      <c r="J11" s="272">
        <v>0</v>
      </c>
      <c r="K11" s="269" t="s">
        <v>233</v>
      </c>
      <c r="L11" s="273">
        <v>46326</v>
      </c>
      <c r="M11" s="272">
        <v>0</v>
      </c>
      <c r="N11" s="272">
        <v>0</v>
      </c>
      <c r="O11" s="272">
        <v>11</v>
      </c>
      <c r="P11" s="269" t="s">
        <v>583</v>
      </c>
      <c r="Q11" s="265"/>
      <c r="R11" s="265"/>
      <c r="S11" s="265"/>
      <c r="T11" s="265"/>
      <c r="U11" s="265"/>
      <c r="V11" s="265"/>
      <c r="W11" s="265"/>
      <c r="X11" s="265"/>
      <c r="Y11" s="265"/>
      <c r="Z11" s="265"/>
      <c r="AA11" s="272" t="s">
        <v>1315</v>
      </c>
      <c r="AB11" s="265"/>
      <c r="AC11" s="265"/>
      <c r="AD11" s="265"/>
      <c r="AE11" s="265"/>
      <c r="AF11" s="265"/>
      <c r="AG11" s="265"/>
      <c r="AH11" s="265"/>
      <c r="AI11" s="265"/>
      <c r="AJ11" s="265"/>
    </row>
    <row r="12" spans="1:36">
      <c r="A12" s="267" t="s">
        <v>236</v>
      </c>
      <c r="B12" s="268">
        <v>46047</v>
      </c>
      <c r="C12" s="269" t="s">
        <v>1289</v>
      </c>
      <c r="D12" s="270" t="s">
        <v>703</v>
      </c>
      <c r="E12" s="269" t="s">
        <v>1286</v>
      </c>
      <c r="F12" s="269" t="s">
        <v>232</v>
      </c>
      <c r="G12" s="271">
        <v>1.12E-2</v>
      </c>
      <c r="H12" s="272">
        <v>179</v>
      </c>
      <c r="I12" s="272">
        <v>2</v>
      </c>
      <c r="J12" s="272">
        <v>0</v>
      </c>
      <c r="K12" s="269" t="s">
        <v>233</v>
      </c>
      <c r="L12" s="273">
        <v>46341</v>
      </c>
      <c r="M12" s="272">
        <v>0</v>
      </c>
      <c r="N12" s="272">
        <v>0</v>
      </c>
      <c r="O12" s="272">
        <v>2</v>
      </c>
      <c r="P12" s="269" t="s">
        <v>310</v>
      </c>
      <c r="Q12" s="265"/>
      <c r="R12" s="265"/>
      <c r="S12" s="265"/>
      <c r="T12" s="265"/>
      <c r="U12" s="265"/>
      <c r="V12" s="265"/>
      <c r="W12" s="265"/>
      <c r="X12" s="265"/>
      <c r="Y12" s="265"/>
      <c r="Z12" s="265"/>
      <c r="AA12" s="272" t="s">
        <v>318</v>
      </c>
      <c r="AB12" s="265"/>
      <c r="AC12" s="265"/>
      <c r="AD12" s="265"/>
      <c r="AE12" s="265"/>
      <c r="AF12" s="265"/>
      <c r="AG12" s="265"/>
      <c r="AH12" s="265"/>
      <c r="AI12" s="265"/>
      <c r="AJ12" s="265"/>
    </row>
    <row r="13" spans="1:36">
      <c r="A13" s="267" t="s">
        <v>230</v>
      </c>
      <c r="B13" s="268">
        <v>46051</v>
      </c>
      <c r="C13" s="269" t="s">
        <v>1289</v>
      </c>
      <c r="D13" s="270" t="s">
        <v>703</v>
      </c>
      <c r="E13" s="269" t="s">
        <v>1286</v>
      </c>
      <c r="F13" s="269" t="s">
        <v>232</v>
      </c>
      <c r="G13" s="271">
        <v>1.6799999999999999E-2</v>
      </c>
      <c r="H13" s="272">
        <v>179</v>
      </c>
      <c r="I13" s="272">
        <v>3</v>
      </c>
      <c r="J13" s="272">
        <v>0</v>
      </c>
      <c r="K13" s="269" t="s">
        <v>233</v>
      </c>
      <c r="L13" s="273">
        <v>46342</v>
      </c>
      <c r="M13" s="272">
        <v>0</v>
      </c>
      <c r="N13" s="272">
        <v>0</v>
      </c>
      <c r="O13" s="272">
        <v>3</v>
      </c>
      <c r="P13" s="269" t="s">
        <v>951</v>
      </c>
      <c r="Q13" s="265"/>
      <c r="R13" s="265"/>
      <c r="S13" s="265"/>
      <c r="T13" s="265"/>
      <c r="U13" s="265"/>
      <c r="V13" s="265"/>
      <c r="W13" s="265"/>
      <c r="X13" s="265"/>
      <c r="Y13" s="265"/>
      <c r="Z13" s="265"/>
      <c r="AA13" s="265"/>
      <c r="AB13" s="265"/>
      <c r="AC13" s="265"/>
      <c r="AD13" s="265"/>
      <c r="AE13" s="272" t="s">
        <v>967</v>
      </c>
      <c r="AF13" s="265"/>
      <c r="AG13" s="265"/>
      <c r="AH13" s="265"/>
      <c r="AI13" s="265"/>
      <c r="AJ13" s="265"/>
    </row>
    <row r="14" spans="1:36">
      <c r="A14" s="267" t="s">
        <v>560</v>
      </c>
      <c r="B14" s="268">
        <v>46052</v>
      </c>
      <c r="C14" s="269" t="s">
        <v>1289</v>
      </c>
      <c r="D14" s="270" t="s">
        <v>574</v>
      </c>
      <c r="E14" s="269" t="s">
        <v>1286</v>
      </c>
      <c r="F14" s="269" t="s">
        <v>232</v>
      </c>
      <c r="G14" s="271">
        <v>4.4699999999999997E-2</v>
      </c>
      <c r="H14" s="272">
        <v>179</v>
      </c>
      <c r="I14" s="272">
        <v>8</v>
      </c>
      <c r="J14" s="272">
        <v>0</v>
      </c>
      <c r="K14" s="269" t="s">
        <v>233</v>
      </c>
      <c r="L14" s="273">
        <v>46336</v>
      </c>
      <c r="M14" s="272">
        <v>0</v>
      </c>
      <c r="N14" s="272">
        <v>0</v>
      </c>
      <c r="O14" s="272">
        <v>8</v>
      </c>
      <c r="P14" s="269" t="s">
        <v>436</v>
      </c>
      <c r="Q14" s="265"/>
      <c r="R14" s="265"/>
      <c r="S14" s="265"/>
      <c r="T14" s="265"/>
      <c r="U14" s="265"/>
      <c r="V14" s="265"/>
      <c r="W14" s="265"/>
      <c r="X14" s="265"/>
      <c r="Y14" s="272" t="s">
        <v>981</v>
      </c>
      <c r="Z14" s="265"/>
      <c r="AA14" s="272" t="s">
        <v>686</v>
      </c>
      <c r="AB14" s="265"/>
      <c r="AC14" s="265"/>
      <c r="AD14" s="272" t="s">
        <v>446</v>
      </c>
      <c r="AE14" s="272" t="s">
        <v>1016</v>
      </c>
      <c r="AF14" s="265"/>
      <c r="AG14" s="265"/>
      <c r="AH14" s="265"/>
      <c r="AI14" s="265"/>
      <c r="AJ14" s="265"/>
    </row>
    <row r="15" spans="1:36" ht="21">
      <c r="A15" s="274" t="s">
        <v>251</v>
      </c>
      <c r="B15" s="275"/>
      <c r="C15" s="274">
        <f>SUBTOTAL(103,CAI_ELQ_LF_LEGACY[Flt])</f>
        <v>13</v>
      </c>
      <c r="D15" s="274"/>
      <c r="E15" s="274">
        <f>SUBTOTAL(103,CAI_ELQ_LF_LEGACY[Brd-Off])</f>
        <v>13</v>
      </c>
      <c r="F15" s="274"/>
      <c r="G15" s="276">
        <f>SUBTOTAL(101,CAI_ELQ_LF_LEGACY[LF%])</f>
        <v>4.1261538461538461E-2</v>
      </c>
      <c r="H15" s="277">
        <f>SUBTOTAL(109,CAI_ELQ_LF_LEGACY[CAP])</f>
        <v>2327</v>
      </c>
      <c r="I15" s="277">
        <f>SUBTOTAL(109,CAI_ELQ_LF_LEGACY[BKG(Y)])</f>
        <v>96</v>
      </c>
      <c r="J15" s="277">
        <f>SUBTOTAL(109,CAI_ELQ_LF_LEGACY[GRP(Y)])</f>
        <v>0</v>
      </c>
      <c r="K15" s="274"/>
      <c r="L15" s="275"/>
      <c r="M15" s="277">
        <f>SUBTOTAL(109,CAI_ELQ_LF_LEGACY[TO-DAY])</f>
        <v>0</v>
      </c>
      <c r="N15" s="277">
        <f>SUBTOTAL(109,CAI_ELQ_LF_LEGACY[Y-DAY])</f>
        <v>0</v>
      </c>
      <c r="O15" s="277">
        <f>SUBTOTAL(109,CAI_ELQ_LF_LEGACY[WEEKLY])</f>
        <v>96</v>
      </c>
      <c r="P15" s="274"/>
      <c r="Q15" s="277">
        <f>SUBTOTAL(109,CAI_ELQ_LF_LEGACY[Y])</f>
        <v>0</v>
      </c>
      <c r="R15" s="277">
        <f>SUBTOTAL(109,CAI_ELQ_LF_LEGACY[B])</f>
        <v>0</v>
      </c>
      <c r="S15" s="277">
        <f>SUBTOTAL(109,CAI_ELQ_LF_LEGACY[M])</f>
        <v>0</v>
      </c>
      <c r="T15" s="277">
        <f>SUBTOTAL(109,CAI_ELQ_LF_LEGACY[H])</f>
        <v>0</v>
      </c>
      <c r="U15" s="277">
        <f>SUBTOTAL(109,CAI_ELQ_LF_LEGACY[Q])</f>
        <v>0</v>
      </c>
      <c r="V15" s="277">
        <f>SUBTOTAL(109,CAI_ELQ_LF_LEGACY[K])</f>
        <v>0</v>
      </c>
      <c r="W15" s="277">
        <f>SUBTOTAL(109,CAI_ELQ_LF_LEGACY[V])</f>
        <v>0</v>
      </c>
      <c r="X15" s="277">
        <f>SUBTOTAL(109,CAI_ELQ_LF_LEGACY[L])</f>
        <v>0</v>
      </c>
      <c r="Y15" s="277">
        <f>SUBTOTAL(109,CAI_ELQ_LF_LEGACY[G])</f>
        <v>0</v>
      </c>
      <c r="Z15" s="277">
        <f>SUBTOTAL(109,CAI_ELQ_LF_LEGACY[S])</f>
        <v>0</v>
      </c>
      <c r="AA15" s="277">
        <f>SUBTOTAL(109,CAI_ELQ_LF_LEGACY[W])</f>
        <v>0</v>
      </c>
      <c r="AB15" s="277">
        <f>SUBTOTAL(109,CAI_ELQ_LF_LEGACY[T])</f>
        <v>0</v>
      </c>
      <c r="AC15" s="277">
        <f>SUBTOTAL(109,CAI_ELQ_LF_LEGACY[X])</f>
        <v>0</v>
      </c>
      <c r="AD15" s="277">
        <f>SUBTOTAL(109,CAI_ELQ_LF_LEGACY[U])</f>
        <v>0</v>
      </c>
      <c r="AE15" s="277">
        <f>SUBTOTAL(109,CAI_ELQ_LF_LEGACY[O])</f>
        <v>0</v>
      </c>
      <c r="AF15" s="277">
        <f>SUBTOTAL(109,CAI_ELQ_LF_LEGACY[I])</f>
        <v>0</v>
      </c>
      <c r="AG15" s="277">
        <f>SUBTOTAL(109,CAI_ELQ_LF_LEGACY[E])</f>
        <v>0</v>
      </c>
      <c r="AH15" s="277">
        <f>SUBTOTAL(109,CAI_ELQ_LF_LEGACY[A])</f>
        <v>0</v>
      </c>
      <c r="AI15" s="277">
        <f>SUBTOTAL(109,CAI_ELQ_LF_LEGACY[P])</f>
        <v>0</v>
      </c>
      <c r="AJ15" s="277">
        <f>SUBTOTAL(103,CAI_ELQ_LF_LEGACY[N])</f>
        <v>0</v>
      </c>
    </row>
  </sheetData>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I138"/>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60.28515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6" t="s">
        <v>254</v>
      </c>
      <c r="B2" s="117" t="s">
        <v>61</v>
      </c>
      <c r="C2" s="118" t="s">
        <v>1287</v>
      </c>
      <c r="D2" s="117" t="s">
        <v>1286</v>
      </c>
      <c r="E2" s="117" t="s">
        <v>703</v>
      </c>
      <c r="F2" s="117" t="s">
        <v>63</v>
      </c>
      <c r="G2" s="119">
        <v>7</v>
      </c>
      <c r="H2" s="120" t="s">
        <v>1288</v>
      </c>
    </row>
    <row r="3" spans="1:8" ht="19.899999999999999" customHeight="1">
      <c r="A3" s="121">
        <v>46023</v>
      </c>
      <c r="B3" s="112" t="s">
        <v>359</v>
      </c>
      <c r="C3" s="113" t="s">
        <v>1291</v>
      </c>
      <c r="D3" s="112" t="s">
        <v>1286</v>
      </c>
      <c r="E3" s="122">
        <v>1.7673611111111109</v>
      </c>
      <c r="F3" s="112" t="s">
        <v>361</v>
      </c>
      <c r="G3" s="114">
        <v>9</v>
      </c>
      <c r="H3" s="115" t="s">
        <v>1292</v>
      </c>
    </row>
    <row r="4" spans="1:8" ht="19.899999999999999" customHeight="1">
      <c r="A4" s="121">
        <v>46023</v>
      </c>
      <c r="B4" s="112" t="s">
        <v>402</v>
      </c>
      <c r="C4" s="113" t="s">
        <v>1294</v>
      </c>
      <c r="D4" s="112" t="s">
        <v>1286</v>
      </c>
      <c r="E4" s="122">
        <v>1.489583333333333</v>
      </c>
      <c r="F4" s="112" t="s">
        <v>63</v>
      </c>
      <c r="G4" s="114">
        <v>9</v>
      </c>
      <c r="H4" s="115" t="s">
        <v>1146</v>
      </c>
    </row>
    <row r="5" spans="1:8" ht="19.899999999999999" customHeight="1">
      <c r="A5" s="121">
        <v>46023</v>
      </c>
      <c r="B5" s="112" t="s">
        <v>68</v>
      </c>
      <c r="C5" s="113" t="s">
        <v>1295</v>
      </c>
      <c r="D5" s="112" t="s">
        <v>1286</v>
      </c>
      <c r="E5" s="122">
        <v>1.868055555555556</v>
      </c>
      <c r="F5" s="112" t="s">
        <v>643</v>
      </c>
      <c r="G5" s="114">
        <v>9</v>
      </c>
      <c r="H5" s="115" t="s">
        <v>1296</v>
      </c>
    </row>
    <row r="6" spans="1:8" ht="19.899999999999999" customHeight="1">
      <c r="A6" s="121">
        <v>46023</v>
      </c>
      <c r="B6" s="112" t="s">
        <v>359</v>
      </c>
      <c r="C6" s="113" t="s">
        <v>1291</v>
      </c>
      <c r="D6" s="112" t="s">
        <v>1286</v>
      </c>
      <c r="E6" s="122">
        <v>1.7673611111111109</v>
      </c>
      <c r="F6" s="112" t="s">
        <v>46</v>
      </c>
      <c r="G6" s="114">
        <v>9</v>
      </c>
      <c r="H6" s="115" t="s">
        <v>1293</v>
      </c>
    </row>
    <row r="7" spans="1:8" ht="19.899999999999999" customHeight="1">
      <c r="A7" s="123">
        <v>46023</v>
      </c>
      <c r="B7" s="124" t="s">
        <v>415</v>
      </c>
      <c r="C7" s="125" t="s">
        <v>1297</v>
      </c>
      <c r="D7" s="124" t="s">
        <v>1286</v>
      </c>
      <c r="E7" s="126">
        <v>1.4548611111111109</v>
      </c>
      <c r="F7" s="124" t="s">
        <v>63</v>
      </c>
      <c r="G7" s="127">
        <v>5</v>
      </c>
      <c r="H7" s="128" t="s">
        <v>1298</v>
      </c>
    </row>
    <row r="8" spans="1:8" ht="19.899999999999999" customHeight="1">
      <c r="A8" s="129">
        <v>46024</v>
      </c>
      <c r="B8" s="117" t="s">
        <v>61</v>
      </c>
      <c r="C8" s="118" t="s">
        <v>1287</v>
      </c>
      <c r="D8" s="117" t="s">
        <v>1286</v>
      </c>
      <c r="E8" s="130">
        <v>1.8298611111111109</v>
      </c>
      <c r="F8" s="117" t="s">
        <v>63</v>
      </c>
      <c r="G8" s="119">
        <v>9</v>
      </c>
      <c r="H8" s="120" t="s">
        <v>1288</v>
      </c>
    </row>
    <row r="9" spans="1:8" ht="19.899999999999999" customHeight="1">
      <c r="A9" s="121">
        <v>46024</v>
      </c>
      <c r="B9" s="112" t="s">
        <v>402</v>
      </c>
      <c r="C9" s="113" t="s">
        <v>1294</v>
      </c>
      <c r="D9" s="112" t="s">
        <v>1286</v>
      </c>
      <c r="E9" s="122">
        <v>1.489583333333333</v>
      </c>
      <c r="F9" s="112" t="s">
        <v>63</v>
      </c>
      <c r="G9" s="114">
        <v>5</v>
      </c>
      <c r="H9" s="115" t="s">
        <v>1146</v>
      </c>
    </row>
    <row r="10" spans="1:8" ht="19.899999999999999" customHeight="1">
      <c r="A10" s="123">
        <v>46024</v>
      </c>
      <c r="B10" s="124" t="s">
        <v>68</v>
      </c>
      <c r="C10" s="125" t="s">
        <v>1295</v>
      </c>
      <c r="D10" s="124" t="s">
        <v>1286</v>
      </c>
      <c r="E10" s="126">
        <v>1.868055555555556</v>
      </c>
      <c r="F10" s="124" t="s">
        <v>643</v>
      </c>
      <c r="G10" s="127">
        <v>9</v>
      </c>
      <c r="H10" s="128" t="s">
        <v>1296</v>
      </c>
    </row>
    <row r="11" spans="1:8" ht="19.899999999999999" customHeight="1">
      <c r="A11" s="121">
        <v>46025</v>
      </c>
      <c r="B11" s="112" t="s">
        <v>359</v>
      </c>
      <c r="C11" s="113" t="s">
        <v>1291</v>
      </c>
      <c r="D11" s="112" t="s">
        <v>1286</v>
      </c>
      <c r="E11" s="122">
        <v>1.7673611111111109</v>
      </c>
      <c r="F11" s="112" t="s">
        <v>361</v>
      </c>
      <c r="G11" s="114">
        <v>9</v>
      </c>
      <c r="H11" s="115" t="s">
        <v>493</v>
      </c>
    </row>
    <row r="12" spans="1:8" ht="19.899999999999999" customHeight="1">
      <c r="A12" s="121">
        <v>46025</v>
      </c>
      <c r="B12" s="112" t="s">
        <v>402</v>
      </c>
      <c r="C12" s="113" t="s">
        <v>1300</v>
      </c>
      <c r="D12" s="112" t="s">
        <v>1286</v>
      </c>
      <c r="E12" s="122">
        <v>1.8125</v>
      </c>
      <c r="F12" s="112" t="s">
        <v>63</v>
      </c>
      <c r="G12" s="114">
        <v>4</v>
      </c>
      <c r="H12" s="115" t="s">
        <v>1146</v>
      </c>
    </row>
    <row r="13" spans="1:8" ht="19.899999999999999" customHeight="1">
      <c r="A13" s="121">
        <v>46025</v>
      </c>
      <c r="B13" s="112" t="s">
        <v>68</v>
      </c>
      <c r="C13" s="113" t="s">
        <v>1295</v>
      </c>
      <c r="D13" s="112" t="s">
        <v>1286</v>
      </c>
      <c r="E13" s="122">
        <v>1.868055555555556</v>
      </c>
      <c r="F13" s="112" t="s">
        <v>643</v>
      </c>
      <c r="G13" s="114">
        <v>9</v>
      </c>
      <c r="H13" s="115" t="s">
        <v>1296</v>
      </c>
    </row>
    <row r="14" spans="1:8" ht="19.899999999999999" customHeight="1">
      <c r="A14" s="123">
        <v>46025</v>
      </c>
      <c r="B14" s="124" t="s">
        <v>359</v>
      </c>
      <c r="C14" s="125" t="s">
        <v>1291</v>
      </c>
      <c r="D14" s="124" t="s">
        <v>1286</v>
      </c>
      <c r="E14" s="126">
        <v>1.7673611111111109</v>
      </c>
      <c r="F14" s="124" t="s">
        <v>46</v>
      </c>
      <c r="G14" s="127">
        <v>9</v>
      </c>
      <c r="H14" s="128" t="s">
        <v>1299</v>
      </c>
    </row>
    <row r="15" spans="1:8" ht="19.899999999999999" customHeight="1">
      <c r="A15" s="121">
        <v>46026</v>
      </c>
      <c r="B15" s="112" t="s">
        <v>402</v>
      </c>
      <c r="C15" s="113" t="s">
        <v>1294</v>
      </c>
      <c r="D15" s="112" t="s">
        <v>1286</v>
      </c>
      <c r="E15" s="122">
        <v>1.489583333333333</v>
      </c>
      <c r="F15" s="112" t="s">
        <v>63</v>
      </c>
      <c r="G15" s="114">
        <v>9</v>
      </c>
      <c r="H15" s="115" t="s">
        <v>1146</v>
      </c>
    </row>
    <row r="16" spans="1:8" ht="19.899999999999999" customHeight="1">
      <c r="A16" s="123">
        <v>46026</v>
      </c>
      <c r="B16" s="124" t="s">
        <v>415</v>
      </c>
      <c r="C16" s="125" t="s">
        <v>1297</v>
      </c>
      <c r="D16" s="124" t="s">
        <v>1286</v>
      </c>
      <c r="E16" s="126">
        <v>1.4375</v>
      </c>
      <c r="F16" s="124" t="s">
        <v>63</v>
      </c>
      <c r="G16" s="127">
        <v>5</v>
      </c>
      <c r="H16" s="128" t="s">
        <v>1298</v>
      </c>
    </row>
    <row r="17" spans="1:8" ht="19.899999999999999" customHeight="1">
      <c r="A17" s="121">
        <v>46027</v>
      </c>
      <c r="B17" s="112" t="s">
        <v>359</v>
      </c>
      <c r="C17" s="113" t="s">
        <v>1291</v>
      </c>
      <c r="D17" s="112" t="s">
        <v>1286</v>
      </c>
      <c r="E17" s="122">
        <v>1.7673611111111109</v>
      </c>
      <c r="F17" s="112" t="s">
        <v>361</v>
      </c>
      <c r="G17" s="114">
        <v>9</v>
      </c>
      <c r="H17" s="115" t="s">
        <v>1292</v>
      </c>
    </row>
    <row r="18" spans="1:8" ht="19.899999999999999" customHeight="1">
      <c r="A18" s="121">
        <v>46027</v>
      </c>
      <c r="B18" s="112" t="s">
        <v>402</v>
      </c>
      <c r="C18" s="113" t="s">
        <v>1294</v>
      </c>
      <c r="D18" s="112" t="s">
        <v>1286</v>
      </c>
      <c r="E18" s="122">
        <v>1.489583333333333</v>
      </c>
      <c r="F18" s="112" t="s">
        <v>63</v>
      </c>
      <c r="G18" s="114">
        <v>8</v>
      </c>
      <c r="H18" s="115" t="s">
        <v>1146</v>
      </c>
    </row>
    <row r="19" spans="1:8" ht="19.899999999999999" customHeight="1">
      <c r="A19" s="121">
        <v>46027</v>
      </c>
      <c r="B19" s="112" t="s">
        <v>68</v>
      </c>
      <c r="C19" s="113" t="s">
        <v>1295</v>
      </c>
      <c r="D19" s="112" t="s">
        <v>1286</v>
      </c>
      <c r="E19" s="122">
        <v>1.868055555555556</v>
      </c>
      <c r="F19" s="112" t="s">
        <v>643</v>
      </c>
      <c r="G19" s="114">
        <v>9</v>
      </c>
      <c r="H19" s="115" t="s">
        <v>1296</v>
      </c>
    </row>
    <row r="20" spans="1:8" ht="19.899999999999999" customHeight="1">
      <c r="A20" s="123">
        <v>46027</v>
      </c>
      <c r="B20" s="124" t="s">
        <v>359</v>
      </c>
      <c r="C20" s="125" t="s">
        <v>1291</v>
      </c>
      <c r="D20" s="124" t="s">
        <v>1286</v>
      </c>
      <c r="E20" s="126">
        <v>1.7673611111111109</v>
      </c>
      <c r="F20" s="124" t="s">
        <v>46</v>
      </c>
      <c r="G20" s="127">
        <v>9</v>
      </c>
      <c r="H20" s="128" t="s">
        <v>1293</v>
      </c>
    </row>
    <row r="21" spans="1:8" ht="19.899999999999999" customHeight="1">
      <c r="A21" s="121">
        <v>46028</v>
      </c>
      <c r="B21" s="112" t="s">
        <v>359</v>
      </c>
      <c r="C21" s="113" t="s">
        <v>1291</v>
      </c>
      <c r="D21" s="112" t="s">
        <v>1286</v>
      </c>
      <c r="E21" s="122">
        <v>1.7673611111111109</v>
      </c>
      <c r="F21" s="112" t="s">
        <v>361</v>
      </c>
      <c r="G21" s="114">
        <v>9</v>
      </c>
      <c r="H21" s="115" t="s">
        <v>1292</v>
      </c>
    </row>
    <row r="22" spans="1:8" ht="19.899999999999999" customHeight="1">
      <c r="A22" s="121">
        <v>46028</v>
      </c>
      <c r="B22" s="112" t="s">
        <v>402</v>
      </c>
      <c r="C22" s="113" t="s">
        <v>1294</v>
      </c>
      <c r="D22" s="112" t="s">
        <v>1286</v>
      </c>
      <c r="E22" s="122">
        <v>1.489583333333333</v>
      </c>
      <c r="F22" s="112" t="s">
        <v>63</v>
      </c>
      <c r="G22" s="114">
        <v>9</v>
      </c>
      <c r="H22" s="115" t="s">
        <v>1146</v>
      </c>
    </row>
    <row r="23" spans="1:8" ht="19.899999999999999" customHeight="1">
      <c r="A23" s="121">
        <v>46028</v>
      </c>
      <c r="B23" s="112" t="s">
        <v>359</v>
      </c>
      <c r="C23" s="113" t="s">
        <v>1291</v>
      </c>
      <c r="D23" s="112" t="s">
        <v>1286</v>
      </c>
      <c r="E23" s="122">
        <v>1.7673611111111109</v>
      </c>
      <c r="F23" s="112" t="s">
        <v>46</v>
      </c>
      <c r="G23" s="114">
        <v>9</v>
      </c>
      <c r="H23" s="115" t="s">
        <v>1293</v>
      </c>
    </row>
    <row r="24" spans="1:8" ht="19.899999999999999" customHeight="1">
      <c r="A24" s="123">
        <v>46028</v>
      </c>
      <c r="B24" s="124" t="s">
        <v>415</v>
      </c>
      <c r="C24" s="125" t="s">
        <v>1297</v>
      </c>
      <c r="D24" s="124" t="s">
        <v>1286</v>
      </c>
      <c r="E24" s="126">
        <v>1.4375</v>
      </c>
      <c r="F24" s="124" t="s">
        <v>63</v>
      </c>
      <c r="G24" s="127">
        <v>5</v>
      </c>
      <c r="H24" s="128" t="s">
        <v>1298</v>
      </c>
    </row>
    <row r="25" spans="1:8" ht="19.899999999999999" customHeight="1">
      <c r="A25" s="121">
        <v>46029</v>
      </c>
      <c r="B25" s="112" t="s">
        <v>359</v>
      </c>
      <c r="C25" s="113" t="s">
        <v>1291</v>
      </c>
      <c r="D25" s="112" t="s">
        <v>1286</v>
      </c>
      <c r="E25" s="122">
        <v>1.7673611111111109</v>
      </c>
      <c r="F25" s="112" t="s">
        <v>361</v>
      </c>
      <c r="G25" s="114">
        <v>9</v>
      </c>
      <c r="H25" s="115" t="s">
        <v>1292</v>
      </c>
    </row>
    <row r="26" spans="1:8" ht="19.899999999999999" customHeight="1">
      <c r="A26" s="121">
        <v>46029</v>
      </c>
      <c r="B26" s="112" t="s">
        <v>402</v>
      </c>
      <c r="C26" s="113" t="s">
        <v>1294</v>
      </c>
      <c r="D26" s="112" t="s">
        <v>1286</v>
      </c>
      <c r="E26" s="122">
        <v>1.489583333333333</v>
      </c>
      <c r="F26" s="112" t="s">
        <v>63</v>
      </c>
      <c r="G26" s="114">
        <v>8</v>
      </c>
      <c r="H26" s="115" t="s">
        <v>1146</v>
      </c>
    </row>
    <row r="27" spans="1:8" ht="19.899999999999999" customHeight="1">
      <c r="A27" s="121">
        <v>46029</v>
      </c>
      <c r="B27" s="112" t="s">
        <v>68</v>
      </c>
      <c r="C27" s="113" t="s">
        <v>1295</v>
      </c>
      <c r="D27" s="112" t="s">
        <v>1286</v>
      </c>
      <c r="E27" s="122">
        <v>1.868055555555556</v>
      </c>
      <c r="F27" s="112" t="s">
        <v>643</v>
      </c>
      <c r="G27" s="114">
        <v>9</v>
      </c>
      <c r="H27" s="115" t="s">
        <v>1296</v>
      </c>
    </row>
    <row r="28" spans="1:8" ht="19.899999999999999" customHeight="1">
      <c r="A28" s="121">
        <v>46029</v>
      </c>
      <c r="B28" s="112" t="s">
        <v>359</v>
      </c>
      <c r="C28" s="113" t="s">
        <v>1291</v>
      </c>
      <c r="D28" s="112" t="s">
        <v>1286</v>
      </c>
      <c r="E28" s="122">
        <v>1.7673611111111109</v>
      </c>
      <c r="F28" s="112" t="s">
        <v>46</v>
      </c>
      <c r="G28" s="114">
        <v>9</v>
      </c>
      <c r="H28" s="115" t="s">
        <v>1293</v>
      </c>
    </row>
    <row r="29" spans="1:8" ht="19.899999999999999" customHeight="1">
      <c r="A29" s="123">
        <v>46029</v>
      </c>
      <c r="B29" s="124" t="s">
        <v>415</v>
      </c>
      <c r="C29" s="125" t="s">
        <v>1297</v>
      </c>
      <c r="D29" s="124" t="s">
        <v>1286</v>
      </c>
      <c r="E29" s="126">
        <v>1.4548611111111109</v>
      </c>
      <c r="F29" s="124" t="s">
        <v>63</v>
      </c>
      <c r="G29" s="127">
        <v>5</v>
      </c>
      <c r="H29" s="128" t="s">
        <v>1298</v>
      </c>
    </row>
    <row r="30" spans="1:8" ht="19.899999999999999" customHeight="1">
      <c r="A30" s="129">
        <v>46030</v>
      </c>
      <c r="B30" s="117" t="s">
        <v>61</v>
      </c>
      <c r="C30" s="118" t="s">
        <v>1287</v>
      </c>
      <c r="D30" s="117" t="s">
        <v>1286</v>
      </c>
      <c r="E30" s="130">
        <v>1.631944444444444</v>
      </c>
      <c r="F30" s="117" t="s">
        <v>63</v>
      </c>
      <c r="G30" s="119">
        <v>3</v>
      </c>
      <c r="H30" s="120" t="s">
        <v>42</v>
      </c>
    </row>
    <row r="31" spans="1:8" ht="19.899999999999999" customHeight="1">
      <c r="A31" s="121">
        <v>46030</v>
      </c>
      <c r="B31" s="112" t="s">
        <v>359</v>
      </c>
      <c r="C31" s="113" t="s">
        <v>1291</v>
      </c>
      <c r="D31" s="112" t="s">
        <v>1286</v>
      </c>
      <c r="E31" s="122">
        <v>1.7673611111111109</v>
      </c>
      <c r="F31" s="112" t="s">
        <v>361</v>
      </c>
      <c r="G31" s="114">
        <v>9</v>
      </c>
      <c r="H31" s="115" t="s">
        <v>1292</v>
      </c>
    </row>
    <row r="32" spans="1:8" ht="19.899999999999999" customHeight="1">
      <c r="A32" s="121">
        <v>46030</v>
      </c>
      <c r="B32" s="112" t="s">
        <v>402</v>
      </c>
      <c r="C32" s="113" t="s">
        <v>1294</v>
      </c>
      <c r="D32" s="112" t="s">
        <v>1286</v>
      </c>
      <c r="E32" s="122">
        <v>1.489583333333333</v>
      </c>
      <c r="F32" s="112" t="s">
        <v>63</v>
      </c>
      <c r="G32" s="114">
        <v>8</v>
      </c>
      <c r="H32" s="115" t="s">
        <v>1146</v>
      </c>
    </row>
    <row r="33" spans="1:8" ht="19.899999999999999" customHeight="1">
      <c r="A33" s="121">
        <v>46030</v>
      </c>
      <c r="B33" s="112" t="s">
        <v>68</v>
      </c>
      <c r="C33" s="113" t="s">
        <v>1295</v>
      </c>
      <c r="D33" s="112" t="s">
        <v>1286</v>
      </c>
      <c r="E33" s="122">
        <v>1.868055555555556</v>
      </c>
      <c r="F33" s="112" t="s">
        <v>643</v>
      </c>
      <c r="G33" s="114">
        <v>9</v>
      </c>
      <c r="H33" s="115" t="s">
        <v>1296</v>
      </c>
    </row>
    <row r="34" spans="1:8" ht="19.899999999999999" customHeight="1">
      <c r="A34" s="121">
        <v>46030</v>
      </c>
      <c r="B34" s="112" t="s">
        <v>359</v>
      </c>
      <c r="C34" s="113" t="s">
        <v>1291</v>
      </c>
      <c r="D34" s="112" t="s">
        <v>1286</v>
      </c>
      <c r="E34" s="122">
        <v>1.7673611111111109</v>
      </c>
      <c r="F34" s="112" t="s">
        <v>46</v>
      </c>
      <c r="G34" s="114">
        <v>9</v>
      </c>
      <c r="H34" s="115" t="s">
        <v>1293</v>
      </c>
    </row>
    <row r="35" spans="1:8" ht="19.899999999999999" customHeight="1">
      <c r="A35" s="123">
        <v>46030</v>
      </c>
      <c r="B35" s="124" t="s">
        <v>415</v>
      </c>
      <c r="C35" s="125" t="s">
        <v>1297</v>
      </c>
      <c r="D35" s="124" t="s">
        <v>1286</v>
      </c>
      <c r="E35" s="126">
        <v>1.4548611111111109</v>
      </c>
      <c r="F35" s="124" t="s">
        <v>63</v>
      </c>
      <c r="G35" s="127">
        <v>5</v>
      </c>
      <c r="H35" s="128" t="s">
        <v>1298</v>
      </c>
    </row>
    <row r="36" spans="1:8" ht="19.899999999999999" customHeight="1">
      <c r="A36" s="129">
        <v>46031</v>
      </c>
      <c r="B36" s="117" t="s">
        <v>61</v>
      </c>
      <c r="C36" s="118" t="s">
        <v>1287</v>
      </c>
      <c r="D36" s="117" t="s">
        <v>1286</v>
      </c>
      <c r="E36" s="130">
        <v>1.8298611111111109</v>
      </c>
      <c r="F36" s="117" t="s">
        <v>63</v>
      </c>
      <c r="G36" s="119">
        <v>7</v>
      </c>
      <c r="H36" s="120" t="s">
        <v>1288</v>
      </c>
    </row>
    <row r="37" spans="1:8" ht="19.899999999999999" customHeight="1">
      <c r="A37" s="121">
        <v>46031</v>
      </c>
      <c r="B37" s="112" t="s">
        <v>402</v>
      </c>
      <c r="C37" s="113" t="s">
        <v>1294</v>
      </c>
      <c r="D37" s="112" t="s">
        <v>1286</v>
      </c>
      <c r="E37" s="122">
        <v>1.489583333333333</v>
      </c>
      <c r="F37" s="112" t="s">
        <v>63</v>
      </c>
      <c r="G37" s="114">
        <v>9</v>
      </c>
      <c r="H37" s="115" t="s">
        <v>1146</v>
      </c>
    </row>
    <row r="38" spans="1:8" ht="19.899999999999999" customHeight="1">
      <c r="A38" s="123">
        <v>46031</v>
      </c>
      <c r="B38" s="124" t="s">
        <v>68</v>
      </c>
      <c r="C38" s="125" t="s">
        <v>1295</v>
      </c>
      <c r="D38" s="124" t="s">
        <v>1286</v>
      </c>
      <c r="E38" s="126">
        <v>1.868055555555556</v>
      </c>
      <c r="F38" s="124" t="s">
        <v>643</v>
      </c>
      <c r="G38" s="127">
        <v>9</v>
      </c>
      <c r="H38" s="128" t="s">
        <v>1296</v>
      </c>
    </row>
    <row r="39" spans="1:8" ht="19.899999999999999" customHeight="1">
      <c r="A39" s="121">
        <v>46032</v>
      </c>
      <c r="B39" s="112" t="s">
        <v>359</v>
      </c>
      <c r="C39" s="113" t="s">
        <v>1291</v>
      </c>
      <c r="D39" s="112" t="s">
        <v>1286</v>
      </c>
      <c r="E39" s="122">
        <v>1.7673611111111109</v>
      </c>
      <c r="F39" s="112" t="s">
        <v>361</v>
      </c>
      <c r="G39" s="114">
        <v>9</v>
      </c>
      <c r="H39" s="115" t="s">
        <v>493</v>
      </c>
    </row>
    <row r="40" spans="1:8" ht="19.899999999999999" customHeight="1">
      <c r="A40" s="121">
        <v>46032</v>
      </c>
      <c r="B40" s="112" t="s">
        <v>402</v>
      </c>
      <c r="C40" s="113" t="s">
        <v>1300</v>
      </c>
      <c r="D40" s="112" t="s">
        <v>1286</v>
      </c>
      <c r="E40" s="122">
        <v>1.8125</v>
      </c>
      <c r="F40" s="112" t="s">
        <v>63</v>
      </c>
      <c r="G40" s="114">
        <v>7</v>
      </c>
      <c r="H40" s="115" t="s">
        <v>1146</v>
      </c>
    </row>
    <row r="41" spans="1:8" ht="19.899999999999999" customHeight="1">
      <c r="A41" s="121">
        <v>46032</v>
      </c>
      <c r="B41" s="112" t="s">
        <v>68</v>
      </c>
      <c r="C41" s="113" t="s">
        <v>1295</v>
      </c>
      <c r="D41" s="112" t="s">
        <v>1286</v>
      </c>
      <c r="E41" s="122">
        <v>1.868055555555556</v>
      </c>
      <c r="F41" s="112" t="s">
        <v>643</v>
      </c>
      <c r="G41" s="114">
        <v>9</v>
      </c>
      <c r="H41" s="115" t="s">
        <v>1296</v>
      </c>
    </row>
    <row r="42" spans="1:8" ht="19.899999999999999" customHeight="1">
      <c r="A42" s="123">
        <v>46032</v>
      </c>
      <c r="B42" s="124" t="s">
        <v>359</v>
      </c>
      <c r="C42" s="125" t="s">
        <v>1291</v>
      </c>
      <c r="D42" s="124" t="s">
        <v>1286</v>
      </c>
      <c r="E42" s="126">
        <v>1.7673611111111109</v>
      </c>
      <c r="F42" s="124" t="s">
        <v>46</v>
      </c>
      <c r="G42" s="127">
        <v>9</v>
      </c>
      <c r="H42" s="128" t="s">
        <v>1299</v>
      </c>
    </row>
    <row r="43" spans="1:8" ht="19.899999999999999" customHeight="1">
      <c r="A43" s="129">
        <v>46033</v>
      </c>
      <c r="B43" s="117" t="s">
        <v>61</v>
      </c>
      <c r="C43" s="118" t="s">
        <v>1287</v>
      </c>
      <c r="D43" s="117" t="s">
        <v>1286</v>
      </c>
      <c r="E43" s="130">
        <v>1.631944444444444</v>
      </c>
      <c r="F43" s="117" t="s">
        <v>63</v>
      </c>
      <c r="G43" s="119">
        <v>1</v>
      </c>
      <c r="H43" s="120" t="s">
        <v>42</v>
      </c>
    </row>
    <row r="44" spans="1:8" ht="19.899999999999999" customHeight="1">
      <c r="A44" s="121">
        <v>46033</v>
      </c>
      <c r="B44" s="112" t="s">
        <v>402</v>
      </c>
      <c r="C44" s="113" t="s">
        <v>1294</v>
      </c>
      <c r="D44" s="112" t="s">
        <v>1286</v>
      </c>
      <c r="E44" s="122">
        <v>1.489583333333333</v>
      </c>
      <c r="F44" s="112" t="s">
        <v>63</v>
      </c>
      <c r="G44" s="114">
        <v>5</v>
      </c>
      <c r="H44" s="115" t="s">
        <v>1063</v>
      </c>
    </row>
    <row r="45" spans="1:8" ht="19.899999999999999" customHeight="1">
      <c r="A45" s="123">
        <v>46033</v>
      </c>
      <c r="B45" s="124" t="s">
        <v>415</v>
      </c>
      <c r="C45" s="125" t="s">
        <v>1297</v>
      </c>
      <c r="D45" s="124" t="s">
        <v>1286</v>
      </c>
      <c r="E45" s="126">
        <v>1.4375</v>
      </c>
      <c r="F45" s="124" t="s">
        <v>63</v>
      </c>
      <c r="G45" s="127">
        <v>4</v>
      </c>
      <c r="H45" s="128" t="s">
        <v>1298</v>
      </c>
    </row>
    <row r="46" spans="1:8" ht="19.899999999999999" customHeight="1">
      <c r="A46" s="121">
        <v>46034</v>
      </c>
      <c r="B46" s="112" t="s">
        <v>359</v>
      </c>
      <c r="C46" s="113" t="s">
        <v>1291</v>
      </c>
      <c r="D46" s="112" t="s">
        <v>1286</v>
      </c>
      <c r="E46" s="122">
        <v>1.7673611111111109</v>
      </c>
      <c r="F46" s="112" t="s">
        <v>361</v>
      </c>
      <c r="G46" s="114">
        <v>9</v>
      </c>
      <c r="H46" s="115" t="s">
        <v>1292</v>
      </c>
    </row>
    <row r="47" spans="1:8" ht="19.899999999999999" customHeight="1">
      <c r="A47" s="121">
        <v>46034</v>
      </c>
      <c r="B47" s="112" t="s">
        <v>68</v>
      </c>
      <c r="C47" s="113" t="s">
        <v>1295</v>
      </c>
      <c r="D47" s="112" t="s">
        <v>1286</v>
      </c>
      <c r="E47" s="122">
        <v>1.868055555555556</v>
      </c>
      <c r="F47" s="112" t="s">
        <v>643</v>
      </c>
      <c r="G47" s="114">
        <v>9</v>
      </c>
      <c r="H47" s="115" t="s">
        <v>1296</v>
      </c>
    </row>
    <row r="48" spans="1:8" ht="19.899999999999999" customHeight="1">
      <c r="A48" s="121">
        <v>46034</v>
      </c>
      <c r="B48" s="112" t="s">
        <v>359</v>
      </c>
      <c r="C48" s="113" t="s">
        <v>1291</v>
      </c>
      <c r="D48" s="112" t="s">
        <v>1286</v>
      </c>
      <c r="E48" s="122">
        <v>1.7673611111111109</v>
      </c>
      <c r="F48" s="112" t="s">
        <v>46</v>
      </c>
      <c r="G48" s="114">
        <v>9</v>
      </c>
      <c r="H48" s="115" t="s">
        <v>1293</v>
      </c>
    </row>
    <row r="49" spans="1:8" ht="19.899999999999999" customHeight="1">
      <c r="A49" s="121">
        <v>46034</v>
      </c>
      <c r="B49" s="112" t="s">
        <v>402</v>
      </c>
      <c r="C49" s="113" t="s">
        <v>1294</v>
      </c>
      <c r="D49" s="112" t="s">
        <v>1286</v>
      </c>
      <c r="E49" s="122">
        <v>1.489583333333333</v>
      </c>
      <c r="F49" s="112" t="s">
        <v>63</v>
      </c>
      <c r="G49" s="114">
        <v>5</v>
      </c>
      <c r="H49" s="115" t="s">
        <v>1063</v>
      </c>
    </row>
    <row r="50" spans="1:8" ht="19.899999999999999" customHeight="1">
      <c r="A50" s="123">
        <v>46034</v>
      </c>
      <c r="B50" s="124" t="s">
        <v>415</v>
      </c>
      <c r="C50" s="125" t="s">
        <v>1297</v>
      </c>
      <c r="D50" s="124" t="s">
        <v>1286</v>
      </c>
      <c r="E50" s="126">
        <v>1.4548611111111109</v>
      </c>
      <c r="F50" s="124" t="s">
        <v>63</v>
      </c>
      <c r="G50" s="127">
        <v>5</v>
      </c>
      <c r="H50" s="128" t="s">
        <v>1298</v>
      </c>
    </row>
    <row r="51" spans="1:8" ht="19.899999999999999" customHeight="1">
      <c r="A51" s="121">
        <v>46035</v>
      </c>
      <c r="B51" s="112" t="s">
        <v>359</v>
      </c>
      <c r="C51" s="113" t="s">
        <v>1291</v>
      </c>
      <c r="D51" s="112" t="s">
        <v>1286</v>
      </c>
      <c r="E51" s="122">
        <v>1.7673611111111109</v>
      </c>
      <c r="F51" s="112" t="s">
        <v>361</v>
      </c>
      <c r="G51" s="114">
        <v>9</v>
      </c>
      <c r="H51" s="115" t="s">
        <v>1292</v>
      </c>
    </row>
    <row r="52" spans="1:8" ht="19.899999999999999" customHeight="1">
      <c r="A52" s="121">
        <v>46035</v>
      </c>
      <c r="B52" s="112" t="s">
        <v>359</v>
      </c>
      <c r="C52" s="113" t="s">
        <v>1291</v>
      </c>
      <c r="D52" s="112" t="s">
        <v>1286</v>
      </c>
      <c r="E52" s="122">
        <v>1.7673611111111109</v>
      </c>
      <c r="F52" s="112" t="s">
        <v>46</v>
      </c>
      <c r="G52" s="114">
        <v>9</v>
      </c>
      <c r="H52" s="115" t="s">
        <v>1293</v>
      </c>
    </row>
    <row r="53" spans="1:8" ht="19.899999999999999" customHeight="1">
      <c r="A53" s="121">
        <v>46035</v>
      </c>
      <c r="B53" s="112" t="s">
        <v>402</v>
      </c>
      <c r="C53" s="113" t="s">
        <v>1294</v>
      </c>
      <c r="D53" s="112" t="s">
        <v>1286</v>
      </c>
      <c r="E53" s="122">
        <v>1.489583333333333</v>
      </c>
      <c r="F53" s="112" t="s">
        <v>63</v>
      </c>
      <c r="G53" s="114">
        <v>4</v>
      </c>
      <c r="H53" s="115" t="s">
        <v>1063</v>
      </c>
    </row>
    <row r="54" spans="1:8" ht="19.899999999999999" customHeight="1">
      <c r="A54" s="123">
        <v>46035</v>
      </c>
      <c r="B54" s="124" t="s">
        <v>415</v>
      </c>
      <c r="C54" s="125" t="s">
        <v>1297</v>
      </c>
      <c r="D54" s="124" t="s">
        <v>1286</v>
      </c>
      <c r="E54" s="126">
        <v>1.4375</v>
      </c>
      <c r="F54" s="124" t="s">
        <v>63</v>
      </c>
      <c r="G54" s="127">
        <v>5</v>
      </c>
      <c r="H54" s="128" t="s">
        <v>1298</v>
      </c>
    </row>
    <row r="55" spans="1:8" ht="19.899999999999999" customHeight="1">
      <c r="A55" s="121">
        <v>46036</v>
      </c>
      <c r="B55" s="112" t="s">
        <v>359</v>
      </c>
      <c r="C55" s="113" t="s">
        <v>1291</v>
      </c>
      <c r="D55" s="112" t="s">
        <v>1286</v>
      </c>
      <c r="E55" s="122">
        <v>1.7673611111111109</v>
      </c>
      <c r="F55" s="112" t="s">
        <v>361</v>
      </c>
      <c r="G55" s="114">
        <v>9</v>
      </c>
      <c r="H55" s="115" t="s">
        <v>1304</v>
      </c>
    </row>
    <row r="56" spans="1:8" ht="19.899999999999999" customHeight="1">
      <c r="A56" s="121">
        <v>46036</v>
      </c>
      <c r="B56" s="112" t="s">
        <v>68</v>
      </c>
      <c r="C56" s="113" t="s">
        <v>1295</v>
      </c>
      <c r="D56" s="112" t="s">
        <v>1286</v>
      </c>
      <c r="E56" s="122">
        <v>1.868055555555556</v>
      </c>
      <c r="F56" s="112" t="s">
        <v>643</v>
      </c>
      <c r="G56" s="114">
        <v>9</v>
      </c>
      <c r="H56" s="115" t="s">
        <v>1296</v>
      </c>
    </row>
    <row r="57" spans="1:8" ht="19.899999999999999" customHeight="1">
      <c r="A57" s="121">
        <v>46036</v>
      </c>
      <c r="B57" s="112" t="s">
        <v>359</v>
      </c>
      <c r="C57" s="113" t="s">
        <v>1291</v>
      </c>
      <c r="D57" s="112" t="s">
        <v>1286</v>
      </c>
      <c r="E57" s="122">
        <v>1.7673611111111109</v>
      </c>
      <c r="F57" s="112" t="s">
        <v>46</v>
      </c>
      <c r="G57" s="114">
        <v>9</v>
      </c>
      <c r="H57" s="115" t="s">
        <v>1305</v>
      </c>
    </row>
    <row r="58" spans="1:8" ht="19.899999999999999" customHeight="1">
      <c r="A58" s="121">
        <v>46036</v>
      </c>
      <c r="B58" s="112" t="s">
        <v>402</v>
      </c>
      <c r="C58" s="113" t="s">
        <v>1294</v>
      </c>
      <c r="D58" s="112" t="s">
        <v>1286</v>
      </c>
      <c r="E58" s="122">
        <v>1.489583333333333</v>
      </c>
      <c r="F58" s="112" t="s">
        <v>63</v>
      </c>
      <c r="G58" s="114">
        <v>5</v>
      </c>
      <c r="H58" s="115" t="s">
        <v>1063</v>
      </c>
    </row>
    <row r="59" spans="1:8" ht="19.899999999999999" customHeight="1">
      <c r="A59" s="123">
        <v>46036</v>
      </c>
      <c r="B59" s="124" t="s">
        <v>415</v>
      </c>
      <c r="C59" s="125" t="s">
        <v>1297</v>
      </c>
      <c r="D59" s="124" t="s">
        <v>1286</v>
      </c>
      <c r="E59" s="126">
        <v>1.4548611111111109</v>
      </c>
      <c r="F59" s="124" t="s">
        <v>63</v>
      </c>
      <c r="G59" s="127">
        <v>5</v>
      </c>
      <c r="H59" s="128" t="s">
        <v>1298</v>
      </c>
    </row>
    <row r="60" spans="1:8" ht="19.899999999999999" customHeight="1">
      <c r="A60" s="121">
        <v>46037</v>
      </c>
      <c r="B60" s="112" t="s">
        <v>359</v>
      </c>
      <c r="C60" s="113" t="s">
        <v>1291</v>
      </c>
      <c r="D60" s="112" t="s">
        <v>1286</v>
      </c>
      <c r="E60" s="122">
        <v>1.7673611111111109</v>
      </c>
      <c r="F60" s="112" t="s">
        <v>361</v>
      </c>
      <c r="G60" s="114">
        <v>9</v>
      </c>
      <c r="H60" s="115" t="s">
        <v>1304</v>
      </c>
    </row>
    <row r="61" spans="1:8" ht="19.899999999999999" customHeight="1">
      <c r="A61" s="121">
        <v>46037</v>
      </c>
      <c r="B61" s="112" t="s">
        <v>68</v>
      </c>
      <c r="C61" s="113" t="s">
        <v>1295</v>
      </c>
      <c r="D61" s="112" t="s">
        <v>1286</v>
      </c>
      <c r="E61" s="122">
        <v>1.868055555555556</v>
      </c>
      <c r="F61" s="112" t="s">
        <v>643</v>
      </c>
      <c r="G61" s="114">
        <v>9</v>
      </c>
      <c r="H61" s="115" t="s">
        <v>1296</v>
      </c>
    </row>
    <row r="62" spans="1:8" ht="19.899999999999999" customHeight="1">
      <c r="A62" s="129">
        <v>46037</v>
      </c>
      <c r="B62" s="117" t="s">
        <v>61</v>
      </c>
      <c r="C62" s="118" t="s">
        <v>1287</v>
      </c>
      <c r="D62" s="117" t="s">
        <v>1286</v>
      </c>
      <c r="E62" s="130">
        <v>1.631944444444444</v>
      </c>
      <c r="F62" s="117" t="s">
        <v>63</v>
      </c>
      <c r="G62" s="119">
        <v>9</v>
      </c>
      <c r="H62" s="120" t="s">
        <v>1306</v>
      </c>
    </row>
    <row r="63" spans="1:8" ht="19.899999999999999" customHeight="1">
      <c r="A63" s="121">
        <v>46037</v>
      </c>
      <c r="B63" s="112" t="s">
        <v>359</v>
      </c>
      <c r="C63" s="113" t="s">
        <v>1291</v>
      </c>
      <c r="D63" s="112" t="s">
        <v>1286</v>
      </c>
      <c r="E63" s="122">
        <v>1.7673611111111109</v>
      </c>
      <c r="F63" s="112" t="s">
        <v>46</v>
      </c>
      <c r="G63" s="114">
        <v>9</v>
      </c>
      <c r="H63" s="115" t="s">
        <v>1305</v>
      </c>
    </row>
    <row r="64" spans="1:8" ht="19.899999999999999" customHeight="1">
      <c r="A64" s="121">
        <v>46037</v>
      </c>
      <c r="B64" s="112" t="s">
        <v>402</v>
      </c>
      <c r="C64" s="113" t="s">
        <v>1294</v>
      </c>
      <c r="D64" s="112" t="s">
        <v>1286</v>
      </c>
      <c r="E64" s="122">
        <v>1.489583333333333</v>
      </c>
      <c r="F64" s="112" t="s">
        <v>63</v>
      </c>
      <c r="G64" s="114">
        <v>5</v>
      </c>
      <c r="H64" s="115" t="s">
        <v>1063</v>
      </c>
    </row>
    <row r="65" spans="1:8" ht="19.899999999999999" customHeight="1">
      <c r="A65" s="123">
        <v>46037</v>
      </c>
      <c r="B65" s="124" t="s">
        <v>415</v>
      </c>
      <c r="C65" s="125" t="s">
        <v>1297</v>
      </c>
      <c r="D65" s="124" t="s">
        <v>1286</v>
      </c>
      <c r="E65" s="126">
        <v>1.4548611111111109</v>
      </c>
      <c r="F65" s="124" t="s">
        <v>63</v>
      </c>
      <c r="G65" s="127">
        <v>5</v>
      </c>
      <c r="H65" s="128" t="s">
        <v>1298</v>
      </c>
    </row>
    <row r="66" spans="1:8" ht="19.899999999999999" customHeight="1">
      <c r="A66" s="129">
        <v>46038</v>
      </c>
      <c r="B66" s="117" t="s">
        <v>61</v>
      </c>
      <c r="C66" s="118" t="s">
        <v>1287</v>
      </c>
      <c r="D66" s="117" t="s">
        <v>1286</v>
      </c>
      <c r="E66" s="130">
        <v>1.8298611111111109</v>
      </c>
      <c r="F66" s="117" t="s">
        <v>63</v>
      </c>
      <c r="G66" s="119">
        <v>7</v>
      </c>
      <c r="H66" s="120" t="s">
        <v>1306</v>
      </c>
    </row>
    <row r="67" spans="1:8" ht="19.899999999999999" customHeight="1">
      <c r="A67" s="121">
        <v>46038</v>
      </c>
      <c r="B67" s="112" t="s">
        <v>402</v>
      </c>
      <c r="C67" s="113" t="s">
        <v>1294</v>
      </c>
      <c r="D67" s="112" t="s">
        <v>1286</v>
      </c>
      <c r="E67" s="122">
        <v>1.489583333333333</v>
      </c>
      <c r="F67" s="112" t="s">
        <v>63</v>
      </c>
      <c r="G67" s="114">
        <v>5</v>
      </c>
      <c r="H67" s="115" t="s">
        <v>1063</v>
      </c>
    </row>
    <row r="68" spans="1:8" ht="19.899999999999999" customHeight="1">
      <c r="A68" s="121">
        <v>46038</v>
      </c>
      <c r="B68" s="112" t="s">
        <v>68</v>
      </c>
      <c r="C68" s="113" t="s">
        <v>1295</v>
      </c>
      <c r="D68" s="112" t="s">
        <v>1286</v>
      </c>
      <c r="E68" s="122">
        <v>1.868055555555556</v>
      </c>
      <c r="F68" s="112" t="s">
        <v>70</v>
      </c>
      <c r="G68" s="114">
        <v>9</v>
      </c>
      <c r="H68" s="115" t="s">
        <v>653</v>
      </c>
    </row>
    <row r="69" spans="1:8" ht="19.899999999999999" customHeight="1">
      <c r="A69" s="123">
        <v>46038</v>
      </c>
      <c r="B69" s="124" t="s">
        <v>415</v>
      </c>
      <c r="C69" s="125" t="s">
        <v>1297</v>
      </c>
      <c r="D69" s="124" t="s">
        <v>1286</v>
      </c>
      <c r="E69" s="126">
        <v>1.4375</v>
      </c>
      <c r="F69" s="124" t="s">
        <v>63</v>
      </c>
      <c r="G69" s="127">
        <v>5</v>
      </c>
      <c r="H69" s="128" t="s">
        <v>1298</v>
      </c>
    </row>
    <row r="70" spans="1:8" ht="19.899999999999999" customHeight="1">
      <c r="A70" s="121">
        <v>46039</v>
      </c>
      <c r="B70" s="112" t="s">
        <v>359</v>
      </c>
      <c r="C70" s="113" t="s">
        <v>1291</v>
      </c>
      <c r="D70" s="112" t="s">
        <v>1286</v>
      </c>
      <c r="E70" s="122">
        <v>1.7673611111111109</v>
      </c>
      <c r="F70" s="112" t="s">
        <v>361</v>
      </c>
      <c r="G70" s="114">
        <v>9</v>
      </c>
      <c r="H70" s="115" t="s">
        <v>1309</v>
      </c>
    </row>
    <row r="71" spans="1:8" ht="19.899999999999999" customHeight="1">
      <c r="A71" s="121">
        <v>46039</v>
      </c>
      <c r="B71" s="112" t="s">
        <v>402</v>
      </c>
      <c r="C71" s="113" t="s">
        <v>1300</v>
      </c>
      <c r="D71" s="112" t="s">
        <v>1286</v>
      </c>
      <c r="E71" s="122">
        <v>1.8125</v>
      </c>
      <c r="F71" s="112" t="s">
        <v>63</v>
      </c>
      <c r="G71" s="114">
        <v>4</v>
      </c>
      <c r="H71" s="115" t="s">
        <v>1063</v>
      </c>
    </row>
    <row r="72" spans="1:8" ht="19.899999999999999" customHeight="1">
      <c r="A72" s="121">
        <v>46039</v>
      </c>
      <c r="B72" s="112" t="s">
        <v>359</v>
      </c>
      <c r="C72" s="113" t="s">
        <v>1291</v>
      </c>
      <c r="D72" s="112" t="s">
        <v>1286</v>
      </c>
      <c r="E72" s="122">
        <v>1.7673611111111109</v>
      </c>
      <c r="F72" s="112" t="s">
        <v>46</v>
      </c>
      <c r="G72" s="114">
        <v>9</v>
      </c>
      <c r="H72" s="115" t="s">
        <v>1310</v>
      </c>
    </row>
    <row r="73" spans="1:8" ht="19.899999999999999" customHeight="1">
      <c r="A73" s="121">
        <v>46039</v>
      </c>
      <c r="B73" s="112" t="s">
        <v>415</v>
      </c>
      <c r="C73" s="113" t="s">
        <v>1297</v>
      </c>
      <c r="D73" s="112" t="s">
        <v>1286</v>
      </c>
      <c r="E73" s="122">
        <v>1.4375</v>
      </c>
      <c r="F73" s="112" t="s">
        <v>63</v>
      </c>
      <c r="G73" s="114">
        <v>5</v>
      </c>
      <c r="H73" s="115" t="s">
        <v>1298</v>
      </c>
    </row>
    <row r="74" spans="1:8" ht="19.899999999999999" customHeight="1">
      <c r="A74" s="123">
        <v>46039</v>
      </c>
      <c r="B74" s="124" t="s">
        <v>68</v>
      </c>
      <c r="C74" s="125" t="s">
        <v>1295</v>
      </c>
      <c r="D74" s="124" t="s">
        <v>1286</v>
      </c>
      <c r="E74" s="126">
        <v>1.868055555555556</v>
      </c>
      <c r="F74" s="124" t="s">
        <v>70</v>
      </c>
      <c r="G74" s="127">
        <v>9</v>
      </c>
      <c r="H74" s="128" t="s">
        <v>1311</v>
      </c>
    </row>
    <row r="75" spans="1:8" ht="19.899999999999999" customHeight="1">
      <c r="A75" s="129">
        <v>46040</v>
      </c>
      <c r="B75" s="117" t="s">
        <v>61</v>
      </c>
      <c r="C75" s="118" t="s">
        <v>1287</v>
      </c>
      <c r="D75" s="117" t="s">
        <v>1286</v>
      </c>
      <c r="E75" s="130">
        <v>1.631944444444444</v>
      </c>
      <c r="F75" s="117" t="s">
        <v>63</v>
      </c>
      <c r="G75" s="119">
        <v>7</v>
      </c>
      <c r="H75" s="120" t="s">
        <v>1255</v>
      </c>
    </row>
    <row r="76" spans="1:8" ht="19.899999999999999" customHeight="1">
      <c r="A76" s="121">
        <v>46040</v>
      </c>
      <c r="B76" s="112" t="s">
        <v>402</v>
      </c>
      <c r="C76" s="113" t="s">
        <v>1294</v>
      </c>
      <c r="D76" s="112" t="s">
        <v>1286</v>
      </c>
      <c r="E76" s="122">
        <v>1.489583333333333</v>
      </c>
      <c r="F76" s="112" t="s">
        <v>63</v>
      </c>
      <c r="G76" s="114">
        <v>5</v>
      </c>
      <c r="H76" s="115" t="s">
        <v>1063</v>
      </c>
    </row>
    <row r="77" spans="1:8" ht="19.899999999999999" customHeight="1">
      <c r="A77" s="123">
        <v>46040</v>
      </c>
      <c r="B77" s="124" t="s">
        <v>415</v>
      </c>
      <c r="C77" s="125" t="s">
        <v>1297</v>
      </c>
      <c r="D77" s="124" t="s">
        <v>1286</v>
      </c>
      <c r="E77" s="126">
        <v>1.4375</v>
      </c>
      <c r="F77" s="124" t="s">
        <v>63</v>
      </c>
      <c r="G77" s="127">
        <v>5</v>
      </c>
      <c r="H77" s="128" t="s">
        <v>1298</v>
      </c>
    </row>
    <row r="78" spans="1:8" ht="19.899999999999999" customHeight="1">
      <c r="A78" s="121">
        <v>46041</v>
      </c>
      <c r="B78" s="112" t="s">
        <v>359</v>
      </c>
      <c r="C78" s="113" t="s">
        <v>1291</v>
      </c>
      <c r="D78" s="112" t="s">
        <v>1286</v>
      </c>
      <c r="E78" s="122">
        <v>1.7673611111111109</v>
      </c>
      <c r="F78" s="112" t="s">
        <v>361</v>
      </c>
      <c r="G78" s="114">
        <v>9</v>
      </c>
      <c r="H78" s="115" t="s">
        <v>1304</v>
      </c>
    </row>
    <row r="79" spans="1:8" ht="19.899999999999999" customHeight="1">
      <c r="A79" s="121">
        <v>46041</v>
      </c>
      <c r="B79" s="112" t="s">
        <v>68</v>
      </c>
      <c r="C79" s="113" t="s">
        <v>1295</v>
      </c>
      <c r="D79" s="112" t="s">
        <v>1286</v>
      </c>
      <c r="E79" s="122">
        <v>1.868055555555556</v>
      </c>
      <c r="F79" s="112" t="s">
        <v>643</v>
      </c>
      <c r="G79" s="114">
        <v>9</v>
      </c>
      <c r="H79" s="115" t="s">
        <v>1296</v>
      </c>
    </row>
    <row r="80" spans="1:8" ht="19.899999999999999" customHeight="1">
      <c r="A80" s="121">
        <v>46041</v>
      </c>
      <c r="B80" s="112" t="s">
        <v>359</v>
      </c>
      <c r="C80" s="113" t="s">
        <v>1291</v>
      </c>
      <c r="D80" s="112" t="s">
        <v>1286</v>
      </c>
      <c r="E80" s="122">
        <v>1.7673611111111109</v>
      </c>
      <c r="F80" s="112" t="s">
        <v>46</v>
      </c>
      <c r="G80" s="114">
        <v>9</v>
      </c>
      <c r="H80" s="115" t="s">
        <v>1305</v>
      </c>
    </row>
    <row r="81" spans="1:8" ht="19.899999999999999" customHeight="1">
      <c r="A81" s="121">
        <v>46041</v>
      </c>
      <c r="B81" s="112" t="s">
        <v>402</v>
      </c>
      <c r="C81" s="113" t="s">
        <v>1294</v>
      </c>
      <c r="D81" s="112" t="s">
        <v>1286</v>
      </c>
      <c r="E81" s="122">
        <v>1.489583333333333</v>
      </c>
      <c r="F81" s="112" t="s">
        <v>63</v>
      </c>
      <c r="G81" s="114">
        <v>5</v>
      </c>
      <c r="H81" s="115" t="s">
        <v>1063</v>
      </c>
    </row>
    <row r="82" spans="1:8" ht="19.899999999999999" customHeight="1">
      <c r="A82" s="123">
        <v>46041</v>
      </c>
      <c r="B82" s="124" t="s">
        <v>415</v>
      </c>
      <c r="C82" s="125" t="s">
        <v>1297</v>
      </c>
      <c r="D82" s="124" t="s">
        <v>1286</v>
      </c>
      <c r="E82" s="126">
        <v>1.4548611111111109</v>
      </c>
      <c r="F82" s="124" t="s">
        <v>63</v>
      </c>
      <c r="G82" s="127">
        <v>5</v>
      </c>
      <c r="H82" s="128" t="s">
        <v>1298</v>
      </c>
    </row>
    <row r="83" spans="1:8" ht="19.899999999999999" customHeight="1">
      <c r="A83" s="121">
        <v>46042</v>
      </c>
      <c r="B83" s="112" t="s">
        <v>359</v>
      </c>
      <c r="C83" s="113" t="s">
        <v>1291</v>
      </c>
      <c r="D83" s="112" t="s">
        <v>1286</v>
      </c>
      <c r="E83" s="122">
        <v>1.7673611111111109</v>
      </c>
      <c r="F83" s="112" t="s">
        <v>361</v>
      </c>
      <c r="G83" s="114">
        <v>9</v>
      </c>
      <c r="H83" s="115" t="s">
        <v>1304</v>
      </c>
    </row>
    <row r="84" spans="1:8" ht="19.899999999999999" customHeight="1">
      <c r="A84" s="121">
        <v>46042</v>
      </c>
      <c r="B84" s="112" t="s">
        <v>359</v>
      </c>
      <c r="C84" s="113" t="s">
        <v>1291</v>
      </c>
      <c r="D84" s="112" t="s">
        <v>1286</v>
      </c>
      <c r="E84" s="122">
        <v>1.7673611111111109</v>
      </c>
      <c r="F84" s="112" t="s">
        <v>46</v>
      </c>
      <c r="G84" s="114">
        <v>9</v>
      </c>
      <c r="H84" s="115" t="s">
        <v>1305</v>
      </c>
    </row>
    <row r="85" spans="1:8" ht="19.899999999999999" customHeight="1">
      <c r="A85" s="121">
        <v>46042</v>
      </c>
      <c r="B85" s="112" t="s">
        <v>402</v>
      </c>
      <c r="C85" s="113" t="s">
        <v>1294</v>
      </c>
      <c r="D85" s="112" t="s">
        <v>1286</v>
      </c>
      <c r="E85" s="122">
        <v>1.489583333333333</v>
      </c>
      <c r="F85" s="112" t="s">
        <v>63</v>
      </c>
      <c r="G85" s="114">
        <v>5</v>
      </c>
      <c r="H85" s="115" t="s">
        <v>1063</v>
      </c>
    </row>
    <row r="86" spans="1:8" ht="19.899999999999999" customHeight="1">
      <c r="A86" s="123">
        <v>46042</v>
      </c>
      <c r="B86" s="124" t="s">
        <v>415</v>
      </c>
      <c r="C86" s="125" t="s">
        <v>1297</v>
      </c>
      <c r="D86" s="124" t="s">
        <v>1286</v>
      </c>
      <c r="E86" s="126">
        <v>1.4375</v>
      </c>
      <c r="F86" s="124" t="s">
        <v>63</v>
      </c>
      <c r="G86" s="127">
        <v>5</v>
      </c>
      <c r="H86" s="128" t="s">
        <v>1298</v>
      </c>
    </row>
    <row r="87" spans="1:8" ht="19.899999999999999" customHeight="1">
      <c r="A87" s="121">
        <v>46043</v>
      </c>
      <c r="B87" s="112" t="s">
        <v>359</v>
      </c>
      <c r="C87" s="113" t="s">
        <v>1291</v>
      </c>
      <c r="D87" s="112" t="s">
        <v>1286</v>
      </c>
      <c r="E87" s="122">
        <v>1.7673611111111109</v>
      </c>
      <c r="F87" s="112" t="s">
        <v>361</v>
      </c>
      <c r="G87" s="114">
        <v>9</v>
      </c>
      <c r="H87" s="115" t="s">
        <v>1304</v>
      </c>
    </row>
    <row r="88" spans="1:8" ht="19.899999999999999" customHeight="1">
      <c r="A88" s="121">
        <v>46043</v>
      </c>
      <c r="B88" s="112" t="s">
        <v>68</v>
      </c>
      <c r="C88" s="113" t="s">
        <v>1295</v>
      </c>
      <c r="D88" s="112" t="s">
        <v>1286</v>
      </c>
      <c r="E88" s="122">
        <v>1.868055555555556</v>
      </c>
      <c r="F88" s="112" t="s">
        <v>643</v>
      </c>
      <c r="G88" s="114">
        <v>9</v>
      </c>
      <c r="H88" s="115" t="s">
        <v>1296</v>
      </c>
    </row>
    <row r="89" spans="1:8" ht="19.899999999999999" customHeight="1">
      <c r="A89" s="121">
        <v>46043</v>
      </c>
      <c r="B89" s="112" t="s">
        <v>359</v>
      </c>
      <c r="C89" s="113" t="s">
        <v>1291</v>
      </c>
      <c r="D89" s="112" t="s">
        <v>1286</v>
      </c>
      <c r="E89" s="122">
        <v>1.7673611111111109</v>
      </c>
      <c r="F89" s="112" t="s">
        <v>46</v>
      </c>
      <c r="G89" s="114">
        <v>9</v>
      </c>
      <c r="H89" s="115" t="s">
        <v>1305</v>
      </c>
    </row>
    <row r="90" spans="1:8" ht="19.899999999999999" customHeight="1">
      <c r="A90" s="121">
        <v>46043</v>
      </c>
      <c r="B90" s="112" t="s">
        <v>402</v>
      </c>
      <c r="C90" s="113" t="s">
        <v>1294</v>
      </c>
      <c r="D90" s="112" t="s">
        <v>1286</v>
      </c>
      <c r="E90" s="122">
        <v>1.489583333333333</v>
      </c>
      <c r="F90" s="112" t="s">
        <v>63</v>
      </c>
      <c r="G90" s="114">
        <v>5</v>
      </c>
      <c r="H90" s="115" t="s">
        <v>1063</v>
      </c>
    </row>
    <row r="91" spans="1:8" ht="19.899999999999999" customHeight="1">
      <c r="A91" s="123">
        <v>46043</v>
      </c>
      <c r="B91" s="124" t="s">
        <v>415</v>
      </c>
      <c r="C91" s="125" t="s">
        <v>1297</v>
      </c>
      <c r="D91" s="124" t="s">
        <v>1286</v>
      </c>
      <c r="E91" s="126">
        <v>1.4548611111111109</v>
      </c>
      <c r="F91" s="124" t="s">
        <v>63</v>
      </c>
      <c r="G91" s="127">
        <v>5</v>
      </c>
      <c r="H91" s="128" t="s">
        <v>1298</v>
      </c>
    </row>
    <row r="92" spans="1:8" ht="19.899999999999999" customHeight="1">
      <c r="A92" s="129">
        <v>46044</v>
      </c>
      <c r="B92" s="117" t="s">
        <v>61</v>
      </c>
      <c r="C92" s="118" t="s">
        <v>1287</v>
      </c>
      <c r="D92" s="117" t="s">
        <v>1286</v>
      </c>
      <c r="E92" s="130">
        <v>1.631944444444444</v>
      </c>
      <c r="F92" s="117" t="s">
        <v>63</v>
      </c>
      <c r="G92" s="119">
        <v>8</v>
      </c>
      <c r="H92" s="120" t="s">
        <v>1313</v>
      </c>
    </row>
    <row r="93" spans="1:8" ht="19.899999999999999" customHeight="1">
      <c r="A93" s="121">
        <v>46044</v>
      </c>
      <c r="B93" s="112" t="s">
        <v>359</v>
      </c>
      <c r="C93" s="113" t="s">
        <v>1291</v>
      </c>
      <c r="D93" s="112" t="s">
        <v>1286</v>
      </c>
      <c r="E93" s="122">
        <v>1.7673611111111109</v>
      </c>
      <c r="F93" s="112" t="s">
        <v>361</v>
      </c>
      <c r="G93" s="114">
        <v>9</v>
      </c>
      <c r="H93" s="115" t="s">
        <v>1304</v>
      </c>
    </row>
    <row r="94" spans="1:8" ht="19.899999999999999" customHeight="1">
      <c r="A94" s="121">
        <v>46044</v>
      </c>
      <c r="B94" s="112" t="s">
        <v>68</v>
      </c>
      <c r="C94" s="113" t="s">
        <v>1295</v>
      </c>
      <c r="D94" s="112" t="s">
        <v>1286</v>
      </c>
      <c r="E94" s="122">
        <v>1.868055555555556</v>
      </c>
      <c r="F94" s="112" t="s">
        <v>643</v>
      </c>
      <c r="G94" s="114">
        <v>9</v>
      </c>
      <c r="H94" s="115" t="s">
        <v>1296</v>
      </c>
    </row>
    <row r="95" spans="1:8" ht="19.899999999999999" customHeight="1">
      <c r="A95" s="121">
        <v>46044</v>
      </c>
      <c r="B95" s="112" t="s">
        <v>359</v>
      </c>
      <c r="C95" s="113" t="s">
        <v>1291</v>
      </c>
      <c r="D95" s="112" t="s">
        <v>1286</v>
      </c>
      <c r="E95" s="122">
        <v>1.7673611111111109</v>
      </c>
      <c r="F95" s="112" t="s">
        <v>46</v>
      </c>
      <c r="G95" s="114">
        <v>9</v>
      </c>
      <c r="H95" s="115" t="s">
        <v>1305</v>
      </c>
    </row>
    <row r="96" spans="1:8" ht="19.899999999999999" customHeight="1">
      <c r="A96" s="121">
        <v>46044</v>
      </c>
      <c r="B96" s="112" t="s">
        <v>402</v>
      </c>
      <c r="C96" s="113" t="s">
        <v>1294</v>
      </c>
      <c r="D96" s="112" t="s">
        <v>1286</v>
      </c>
      <c r="E96" s="122">
        <v>1.489583333333333</v>
      </c>
      <c r="F96" s="112" t="s">
        <v>63</v>
      </c>
      <c r="G96" s="114">
        <v>5</v>
      </c>
      <c r="H96" s="115" t="s">
        <v>1063</v>
      </c>
    </row>
    <row r="97" spans="1:8" ht="19.899999999999999" customHeight="1">
      <c r="A97" s="123">
        <v>46044</v>
      </c>
      <c r="B97" s="124" t="s">
        <v>415</v>
      </c>
      <c r="C97" s="125" t="s">
        <v>1297</v>
      </c>
      <c r="D97" s="124" t="s">
        <v>1286</v>
      </c>
      <c r="E97" s="126">
        <v>1.4548611111111109</v>
      </c>
      <c r="F97" s="124" t="s">
        <v>63</v>
      </c>
      <c r="G97" s="127">
        <v>5</v>
      </c>
      <c r="H97" s="128" t="s">
        <v>1298</v>
      </c>
    </row>
    <row r="98" spans="1:8" ht="19.899999999999999" customHeight="1">
      <c r="A98" s="129">
        <v>46045</v>
      </c>
      <c r="B98" s="117" t="s">
        <v>61</v>
      </c>
      <c r="C98" s="118" t="s">
        <v>1287</v>
      </c>
      <c r="D98" s="117" t="s">
        <v>1286</v>
      </c>
      <c r="E98" s="130">
        <v>1.8298611111111109</v>
      </c>
      <c r="F98" s="117" t="s">
        <v>63</v>
      </c>
      <c r="G98" s="119">
        <v>3</v>
      </c>
      <c r="H98" s="120" t="s">
        <v>1313</v>
      </c>
    </row>
    <row r="99" spans="1:8" ht="19.899999999999999" customHeight="1">
      <c r="A99" s="121">
        <v>46045</v>
      </c>
      <c r="B99" s="112" t="s">
        <v>68</v>
      </c>
      <c r="C99" s="113" t="s">
        <v>1295</v>
      </c>
      <c r="D99" s="112" t="s">
        <v>1286</v>
      </c>
      <c r="E99" s="122">
        <v>1.868055555555556</v>
      </c>
      <c r="F99" s="112" t="s">
        <v>643</v>
      </c>
      <c r="G99" s="114">
        <v>9</v>
      </c>
      <c r="H99" s="115" t="s">
        <v>1296</v>
      </c>
    </row>
    <row r="100" spans="1:8" ht="19.899999999999999" customHeight="1">
      <c r="A100" s="121">
        <v>46045</v>
      </c>
      <c r="B100" s="112" t="s">
        <v>402</v>
      </c>
      <c r="C100" s="113" t="s">
        <v>1294</v>
      </c>
      <c r="D100" s="112" t="s">
        <v>1286</v>
      </c>
      <c r="E100" s="122">
        <v>1.489583333333333</v>
      </c>
      <c r="F100" s="112" t="s">
        <v>63</v>
      </c>
      <c r="G100" s="114">
        <v>5</v>
      </c>
      <c r="H100" s="115" t="s">
        <v>1063</v>
      </c>
    </row>
    <row r="101" spans="1:8" ht="19.899999999999999" customHeight="1">
      <c r="A101" s="123">
        <v>46045</v>
      </c>
      <c r="B101" s="124" t="s">
        <v>415</v>
      </c>
      <c r="C101" s="125" t="s">
        <v>1297</v>
      </c>
      <c r="D101" s="124" t="s">
        <v>1286</v>
      </c>
      <c r="E101" s="126">
        <v>1.4375</v>
      </c>
      <c r="F101" s="124" t="s">
        <v>63</v>
      </c>
      <c r="G101" s="127">
        <v>5</v>
      </c>
      <c r="H101" s="128" t="s">
        <v>1298</v>
      </c>
    </row>
    <row r="102" spans="1:8" ht="19.899999999999999" customHeight="1">
      <c r="A102" s="121">
        <v>46046</v>
      </c>
      <c r="B102" s="112" t="s">
        <v>359</v>
      </c>
      <c r="C102" s="113" t="s">
        <v>1291</v>
      </c>
      <c r="D102" s="112" t="s">
        <v>1286</v>
      </c>
      <c r="E102" s="122">
        <v>1.7673611111111109</v>
      </c>
      <c r="F102" s="112" t="s">
        <v>361</v>
      </c>
      <c r="G102" s="114">
        <v>9</v>
      </c>
      <c r="H102" s="115" t="s">
        <v>1309</v>
      </c>
    </row>
    <row r="103" spans="1:8" ht="19.899999999999999" customHeight="1">
      <c r="A103" s="121">
        <v>46046</v>
      </c>
      <c r="B103" s="112" t="s">
        <v>68</v>
      </c>
      <c r="C103" s="113" t="s">
        <v>1295</v>
      </c>
      <c r="D103" s="112" t="s">
        <v>1286</v>
      </c>
      <c r="E103" s="122">
        <v>1.868055555555556</v>
      </c>
      <c r="F103" s="112" t="s">
        <v>643</v>
      </c>
      <c r="G103" s="114">
        <v>9</v>
      </c>
      <c r="H103" s="115" t="s">
        <v>1296</v>
      </c>
    </row>
    <row r="104" spans="1:8" ht="19.899999999999999" customHeight="1">
      <c r="A104" s="121">
        <v>46046</v>
      </c>
      <c r="B104" s="112" t="s">
        <v>402</v>
      </c>
      <c r="C104" s="113" t="s">
        <v>1300</v>
      </c>
      <c r="D104" s="112" t="s">
        <v>1286</v>
      </c>
      <c r="E104" s="122">
        <v>1.8125</v>
      </c>
      <c r="F104" s="112" t="s">
        <v>63</v>
      </c>
      <c r="G104" s="114">
        <v>4</v>
      </c>
      <c r="H104" s="115" t="s">
        <v>1063</v>
      </c>
    </row>
    <row r="105" spans="1:8" ht="19.899999999999999" customHeight="1">
      <c r="A105" s="121">
        <v>46046</v>
      </c>
      <c r="B105" s="112" t="s">
        <v>359</v>
      </c>
      <c r="C105" s="113" t="s">
        <v>1291</v>
      </c>
      <c r="D105" s="112" t="s">
        <v>1286</v>
      </c>
      <c r="E105" s="122">
        <v>1.7673611111111109</v>
      </c>
      <c r="F105" s="112" t="s">
        <v>46</v>
      </c>
      <c r="G105" s="114">
        <v>9</v>
      </c>
      <c r="H105" s="115" t="s">
        <v>1310</v>
      </c>
    </row>
    <row r="106" spans="1:8" ht="19.899999999999999" customHeight="1">
      <c r="A106" s="123">
        <v>46046</v>
      </c>
      <c r="B106" s="124" t="s">
        <v>415</v>
      </c>
      <c r="C106" s="125" t="s">
        <v>1297</v>
      </c>
      <c r="D106" s="124" t="s">
        <v>1286</v>
      </c>
      <c r="E106" s="126">
        <v>1.4375</v>
      </c>
      <c r="F106" s="124" t="s">
        <v>63</v>
      </c>
      <c r="G106" s="127">
        <v>5</v>
      </c>
      <c r="H106" s="128" t="s">
        <v>1298</v>
      </c>
    </row>
    <row r="107" spans="1:8" ht="19.899999999999999" customHeight="1">
      <c r="A107" s="129">
        <v>46047</v>
      </c>
      <c r="B107" s="117" t="s">
        <v>61</v>
      </c>
      <c r="C107" s="118" t="s">
        <v>1287</v>
      </c>
      <c r="D107" s="117" t="s">
        <v>1286</v>
      </c>
      <c r="E107" s="130">
        <v>1.631944444444444</v>
      </c>
      <c r="F107" s="117" t="s">
        <v>63</v>
      </c>
      <c r="G107" s="119">
        <v>3</v>
      </c>
      <c r="H107" s="120" t="s">
        <v>33</v>
      </c>
    </row>
    <row r="108" spans="1:8" ht="19.899999999999999" customHeight="1">
      <c r="A108" s="121">
        <v>46047</v>
      </c>
      <c r="B108" s="112" t="s">
        <v>402</v>
      </c>
      <c r="C108" s="113" t="s">
        <v>1294</v>
      </c>
      <c r="D108" s="112" t="s">
        <v>1286</v>
      </c>
      <c r="E108" s="122">
        <v>1.489583333333333</v>
      </c>
      <c r="F108" s="112" t="s">
        <v>63</v>
      </c>
      <c r="G108" s="114">
        <v>5</v>
      </c>
      <c r="H108" s="115" t="s">
        <v>1063</v>
      </c>
    </row>
    <row r="109" spans="1:8" ht="19.899999999999999" customHeight="1">
      <c r="A109" s="123">
        <v>46047</v>
      </c>
      <c r="B109" s="124" t="s">
        <v>415</v>
      </c>
      <c r="C109" s="125" t="s">
        <v>1297</v>
      </c>
      <c r="D109" s="124" t="s">
        <v>1286</v>
      </c>
      <c r="E109" s="126">
        <v>1.4375</v>
      </c>
      <c r="F109" s="124" t="s">
        <v>63</v>
      </c>
      <c r="G109" s="127">
        <v>5</v>
      </c>
      <c r="H109" s="128" t="s">
        <v>1298</v>
      </c>
    </row>
    <row r="110" spans="1:8" ht="19.899999999999999" customHeight="1">
      <c r="A110" s="121">
        <v>46048</v>
      </c>
      <c r="B110" s="112" t="s">
        <v>359</v>
      </c>
      <c r="C110" s="113" t="s">
        <v>1291</v>
      </c>
      <c r="D110" s="112" t="s">
        <v>1286</v>
      </c>
      <c r="E110" s="122">
        <v>1.7673611111111109</v>
      </c>
      <c r="F110" s="112" t="s">
        <v>361</v>
      </c>
      <c r="G110" s="114">
        <v>9</v>
      </c>
      <c r="H110" s="115" t="s">
        <v>1304</v>
      </c>
    </row>
    <row r="111" spans="1:8" ht="19.899999999999999" customHeight="1">
      <c r="A111" s="121">
        <v>46048</v>
      </c>
      <c r="B111" s="112" t="s">
        <v>68</v>
      </c>
      <c r="C111" s="113" t="s">
        <v>1295</v>
      </c>
      <c r="D111" s="112" t="s">
        <v>1286</v>
      </c>
      <c r="E111" s="122">
        <v>1.868055555555556</v>
      </c>
      <c r="F111" s="112" t="s">
        <v>643</v>
      </c>
      <c r="G111" s="114">
        <v>9</v>
      </c>
      <c r="H111" s="115" t="s">
        <v>1296</v>
      </c>
    </row>
    <row r="112" spans="1:8" ht="19.899999999999999" customHeight="1">
      <c r="A112" s="121">
        <v>46048</v>
      </c>
      <c r="B112" s="112" t="s">
        <v>359</v>
      </c>
      <c r="C112" s="113" t="s">
        <v>1291</v>
      </c>
      <c r="D112" s="112" t="s">
        <v>1286</v>
      </c>
      <c r="E112" s="122">
        <v>1.7673611111111109</v>
      </c>
      <c r="F112" s="112" t="s">
        <v>46</v>
      </c>
      <c r="G112" s="114">
        <v>9</v>
      </c>
      <c r="H112" s="115" t="s">
        <v>1305</v>
      </c>
    </row>
    <row r="113" spans="1:8" ht="19.899999999999999" customHeight="1">
      <c r="A113" s="121">
        <v>46048</v>
      </c>
      <c r="B113" s="112" t="s">
        <v>402</v>
      </c>
      <c r="C113" s="113" t="s">
        <v>1294</v>
      </c>
      <c r="D113" s="112" t="s">
        <v>1286</v>
      </c>
      <c r="E113" s="122">
        <v>1.489583333333333</v>
      </c>
      <c r="F113" s="112" t="s">
        <v>63</v>
      </c>
      <c r="G113" s="114">
        <v>5</v>
      </c>
      <c r="H113" s="115" t="s">
        <v>1063</v>
      </c>
    </row>
    <row r="114" spans="1:8" ht="19.899999999999999" customHeight="1">
      <c r="A114" s="123">
        <v>46048</v>
      </c>
      <c r="B114" s="124" t="s">
        <v>415</v>
      </c>
      <c r="C114" s="125" t="s">
        <v>1297</v>
      </c>
      <c r="D114" s="124" t="s">
        <v>1286</v>
      </c>
      <c r="E114" s="126">
        <v>1.4548611111111109</v>
      </c>
      <c r="F114" s="124" t="s">
        <v>63</v>
      </c>
      <c r="G114" s="127">
        <v>5</v>
      </c>
      <c r="H114" s="128" t="s">
        <v>1298</v>
      </c>
    </row>
    <row r="115" spans="1:8" ht="19.899999999999999" customHeight="1">
      <c r="A115" s="121">
        <v>46049</v>
      </c>
      <c r="B115" s="112" t="s">
        <v>359</v>
      </c>
      <c r="C115" s="113" t="s">
        <v>1291</v>
      </c>
      <c r="D115" s="112" t="s">
        <v>1286</v>
      </c>
      <c r="E115" s="122">
        <v>1.7673611111111109</v>
      </c>
      <c r="F115" s="112" t="s">
        <v>361</v>
      </c>
      <c r="G115" s="114">
        <v>9</v>
      </c>
      <c r="H115" s="115" t="s">
        <v>1304</v>
      </c>
    </row>
    <row r="116" spans="1:8" ht="19.899999999999999" customHeight="1">
      <c r="A116" s="121">
        <v>46049</v>
      </c>
      <c r="B116" s="112" t="s">
        <v>359</v>
      </c>
      <c r="C116" s="113" t="s">
        <v>1291</v>
      </c>
      <c r="D116" s="112" t="s">
        <v>1286</v>
      </c>
      <c r="E116" s="122">
        <v>1.7673611111111109</v>
      </c>
      <c r="F116" s="112" t="s">
        <v>46</v>
      </c>
      <c r="G116" s="114">
        <v>9</v>
      </c>
      <c r="H116" s="115" t="s">
        <v>1305</v>
      </c>
    </row>
    <row r="117" spans="1:8" ht="19.899999999999999" customHeight="1">
      <c r="A117" s="121">
        <v>46049</v>
      </c>
      <c r="B117" s="112" t="s">
        <v>402</v>
      </c>
      <c r="C117" s="113" t="s">
        <v>1294</v>
      </c>
      <c r="D117" s="112" t="s">
        <v>1286</v>
      </c>
      <c r="E117" s="122">
        <v>1.489583333333333</v>
      </c>
      <c r="F117" s="112" t="s">
        <v>63</v>
      </c>
      <c r="G117" s="114">
        <v>5</v>
      </c>
      <c r="H117" s="115" t="s">
        <v>1063</v>
      </c>
    </row>
    <row r="118" spans="1:8" ht="19.899999999999999" customHeight="1">
      <c r="A118" s="123">
        <v>46049</v>
      </c>
      <c r="B118" s="124" t="s">
        <v>415</v>
      </c>
      <c r="C118" s="125" t="s">
        <v>1297</v>
      </c>
      <c r="D118" s="124" t="s">
        <v>1286</v>
      </c>
      <c r="E118" s="126">
        <v>1.4409722222222221</v>
      </c>
      <c r="F118" s="124" t="s">
        <v>63</v>
      </c>
      <c r="G118" s="127">
        <v>5</v>
      </c>
      <c r="H118" s="128" t="s">
        <v>1298</v>
      </c>
    </row>
    <row r="119" spans="1:8" ht="19.899999999999999" customHeight="1">
      <c r="A119" s="121">
        <v>46050</v>
      </c>
      <c r="B119" s="112" t="s">
        <v>359</v>
      </c>
      <c r="C119" s="113" t="s">
        <v>1291</v>
      </c>
      <c r="D119" s="112" t="s">
        <v>1286</v>
      </c>
      <c r="E119" s="122">
        <v>1.7673611111111109</v>
      </c>
      <c r="F119" s="112" t="s">
        <v>361</v>
      </c>
      <c r="G119" s="114">
        <v>9</v>
      </c>
      <c r="H119" s="115" t="s">
        <v>1304</v>
      </c>
    </row>
    <row r="120" spans="1:8" ht="19.899999999999999" customHeight="1">
      <c r="A120" s="121">
        <v>46050</v>
      </c>
      <c r="B120" s="112" t="s">
        <v>68</v>
      </c>
      <c r="C120" s="113" t="s">
        <v>1295</v>
      </c>
      <c r="D120" s="112" t="s">
        <v>1286</v>
      </c>
      <c r="E120" s="122">
        <v>1.868055555555556</v>
      </c>
      <c r="F120" s="112" t="s">
        <v>643</v>
      </c>
      <c r="G120" s="114">
        <v>9</v>
      </c>
      <c r="H120" s="115" t="s">
        <v>1296</v>
      </c>
    </row>
    <row r="121" spans="1:8" ht="19.899999999999999" customHeight="1">
      <c r="A121" s="121">
        <v>46050</v>
      </c>
      <c r="B121" s="112" t="s">
        <v>359</v>
      </c>
      <c r="C121" s="113" t="s">
        <v>1291</v>
      </c>
      <c r="D121" s="112" t="s">
        <v>1286</v>
      </c>
      <c r="E121" s="122">
        <v>1.7673611111111109</v>
      </c>
      <c r="F121" s="112" t="s">
        <v>46</v>
      </c>
      <c r="G121" s="114">
        <v>9</v>
      </c>
      <c r="H121" s="115" t="s">
        <v>1305</v>
      </c>
    </row>
    <row r="122" spans="1:8" ht="19.899999999999999" customHeight="1">
      <c r="A122" s="121">
        <v>46050</v>
      </c>
      <c r="B122" s="112" t="s">
        <v>402</v>
      </c>
      <c r="C122" s="113" t="s">
        <v>1294</v>
      </c>
      <c r="D122" s="112" t="s">
        <v>1286</v>
      </c>
      <c r="E122" s="122">
        <v>1.489583333333333</v>
      </c>
      <c r="F122" s="112" t="s">
        <v>63</v>
      </c>
      <c r="G122" s="114">
        <v>5</v>
      </c>
      <c r="H122" s="115" t="s">
        <v>1063</v>
      </c>
    </row>
    <row r="123" spans="1:8" ht="19.899999999999999" customHeight="1">
      <c r="A123" s="123">
        <v>46050</v>
      </c>
      <c r="B123" s="124" t="s">
        <v>415</v>
      </c>
      <c r="C123" s="125" t="s">
        <v>1297</v>
      </c>
      <c r="D123" s="124" t="s">
        <v>1286</v>
      </c>
      <c r="E123" s="126">
        <v>1.4548611111111109</v>
      </c>
      <c r="F123" s="124" t="s">
        <v>63</v>
      </c>
      <c r="G123" s="127">
        <v>5</v>
      </c>
      <c r="H123" s="128" t="s">
        <v>1298</v>
      </c>
    </row>
    <row r="124" spans="1:8" ht="19.899999999999999" customHeight="1">
      <c r="A124" s="129">
        <v>46051</v>
      </c>
      <c r="B124" s="117" t="s">
        <v>61</v>
      </c>
      <c r="C124" s="118" t="s">
        <v>1287</v>
      </c>
      <c r="D124" s="117" t="s">
        <v>1286</v>
      </c>
      <c r="E124" s="130">
        <v>1.631944444444444</v>
      </c>
      <c r="F124" s="117" t="s">
        <v>63</v>
      </c>
      <c r="G124" s="119">
        <v>4</v>
      </c>
      <c r="H124" s="120" t="s">
        <v>1288</v>
      </c>
    </row>
    <row r="125" spans="1:8" ht="19.899999999999999" customHeight="1">
      <c r="A125" s="121">
        <v>46051</v>
      </c>
      <c r="B125" s="112" t="s">
        <v>359</v>
      </c>
      <c r="C125" s="113" t="s">
        <v>1291</v>
      </c>
      <c r="D125" s="112" t="s">
        <v>1286</v>
      </c>
      <c r="E125" s="122">
        <v>1.7673611111111109</v>
      </c>
      <c r="F125" s="112" t="s">
        <v>361</v>
      </c>
      <c r="G125" s="114">
        <v>9</v>
      </c>
      <c r="H125" s="115" t="s">
        <v>1304</v>
      </c>
    </row>
    <row r="126" spans="1:8" ht="19.899999999999999" customHeight="1">
      <c r="A126" s="121">
        <v>46051</v>
      </c>
      <c r="B126" s="112" t="s">
        <v>68</v>
      </c>
      <c r="C126" s="113" t="s">
        <v>1295</v>
      </c>
      <c r="D126" s="112" t="s">
        <v>1286</v>
      </c>
      <c r="E126" s="122">
        <v>1.868055555555556</v>
      </c>
      <c r="F126" s="112" t="s">
        <v>643</v>
      </c>
      <c r="G126" s="114">
        <v>9</v>
      </c>
      <c r="H126" s="115" t="s">
        <v>1296</v>
      </c>
    </row>
    <row r="127" spans="1:8" ht="19.899999999999999" customHeight="1">
      <c r="A127" s="121">
        <v>46051</v>
      </c>
      <c r="B127" s="112" t="s">
        <v>359</v>
      </c>
      <c r="C127" s="113" t="s">
        <v>1291</v>
      </c>
      <c r="D127" s="112" t="s">
        <v>1286</v>
      </c>
      <c r="E127" s="122">
        <v>1.7673611111111109</v>
      </c>
      <c r="F127" s="112" t="s">
        <v>46</v>
      </c>
      <c r="G127" s="114">
        <v>9</v>
      </c>
      <c r="H127" s="115" t="s">
        <v>1305</v>
      </c>
    </row>
    <row r="128" spans="1:8" ht="19.899999999999999" customHeight="1">
      <c r="A128" s="121">
        <v>46051</v>
      </c>
      <c r="B128" s="112" t="s">
        <v>402</v>
      </c>
      <c r="C128" s="113" t="s">
        <v>1294</v>
      </c>
      <c r="D128" s="112" t="s">
        <v>1286</v>
      </c>
      <c r="E128" s="122">
        <v>1.489583333333333</v>
      </c>
      <c r="F128" s="112" t="s">
        <v>63</v>
      </c>
      <c r="G128" s="114">
        <v>5</v>
      </c>
      <c r="H128" s="115" t="s">
        <v>1063</v>
      </c>
    </row>
    <row r="129" spans="1:8" ht="19.899999999999999" customHeight="1">
      <c r="A129" s="123">
        <v>46051</v>
      </c>
      <c r="B129" s="124" t="s">
        <v>415</v>
      </c>
      <c r="C129" s="125" t="s">
        <v>1297</v>
      </c>
      <c r="D129" s="124" t="s">
        <v>1286</v>
      </c>
      <c r="E129" s="126">
        <v>1.4548611111111109</v>
      </c>
      <c r="F129" s="124" t="s">
        <v>63</v>
      </c>
      <c r="G129" s="127">
        <v>5</v>
      </c>
      <c r="H129" s="128" t="s">
        <v>1298</v>
      </c>
    </row>
    <row r="130" spans="1:8" ht="19.899999999999999" customHeight="1">
      <c r="A130" s="129">
        <v>46052</v>
      </c>
      <c r="B130" s="117" t="s">
        <v>61</v>
      </c>
      <c r="C130" s="118" t="s">
        <v>1287</v>
      </c>
      <c r="D130" s="117" t="s">
        <v>1286</v>
      </c>
      <c r="E130" s="130">
        <v>1.8298611111111109</v>
      </c>
      <c r="F130" s="117" t="s">
        <v>63</v>
      </c>
      <c r="G130" s="119">
        <v>6</v>
      </c>
      <c r="H130" s="120" t="s">
        <v>1316</v>
      </c>
    </row>
    <row r="131" spans="1:8" ht="19.899999999999999" customHeight="1">
      <c r="A131" s="121">
        <v>46052</v>
      </c>
      <c r="B131" s="112" t="s">
        <v>68</v>
      </c>
      <c r="C131" s="113" t="s">
        <v>1295</v>
      </c>
      <c r="D131" s="112" t="s">
        <v>1286</v>
      </c>
      <c r="E131" s="122">
        <v>1.868055555555556</v>
      </c>
      <c r="F131" s="112" t="s">
        <v>643</v>
      </c>
      <c r="G131" s="114">
        <v>9</v>
      </c>
      <c r="H131" s="115" t="s">
        <v>1296</v>
      </c>
    </row>
    <row r="132" spans="1:8" ht="19.899999999999999" customHeight="1">
      <c r="A132" s="121">
        <v>46052</v>
      </c>
      <c r="B132" s="112" t="s">
        <v>402</v>
      </c>
      <c r="C132" s="113" t="s">
        <v>1294</v>
      </c>
      <c r="D132" s="112" t="s">
        <v>1286</v>
      </c>
      <c r="E132" s="122">
        <v>1.489583333333333</v>
      </c>
      <c r="F132" s="112" t="s">
        <v>63</v>
      </c>
      <c r="G132" s="114">
        <v>4</v>
      </c>
      <c r="H132" s="115" t="s">
        <v>1063</v>
      </c>
    </row>
    <row r="133" spans="1:8" ht="19.899999999999999" customHeight="1">
      <c r="A133" s="123">
        <v>46052</v>
      </c>
      <c r="B133" s="124" t="s">
        <v>415</v>
      </c>
      <c r="C133" s="125" t="s">
        <v>1297</v>
      </c>
      <c r="D133" s="124" t="s">
        <v>1286</v>
      </c>
      <c r="E133" s="126">
        <v>1.4375</v>
      </c>
      <c r="F133" s="124" t="s">
        <v>63</v>
      </c>
      <c r="G133" s="127">
        <v>5</v>
      </c>
      <c r="H133" s="128" t="s">
        <v>1298</v>
      </c>
    </row>
    <row r="134" spans="1:8" ht="19.899999999999999" customHeight="1">
      <c r="A134" s="121">
        <v>46053</v>
      </c>
      <c r="B134" s="112" t="s">
        <v>359</v>
      </c>
      <c r="C134" s="113" t="s">
        <v>1291</v>
      </c>
      <c r="D134" s="112" t="s">
        <v>1286</v>
      </c>
      <c r="E134" s="122">
        <v>1.7673611111111109</v>
      </c>
      <c r="F134" s="112" t="s">
        <v>361</v>
      </c>
      <c r="G134" s="114">
        <v>9</v>
      </c>
      <c r="H134" s="115" t="s">
        <v>1309</v>
      </c>
    </row>
    <row r="135" spans="1:8" ht="19.899999999999999" customHeight="1">
      <c r="A135" s="121">
        <v>46053</v>
      </c>
      <c r="B135" s="112" t="s">
        <v>68</v>
      </c>
      <c r="C135" s="113" t="s">
        <v>1295</v>
      </c>
      <c r="D135" s="112" t="s">
        <v>1286</v>
      </c>
      <c r="E135" s="122">
        <v>1.868055555555556</v>
      </c>
      <c r="F135" s="112" t="s">
        <v>643</v>
      </c>
      <c r="G135" s="114">
        <v>9</v>
      </c>
      <c r="H135" s="115" t="s">
        <v>1296</v>
      </c>
    </row>
    <row r="136" spans="1:8" ht="19.899999999999999" customHeight="1">
      <c r="A136" s="121">
        <v>46053</v>
      </c>
      <c r="B136" s="112" t="s">
        <v>402</v>
      </c>
      <c r="C136" s="113" t="s">
        <v>1300</v>
      </c>
      <c r="D136" s="112" t="s">
        <v>1286</v>
      </c>
      <c r="E136" s="122">
        <v>1.8125</v>
      </c>
      <c r="F136" s="112" t="s">
        <v>63</v>
      </c>
      <c r="G136" s="114">
        <v>5</v>
      </c>
      <c r="H136" s="115" t="s">
        <v>1063</v>
      </c>
    </row>
    <row r="137" spans="1:8" ht="19.899999999999999" customHeight="1">
      <c r="A137" s="121">
        <v>46053</v>
      </c>
      <c r="B137" s="112" t="s">
        <v>359</v>
      </c>
      <c r="C137" s="113" t="s">
        <v>1291</v>
      </c>
      <c r="D137" s="112" t="s">
        <v>1286</v>
      </c>
      <c r="E137" s="122">
        <v>1.7673611111111109</v>
      </c>
      <c r="F137" s="112" t="s">
        <v>46</v>
      </c>
      <c r="G137" s="114">
        <v>9</v>
      </c>
      <c r="H137" s="115" t="s">
        <v>1310</v>
      </c>
    </row>
    <row r="138" spans="1:8" ht="19.899999999999999" customHeight="1">
      <c r="A138" s="123">
        <v>46053</v>
      </c>
      <c r="B138" s="124" t="s">
        <v>415</v>
      </c>
      <c r="C138" s="125" t="s">
        <v>1297</v>
      </c>
      <c r="D138" s="124" t="s">
        <v>1286</v>
      </c>
      <c r="E138" s="126">
        <v>1.4375</v>
      </c>
      <c r="F138" s="124" t="s">
        <v>63</v>
      </c>
      <c r="G138" s="127">
        <v>5</v>
      </c>
      <c r="H138" s="128" t="s">
        <v>1298</v>
      </c>
    </row>
  </sheetData>
  <pageMargins left="0.75" right="0.75" top="1" bottom="1" header="0.5" footer="0.5"/>
  <legacyDrawing r:id="rId1"/>
  <tableParts count="1">
    <tablePart r:id="rId2"/>
  </tablePart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I94"/>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60.2851562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31" t="s">
        <v>254</v>
      </c>
      <c r="B2" s="132" t="s">
        <v>61</v>
      </c>
      <c r="C2" s="133" t="s">
        <v>1287</v>
      </c>
      <c r="D2" s="132" t="s">
        <v>1286</v>
      </c>
      <c r="E2" s="132" t="s">
        <v>703</v>
      </c>
      <c r="F2" s="132" t="s">
        <v>63</v>
      </c>
      <c r="G2" s="134">
        <v>7</v>
      </c>
      <c r="H2" s="135" t="s">
        <v>1288</v>
      </c>
    </row>
    <row r="3" spans="1:8" ht="19.899999999999999" customHeight="1">
      <c r="A3" s="136">
        <v>46024</v>
      </c>
      <c r="B3" s="132" t="s">
        <v>61</v>
      </c>
      <c r="C3" s="133" t="s">
        <v>1287</v>
      </c>
      <c r="D3" s="132" t="s">
        <v>1286</v>
      </c>
      <c r="E3" s="137">
        <v>1.8298611111111109</v>
      </c>
      <c r="F3" s="132" t="s">
        <v>63</v>
      </c>
      <c r="G3" s="134">
        <v>9</v>
      </c>
      <c r="H3" s="135" t="s">
        <v>1288</v>
      </c>
    </row>
    <row r="4" spans="1:8" ht="19.899999999999999" customHeight="1">
      <c r="A4" s="121">
        <v>46025</v>
      </c>
      <c r="B4" s="112" t="s">
        <v>359</v>
      </c>
      <c r="C4" s="113" t="s">
        <v>1291</v>
      </c>
      <c r="D4" s="112" t="s">
        <v>1286</v>
      </c>
      <c r="E4" s="122">
        <v>1.7673611111111109</v>
      </c>
      <c r="F4" s="112" t="s">
        <v>361</v>
      </c>
      <c r="G4" s="114">
        <v>9</v>
      </c>
      <c r="H4" s="115" t="s">
        <v>493</v>
      </c>
    </row>
    <row r="5" spans="1:8" ht="19.899999999999999" customHeight="1">
      <c r="A5" s="121">
        <v>46025</v>
      </c>
      <c r="B5" s="112" t="s">
        <v>402</v>
      </c>
      <c r="C5" s="113" t="s">
        <v>1300</v>
      </c>
      <c r="D5" s="112" t="s">
        <v>1286</v>
      </c>
      <c r="E5" s="122">
        <v>1.8125</v>
      </c>
      <c r="F5" s="112" t="s">
        <v>63</v>
      </c>
      <c r="G5" s="114">
        <v>4</v>
      </c>
      <c r="H5" s="115" t="s">
        <v>1146</v>
      </c>
    </row>
    <row r="6" spans="1:8" ht="19.899999999999999" customHeight="1">
      <c r="A6" s="121">
        <v>46025</v>
      </c>
      <c r="B6" s="112" t="s">
        <v>68</v>
      </c>
      <c r="C6" s="113" t="s">
        <v>1295</v>
      </c>
      <c r="D6" s="112" t="s">
        <v>1286</v>
      </c>
      <c r="E6" s="122">
        <v>1.868055555555556</v>
      </c>
      <c r="F6" s="112" t="s">
        <v>643</v>
      </c>
      <c r="G6" s="114">
        <v>9</v>
      </c>
      <c r="H6" s="115" t="s">
        <v>1296</v>
      </c>
    </row>
    <row r="7" spans="1:8" ht="19.899999999999999" customHeight="1">
      <c r="A7" s="123">
        <v>46025</v>
      </c>
      <c r="B7" s="124" t="s">
        <v>359</v>
      </c>
      <c r="C7" s="125" t="s">
        <v>1291</v>
      </c>
      <c r="D7" s="124" t="s">
        <v>1286</v>
      </c>
      <c r="E7" s="126">
        <v>1.7673611111111109</v>
      </c>
      <c r="F7" s="124" t="s">
        <v>46</v>
      </c>
      <c r="G7" s="127">
        <v>9</v>
      </c>
      <c r="H7" s="128" t="s">
        <v>1299</v>
      </c>
    </row>
    <row r="8" spans="1:8" ht="19.899999999999999" customHeight="1">
      <c r="A8" s="121">
        <v>46026</v>
      </c>
      <c r="B8" s="112" t="s">
        <v>402</v>
      </c>
      <c r="C8" s="113" t="s">
        <v>1294</v>
      </c>
      <c r="D8" s="112" t="s">
        <v>1286</v>
      </c>
      <c r="E8" s="122">
        <v>1.489583333333333</v>
      </c>
      <c r="F8" s="112" t="s">
        <v>63</v>
      </c>
      <c r="G8" s="114">
        <v>9</v>
      </c>
      <c r="H8" s="115" t="s">
        <v>1146</v>
      </c>
    </row>
    <row r="9" spans="1:8" ht="19.899999999999999" customHeight="1">
      <c r="A9" s="123">
        <v>46026</v>
      </c>
      <c r="B9" s="124" t="s">
        <v>415</v>
      </c>
      <c r="C9" s="125" t="s">
        <v>1297</v>
      </c>
      <c r="D9" s="124" t="s">
        <v>1286</v>
      </c>
      <c r="E9" s="126">
        <v>1.4375</v>
      </c>
      <c r="F9" s="124" t="s">
        <v>63</v>
      </c>
      <c r="G9" s="127">
        <v>5</v>
      </c>
      <c r="H9" s="128" t="s">
        <v>1298</v>
      </c>
    </row>
    <row r="10" spans="1:8" ht="19.899999999999999" customHeight="1">
      <c r="A10" s="121">
        <v>46027</v>
      </c>
      <c r="B10" s="112" t="s">
        <v>359</v>
      </c>
      <c r="C10" s="113" t="s">
        <v>1291</v>
      </c>
      <c r="D10" s="112" t="s">
        <v>1286</v>
      </c>
      <c r="E10" s="122">
        <v>1.7673611111111109</v>
      </c>
      <c r="F10" s="112" t="s">
        <v>361</v>
      </c>
      <c r="G10" s="114">
        <v>9</v>
      </c>
      <c r="H10" s="115" t="s">
        <v>1292</v>
      </c>
    </row>
    <row r="11" spans="1:8" ht="19.899999999999999" customHeight="1">
      <c r="A11" s="121">
        <v>46027</v>
      </c>
      <c r="B11" s="112" t="s">
        <v>402</v>
      </c>
      <c r="C11" s="113" t="s">
        <v>1294</v>
      </c>
      <c r="D11" s="112" t="s">
        <v>1286</v>
      </c>
      <c r="E11" s="122">
        <v>1.489583333333333</v>
      </c>
      <c r="F11" s="112" t="s">
        <v>63</v>
      </c>
      <c r="G11" s="114">
        <v>8</v>
      </c>
      <c r="H11" s="115" t="s">
        <v>1146</v>
      </c>
    </row>
    <row r="12" spans="1:8" ht="19.899999999999999" customHeight="1">
      <c r="A12" s="121">
        <v>46027</v>
      </c>
      <c r="B12" s="112" t="s">
        <v>68</v>
      </c>
      <c r="C12" s="113" t="s">
        <v>1295</v>
      </c>
      <c r="D12" s="112" t="s">
        <v>1286</v>
      </c>
      <c r="E12" s="122">
        <v>1.868055555555556</v>
      </c>
      <c r="F12" s="112" t="s">
        <v>643</v>
      </c>
      <c r="G12" s="114">
        <v>9</v>
      </c>
      <c r="H12" s="115" t="s">
        <v>1296</v>
      </c>
    </row>
    <row r="13" spans="1:8" ht="19.899999999999999" customHeight="1">
      <c r="A13" s="123">
        <v>46027</v>
      </c>
      <c r="B13" s="124" t="s">
        <v>359</v>
      </c>
      <c r="C13" s="125" t="s">
        <v>1291</v>
      </c>
      <c r="D13" s="124" t="s">
        <v>1286</v>
      </c>
      <c r="E13" s="126">
        <v>1.7673611111111109</v>
      </c>
      <c r="F13" s="124" t="s">
        <v>46</v>
      </c>
      <c r="G13" s="127">
        <v>9</v>
      </c>
      <c r="H13" s="128" t="s">
        <v>1293</v>
      </c>
    </row>
    <row r="14" spans="1:8" ht="19.899999999999999" customHeight="1">
      <c r="A14" s="121">
        <v>46028</v>
      </c>
      <c r="B14" s="112" t="s">
        <v>359</v>
      </c>
      <c r="C14" s="113" t="s">
        <v>1291</v>
      </c>
      <c r="D14" s="112" t="s">
        <v>1286</v>
      </c>
      <c r="E14" s="122">
        <v>1.7673611111111109</v>
      </c>
      <c r="F14" s="112" t="s">
        <v>361</v>
      </c>
      <c r="G14" s="114">
        <v>9</v>
      </c>
      <c r="H14" s="115" t="s">
        <v>1292</v>
      </c>
    </row>
    <row r="15" spans="1:8" ht="19.899999999999999" customHeight="1">
      <c r="A15" s="121">
        <v>46028</v>
      </c>
      <c r="B15" s="112" t="s">
        <v>402</v>
      </c>
      <c r="C15" s="113" t="s">
        <v>1294</v>
      </c>
      <c r="D15" s="112" t="s">
        <v>1286</v>
      </c>
      <c r="E15" s="122">
        <v>1.489583333333333</v>
      </c>
      <c r="F15" s="112" t="s">
        <v>63</v>
      </c>
      <c r="G15" s="114">
        <v>9</v>
      </c>
      <c r="H15" s="115" t="s">
        <v>1146</v>
      </c>
    </row>
    <row r="16" spans="1:8" ht="19.899999999999999" customHeight="1">
      <c r="A16" s="121">
        <v>46028</v>
      </c>
      <c r="B16" s="112" t="s">
        <v>359</v>
      </c>
      <c r="C16" s="113" t="s">
        <v>1291</v>
      </c>
      <c r="D16" s="112" t="s">
        <v>1286</v>
      </c>
      <c r="E16" s="122">
        <v>1.7673611111111109</v>
      </c>
      <c r="F16" s="112" t="s">
        <v>46</v>
      </c>
      <c r="G16" s="114">
        <v>9</v>
      </c>
      <c r="H16" s="115" t="s">
        <v>1293</v>
      </c>
    </row>
    <row r="17" spans="1:8" ht="19.899999999999999" customHeight="1">
      <c r="A17" s="123">
        <v>46028</v>
      </c>
      <c r="B17" s="124" t="s">
        <v>415</v>
      </c>
      <c r="C17" s="125" t="s">
        <v>1297</v>
      </c>
      <c r="D17" s="124" t="s">
        <v>1286</v>
      </c>
      <c r="E17" s="126">
        <v>1.4375</v>
      </c>
      <c r="F17" s="124" t="s">
        <v>63</v>
      </c>
      <c r="G17" s="127">
        <v>5</v>
      </c>
      <c r="H17" s="128" t="s">
        <v>1298</v>
      </c>
    </row>
    <row r="18" spans="1:8" ht="19.899999999999999" customHeight="1">
      <c r="A18" s="121">
        <v>46029</v>
      </c>
      <c r="B18" s="112" t="s">
        <v>359</v>
      </c>
      <c r="C18" s="113" t="s">
        <v>1291</v>
      </c>
      <c r="D18" s="112" t="s">
        <v>1286</v>
      </c>
      <c r="E18" s="122">
        <v>1.7673611111111109</v>
      </c>
      <c r="F18" s="112" t="s">
        <v>361</v>
      </c>
      <c r="G18" s="114">
        <v>9</v>
      </c>
      <c r="H18" s="115" t="s">
        <v>1292</v>
      </c>
    </row>
    <row r="19" spans="1:8" ht="19.899999999999999" customHeight="1">
      <c r="A19" s="121">
        <v>46029</v>
      </c>
      <c r="B19" s="112" t="s">
        <v>402</v>
      </c>
      <c r="C19" s="113" t="s">
        <v>1294</v>
      </c>
      <c r="D19" s="112" t="s">
        <v>1286</v>
      </c>
      <c r="E19" s="122">
        <v>1.489583333333333</v>
      </c>
      <c r="F19" s="112" t="s">
        <v>63</v>
      </c>
      <c r="G19" s="114">
        <v>8</v>
      </c>
      <c r="H19" s="115" t="s">
        <v>1146</v>
      </c>
    </row>
    <row r="20" spans="1:8" ht="19.899999999999999" customHeight="1">
      <c r="A20" s="121">
        <v>46029</v>
      </c>
      <c r="B20" s="112" t="s">
        <v>68</v>
      </c>
      <c r="C20" s="113" t="s">
        <v>1295</v>
      </c>
      <c r="D20" s="112" t="s">
        <v>1286</v>
      </c>
      <c r="E20" s="122">
        <v>1.868055555555556</v>
      </c>
      <c r="F20" s="112" t="s">
        <v>643</v>
      </c>
      <c r="G20" s="114">
        <v>9</v>
      </c>
      <c r="H20" s="115" t="s">
        <v>1296</v>
      </c>
    </row>
    <row r="21" spans="1:8" ht="19.899999999999999" customHeight="1">
      <c r="A21" s="121">
        <v>46029</v>
      </c>
      <c r="B21" s="112" t="s">
        <v>359</v>
      </c>
      <c r="C21" s="113" t="s">
        <v>1291</v>
      </c>
      <c r="D21" s="112" t="s">
        <v>1286</v>
      </c>
      <c r="E21" s="122">
        <v>1.7673611111111109</v>
      </c>
      <c r="F21" s="112" t="s">
        <v>46</v>
      </c>
      <c r="G21" s="114">
        <v>9</v>
      </c>
      <c r="H21" s="115" t="s">
        <v>1293</v>
      </c>
    </row>
    <row r="22" spans="1:8" ht="19.899999999999999" customHeight="1">
      <c r="A22" s="123">
        <v>46029</v>
      </c>
      <c r="B22" s="124" t="s">
        <v>415</v>
      </c>
      <c r="C22" s="125" t="s">
        <v>1297</v>
      </c>
      <c r="D22" s="124" t="s">
        <v>1286</v>
      </c>
      <c r="E22" s="126">
        <v>1.4548611111111109</v>
      </c>
      <c r="F22" s="124" t="s">
        <v>63</v>
      </c>
      <c r="G22" s="127">
        <v>5</v>
      </c>
      <c r="H22" s="128" t="s">
        <v>1298</v>
      </c>
    </row>
    <row r="23" spans="1:8" ht="19.899999999999999" customHeight="1">
      <c r="A23" s="136">
        <v>46030</v>
      </c>
      <c r="B23" s="132" t="s">
        <v>61</v>
      </c>
      <c r="C23" s="133" t="s">
        <v>1287</v>
      </c>
      <c r="D23" s="132" t="s">
        <v>1286</v>
      </c>
      <c r="E23" s="137">
        <v>1.631944444444444</v>
      </c>
      <c r="F23" s="132" t="s">
        <v>63</v>
      </c>
      <c r="G23" s="134">
        <v>3</v>
      </c>
      <c r="H23" s="135" t="s">
        <v>42</v>
      </c>
    </row>
    <row r="24" spans="1:8" ht="19.899999999999999" customHeight="1">
      <c r="A24" s="136">
        <v>46031</v>
      </c>
      <c r="B24" s="132" t="s">
        <v>61</v>
      </c>
      <c r="C24" s="133" t="s">
        <v>1287</v>
      </c>
      <c r="D24" s="132" t="s">
        <v>1286</v>
      </c>
      <c r="E24" s="137">
        <v>1.8298611111111109</v>
      </c>
      <c r="F24" s="132" t="s">
        <v>63</v>
      </c>
      <c r="G24" s="134">
        <v>7</v>
      </c>
      <c r="H24" s="135" t="s">
        <v>1288</v>
      </c>
    </row>
    <row r="25" spans="1:8" ht="19.899999999999999" customHeight="1">
      <c r="A25" s="121">
        <v>46032</v>
      </c>
      <c r="B25" s="112" t="s">
        <v>359</v>
      </c>
      <c r="C25" s="113" t="s">
        <v>1291</v>
      </c>
      <c r="D25" s="112" t="s">
        <v>1286</v>
      </c>
      <c r="E25" s="122">
        <v>1.7673611111111109</v>
      </c>
      <c r="F25" s="112" t="s">
        <v>361</v>
      </c>
      <c r="G25" s="114">
        <v>9</v>
      </c>
      <c r="H25" s="115" t="s">
        <v>493</v>
      </c>
    </row>
    <row r="26" spans="1:8" ht="19.899999999999999" customHeight="1">
      <c r="A26" s="121">
        <v>46032</v>
      </c>
      <c r="B26" s="112" t="s">
        <v>402</v>
      </c>
      <c r="C26" s="113" t="s">
        <v>1300</v>
      </c>
      <c r="D26" s="112" t="s">
        <v>1286</v>
      </c>
      <c r="E26" s="122">
        <v>1.8125</v>
      </c>
      <c r="F26" s="112" t="s">
        <v>63</v>
      </c>
      <c r="G26" s="114">
        <v>7</v>
      </c>
      <c r="H26" s="115" t="s">
        <v>1146</v>
      </c>
    </row>
    <row r="27" spans="1:8" ht="19.899999999999999" customHeight="1">
      <c r="A27" s="121">
        <v>46032</v>
      </c>
      <c r="B27" s="112" t="s">
        <v>68</v>
      </c>
      <c r="C27" s="113" t="s">
        <v>1295</v>
      </c>
      <c r="D27" s="112" t="s">
        <v>1286</v>
      </c>
      <c r="E27" s="122">
        <v>1.868055555555556</v>
      </c>
      <c r="F27" s="112" t="s">
        <v>643</v>
      </c>
      <c r="G27" s="114">
        <v>9</v>
      </c>
      <c r="H27" s="115" t="s">
        <v>1296</v>
      </c>
    </row>
    <row r="28" spans="1:8" ht="19.899999999999999" customHeight="1">
      <c r="A28" s="123">
        <v>46032</v>
      </c>
      <c r="B28" s="124" t="s">
        <v>359</v>
      </c>
      <c r="C28" s="125" t="s">
        <v>1291</v>
      </c>
      <c r="D28" s="124" t="s">
        <v>1286</v>
      </c>
      <c r="E28" s="126">
        <v>1.7673611111111109</v>
      </c>
      <c r="F28" s="124" t="s">
        <v>46</v>
      </c>
      <c r="G28" s="127">
        <v>9</v>
      </c>
      <c r="H28" s="128" t="s">
        <v>1299</v>
      </c>
    </row>
    <row r="29" spans="1:8" ht="19.899999999999999" customHeight="1">
      <c r="A29" s="136">
        <v>46033</v>
      </c>
      <c r="B29" s="132" t="s">
        <v>61</v>
      </c>
      <c r="C29" s="133" t="s">
        <v>1287</v>
      </c>
      <c r="D29" s="132" t="s">
        <v>1286</v>
      </c>
      <c r="E29" s="137">
        <v>1.631944444444444</v>
      </c>
      <c r="F29" s="132" t="s">
        <v>63</v>
      </c>
      <c r="G29" s="134">
        <v>1</v>
      </c>
      <c r="H29" s="135" t="s">
        <v>42</v>
      </c>
    </row>
    <row r="30" spans="1:8" ht="19.899999999999999" customHeight="1">
      <c r="A30" s="121">
        <v>46034</v>
      </c>
      <c r="B30" s="112" t="s">
        <v>359</v>
      </c>
      <c r="C30" s="113" t="s">
        <v>1291</v>
      </c>
      <c r="D30" s="112" t="s">
        <v>1286</v>
      </c>
      <c r="E30" s="122">
        <v>1.7673611111111109</v>
      </c>
      <c r="F30" s="112" t="s">
        <v>361</v>
      </c>
      <c r="G30" s="114">
        <v>9</v>
      </c>
      <c r="H30" s="115" t="s">
        <v>1292</v>
      </c>
    </row>
    <row r="31" spans="1:8" ht="19.899999999999999" customHeight="1">
      <c r="A31" s="121">
        <v>46034</v>
      </c>
      <c r="B31" s="112" t="s">
        <v>68</v>
      </c>
      <c r="C31" s="113" t="s">
        <v>1295</v>
      </c>
      <c r="D31" s="112" t="s">
        <v>1286</v>
      </c>
      <c r="E31" s="122">
        <v>1.868055555555556</v>
      </c>
      <c r="F31" s="112" t="s">
        <v>643</v>
      </c>
      <c r="G31" s="114">
        <v>9</v>
      </c>
      <c r="H31" s="115" t="s">
        <v>1296</v>
      </c>
    </row>
    <row r="32" spans="1:8" ht="19.899999999999999" customHeight="1">
      <c r="A32" s="121">
        <v>46034</v>
      </c>
      <c r="B32" s="112" t="s">
        <v>359</v>
      </c>
      <c r="C32" s="113" t="s">
        <v>1291</v>
      </c>
      <c r="D32" s="112" t="s">
        <v>1286</v>
      </c>
      <c r="E32" s="122">
        <v>1.7673611111111109</v>
      </c>
      <c r="F32" s="112" t="s">
        <v>46</v>
      </c>
      <c r="G32" s="114">
        <v>9</v>
      </c>
      <c r="H32" s="115" t="s">
        <v>1293</v>
      </c>
    </row>
    <row r="33" spans="1:8" ht="19.899999999999999" customHeight="1">
      <c r="A33" s="121">
        <v>46034</v>
      </c>
      <c r="B33" s="112" t="s">
        <v>402</v>
      </c>
      <c r="C33" s="113" t="s">
        <v>1294</v>
      </c>
      <c r="D33" s="112" t="s">
        <v>1286</v>
      </c>
      <c r="E33" s="122">
        <v>1.489583333333333</v>
      </c>
      <c r="F33" s="112" t="s">
        <v>63</v>
      </c>
      <c r="G33" s="114">
        <v>5</v>
      </c>
      <c r="H33" s="115" t="s">
        <v>1063</v>
      </c>
    </row>
    <row r="34" spans="1:8" ht="19.899999999999999" customHeight="1">
      <c r="A34" s="123">
        <v>46034</v>
      </c>
      <c r="B34" s="124" t="s">
        <v>415</v>
      </c>
      <c r="C34" s="125" t="s">
        <v>1297</v>
      </c>
      <c r="D34" s="124" t="s">
        <v>1286</v>
      </c>
      <c r="E34" s="126">
        <v>1.4548611111111109</v>
      </c>
      <c r="F34" s="124" t="s">
        <v>63</v>
      </c>
      <c r="G34" s="127">
        <v>5</v>
      </c>
      <c r="H34" s="128" t="s">
        <v>1298</v>
      </c>
    </row>
    <row r="35" spans="1:8" ht="19.899999999999999" customHeight="1">
      <c r="A35" s="121">
        <v>46035</v>
      </c>
      <c r="B35" s="112" t="s">
        <v>359</v>
      </c>
      <c r="C35" s="113" t="s">
        <v>1291</v>
      </c>
      <c r="D35" s="112" t="s">
        <v>1286</v>
      </c>
      <c r="E35" s="122">
        <v>1.7673611111111109</v>
      </c>
      <c r="F35" s="112" t="s">
        <v>361</v>
      </c>
      <c r="G35" s="114">
        <v>9</v>
      </c>
      <c r="H35" s="115" t="s">
        <v>1292</v>
      </c>
    </row>
    <row r="36" spans="1:8" ht="19.899999999999999" customHeight="1">
      <c r="A36" s="121">
        <v>46035</v>
      </c>
      <c r="B36" s="112" t="s">
        <v>359</v>
      </c>
      <c r="C36" s="113" t="s">
        <v>1291</v>
      </c>
      <c r="D36" s="112" t="s">
        <v>1286</v>
      </c>
      <c r="E36" s="122">
        <v>1.7673611111111109</v>
      </c>
      <c r="F36" s="112" t="s">
        <v>46</v>
      </c>
      <c r="G36" s="114">
        <v>9</v>
      </c>
      <c r="H36" s="115" t="s">
        <v>1293</v>
      </c>
    </row>
    <row r="37" spans="1:8" ht="19.899999999999999" customHeight="1">
      <c r="A37" s="121">
        <v>46035</v>
      </c>
      <c r="B37" s="112" t="s">
        <v>402</v>
      </c>
      <c r="C37" s="113" t="s">
        <v>1294</v>
      </c>
      <c r="D37" s="112" t="s">
        <v>1286</v>
      </c>
      <c r="E37" s="122">
        <v>1.489583333333333</v>
      </c>
      <c r="F37" s="112" t="s">
        <v>63</v>
      </c>
      <c r="G37" s="114">
        <v>4</v>
      </c>
      <c r="H37" s="115" t="s">
        <v>1063</v>
      </c>
    </row>
    <row r="38" spans="1:8" ht="19.899999999999999" customHeight="1">
      <c r="A38" s="123">
        <v>46035</v>
      </c>
      <c r="B38" s="124" t="s">
        <v>415</v>
      </c>
      <c r="C38" s="125" t="s">
        <v>1297</v>
      </c>
      <c r="D38" s="124" t="s">
        <v>1286</v>
      </c>
      <c r="E38" s="126">
        <v>1.4375</v>
      </c>
      <c r="F38" s="124" t="s">
        <v>63</v>
      </c>
      <c r="G38" s="127">
        <v>5</v>
      </c>
      <c r="H38" s="128" t="s">
        <v>1298</v>
      </c>
    </row>
    <row r="39" spans="1:8" ht="19.899999999999999" customHeight="1">
      <c r="A39" s="121">
        <v>46036</v>
      </c>
      <c r="B39" s="112" t="s">
        <v>359</v>
      </c>
      <c r="C39" s="113" t="s">
        <v>1291</v>
      </c>
      <c r="D39" s="112" t="s">
        <v>1286</v>
      </c>
      <c r="E39" s="122">
        <v>1.7673611111111109</v>
      </c>
      <c r="F39" s="112" t="s">
        <v>361</v>
      </c>
      <c r="G39" s="114">
        <v>9</v>
      </c>
      <c r="H39" s="115" t="s">
        <v>1304</v>
      </c>
    </row>
    <row r="40" spans="1:8" ht="19.899999999999999" customHeight="1">
      <c r="A40" s="121">
        <v>46036</v>
      </c>
      <c r="B40" s="112" t="s">
        <v>68</v>
      </c>
      <c r="C40" s="113" t="s">
        <v>1295</v>
      </c>
      <c r="D40" s="112" t="s">
        <v>1286</v>
      </c>
      <c r="E40" s="122">
        <v>1.868055555555556</v>
      </c>
      <c r="F40" s="112" t="s">
        <v>643</v>
      </c>
      <c r="G40" s="114">
        <v>9</v>
      </c>
      <c r="H40" s="115" t="s">
        <v>1296</v>
      </c>
    </row>
    <row r="41" spans="1:8" ht="19.899999999999999" customHeight="1">
      <c r="A41" s="121">
        <v>46036</v>
      </c>
      <c r="B41" s="112" t="s">
        <v>359</v>
      </c>
      <c r="C41" s="113" t="s">
        <v>1291</v>
      </c>
      <c r="D41" s="112" t="s">
        <v>1286</v>
      </c>
      <c r="E41" s="122">
        <v>1.7673611111111109</v>
      </c>
      <c r="F41" s="112" t="s">
        <v>46</v>
      </c>
      <c r="G41" s="114">
        <v>9</v>
      </c>
      <c r="H41" s="115" t="s">
        <v>1305</v>
      </c>
    </row>
    <row r="42" spans="1:8" ht="19.899999999999999" customHeight="1">
      <c r="A42" s="121">
        <v>46036</v>
      </c>
      <c r="B42" s="112" t="s">
        <v>402</v>
      </c>
      <c r="C42" s="113" t="s">
        <v>1294</v>
      </c>
      <c r="D42" s="112" t="s">
        <v>1286</v>
      </c>
      <c r="E42" s="122">
        <v>1.489583333333333</v>
      </c>
      <c r="F42" s="112" t="s">
        <v>63</v>
      </c>
      <c r="G42" s="114">
        <v>5</v>
      </c>
      <c r="H42" s="115" t="s">
        <v>1063</v>
      </c>
    </row>
    <row r="43" spans="1:8" ht="19.899999999999999" customHeight="1">
      <c r="A43" s="123">
        <v>46036</v>
      </c>
      <c r="B43" s="124" t="s">
        <v>415</v>
      </c>
      <c r="C43" s="125" t="s">
        <v>1297</v>
      </c>
      <c r="D43" s="124" t="s">
        <v>1286</v>
      </c>
      <c r="E43" s="126">
        <v>1.4548611111111109</v>
      </c>
      <c r="F43" s="124" t="s">
        <v>63</v>
      </c>
      <c r="G43" s="127">
        <v>5</v>
      </c>
      <c r="H43" s="128" t="s">
        <v>1298</v>
      </c>
    </row>
    <row r="44" spans="1:8" ht="19.899999999999999" customHeight="1">
      <c r="A44" s="136">
        <v>46037</v>
      </c>
      <c r="B44" s="132" t="s">
        <v>61</v>
      </c>
      <c r="C44" s="133" t="s">
        <v>1287</v>
      </c>
      <c r="D44" s="132" t="s">
        <v>1286</v>
      </c>
      <c r="E44" s="137">
        <v>1.631944444444444</v>
      </c>
      <c r="F44" s="132" t="s">
        <v>63</v>
      </c>
      <c r="G44" s="134">
        <v>9</v>
      </c>
      <c r="H44" s="135" t="s">
        <v>1306</v>
      </c>
    </row>
    <row r="45" spans="1:8" ht="19.899999999999999" customHeight="1">
      <c r="A45" s="136">
        <v>46038</v>
      </c>
      <c r="B45" s="132" t="s">
        <v>61</v>
      </c>
      <c r="C45" s="133" t="s">
        <v>1287</v>
      </c>
      <c r="D45" s="132" t="s">
        <v>1286</v>
      </c>
      <c r="E45" s="137">
        <v>1.8298611111111109</v>
      </c>
      <c r="F45" s="132" t="s">
        <v>63</v>
      </c>
      <c r="G45" s="134">
        <v>7</v>
      </c>
      <c r="H45" s="135" t="s">
        <v>1306</v>
      </c>
    </row>
    <row r="46" spans="1:8" ht="19.899999999999999" customHeight="1">
      <c r="A46" s="121">
        <v>46039</v>
      </c>
      <c r="B46" s="112" t="s">
        <v>359</v>
      </c>
      <c r="C46" s="113" t="s">
        <v>1291</v>
      </c>
      <c r="D46" s="112" t="s">
        <v>1286</v>
      </c>
      <c r="E46" s="122">
        <v>1.7673611111111109</v>
      </c>
      <c r="F46" s="112" t="s">
        <v>361</v>
      </c>
      <c r="G46" s="114">
        <v>9</v>
      </c>
      <c r="H46" s="115" t="s">
        <v>1309</v>
      </c>
    </row>
    <row r="47" spans="1:8" ht="19.899999999999999" customHeight="1">
      <c r="A47" s="121">
        <v>46039</v>
      </c>
      <c r="B47" s="112" t="s">
        <v>402</v>
      </c>
      <c r="C47" s="113" t="s">
        <v>1300</v>
      </c>
      <c r="D47" s="112" t="s">
        <v>1286</v>
      </c>
      <c r="E47" s="122">
        <v>1.8125</v>
      </c>
      <c r="F47" s="112" t="s">
        <v>63</v>
      </c>
      <c r="G47" s="114">
        <v>4</v>
      </c>
      <c r="H47" s="115" t="s">
        <v>1063</v>
      </c>
    </row>
    <row r="48" spans="1:8" ht="19.899999999999999" customHeight="1">
      <c r="A48" s="121">
        <v>46039</v>
      </c>
      <c r="B48" s="112" t="s">
        <v>359</v>
      </c>
      <c r="C48" s="113" t="s">
        <v>1291</v>
      </c>
      <c r="D48" s="112" t="s">
        <v>1286</v>
      </c>
      <c r="E48" s="122">
        <v>1.7673611111111109</v>
      </c>
      <c r="F48" s="112" t="s">
        <v>46</v>
      </c>
      <c r="G48" s="114">
        <v>9</v>
      </c>
      <c r="H48" s="115" t="s">
        <v>1310</v>
      </c>
    </row>
    <row r="49" spans="1:8" ht="19.899999999999999" customHeight="1">
      <c r="A49" s="121">
        <v>46039</v>
      </c>
      <c r="B49" s="112" t="s">
        <v>415</v>
      </c>
      <c r="C49" s="113" t="s">
        <v>1297</v>
      </c>
      <c r="D49" s="112" t="s">
        <v>1286</v>
      </c>
      <c r="E49" s="122">
        <v>1.4375</v>
      </c>
      <c r="F49" s="112" t="s">
        <v>63</v>
      </c>
      <c r="G49" s="114">
        <v>5</v>
      </c>
      <c r="H49" s="115" t="s">
        <v>1298</v>
      </c>
    </row>
    <row r="50" spans="1:8" ht="19.899999999999999" customHeight="1">
      <c r="A50" s="123">
        <v>46039</v>
      </c>
      <c r="B50" s="124" t="s">
        <v>68</v>
      </c>
      <c r="C50" s="125" t="s">
        <v>1295</v>
      </c>
      <c r="D50" s="124" t="s">
        <v>1286</v>
      </c>
      <c r="E50" s="126">
        <v>1.868055555555556</v>
      </c>
      <c r="F50" s="124" t="s">
        <v>70</v>
      </c>
      <c r="G50" s="127">
        <v>9</v>
      </c>
      <c r="H50" s="128" t="s">
        <v>1311</v>
      </c>
    </row>
    <row r="51" spans="1:8" ht="19.899999999999999" customHeight="1">
      <c r="A51" s="136">
        <v>46040</v>
      </c>
      <c r="B51" s="132" t="s">
        <v>61</v>
      </c>
      <c r="C51" s="133" t="s">
        <v>1287</v>
      </c>
      <c r="D51" s="132" t="s">
        <v>1286</v>
      </c>
      <c r="E51" s="137">
        <v>1.631944444444444</v>
      </c>
      <c r="F51" s="132" t="s">
        <v>63</v>
      </c>
      <c r="G51" s="134">
        <v>7</v>
      </c>
      <c r="H51" s="135" t="s">
        <v>1255</v>
      </c>
    </row>
    <row r="52" spans="1:8" ht="19.899999999999999" customHeight="1">
      <c r="A52" s="121">
        <v>46041</v>
      </c>
      <c r="B52" s="112" t="s">
        <v>359</v>
      </c>
      <c r="C52" s="113" t="s">
        <v>1291</v>
      </c>
      <c r="D52" s="112" t="s">
        <v>1286</v>
      </c>
      <c r="E52" s="122">
        <v>1.7673611111111109</v>
      </c>
      <c r="F52" s="112" t="s">
        <v>361</v>
      </c>
      <c r="G52" s="114">
        <v>9</v>
      </c>
      <c r="H52" s="115" t="s">
        <v>1304</v>
      </c>
    </row>
    <row r="53" spans="1:8" ht="19.899999999999999" customHeight="1">
      <c r="A53" s="121">
        <v>46041</v>
      </c>
      <c r="B53" s="112" t="s">
        <v>68</v>
      </c>
      <c r="C53" s="113" t="s">
        <v>1295</v>
      </c>
      <c r="D53" s="112" t="s">
        <v>1286</v>
      </c>
      <c r="E53" s="122">
        <v>1.868055555555556</v>
      </c>
      <c r="F53" s="112" t="s">
        <v>643</v>
      </c>
      <c r="G53" s="114">
        <v>9</v>
      </c>
      <c r="H53" s="115" t="s">
        <v>1296</v>
      </c>
    </row>
    <row r="54" spans="1:8" ht="19.899999999999999" customHeight="1">
      <c r="A54" s="121">
        <v>46041</v>
      </c>
      <c r="B54" s="112" t="s">
        <v>359</v>
      </c>
      <c r="C54" s="113" t="s">
        <v>1291</v>
      </c>
      <c r="D54" s="112" t="s">
        <v>1286</v>
      </c>
      <c r="E54" s="122">
        <v>1.7673611111111109</v>
      </c>
      <c r="F54" s="112" t="s">
        <v>46</v>
      </c>
      <c r="G54" s="114">
        <v>9</v>
      </c>
      <c r="H54" s="115" t="s">
        <v>1305</v>
      </c>
    </row>
    <row r="55" spans="1:8" ht="19.899999999999999" customHeight="1">
      <c r="A55" s="121">
        <v>46041</v>
      </c>
      <c r="B55" s="112" t="s">
        <v>402</v>
      </c>
      <c r="C55" s="113" t="s">
        <v>1294</v>
      </c>
      <c r="D55" s="112" t="s">
        <v>1286</v>
      </c>
      <c r="E55" s="122">
        <v>1.489583333333333</v>
      </c>
      <c r="F55" s="112" t="s">
        <v>63</v>
      </c>
      <c r="G55" s="114">
        <v>5</v>
      </c>
      <c r="H55" s="115" t="s">
        <v>1063</v>
      </c>
    </row>
    <row r="56" spans="1:8" ht="19.899999999999999" customHeight="1">
      <c r="A56" s="123">
        <v>46041</v>
      </c>
      <c r="B56" s="124" t="s">
        <v>415</v>
      </c>
      <c r="C56" s="125" t="s">
        <v>1297</v>
      </c>
      <c r="D56" s="124" t="s">
        <v>1286</v>
      </c>
      <c r="E56" s="126">
        <v>1.4548611111111109</v>
      </c>
      <c r="F56" s="124" t="s">
        <v>63</v>
      </c>
      <c r="G56" s="127">
        <v>5</v>
      </c>
      <c r="H56" s="128" t="s">
        <v>1298</v>
      </c>
    </row>
    <row r="57" spans="1:8" ht="19.899999999999999" customHeight="1">
      <c r="A57" s="121">
        <v>46042</v>
      </c>
      <c r="B57" s="112" t="s">
        <v>359</v>
      </c>
      <c r="C57" s="113" t="s">
        <v>1291</v>
      </c>
      <c r="D57" s="112" t="s">
        <v>1286</v>
      </c>
      <c r="E57" s="122">
        <v>1.7673611111111109</v>
      </c>
      <c r="F57" s="112" t="s">
        <v>361</v>
      </c>
      <c r="G57" s="114">
        <v>9</v>
      </c>
      <c r="H57" s="115" t="s">
        <v>1304</v>
      </c>
    </row>
    <row r="58" spans="1:8" ht="19.899999999999999" customHeight="1">
      <c r="A58" s="121">
        <v>46042</v>
      </c>
      <c r="B58" s="112" t="s">
        <v>359</v>
      </c>
      <c r="C58" s="113" t="s">
        <v>1291</v>
      </c>
      <c r="D58" s="112" t="s">
        <v>1286</v>
      </c>
      <c r="E58" s="122">
        <v>1.7673611111111109</v>
      </c>
      <c r="F58" s="112" t="s">
        <v>46</v>
      </c>
      <c r="G58" s="114">
        <v>9</v>
      </c>
      <c r="H58" s="115" t="s">
        <v>1305</v>
      </c>
    </row>
    <row r="59" spans="1:8" ht="19.899999999999999" customHeight="1">
      <c r="A59" s="121">
        <v>46042</v>
      </c>
      <c r="B59" s="112" t="s">
        <v>402</v>
      </c>
      <c r="C59" s="113" t="s">
        <v>1294</v>
      </c>
      <c r="D59" s="112" t="s">
        <v>1286</v>
      </c>
      <c r="E59" s="122">
        <v>1.489583333333333</v>
      </c>
      <c r="F59" s="112" t="s">
        <v>63</v>
      </c>
      <c r="G59" s="114">
        <v>5</v>
      </c>
      <c r="H59" s="115" t="s">
        <v>1063</v>
      </c>
    </row>
    <row r="60" spans="1:8" ht="19.899999999999999" customHeight="1">
      <c r="A60" s="123">
        <v>46042</v>
      </c>
      <c r="B60" s="124" t="s">
        <v>415</v>
      </c>
      <c r="C60" s="125" t="s">
        <v>1297</v>
      </c>
      <c r="D60" s="124" t="s">
        <v>1286</v>
      </c>
      <c r="E60" s="126">
        <v>1.4375</v>
      </c>
      <c r="F60" s="124" t="s">
        <v>63</v>
      </c>
      <c r="G60" s="127">
        <v>5</v>
      </c>
      <c r="H60" s="128" t="s">
        <v>1298</v>
      </c>
    </row>
    <row r="61" spans="1:8" ht="19.899999999999999" customHeight="1">
      <c r="A61" s="121">
        <v>46043</v>
      </c>
      <c r="B61" s="112" t="s">
        <v>359</v>
      </c>
      <c r="C61" s="113" t="s">
        <v>1291</v>
      </c>
      <c r="D61" s="112" t="s">
        <v>1286</v>
      </c>
      <c r="E61" s="122">
        <v>1.7673611111111109</v>
      </c>
      <c r="F61" s="112" t="s">
        <v>361</v>
      </c>
      <c r="G61" s="114">
        <v>9</v>
      </c>
      <c r="H61" s="115" t="s">
        <v>1304</v>
      </c>
    </row>
    <row r="62" spans="1:8" ht="19.899999999999999" customHeight="1">
      <c r="A62" s="121">
        <v>46043</v>
      </c>
      <c r="B62" s="112" t="s">
        <v>68</v>
      </c>
      <c r="C62" s="113" t="s">
        <v>1295</v>
      </c>
      <c r="D62" s="112" t="s">
        <v>1286</v>
      </c>
      <c r="E62" s="122">
        <v>1.868055555555556</v>
      </c>
      <c r="F62" s="112" t="s">
        <v>643</v>
      </c>
      <c r="G62" s="114">
        <v>9</v>
      </c>
      <c r="H62" s="115" t="s">
        <v>1296</v>
      </c>
    </row>
    <row r="63" spans="1:8" ht="19.899999999999999" customHeight="1">
      <c r="A63" s="121">
        <v>46043</v>
      </c>
      <c r="B63" s="112" t="s">
        <v>359</v>
      </c>
      <c r="C63" s="113" t="s">
        <v>1291</v>
      </c>
      <c r="D63" s="112" t="s">
        <v>1286</v>
      </c>
      <c r="E63" s="122">
        <v>1.7673611111111109</v>
      </c>
      <c r="F63" s="112" t="s">
        <v>46</v>
      </c>
      <c r="G63" s="114">
        <v>9</v>
      </c>
      <c r="H63" s="115" t="s">
        <v>1305</v>
      </c>
    </row>
    <row r="64" spans="1:8" ht="19.899999999999999" customHeight="1">
      <c r="A64" s="121">
        <v>46043</v>
      </c>
      <c r="B64" s="112" t="s">
        <v>402</v>
      </c>
      <c r="C64" s="113" t="s">
        <v>1294</v>
      </c>
      <c r="D64" s="112" t="s">
        <v>1286</v>
      </c>
      <c r="E64" s="122">
        <v>1.489583333333333</v>
      </c>
      <c r="F64" s="112" t="s">
        <v>63</v>
      </c>
      <c r="G64" s="114">
        <v>5</v>
      </c>
      <c r="H64" s="115" t="s">
        <v>1063</v>
      </c>
    </row>
    <row r="65" spans="1:8" ht="19.899999999999999" customHeight="1">
      <c r="A65" s="123">
        <v>46043</v>
      </c>
      <c r="B65" s="124" t="s">
        <v>415</v>
      </c>
      <c r="C65" s="125" t="s">
        <v>1297</v>
      </c>
      <c r="D65" s="124" t="s">
        <v>1286</v>
      </c>
      <c r="E65" s="126">
        <v>1.4548611111111109</v>
      </c>
      <c r="F65" s="124" t="s">
        <v>63</v>
      </c>
      <c r="G65" s="127">
        <v>5</v>
      </c>
      <c r="H65" s="128" t="s">
        <v>1298</v>
      </c>
    </row>
    <row r="66" spans="1:8" ht="19.899999999999999" customHeight="1">
      <c r="A66" s="136">
        <v>46044</v>
      </c>
      <c r="B66" s="132" t="s">
        <v>61</v>
      </c>
      <c r="C66" s="133" t="s">
        <v>1287</v>
      </c>
      <c r="D66" s="132" t="s">
        <v>1286</v>
      </c>
      <c r="E66" s="137">
        <v>1.631944444444444</v>
      </c>
      <c r="F66" s="132" t="s">
        <v>63</v>
      </c>
      <c r="G66" s="134">
        <v>8</v>
      </c>
      <c r="H66" s="135" t="s">
        <v>1313</v>
      </c>
    </row>
    <row r="67" spans="1:8" ht="19.899999999999999" customHeight="1">
      <c r="A67" s="136">
        <v>46045</v>
      </c>
      <c r="B67" s="132" t="s">
        <v>61</v>
      </c>
      <c r="C67" s="133" t="s">
        <v>1287</v>
      </c>
      <c r="D67" s="132" t="s">
        <v>1286</v>
      </c>
      <c r="E67" s="137">
        <v>1.8298611111111109</v>
      </c>
      <c r="F67" s="132" t="s">
        <v>63</v>
      </c>
      <c r="G67" s="134">
        <v>3</v>
      </c>
      <c r="H67" s="135" t="s">
        <v>1313</v>
      </c>
    </row>
    <row r="68" spans="1:8" ht="19.899999999999999" customHeight="1">
      <c r="A68" s="121">
        <v>46046</v>
      </c>
      <c r="B68" s="112" t="s">
        <v>359</v>
      </c>
      <c r="C68" s="113" t="s">
        <v>1291</v>
      </c>
      <c r="D68" s="112" t="s">
        <v>1286</v>
      </c>
      <c r="E68" s="122">
        <v>1.7673611111111109</v>
      </c>
      <c r="F68" s="112" t="s">
        <v>361</v>
      </c>
      <c r="G68" s="114">
        <v>9</v>
      </c>
      <c r="H68" s="115" t="s">
        <v>1309</v>
      </c>
    </row>
    <row r="69" spans="1:8" ht="19.899999999999999" customHeight="1">
      <c r="A69" s="121">
        <v>46046</v>
      </c>
      <c r="B69" s="112" t="s">
        <v>68</v>
      </c>
      <c r="C69" s="113" t="s">
        <v>1295</v>
      </c>
      <c r="D69" s="112" t="s">
        <v>1286</v>
      </c>
      <c r="E69" s="122">
        <v>1.868055555555556</v>
      </c>
      <c r="F69" s="112" t="s">
        <v>643</v>
      </c>
      <c r="G69" s="114">
        <v>9</v>
      </c>
      <c r="H69" s="115" t="s">
        <v>1296</v>
      </c>
    </row>
    <row r="70" spans="1:8" ht="19.899999999999999" customHeight="1">
      <c r="A70" s="121">
        <v>46046</v>
      </c>
      <c r="B70" s="112" t="s">
        <v>402</v>
      </c>
      <c r="C70" s="113" t="s">
        <v>1300</v>
      </c>
      <c r="D70" s="112" t="s">
        <v>1286</v>
      </c>
      <c r="E70" s="122">
        <v>1.8125</v>
      </c>
      <c r="F70" s="112" t="s">
        <v>63</v>
      </c>
      <c r="G70" s="114">
        <v>4</v>
      </c>
      <c r="H70" s="115" t="s">
        <v>1063</v>
      </c>
    </row>
    <row r="71" spans="1:8" ht="19.899999999999999" customHeight="1">
      <c r="A71" s="121">
        <v>46046</v>
      </c>
      <c r="B71" s="112" t="s">
        <v>359</v>
      </c>
      <c r="C71" s="113" t="s">
        <v>1291</v>
      </c>
      <c r="D71" s="112" t="s">
        <v>1286</v>
      </c>
      <c r="E71" s="122">
        <v>1.7673611111111109</v>
      </c>
      <c r="F71" s="112" t="s">
        <v>46</v>
      </c>
      <c r="G71" s="114">
        <v>9</v>
      </c>
      <c r="H71" s="115" t="s">
        <v>1310</v>
      </c>
    </row>
    <row r="72" spans="1:8" ht="19.899999999999999" customHeight="1">
      <c r="A72" s="123">
        <v>46046</v>
      </c>
      <c r="B72" s="124" t="s">
        <v>415</v>
      </c>
      <c r="C72" s="125" t="s">
        <v>1297</v>
      </c>
      <c r="D72" s="124" t="s">
        <v>1286</v>
      </c>
      <c r="E72" s="126">
        <v>1.4375</v>
      </c>
      <c r="F72" s="124" t="s">
        <v>63</v>
      </c>
      <c r="G72" s="127">
        <v>5</v>
      </c>
      <c r="H72" s="128" t="s">
        <v>1298</v>
      </c>
    </row>
    <row r="73" spans="1:8" ht="19.899999999999999" customHeight="1">
      <c r="A73" s="136">
        <v>46047</v>
      </c>
      <c r="B73" s="132" t="s">
        <v>61</v>
      </c>
      <c r="C73" s="133" t="s">
        <v>1287</v>
      </c>
      <c r="D73" s="132" t="s">
        <v>1286</v>
      </c>
      <c r="E73" s="137">
        <v>1.631944444444444</v>
      </c>
      <c r="F73" s="132" t="s">
        <v>63</v>
      </c>
      <c r="G73" s="134">
        <v>3</v>
      </c>
      <c r="H73" s="135" t="s">
        <v>33</v>
      </c>
    </row>
    <row r="74" spans="1:8" ht="19.899999999999999" customHeight="1">
      <c r="A74" s="121">
        <v>46048</v>
      </c>
      <c r="B74" s="112" t="s">
        <v>359</v>
      </c>
      <c r="C74" s="113" t="s">
        <v>1291</v>
      </c>
      <c r="D74" s="112" t="s">
        <v>1286</v>
      </c>
      <c r="E74" s="122">
        <v>1.7673611111111109</v>
      </c>
      <c r="F74" s="112" t="s">
        <v>361</v>
      </c>
      <c r="G74" s="114">
        <v>9</v>
      </c>
      <c r="H74" s="115" t="s">
        <v>1304</v>
      </c>
    </row>
    <row r="75" spans="1:8" ht="19.899999999999999" customHeight="1">
      <c r="A75" s="121">
        <v>46048</v>
      </c>
      <c r="B75" s="112" t="s">
        <v>68</v>
      </c>
      <c r="C75" s="113" t="s">
        <v>1295</v>
      </c>
      <c r="D75" s="112" t="s">
        <v>1286</v>
      </c>
      <c r="E75" s="122">
        <v>1.868055555555556</v>
      </c>
      <c r="F75" s="112" t="s">
        <v>643</v>
      </c>
      <c r="G75" s="114">
        <v>9</v>
      </c>
      <c r="H75" s="115" t="s">
        <v>1296</v>
      </c>
    </row>
    <row r="76" spans="1:8" ht="19.899999999999999" customHeight="1">
      <c r="A76" s="121">
        <v>46048</v>
      </c>
      <c r="B76" s="112" t="s">
        <v>359</v>
      </c>
      <c r="C76" s="113" t="s">
        <v>1291</v>
      </c>
      <c r="D76" s="112" t="s">
        <v>1286</v>
      </c>
      <c r="E76" s="122">
        <v>1.7673611111111109</v>
      </c>
      <c r="F76" s="112" t="s">
        <v>46</v>
      </c>
      <c r="G76" s="114">
        <v>9</v>
      </c>
      <c r="H76" s="115" t="s">
        <v>1305</v>
      </c>
    </row>
    <row r="77" spans="1:8" ht="19.899999999999999" customHeight="1">
      <c r="A77" s="121">
        <v>46048</v>
      </c>
      <c r="B77" s="112" t="s">
        <v>402</v>
      </c>
      <c r="C77" s="113" t="s">
        <v>1294</v>
      </c>
      <c r="D77" s="112" t="s">
        <v>1286</v>
      </c>
      <c r="E77" s="122">
        <v>1.489583333333333</v>
      </c>
      <c r="F77" s="112" t="s">
        <v>63</v>
      </c>
      <c r="G77" s="114">
        <v>5</v>
      </c>
      <c r="H77" s="115" t="s">
        <v>1063</v>
      </c>
    </row>
    <row r="78" spans="1:8" ht="19.899999999999999" customHeight="1">
      <c r="A78" s="123">
        <v>46048</v>
      </c>
      <c r="B78" s="124" t="s">
        <v>415</v>
      </c>
      <c r="C78" s="125" t="s">
        <v>1297</v>
      </c>
      <c r="D78" s="124" t="s">
        <v>1286</v>
      </c>
      <c r="E78" s="126">
        <v>1.4548611111111109</v>
      </c>
      <c r="F78" s="124" t="s">
        <v>63</v>
      </c>
      <c r="G78" s="127">
        <v>5</v>
      </c>
      <c r="H78" s="128" t="s">
        <v>1298</v>
      </c>
    </row>
    <row r="79" spans="1:8" ht="19.899999999999999" customHeight="1">
      <c r="A79" s="121">
        <v>46049</v>
      </c>
      <c r="B79" s="112" t="s">
        <v>359</v>
      </c>
      <c r="C79" s="113" t="s">
        <v>1291</v>
      </c>
      <c r="D79" s="112" t="s">
        <v>1286</v>
      </c>
      <c r="E79" s="122">
        <v>1.7673611111111109</v>
      </c>
      <c r="F79" s="112" t="s">
        <v>361</v>
      </c>
      <c r="G79" s="114">
        <v>9</v>
      </c>
      <c r="H79" s="115" t="s">
        <v>1304</v>
      </c>
    </row>
    <row r="80" spans="1:8" ht="19.899999999999999" customHeight="1">
      <c r="A80" s="121">
        <v>46049</v>
      </c>
      <c r="B80" s="112" t="s">
        <v>359</v>
      </c>
      <c r="C80" s="113" t="s">
        <v>1291</v>
      </c>
      <c r="D80" s="112" t="s">
        <v>1286</v>
      </c>
      <c r="E80" s="122">
        <v>1.7673611111111109</v>
      </c>
      <c r="F80" s="112" t="s">
        <v>46</v>
      </c>
      <c r="G80" s="114">
        <v>9</v>
      </c>
      <c r="H80" s="115" t="s">
        <v>1305</v>
      </c>
    </row>
    <row r="81" spans="1:8" ht="19.899999999999999" customHeight="1">
      <c r="A81" s="121">
        <v>46049</v>
      </c>
      <c r="B81" s="112" t="s">
        <v>402</v>
      </c>
      <c r="C81" s="113" t="s">
        <v>1294</v>
      </c>
      <c r="D81" s="112" t="s">
        <v>1286</v>
      </c>
      <c r="E81" s="122">
        <v>1.489583333333333</v>
      </c>
      <c r="F81" s="112" t="s">
        <v>63</v>
      </c>
      <c r="G81" s="114">
        <v>5</v>
      </c>
      <c r="H81" s="115" t="s">
        <v>1063</v>
      </c>
    </row>
    <row r="82" spans="1:8" ht="19.899999999999999" customHeight="1">
      <c r="A82" s="123">
        <v>46049</v>
      </c>
      <c r="B82" s="124" t="s">
        <v>415</v>
      </c>
      <c r="C82" s="125" t="s">
        <v>1297</v>
      </c>
      <c r="D82" s="124" t="s">
        <v>1286</v>
      </c>
      <c r="E82" s="126">
        <v>1.4409722222222221</v>
      </c>
      <c r="F82" s="124" t="s">
        <v>63</v>
      </c>
      <c r="G82" s="127">
        <v>5</v>
      </c>
      <c r="H82" s="128" t="s">
        <v>1298</v>
      </c>
    </row>
    <row r="83" spans="1:8" ht="19.899999999999999" customHeight="1">
      <c r="A83" s="121">
        <v>46050</v>
      </c>
      <c r="B83" s="112" t="s">
        <v>359</v>
      </c>
      <c r="C83" s="113" t="s">
        <v>1291</v>
      </c>
      <c r="D83" s="112" t="s">
        <v>1286</v>
      </c>
      <c r="E83" s="122">
        <v>1.7673611111111109</v>
      </c>
      <c r="F83" s="112" t="s">
        <v>361</v>
      </c>
      <c r="G83" s="114">
        <v>9</v>
      </c>
      <c r="H83" s="115" t="s">
        <v>1304</v>
      </c>
    </row>
    <row r="84" spans="1:8" ht="19.899999999999999" customHeight="1">
      <c r="A84" s="121">
        <v>46050</v>
      </c>
      <c r="B84" s="112" t="s">
        <v>68</v>
      </c>
      <c r="C84" s="113" t="s">
        <v>1295</v>
      </c>
      <c r="D84" s="112" t="s">
        <v>1286</v>
      </c>
      <c r="E84" s="122">
        <v>1.868055555555556</v>
      </c>
      <c r="F84" s="112" t="s">
        <v>643</v>
      </c>
      <c r="G84" s="114">
        <v>9</v>
      </c>
      <c r="H84" s="115" t="s">
        <v>1296</v>
      </c>
    </row>
    <row r="85" spans="1:8" ht="19.899999999999999" customHeight="1">
      <c r="A85" s="121">
        <v>46050</v>
      </c>
      <c r="B85" s="112" t="s">
        <v>359</v>
      </c>
      <c r="C85" s="113" t="s">
        <v>1291</v>
      </c>
      <c r="D85" s="112" t="s">
        <v>1286</v>
      </c>
      <c r="E85" s="122">
        <v>1.7673611111111109</v>
      </c>
      <c r="F85" s="112" t="s">
        <v>46</v>
      </c>
      <c r="G85" s="114">
        <v>9</v>
      </c>
      <c r="H85" s="115" t="s">
        <v>1305</v>
      </c>
    </row>
    <row r="86" spans="1:8" ht="19.899999999999999" customHeight="1">
      <c r="A86" s="121">
        <v>46050</v>
      </c>
      <c r="B86" s="112" t="s">
        <v>402</v>
      </c>
      <c r="C86" s="113" t="s">
        <v>1294</v>
      </c>
      <c r="D86" s="112" t="s">
        <v>1286</v>
      </c>
      <c r="E86" s="122">
        <v>1.489583333333333</v>
      </c>
      <c r="F86" s="112" t="s">
        <v>63</v>
      </c>
      <c r="G86" s="114">
        <v>5</v>
      </c>
      <c r="H86" s="115" t="s">
        <v>1063</v>
      </c>
    </row>
    <row r="87" spans="1:8" ht="19.899999999999999" customHeight="1">
      <c r="A87" s="123">
        <v>46050</v>
      </c>
      <c r="B87" s="124" t="s">
        <v>415</v>
      </c>
      <c r="C87" s="125" t="s">
        <v>1297</v>
      </c>
      <c r="D87" s="124" t="s">
        <v>1286</v>
      </c>
      <c r="E87" s="126">
        <v>1.4548611111111109</v>
      </c>
      <c r="F87" s="124" t="s">
        <v>63</v>
      </c>
      <c r="G87" s="127">
        <v>5</v>
      </c>
      <c r="H87" s="128" t="s">
        <v>1298</v>
      </c>
    </row>
    <row r="88" spans="1:8" ht="19.899999999999999" customHeight="1">
      <c r="A88" s="136">
        <v>46051</v>
      </c>
      <c r="B88" s="132" t="s">
        <v>61</v>
      </c>
      <c r="C88" s="133" t="s">
        <v>1287</v>
      </c>
      <c r="D88" s="132" t="s">
        <v>1286</v>
      </c>
      <c r="E88" s="137">
        <v>1.631944444444444</v>
      </c>
      <c r="F88" s="132" t="s">
        <v>63</v>
      </c>
      <c r="G88" s="134">
        <v>4</v>
      </c>
      <c r="H88" s="135" t="s">
        <v>1288</v>
      </c>
    </row>
    <row r="89" spans="1:8" ht="19.899999999999999" customHeight="1">
      <c r="A89" s="136">
        <v>46052</v>
      </c>
      <c r="B89" s="132" t="s">
        <v>61</v>
      </c>
      <c r="C89" s="133" t="s">
        <v>1287</v>
      </c>
      <c r="D89" s="132" t="s">
        <v>1286</v>
      </c>
      <c r="E89" s="137">
        <v>1.8298611111111109</v>
      </c>
      <c r="F89" s="132" t="s">
        <v>63</v>
      </c>
      <c r="G89" s="134">
        <v>6</v>
      </c>
      <c r="H89" s="135" t="s">
        <v>1316</v>
      </c>
    </row>
    <row r="90" spans="1:8" ht="19.899999999999999" customHeight="1">
      <c r="A90" s="121">
        <v>46053</v>
      </c>
      <c r="B90" s="112" t="s">
        <v>359</v>
      </c>
      <c r="C90" s="113" t="s">
        <v>1291</v>
      </c>
      <c r="D90" s="112" t="s">
        <v>1286</v>
      </c>
      <c r="E90" s="122">
        <v>1.7673611111111109</v>
      </c>
      <c r="F90" s="112" t="s">
        <v>361</v>
      </c>
      <c r="G90" s="114">
        <v>9</v>
      </c>
      <c r="H90" s="115" t="s">
        <v>1309</v>
      </c>
    </row>
    <row r="91" spans="1:8" ht="19.899999999999999" customHeight="1">
      <c r="A91" s="121">
        <v>46053</v>
      </c>
      <c r="B91" s="112" t="s">
        <v>68</v>
      </c>
      <c r="C91" s="113" t="s">
        <v>1295</v>
      </c>
      <c r="D91" s="112" t="s">
        <v>1286</v>
      </c>
      <c r="E91" s="122">
        <v>1.868055555555556</v>
      </c>
      <c r="F91" s="112" t="s">
        <v>643</v>
      </c>
      <c r="G91" s="114">
        <v>9</v>
      </c>
      <c r="H91" s="115" t="s">
        <v>1296</v>
      </c>
    </row>
    <row r="92" spans="1:8" ht="19.899999999999999" customHeight="1">
      <c r="A92" s="121">
        <v>46053</v>
      </c>
      <c r="B92" s="112" t="s">
        <v>402</v>
      </c>
      <c r="C92" s="113" t="s">
        <v>1300</v>
      </c>
      <c r="D92" s="112" t="s">
        <v>1286</v>
      </c>
      <c r="E92" s="122">
        <v>1.8125</v>
      </c>
      <c r="F92" s="112" t="s">
        <v>63</v>
      </c>
      <c r="G92" s="114">
        <v>5</v>
      </c>
      <c r="H92" s="115" t="s">
        <v>1063</v>
      </c>
    </row>
    <row r="93" spans="1:8" ht="19.899999999999999" customHeight="1">
      <c r="A93" s="121">
        <v>46053</v>
      </c>
      <c r="B93" s="112" t="s">
        <v>359</v>
      </c>
      <c r="C93" s="113" t="s">
        <v>1291</v>
      </c>
      <c r="D93" s="112" t="s">
        <v>1286</v>
      </c>
      <c r="E93" s="122">
        <v>1.7673611111111109</v>
      </c>
      <c r="F93" s="112" t="s">
        <v>46</v>
      </c>
      <c r="G93" s="114">
        <v>9</v>
      </c>
      <c r="H93" s="115" t="s">
        <v>1310</v>
      </c>
    </row>
    <row r="94" spans="1:8" ht="19.899999999999999" customHeight="1">
      <c r="A94" s="123">
        <v>46053</v>
      </c>
      <c r="B94" s="124" t="s">
        <v>415</v>
      </c>
      <c r="C94" s="125" t="s">
        <v>1297</v>
      </c>
      <c r="D94" s="124" t="s">
        <v>1286</v>
      </c>
      <c r="E94" s="126">
        <v>1.4375</v>
      </c>
      <c r="F94" s="124" t="s">
        <v>63</v>
      </c>
      <c r="G94" s="127">
        <v>5</v>
      </c>
      <c r="H94" s="128" t="s">
        <v>1298</v>
      </c>
    </row>
  </sheetData>
  <pageMargins left="0.75" right="0.75" top="1" bottom="1" header="0.5" footer="0.5"/>
  <legacyDrawing r:id="rId1"/>
  <tableParts count="1">
    <tablePart r:id="rId2"/>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N86"/>
  <sheetViews>
    <sheetView workbookViewId="0"/>
  </sheetViews>
  <sheetFormatPr defaultRowHeight="14.45"/>
  <cols>
    <col min="1" max="1" width="17.28515625" bestFit="1" customWidth="1"/>
    <col min="2" max="2" width="15.7109375" bestFit="1" customWidth="1"/>
    <col min="3" max="3" width="14.7109375" bestFit="1" customWidth="1"/>
    <col min="4" max="4" width="34.28515625" bestFit="1" customWidth="1"/>
    <col min="5" max="5" width="20.140625" bestFit="1" customWidth="1"/>
    <col min="6" max="6" width="23.42578125" bestFit="1" customWidth="1"/>
    <col min="7" max="7" width="44.7109375" bestFit="1" customWidth="1"/>
    <col min="8" max="8" width="9.42578125" bestFit="1" customWidth="1"/>
    <col min="9" max="9" width="6.710937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10.7109375" bestFit="1" customWidth="1"/>
  </cols>
  <sheetData>
    <row r="1" spans="1:92" ht="28.9" customHeight="1">
      <c r="A1" s="291" t="s">
        <v>0</v>
      </c>
      <c r="B1" s="294"/>
      <c r="C1" s="294"/>
      <c r="D1" s="294"/>
      <c r="E1" s="294"/>
      <c r="F1" s="1" t="s">
        <v>1318</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45980.610653040567</v>
      </c>
      <c r="H2" s="294"/>
      <c r="I2" s="294"/>
      <c r="J2" s="294"/>
      <c r="K2" s="287">
        <v>45980.610653040923</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46025</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21" t="s">
        <v>61</v>
      </c>
      <c r="B6" s="21" t="s">
        <v>1319</v>
      </c>
      <c r="C6" s="22">
        <v>0.69097222222222221</v>
      </c>
      <c r="D6" s="21" t="s">
        <v>63</v>
      </c>
      <c r="E6" s="21" t="s">
        <v>126</v>
      </c>
      <c r="F6" s="21" t="s">
        <v>1320</v>
      </c>
      <c r="G6" s="302"/>
      <c r="H6" s="23" t="s">
        <v>1321</v>
      </c>
      <c r="I6" s="24">
        <v>2.7900000000000001E-2</v>
      </c>
      <c r="J6" s="25">
        <v>5</v>
      </c>
      <c r="K6" s="26">
        <v>46338</v>
      </c>
      <c r="L6" s="25">
        <v>5</v>
      </c>
      <c r="M6" s="25">
        <v>0</v>
      </c>
      <c r="N6" s="25">
        <v>0</v>
      </c>
      <c r="O6" s="27" t="s">
        <v>819</v>
      </c>
      <c r="P6" s="28">
        <v>0.69097222222222221</v>
      </c>
      <c r="Q6" s="25">
        <v>179</v>
      </c>
      <c r="R6" s="29" t="s">
        <v>1322</v>
      </c>
    </row>
    <row r="7" spans="1:92" ht="18">
      <c r="A7" s="292" t="s">
        <v>1323</v>
      </c>
      <c r="B7" s="303"/>
      <c r="C7" s="303"/>
      <c r="D7" s="303"/>
      <c r="E7" s="303"/>
      <c r="F7" s="304"/>
      <c r="G7" s="298"/>
      <c r="H7" s="138"/>
      <c r="I7" s="138"/>
      <c r="J7" s="138"/>
      <c r="K7" s="138"/>
      <c r="L7" s="138"/>
      <c r="M7" s="138"/>
      <c r="N7" s="138"/>
      <c r="O7" s="139"/>
      <c r="P7" s="138"/>
      <c r="Q7" s="107"/>
      <c r="R7" s="107"/>
    </row>
    <row r="8" spans="1:92" ht="49.9" customHeight="1">
      <c r="A8" s="17" t="s">
        <v>359</v>
      </c>
      <c r="B8" s="17" t="s">
        <v>1291</v>
      </c>
      <c r="C8" s="18" t="s">
        <v>1202</v>
      </c>
      <c r="D8" s="17" t="s">
        <v>361</v>
      </c>
      <c r="E8" s="17" t="s">
        <v>270</v>
      </c>
      <c r="F8" s="17" t="s">
        <v>493</v>
      </c>
      <c r="G8" s="298"/>
      <c r="H8" s="138"/>
      <c r="I8" s="138"/>
      <c r="J8" s="138"/>
      <c r="K8" s="138"/>
      <c r="L8" s="138"/>
      <c r="M8" s="138"/>
      <c r="N8" s="138"/>
      <c r="O8" s="139"/>
      <c r="P8" s="138"/>
      <c r="Q8" s="107"/>
      <c r="R8" s="107"/>
    </row>
    <row r="9" spans="1:92" ht="49.9" customHeight="1">
      <c r="A9" s="17" t="s">
        <v>402</v>
      </c>
      <c r="B9" s="17" t="s">
        <v>1300</v>
      </c>
      <c r="C9" s="18" t="s">
        <v>1324</v>
      </c>
      <c r="D9" s="17" t="s">
        <v>63</v>
      </c>
      <c r="E9" s="17" t="s">
        <v>267</v>
      </c>
      <c r="F9" s="17" t="s">
        <v>1146</v>
      </c>
      <c r="G9" s="298"/>
      <c r="H9" s="138"/>
      <c r="I9" s="138"/>
      <c r="J9" s="138"/>
      <c r="K9" s="138"/>
      <c r="L9" s="138"/>
      <c r="M9" s="138"/>
      <c r="N9" s="138"/>
      <c r="O9" s="139"/>
      <c r="P9" s="138"/>
      <c r="Q9" s="107"/>
      <c r="R9" s="107"/>
    </row>
    <row r="10" spans="1:92" ht="49.9" customHeight="1">
      <c r="A10" s="17" t="s">
        <v>68</v>
      </c>
      <c r="B10" s="17" t="s">
        <v>1295</v>
      </c>
      <c r="C10" s="18" t="s">
        <v>241</v>
      </c>
      <c r="D10" s="17" t="s">
        <v>643</v>
      </c>
      <c r="E10" s="17" t="s">
        <v>269</v>
      </c>
      <c r="F10" s="17" t="s">
        <v>1296</v>
      </c>
      <c r="G10" s="298"/>
      <c r="H10" s="138"/>
      <c r="I10" s="138"/>
      <c r="J10" s="138"/>
      <c r="K10" s="138"/>
      <c r="L10" s="138"/>
      <c r="M10" s="138"/>
      <c r="N10" s="138"/>
      <c r="O10" s="139"/>
      <c r="P10" s="138"/>
      <c r="Q10" s="107"/>
      <c r="R10" s="107"/>
    </row>
    <row r="11" spans="1:92" ht="49.9" customHeight="1" thickBot="1">
      <c r="A11" s="30" t="s">
        <v>359</v>
      </c>
      <c r="B11" s="30" t="s">
        <v>1291</v>
      </c>
      <c r="C11" s="31" t="s">
        <v>1202</v>
      </c>
      <c r="D11" s="30" t="s">
        <v>46</v>
      </c>
      <c r="E11" s="30" t="s">
        <v>270</v>
      </c>
      <c r="F11" s="30" t="s">
        <v>1299</v>
      </c>
      <c r="G11" s="299"/>
      <c r="H11" s="140"/>
      <c r="I11" s="140"/>
      <c r="J11" s="140"/>
      <c r="K11" s="140"/>
      <c r="L11" s="140"/>
      <c r="M11" s="140"/>
      <c r="N11" s="140"/>
      <c r="O11" s="141"/>
      <c r="P11" s="140"/>
      <c r="Q11" s="142"/>
      <c r="R11" s="142"/>
    </row>
    <row r="12" spans="1:92" ht="17.45" customHeight="1" thickBot="1">
      <c r="A12" s="283"/>
      <c r="B12" s="284"/>
      <c r="C12" s="284"/>
      <c r="D12" s="284"/>
      <c r="E12" s="284"/>
      <c r="F12" s="284"/>
      <c r="G12" s="284"/>
      <c r="H12" s="284"/>
      <c r="I12" s="284"/>
      <c r="J12" s="284"/>
      <c r="K12" s="284"/>
      <c r="L12" s="284"/>
      <c r="M12" s="284"/>
      <c r="N12" s="284"/>
      <c r="O12" s="284"/>
      <c r="P12" s="284"/>
      <c r="Q12" s="284"/>
      <c r="R12" s="285"/>
    </row>
    <row r="13" spans="1:92" ht="22.15" customHeight="1" thickTop="1" thickBot="1">
      <c r="A13" s="279" t="s">
        <v>6</v>
      </c>
      <c r="B13" s="295"/>
      <c r="C13" s="295"/>
      <c r="D13" s="295"/>
      <c r="E13" s="295"/>
      <c r="F13" s="296"/>
      <c r="G13" s="32">
        <v>46028</v>
      </c>
      <c r="H13" s="278" t="s">
        <v>7</v>
      </c>
      <c r="I13" s="295"/>
      <c r="J13" s="295"/>
      <c r="K13" s="295"/>
      <c r="L13" s="295"/>
      <c r="M13" s="295"/>
      <c r="N13" s="295"/>
      <c r="O13" s="295"/>
      <c r="P13" s="295"/>
      <c r="Q13" s="295"/>
      <c r="R13" s="296"/>
    </row>
    <row r="14" spans="1:92" ht="24" customHeight="1">
      <c r="A14" s="33" t="s">
        <v>8</v>
      </c>
      <c r="B14" s="33" t="s">
        <v>9</v>
      </c>
      <c r="C14" s="34" t="s">
        <v>10</v>
      </c>
      <c r="D14" s="33" t="s">
        <v>11</v>
      </c>
      <c r="E14" s="33" t="s">
        <v>12</v>
      </c>
      <c r="F14" s="35" t="s">
        <v>13</v>
      </c>
      <c r="G14" s="36" t="s">
        <v>14</v>
      </c>
      <c r="H14" s="33" t="s">
        <v>15</v>
      </c>
      <c r="I14" s="37" t="s">
        <v>16</v>
      </c>
      <c r="J14" s="38" t="s">
        <v>17</v>
      </c>
      <c r="K14" s="39" t="s">
        <v>18</v>
      </c>
      <c r="L14" s="38" t="s">
        <v>19</v>
      </c>
      <c r="M14" s="38" t="s">
        <v>20</v>
      </c>
      <c r="N14" s="38" t="s">
        <v>21</v>
      </c>
      <c r="O14" s="33" t="s">
        <v>22</v>
      </c>
      <c r="P14" s="34" t="s">
        <v>23</v>
      </c>
      <c r="Q14" s="38" t="s">
        <v>24</v>
      </c>
      <c r="R14" s="33" t="s">
        <v>25</v>
      </c>
    </row>
    <row r="15" spans="1:92" ht="49.9" customHeight="1">
      <c r="A15" s="67" t="s">
        <v>61</v>
      </c>
      <c r="B15" s="67" t="s">
        <v>1319</v>
      </c>
      <c r="C15" s="68">
        <v>0.85763888888888884</v>
      </c>
      <c r="D15" s="67" t="s">
        <v>63</v>
      </c>
      <c r="E15" s="67" t="s">
        <v>29</v>
      </c>
      <c r="F15" s="67" t="s">
        <v>1320</v>
      </c>
      <c r="G15" s="302"/>
      <c r="H15" s="69" t="s">
        <v>1321</v>
      </c>
      <c r="I15" s="70">
        <v>1.6799999999999999E-2</v>
      </c>
      <c r="J15" s="71">
        <v>3</v>
      </c>
      <c r="K15" s="72">
        <v>46330</v>
      </c>
      <c r="L15" s="71">
        <v>3</v>
      </c>
      <c r="M15" s="71">
        <v>0</v>
      </c>
      <c r="N15" s="71">
        <v>0</v>
      </c>
      <c r="O15" s="73" t="s">
        <v>901</v>
      </c>
      <c r="P15" s="74">
        <v>0.85763888888888884</v>
      </c>
      <c r="Q15" s="71">
        <v>179</v>
      </c>
      <c r="R15" s="75" t="s">
        <v>819</v>
      </c>
    </row>
    <row r="16" spans="1:92" ht="18">
      <c r="A16" s="292" t="s">
        <v>1323</v>
      </c>
      <c r="B16" s="303"/>
      <c r="C16" s="303"/>
      <c r="D16" s="303"/>
      <c r="E16" s="303"/>
      <c r="F16" s="304"/>
      <c r="G16" s="298"/>
      <c r="H16" s="138"/>
      <c r="I16" s="138"/>
      <c r="J16" s="138"/>
      <c r="K16" s="138"/>
      <c r="L16" s="138"/>
      <c r="M16" s="138"/>
      <c r="N16" s="138"/>
      <c r="O16" s="139"/>
      <c r="P16" s="138"/>
      <c r="Q16" s="107"/>
      <c r="R16" s="107"/>
    </row>
    <row r="17" spans="1:18" ht="49.9" customHeight="1">
      <c r="A17" s="17" t="s">
        <v>359</v>
      </c>
      <c r="B17" s="17" t="s">
        <v>1291</v>
      </c>
      <c r="C17" s="18" t="s">
        <v>1202</v>
      </c>
      <c r="D17" s="17" t="s">
        <v>361</v>
      </c>
      <c r="E17" s="17" t="s">
        <v>270</v>
      </c>
      <c r="F17" s="17" t="s">
        <v>1292</v>
      </c>
      <c r="G17" s="298"/>
      <c r="H17" s="138"/>
      <c r="I17" s="138"/>
      <c r="J17" s="138"/>
      <c r="K17" s="138"/>
      <c r="L17" s="138"/>
      <c r="M17" s="138"/>
      <c r="N17" s="138"/>
      <c r="O17" s="139"/>
      <c r="P17" s="138"/>
      <c r="Q17" s="107"/>
      <c r="R17" s="107"/>
    </row>
    <row r="18" spans="1:18" ht="49.9" customHeight="1">
      <c r="A18" s="17" t="s">
        <v>402</v>
      </c>
      <c r="B18" s="17" t="s">
        <v>1294</v>
      </c>
      <c r="C18" s="18" t="s">
        <v>592</v>
      </c>
      <c r="D18" s="17" t="s">
        <v>63</v>
      </c>
      <c r="E18" s="17" t="s">
        <v>269</v>
      </c>
      <c r="F18" s="17" t="s">
        <v>1146</v>
      </c>
      <c r="G18" s="298"/>
      <c r="H18" s="138"/>
      <c r="I18" s="138"/>
      <c r="J18" s="138"/>
      <c r="K18" s="138"/>
      <c r="L18" s="138"/>
      <c r="M18" s="138"/>
      <c r="N18" s="138"/>
      <c r="O18" s="139"/>
      <c r="P18" s="138"/>
      <c r="Q18" s="107"/>
      <c r="R18" s="107"/>
    </row>
    <row r="19" spans="1:18" ht="49.9" customHeight="1">
      <c r="A19" s="17" t="s">
        <v>359</v>
      </c>
      <c r="B19" s="17" t="s">
        <v>1291</v>
      </c>
      <c r="C19" s="18" t="s">
        <v>1202</v>
      </c>
      <c r="D19" s="17" t="s">
        <v>46</v>
      </c>
      <c r="E19" s="17" t="s">
        <v>270</v>
      </c>
      <c r="F19" s="17" t="s">
        <v>1293</v>
      </c>
      <c r="G19" s="298"/>
      <c r="H19" s="138"/>
      <c r="I19" s="138"/>
      <c r="J19" s="138"/>
      <c r="K19" s="138"/>
      <c r="L19" s="138"/>
      <c r="M19" s="138"/>
      <c r="N19" s="138"/>
      <c r="O19" s="139"/>
      <c r="P19" s="138"/>
      <c r="Q19" s="107"/>
      <c r="R19" s="107"/>
    </row>
    <row r="20" spans="1:18" ht="49.9" customHeight="1" thickBot="1">
      <c r="A20" s="30" t="s">
        <v>415</v>
      </c>
      <c r="B20" s="30" t="s">
        <v>1297</v>
      </c>
      <c r="C20" s="31" t="s">
        <v>563</v>
      </c>
      <c r="D20" s="30" t="s">
        <v>63</v>
      </c>
      <c r="E20" s="30" t="s">
        <v>277</v>
      </c>
      <c r="F20" s="30" t="s">
        <v>1298</v>
      </c>
      <c r="G20" s="299"/>
      <c r="H20" s="140"/>
      <c r="I20" s="140"/>
      <c r="J20" s="140"/>
      <c r="K20" s="140"/>
      <c r="L20" s="140"/>
      <c r="M20" s="140"/>
      <c r="N20" s="140"/>
      <c r="O20" s="141"/>
      <c r="P20" s="140"/>
      <c r="Q20" s="142"/>
      <c r="R20" s="142"/>
    </row>
    <row r="21" spans="1:18" ht="17.45" customHeight="1" thickBot="1">
      <c r="A21" s="283"/>
      <c r="B21" s="284"/>
      <c r="C21" s="284"/>
      <c r="D21" s="284"/>
      <c r="E21" s="284"/>
      <c r="F21" s="284"/>
      <c r="G21" s="284"/>
      <c r="H21" s="284"/>
      <c r="I21" s="284"/>
      <c r="J21" s="284"/>
      <c r="K21" s="284"/>
      <c r="L21" s="284"/>
      <c r="M21" s="284"/>
      <c r="N21" s="284"/>
      <c r="O21" s="284"/>
      <c r="P21" s="284"/>
      <c r="Q21" s="284"/>
      <c r="R21" s="285"/>
    </row>
    <row r="22" spans="1:18" ht="22.15" customHeight="1" thickTop="1" thickBot="1">
      <c r="A22" s="279" t="s">
        <v>6</v>
      </c>
      <c r="B22" s="295"/>
      <c r="C22" s="295"/>
      <c r="D22" s="295"/>
      <c r="E22" s="295"/>
      <c r="F22" s="296"/>
      <c r="G22" s="32">
        <v>46032</v>
      </c>
      <c r="H22" s="278" t="s">
        <v>7</v>
      </c>
      <c r="I22" s="295"/>
      <c r="J22" s="295"/>
      <c r="K22" s="295"/>
      <c r="L22" s="295"/>
      <c r="M22" s="295"/>
      <c r="N22" s="295"/>
      <c r="O22" s="295"/>
      <c r="P22" s="295"/>
      <c r="Q22" s="295"/>
      <c r="R22" s="296"/>
    </row>
    <row r="23" spans="1:18" ht="24" customHeight="1">
      <c r="A23" s="33" t="s">
        <v>8</v>
      </c>
      <c r="B23" s="33" t="s">
        <v>9</v>
      </c>
      <c r="C23" s="34" t="s">
        <v>10</v>
      </c>
      <c r="D23" s="33" t="s">
        <v>11</v>
      </c>
      <c r="E23" s="33" t="s">
        <v>12</v>
      </c>
      <c r="F23" s="35" t="s">
        <v>13</v>
      </c>
      <c r="G23" s="36" t="s">
        <v>14</v>
      </c>
      <c r="H23" s="33" t="s">
        <v>15</v>
      </c>
      <c r="I23" s="37" t="s">
        <v>16</v>
      </c>
      <c r="J23" s="38" t="s">
        <v>17</v>
      </c>
      <c r="K23" s="39" t="s">
        <v>18</v>
      </c>
      <c r="L23" s="38" t="s">
        <v>19</v>
      </c>
      <c r="M23" s="38" t="s">
        <v>20</v>
      </c>
      <c r="N23" s="38" t="s">
        <v>21</v>
      </c>
      <c r="O23" s="33" t="s">
        <v>22</v>
      </c>
      <c r="P23" s="34" t="s">
        <v>23</v>
      </c>
      <c r="Q23" s="38" t="s">
        <v>24</v>
      </c>
      <c r="R23" s="33" t="s">
        <v>25</v>
      </c>
    </row>
    <row r="24" spans="1:18" ht="49.9" customHeight="1">
      <c r="A24" s="67" t="s">
        <v>61</v>
      </c>
      <c r="B24" s="67" t="s">
        <v>1319</v>
      </c>
      <c r="C24" s="68">
        <v>0.69097222222222221</v>
      </c>
      <c r="D24" s="67" t="s">
        <v>63</v>
      </c>
      <c r="E24" s="67" t="s">
        <v>177</v>
      </c>
      <c r="F24" s="67" t="s">
        <v>1320</v>
      </c>
      <c r="G24" s="297"/>
      <c r="H24" s="69" t="s">
        <v>1321</v>
      </c>
      <c r="I24" s="70">
        <v>5.5999999999999999E-3</v>
      </c>
      <c r="J24" s="71">
        <v>1</v>
      </c>
      <c r="K24" s="72">
        <v>46335</v>
      </c>
      <c r="L24" s="71">
        <v>1</v>
      </c>
      <c r="M24" s="71">
        <v>0</v>
      </c>
      <c r="N24" s="71">
        <v>0</v>
      </c>
      <c r="O24" s="73" t="s">
        <v>900</v>
      </c>
      <c r="P24" s="74">
        <v>0.69097222222222221</v>
      </c>
      <c r="Q24" s="71">
        <v>179</v>
      </c>
      <c r="R24" s="75" t="s">
        <v>244</v>
      </c>
    </row>
    <row r="25" spans="1:18" ht="18">
      <c r="A25" s="292" t="s">
        <v>1323</v>
      </c>
      <c r="B25" s="303"/>
      <c r="C25" s="303"/>
      <c r="D25" s="303"/>
      <c r="E25" s="303"/>
      <c r="F25" s="304"/>
      <c r="G25" s="298"/>
      <c r="H25" s="138"/>
      <c r="I25" s="138"/>
      <c r="J25" s="138"/>
      <c r="K25" s="138"/>
      <c r="L25" s="138"/>
      <c r="M25" s="138"/>
      <c r="N25" s="138"/>
      <c r="O25" s="139"/>
      <c r="P25" s="138"/>
      <c r="Q25" s="107"/>
      <c r="R25" s="107"/>
    </row>
    <row r="26" spans="1:18" ht="49.9" customHeight="1">
      <c r="A26" s="17" t="s">
        <v>359</v>
      </c>
      <c r="B26" s="17" t="s">
        <v>1291</v>
      </c>
      <c r="C26" s="18" t="s">
        <v>1202</v>
      </c>
      <c r="D26" s="17" t="s">
        <v>361</v>
      </c>
      <c r="E26" s="17" t="s">
        <v>270</v>
      </c>
      <c r="F26" s="17" t="s">
        <v>493</v>
      </c>
      <c r="G26" s="298"/>
      <c r="H26" s="138"/>
      <c r="I26" s="138"/>
      <c r="J26" s="138"/>
      <c r="K26" s="138"/>
      <c r="L26" s="138"/>
      <c r="M26" s="138"/>
      <c r="N26" s="138"/>
      <c r="O26" s="139"/>
      <c r="P26" s="138"/>
      <c r="Q26" s="107"/>
      <c r="R26" s="107"/>
    </row>
    <row r="27" spans="1:18" ht="49.9" customHeight="1">
      <c r="A27" s="17" t="s">
        <v>402</v>
      </c>
      <c r="B27" s="17" t="s">
        <v>1300</v>
      </c>
      <c r="C27" s="18" t="s">
        <v>1324</v>
      </c>
      <c r="D27" s="17" t="s">
        <v>63</v>
      </c>
      <c r="E27" s="17" t="s">
        <v>303</v>
      </c>
      <c r="F27" s="17" t="s">
        <v>1146</v>
      </c>
      <c r="G27" s="298"/>
      <c r="H27" s="138"/>
      <c r="I27" s="138"/>
      <c r="J27" s="138"/>
      <c r="K27" s="138"/>
      <c r="L27" s="138"/>
      <c r="M27" s="138"/>
      <c r="N27" s="138"/>
      <c r="O27" s="139"/>
      <c r="P27" s="138"/>
      <c r="Q27" s="107"/>
      <c r="R27" s="107"/>
    </row>
    <row r="28" spans="1:18" ht="49.9" customHeight="1">
      <c r="A28" s="17" t="s">
        <v>68</v>
      </c>
      <c r="B28" s="17" t="s">
        <v>1295</v>
      </c>
      <c r="C28" s="18" t="s">
        <v>241</v>
      </c>
      <c r="D28" s="17" t="s">
        <v>643</v>
      </c>
      <c r="E28" s="17" t="s">
        <v>269</v>
      </c>
      <c r="F28" s="17" t="s">
        <v>1296</v>
      </c>
      <c r="G28" s="298"/>
      <c r="H28" s="138"/>
      <c r="I28" s="138"/>
      <c r="J28" s="138"/>
      <c r="K28" s="138"/>
      <c r="L28" s="138"/>
      <c r="M28" s="138"/>
      <c r="N28" s="138"/>
      <c r="O28" s="139"/>
      <c r="P28" s="138"/>
      <c r="Q28" s="107"/>
      <c r="R28" s="107"/>
    </row>
    <row r="29" spans="1:18" ht="49.9" customHeight="1" thickBot="1">
      <c r="A29" s="30" t="s">
        <v>359</v>
      </c>
      <c r="B29" s="30" t="s">
        <v>1291</v>
      </c>
      <c r="C29" s="31" t="s">
        <v>1202</v>
      </c>
      <c r="D29" s="30" t="s">
        <v>46</v>
      </c>
      <c r="E29" s="30" t="s">
        <v>270</v>
      </c>
      <c r="F29" s="30" t="s">
        <v>1299</v>
      </c>
      <c r="G29" s="299"/>
      <c r="H29" s="140"/>
      <c r="I29" s="140"/>
      <c r="J29" s="140"/>
      <c r="K29" s="140"/>
      <c r="L29" s="140"/>
      <c r="M29" s="140"/>
      <c r="N29" s="140"/>
      <c r="O29" s="141"/>
      <c r="P29" s="140"/>
      <c r="Q29" s="142"/>
      <c r="R29" s="142"/>
    </row>
    <row r="30" spans="1:18" ht="17.45" customHeight="1" thickBot="1">
      <c r="A30" s="283"/>
      <c r="B30" s="284"/>
      <c r="C30" s="284"/>
      <c r="D30" s="284"/>
      <c r="E30" s="284"/>
      <c r="F30" s="284"/>
      <c r="G30" s="284"/>
      <c r="H30" s="284"/>
      <c r="I30" s="284"/>
      <c r="J30" s="284"/>
      <c r="K30" s="284"/>
      <c r="L30" s="284"/>
      <c r="M30" s="284"/>
      <c r="N30" s="284"/>
      <c r="O30" s="284"/>
      <c r="P30" s="284"/>
      <c r="Q30" s="284"/>
      <c r="R30" s="285"/>
    </row>
    <row r="31" spans="1:18" ht="22.15" customHeight="1" thickTop="1" thickBot="1">
      <c r="A31" s="279" t="s">
        <v>6</v>
      </c>
      <c r="B31" s="295"/>
      <c r="C31" s="295"/>
      <c r="D31" s="295"/>
      <c r="E31" s="295"/>
      <c r="F31" s="296"/>
      <c r="G31" s="32">
        <v>46035</v>
      </c>
      <c r="H31" s="278" t="s">
        <v>7</v>
      </c>
      <c r="I31" s="295"/>
      <c r="J31" s="295"/>
      <c r="K31" s="295"/>
      <c r="L31" s="295"/>
      <c r="M31" s="295"/>
      <c r="N31" s="295"/>
      <c r="O31" s="295"/>
      <c r="P31" s="295"/>
      <c r="Q31" s="295"/>
      <c r="R31" s="296"/>
    </row>
    <row r="32" spans="1:18" ht="24" customHeight="1">
      <c r="A32" s="33" t="s">
        <v>8</v>
      </c>
      <c r="B32" s="33" t="s">
        <v>9</v>
      </c>
      <c r="C32" s="34" t="s">
        <v>10</v>
      </c>
      <c r="D32" s="33" t="s">
        <v>11</v>
      </c>
      <c r="E32" s="33" t="s">
        <v>12</v>
      </c>
      <c r="F32" s="35" t="s">
        <v>13</v>
      </c>
      <c r="G32" s="36" t="s">
        <v>14</v>
      </c>
      <c r="H32" s="33" t="s">
        <v>15</v>
      </c>
      <c r="I32" s="37" t="s">
        <v>16</v>
      </c>
      <c r="J32" s="38" t="s">
        <v>17</v>
      </c>
      <c r="K32" s="39" t="s">
        <v>18</v>
      </c>
      <c r="L32" s="38" t="s">
        <v>19</v>
      </c>
      <c r="M32" s="38" t="s">
        <v>20</v>
      </c>
      <c r="N32" s="38" t="s">
        <v>21</v>
      </c>
      <c r="O32" s="33" t="s">
        <v>22</v>
      </c>
      <c r="P32" s="34" t="s">
        <v>23</v>
      </c>
      <c r="Q32" s="38" t="s">
        <v>24</v>
      </c>
      <c r="R32" s="33" t="s">
        <v>25</v>
      </c>
    </row>
    <row r="33" spans="1:18" ht="49.9" customHeight="1">
      <c r="A33" s="67" t="s">
        <v>61</v>
      </c>
      <c r="B33" s="67" t="s">
        <v>1319</v>
      </c>
      <c r="C33" s="68">
        <v>0.85763888888888884</v>
      </c>
      <c r="D33" s="67" t="s">
        <v>63</v>
      </c>
      <c r="E33" s="67" t="s">
        <v>29</v>
      </c>
      <c r="F33" s="67" t="s">
        <v>1320</v>
      </c>
      <c r="G33" s="297"/>
      <c r="H33" s="69" t="s">
        <v>1321</v>
      </c>
      <c r="I33" s="70">
        <v>1.6799999999999999E-2</v>
      </c>
      <c r="J33" s="71">
        <v>3</v>
      </c>
      <c r="K33" s="72">
        <v>46325</v>
      </c>
      <c r="L33" s="71">
        <v>3</v>
      </c>
      <c r="M33" s="71">
        <v>0</v>
      </c>
      <c r="N33" s="71">
        <v>0</v>
      </c>
      <c r="O33" s="73" t="s">
        <v>901</v>
      </c>
      <c r="P33" s="74">
        <v>0.85763888888888884</v>
      </c>
      <c r="Q33" s="71">
        <v>179</v>
      </c>
      <c r="R33" s="75" t="s">
        <v>893</v>
      </c>
    </row>
    <row r="34" spans="1:18" ht="18">
      <c r="A34" s="292" t="s">
        <v>1323</v>
      </c>
      <c r="B34" s="303"/>
      <c r="C34" s="303"/>
      <c r="D34" s="303"/>
      <c r="E34" s="303"/>
      <c r="F34" s="304"/>
      <c r="G34" s="298"/>
      <c r="H34" s="138"/>
      <c r="I34" s="138"/>
      <c r="J34" s="138"/>
      <c r="K34" s="138"/>
      <c r="L34" s="138"/>
      <c r="M34" s="138"/>
      <c r="N34" s="138"/>
      <c r="O34" s="139"/>
      <c r="P34" s="138"/>
      <c r="Q34" s="107"/>
      <c r="R34" s="107"/>
    </row>
    <row r="35" spans="1:18" ht="49.9" customHeight="1">
      <c r="A35" s="17" t="s">
        <v>359</v>
      </c>
      <c r="B35" s="17" t="s">
        <v>1291</v>
      </c>
      <c r="C35" s="18" t="s">
        <v>1202</v>
      </c>
      <c r="D35" s="17" t="s">
        <v>361</v>
      </c>
      <c r="E35" s="17" t="s">
        <v>270</v>
      </c>
      <c r="F35" s="17" t="s">
        <v>1292</v>
      </c>
      <c r="G35" s="298"/>
      <c r="H35" s="138"/>
      <c r="I35" s="138"/>
      <c r="J35" s="138"/>
      <c r="K35" s="138"/>
      <c r="L35" s="138"/>
      <c r="M35" s="138"/>
      <c r="N35" s="138"/>
      <c r="O35" s="139"/>
      <c r="P35" s="138"/>
      <c r="Q35" s="107"/>
      <c r="R35" s="107"/>
    </row>
    <row r="36" spans="1:18" ht="49.9" customHeight="1">
      <c r="A36" s="17" t="s">
        <v>359</v>
      </c>
      <c r="B36" s="17" t="s">
        <v>1291</v>
      </c>
      <c r="C36" s="18" t="s">
        <v>1202</v>
      </c>
      <c r="D36" s="17" t="s">
        <v>46</v>
      </c>
      <c r="E36" s="17" t="s">
        <v>270</v>
      </c>
      <c r="F36" s="17" t="s">
        <v>1293</v>
      </c>
      <c r="G36" s="298"/>
      <c r="H36" s="138"/>
      <c r="I36" s="138"/>
      <c r="J36" s="138"/>
      <c r="K36" s="138"/>
      <c r="L36" s="138"/>
      <c r="M36" s="138"/>
      <c r="N36" s="138"/>
      <c r="O36" s="139"/>
      <c r="P36" s="138"/>
      <c r="Q36" s="107"/>
      <c r="R36" s="107"/>
    </row>
    <row r="37" spans="1:18" ht="49.9" customHeight="1">
      <c r="A37" s="17" t="s">
        <v>402</v>
      </c>
      <c r="B37" s="17" t="s">
        <v>1294</v>
      </c>
      <c r="C37" s="18" t="s">
        <v>592</v>
      </c>
      <c r="D37" s="17" t="s">
        <v>63</v>
      </c>
      <c r="E37" s="17" t="s">
        <v>267</v>
      </c>
      <c r="F37" s="17" t="s">
        <v>1063</v>
      </c>
      <c r="G37" s="298"/>
      <c r="H37" s="138"/>
      <c r="I37" s="138"/>
      <c r="J37" s="138"/>
      <c r="K37" s="138"/>
      <c r="L37" s="138"/>
      <c r="M37" s="138"/>
      <c r="N37" s="138"/>
      <c r="O37" s="139"/>
      <c r="P37" s="138"/>
      <c r="Q37" s="107"/>
      <c r="R37" s="107"/>
    </row>
    <row r="38" spans="1:18" ht="49.9" customHeight="1" thickBot="1">
      <c r="A38" s="30" t="s">
        <v>415</v>
      </c>
      <c r="B38" s="30" t="s">
        <v>1297</v>
      </c>
      <c r="C38" s="31" t="s">
        <v>563</v>
      </c>
      <c r="D38" s="30" t="s">
        <v>63</v>
      </c>
      <c r="E38" s="30" t="s">
        <v>277</v>
      </c>
      <c r="F38" s="30" t="s">
        <v>1298</v>
      </c>
      <c r="G38" s="299"/>
      <c r="H38" s="140"/>
      <c r="I38" s="140"/>
      <c r="J38" s="140"/>
      <c r="K38" s="140"/>
      <c r="L38" s="140"/>
      <c r="M38" s="140"/>
      <c r="N38" s="140"/>
      <c r="O38" s="141"/>
      <c r="P38" s="140"/>
      <c r="Q38" s="142"/>
      <c r="R38" s="142"/>
    </row>
    <row r="39" spans="1:18" ht="17.45" customHeight="1" thickBot="1">
      <c r="A39" s="283"/>
      <c r="B39" s="284"/>
      <c r="C39" s="284"/>
      <c r="D39" s="284"/>
      <c r="E39" s="284"/>
      <c r="F39" s="284"/>
      <c r="G39" s="284"/>
      <c r="H39" s="284"/>
      <c r="I39" s="284"/>
      <c r="J39" s="284"/>
      <c r="K39" s="284"/>
      <c r="L39" s="284"/>
      <c r="M39" s="284"/>
      <c r="N39" s="284"/>
      <c r="O39" s="284"/>
      <c r="P39" s="284"/>
      <c r="Q39" s="284"/>
      <c r="R39" s="285"/>
    </row>
    <row r="40" spans="1:18" ht="22.15" customHeight="1" thickTop="1" thickBot="1">
      <c r="A40" s="279" t="s">
        <v>6</v>
      </c>
      <c r="B40" s="295"/>
      <c r="C40" s="295"/>
      <c r="D40" s="295"/>
      <c r="E40" s="295"/>
      <c r="F40" s="296"/>
      <c r="G40" s="32">
        <v>46039</v>
      </c>
      <c r="H40" s="278" t="s">
        <v>7</v>
      </c>
      <c r="I40" s="295"/>
      <c r="J40" s="295"/>
      <c r="K40" s="295"/>
      <c r="L40" s="295"/>
      <c r="M40" s="295"/>
      <c r="N40" s="295"/>
      <c r="O40" s="295"/>
      <c r="P40" s="295"/>
      <c r="Q40" s="295"/>
      <c r="R40" s="296"/>
    </row>
    <row r="41" spans="1:18" ht="24" customHeight="1">
      <c r="A41" s="33" t="s">
        <v>8</v>
      </c>
      <c r="B41" s="33" t="s">
        <v>9</v>
      </c>
      <c r="C41" s="34" t="s">
        <v>10</v>
      </c>
      <c r="D41" s="33" t="s">
        <v>11</v>
      </c>
      <c r="E41" s="33" t="s">
        <v>12</v>
      </c>
      <c r="F41" s="35" t="s">
        <v>13</v>
      </c>
      <c r="G41" s="36" t="s">
        <v>14</v>
      </c>
      <c r="H41" s="33" t="s">
        <v>15</v>
      </c>
      <c r="I41" s="37" t="s">
        <v>16</v>
      </c>
      <c r="J41" s="38" t="s">
        <v>17</v>
      </c>
      <c r="K41" s="39" t="s">
        <v>18</v>
      </c>
      <c r="L41" s="38" t="s">
        <v>19</v>
      </c>
      <c r="M41" s="38" t="s">
        <v>20</v>
      </c>
      <c r="N41" s="38" t="s">
        <v>21</v>
      </c>
      <c r="O41" s="33" t="s">
        <v>22</v>
      </c>
      <c r="P41" s="34" t="s">
        <v>23</v>
      </c>
      <c r="Q41" s="38" t="s">
        <v>24</v>
      </c>
      <c r="R41" s="33" t="s">
        <v>25</v>
      </c>
    </row>
    <row r="42" spans="1:18" ht="15" customHeight="1">
      <c r="A42" s="58" t="s">
        <v>61</v>
      </c>
      <c r="B42" s="58" t="s">
        <v>1319</v>
      </c>
      <c r="C42" s="59">
        <v>0.69097222222222221</v>
      </c>
      <c r="D42" s="58" t="s">
        <v>63</v>
      </c>
      <c r="E42" s="58" t="s">
        <v>51</v>
      </c>
      <c r="F42" s="58" t="s">
        <v>503</v>
      </c>
      <c r="G42" s="297"/>
      <c r="H42" s="60" t="s">
        <v>1321</v>
      </c>
      <c r="I42" s="61">
        <v>1.6799999999999999E-2</v>
      </c>
      <c r="J42" s="62">
        <v>3</v>
      </c>
      <c r="K42" s="63">
        <v>46288</v>
      </c>
      <c r="L42" s="62">
        <v>3</v>
      </c>
      <c r="M42" s="62">
        <v>0</v>
      </c>
      <c r="N42" s="62">
        <v>0</v>
      </c>
      <c r="O42" s="64" t="s">
        <v>667</v>
      </c>
      <c r="P42" s="65">
        <v>0.69097222222222221</v>
      </c>
      <c r="Q42" s="62">
        <v>179</v>
      </c>
      <c r="R42" s="66" t="s">
        <v>304</v>
      </c>
    </row>
    <row r="43" spans="1:18" ht="18">
      <c r="A43" s="292" t="s">
        <v>1323</v>
      </c>
      <c r="B43" s="303"/>
      <c r="C43" s="303"/>
      <c r="D43" s="303"/>
      <c r="E43" s="303"/>
      <c r="F43" s="304"/>
      <c r="G43" s="298"/>
      <c r="H43" s="138"/>
      <c r="I43" s="138"/>
      <c r="J43" s="138"/>
      <c r="K43" s="138"/>
      <c r="L43" s="138"/>
      <c r="M43" s="138"/>
      <c r="N43" s="138"/>
      <c r="O43" s="139"/>
      <c r="P43" s="138"/>
      <c r="Q43" s="107"/>
      <c r="R43" s="107"/>
    </row>
    <row r="44" spans="1:18" ht="15" customHeight="1">
      <c r="A44" s="17" t="s">
        <v>359</v>
      </c>
      <c r="B44" s="17" t="s">
        <v>1291</v>
      </c>
      <c r="C44" s="18" t="s">
        <v>1202</v>
      </c>
      <c r="D44" s="17" t="s">
        <v>361</v>
      </c>
      <c r="E44" s="17" t="s">
        <v>270</v>
      </c>
      <c r="F44" s="17" t="s">
        <v>1309</v>
      </c>
      <c r="G44" s="298"/>
      <c r="H44" s="138"/>
      <c r="I44" s="138"/>
      <c r="J44" s="138"/>
      <c r="K44" s="138"/>
      <c r="L44" s="138"/>
      <c r="M44" s="138"/>
      <c r="N44" s="138"/>
      <c r="O44" s="139"/>
      <c r="P44" s="138"/>
      <c r="Q44" s="107"/>
      <c r="R44" s="107"/>
    </row>
    <row r="45" spans="1:18" ht="15" customHeight="1">
      <c r="A45" s="17" t="s">
        <v>402</v>
      </c>
      <c r="B45" s="17" t="s">
        <v>1300</v>
      </c>
      <c r="C45" s="18" t="s">
        <v>1324</v>
      </c>
      <c r="D45" s="17" t="s">
        <v>63</v>
      </c>
      <c r="E45" s="17" t="s">
        <v>267</v>
      </c>
      <c r="F45" s="17" t="s">
        <v>1063</v>
      </c>
      <c r="G45" s="298"/>
      <c r="H45" s="138"/>
      <c r="I45" s="138"/>
      <c r="J45" s="138"/>
      <c r="K45" s="138"/>
      <c r="L45" s="138"/>
      <c r="M45" s="138"/>
      <c r="N45" s="138"/>
      <c r="O45" s="139"/>
      <c r="P45" s="138"/>
      <c r="Q45" s="107"/>
      <c r="R45" s="107"/>
    </row>
    <row r="46" spans="1:18" ht="15" customHeight="1">
      <c r="A46" s="17" t="s">
        <v>359</v>
      </c>
      <c r="B46" s="17" t="s">
        <v>1291</v>
      </c>
      <c r="C46" s="18" t="s">
        <v>1202</v>
      </c>
      <c r="D46" s="17" t="s">
        <v>46</v>
      </c>
      <c r="E46" s="17" t="s">
        <v>270</v>
      </c>
      <c r="F46" s="17" t="s">
        <v>1310</v>
      </c>
      <c r="G46" s="298"/>
      <c r="H46" s="138"/>
      <c r="I46" s="138"/>
      <c r="J46" s="138"/>
      <c r="K46" s="138"/>
      <c r="L46" s="138"/>
      <c r="M46" s="138"/>
      <c r="N46" s="138"/>
      <c r="O46" s="139"/>
      <c r="P46" s="138"/>
      <c r="Q46" s="107"/>
      <c r="R46" s="107"/>
    </row>
    <row r="47" spans="1:18" ht="15" customHeight="1">
      <c r="A47" s="17" t="s">
        <v>415</v>
      </c>
      <c r="B47" s="17" t="s">
        <v>1297</v>
      </c>
      <c r="C47" s="18" t="s">
        <v>563</v>
      </c>
      <c r="D47" s="17" t="s">
        <v>63</v>
      </c>
      <c r="E47" s="17" t="s">
        <v>277</v>
      </c>
      <c r="F47" s="17" t="s">
        <v>1298</v>
      </c>
      <c r="G47" s="298"/>
      <c r="H47" s="138"/>
      <c r="I47" s="138"/>
      <c r="J47" s="138"/>
      <c r="K47" s="138"/>
      <c r="L47" s="138"/>
      <c r="M47" s="138"/>
      <c r="N47" s="138"/>
      <c r="O47" s="139"/>
      <c r="P47" s="138"/>
      <c r="Q47" s="107"/>
      <c r="R47" s="107"/>
    </row>
    <row r="48" spans="1:18" ht="15" customHeight="1" thickBot="1">
      <c r="A48" s="30" t="s">
        <v>68</v>
      </c>
      <c r="B48" s="30" t="s">
        <v>1295</v>
      </c>
      <c r="C48" s="31" t="s">
        <v>241</v>
      </c>
      <c r="D48" s="30" t="s">
        <v>70</v>
      </c>
      <c r="E48" s="30" t="s">
        <v>269</v>
      </c>
      <c r="F48" s="30" t="s">
        <v>1311</v>
      </c>
      <c r="G48" s="299"/>
      <c r="H48" s="140"/>
      <c r="I48" s="140"/>
      <c r="J48" s="140"/>
      <c r="K48" s="140"/>
      <c r="L48" s="140"/>
      <c r="M48" s="140"/>
      <c r="N48" s="140"/>
      <c r="O48" s="141"/>
      <c r="P48" s="140"/>
      <c r="Q48" s="142"/>
      <c r="R48" s="142"/>
    </row>
    <row r="49" spans="1:18" ht="17.45" customHeight="1" thickBot="1">
      <c r="A49" s="283"/>
      <c r="B49" s="284"/>
      <c r="C49" s="284"/>
      <c r="D49" s="284"/>
      <c r="E49" s="284"/>
      <c r="F49" s="284"/>
      <c r="G49" s="284"/>
      <c r="H49" s="284"/>
      <c r="I49" s="284"/>
      <c r="J49" s="284"/>
      <c r="K49" s="284"/>
      <c r="L49" s="284"/>
      <c r="M49" s="284"/>
      <c r="N49" s="284"/>
      <c r="O49" s="284"/>
      <c r="P49" s="284"/>
      <c r="Q49" s="284"/>
      <c r="R49" s="285"/>
    </row>
    <row r="50" spans="1:18" ht="22.15" customHeight="1" thickTop="1" thickBot="1">
      <c r="A50" s="279" t="s">
        <v>6</v>
      </c>
      <c r="B50" s="295"/>
      <c r="C50" s="295"/>
      <c r="D50" s="295"/>
      <c r="E50" s="295"/>
      <c r="F50" s="296"/>
      <c r="G50" s="32">
        <v>46042</v>
      </c>
      <c r="H50" s="278" t="s">
        <v>7</v>
      </c>
      <c r="I50" s="295"/>
      <c r="J50" s="295"/>
      <c r="K50" s="295"/>
      <c r="L50" s="295"/>
      <c r="M50" s="295"/>
      <c r="N50" s="295"/>
      <c r="O50" s="295"/>
      <c r="P50" s="295"/>
      <c r="Q50" s="295"/>
      <c r="R50" s="296"/>
    </row>
    <row r="51" spans="1:18" ht="24" customHeight="1">
      <c r="A51" s="33" t="s">
        <v>8</v>
      </c>
      <c r="B51" s="33" t="s">
        <v>9</v>
      </c>
      <c r="C51" s="34" t="s">
        <v>10</v>
      </c>
      <c r="D51" s="33" t="s">
        <v>11</v>
      </c>
      <c r="E51" s="33" t="s">
        <v>12</v>
      </c>
      <c r="F51" s="35" t="s">
        <v>13</v>
      </c>
      <c r="G51" s="36" t="s">
        <v>14</v>
      </c>
      <c r="H51" s="33" t="s">
        <v>15</v>
      </c>
      <c r="I51" s="37" t="s">
        <v>16</v>
      </c>
      <c r="J51" s="38" t="s">
        <v>17</v>
      </c>
      <c r="K51" s="39" t="s">
        <v>18</v>
      </c>
      <c r="L51" s="38" t="s">
        <v>19</v>
      </c>
      <c r="M51" s="38" t="s">
        <v>20</v>
      </c>
      <c r="N51" s="38" t="s">
        <v>21</v>
      </c>
      <c r="O51" s="33" t="s">
        <v>22</v>
      </c>
      <c r="P51" s="34" t="s">
        <v>23</v>
      </c>
      <c r="Q51" s="38" t="s">
        <v>24</v>
      </c>
      <c r="R51" s="33" t="s">
        <v>25</v>
      </c>
    </row>
    <row r="52" spans="1:18" ht="49.9" customHeight="1">
      <c r="A52" s="78" t="s">
        <v>61</v>
      </c>
      <c r="B52" s="78" t="s">
        <v>1319</v>
      </c>
      <c r="C52" s="79">
        <v>0.85763888888888884</v>
      </c>
      <c r="D52" s="78" t="s">
        <v>63</v>
      </c>
      <c r="E52" s="78" t="s">
        <v>126</v>
      </c>
      <c r="F52" s="78" t="s">
        <v>1325</v>
      </c>
      <c r="G52" s="297"/>
      <c r="H52" s="80" t="s">
        <v>1321</v>
      </c>
      <c r="I52" s="81">
        <v>5.5999999999999999E-3</v>
      </c>
      <c r="J52" s="82">
        <v>1</v>
      </c>
      <c r="K52" s="83">
        <v>46330</v>
      </c>
      <c r="L52" s="82">
        <v>1</v>
      </c>
      <c r="M52" s="82">
        <v>0</v>
      </c>
      <c r="N52" s="82">
        <v>0</v>
      </c>
      <c r="O52" s="84" t="s">
        <v>967</v>
      </c>
      <c r="P52" s="85">
        <v>0.85763888888888884</v>
      </c>
      <c r="Q52" s="82">
        <v>179</v>
      </c>
      <c r="R52" s="86" t="s">
        <v>570</v>
      </c>
    </row>
    <row r="53" spans="1:18" ht="18">
      <c r="A53" s="292" t="s">
        <v>1323</v>
      </c>
      <c r="B53" s="303"/>
      <c r="C53" s="303"/>
      <c r="D53" s="303"/>
      <c r="E53" s="303"/>
      <c r="F53" s="304"/>
      <c r="G53" s="298"/>
      <c r="H53" s="138"/>
      <c r="I53" s="138"/>
      <c r="J53" s="138"/>
      <c r="K53" s="138"/>
      <c r="L53" s="138"/>
      <c r="M53" s="138"/>
      <c r="N53" s="138"/>
      <c r="O53" s="139"/>
      <c r="P53" s="138"/>
      <c r="Q53" s="107"/>
      <c r="R53" s="107"/>
    </row>
    <row r="54" spans="1:18" ht="49.9" customHeight="1">
      <c r="A54" s="17" t="s">
        <v>359</v>
      </c>
      <c r="B54" s="17" t="s">
        <v>1291</v>
      </c>
      <c r="C54" s="18" t="s">
        <v>1202</v>
      </c>
      <c r="D54" s="17" t="s">
        <v>361</v>
      </c>
      <c r="E54" s="17" t="s">
        <v>270</v>
      </c>
      <c r="F54" s="17" t="s">
        <v>1304</v>
      </c>
      <c r="G54" s="298"/>
      <c r="H54" s="138"/>
      <c r="I54" s="138"/>
      <c r="J54" s="138"/>
      <c r="K54" s="138"/>
      <c r="L54" s="138"/>
      <c r="M54" s="138"/>
      <c r="N54" s="138"/>
      <c r="O54" s="139"/>
      <c r="P54" s="138"/>
      <c r="Q54" s="107"/>
      <c r="R54" s="107"/>
    </row>
    <row r="55" spans="1:18" ht="49.9" customHeight="1">
      <c r="A55" s="17" t="s">
        <v>359</v>
      </c>
      <c r="B55" s="17" t="s">
        <v>1291</v>
      </c>
      <c r="C55" s="18" t="s">
        <v>1202</v>
      </c>
      <c r="D55" s="17" t="s">
        <v>46</v>
      </c>
      <c r="E55" s="17" t="s">
        <v>270</v>
      </c>
      <c r="F55" s="17" t="s">
        <v>1305</v>
      </c>
      <c r="G55" s="298"/>
      <c r="H55" s="138"/>
      <c r="I55" s="138"/>
      <c r="J55" s="138"/>
      <c r="K55" s="138"/>
      <c r="L55" s="138"/>
      <c r="M55" s="138"/>
      <c r="N55" s="138"/>
      <c r="O55" s="139"/>
      <c r="P55" s="138"/>
      <c r="Q55" s="107"/>
      <c r="R55" s="107"/>
    </row>
    <row r="56" spans="1:18" ht="49.9" customHeight="1">
      <c r="A56" s="17" t="s">
        <v>402</v>
      </c>
      <c r="B56" s="17" t="s">
        <v>1294</v>
      </c>
      <c r="C56" s="18" t="s">
        <v>592</v>
      </c>
      <c r="D56" s="17" t="s">
        <v>63</v>
      </c>
      <c r="E56" s="17" t="s">
        <v>277</v>
      </c>
      <c r="F56" s="17" t="s">
        <v>1063</v>
      </c>
      <c r="G56" s="298"/>
      <c r="H56" s="138"/>
      <c r="I56" s="138"/>
      <c r="J56" s="138"/>
      <c r="K56" s="138"/>
      <c r="L56" s="138"/>
      <c r="M56" s="138"/>
      <c r="N56" s="138"/>
      <c r="O56" s="139"/>
      <c r="P56" s="138"/>
      <c r="Q56" s="107"/>
      <c r="R56" s="107"/>
    </row>
    <row r="57" spans="1:18" ht="49.9" customHeight="1" thickBot="1">
      <c r="A57" s="30" t="s">
        <v>415</v>
      </c>
      <c r="B57" s="30" t="s">
        <v>1297</v>
      </c>
      <c r="C57" s="31" t="s">
        <v>563</v>
      </c>
      <c r="D57" s="30" t="s">
        <v>63</v>
      </c>
      <c r="E57" s="30" t="s">
        <v>277</v>
      </c>
      <c r="F57" s="30" t="s">
        <v>1298</v>
      </c>
      <c r="G57" s="299"/>
      <c r="H57" s="140"/>
      <c r="I57" s="140"/>
      <c r="J57" s="140"/>
      <c r="K57" s="140"/>
      <c r="L57" s="140"/>
      <c r="M57" s="140"/>
      <c r="N57" s="140"/>
      <c r="O57" s="141"/>
      <c r="P57" s="140"/>
      <c r="Q57" s="142"/>
      <c r="R57" s="142"/>
    </row>
    <row r="58" spans="1:18" ht="17.45" customHeight="1" thickBot="1">
      <c r="A58" s="283"/>
      <c r="B58" s="284"/>
      <c r="C58" s="284"/>
      <c r="D58" s="284"/>
      <c r="E58" s="284"/>
      <c r="F58" s="284"/>
      <c r="G58" s="284"/>
      <c r="H58" s="284"/>
      <c r="I58" s="284"/>
      <c r="J58" s="284"/>
      <c r="K58" s="284"/>
      <c r="L58" s="284"/>
      <c r="M58" s="284"/>
      <c r="N58" s="284"/>
      <c r="O58" s="284"/>
      <c r="P58" s="284"/>
      <c r="Q58" s="284"/>
      <c r="R58" s="285"/>
    </row>
    <row r="59" spans="1:18" ht="22.15" customHeight="1" thickTop="1" thickBot="1">
      <c r="A59" s="279" t="s">
        <v>6</v>
      </c>
      <c r="B59" s="295"/>
      <c r="C59" s="295"/>
      <c r="D59" s="295"/>
      <c r="E59" s="295"/>
      <c r="F59" s="296"/>
      <c r="G59" s="32">
        <v>46046</v>
      </c>
      <c r="H59" s="278" t="s">
        <v>7</v>
      </c>
      <c r="I59" s="295"/>
      <c r="J59" s="295"/>
      <c r="K59" s="295"/>
      <c r="L59" s="295"/>
      <c r="M59" s="295"/>
      <c r="N59" s="295"/>
      <c r="O59" s="295"/>
      <c r="P59" s="295"/>
      <c r="Q59" s="295"/>
      <c r="R59" s="296"/>
    </row>
    <row r="60" spans="1:18" ht="24" customHeight="1">
      <c r="A60" s="33" t="s">
        <v>8</v>
      </c>
      <c r="B60" s="33" t="s">
        <v>9</v>
      </c>
      <c r="C60" s="34" t="s">
        <v>10</v>
      </c>
      <c r="D60" s="33" t="s">
        <v>11</v>
      </c>
      <c r="E60" s="33" t="s">
        <v>12</v>
      </c>
      <c r="F60" s="35" t="s">
        <v>13</v>
      </c>
      <c r="G60" s="36" t="s">
        <v>14</v>
      </c>
      <c r="H60" s="33" t="s">
        <v>15</v>
      </c>
      <c r="I60" s="37" t="s">
        <v>16</v>
      </c>
      <c r="J60" s="38" t="s">
        <v>17</v>
      </c>
      <c r="K60" s="39" t="s">
        <v>18</v>
      </c>
      <c r="L60" s="38" t="s">
        <v>19</v>
      </c>
      <c r="M60" s="38" t="s">
        <v>20</v>
      </c>
      <c r="N60" s="38" t="s">
        <v>21</v>
      </c>
      <c r="O60" s="33" t="s">
        <v>22</v>
      </c>
      <c r="P60" s="34" t="s">
        <v>23</v>
      </c>
      <c r="Q60" s="38" t="s">
        <v>24</v>
      </c>
      <c r="R60" s="33" t="s">
        <v>25</v>
      </c>
    </row>
    <row r="61" spans="1:18" ht="15" customHeight="1">
      <c r="A61" s="98" t="s">
        <v>61</v>
      </c>
      <c r="B61" s="98" t="s">
        <v>1319</v>
      </c>
      <c r="C61" s="99">
        <v>0.69097222222222221</v>
      </c>
      <c r="D61" s="98" t="s">
        <v>63</v>
      </c>
      <c r="E61" s="98" t="s">
        <v>103</v>
      </c>
      <c r="F61" s="98" t="s">
        <v>1326</v>
      </c>
      <c r="G61" s="302"/>
      <c r="H61" s="100" t="s">
        <v>1321</v>
      </c>
      <c r="I61" s="101">
        <v>1.6799999999999999E-2</v>
      </c>
      <c r="J61" s="102">
        <v>3</v>
      </c>
      <c r="K61" s="103">
        <v>46320</v>
      </c>
      <c r="L61" s="102">
        <v>3</v>
      </c>
      <c r="M61" s="102">
        <v>0</v>
      </c>
      <c r="N61" s="102">
        <v>0</v>
      </c>
      <c r="O61" s="104" t="s">
        <v>956</v>
      </c>
      <c r="P61" s="105">
        <v>0.69097222222222221</v>
      </c>
      <c r="Q61" s="102">
        <v>179</v>
      </c>
      <c r="R61" s="106" t="s">
        <v>1327</v>
      </c>
    </row>
    <row r="62" spans="1:18" ht="18">
      <c r="A62" s="292" t="s">
        <v>1323</v>
      </c>
      <c r="B62" s="303"/>
      <c r="C62" s="303"/>
      <c r="D62" s="303"/>
      <c r="E62" s="303"/>
      <c r="F62" s="304"/>
      <c r="G62" s="298"/>
      <c r="H62" s="138"/>
      <c r="I62" s="138"/>
      <c r="J62" s="138"/>
      <c r="K62" s="138"/>
      <c r="L62" s="138"/>
      <c r="M62" s="138"/>
      <c r="N62" s="138"/>
      <c r="O62" s="139"/>
      <c r="P62" s="138"/>
      <c r="Q62" s="107"/>
      <c r="R62" s="107"/>
    </row>
    <row r="63" spans="1:18" ht="15" customHeight="1">
      <c r="A63" s="17" t="s">
        <v>359</v>
      </c>
      <c r="B63" s="17" t="s">
        <v>1291</v>
      </c>
      <c r="C63" s="18" t="s">
        <v>1202</v>
      </c>
      <c r="D63" s="17" t="s">
        <v>361</v>
      </c>
      <c r="E63" s="17" t="s">
        <v>270</v>
      </c>
      <c r="F63" s="17" t="s">
        <v>1309</v>
      </c>
      <c r="G63" s="298"/>
      <c r="H63" s="138"/>
      <c r="I63" s="138"/>
      <c r="J63" s="138"/>
      <c r="K63" s="138"/>
      <c r="L63" s="138"/>
      <c r="M63" s="138"/>
      <c r="N63" s="138"/>
      <c r="O63" s="139"/>
      <c r="P63" s="138"/>
      <c r="Q63" s="107"/>
      <c r="R63" s="107"/>
    </row>
    <row r="64" spans="1:18" ht="15" customHeight="1">
      <c r="A64" s="17" t="s">
        <v>68</v>
      </c>
      <c r="B64" s="17" t="s">
        <v>1295</v>
      </c>
      <c r="C64" s="18" t="s">
        <v>241</v>
      </c>
      <c r="D64" s="17" t="s">
        <v>643</v>
      </c>
      <c r="E64" s="17" t="s">
        <v>269</v>
      </c>
      <c r="F64" s="17" t="s">
        <v>1296</v>
      </c>
      <c r="G64" s="298"/>
      <c r="H64" s="138"/>
      <c r="I64" s="138"/>
      <c r="J64" s="138"/>
      <c r="K64" s="138"/>
      <c r="L64" s="138"/>
      <c r="M64" s="138"/>
      <c r="N64" s="138"/>
      <c r="O64" s="139"/>
      <c r="P64" s="138"/>
      <c r="Q64" s="107"/>
      <c r="R64" s="107"/>
    </row>
    <row r="65" spans="1:18" ht="15" customHeight="1">
      <c r="A65" s="17" t="s">
        <v>402</v>
      </c>
      <c r="B65" s="17" t="s">
        <v>1300</v>
      </c>
      <c r="C65" s="18" t="s">
        <v>1324</v>
      </c>
      <c r="D65" s="17" t="s">
        <v>63</v>
      </c>
      <c r="E65" s="17" t="s">
        <v>267</v>
      </c>
      <c r="F65" s="17" t="s">
        <v>1063</v>
      </c>
      <c r="G65" s="298"/>
      <c r="H65" s="138"/>
      <c r="I65" s="138"/>
      <c r="J65" s="138"/>
      <c r="K65" s="138"/>
      <c r="L65" s="138"/>
      <c r="M65" s="138"/>
      <c r="N65" s="138"/>
      <c r="O65" s="139"/>
      <c r="P65" s="138"/>
      <c r="Q65" s="107"/>
      <c r="R65" s="107"/>
    </row>
    <row r="66" spans="1:18" ht="15" customHeight="1">
      <c r="A66" s="17" t="s">
        <v>359</v>
      </c>
      <c r="B66" s="17" t="s">
        <v>1291</v>
      </c>
      <c r="C66" s="18" t="s">
        <v>1202</v>
      </c>
      <c r="D66" s="17" t="s">
        <v>46</v>
      </c>
      <c r="E66" s="17" t="s">
        <v>270</v>
      </c>
      <c r="F66" s="17" t="s">
        <v>1310</v>
      </c>
      <c r="G66" s="298"/>
      <c r="H66" s="138"/>
      <c r="I66" s="138"/>
      <c r="J66" s="138"/>
      <c r="K66" s="138"/>
      <c r="L66" s="138"/>
      <c r="M66" s="138"/>
      <c r="N66" s="138"/>
      <c r="O66" s="139"/>
      <c r="P66" s="138"/>
      <c r="Q66" s="107"/>
      <c r="R66" s="107"/>
    </row>
    <row r="67" spans="1:18" ht="15" customHeight="1" thickBot="1">
      <c r="A67" s="30" t="s">
        <v>415</v>
      </c>
      <c r="B67" s="30" t="s">
        <v>1297</v>
      </c>
      <c r="C67" s="31" t="s">
        <v>563</v>
      </c>
      <c r="D67" s="30" t="s">
        <v>63</v>
      </c>
      <c r="E67" s="30" t="s">
        <v>277</v>
      </c>
      <c r="F67" s="30" t="s">
        <v>1298</v>
      </c>
      <c r="G67" s="299"/>
      <c r="H67" s="140"/>
      <c r="I67" s="140"/>
      <c r="J67" s="140"/>
      <c r="K67" s="140"/>
      <c r="L67" s="140"/>
      <c r="M67" s="140"/>
      <c r="N67" s="140"/>
      <c r="O67" s="141"/>
      <c r="P67" s="140"/>
      <c r="Q67" s="142"/>
      <c r="R67" s="142"/>
    </row>
    <row r="68" spans="1:18" ht="17.45" customHeight="1" thickBot="1">
      <c r="A68" s="283"/>
      <c r="B68" s="284"/>
      <c r="C68" s="284"/>
      <c r="D68" s="284"/>
      <c r="E68" s="284"/>
      <c r="F68" s="284"/>
      <c r="G68" s="284"/>
      <c r="H68" s="284"/>
      <c r="I68" s="284"/>
      <c r="J68" s="284"/>
      <c r="K68" s="284"/>
      <c r="L68" s="284"/>
      <c r="M68" s="284"/>
      <c r="N68" s="284"/>
      <c r="O68" s="284"/>
      <c r="P68" s="284"/>
      <c r="Q68" s="284"/>
      <c r="R68" s="285"/>
    </row>
    <row r="69" spans="1:18" ht="22.15" customHeight="1" thickTop="1" thickBot="1">
      <c r="A69" s="279" t="s">
        <v>6</v>
      </c>
      <c r="B69" s="295"/>
      <c r="C69" s="295"/>
      <c r="D69" s="295"/>
      <c r="E69" s="295"/>
      <c r="F69" s="296"/>
      <c r="G69" s="32">
        <v>46049</v>
      </c>
      <c r="H69" s="278" t="s">
        <v>7</v>
      </c>
      <c r="I69" s="295"/>
      <c r="J69" s="295"/>
      <c r="K69" s="295"/>
      <c r="L69" s="295"/>
      <c r="M69" s="295"/>
      <c r="N69" s="295"/>
      <c r="O69" s="295"/>
      <c r="P69" s="295"/>
      <c r="Q69" s="295"/>
      <c r="R69" s="296"/>
    </row>
    <row r="70" spans="1:18" ht="24" customHeight="1">
      <c r="A70" s="33" t="s">
        <v>8</v>
      </c>
      <c r="B70" s="33" t="s">
        <v>9</v>
      </c>
      <c r="C70" s="34" t="s">
        <v>10</v>
      </c>
      <c r="D70" s="33" t="s">
        <v>11</v>
      </c>
      <c r="E70" s="33" t="s">
        <v>12</v>
      </c>
      <c r="F70" s="35" t="s">
        <v>13</v>
      </c>
      <c r="G70" s="36" t="s">
        <v>14</v>
      </c>
      <c r="H70" s="33" t="s">
        <v>15</v>
      </c>
      <c r="I70" s="37" t="s">
        <v>16</v>
      </c>
      <c r="J70" s="38" t="s">
        <v>17</v>
      </c>
      <c r="K70" s="39" t="s">
        <v>18</v>
      </c>
      <c r="L70" s="38" t="s">
        <v>19</v>
      </c>
      <c r="M70" s="38" t="s">
        <v>20</v>
      </c>
      <c r="N70" s="38" t="s">
        <v>21</v>
      </c>
      <c r="O70" s="33" t="s">
        <v>22</v>
      </c>
      <c r="P70" s="34" t="s">
        <v>23</v>
      </c>
      <c r="Q70" s="38" t="s">
        <v>24</v>
      </c>
      <c r="R70" s="33" t="s">
        <v>25</v>
      </c>
    </row>
    <row r="71" spans="1:18" ht="49.9" customHeight="1">
      <c r="A71" s="78" t="s">
        <v>61</v>
      </c>
      <c r="B71" s="78" t="s">
        <v>1319</v>
      </c>
      <c r="C71" s="79">
        <v>0.85763888888888884</v>
      </c>
      <c r="D71" s="78" t="s">
        <v>63</v>
      </c>
      <c r="E71" s="78" t="s">
        <v>103</v>
      </c>
      <c r="F71" s="78" t="s">
        <v>1328</v>
      </c>
      <c r="G71" s="302"/>
      <c r="H71" s="80" t="s">
        <v>1321</v>
      </c>
      <c r="I71" s="81">
        <v>2.7900000000000001E-2</v>
      </c>
      <c r="J71" s="82">
        <v>5</v>
      </c>
      <c r="K71" s="83">
        <v>46343</v>
      </c>
      <c r="L71" s="82">
        <v>5</v>
      </c>
      <c r="M71" s="82">
        <v>0</v>
      </c>
      <c r="N71" s="82">
        <v>0</v>
      </c>
      <c r="O71" s="84" t="s">
        <v>431</v>
      </c>
      <c r="P71" s="85">
        <v>0.85763888888888884</v>
      </c>
      <c r="Q71" s="82">
        <v>179</v>
      </c>
      <c r="R71" s="86" t="s">
        <v>1329</v>
      </c>
    </row>
    <row r="72" spans="1:18" ht="18">
      <c r="A72" s="292" t="s">
        <v>1323</v>
      </c>
      <c r="B72" s="303"/>
      <c r="C72" s="303"/>
      <c r="D72" s="303"/>
      <c r="E72" s="303"/>
      <c r="F72" s="304"/>
      <c r="G72" s="298"/>
      <c r="H72" s="138"/>
      <c r="I72" s="138"/>
      <c r="J72" s="138"/>
      <c r="K72" s="138"/>
      <c r="L72" s="138"/>
      <c r="M72" s="138"/>
      <c r="N72" s="138"/>
      <c r="O72" s="139"/>
      <c r="P72" s="138"/>
      <c r="Q72" s="107"/>
      <c r="R72" s="107"/>
    </row>
    <row r="73" spans="1:18" ht="49.9" customHeight="1">
      <c r="A73" s="17" t="s">
        <v>359</v>
      </c>
      <c r="B73" s="17" t="s">
        <v>1291</v>
      </c>
      <c r="C73" s="18" t="s">
        <v>1202</v>
      </c>
      <c r="D73" s="17" t="s">
        <v>361</v>
      </c>
      <c r="E73" s="17" t="s">
        <v>270</v>
      </c>
      <c r="F73" s="17" t="s">
        <v>1304</v>
      </c>
      <c r="G73" s="298"/>
      <c r="H73" s="138"/>
      <c r="I73" s="138"/>
      <c r="J73" s="138"/>
      <c r="K73" s="138"/>
      <c r="L73" s="138"/>
      <c r="M73" s="138"/>
      <c r="N73" s="138"/>
      <c r="O73" s="139"/>
      <c r="P73" s="138"/>
      <c r="Q73" s="107"/>
      <c r="R73" s="107"/>
    </row>
    <row r="74" spans="1:18" ht="49.9" customHeight="1">
      <c r="A74" s="17" t="s">
        <v>359</v>
      </c>
      <c r="B74" s="17" t="s">
        <v>1291</v>
      </c>
      <c r="C74" s="18" t="s">
        <v>1202</v>
      </c>
      <c r="D74" s="17" t="s">
        <v>46</v>
      </c>
      <c r="E74" s="17" t="s">
        <v>270</v>
      </c>
      <c r="F74" s="17" t="s">
        <v>1305</v>
      </c>
      <c r="G74" s="298"/>
      <c r="H74" s="138"/>
      <c r="I74" s="138"/>
      <c r="J74" s="138"/>
      <c r="K74" s="138"/>
      <c r="L74" s="138"/>
      <c r="M74" s="138"/>
      <c r="N74" s="138"/>
      <c r="O74" s="139"/>
      <c r="P74" s="138"/>
      <c r="Q74" s="107"/>
      <c r="R74" s="107"/>
    </row>
    <row r="75" spans="1:18" ht="49.9" customHeight="1">
      <c r="A75" s="17" t="s">
        <v>402</v>
      </c>
      <c r="B75" s="17" t="s">
        <v>1294</v>
      </c>
      <c r="C75" s="18" t="s">
        <v>592</v>
      </c>
      <c r="D75" s="17" t="s">
        <v>63</v>
      </c>
      <c r="E75" s="17" t="s">
        <v>277</v>
      </c>
      <c r="F75" s="17" t="s">
        <v>1063</v>
      </c>
      <c r="G75" s="298"/>
      <c r="H75" s="138"/>
      <c r="I75" s="138"/>
      <c r="J75" s="138"/>
      <c r="K75" s="138"/>
      <c r="L75" s="138"/>
      <c r="M75" s="138"/>
      <c r="N75" s="138"/>
      <c r="O75" s="139"/>
      <c r="P75" s="138"/>
      <c r="Q75" s="107"/>
      <c r="R75" s="107"/>
    </row>
    <row r="76" spans="1:18" ht="49.9" customHeight="1" thickBot="1">
      <c r="A76" s="30" t="s">
        <v>415</v>
      </c>
      <c r="B76" s="30" t="s">
        <v>1297</v>
      </c>
      <c r="C76" s="31" t="s">
        <v>1330</v>
      </c>
      <c r="D76" s="30" t="s">
        <v>63</v>
      </c>
      <c r="E76" s="30" t="s">
        <v>277</v>
      </c>
      <c r="F76" s="30" t="s">
        <v>1298</v>
      </c>
      <c r="G76" s="299"/>
      <c r="H76" s="140"/>
      <c r="I76" s="140"/>
      <c r="J76" s="140"/>
      <c r="K76" s="140"/>
      <c r="L76" s="140"/>
      <c r="M76" s="140"/>
      <c r="N76" s="140"/>
      <c r="O76" s="141"/>
      <c r="P76" s="140"/>
      <c r="Q76" s="142"/>
      <c r="R76" s="142"/>
    </row>
    <row r="77" spans="1:18" ht="17.45" customHeight="1" thickBot="1">
      <c r="A77" s="283"/>
      <c r="B77" s="284"/>
      <c r="C77" s="284"/>
      <c r="D77" s="284"/>
      <c r="E77" s="284"/>
      <c r="F77" s="284"/>
      <c r="G77" s="284"/>
      <c r="H77" s="284"/>
      <c r="I77" s="284"/>
      <c r="J77" s="284"/>
      <c r="K77" s="284"/>
      <c r="L77" s="284"/>
      <c r="M77" s="284"/>
      <c r="N77" s="284"/>
      <c r="O77" s="284"/>
      <c r="P77" s="284"/>
      <c r="Q77" s="284"/>
      <c r="R77" s="285"/>
    </row>
    <row r="78" spans="1:18" ht="22.15" customHeight="1" thickTop="1" thickBot="1">
      <c r="A78" s="279" t="s">
        <v>6</v>
      </c>
      <c r="B78" s="295"/>
      <c r="C78" s="295"/>
      <c r="D78" s="295"/>
      <c r="E78" s="295"/>
      <c r="F78" s="296"/>
      <c r="G78" s="32">
        <v>46053</v>
      </c>
      <c r="H78" s="278" t="s">
        <v>7</v>
      </c>
      <c r="I78" s="295"/>
      <c r="J78" s="295"/>
      <c r="K78" s="295"/>
      <c r="L78" s="295"/>
      <c r="M78" s="295"/>
      <c r="N78" s="295"/>
      <c r="O78" s="295"/>
      <c r="P78" s="295"/>
      <c r="Q78" s="295"/>
      <c r="R78" s="296"/>
    </row>
    <row r="79" spans="1:18" ht="24" customHeight="1">
      <c r="A79" s="33" t="s">
        <v>8</v>
      </c>
      <c r="B79" s="33" t="s">
        <v>9</v>
      </c>
      <c r="C79" s="34" t="s">
        <v>10</v>
      </c>
      <c r="D79" s="33" t="s">
        <v>11</v>
      </c>
      <c r="E79" s="33" t="s">
        <v>12</v>
      </c>
      <c r="F79" s="35" t="s">
        <v>13</v>
      </c>
      <c r="G79" s="36" t="s">
        <v>14</v>
      </c>
      <c r="H79" s="33" t="s">
        <v>15</v>
      </c>
      <c r="I79" s="37" t="s">
        <v>16</v>
      </c>
      <c r="J79" s="38" t="s">
        <v>17</v>
      </c>
      <c r="K79" s="39" t="s">
        <v>18</v>
      </c>
      <c r="L79" s="38" t="s">
        <v>19</v>
      </c>
      <c r="M79" s="38" t="s">
        <v>20</v>
      </c>
      <c r="N79" s="38" t="s">
        <v>21</v>
      </c>
      <c r="O79" s="33" t="s">
        <v>22</v>
      </c>
      <c r="P79" s="34" t="s">
        <v>23</v>
      </c>
      <c r="Q79" s="38" t="s">
        <v>24</v>
      </c>
      <c r="R79" s="33" t="s">
        <v>25</v>
      </c>
    </row>
    <row r="80" spans="1:18" ht="15" customHeight="1">
      <c r="A80" s="87" t="s">
        <v>61</v>
      </c>
      <c r="B80" s="87" t="s">
        <v>1319</v>
      </c>
      <c r="C80" s="88">
        <v>0.69097222222222221</v>
      </c>
      <c r="D80" s="87" t="s">
        <v>63</v>
      </c>
      <c r="E80" s="87" t="s">
        <v>103</v>
      </c>
      <c r="F80" s="87" t="s">
        <v>1325</v>
      </c>
      <c r="G80" s="302"/>
      <c r="H80" s="89" t="s">
        <v>1321</v>
      </c>
      <c r="I80" s="90">
        <v>0</v>
      </c>
      <c r="J80" s="91">
        <v>0</v>
      </c>
      <c r="K80" s="92" t="s">
        <v>66</v>
      </c>
      <c r="L80" s="91">
        <v>0</v>
      </c>
      <c r="M80" s="91">
        <v>0</v>
      </c>
      <c r="N80" s="91">
        <v>0</v>
      </c>
      <c r="O80" s="93" t="s">
        <v>968</v>
      </c>
      <c r="P80" s="94">
        <v>0.69097222222222221</v>
      </c>
      <c r="Q80" s="91">
        <v>179</v>
      </c>
      <c r="R80" s="95" t="s">
        <v>66</v>
      </c>
    </row>
    <row r="81" spans="1:18" ht="18">
      <c r="A81" s="292" t="s">
        <v>1323</v>
      </c>
      <c r="B81" s="303"/>
      <c r="C81" s="303"/>
      <c r="D81" s="303"/>
      <c r="E81" s="303"/>
      <c r="F81" s="304"/>
      <c r="G81" s="298"/>
      <c r="H81" s="138"/>
      <c r="I81" s="138"/>
      <c r="J81" s="138"/>
      <c r="K81" s="138"/>
      <c r="L81" s="138"/>
      <c r="M81" s="138"/>
      <c r="N81" s="138"/>
      <c r="O81" s="139"/>
      <c r="P81" s="138"/>
      <c r="Q81" s="107"/>
      <c r="R81" s="107"/>
    </row>
    <row r="82" spans="1:18" ht="15" customHeight="1">
      <c r="A82" s="17" t="s">
        <v>359</v>
      </c>
      <c r="B82" s="17" t="s">
        <v>1291</v>
      </c>
      <c r="C82" s="18" t="s">
        <v>1202</v>
      </c>
      <c r="D82" s="17" t="s">
        <v>361</v>
      </c>
      <c r="E82" s="17" t="s">
        <v>270</v>
      </c>
      <c r="F82" s="17" t="s">
        <v>1309</v>
      </c>
      <c r="G82" s="298"/>
      <c r="H82" s="138"/>
      <c r="I82" s="138"/>
      <c r="J82" s="138"/>
      <c r="K82" s="138"/>
      <c r="L82" s="138"/>
      <c r="M82" s="138"/>
      <c r="N82" s="138"/>
      <c r="O82" s="139"/>
      <c r="P82" s="138"/>
      <c r="Q82" s="107"/>
      <c r="R82" s="107"/>
    </row>
    <row r="83" spans="1:18" ht="15" customHeight="1">
      <c r="A83" s="17" t="s">
        <v>68</v>
      </c>
      <c r="B83" s="17" t="s">
        <v>1295</v>
      </c>
      <c r="C83" s="18" t="s">
        <v>241</v>
      </c>
      <c r="D83" s="17" t="s">
        <v>643</v>
      </c>
      <c r="E83" s="17" t="s">
        <v>269</v>
      </c>
      <c r="F83" s="17" t="s">
        <v>1296</v>
      </c>
      <c r="G83" s="298"/>
      <c r="H83" s="138"/>
      <c r="I83" s="138"/>
      <c r="J83" s="138"/>
      <c r="K83" s="138"/>
      <c r="L83" s="138"/>
      <c r="M83" s="138"/>
      <c r="N83" s="138"/>
      <c r="O83" s="139"/>
      <c r="P83" s="138"/>
      <c r="Q83" s="107"/>
      <c r="R83" s="107"/>
    </row>
    <row r="84" spans="1:18" ht="15" customHeight="1">
      <c r="A84" s="17" t="s">
        <v>402</v>
      </c>
      <c r="B84" s="17" t="s">
        <v>1300</v>
      </c>
      <c r="C84" s="18" t="s">
        <v>1324</v>
      </c>
      <c r="D84" s="17" t="s">
        <v>63</v>
      </c>
      <c r="E84" s="17" t="s">
        <v>277</v>
      </c>
      <c r="F84" s="17" t="s">
        <v>1063</v>
      </c>
      <c r="G84" s="298"/>
      <c r="H84" s="138"/>
      <c r="I84" s="138"/>
      <c r="J84" s="138"/>
      <c r="K84" s="138"/>
      <c r="L84" s="138"/>
      <c r="M84" s="138"/>
      <c r="N84" s="138"/>
      <c r="O84" s="139"/>
      <c r="P84" s="138"/>
      <c r="Q84" s="107"/>
      <c r="R84" s="107"/>
    </row>
    <row r="85" spans="1:18" ht="15" customHeight="1">
      <c r="A85" s="17" t="s">
        <v>359</v>
      </c>
      <c r="B85" s="17" t="s">
        <v>1291</v>
      </c>
      <c r="C85" s="18" t="s">
        <v>1202</v>
      </c>
      <c r="D85" s="17" t="s">
        <v>46</v>
      </c>
      <c r="E85" s="17" t="s">
        <v>270</v>
      </c>
      <c r="F85" s="17" t="s">
        <v>1310</v>
      </c>
      <c r="G85" s="298"/>
      <c r="H85" s="138"/>
      <c r="I85" s="138"/>
      <c r="J85" s="138"/>
      <c r="K85" s="138"/>
      <c r="L85" s="138"/>
      <c r="M85" s="138"/>
      <c r="N85" s="138"/>
      <c r="O85" s="139"/>
      <c r="P85" s="138"/>
      <c r="Q85" s="107"/>
      <c r="R85" s="107"/>
    </row>
    <row r="86" spans="1:18" ht="15" customHeight="1">
      <c r="A86" s="30" t="s">
        <v>415</v>
      </c>
      <c r="B86" s="30" t="s">
        <v>1297</v>
      </c>
      <c r="C86" s="31" t="s">
        <v>563</v>
      </c>
      <c r="D86" s="30" t="s">
        <v>63</v>
      </c>
      <c r="E86" s="30" t="s">
        <v>277</v>
      </c>
      <c r="F86" s="30" t="s">
        <v>1298</v>
      </c>
      <c r="G86" s="299"/>
      <c r="H86" s="140"/>
      <c r="I86" s="140"/>
      <c r="J86" s="140"/>
      <c r="K86" s="140"/>
      <c r="L86" s="140"/>
      <c r="M86" s="140"/>
      <c r="N86" s="140"/>
      <c r="O86" s="141"/>
      <c r="P86" s="140"/>
      <c r="Q86" s="142"/>
      <c r="R86" s="142"/>
    </row>
  </sheetData>
  <mergeCells count="51">
    <mergeCell ref="H1:L1"/>
    <mergeCell ref="A1:E1"/>
    <mergeCell ref="A50:F50"/>
    <mergeCell ref="A2:F2"/>
    <mergeCell ref="A3:R3"/>
    <mergeCell ref="G2:J2"/>
    <mergeCell ref="N1:R1"/>
    <mergeCell ref="A13:F13"/>
    <mergeCell ref="A31:F31"/>
    <mergeCell ref="G15:G20"/>
    <mergeCell ref="G33:G38"/>
    <mergeCell ref="G80:G86"/>
    <mergeCell ref="H4:R4"/>
    <mergeCell ref="H50:R50"/>
    <mergeCell ref="A12:R12"/>
    <mergeCell ref="G52:G57"/>
    <mergeCell ref="H40:R40"/>
    <mergeCell ref="A21:R21"/>
    <mergeCell ref="H31:R31"/>
    <mergeCell ref="H59:R59"/>
    <mergeCell ref="A22:F22"/>
    <mergeCell ref="A4:F4"/>
    <mergeCell ref="A62:F62"/>
    <mergeCell ref="A53:F53"/>
    <mergeCell ref="A72:F72"/>
    <mergeCell ref="A43:F43"/>
    <mergeCell ref="A81:F81"/>
    <mergeCell ref="K2:R2"/>
    <mergeCell ref="G6:G11"/>
    <mergeCell ref="G24:G29"/>
    <mergeCell ref="A34:F34"/>
    <mergeCell ref="A40:F40"/>
    <mergeCell ref="A7:F7"/>
    <mergeCell ref="A16:F16"/>
    <mergeCell ref="H22:R22"/>
    <mergeCell ref="A59:F59"/>
    <mergeCell ref="H13:R13"/>
    <mergeCell ref="A30:R30"/>
    <mergeCell ref="A39:R39"/>
    <mergeCell ref="A25:F25"/>
    <mergeCell ref="A77:R77"/>
    <mergeCell ref="A49:R49"/>
    <mergeCell ref="G42:G48"/>
    <mergeCell ref="A78:F78"/>
    <mergeCell ref="A69:F69"/>
    <mergeCell ref="A68:R68"/>
    <mergeCell ref="A58:R58"/>
    <mergeCell ref="G71:G76"/>
    <mergeCell ref="H78:R78"/>
    <mergeCell ref="H69:R69"/>
    <mergeCell ref="G61:G67"/>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J11"/>
  <sheetViews>
    <sheetView workbookViewId="0"/>
  </sheetViews>
  <sheetFormatPr defaultColWidth="8.85546875" defaultRowHeight="15.6" outlineLevelCol="1"/>
  <cols>
    <col min="1" max="2" width="9.7109375" style="266" bestFit="1" customWidth="1"/>
    <col min="3" max="3" width="6.7109375" style="266" bestFit="1" customWidth="1"/>
    <col min="4" max="4" width="5.5703125" style="266" bestFit="1" customWidth="1"/>
    <col min="5" max="5" width="8.140625" style="266" bestFit="1" customWidth="1"/>
    <col min="6" max="6" width="4.28515625" style="266" bestFit="1" customWidth="1"/>
    <col min="7" max="7" width="8.42578125" style="266" bestFit="1" customWidth="1"/>
    <col min="8" max="8" width="8.5703125" style="266" bestFit="1" customWidth="1"/>
    <col min="9"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6" width="3.85546875" style="266" bestFit="1" customWidth="1"/>
    <col min="27" max="27" width="4" style="266" bestFit="1" customWidth="1"/>
    <col min="28"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234</v>
      </c>
      <c r="B2" s="268">
        <v>46025</v>
      </c>
      <c r="C2" s="269" t="s">
        <v>1321</v>
      </c>
      <c r="D2" s="270" t="s">
        <v>748</v>
      </c>
      <c r="E2" s="269" t="s">
        <v>1318</v>
      </c>
      <c r="F2" s="269" t="s">
        <v>232</v>
      </c>
      <c r="G2" s="271">
        <v>2.7900000000000001E-2</v>
      </c>
      <c r="H2" s="272">
        <v>179</v>
      </c>
      <c r="I2" s="272">
        <v>5</v>
      </c>
      <c r="J2" s="272">
        <v>0</v>
      </c>
      <c r="K2" s="269" t="s">
        <v>233</v>
      </c>
      <c r="L2" s="273">
        <v>46338</v>
      </c>
      <c r="M2" s="272">
        <v>0</v>
      </c>
      <c r="N2" s="272">
        <v>0</v>
      </c>
      <c r="O2" s="272">
        <v>5</v>
      </c>
      <c r="P2" s="269" t="s">
        <v>819</v>
      </c>
      <c r="Q2" s="265"/>
      <c r="R2" s="265"/>
      <c r="S2" s="265"/>
      <c r="T2" s="265"/>
      <c r="U2" s="265"/>
      <c r="V2" s="265"/>
      <c r="W2" s="265"/>
      <c r="X2" s="265"/>
      <c r="Y2" s="265"/>
      <c r="Z2" s="265"/>
      <c r="AA2" s="265"/>
      <c r="AB2" s="265"/>
      <c r="AC2" s="265"/>
      <c r="AD2" s="272" t="s">
        <v>367</v>
      </c>
      <c r="AE2" s="265"/>
      <c r="AF2" s="272" t="s">
        <v>819</v>
      </c>
      <c r="AG2" s="265"/>
      <c r="AH2" s="265"/>
      <c r="AI2" s="265"/>
      <c r="AJ2" s="265"/>
    </row>
    <row r="3" spans="1:36">
      <c r="A3" s="267" t="s">
        <v>242</v>
      </c>
      <c r="B3" s="268">
        <v>46028</v>
      </c>
      <c r="C3" s="269" t="s">
        <v>1321</v>
      </c>
      <c r="D3" s="270" t="s">
        <v>1331</v>
      </c>
      <c r="E3" s="269" t="s">
        <v>1318</v>
      </c>
      <c r="F3" s="269" t="s">
        <v>232</v>
      </c>
      <c r="G3" s="271">
        <v>1.6799999999999999E-2</v>
      </c>
      <c r="H3" s="272">
        <v>179</v>
      </c>
      <c r="I3" s="272">
        <v>3</v>
      </c>
      <c r="J3" s="272">
        <v>0</v>
      </c>
      <c r="K3" s="269" t="s">
        <v>233</v>
      </c>
      <c r="L3" s="273">
        <v>46330</v>
      </c>
      <c r="M3" s="272">
        <v>0</v>
      </c>
      <c r="N3" s="272">
        <v>0</v>
      </c>
      <c r="O3" s="272">
        <v>3</v>
      </c>
      <c r="P3" s="269" t="s">
        <v>901</v>
      </c>
      <c r="Q3" s="265"/>
      <c r="R3" s="265"/>
      <c r="S3" s="265"/>
      <c r="T3" s="265"/>
      <c r="U3" s="265"/>
      <c r="V3" s="265"/>
      <c r="W3" s="265"/>
      <c r="X3" s="265"/>
      <c r="Y3" s="265"/>
      <c r="Z3" s="265"/>
      <c r="AA3" s="265"/>
      <c r="AB3" s="265"/>
      <c r="AC3" s="265"/>
      <c r="AD3" s="265"/>
      <c r="AE3" s="265"/>
      <c r="AF3" s="272" t="s">
        <v>819</v>
      </c>
      <c r="AG3" s="265"/>
      <c r="AH3" s="265"/>
      <c r="AI3" s="265"/>
      <c r="AJ3" s="265"/>
    </row>
    <row r="4" spans="1:36">
      <c r="A4" s="267" t="s">
        <v>234</v>
      </c>
      <c r="B4" s="268">
        <v>46032</v>
      </c>
      <c r="C4" s="269" t="s">
        <v>1321</v>
      </c>
      <c r="D4" s="270" t="s">
        <v>748</v>
      </c>
      <c r="E4" s="269" t="s">
        <v>1318</v>
      </c>
      <c r="F4" s="269" t="s">
        <v>232</v>
      </c>
      <c r="G4" s="271">
        <v>5.5999999999999999E-3</v>
      </c>
      <c r="H4" s="272">
        <v>179</v>
      </c>
      <c r="I4" s="272">
        <v>1</v>
      </c>
      <c r="J4" s="272">
        <v>0</v>
      </c>
      <c r="K4" s="269" t="s">
        <v>233</v>
      </c>
      <c r="L4" s="273">
        <v>46335</v>
      </c>
      <c r="M4" s="272">
        <v>0</v>
      </c>
      <c r="N4" s="272">
        <v>0</v>
      </c>
      <c r="O4" s="272">
        <v>1</v>
      </c>
      <c r="P4" s="269" t="s">
        <v>900</v>
      </c>
      <c r="Q4" s="265"/>
      <c r="R4" s="265"/>
      <c r="S4" s="265"/>
      <c r="T4" s="265"/>
      <c r="U4" s="265"/>
      <c r="V4" s="265"/>
      <c r="W4" s="265"/>
      <c r="X4" s="265"/>
      <c r="Y4" s="265"/>
      <c r="Z4" s="265"/>
      <c r="AA4" s="265"/>
      <c r="AB4" s="265"/>
      <c r="AC4" s="265"/>
      <c r="AD4" s="265"/>
      <c r="AE4" s="265"/>
      <c r="AF4" s="272" t="s">
        <v>244</v>
      </c>
      <c r="AG4" s="265"/>
      <c r="AH4" s="265"/>
      <c r="AI4" s="265"/>
      <c r="AJ4" s="265"/>
    </row>
    <row r="5" spans="1:36">
      <c r="A5" s="267" t="s">
        <v>242</v>
      </c>
      <c r="B5" s="268">
        <v>46035</v>
      </c>
      <c r="C5" s="269" t="s">
        <v>1321</v>
      </c>
      <c r="D5" s="270" t="s">
        <v>1331</v>
      </c>
      <c r="E5" s="269" t="s">
        <v>1318</v>
      </c>
      <c r="F5" s="269" t="s">
        <v>232</v>
      </c>
      <c r="G5" s="271">
        <v>1.6799999999999999E-2</v>
      </c>
      <c r="H5" s="272">
        <v>179</v>
      </c>
      <c r="I5" s="272">
        <v>3</v>
      </c>
      <c r="J5" s="272">
        <v>0</v>
      </c>
      <c r="K5" s="269" t="s">
        <v>233</v>
      </c>
      <c r="L5" s="273">
        <v>46325</v>
      </c>
      <c r="M5" s="272">
        <v>0</v>
      </c>
      <c r="N5" s="272">
        <v>0</v>
      </c>
      <c r="O5" s="272">
        <v>3</v>
      </c>
      <c r="P5" s="269" t="s">
        <v>901</v>
      </c>
      <c r="Q5" s="265"/>
      <c r="R5" s="265"/>
      <c r="S5" s="265"/>
      <c r="T5" s="265"/>
      <c r="U5" s="265"/>
      <c r="V5" s="265"/>
      <c r="W5" s="265"/>
      <c r="X5" s="265"/>
      <c r="Y5" s="265"/>
      <c r="Z5" s="265"/>
      <c r="AA5" s="265"/>
      <c r="AB5" s="265"/>
      <c r="AC5" s="272" t="s">
        <v>302</v>
      </c>
      <c r="AD5" s="265"/>
      <c r="AE5" s="265"/>
      <c r="AF5" s="272" t="s">
        <v>571</v>
      </c>
      <c r="AG5" s="265"/>
      <c r="AH5" s="265"/>
      <c r="AI5" s="265"/>
      <c r="AJ5" s="265"/>
    </row>
    <row r="6" spans="1:36">
      <c r="A6" s="267" t="s">
        <v>234</v>
      </c>
      <c r="B6" s="268">
        <v>46039</v>
      </c>
      <c r="C6" s="269" t="s">
        <v>1321</v>
      </c>
      <c r="D6" s="270" t="s">
        <v>748</v>
      </c>
      <c r="E6" s="269" t="s">
        <v>1318</v>
      </c>
      <c r="F6" s="269" t="s">
        <v>232</v>
      </c>
      <c r="G6" s="271">
        <v>1.6799999999999999E-2</v>
      </c>
      <c r="H6" s="272">
        <v>179</v>
      </c>
      <c r="I6" s="272">
        <v>3</v>
      </c>
      <c r="J6" s="272">
        <v>0</v>
      </c>
      <c r="K6" s="269" t="s">
        <v>233</v>
      </c>
      <c r="L6" s="273">
        <v>46288</v>
      </c>
      <c r="M6" s="272">
        <v>0</v>
      </c>
      <c r="N6" s="272">
        <v>0</v>
      </c>
      <c r="O6" s="272">
        <v>3</v>
      </c>
      <c r="P6" s="269" t="s">
        <v>667</v>
      </c>
      <c r="Q6" s="265"/>
      <c r="R6" s="265"/>
      <c r="S6" s="265"/>
      <c r="T6" s="265"/>
      <c r="U6" s="265"/>
      <c r="V6" s="265"/>
      <c r="W6" s="265"/>
      <c r="X6" s="265"/>
      <c r="Y6" s="265"/>
      <c r="Z6" s="265"/>
      <c r="AA6" s="265"/>
      <c r="AB6" s="265"/>
      <c r="AC6" s="272" t="s">
        <v>304</v>
      </c>
      <c r="AD6" s="265"/>
      <c r="AE6" s="265"/>
      <c r="AF6" s="265"/>
      <c r="AG6" s="265"/>
      <c r="AH6" s="265"/>
      <c r="AI6" s="265"/>
      <c r="AJ6" s="265"/>
    </row>
    <row r="7" spans="1:36">
      <c r="A7" s="267" t="s">
        <v>242</v>
      </c>
      <c r="B7" s="268">
        <v>46042</v>
      </c>
      <c r="C7" s="269" t="s">
        <v>1321</v>
      </c>
      <c r="D7" s="270" t="s">
        <v>1331</v>
      </c>
      <c r="E7" s="269" t="s">
        <v>1318</v>
      </c>
      <c r="F7" s="269" t="s">
        <v>232</v>
      </c>
      <c r="G7" s="271">
        <v>5.5999999999999999E-3</v>
      </c>
      <c r="H7" s="272">
        <v>179</v>
      </c>
      <c r="I7" s="272">
        <v>1</v>
      </c>
      <c r="J7" s="272">
        <v>0</v>
      </c>
      <c r="K7" s="269" t="s">
        <v>233</v>
      </c>
      <c r="L7" s="273">
        <v>46330</v>
      </c>
      <c r="M7" s="272">
        <v>0</v>
      </c>
      <c r="N7" s="272">
        <v>0</v>
      </c>
      <c r="O7" s="272">
        <v>1</v>
      </c>
      <c r="P7" s="269" t="s">
        <v>967</v>
      </c>
      <c r="Q7" s="265"/>
      <c r="R7" s="265"/>
      <c r="S7" s="265"/>
      <c r="T7" s="265"/>
      <c r="U7" s="265"/>
      <c r="V7" s="265"/>
      <c r="W7" s="265"/>
      <c r="X7" s="265"/>
      <c r="Y7" s="265"/>
      <c r="Z7" s="265"/>
      <c r="AA7" s="265"/>
      <c r="AB7" s="265"/>
      <c r="AC7" s="265"/>
      <c r="AD7" s="265"/>
      <c r="AE7" s="272" t="s">
        <v>570</v>
      </c>
      <c r="AF7" s="265"/>
      <c r="AG7" s="265"/>
      <c r="AH7" s="265"/>
      <c r="AI7" s="265"/>
      <c r="AJ7" s="265"/>
    </row>
    <row r="8" spans="1:36">
      <c r="A8" s="267" t="s">
        <v>234</v>
      </c>
      <c r="B8" s="268">
        <v>46046</v>
      </c>
      <c r="C8" s="269" t="s">
        <v>1321</v>
      </c>
      <c r="D8" s="270" t="s">
        <v>748</v>
      </c>
      <c r="E8" s="269" t="s">
        <v>1318</v>
      </c>
      <c r="F8" s="269" t="s">
        <v>232</v>
      </c>
      <c r="G8" s="271">
        <v>1.6799999999999999E-2</v>
      </c>
      <c r="H8" s="272">
        <v>179</v>
      </c>
      <c r="I8" s="272">
        <v>3</v>
      </c>
      <c r="J8" s="272">
        <v>0</v>
      </c>
      <c r="K8" s="269" t="s">
        <v>233</v>
      </c>
      <c r="L8" s="273">
        <v>46320</v>
      </c>
      <c r="M8" s="272">
        <v>0</v>
      </c>
      <c r="N8" s="272">
        <v>0</v>
      </c>
      <c r="O8" s="272">
        <v>3</v>
      </c>
      <c r="P8" s="269" t="s">
        <v>956</v>
      </c>
      <c r="Q8" s="265"/>
      <c r="R8" s="265"/>
      <c r="S8" s="265"/>
      <c r="T8" s="265"/>
      <c r="U8" s="265"/>
      <c r="V8" s="265"/>
      <c r="W8" s="265"/>
      <c r="X8" s="265"/>
      <c r="Y8" s="265"/>
      <c r="Z8" s="265"/>
      <c r="AA8" s="272" t="s">
        <v>318</v>
      </c>
      <c r="AB8" s="265"/>
      <c r="AC8" s="272" t="s">
        <v>302</v>
      </c>
      <c r="AD8" s="265"/>
      <c r="AE8" s="265"/>
      <c r="AF8" s="265"/>
      <c r="AG8" s="265"/>
      <c r="AH8" s="265"/>
      <c r="AI8" s="265"/>
      <c r="AJ8" s="265"/>
    </row>
    <row r="9" spans="1:36">
      <c r="A9" s="267" t="s">
        <v>242</v>
      </c>
      <c r="B9" s="268">
        <v>46049</v>
      </c>
      <c r="C9" s="269" t="s">
        <v>1321</v>
      </c>
      <c r="D9" s="270" t="s">
        <v>1331</v>
      </c>
      <c r="E9" s="269" t="s">
        <v>1318</v>
      </c>
      <c r="F9" s="269" t="s">
        <v>232</v>
      </c>
      <c r="G9" s="271">
        <v>2.7900000000000001E-2</v>
      </c>
      <c r="H9" s="272">
        <v>179</v>
      </c>
      <c r="I9" s="272">
        <v>5</v>
      </c>
      <c r="J9" s="272">
        <v>0</v>
      </c>
      <c r="K9" s="269" t="s">
        <v>233</v>
      </c>
      <c r="L9" s="273">
        <v>46343</v>
      </c>
      <c r="M9" s="272">
        <v>0</v>
      </c>
      <c r="N9" s="272">
        <v>0</v>
      </c>
      <c r="O9" s="272">
        <v>5</v>
      </c>
      <c r="P9" s="269" t="s">
        <v>431</v>
      </c>
      <c r="Q9" s="265"/>
      <c r="R9" s="265"/>
      <c r="S9" s="265"/>
      <c r="T9" s="265"/>
      <c r="U9" s="265"/>
      <c r="V9" s="265"/>
      <c r="W9" s="265"/>
      <c r="X9" s="265"/>
      <c r="Y9" s="265"/>
      <c r="Z9" s="265"/>
      <c r="AA9" s="265"/>
      <c r="AB9" s="265"/>
      <c r="AC9" s="272" t="s">
        <v>304</v>
      </c>
      <c r="AD9" s="265"/>
      <c r="AE9" s="272" t="s">
        <v>1016</v>
      </c>
      <c r="AF9" s="265"/>
      <c r="AG9" s="265"/>
      <c r="AH9" s="265"/>
      <c r="AI9" s="265"/>
      <c r="AJ9" s="265"/>
    </row>
    <row r="10" spans="1:36">
      <c r="A10" s="267" t="s">
        <v>234</v>
      </c>
      <c r="B10" s="268">
        <v>46053</v>
      </c>
      <c r="C10" s="269" t="s">
        <v>1321</v>
      </c>
      <c r="D10" s="270" t="s">
        <v>748</v>
      </c>
      <c r="E10" s="269" t="s">
        <v>1318</v>
      </c>
      <c r="F10" s="269" t="s">
        <v>232</v>
      </c>
      <c r="G10" s="271">
        <v>0</v>
      </c>
      <c r="H10" s="272">
        <v>179</v>
      </c>
      <c r="I10" s="272">
        <v>0</v>
      </c>
      <c r="J10" s="272">
        <v>0</v>
      </c>
      <c r="K10" s="269" t="s">
        <v>233</v>
      </c>
      <c r="L10" s="273" t="s">
        <v>66</v>
      </c>
      <c r="M10" s="272">
        <v>0</v>
      </c>
      <c r="N10" s="272">
        <v>0</v>
      </c>
      <c r="O10" s="272">
        <v>0</v>
      </c>
      <c r="P10" s="269" t="s">
        <v>968</v>
      </c>
      <c r="Q10" s="265"/>
      <c r="R10" s="265"/>
      <c r="S10" s="265"/>
      <c r="T10" s="265"/>
      <c r="U10" s="265"/>
      <c r="V10" s="265"/>
      <c r="W10" s="265"/>
      <c r="X10" s="265"/>
      <c r="Y10" s="265"/>
      <c r="Z10" s="265"/>
      <c r="AA10" s="265"/>
      <c r="AB10" s="265"/>
      <c r="AC10" s="265"/>
      <c r="AD10" s="265"/>
      <c r="AE10" s="265"/>
      <c r="AF10" s="265"/>
      <c r="AG10" s="265"/>
      <c r="AH10" s="265"/>
      <c r="AI10" s="265"/>
      <c r="AJ10" s="265"/>
    </row>
    <row r="11" spans="1:36" ht="21">
      <c r="A11" s="274" t="s">
        <v>251</v>
      </c>
      <c r="B11" s="275"/>
      <c r="C11" s="274">
        <f>SUBTOTAL(103,ATZ_ELQ_LF_LEGACY[Flt])</f>
        <v>9</v>
      </c>
      <c r="D11" s="274"/>
      <c r="E11" s="274">
        <f>SUBTOTAL(103,ATZ_ELQ_LF_LEGACY[Brd-Off])</f>
        <v>9</v>
      </c>
      <c r="F11" s="274"/>
      <c r="G11" s="276">
        <f>SUBTOTAL(101,ATZ_ELQ_LF_LEGACY[LF%])</f>
        <v>1.4911111111111109E-2</v>
      </c>
      <c r="H11" s="277">
        <f>SUBTOTAL(109,ATZ_ELQ_LF_LEGACY[CAP])</f>
        <v>1611</v>
      </c>
      <c r="I11" s="277">
        <f>SUBTOTAL(109,ATZ_ELQ_LF_LEGACY[BKG(Y)])</f>
        <v>24</v>
      </c>
      <c r="J11" s="277">
        <f>SUBTOTAL(109,ATZ_ELQ_LF_LEGACY[GRP(Y)])</f>
        <v>0</v>
      </c>
      <c r="K11" s="274"/>
      <c r="L11" s="275"/>
      <c r="M11" s="277">
        <f>SUBTOTAL(109,ATZ_ELQ_LF_LEGACY[TO-DAY])</f>
        <v>0</v>
      </c>
      <c r="N11" s="277">
        <f>SUBTOTAL(109,ATZ_ELQ_LF_LEGACY[Y-DAY])</f>
        <v>0</v>
      </c>
      <c r="O11" s="277">
        <f>SUBTOTAL(109,ATZ_ELQ_LF_LEGACY[WEEKLY])</f>
        <v>24</v>
      </c>
      <c r="P11" s="274"/>
      <c r="Q11" s="277">
        <f>SUBTOTAL(109,ATZ_ELQ_LF_LEGACY[Y])</f>
        <v>0</v>
      </c>
      <c r="R11" s="277">
        <f>SUBTOTAL(109,ATZ_ELQ_LF_LEGACY[B])</f>
        <v>0</v>
      </c>
      <c r="S11" s="277">
        <f>SUBTOTAL(109,ATZ_ELQ_LF_LEGACY[M])</f>
        <v>0</v>
      </c>
      <c r="T11" s="277">
        <f>SUBTOTAL(109,ATZ_ELQ_LF_LEGACY[H])</f>
        <v>0</v>
      </c>
      <c r="U11" s="277">
        <f>SUBTOTAL(109,ATZ_ELQ_LF_LEGACY[Q])</f>
        <v>0</v>
      </c>
      <c r="V11" s="277">
        <f>SUBTOTAL(109,ATZ_ELQ_LF_LEGACY[K])</f>
        <v>0</v>
      </c>
      <c r="W11" s="277">
        <f>SUBTOTAL(109,ATZ_ELQ_LF_LEGACY[V])</f>
        <v>0</v>
      </c>
      <c r="X11" s="277">
        <f>SUBTOTAL(109,ATZ_ELQ_LF_LEGACY[L])</f>
        <v>0</v>
      </c>
      <c r="Y11" s="277">
        <f>SUBTOTAL(109,ATZ_ELQ_LF_LEGACY[G])</f>
        <v>0</v>
      </c>
      <c r="Z11" s="277">
        <f>SUBTOTAL(109,ATZ_ELQ_LF_LEGACY[S])</f>
        <v>0</v>
      </c>
      <c r="AA11" s="277">
        <f>SUBTOTAL(109,ATZ_ELQ_LF_LEGACY[W])</f>
        <v>0</v>
      </c>
      <c r="AB11" s="277">
        <f>SUBTOTAL(109,ATZ_ELQ_LF_LEGACY[T])</f>
        <v>0</v>
      </c>
      <c r="AC11" s="277">
        <f>SUBTOTAL(109,ATZ_ELQ_LF_LEGACY[X])</f>
        <v>0</v>
      </c>
      <c r="AD11" s="277">
        <f>SUBTOTAL(109,ATZ_ELQ_LF_LEGACY[U])</f>
        <v>0</v>
      </c>
      <c r="AE11" s="277">
        <f>SUBTOTAL(109,ATZ_ELQ_LF_LEGACY[O])</f>
        <v>0</v>
      </c>
      <c r="AF11" s="277">
        <f>SUBTOTAL(109,ATZ_ELQ_LF_LEGACY[I])</f>
        <v>0</v>
      </c>
      <c r="AG11" s="277">
        <f>SUBTOTAL(109,ATZ_ELQ_LF_LEGACY[E])</f>
        <v>0</v>
      </c>
      <c r="AH11" s="277">
        <f>SUBTOTAL(109,ATZ_ELQ_LF_LEGACY[A])</f>
        <v>0</v>
      </c>
      <c r="AI11" s="277">
        <f>SUBTOTAL(109,ATZ_ELQ_LF_LEGACY[P])</f>
        <v>0</v>
      </c>
      <c r="AJ11" s="277">
        <f>SUBTOTAL(103,ATZ_ELQ_LF_LEGACY[N])</f>
        <v>0</v>
      </c>
    </row>
  </sheetData>
  <pageMargins left="0.75" right="0.75" top="1" bottom="1" header="0.5" footer="0.5"/>
  <tableParts count="1">
    <tablePart r:id="rId1"/>
  </tableParts>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I178"/>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50.8554687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43"/>
      <c r="B2" s="144"/>
      <c r="C2" s="144"/>
      <c r="D2" s="144"/>
      <c r="E2" s="144"/>
      <c r="F2" s="145" t="s">
        <v>1332</v>
      </c>
      <c r="G2" s="144"/>
      <c r="H2" s="146"/>
    </row>
    <row r="3" spans="1:8" ht="19.899999999999999" customHeight="1">
      <c r="A3" s="111" t="s">
        <v>254</v>
      </c>
      <c r="B3" s="112" t="s">
        <v>61</v>
      </c>
      <c r="C3" s="113" t="s">
        <v>1287</v>
      </c>
      <c r="D3" s="112" t="s">
        <v>1286</v>
      </c>
      <c r="E3" s="112" t="s">
        <v>703</v>
      </c>
      <c r="F3" s="112" t="s">
        <v>63</v>
      </c>
      <c r="G3" s="114">
        <v>7</v>
      </c>
      <c r="H3" s="115" t="s">
        <v>1288</v>
      </c>
    </row>
    <row r="4" spans="1:8" ht="19.899999999999999" customHeight="1">
      <c r="A4" s="111" t="s">
        <v>254</v>
      </c>
      <c r="B4" s="112" t="s">
        <v>359</v>
      </c>
      <c r="C4" s="113" t="s">
        <v>1291</v>
      </c>
      <c r="D4" s="112" t="s">
        <v>1286</v>
      </c>
      <c r="E4" s="112" t="s">
        <v>1202</v>
      </c>
      <c r="F4" s="112" t="s">
        <v>361</v>
      </c>
      <c r="G4" s="114">
        <v>9</v>
      </c>
      <c r="H4" s="115" t="s">
        <v>1292</v>
      </c>
    </row>
    <row r="5" spans="1:8" ht="19.899999999999999" customHeight="1">
      <c r="A5" s="111" t="s">
        <v>254</v>
      </c>
      <c r="B5" s="112" t="s">
        <v>402</v>
      </c>
      <c r="C5" s="113" t="s">
        <v>1294</v>
      </c>
      <c r="D5" s="112" t="s">
        <v>1286</v>
      </c>
      <c r="E5" s="112" t="s">
        <v>592</v>
      </c>
      <c r="F5" s="112" t="s">
        <v>63</v>
      </c>
      <c r="G5" s="114">
        <v>9</v>
      </c>
      <c r="H5" s="115" t="s">
        <v>1146</v>
      </c>
    </row>
    <row r="6" spans="1:8" ht="19.899999999999999" customHeight="1">
      <c r="A6" s="111" t="s">
        <v>254</v>
      </c>
      <c r="B6" s="112" t="s">
        <v>68</v>
      </c>
      <c r="C6" s="113" t="s">
        <v>1295</v>
      </c>
      <c r="D6" s="112" t="s">
        <v>1286</v>
      </c>
      <c r="E6" s="112" t="s">
        <v>241</v>
      </c>
      <c r="F6" s="112" t="s">
        <v>643</v>
      </c>
      <c r="G6" s="114">
        <v>9</v>
      </c>
      <c r="H6" s="115" t="s">
        <v>1296</v>
      </c>
    </row>
    <row r="7" spans="1:8" ht="19.899999999999999" customHeight="1">
      <c r="A7" s="111" t="s">
        <v>254</v>
      </c>
      <c r="B7" s="112" t="s">
        <v>359</v>
      </c>
      <c r="C7" s="113" t="s">
        <v>1291</v>
      </c>
      <c r="D7" s="112" t="s">
        <v>1286</v>
      </c>
      <c r="E7" s="112" t="s">
        <v>1202</v>
      </c>
      <c r="F7" s="112" t="s">
        <v>46</v>
      </c>
      <c r="G7" s="114">
        <v>9</v>
      </c>
      <c r="H7" s="115" t="s">
        <v>1293</v>
      </c>
    </row>
    <row r="8" spans="1:8" ht="19.899999999999999" customHeight="1">
      <c r="A8" s="147" t="s">
        <v>254</v>
      </c>
      <c r="B8" s="124" t="s">
        <v>415</v>
      </c>
      <c r="C8" s="125" t="s">
        <v>1297</v>
      </c>
      <c r="D8" s="124" t="s">
        <v>1286</v>
      </c>
      <c r="E8" s="124" t="s">
        <v>573</v>
      </c>
      <c r="F8" s="124" t="s">
        <v>63</v>
      </c>
      <c r="G8" s="127">
        <v>5</v>
      </c>
      <c r="H8" s="128" t="s">
        <v>1298</v>
      </c>
    </row>
    <row r="9" spans="1:8" ht="19.899999999999999" customHeight="1">
      <c r="A9" s="143"/>
      <c r="B9" s="144"/>
      <c r="C9" s="144"/>
      <c r="D9" s="144"/>
      <c r="E9" s="144"/>
      <c r="F9" s="145" t="s">
        <v>1332</v>
      </c>
      <c r="G9" s="144"/>
      <c r="H9" s="146"/>
    </row>
    <row r="10" spans="1:8" ht="19.899999999999999" customHeight="1">
      <c r="A10" s="111" t="s">
        <v>339</v>
      </c>
      <c r="B10" s="112" t="s">
        <v>61</v>
      </c>
      <c r="C10" s="113" t="s">
        <v>1287</v>
      </c>
      <c r="D10" s="112" t="s">
        <v>1286</v>
      </c>
      <c r="E10" s="112" t="s">
        <v>574</v>
      </c>
      <c r="F10" s="112" t="s">
        <v>63</v>
      </c>
      <c r="G10" s="114">
        <v>9</v>
      </c>
      <c r="H10" s="115" t="s">
        <v>1288</v>
      </c>
    </row>
    <row r="11" spans="1:8" ht="19.899999999999999" customHeight="1">
      <c r="A11" s="111" t="s">
        <v>339</v>
      </c>
      <c r="B11" s="112" t="s">
        <v>402</v>
      </c>
      <c r="C11" s="113" t="s">
        <v>1294</v>
      </c>
      <c r="D11" s="112" t="s">
        <v>1286</v>
      </c>
      <c r="E11" s="112" t="s">
        <v>592</v>
      </c>
      <c r="F11" s="112" t="s">
        <v>63</v>
      </c>
      <c r="G11" s="114">
        <v>5</v>
      </c>
      <c r="H11" s="115" t="s">
        <v>1146</v>
      </c>
    </row>
    <row r="12" spans="1:8" ht="19.899999999999999" customHeight="1">
      <c r="A12" s="147" t="s">
        <v>339</v>
      </c>
      <c r="B12" s="124" t="s">
        <v>68</v>
      </c>
      <c r="C12" s="125" t="s">
        <v>1295</v>
      </c>
      <c r="D12" s="124" t="s">
        <v>1286</v>
      </c>
      <c r="E12" s="124" t="s">
        <v>241</v>
      </c>
      <c r="F12" s="124" t="s">
        <v>643</v>
      </c>
      <c r="G12" s="127">
        <v>9</v>
      </c>
      <c r="H12" s="128" t="s">
        <v>1296</v>
      </c>
    </row>
    <row r="13" spans="1:8" ht="19.899999999999999" customHeight="1">
      <c r="A13" s="116" t="s">
        <v>340</v>
      </c>
      <c r="B13" s="117" t="s">
        <v>61</v>
      </c>
      <c r="C13" s="118" t="s">
        <v>1319</v>
      </c>
      <c r="D13" s="117" t="s">
        <v>1318</v>
      </c>
      <c r="E13" s="117" t="s">
        <v>748</v>
      </c>
      <c r="F13" s="117" t="s">
        <v>63</v>
      </c>
      <c r="G13" s="119">
        <v>3</v>
      </c>
      <c r="H13" s="120" t="s">
        <v>1320</v>
      </c>
    </row>
    <row r="14" spans="1:8" ht="19.899999999999999" customHeight="1">
      <c r="A14" s="143"/>
      <c r="B14" s="144"/>
      <c r="C14" s="144"/>
      <c r="D14" s="144"/>
      <c r="E14" s="144"/>
      <c r="F14" s="145" t="s">
        <v>1332</v>
      </c>
      <c r="G14" s="144"/>
      <c r="H14" s="146"/>
    </row>
    <row r="15" spans="1:8" ht="19.899999999999999" customHeight="1">
      <c r="A15" s="121">
        <v>46025</v>
      </c>
      <c r="B15" s="112" t="s">
        <v>359</v>
      </c>
      <c r="C15" s="113" t="s">
        <v>1291</v>
      </c>
      <c r="D15" s="112" t="s">
        <v>1286</v>
      </c>
      <c r="E15" s="122">
        <v>1.7673611111111109</v>
      </c>
      <c r="F15" s="112" t="s">
        <v>361</v>
      </c>
      <c r="G15" s="114">
        <v>9</v>
      </c>
      <c r="H15" s="115" t="s">
        <v>493</v>
      </c>
    </row>
    <row r="16" spans="1:8" ht="19.899999999999999" customHeight="1">
      <c r="A16" s="121">
        <v>46025</v>
      </c>
      <c r="B16" s="112" t="s">
        <v>402</v>
      </c>
      <c r="C16" s="113" t="s">
        <v>1300</v>
      </c>
      <c r="D16" s="112" t="s">
        <v>1286</v>
      </c>
      <c r="E16" s="122">
        <v>1.8125</v>
      </c>
      <c r="F16" s="112" t="s">
        <v>63</v>
      </c>
      <c r="G16" s="114">
        <v>4</v>
      </c>
      <c r="H16" s="115" t="s">
        <v>1146</v>
      </c>
    </row>
    <row r="17" spans="1:8" ht="19.899999999999999" customHeight="1">
      <c r="A17" s="121">
        <v>46025</v>
      </c>
      <c r="B17" s="112" t="s">
        <v>68</v>
      </c>
      <c r="C17" s="113" t="s">
        <v>1295</v>
      </c>
      <c r="D17" s="112" t="s">
        <v>1286</v>
      </c>
      <c r="E17" s="122">
        <v>1.868055555555556</v>
      </c>
      <c r="F17" s="112" t="s">
        <v>643</v>
      </c>
      <c r="G17" s="114">
        <v>9</v>
      </c>
      <c r="H17" s="115" t="s">
        <v>1296</v>
      </c>
    </row>
    <row r="18" spans="1:8" ht="19.899999999999999" customHeight="1">
      <c r="A18" s="123">
        <v>46025</v>
      </c>
      <c r="B18" s="124" t="s">
        <v>359</v>
      </c>
      <c r="C18" s="125" t="s">
        <v>1291</v>
      </c>
      <c r="D18" s="124" t="s">
        <v>1286</v>
      </c>
      <c r="E18" s="126">
        <v>1.7673611111111109</v>
      </c>
      <c r="F18" s="124" t="s">
        <v>46</v>
      </c>
      <c r="G18" s="127">
        <v>9</v>
      </c>
      <c r="H18" s="128" t="s">
        <v>1299</v>
      </c>
    </row>
    <row r="19" spans="1:8" ht="19.899999999999999" customHeight="1">
      <c r="A19" s="143"/>
      <c r="B19" s="144"/>
      <c r="C19" s="144"/>
      <c r="D19" s="144"/>
      <c r="E19" s="144"/>
      <c r="F19" s="145" t="s">
        <v>1332</v>
      </c>
      <c r="G19" s="144"/>
      <c r="H19" s="146"/>
    </row>
    <row r="20" spans="1:8" ht="19.899999999999999" customHeight="1">
      <c r="A20" s="121">
        <v>46026</v>
      </c>
      <c r="B20" s="112" t="s">
        <v>402</v>
      </c>
      <c r="C20" s="113" t="s">
        <v>1294</v>
      </c>
      <c r="D20" s="112" t="s">
        <v>1286</v>
      </c>
      <c r="E20" s="122">
        <v>1.489583333333333</v>
      </c>
      <c r="F20" s="112" t="s">
        <v>63</v>
      </c>
      <c r="G20" s="114">
        <v>9</v>
      </c>
      <c r="H20" s="115" t="s">
        <v>1146</v>
      </c>
    </row>
    <row r="21" spans="1:8" ht="19.899999999999999" customHeight="1">
      <c r="A21" s="123">
        <v>46026</v>
      </c>
      <c r="B21" s="124" t="s">
        <v>415</v>
      </c>
      <c r="C21" s="125" t="s">
        <v>1297</v>
      </c>
      <c r="D21" s="124" t="s">
        <v>1286</v>
      </c>
      <c r="E21" s="126">
        <v>1.4375</v>
      </c>
      <c r="F21" s="124" t="s">
        <v>63</v>
      </c>
      <c r="G21" s="127">
        <v>5</v>
      </c>
      <c r="H21" s="128" t="s">
        <v>1298</v>
      </c>
    </row>
    <row r="22" spans="1:8" ht="19.899999999999999" customHeight="1">
      <c r="A22" s="143"/>
      <c r="B22" s="144"/>
      <c r="C22" s="144"/>
      <c r="D22" s="144"/>
      <c r="E22" s="144"/>
      <c r="F22" s="145" t="s">
        <v>1332</v>
      </c>
      <c r="G22" s="144"/>
      <c r="H22" s="146"/>
    </row>
    <row r="23" spans="1:8" ht="19.899999999999999" customHeight="1">
      <c r="A23" s="121">
        <v>46027</v>
      </c>
      <c r="B23" s="112" t="s">
        <v>359</v>
      </c>
      <c r="C23" s="113" t="s">
        <v>1291</v>
      </c>
      <c r="D23" s="112" t="s">
        <v>1286</v>
      </c>
      <c r="E23" s="122">
        <v>1.7673611111111109</v>
      </c>
      <c r="F23" s="112" t="s">
        <v>361</v>
      </c>
      <c r="G23" s="114">
        <v>9</v>
      </c>
      <c r="H23" s="115" t="s">
        <v>1292</v>
      </c>
    </row>
    <row r="24" spans="1:8" ht="19.899999999999999" customHeight="1">
      <c r="A24" s="121">
        <v>46027</v>
      </c>
      <c r="B24" s="112" t="s">
        <v>402</v>
      </c>
      <c r="C24" s="113" t="s">
        <v>1294</v>
      </c>
      <c r="D24" s="112" t="s">
        <v>1286</v>
      </c>
      <c r="E24" s="122">
        <v>1.489583333333333</v>
      </c>
      <c r="F24" s="112" t="s">
        <v>63</v>
      </c>
      <c r="G24" s="114">
        <v>8</v>
      </c>
      <c r="H24" s="115" t="s">
        <v>1146</v>
      </c>
    </row>
    <row r="25" spans="1:8" ht="19.899999999999999" customHeight="1">
      <c r="A25" s="121">
        <v>46027</v>
      </c>
      <c r="B25" s="112" t="s">
        <v>68</v>
      </c>
      <c r="C25" s="113" t="s">
        <v>1295</v>
      </c>
      <c r="D25" s="112" t="s">
        <v>1286</v>
      </c>
      <c r="E25" s="122">
        <v>1.868055555555556</v>
      </c>
      <c r="F25" s="112" t="s">
        <v>643</v>
      </c>
      <c r="G25" s="114">
        <v>9</v>
      </c>
      <c r="H25" s="115" t="s">
        <v>1296</v>
      </c>
    </row>
    <row r="26" spans="1:8" ht="19.899999999999999" customHeight="1">
      <c r="A26" s="123">
        <v>46027</v>
      </c>
      <c r="B26" s="124" t="s">
        <v>359</v>
      </c>
      <c r="C26" s="125" t="s">
        <v>1291</v>
      </c>
      <c r="D26" s="124" t="s">
        <v>1286</v>
      </c>
      <c r="E26" s="126">
        <v>1.7673611111111109</v>
      </c>
      <c r="F26" s="124" t="s">
        <v>46</v>
      </c>
      <c r="G26" s="127">
        <v>9</v>
      </c>
      <c r="H26" s="128" t="s">
        <v>1293</v>
      </c>
    </row>
    <row r="27" spans="1:8" ht="19.899999999999999" customHeight="1">
      <c r="A27" s="129">
        <v>46028</v>
      </c>
      <c r="B27" s="117" t="s">
        <v>61</v>
      </c>
      <c r="C27" s="118" t="s">
        <v>1319</v>
      </c>
      <c r="D27" s="117" t="s">
        <v>1318</v>
      </c>
      <c r="E27" s="130">
        <v>1.8576388888888891</v>
      </c>
      <c r="F27" s="117" t="s">
        <v>63</v>
      </c>
      <c r="G27" s="119">
        <v>4</v>
      </c>
      <c r="H27" s="120" t="s">
        <v>1320</v>
      </c>
    </row>
    <row r="28" spans="1:8" ht="19.899999999999999" customHeight="1">
      <c r="A28" s="143"/>
      <c r="B28" s="144"/>
      <c r="C28" s="144"/>
      <c r="D28" s="144"/>
      <c r="E28" s="144"/>
      <c r="F28" s="145" t="s">
        <v>1332</v>
      </c>
      <c r="G28" s="144"/>
      <c r="H28" s="146"/>
    </row>
    <row r="29" spans="1:8" ht="19.899999999999999" customHeight="1">
      <c r="A29" s="121">
        <v>46028</v>
      </c>
      <c r="B29" s="112" t="s">
        <v>359</v>
      </c>
      <c r="C29" s="113" t="s">
        <v>1291</v>
      </c>
      <c r="D29" s="112" t="s">
        <v>1286</v>
      </c>
      <c r="E29" s="122">
        <v>1.7673611111111109</v>
      </c>
      <c r="F29" s="112" t="s">
        <v>361</v>
      </c>
      <c r="G29" s="114">
        <v>9</v>
      </c>
      <c r="H29" s="115" t="s">
        <v>1292</v>
      </c>
    </row>
    <row r="30" spans="1:8" ht="19.899999999999999" customHeight="1">
      <c r="A30" s="121">
        <v>46028</v>
      </c>
      <c r="B30" s="112" t="s">
        <v>402</v>
      </c>
      <c r="C30" s="113" t="s">
        <v>1294</v>
      </c>
      <c r="D30" s="112" t="s">
        <v>1286</v>
      </c>
      <c r="E30" s="122">
        <v>1.489583333333333</v>
      </c>
      <c r="F30" s="112" t="s">
        <v>63</v>
      </c>
      <c r="G30" s="114">
        <v>9</v>
      </c>
      <c r="H30" s="115" t="s">
        <v>1146</v>
      </c>
    </row>
    <row r="31" spans="1:8" ht="19.899999999999999" customHeight="1">
      <c r="A31" s="121">
        <v>46028</v>
      </c>
      <c r="B31" s="112" t="s">
        <v>359</v>
      </c>
      <c r="C31" s="113" t="s">
        <v>1291</v>
      </c>
      <c r="D31" s="112" t="s">
        <v>1286</v>
      </c>
      <c r="E31" s="122">
        <v>1.7673611111111109</v>
      </c>
      <c r="F31" s="112" t="s">
        <v>46</v>
      </c>
      <c r="G31" s="114">
        <v>9</v>
      </c>
      <c r="H31" s="115" t="s">
        <v>1293</v>
      </c>
    </row>
    <row r="32" spans="1:8" ht="19.899999999999999" customHeight="1">
      <c r="A32" s="123">
        <v>46028</v>
      </c>
      <c r="B32" s="124" t="s">
        <v>415</v>
      </c>
      <c r="C32" s="125" t="s">
        <v>1297</v>
      </c>
      <c r="D32" s="124" t="s">
        <v>1286</v>
      </c>
      <c r="E32" s="126">
        <v>1.4375</v>
      </c>
      <c r="F32" s="124" t="s">
        <v>63</v>
      </c>
      <c r="G32" s="127">
        <v>5</v>
      </c>
      <c r="H32" s="128" t="s">
        <v>1298</v>
      </c>
    </row>
    <row r="33" spans="1:8" ht="19.899999999999999" customHeight="1">
      <c r="A33" s="143"/>
      <c r="B33" s="144"/>
      <c r="C33" s="144"/>
      <c r="D33" s="144"/>
      <c r="E33" s="144"/>
      <c r="F33" s="145" t="s">
        <v>1332</v>
      </c>
      <c r="G33" s="144"/>
      <c r="H33" s="146"/>
    </row>
    <row r="34" spans="1:8" ht="19.899999999999999" customHeight="1">
      <c r="A34" s="121">
        <v>46029</v>
      </c>
      <c r="B34" s="112" t="s">
        <v>359</v>
      </c>
      <c r="C34" s="113" t="s">
        <v>1291</v>
      </c>
      <c r="D34" s="112" t="s">
        <v>1286</v>
      </c>
      <c r="E34" s="122">
        <v>1.7673611111111109</v>
      </c>
      <c r="F34" s="112" t="s">
        <v>361</v>
      </c>
      <c r="G34" s="114">
        <v>9</v>
      </c>
      <c r="H34" s="115" t="s">
        <v>1292</v>
      </c>
    </row>
    <row r="35" spans="1:8" ht="19.899999999999999" customHeight="1">
      <c r="A35" s="121">
        <v>46029</v>
      </c>
      <c r="B35" s="112" t="s">
        <v>402</v>
      </c>
      <c r="C35" s="113" t="s">
        <v>1294</v>
      </c>
      <c r="D35" s="112" t="s">
        <v>1286</v>
      </c>
      <c r="E35" s="122">
        <v>1.489583333333333</v>
      </c>
      <c r="F35" s="112" t="s">
        <v>63</v>
      </c>
      <c r="G35" s="114">
        <v>8</v>
      </c>
      <c r="H35" s="115" t="s">
        <v>1146</v>
      </c>
    </row>
    <row r="36" spans="1:8" ht="19.899999999999999" customHeight="1">
      <c r="A36" s="121">
        <v>46029</v>
      </c>
      <c r="B36" s="112" t="s">
        <v>68</v>
      </c>
      <c r="C36" s="113" t="s">
        <v>1295</v>
      </c>
      <c r="D36" s="112" t="s">
        <v>1286</v>
      </c>
      <c r="E36" s="122">
        <v>1.868055555555556</v>
      </c>
      <c r="F36" s="112" t="s">
        <v>643</v>
      </c>
      <c r="G36" s="114">
        <v>9</v>
      </c>
      <c r="H36" s="115" t="s">
        <v>1296</v>
      </c>
    </row>
    <row r="37" spans="1:8" ht="19.899999999999999" customHeight="1">
      <c r="A37" s="121">
        <v>46029</v>
      </c>
      <c r="B37" s="112" t="s">
        <v>359</v>
      </c>
      <c r="C37" s="113" t="s">
        <v>1291</v>
      </c>
      <c r="D37" s="112" t="s">
        <v>1286</v>
      </c>
      <c r="E37" s="122">
        <v>1.7673611111111109</v>
      </c>
      <c r="F37" s="112" t="s">
        <v>46</v>
      </c>
      <c r="G37" s="114">
        <v>9</v>
      </c>
      <c r="H37" s="115" t="s">
        <v>1293</v>
      </c>
    </row>
    <row r="38" spans="1:8" ht="19.899999999999999" customHeight="1">
      <c r="A38" s="123">
        <v>46029</v>
      </c>
      <c r="B38" s="124" t="s">
        <v>415</v>
      </c>
      <c r="C38" s="125" t="s">
        <v>1297</v>
      </c>
      <c r="D38" s="124" t="s">
        <v>1286</v>
      </c>
      <c r="E38" s="126">
        <v>1.4548611111111109</v>
      </c>
      <c r="F38" s="124" t="s">
        <v>63</v>
      </c>
      <c r="G38" s="127">
        <v>5</v>
      </c>
      <c r="H38" s="128" t="s">
        <v>1298</v>
      </c>
    </row>
    <row r="39" spans="1:8" ht="19.899999999999999" customHeight="1">
      <c r="A39" s="143"/>
      <c r="B39" s="144"/>
      <c r="C39" s="144"/>
      <c r="D39" s="144"/>
      <c r="E39" s="144"/>
      <c r="F39" s="145" t="s">
        <v>1332</v>
      </c>
      <c r="G39" s="144"/>
      <c r="H39" s="146"/>
    </row>
    <row r="40" spans="1:8" ht="19.899999999999999" customHeight="1">
      <c r="A40" s="121">
        <v>46030</v>
      </c>
      <c r="B40" s="112" t="s">
        <v>61</v>
      </c>
      <c r="C40" s="113" t="s">
        <v>1287</v>
      </c>
      <c r="D40" s="112" t="s">
        <v>1286</v>
      </c>
      <c r="E40" s="122">
        <v>1.631944444444444</v>
      </c>
      <c r="F40" s="112" t="s">
        <v>63</v>
      </c>
      <c r="G40" s="114">
        <v>3</v>
      </c>
      <c r="H40" s="115" t="s">
        <v>42</v>
      </c>
    </row>
    <row r="41" spans="1:8" ht="19.899999999999999" customHeight="1">
      <c r="A41" s="121">
        <v>46030</v>
      </c>
      <c r="B41" s="112" t="s">
        <v>359</v>
      </c>
      <c r="C41" s="113" t="s">
        <v>1291</v>
      </c>
      <c r="D41" s="112" t="s">
        <v>1286</v>
      </c>
      <c r="E41" s="122">
        <v>1.7673611111111109</v>
      </c>
      <c r="F41" s="112" t="s">
        <v>361</v>
      </c>
      <c r="G41" s="114">
        <v>9</v>
      </c>
      <c r="H41" s="115" t="s">
        <v>1292</v>
      </c>
    </row>
    <row r="42" spans="1:8" ht="19.899999999999999" customHeight="1">
      <c r="A42" s="121">
        <v>46030</v>
      </c>
      <c r="B42" s="112" t="s">
        <v>402</v>
      </c>
      <c r="C42" s="113" t="s">
        <v>1294</v>
      </c>
      <c r="D42" s="112" t="s">
        <v>1286</v>
      </c>
      <c r="E42" s="122">
        <v>1.489583333333333</v>
      </c>
      <c r="F42" s="112" t="s">
        <v>63</v>
      </c>
      <c r="G42" s="114">
        <v>8</v>
      </c>
      <c r="H42" s="115" t="s">
        <v>1146</v>
      </c>
    </row>
    <row r="43" spans="1:8" ht="19.899999999999999" customHeight="1">
      <c r="A43" s="121">
        <v>46030</v>
      </c>
      <c r="B43" s="112" t="s">
        <v>68</v>
      </c>
      <c r="C43" s="113" t="s">
        <v>1295</v>
      </c>
      <c r="D43" s="112" t="s">
        <v>1286</v>
      </c>
      <c r="E43" s="122">
        <v>1.868055555555556</v>
      </c>
      <c r="F43" s="112" t="s">
        <v>643</v>
      </c>
      <c r="G43" s="114">
        <v>9</v>
      </c>
      <c r="H43" s="115" t="s">
        <v>1296</v>
      </c>
    </row>
    <row r="44" spans="1:8" ht="19.899999999999999" customHeight="1">
      <c r="A44" s="121">
        <v>46030</v>
      </c>
      <c r="B44" s="112" t="s">
        <v>359</v>
      </c>
      <c r="C44" s="113" t="s">
        <v>1291</v>
      </c>
      <c r="D44" s="112" t="s">
        <v>1286</v>
      </c>
      <c r="E44" s="122">
        <v>1.7673611111111109</v>
      </c>
      <c r="F44" s="112" t="s">
        <v>46</v>
      </c>
      <c r="G44" s="114">
        <v>9</v>
      </c>
      <c r="H44" s="115" t="s">
        <v>1293</v>
      </c>
    </row>
    <row r="45" spans="1:8" ht="19.899999999999999" customHeight="1">
      <c r="A45" s="123">
        <v>46030</v>
      </c>
      <c r="B45" s="124" t="s">
        <v>415</v>
      </c>
      <c r="C45" s="125" t="s">
        <v>1297</v>
      </c>
      <c r="D45" s="124" t="s">
        <v>1286</v>
      </c>
      <c r="E45" s="126">
        <v>1.4548611111111109</v>
      </c>
      <c r="F45" s="124" t="s">
        <v>63</v>
      </c>
      <c r="G45" s="127">
        <v>5</v>
      </c>
      <c r="H45" s="128" t="s">
        <v>1298</v>
      </c>
    </row>
    <row r="46" spans="1:8" ht="19.899999999999999" customHeight="1">
      <c r="A46" s="143"/>
      <c r="B46" s="144"/>
      <c r="C46" s="144"/>
      <c r="D46" s="144"/>
      <c r="E46" s="144"/>
      <c r="F46" s="145" t="s">
        <v>1332</v>
      </c>
      <c r="G46" s="144"/>
      <c r="H46" s="146"/>
    </row>
    <row r="47" spans="1:8" ht="19.899999999999999" customHeight="1">
      <c r="A47" s="121">
        <v>46031</v>
      </c>
      <c r="B47" s="112" t="s">
        <v>61</v>
      </c>
      <c r="C47" s="113" t="s">
        <v>1287</v>
      </c>
      <c r="D47" s="112" t="s">
        <v>1286</v>
      </c>
      <c r="E47" s="122">
        <v>1.8298611111111109</v>
      </c>
      <c r="F47" s="112" t="s">
        <v>63</v>
      </c>
      <c r="G47" s="114">
        <v>7</v>
      </c>
      <c r="H47" s="115" t="s">
        <v>1288</v>
      </c>
    </row>
    <row r="48" spans="1:8" ht="19.899999999999999" customHeight="1">
      <c r="A48" s="121">
        <v>46031</v>
      </c>
      <c r="B48" s="112" t="s">
        <v>402</v>
      </c>
      <c r="C48" s="113" t="s">
        <v>1294</v>
      </c>
      <c r="D48" s="112" t="s">
        <v>1286</v>
      </c>
      <c r="E48" s="122">
        <v>1.489583333333333</v>
      </c>
      <c r="F48" s="112" t="s">
        <v>63</v>
      </c>
      <c r="G48" s="114">
        <v>9</v>
      </c>
      <c r="H48" s="115" t="s">
        <v>1146</v>
      </c>
    </row>
    <row r="49" spans="1:8" ht="19.899999999999999" customHeight="1">
      <c r="A49" s="123">
        <v>46031</v>
      </c>
      <c r="B49" s="124" t="s">
        <v>68</v>
      </c>
      <c r="C49" s="125" t="s">
        <v>1295</v>
      </c>
      <c r="D49" s="124" t="s">
        <v>1286</v>
      </c>
      <c r="E49" s="126">
        <v>1.868055555555556</v>
      </c>
      <c r="F49" s="124" t="s">
        <v>643</v>
      </c>
      <c r="G49" s="127">
        <v>9</v>
      </c>
      <c r="H49" s="128" t="s">
        <v>1296</v>
      </c>
    </row>
    <row r="50" spans="1:8" ht="19.899999999999999" customHeight="1">
      <c r="A50" s="129">
        <v>46032</v>
      </c>
      <c r="B50" s="117" t="s">
        <v>61</v>
      </c>
      <c r="C50" s="118" t="s">
        <v>1319</v>
      </c>
      <c r="D50" s="117" t="s">
        <v>1318</v>
      </c>
      <c r="E50" s="130">
        <v>1.6909722222222221</v>
      </c>
      <c r="F50" s="117" t="s">
        <v>63</v>
      </c>
      <c r="G50" s="119">
        <v>6</v>
      </c>
      <c r="H50" s="120" t="s">
        <v>1320</v>
      </c>
    </row>
    <row r="51" spans="1:8" ht="19.899999999999999" customHeight="1">
      <c r="A51" s="143"/>
      <c r="B51" s="144"/>
      <c r="C51" s="144"/>
      <c r="D51" s="144"/>
      <c r="E51" s="144"/>
      <c r="F51" s="145" t="s">
        <v>1332</v>
      </c>
      <c r="G51" s="144"/>
      <c r="H51" s="146"/>
    </row>
    <row r="52" spans="1:8" ht="19.899999999999999" customHeight="1">
      <c r="A52" s="121">
        <v>46032</v>
      </c>
      <c r="B52" s="112" t="s">
        <v>359</v>
      </c>
      <c r="C52" s="113" t="s">
        <v>1291</v>
      </c>
      <c r="D52" s="112" t="s">
        <v>1286</v>
      </c>
      <c r="E52" s="122">
        <v>1.7673611111111109</v>
      </c>
      <c r="F52" s="112" t="s">
        <v>361</v>
      </c>
      <c r="G52" s="114">
        <v>9</v>
      </c>
      <c r="H52" s="115" t="s">
        <v>493</v>
      </c>
    </row>
    <row r="53" spans="1:8" ht="19.899999999999999" customHeight="1">
      <c r="A53" s="121">
        <v>46032</v>
      </c>
      <c r="B53" s="112" t="s">
        <v>402</v>
      </c>
      <c r="C53" s="113" t="s">
        <v>1300</v>
      </c>
      <c r="D53" s="112" t="s">
        <v>1286</v>
      </c>
      <c r="E53" s="122">
        <v>1.8125</v>
      </c>
      <c r="F53" s="112" t="s">
        <v>63</v>
      </c>
      <c r="G53" s="114">
        <v>7</v>
      </c>
      <c r="H53" s="115" t="s">
        <v>1146</v>
      </c>
    </row>
    <row r="54" spans="1:8" ht="19.899999999999999" customHeight="1">
      <c r="A54" s="121">
        <v>46032</v>
      </c>
      <c r="B54" s="112" t="s">
        <v>68</v>
      </c>
      <c r="C54" s="113" t="s">
        <v>1295</v>
      </c>
      <c r="D54" s="112" t="s">
        <v>1286</v>
      </c>
      <c r="E54" s="122">
        <v>1.868055555555556</v>
      </c>
      <c r="F54" s="112" t="s">
        <v>643</v>
      </c>
      <c r="G54" s="114">
        <v>9</v>
      </c>
      <c r="H54" s="115" t="s">
        <v>1296</v>
      </c>
    </row>
    <row r="55" spans="1:8" ht="19.899999999999999" customHeight="1">
      <c r="A55" s="123">
        <v>46032</v>
      </c>
      <c r="B55" s="124" t="s">
        <v>359</v>
      </c>
      <c r="C55" s="125" t="s">
        <v>1291</v>
      </c>
      <c r="D55" s="124" t="s">
        <v>1286</v>
      </c>
      <c r="E55" s="126">
        <v>1.7673611111111109</v>
      </c>
      <c r="F55" s="124" t="s">
        <v>46</v>
      </c>
      <c r="G55" s="127">
        <v>9</v>
      </c>
      <c r="H55" s="128" t="s">
        <v>1299</v>
      </c>
    </row>
    <row r="56" spans="1:8" ht="19.899999999999999" customHeight="1">
      <c r="A56" s="143"/>
      <c r="B56" s="144"/>
      <c r="C56" s="144"/>
      <c r="D56" s="144"/>
      <c r="E56" s="144"/>
      <c r="F56" s="145" t="s">
        <v>1332</v>
      </c>
      <c r="G56" s="144"/>
      <c r="H56" s="146"/>
    </row>
    <row r="57" spans="1:8" ht="19.899999999999999" customHeight="1">
      <c r="A57" s="121">
        <v>46033</v>
      </c>
      <c r="B57" s="112" t="s">
        <v>61</v>
      </c>
      <c r="C57" s="113" t="s">
        <v>1287</v>
      </c>
      <c r="D57" s="112" t="s">
        <v>1286</v>
      </c>
      <c r="E57" s="122">
        <v>1.631944444444444</v>
      </c>
      <c r="F57" s="112" t="s">
        <v>63</v>
      </c>
      <c r="G57" s="114">
        <v>1</v>
      </c>
      <c r="H57" s="115" t="s">
        <v>42</v>
      </c>
    </row>
    <row r="58" spans="1:8" ht="19.899999999999999" customHeight="1">
      <c r="A58" s="121">
        <v>46033</v>
      </c>
      <c r="B58" s="112" t="s">
        <v>402</v>
      </c>
      <c r="C58" s="113" t="s">
        <v>1294</v>
      </c>
      <c r="D58" s="112" t="s">
        <v>1286</v>
      </c>
      <c r="E58" s="122">
        <v>1.489583333333333</v>
      </c>
      <c r="F58" s="112" t="s">
        <v>63</v>
      </c>
      <c r="G58" s="114">
        <v>5</v>
      </c>
      <c r="H58" s="115" t="s">
        <v>1063</v>
      </c>
    </row>
    <row r="59" spans="1:8" ht="19.899999999999999" customHeight="1">
      <c r="A59" s="123">
        <v>46033</v>
      </c>
      <c r="B59" s="124" t="s">
        <v>415</v>
      </c>
      <c r="C59" s="125" t="s">
        <v>1297</v>
      </c>
      <c r="D59" s="124" t="s">
        <v>1286</v>
      </c>
      <c r="E59" s="126">
        <v>1.4375</v>
      </c>
      <c r="F59" s="124" t="s">
        <v>63</v>
      </c>
      <c r="G59" s="127">
        <v>4</v>
      </c>
      <c r="H59" s="128" t="s">
        <v>1298</v>
      </c>
    </row>
    <row r="60" spans="1:8" ht="19.899999999999999" customHeight="1">
      <c r="A60" s="143"/>
      <c r="B60" s="144"/>
      <c r="C60" s="144"/>
      <c r="D60" s="144"/>
      <c r="E60" s="144"/>
      <c r="F60" s="145" t="s">
        <v>1332</v>
      </c>
      <c r="G60" s="144"/>
      <c r="H60" s="146"/>
    </row>
    <row r="61" spans="1:8" ht="19.899999999999999" customHeight="1">
      <c r="A61" s="121">
        <v>46034</v>
      </c>
      <c r="B61" s="112" t="s">
        <v>359</v>
      </c>
      <c r="C61" s="113" t="s">
        <v>1291</v>
      </c>
      <c r="D61" s="112" t="s">
        <v>1286</v>
      </c>
      <c r="E61" s="122">
        <v>1.7673611111111109</v>
      </c>
      <c r="F61" s="112" t="s">
        <v>361</v>
      </c>
      <c r="G61" s="114">
        <v>9</v>
      </c>
      <c r="H61" s="115" t="s">
        <v>1292</v>
      </c>
    </row>
    <row r="62" spans="1:8" ht="19.899999999999999" customHeight="1">
      <c r="A62" s="121">
        <v>46034</v>
      </c>
      <c r="B62" s="112" t="s">
        <v>68</v>
      </c>
      <c r="C62" s="113" t="s">
        <v>1295</v>
      </c>
      <c r="D62" s="112" t="s">
        <v>1286</v>
      </c>
      <c r="E62" s="122">
        <v>1.868055555555556</v>
      </c>
      <c r="F62" s="112" t="s">
        <v>643</v>
      </c>
      <c r="G62" s="114">
        <v>9</v>
      </c>
      <c r="H62" s="115" t="s">
        <v>1296</v>
      </c>
    </row>
    <row r="63" spans="1:8" ht="19.899999999999999" customHeight="1">
      <c r="A63" s="121">
        <v>46034</v>
      </c>
      <c r="B63" s="112" t="s">
        <v>359</v>
      </c>
      <c r="C63" s="113" t="s">
        <v>1291</v>
      </c>
      <c r="D63" s="112" t="s">
        <v>1286</v>
      </c>
      <c r="E63" s="122">
        <v>1.7673611111111109</v>
      </c>
      <c r="F63" s="112" t="s">
        <v>46</v>
      </c>
      <c r="G63" s="114">
        <v>9</v>
      </c>
      <c r="H63" s="115" t="s">
        <v>1293</v>
      </c>
    </row>
    <row r="64" spans="1:8" ht="19.899999999999999" customHeight="1">
      <c r="A64" s="121">
        <v>46034</v>
      </c>
      <c r="B64" s="112" t="s">
        <v>402</v>
      </c>
      <c r="C64" s="113" t="s">
        <v>1294</v>
      </c>
      <c r="D64" s="112" t="s">
        <v>1286</v>
      </c>
      <c r="E64" s="122">
        <v>1.489583333333333</v>
      </c>
      <c r="F64" s="112" t="s">
        <v>63</v>
      </c>
      <c r="G64" s="114">
        <v>5</v>
      </c>
      <c r="H64" s="115" t="s">
        <v>1063</v>
      </c>
    </row>
    <row r="65" spans="1:8" ht="19.899999999999999" customHeight="1">
      <c r="A65" s="123">
        <v>46034</v>
      </c>
      <c r="B65" s="124" t="s">
        <v>415</v>
      </c>
      <c r="C65" s="125" t="s">
        <v>1297</v>
      </c>
      <c r="D65" s="124" t="s">
        <v>1286</v>
      </c>
      <c r="E65" s="126">
        <v>1.4548611111111109</v>
      </c>
      <c r="F65" s="124" t="s">
        <v>63</v>
      </c>
      <c r="G65" s="127">
        <v>5</v>
      </c>
      <c r="H65" s="128" t="s">
        <v>1298</v>
      </c>
    </row>
    <row r="66" spans="1:8" ht="19.899999999999999" customHeight="1">
      <c r="A66" s="129">
        <v>46035</v>
      </c>
      <c r="B66" s="117" t="s">
        <v>61</v>
      </c>
      <c r="C66" s="118" t="s">
        <v>1319</v>
      </c>
      <c r="D66" s="117" t="s">
        <v>1318</v>
      </c>
      <c r="E66" s="130">
        <v>1.8576388888888891</v>
      </c>
      <c r="F66" s="117" t="s">
        <v>63</v>
      </c>
      <c r="G66" s="119">
        <v>4</v>
      </c>
      <c r="H66" s="120" t="s">
        <v>1320</v>
      </c>
    </row>
    <row r="67" spans="1:8" ht="19.899999999999999" customHeight="1">
      <c r="A67" s="143"/>
      <c r="B67" s="144"/>
      <c r="C67" s="144"/>
      <c r="D67" s="144"/>
      <c r="E67" s="144"/>
      <c r="F67" s="145" t="s">
        <v>1332</v>
      </c>
      <c r="G67" s="144"/>
      <c r="H67" s="146"/>
    </row>
    <row r="68" spans="1:8" ht="19.899999999999999" customHeight="1">
      <c r="A68" s="121">
        <v>46035</v>
      </c>
      <c r="B68" s="112" t="s">
        <v>359</v>
      </c>
      <c r="C68" s="113" t="s">
        <v>1291</v>
      </c>
      <c r="D68" s="112" t="s">
        <v>1286</v>
      </c>
      <c r="E68" s="122">
        <v>1.7673611111111109</v>
      </c>
      <c r="F68" s="112" t="s">
        <v>361</v>
      </c>
      <c r="G68" s="114">
        <v>9</v>
      </c>
      <c r="H68" s="115" t="s">
        <v>1292</v>
      </c>
    </row>
    <row r="69" spans="1:8" ht="19.899999999999999" customHeight="1">
      <c r="A69" s="121">
        <v>46035</v>
      </c>
      <c r="B69" s="112" t="s">
        <v>359</v>
      </c>
      <c r="C69" s="113" t="s">
        <v>1291</v>
      </c>
      <c r="D69" s="112" t="s">
        <v>1286</v>
      </c>
      <c r="E69" s="122">
        <v>1.7673611111111109</v>
      </c>
      <c r="F69" s="112" t="s">
        <v>46</v>
      </c>
      <c r="G69" s="114">
        <v>9</v>
      </c>
      <c r="H69" s="115" t="s">
        <v>1293</v>
      </c>
    </row>
    <row r="70" spans="1:8" ht="19.899999999999999" customHeight="1">
      <c r="A70" s="121">
        <v>46035</v>
      </c>
      <c r="B70" s="112" t="s">
        <v>402</v>
      </c>
      <c r="C70" s="113" t="s">
        <v>1294</v>
      </c>
      <c r="D70" s="112" t="s">
        <v>1286</v>
      </c>
      <c r="E70" s="122">
        <v>1.489583333333333</v>
      </c>
      <c r="F70" s="112" t="s">
        <v>63</v>
      </c>
      <c r="G70" s="114">
        <v>4</v>
      </c>
      <c r="H70" s="115" t="s">
        <v>1063</v>
      </c>
    </row>
    <row r="71" spans="1:8" ht="19.899999999999999" customHeight="1">
      <c r="A71" s="123">
        <v>46035</v>
      </c>
      <c r="B71" s="124" t="s">
        <v>415</v>
      </c>
      <c r="C71" s="125" t="s">
        <v>1297</v>
      </c>
      <c r="D71" s="124" t="s">
        <v>1286</v>
      </c>
      <c r="E71" s="126">
        <v>1.4375</v>
      </c>
      <c r="F71" s="124" t="s">
        <v>63</v>
      </c>
      <c r="G71" s="127">
        <v>5</v>
      </c>
      <c r="H71" s="128" t="s">
        <v>1298</v>
      </c>
    </row>
    <row r="72" spans="1:8" ht="19.899999999999999" customHeight="1">
      <c r="A72" s="143"/>
      <c r="B72" s="144"/>
      <c r="C72" s="144"/>
      <c r="D72" s="144"/>
      <c r="E72" s="144"/>
      <c r="F72" s="145" t="s">
        <v>1332</v>
      </c>
      <c r="G72" s="144"/>
      <c r="H72" s="146"/>
    </row>
    <row r="73" spans="1:8" ht="19.899999999999999" customHeight="1">
      <c r="A73" s="121">
        <v>46036</v>
      </c>
      <c r="B73" s="112" t="s">
        <v>359</v>
      </c>
      <c r="C73" s="113" t="s">
        <v>1291</v>
      </c>
      <c r="D73" s="112" t="s">
        <v>1286</v>
      </c>
      <c r="E73" s="122">
        <v>1.7673611111111109</v>
      </c>
      <c r="F73" s="112" t="s">
        <v>361</v>
      </c>
      <c r="G73" s="114">
        <v>9</v>
      </c>
      <c r="H73" s="115" t="s">
        <v>1304</v>
      </c>
    </row>
    <row r="74" spans="1:8" ht="19.899999999999999" customHeight="1">
      <c r="A74" s="121">
        <v>46036</v>
      </c>
      <c r="B74" s="112" t="s">
        <v>68</v>
      </c>
      <c r="C74" s="113" t="s">
        <v>1295</v>
      </c>
      <c r="D74" s="112" t="s">
        <v>1286</v>
      </c>
      <c r="E74" s="122">
        <v>1.868055555555556</v>
      </c>
      <c r="F74" s="112" t="s">
        <v>643</v>
      </c>
      <c r="G74" s="114">
        <v>9</v>
      </c>
      <c r="H74" s="115" t="s">
        <v>1296</v>
      </c>
    </row>
    <row r="75" spans="1:8" ht="19.899999999999999" customHeight="1">
      <c r="A75" s="121">
        <v>46036</v>
      </c>
      <c r="B75" s="112" t="s">
        <v>359</v>
      </c>
      <c r="C75" s="113" t="s">
        <v>1291</v>
      </c>
      <c r="D75" s="112" t="s">
        <v>1286</v>
      </c>
      <c r="E75" s="122">
        <v>1.7673611111111109</v>
      </c>
      <c r="F75" s="112" t="s">
        <v>46</v>
      </c>
      <c r="G75" s="114">
        <v>9</v>
      </c>
      <c r="H75" s="115" t="s">
        <v>1305</v>
      </c>
    </row>
    <row r="76" spans="1:8" ht="19.899999999999999" customHeight="1">
      <c r="A76" s="121">
        <v>46036</v>
      </c>
      <c r="B76" s="112" t="s">
        <v>402</v>
      </c>
      <c r="C76" s="113" t="s">
        <v>1294</v>
      </c>
      <c r="D76" s="112" t="s">
        <v>1286</v>
      </c>
      <c r="E76" s="122">
        <v>1.489583333333333</v>
      </c>
      <c r="F76" s="112" t="s">
        <v>63</v>
      </c>
      <c r="G76" s="114">
        <v>5</v>
      </c>
      <c r="H76" s="115" t="s">
        <v>1063</v>
      </c>
    </row>
    <row r="77" spans="1:8" ht="19.899999999999999" customHeight="1">
      <c r="A77" s="123">
        <v>46036</v>
      </c>
      <c r="B77" s="124" t="s">
        <v>415</v>
      </c>
      <c r="C77" s="125" t="s">
        <v>1297</v>
      </c>
      <c r="D77" s="124" t="s">
        <v>1286</v>
      </c>
      <c r="E77" s="126">
        <v>1.4548611111111109</v>
      </c>
      <c r="F77" s="124" t="s">
        <v>63</v>
      </c>
      <c r="G77" s="127">
        <v>5</v>
      </c>
      <c r="H77" s="128" t="s">
        <v>1298</v>
      </c>
    </row>
    <row r="78" spans="1:8" ht="19.899999999999999" customHeight="1">
      <c r="A78" s="143"/>
      <c r="B78" s="144"/>
      <c r="C78" s="144"/>
      <c r="D78" s="144"/>
      <c r="E78" s="144"/>
      <c r="F78" s="145" t="s">
        <v>1332</v>
      </c>
      <c r="G78" s="144"/>
      <c r="H78" s="146"/>
    </row>
    <row r="79" spans="1:8" ht="19.899999999999999" customHeight="1">
      <c r="A79" s="121">
        <v>46037</v>
      </c>
      <c r="B79" s="112" t="s">
        <v>359</v>
      </c>
      <c r="C79" s="113" t="s">
        <v>1291</v>
      </c>
      <c r="D79" s="112" t="s">
        <v>1286</v>
      </c>
      <c r="E79" s="122">
        <v>1.7673611111111109</v>
      </c>
      <c r="F79" s="112" t="s">
        <v>361</v>
      </c>
      <c r="G79" s="114">
        <v>9</v>
      </c>
      <c r="H79" s="115" t="s">
        <v>1304</v>
      </c>
    </row>
    <row r="80" spans="1:8" ht="19.899999999999999" customHeight="1">
      <c r="A80" s="121">
        <v>46037</v>
      </c>
      <c r="B80" s="112" t="s">
        <v>68</v>
      </c>
      <c r="C80" s="113" t="s">
        <v>1295</v>
      </c>
      <c r="D80" s="112" t="s">
        <v>1286</v>
      </c>
      <c r="E80" s="122">
        <v>1.868055555555556</v>
      </c>
      <c r="F80" s="112" t="s">
        <v>643</v>
      </c>
      <c r="G80" s="114">
        <v>9</v>
      </c>
      <c r="H80" s="115" t="s">
        <v>1296</v>
      </c>
    </row>
    <row r="81" spans="1:8" ht="19.899999999999999" customHeight="1">
      <c r="A81" s="121">
        <v>46037</v>
      </c>
      <c r="B81" s="112" t="s">
        <v>61</v>
      </c>
      <c r="C81" s="113" t="s">
        <v>1287</v>
      </c>
      <c r="D81" s="112" t="s">
        <v>1286</v>
      </c>
      <c r="E81" s="122">
        <v>1.631944444444444</v>
      </c>
      <c r="F81" s="112" t="s">
        <v>63</v>
      </c>
      <c r="G81" s="114">
        <v>9</v>
      </c>
      <c r="H81" s="115" t="s">
        <v>1306</v>
      </c>
    </row>
    <row r="82" spans="1:8" ht="19.899999999999999" customHeight="1">
      <c r="A82" s="121">
        <v>46037</v>
      </c>
      <c r="B82" s="112" t="s">
        <v>359</v>
      </c>
      <c r="C82" s="113" t="s">
        <v>1291</v>
      </c>
      <c r="D82" s="112" t="s">
        <v>1286</v>
      </c>
      <c r="E82" s="122">
        <v>1.7673611111111109</v>
      </c>
      <c r="F82" s="112" t="s">
        <v>46</v>
      </c>
      <c r="G82" s="114">
        <v>9</v>
      </c>
      <c r="H82" s="115" t="s">
        <v>1305</v>
      </c>
    </row>
    <row r="83" spans="1:8" ht="19.899999999999999" customHeight="1">
      <c r="A83" s="121">
        <v>46037</v>
      </c>
      <c r="B83" s="112" t="s">
        <v>402</v>
      </c>
      <c r="C83" s="113" t="s">
        <v>1294</v>
      </c>
      <c r="D83" s="112" t="s">
        <v>1286</v>
      </c>
      <c r="E83" s="122">
        <v>1.489583333333333</v>
      </c>
      <c r="F83" s="112" t="s">
        <v>63</v>
      </c>
      <c r="G83" s="114">
        <v>5</v>
      </c>
      <c r="H83" s="115" t="s">
        <v>1063</v>
      </c>
    </row>
    <row r="84" spans="1:8" ht="19.899999999999999" customHeight="1">
      <c r="A84" s="123">
        <v>46037</v>
      </c>
      <c r="B84" s="124" t="s">
        <v>415</v>
      </c>
      <c r="C84" s="125" t="s">
        <v>1297</v>
      </c>
      <c r="D84" s="124" t="s">
        <v>1286</v>
      </c>
      <c r="E84" s="126">
        <v>1.4548611111111109</v>
      </c>
      <c r="F84" s="124" t="s">
        <v>63</v>
      </c>
      <c r="G84" s="127">
        <v>5</v>
      </c>
      <c r="H84" s="128" t="s">
        <v>1298</v>
      </c>
    </row>
    <row r="85" spans="1:8" ht="19.899999999999999" customHeight="1">
      <c r="A85" s="143"/>
      <c r="B85" s="144"/>
      <c r="C85" s="144"/>
      <c r="D85" s="144"/>
      <c r="E85" s="144"/>
      <c r="F85" s="145" t="s">
        <v>1332</v>
      </c>
      <c r="G85" s="144"/>
      <c r="H85" s="146"/>
    </row>
    <row r="86" spans="1:8" ht="19.899999999999999" customHeight="1">
      <c r="A86" s="121">
        <v>46038</v>
      </c>
      <c r="B86" s="112" t="s">
        <v>61</v>
      </c>
      <c r="C86" s="113" t="s">
        <v>1287</v>
      </c>
      <c r="D86" s="112" t="s">
        <v>1286</v>
      </c>
      <c r="E86" s="122">
        <v>1.8298611111111109</v>
      </c>
      <c r="F86" s="112" t="s">
        <v>63</v>
      </c>
      <c r="G86" s="114">
        <v>7</v>
      </c>
      <c r="H86" s="115" t="s">
        <v>1306</v>
      </c>
    </row>
    <row r="87" spans="1:8" ht="19.899999999999999" customHeight="1">
      <c r="A87" s="121">
        <v>46038</v>
      </c>
      <c r="B87" s="112" t="s">
        <v>402</v>
      </c>
      <c r="C87" s="113" t="s">
        <v>1294</v>
      </c>
      <c r="D87" s="112" t="s">
        <v>1286</v>
      </c>
      <c r="E87" s="122">
        <v>1.489583333333333</v>
      </c>
      <c r="F87" s="112" t="s">
        <v>63</v>
      </c>
      <c r="G87" s="114">
        <v>5</v>
      </c>
      <c r="H87" s="115" t="s">
        <v>1063</v>
      </c>
    </row>
    <row r="88" spans="1:8" ht="19.899999999999999" customHeight="1">
      <c r="A88" s="121">
        <v>46038</v>
      </c>
      <c r="B88" s="112" t="s">
        <v>68</v>
      </c>
      <c r="C88" s="113" t="s">
        <v>1295</v>
      </c>
      <c r="D88" s="112" t="s">
        <v>1286</v>
      </c>
      <c r="E88" s="122">
        <v>1.868055555555556</v>
      </c>
      <c r="F88" s="112" t="s">
        <v>70</v>
      </c>
      <c r="G88" s="114">
        <v>9</v>
      </c>
      <c r="H88" s="115" t="s">
        <v>653</v>
      </c>
    </row>
    <row r="89" spans="1:8" ht="19.899999999999999" customHeight="1">
      <c r="A89" s="123">
        <v>46038</v>
      </c>
      <c r="B89" s="124" t="s">
        <v>415</v>
      </c>
      <c r="C89" s="125" t="s">
        <v>1297</v>
      </c>
      <c r="D89" s="124" t="s">
        <v>1286</v>
      </c>
      <c r="E89" s="126">
        <v>1.4375</v>
      </c>
      <c r="F89" s="124" t="s">
        <v>63</v>
      </c>
      <c r="G89" s="127">
        <v>5</v>
      </c>
      <c r="H89" s="128" t="s">
        <v>1298</v>
      </c>
    </row>
    <row r="90" spans="1:8" ht="19.899999999999999" customHeight="1">
      <c r="A90" s="129">
        <v>46039</v>
      </c>
      <c r="B90" s="117" t="s">
        <v>61</v>
      </c>
      <c r="C90" s="118" t="s">
        <v>1319</v>
      </c>
      <c r="D90" s="117" t="s">
        <v>1318</v>
      </c>
      <c r="E90" s="130">
        <v>1.6909722222222221</v>
      </c>
      <c r="F90" s="117" t="s">
        <v>63</v>
      </c>
      <c r="G90" s="119">
        <v>9</v>
      </c>
      <c r="H90" s="120" t="s">
        <v>503</v>
      </c>
    </row>
    <row r="91" spans="1:8" ht="19.899999999999999" customHeight="1">
      <c r="A91" s="143"/>
      <c r="B91" s="144"/>
      <c r="C91" s="144"/>
      <c r="D91" s="144"/>
      <c r="E91" s="144"/>
      <c r="F91" s="145" t="s">
        <v>1332</v>
      </c>
      <c r="G91" s="144"/>
      <c r="H91" s="146"/>
    </row>
    <row r="92" spans="1:8" ht="19.899999999999999" customHeight="1">
      <c r="A92" s="121">
        <v>46039</v>
      </c>
      <c r="B92" s="112" t="s">
        <v>359</v>
      </c>
      <c r="C92" s="113" t="s">
        <v>1291</v>
      </c>
      <c r="D92" s="112" t="s">
        <v>1286</v>
      </c>
      <c r="E92" s="122">
        <v>1.7673611111111109</v>
      </c>
      <c r="F92" s="112" t="s">
        <v>361</v>
      </c>
      <c r="G92" s="114">
        <v>9</v>
      </c>
      <c r="H92" s="115" t="s">
        <v>1309</v>
      </c>
    </row>
    <row r="93" spans="1:8" ht="19.899999999999999" customHeight="1">
      <c r="A93" s="121">
        <v>46039</v>
      </c>
      <c r="B93" s="112" t="s">
        <v>402</v>
      </c>
      <c r="C93" s="113" t="s">
        <v>1300</v>
      </c>
      <c r="D93" s="112" t="s">
        <v>1286</v>
      </c>
      <c r="E93" s="122">
        <v>1.8125</v>
      </c>
      <c r="F93" s="112" t="s">
        <v>63</v>
      </c>
      <c r="G93" s="114">
        <v>4</v>
      </c>
      <c r="H93" s="115" t="s">
        <v>1063</v>
      </c>
    </row>
    <row r="94" spans="1:8" ht="19.899999999999999" customHeight="1">
      <c r="A94" s="121">
        <v>46039</v>
      </c>
      <c r="B94" s="112" t="s">
        <v>359</v>
      </c>
      <c r="C94" s="113" t="s">
        <v>1291</v>
      </c>
      <c r="D94" s="112" t="s">
        <v>1286</v>
      </c>
      <c r="E94" s="122">
        <v>1.7673611111111109</v>
      </c>
      <c r="F94" s="112" t="s">
        <v>46</v>
      </c>
      <c r="G94" s="114">
        <v>9</v>
      </c>
      <c r="H94" s="115" t="s">
        <v>1310</v>
      </c>
    </row>
    <row r="95" spans="1:8" ht="19.899999999999999" customHeight="1">
      <c r="A95" s="121">
        <v>46039</v>
      </c>
      <c r="B95" s="112" t="s">
        <v>415</v>
      </c>
      <c r="C95" s="113" t="s">
        <v>1297</v>
      </c>
      <c r="D95" s="112" t="s">
        <v>1286</v>
      </c>
      <c r="E95" s="122">
        <v>1.4375</v>
      </c>
      <c r="F95" s="112" t="s">
        <v>63</v>
      </c>
      <c r="G95" s="114">
        <v>5</v>
      </c>
      <c r="H95" s="115" t="s">
        <v>1298</v>
      </c>
    </row>
    <row r="96" spans="1:8" ht="19.899999999999999" customHeight="1">
      <c r="A96" s="123">
        <v>46039</v>
      </c>
      <c r="B96" s="124" t="s">
        <v>68</v>
      </c>
      <c r="C96" s="125" t="s">
        <v>1295</v>
      </c>
      <c r="D96" s="124" t="s">
        <v>1286</v>
      </c>
      <c r="E96" s="126">
        <v>1.868055555555556</v>
      </c>
      <c r="F96" s="124" t="s">
        <v>70</v>
      </c>
      <c r="G96" s="127">
        <v>9</v>
      </c>
      <c r="H96" s="128" t="s">
        <v>1311</v>
      </c>
    </row>
    <row r="97" spans="1:8" ht="19.899999999999999" customHeight="1">
      <c r="A97" s="143"/>
      <c r="B97" s="144"/>
      <c r="C97" s="144"/>
      <c r="D97" s="144"/>
      <c r="E97" s="144"/>
      <c r="F97" s="145" t="s">
        <v>1332</v>
      </c>
      <c r="G97" s="144"/>
      <c r="H97" s="146"/>
    </row>
    <row r="98" spans="1:8" ht="19.899999999999999" customHeight="1">
      <c r="A98" s="121">
        <v>46040</v>
      </c>
      <c r="B98" s="112" t="s">
        <v>61</v>
      </c>
      <c r="C98" s="113" t="s">
        <v>1287</v>
      </c>
      <c r="D98" s="112" t="s">
        <v>1286</v>
      </c>
      <c r="E98" s="122">
        <v>1.631944444444444</v>
      </c>
      <c r="F98" s="112" t="s">
        <v>63</v>
      </c>
      <c r="G98" s="114">
        <v>7</v>
      </c>
      <c r="H98" s="115" t="s">
        <v>1255</v>
      </c>
    </row>
    <row r="99" spans="1:8" ht="19.899999999999999" customHeight="1">
      <c r="A99" s="121">
        <v>46040</v>
      </c>
      <c r="B99" s="112" t="s">
        <v>402</v>
      </c>
      <c r="C99" s="113" t="s">
        <v>1294</v>
      </c>
      <c r="D99" s="112" t="s">
        <v>1286</v>
      </c>
      <c r="E99" s="122">
        <v>1.489583333333333</v>
      </c>
      <c r="F99" s="112" t="s">
        <v>63</v>
      </c>
      <c r="G99" s="114">
        <v>5</v>
      </c>
      <c r="H99" s="115" t="s">
        <v>1063</v>
      </c>
    </row>
    <row r="100" spans="1:8" ht="19.899999999999999" customHeight="1">
      <c r="A100" s="123">
        <v>46040</v>
      </c>
      <c r="B100" s="124" t="s">
        <v>415</v>
      </c>
      <c r="C100" s="125" t="s">
        <v>1297</v>
      </c>
      <c r="D100" s="124" t="s">
        <v>1286</v>
      </c>
      <c r="E100" s="126">
        <v>1.4375</v>
      </c>
      <c r="F100" s="124" t="s">
        <v>63</v>
      </c>
      <c r="G100" s="127">
        <v>5</v>
      </c>
      <c r="H100" s="128" t="s">
        <v>1298</v>
      </c>
    </row>
    <row r="101" spans="1:8" ht="19.899999999999999" customHeight="1">
      <c r="A101" s="143"/>
      <c r="B101" s="144"/>
      <c r="C101" s="144"/>
      <c r="D101" s="144"/>
      <c r="E101" s="144"/>
      <c r="F101" s="145" t="s">
        <v>1332</v>
      </c>
      <c r="G101" s="144"/>
      <c r="H101" s="146"/>
    </row>
    <row r="102" spans="1:8" ht="19.899999999999999" customHeight="1">
      <c r="A102" s="121">
        <v>46041</v>
      </c>
      <c r="B102" s="112" t="s">
        <v>359</v>
      </c>
      <c r="C102" s="113" t="s">
        <v>1291</v>
      </c>
      <c r="D102" s="112" t="s">
        <v>1286</v>
      </c>
      <c r="E102" s="122">
        <v>1.7673611111111109</v>
      </c>
      <c r="F102" s="112" t="s">
        <v>361</v>
      </c>
      <c r="G102" s="114">
        <v>9</v>
      </c>
      <c r="H102" s="115" t="s">
        <v>1304</v>
      </c>
    </row>
    <row r="103" spans="1:8" ht="19.899999999999999" customHeight="1">
      <c r="A103" s="121">
        <v>46041</v>
      </c>
      <c r="B103" s="112" t="s">
        <v>68</v>
      </c>
      <c r="C103" s="113" t="s">
        <v>1295</v>
      </c>
      <c r="D103" s="112" t="s">
        <v>1286</v>
      </c>
      <c r="E103" s="122">
        <v>1.868055555555556</v>
      </c>
      <c r="F103" s="112" t="s">
        <v>643</v>
      </c>
      <c r="G103" s="114">
        <v>9</v>
      </c>
      <c r="H103" s="115" t="s">
        <v>1296</v>
      </c>
    </row>
    <row r="104" spans="1:8" ht="19.899999999999999" customHeight="1">
      <c r="A104" s="121">
        <v>46041</v>
      </c>
      <c r="B104" s="112" t="s">
        <v>359</v>
      </c>
      <c r="C104" s="113" t="s">
        <v>1291</v>
      </c>
      <c r="D104" s="112" t="s">
        <v>1286</v>
      </c>
      <c r="E104" s="122">
        <v>1.7673611111111109</v>
      </c>
      <c r="F104" s="112" t="s">
        <v>46</v>
      </c>
      <c r="G104" s="114">
        <v>9</v>
      </c>
      <c r="H104" s="115" t="s">
        <v>1305</v>
      </c>
    </row>
    <row r="105" spans="1:8" ht="19.899999999999999" customHeight="1">
      <c r="A105" s="121">
        <v>46041</v>
      </c>
      <c r="B105" s="112" t="s">
        <v>402</v>
      </c>
      <c r="C105" s="113" t="s">
        <v>1294</v>
      </c>
      <c r="D105" s="112" t="s">
        <v>1286</v>
      </c>
      <c r="E105" s="122">
        <v>1.489583333333333</v>
      </c>
      <c r="F105" s="112" t="s">
        <v>63</v>
      </c>
      <c r="G105" s="114">
        <v>5</v>
      </c>
      <c r="H105" s="115" t="s">
        <v>1063</v>
      </c>
    </row>
    <row r="106" spans="1:8" ht="19.899999999999999" customHeight="1">
      <c r="A106" s="123">
        <v>46041</v>
      </c>
      <c r="B106" s="124" t="s">
        <v>415</v>
      </c>
      <c r="C106" s="125" t="s">
        <v>1297</v>
      </c>
      <c r="D106" s="124" t="s">
        <v>1286</v>
      </c>
      <c r="E106" s="126">
        <v>1.4548611111111109</v>
      </c>
      <c r="F106" s="124" t="s">
        <v>63</v>
      </c>
      <c r="G106" s="127">
        <v>5</v>
      </c>
      <c r="H106" s="128" t="s">
        <v>1298</v>
      </c>
    </row>
    <row r="107" spans="1:8" ht="19.899999999999999" customHeight="1">
      <c r="A107" s="129">
        <v>46042</v>
      </c>
      <c r="B107" s="117" t="s">
        <v>61</v>
      </c>
      <c r="C107" s="118" t="s">
        <v>1319</v>
      </c>
      <c r="D107" s="117" t="s">
        <v>1318</v>
      </c>
      <c r="E107" s="130">
        <v>1.8576388888888891</v>
      </c>
      <c r="F107" s="117" t="s">
        <v>63</v>
      </c>
      <c r="G107" s="119">
        <v>3</v>
      </c>
      <c r="H107" s="120" t="s">
        <v>1325</v>
      </c>
    </row>
    <row r="108" spans="1:8" ht="19.899999999999999" customHeight="1">
      <c r="A108" s="143"/>
      <c r="B108" s="144"/>
      <c r="C108" s="144"/>
      <c r="D108" s="144"/>
      <c r="E108" s="144"/>
      <c r="F108" s="145" t="s">
        <v>1332</v>
      </c>
      <c r="G108" s="144"/>
      <c r="H108" s="146"/>
    </row>
    <row r="109" spans="1:8" ht="19.899999999999999" customHeight="1">
      <c r="A109" s="121">
        <v>46042</v>
      </c>
      <c r="B109" s="112" t="s">
        <v>359</v>
      </c>
      <c r="C109" s="113" t="s">
        <v>1291</v>
      </c>
      <c r="D109" s="112" t="s">
        <v>1286</v>
      </c>
      <c r="E109" s="122">
        <v>1.7673611111111109</v>
      </c>
      <c r="F109" s="112" t="s">
        <v>361</v>
      </c>
      <c r="G109" s="114">
        <v>9</v>
      </c>
      <c r="H109" s="115" t="s">
        <v>1304</v>
      </c>
    </row>
    <row r="110" spans="1:8" ht="19.899999999999999" customHeight="1">
      <c r="A110" s="121">
        <v>46042</v>
      </c>
      <c r="B110" s="112" t="s">
        <v>359</v>
      </c>
      <c r="C110" s="113" t="s">
        <v>1291</v>
      </c>
      <c r="D110" s="112" t="s">
        <v>1286</v>
      </c>
      <c r="E110" s="122">
        <v>1.7673611111111109</v>
      </c>
      <c r="F110" s="112" t="s">
        <v>46</v>
      </c>
      <c r="G110" s="114">
        <v>9</v>
      </c>
      <c r="H110" s="115" t="s">
        <v>1305</v>
      </c>
    </row>
    <row r="111" spans="1:8" ht="19.899999999999999" customHeight="1">
      <c r="A111" s="121">
        <v>46042</v>
      </c>
      <c r="B111" s="112" t="s">
        <v>402</v>
      </c>
      <c r="C111" s="113" t="s">
        <v>1294</v>
      </c>
      <c r="D111" s="112" t="s">
        <v>1286</v>
      </c>
      <c r="E111" s="122">
        <v>1.489583333333333</v>
      </c>
      <c r="F111" s="112" t="s">
        <v>63</v>
      </c>
      <c r="G111" s="114">
        <v>5</v>
      </c>
      <c r="H111" s="115" t="s">
        <v>1063</v>
      </c>
    </row>
    <row r="112" spans="1:8" ht="19.899999999999999" customHeight="1">
      <c r="A112" s="123">
        <v>46042</v>
      </c>
      <c r="B112" s="124" t="s">
        <v>415</v>
      </c>
      <c r="C112" s="125" t="s">
        <v>1297</v>
      </c>
      <c r="D112" s="124" t="s">
        <v>1286</v>
      </c>
      <c r="E112" s="126">
        <v>1.4375</v>
      </c>
      <c r="F112" s="124" t="s">
        <v>63</v>
      </c>
      <c r="G112" s="127">
        <v>5</v>
      </c>
      <c r="H112" s="128" t="s">
        <v>1298</v>
      </c>
    </row>
    <row r="113" spans="1:8" ht="19.899999999999999" customHeight="1">
      <c r="A113" s="143"/>
      <c r="B113" s="144"/>
      <c r="C113" s="144"/>
      <c r="D113" s="144"/>
      <c r="E113" s="144"/>
      <c r="F113" s="145" t="s">
        <v>1332</v>
      </c>
      <c r="G113" s="144"/>
      <c r="H113" s="146"/>
    </row>
    <row r="114" spans="1:8" ht="19.899999999999999" customHeight="1">
      <c r="A114" s="121">
        <v>46043</v>
      </c>
      <c r="B114" s="112" t="s">
        <v>359</v>
      </c>
      <c r="C114" s="113" t="s">
        <v>1291</v>
      </c>
      <c r="D114" s="112" t="s">
        <v>1286</v>
      </c>
      <c r="E114" s="122">
        <v>1.7673611111111109</v>
      </c>
      <c r="F114" s="112" t="s">
        <v>361</v>
      </c>
      <c r="G114" s="114">
        <v>9</v>
      </c>
      <c r="H114" s="115" t="s">
        <v>1304</v>
      </c>
    </row>
    <row r="115" spans="1:8" ht="19.899999999999999" customHeight="1">
      <c r="A115" s="121">
        <v>46043</v>
      </c>
      <c r="B115" s="112" t="s">
        <v>68</v>
      </c>
      <c r="C115" s="113" t="s">
        <v>1295</v>
      </c>
      <c r="D115" s="112" t="s">
        <v>1286</v>
      </c>
      <c r="E115" s="122">
        <v>1.868055555555556</v>
      </c>
      <c r="F115" s="112" t="s">
        <v>643</v>
      </c>
      <c r="G115" s="114">
        <v>9</v>
      </c>
      <c r="H115" s="115" t="s">
        <v>1296</v>
      </c>
    </row>
    <row r="116" spans="1:8" ht="19.899999999999999" customHeight="1">
      <c r="A116" s="121">
        <v>46043</v>
      </c>
      <c r="B116" s="112" t="s">
        <v>359</v>
      </c>
      <c r="C116" s="113" t="s">
        <v>1291</v>
      </c>
      <c r="D116" s="112" t="s">
        <v>1286</v>
      </c>
      <c r="E116" s="122">
        <v>1.7673611111111109</v>
      </c>
      <c r="F116" s="112" t="s">
        <v>46</v>
      </c>
      <c r="G116" s="114">
        <v>9</v>
      </c>
      <c r="H116" s="115" t="s">
        <v>1305</v>
      </c>
    </row>
    <row r="117" spans="1:8" ht="19.899999999999999" customHeight="1">
      <c r="A117" s="121">
        <v>46043</v>
      </c>
      <c r="B117" s="112" t="s">
        <v>402</v>
      </c>
      <c r="C117" s="113" t="s">
        <v>1294</v>
      </c>
      <c r="D117" s="112" t="s">
        <v>1286</v>
      </c>
      <c r="E117" s="122">
        <v>1.489583333333333</v>
      </c>
      <c r="F117" s="112" t="s">
        <v>63</v>
      </c>
      <c r="G117" s="114">
        <v>5</v>
      </c>
      <c r="H117" s="115" t="s">
        <v>1063</v>
      </c>
    </row>
    <row r="118" spans="1:8" ht="19.899999999999999" customHeight="1">
      <c r="A118" s="123">
        <v>46043</v>
      </c>
      <c r="B118" s="124" t="s">
        <v>415</v>
      </c>
      <c r="C118" s="125" t="s">
        <v>1297</v>
      </c>
      <c r="D118" s="124" t="s">
        <v>1286</v>
      </c>
      <c r="E118" s="126">
        <v>1.4548611111111109</v>
      </c>
      <c r="F118" s="124" t="s">
        <v>63</v>
      </c>
      <c r="G118" s="127">
        <v>5</v>
      </c>
      <c r="H118" s="128" t="s">
        <v>1298</v>
      </c>
    </row>
    <row r="119" spans="1:8" ht="19.899999999999999" customHeight="1">
      <c r="A119" s="143"/>
      <c r="B119" s="144"/>
      <c r="C119" s="144"/>
      <c r="D119" s="144"/>
      <c r="E119" s="144"/>
      <c r="F119" s="145" t="s">
        <v>1332</v>
      </c>
      <c r="G119" s="144"/>
      <c r="H119" s="146"/>
    </row>
    <row r="120" spans="1:8" ht="19.899999999999999" customHeight="1">
      <c r="A120" s="121">
        <v>46044</v>
      </c>
      <c r="B120" s="112" t="s">
        <v>61</v>
      </c>
      <c r="C120" s="113" t="s">
        <v>1287</v>
      </c>
      <c r="D120" s="112" t="s">
        <v>1286</v>
      </c>
      <c r="E120" s="122">
        <v>1.631944444444444</v>
      </c>
      <c r="F120" s="112" t="s">
        <v>63</v>
      </c>
      <c r="G120" s="114">
        <v>8</v>
      </c>
      <c r="H120" s="115" t="s">
        <v>1313</v>
      </c>
    </row>
    <row r="121" spans="1:8" ht="19.899999999999999" customHeight="1">
      <c r="A121" s="121">
        <v>46044</v>
      </c>
      <c r="B121" s="112" t="s">
        <v>359</v>
      </c>
      <c r="C121" s="113" t="s">
        <v>1291</v>
      </c>
      <c r="D121" s="112" t="s">
        <v>1286</v>
      </c>
      <c r="E121" s="122">
        <v>1.7673611111111109</v>
      </c>
      <c r="F121" s="112" t="s">
        <v>361</v>
      </c>
      <c r="G121" s="114">
        <v>9</v>
      </c>
      <c r="H121" s="115" t="s">
        <v>1304</v>
      </c>
    </row>
    <row r="122" spans="1:8" ht="19.899999999999999" customHeight="1">
      <c r="A122" s="121">
        <v>46044</v>
      </c>
      <c r="B122" s="112" t="s">
        <v>68</v>
      </c>
      <c r="C122" s="113" t="s">
        <v>1295</v>
      </c>
      <c r="D122" s="112" t="s">
        <v>1286</v>
      </c>
      <c r="E122" s="122">
        <v>1.868055555555556</v>
      </c>
      <c r="F122" s="112" t="s">
        <v>643</v>
      </c>
      <c r="G122" s="114">
        <v>9</v>
      </c>
      <c r="H122" s="115" t="s">
        <v>1296</v>
      </c>
    </row>
    <row r="123" spans="1:8" ht="19.899999999999999" customHeight="1">
      <c r="A123" s="121">
        <v>46044</v>
      </c>
      <c r="B123" s="112" t="s">
        <v>359</v>
      </c>
      <c r="C123" s="113" t="s">
        <v>1291</v>
      </c>
      <c r="D123" s="112" t="s">
        <v>1286</v>
      </c>
      <c r="E123" s="122">
        <v>1.7673611111111109</v>
      </c>
      <c r="F123" s="112" t="s">
        <v>46</v>
      </c>
      <c r="G123" s="114">
        <v>9</v>
      </c>
      <c r="H123" s="115" t="s">
        <v>1305</v>
      </c>
    </row>
    <row r="124" spans="1:8" ht="19.899999999999999" customHeight="1">
      <c r="A124" s="121">
        <v>46044</v>
      </c>
      <c r="B124" s="112" t="s">
        <v>402</v>
      </c>
      <c r="C124" s="113" t="s">
        <v>1294</v>
      </c>
      <c r="D124" s="112" t="s">
        <v>1286</v>
      </c>
      <c r="E124" s="122">
        <v>1.489583333333333</v>
      </c>
      <c r="F124" s="112" t="s">
        <v>63</v>
      </c>
      <c r="G124" s="114">
        <v>5</v>
      </c>
      <c r="H124" s="115" t="s">
        <v>1063</v>
      </c>
    </row>
    <row r="125" spans="1:8" ht="19.899999999999999" customHeight="1">
      <c r="A125" s="123">
        <v>46044</v>
      </c>
      <c r="B125" s="124" t="s">
        <v>415</v>
      </c>
      <c r="C125" s="125" t="s">
        <v>1297</v>
      </c>
      <c r="D125" s="124" t="s">
        <v>1286</v>
      </c>
      <c r="E125" s="126">
        <v>1.4548611111111109</v>
      </c>
      <c r="F125" s="124" t="s">
        <v>63</v>
      </c>
      <c r="G125" s="127">
        <v>5</v>
      </c>
      <c r="H125" s="128" t="s">
        <v>1298</v>
      </c>
    </row>
    <row r="126" spans="1:8" ht="19.899999999999999" customHeight="1">
      <c r="A126" s="143"/>
      <c r="B126" s="144"/>
      <c r="C126" s="144"/>
      <c r="D126" s="144"/>
      <c r="E126" s="144"/>
      <c r="F126" s="145" t="s">
        <v>1332</v>
      </c>
      <c r="G126" s="144"/>
      <c r="H126" s="146"/>
    </row>
    <row r="127" spans="1:8" ht="19.899999999999999" customHeight="1">
      <c r="A127" s="121">
        <v>46045</v>
      </c>
      <c r="B127" s="112" t="s">
        <v>61</v>
      </c>
      <c r="C127" s="113" t="s">
        <v>1287</v>
      </c>
      <c r="D127" s="112" t="s">
        <v>1286</v>
      </c>
      <c r="E127" s="122">
        <v>1.8298611111111109</v>
      </c>
      <c r="F127" s="112" t="s">
        <v>63</v>
      </c>
      <c r="G127" s="114">
        <v>3</v>
      </c>
      <c r="H127" s="115" t="s">
        <v>1313</v>
      </c>
    </row>
    <row r="128" spans="1:8" ht="19.899999999999999" customHeight="1">
      <c r="A128" s="121">
        <v>46045</v>
      </c>
      <c r="B128" s="112" t="s">
        <v>68</v>
      </c>
      <c r="C128" s="113" t="s">
        <v>1295</v>
      </c>
      <c r="D128" s="112" t="s">
        <v>1286</v>
      </c>
      <c r="E128" s="122">
        <v>1.868055555555556</v>
      </c>
      <c r="F128" s="112" t="s">
        <v>643</v>
      </c>
      <c r="G128" s="114">
        <v>9</v>
      </c>
      <c r="H128" s="115" t="s">
        <v>1296</v>
      </c>
    </row>
    <row r="129" spans="1:8" ht="19.899999999999999" customHeight="1">
      <c r="A129" s="121">
        <v>46045</v>
      </c>
      <c r="B129" s="112" t="s">
        <v>402</v>
      </c>
      <c r="C129" s="113" t="s">
        <v>1294</v>
      </c>
      <c r="D129" s="112" t="s">
        <v>1286</v>
      </c>
      <c r="E129" s="122">
        <v>1.489583333333333</v>
      </c>
      <c r="F129" s="112" t="s">
        <v>63</v>
      </c>
      <c r="G129" s="114">
        <v>5</v>
      </c>
      <c r="H129" s="115" t="s">
        <v>1063</v>
      </c>
    </row>
    <row r="130" spans="1:8" ht="19.899999999999999" customHeight="1">
      <c r="A130" s="123">
        <v>46045</v>
      </c>
      <c r="B130" s="124" t="s">
        <v>415</v>
      </c>
      <c r="C130" s="125" t="s">
        <v>1297</v>
      </c>
      <c r="D130" s="124" t="s">
        <v>1286</v>
      </c>
      <c r="E130" s="126">
        <v>1.4375</v>
      </c>
      <c r="F130" s="124" t="s">
        <v>63</v>
      </c>
      <c r="G130" s="127">
        <v>5</v>
      </c>
      <c r="H130" s="128" t="s">
        <v>1298</v>
      </c>
    </row>
    <row r="131" spans="1:8" ht="19.899999999999999" customHeight="1">
      <c r="A131" s="129">
        <v>46046</v>
      </c>
      <c r="B131" s="117" t="s">
        <v>61</v>
      </c>
      <c r="C131" s="118" t="s">
        <v>1319</v>
      </c>
      <c r="D131" s="117" t="s">
        <v>1318</v>
      </c>
      <c r="E131" s="130">
        <v>1.6909722222222221</v>
      </c>
      <c r="F131" s="117" t="s">
        <v>63</v>
      </c>
      <c r="G131" s="119">
        <v>5</v>
      </c>
      <c r="H131" s="120" t="s">
        <v>1326</v>
      </c>
    </row>
    <row r="132" spans="1:8" ht="19.899999999999999" customHeight="1">
      <c r="A132" s="143"/>
      <c r="B132" s="144"/>
      <c r="C132" s="144"/>
      <c r="D132" s="144"/>
      <c r="E132" s="144"/>
      <c r="F132" s="145" t="s">
        <v>1332</v>
      </c>
      <c r="G132" s="144"/>
      <c r="H132" s="146"/>
    </row>
    <row r="133" spans="1:8" ht="19.899999999999999" customHeight="1">
      <c r="A133" s="121">
        <v>46046</v>
      </c>
      <c r="B133" s="112" t="s">
        <v>359</v>
      </c>
      <c r="C133" s="113" t="s">
        <v>1291</v>
      </c>
      <c r="D133" s="112" t="s">
        <v>1286</v>
      </c>
      <c r="E133" s="122">
        <v>1.7673611111111109</v>
      </c>
      <c r="F133" s="112" t="s">
        <v>361</v>
      </c>
      <c r="G133" s="114">
        <v>9</v>
      </c>
      <c r="H133" s="115" t="s">
        <v>1309</v>
      </c>
    </row>
    <row r="134" spans="1:8" ht="19.899999999999999" customHeight="1">
      <c r="A134" s="121">
        <v>46046</v>
      </c>
      <c r="B134" s="112" t="s">
        <v>68</v>
      </c>
      <c r="C134" s="113" t="s">
        <v>1295</v>
      </c>
      <c r="D134" s="112" t="s">
        <v>1286</v>
      </c>
      <c r="E134" s="122">
        <v>1.868055555555556</v>
      </c>
      <c r="F134" s="112" t="s">
        <v>643</v>
      </c>
      <c r="G134" s="114">
        <v>9</v>
      </c>
      <c r="H134" s="115" t="s">
        <v>1296</v>
      </c>
    </row>
    <row r="135" spans="1:8" ht="19.899999999999999" customHeight="1">
      <c r="A135" s="121">
        <v>46046</v>
      </c>
      <c r="B135" s="112" t="s">
        <v>402</v>
      </c>
      <c r="C135" s="113" t="s">
        <v>1300</v>
      </c>
      <c r="D135" s="112" t="s">
        <v>1286</v>
      </c>
      <c r="E135" s="122">
        <v>1.8125</v>
      </c>
      <c r="F135" s="112" t="s">
        <v>63</v>
      </c>
      <c r="G135" s="114">
        <v>4</v>
      </c>
      <c r="H135" s="115" t="s">
        <v>1063</v>
      </c>
    </row>
    <row r="136" spans="1:8" ht="19.899999999999999" customHeight="1">
      <c r="A136" s="121">
        <v>46046</v>
      </c>
      <c r="B136" s="112" t="s">
        <v>359</v>
      </c>
      <c r="C136" s="113" t="s">
        <v>1291</v>
      </c>
      <c r="D136" s="112" t="s">
        <v>1286</v>
      </c>
      <c r="E136" s="122">
        <v>1.7673611111111109</v>
      </c>
      <c r="F136" s="112" t="s">
        <v>46</v>
      </c>
      <c r="G136" s="114">
        <v>9</v>
      </c>
      <c r="H136" s="115" t="s">
        <v>1310</v>
      </c>
    </row>
    <row r="137" spans="1:8" ht="19.899999999999999" customHeight="1">
      <c r="A137" s="123">
        <v>46046</v>
      </c>
      <c r="B137" s="124" t="s">
        <v>415</v>
      </c>
      <c r="C137" s="125" t="s">
        <v>1297</v>
      </c>
      <c r="D137" s="124" t="s">
        <v>1286</v>
      </c>
      <c r="E137" s="126">
        <v>1.4375</v>
      </c>
      <c r="F137" s="124" t="s">
        <v>63</v>
      </c>
      <c r="G137" s="127">
        <v>5</v>
      </c>
      <c r="H137" s="128" t="s">
        <v>1298</v>
      </c>
    </row>
    <row r="138" spans="1:8" ht="19.899999999999999" customHeight="1">
      <c r="A138" s="143"/>
      <c r="B138" s="144"/>
      <c r="C138" s="144"/>
      <c r="D138" s="144"/>
      <c r="E138" s="144"/>
      <c r="F138" s="145" t="s">
        <v>1332</v>
      </c>
      <c r="G138" s="144"/>
      <c r="H138" s="146"/>
    </row>
    <row r="139" spans="1:8" ht="19.899999999999999" customHeight="1">
      <c r="A139" s="121">
        <v>46047</v>
      </c>
      <c r="B139" s="112" t="s">
        <v>61</v>
      </c>
      <c r="C139" s="113" t="s">
        <v>1287</v>
      </c>
      <c r="D139" s="112" t="s">
        <v>1286</v>
      </c>
      <c r="E139" s="122">
        <v>1.631944444444444</v>
      </c>
      <c r="F139" s="112" t="s">
        <v>63</v>
      </c>
      <c r="G139" s="114">
        <v>3</v>
      </c>
      <c r="H139" s="115" t="s">
        <v>33</v>
      </c>
    </row>
    <row r="140" spans="1:8" ht="19.899999999999999" customHeight="1">
      <c r="A140" s="121">
        <v>46047</v>
      </c>
      <c r="B140" s="112" t="s">
        <v>402</v>
      </c>
      <c r="C140" s="113" t="s">
        <v>1294</v>
      </c>
      <c r="D140" s="112" t="s">
        <v>1286</v>
      </c>
      <c r="E140" s="122">
        <v>1.489583333333333</v>
      </c>
      <c r="F140" s="112" t="s">
        <v>63</v>
      </c>
      <c r="G140" s="114">
        <v>5</v>
      </c>
      <c r="H140" s="115" t="s">
        <v>1063</v>
      </c>
    </row>
    <row r="141" spans="1:8" ht="19.899999999999999" customHeight="1">
      <c r="A141" s="123">
        <v>46047</v>
      </c>
      <c r="B141" s="124" t="s">
        <v>415</v>
      </c>
      <c r="C141" s="125" t="s">
        <v>1297</v>
      </c>
      <c r="D141" s="124" t="s">
        <v>1286</v>
      </c>
      <c r="E141" s="126">
        <v>1.4375</v>
      </c>
      <c r="F141" s="124" t="s">
        <v>63</v>
      </c>
      <c r="G141" s="127">
        <v>5</v>
      </c>
      <c r="H141" s="128" t="s">
        <v>1298</v>
      </c>
    </row>
    <row r="142" spans="1:8" ht="19.899999999999999" customHeight="1">
      <c r="A142" s="143"/>
      <c r="B142" s="144"/>
      <c r="C142" s="144"/>
      <c r="D142" s="144"/>
      <c r="E142" s="144"/>
      <c r="F142" s="145" t="s">
        <v>1332</v>
      </c>
      <c r="G142" s="144"/>
      <c r="H142" s="146"/>
    </row>
    <row r="143" spans="1:8" ht="19.899999999999999" customHeight="1">
      <c r="A143" s="121">
        <v>46048</v>
      </c>
      <c r="B143" s="112" t="s">
        <v>359</v>
      </c>
      <c r="C143" s="113" t="s">
        <v>1291</v>
      </c>
      <c r="D143" s="112" t="s">
        <v>1286</v>
      </c>
      <c r="E143" s="122">
        <v>1.7673611111111109</v>
      </c>
      <c r="F143" s="112" t="s">
        <v>361</v>
      </c>
      <c r="G143" s="114">
        <v>9</v>
      </c>
      <c r="H143" s="115" t="s">
        <v>1304</v>
      </c>
    </row>
    <row r="144" spans="1:8" ht="19.899999999999999" customHeight="1">
      <c r="A144" s="121">
        <v>46048</v>
      </c>
      <c r="B144" s="112" t="s">
        <v>68</v>
      </c>
      <c r="C144" s="113" t="s">
        <v>1295</v>
      </c>
      <c r="D144" s="112" t="s">
        <v>1286</v>
      </c>
      <c r="E144" s="122">
        <v>1.868055555555556</v>
      </c>
      <c r="F144" s="112" t="s">
        <v>643</v>
      </c>
      <c r="G144" s="114">
        <v>9</v>
      </c>
      <c r="H144" s="115" t="s">
        <v>1296</v>
      </c>
    </row>
    <row r="145" spans="1:8" ht="19.899999999999999" customHeight="1">
      <c r="A145" s="121">
        <v>46048</v>
      </c>
      <c r="B145" s="112" t="s">
        <v>359</v>
      </c>
      <c r="C145" s="113" t="s">
        <v>1291</v>
      </c>
      <c r="D145" s="112" t="s">
        <v>1286</v>
      </c>
      <c r="E145" s="122">
        <v>1.7673611111111109</v>
      </c>
      <c r="F145" s="112" t="s">
        <v>46</v>
      </c>
      <c r="G145" s="114">
        <v>9</v>
      </c>
      <c r="H145" s="115" t="s">
        <v>1305</v>
      </c>
    </row>
    <row r="146" spans="1:8" ht="19.899999999999999" customHeight="1">
      <c r="A146" s="121">
        <v>46048</v>
      </c>
      <c r="B146" s="112" t="s">
        <v>402</v>
      </c>
      <c r="C146" s="113" t="s">
        <v>1294</v>
      </c>
      <c r="D146" s="112" t="s">
        <v>1286</v>
      </c>
      <c r="E146" s="122">
        <v>1.489583333333333</v>
      </c>
      <c r="F146" s="112" t="s">
        <v>63</v>
      </c>
      <c r="G146" s="114">
        <v>5</v>
      </c>
      <c r="H146" s="115" t="s">
        <v>1063</v>
      </c>
    </row>
    <row r="147" spans="1:8" ht="19.899999999999999" customHeight="1">
      <c r="A147" s="123">
        <v>46048</v>
      </c>
      <c r="B147" s="124" t="s">
        <v>415</v>
      </c>
      <c r="C147" s="125" t="s">
        <v>1297</v>
      </c>
      <c r="D147" s="124" t="s">
        <v>1286</v>
      </c>
      <c r="E147" s="126">
        <v>1.4548611111111109</v>
      </c>
      <c r="F147" s="124" t="s">
        <v>63</v>
      </c>
      <c r="G147" s="127">
        <v>5</v>
      </c>
      <c r="H147" s="128" t="s">
        <v>1298</v>
      </c>
    </row>
    <row r="148" spans="1:8" ht="19.899999999999999" customHeight="1">
      <c r="A148" s="129">
        <v>46049</v>
      </c>
      <c r="B148" s="117" t="s">
        <v>61</v>
      </c>
      <c r="C148" s="118" t="s">
        <v>1319</v>
      </c>
      <c r="D148" s="117" t="s">
        <v>1318</v>
      </c>
      <c r="E148" s="130">
        <v>1.8576388888888891</v>
      </c>
      <c r="F148" s="117" t="s">
        <v>63</v>
      </c>
      <c r="G148" s="119">
        <v>5</v>
      </c>
      <c r="H148" s="120" t="s">
        <v>1328</v>
      </c>
    </row>
    <row r="149" spans="1:8" ht="19.899999999999999" customHeight="1">
      <c r="A149" s="143"/>
      <c r="B149" s="144"/>
      <c r="C149" s="144"/>
      <c r="D149" s="144"/>
      <c r="E149" s="144"/>
      <c r="F149" s="145" t="s">
        <v>1332</v>
      </c>
      <c r="G149" s="144"/>
      <c r="H149" s="146"/>
    </row>
    <row r="150" spans="1:8" ht="19.899999999999999" customHeight="1">
      <c r="A150" s="121">
        <v>46049</v>
      </c>
      <c r="B150" s="112" t="s">
        <v>359</v>
      </c>
      <c r="C150" s="113" t="s">
        <v>1291</v>
      </c>
      <c r="D150" s="112" t="s">
        <v>1286</v>
      </c>
      <c r="E150" s="122">
        <v>1.7673611111111109</v>
      </c>
      <c r="F150" s="112" t="s">
        <v>361</v>
      </c>
      <c r="G150" s="114">
        <v>9</v>
      </c>
      <c r="H150" s="115" t="s">
        <v>1304</v>
      </c>
    </row>
    <row r="151" spans="1:8" ht="19.899999999999999" customHeight="1">
      <c r="A151" s="121">
        <v>46049</v>
      </c>
      <c r="B151" s="112" t="s">
        <v>359</v>
      </c>
      <c r="C151" s="113" t="s">
        <v>1291</v>
      </c>
      <c r="D151" s="112" t="s">
        <v>1286</v>
      </c>
      <c r="E151" s="122">
        <v>1.7673611111111109</v>
      </c>
      <c r="F151" s="112" t="s">
        <v>46</v>
      </c>
      <c r="G151" s="114">
        <v>9</v>
      </c>
      <c r="H151" s="115" t="s">
        <v>1305</v>
      </c>
    </row>
    <row r="152" spans="1:8" ht="19.899999999999999" customHeight="1">
      <c r="A152" s="121">
        <v>46049</v>
      </c>
      <c r="B152" s="112" t="s">
        <v>402</v>
      </c>
      <c r="C152" s="113" t="s">
        <v>1294</v>
      </c>
      <c r="D152" s="112" t="s">
        <v>1286</v>
      </c>
      <c r="E152" s="122">
        <v>1.489583333333333</v>
      </c>
      <c r="F152" s="112" t="s">
        <v>63</v>
      </c>
      <c r="G152" s="114">
        <v>5</v>
      </c>
      <c r="H152" s="115" t="s">
        <v>1063</v>
      </c>
    </row>
    <row r="153" spans="1:8" ht="19.899999999999999" customHeight="1">
      <c r="A153" s="123">
        <v>46049</v>
      </c>
      <c r="B153" s="124" t="s">
        <v>415</v>
      </c>
      <c r="C153" s="125" t="s">
        <v>1297</v>
      </c>
      <c r="D153" s="124" t="s">
        <v>1286</v>
      </c>
      <c r="E153" s="126">
        <v>1.4409722222222221</v>
      </c>
      <c r="F153" s="124" t="s">
        <v>63</v>
      </c>
      <c r="G153" s="127">
        <v>5</v>
      </c>
      <c r="H153" s="128" t="s">
        <v>1298</v>
      </c>
    </row>
    <row r="154" spans="1:8" ht="19.899999999999999" customHeight="1">
      <c r="A154" s="143"/>
      <c r="B154" s="144"/>
      <c r="C154" s="144"/>
      <c r="D154" s="144"/>
      <c r="E154" s="144"/>
      <c r="F154" s="145" t="s">
        <v>1332</v>
      </c>
      <c r="G154" s="144"/>
      <c r="H154" s="146"/>
    </row>
    <row r="155" spans="1:8" ht="19.899999999999999" customHeight="1">
      <c r="A155" s="121">
        <v>46050</v>
      </c>
      <c r="B155" s="112" t="s">
        <v>359</v>
      </c>
      <c r="C155" s="113" t="s">
        <v>1291</v>
      </c>
      <c r="D155" s="112" t="s">
        <v>1286</v>
      </c>
      <c r="E155" s="122">
        <v>1.7673611111111109</v>
      </c>
      <c r="F155" s="112" t="s">
        <v>361</v>
      </c>
      <c r="G155" s="114">
        <v>9</v>
      </c>
      <c r="H155" s="115" t="s">
        <v>1304</v>
      </c>
    </row>
    <row r="156" spans="1:8" ht="19.899999999999999" customHeight="1">
      <c r="A156" s="121">
        <v>46050</v>
      </c>
      <c r="B156" s="112" t="s">
        <v>68</v>
      </c>
      <c r="C156" s="113" t="s">
        <v>1295</v>
      </c>
      <c r="D156" s="112" t="s">
        <v>1286</v>
      </c>
      <c r="E156" s="122">
        <v>1.868055555555556</v>
      </c>
      <c r="F156" s="112" t="s">
        <v>643</v>
      </c>
      <c r="G156" s="114">
        <v>9</v>
      </c>
      <c r="H156" s="115" t="s">
        <v>1296</v>
      </c>
    </row>
    <row r="157" spans="1:8" ht="19.899999999999999" customHeight="1">
      <c r="A157" s="121">
        <v>46050</v>
      </c>
      <c r="B157" s="112" t="s">
        <v>359</v>
      </c>
      <c r="C157" s="113" t="s">
        <v>1291</v>
      </c>
      <c r="D157" s="112" t="s">
        <v>1286</v>
      </c>
      <c r="E157" s="122">
        <v>1.7673611111111109</v>
      </c>
      <c r="F157" s="112" t="s">
        <v>46</v>
      </c>
      <c r="G157" s="114">
        <v>9</v>
      </c>
      <c r="H157" s="115" t="s">
        <v>1305</v>
      </c>
    </row>
    <row r="158" spans="1:8" ht="19.899999999999999" customHeight="1">
      <c r="A158" s="121">
        <v>46050</v>
      </c>
      <c r="B158" s="112" t="s">
        <v>402</v>
      </c>
      <c r="C158" s="113" t="s">
        <v>1294</v>
      </c>
      <c r="D158" s="112" t="s">
        <v>1286</v>
      </c>
      <c r="E158" s="122">
        <v>1.489583333333333</v>
      </c>
      <c r="F158" s="112" t="s">
        <v>63</v>
      </c>
      <c r="G158" s="114">
        <v>5</v>
      </c>
      <c r="H158" s="115" t="s">
        <v>1063</v>
      </c>
    </row>
    <row r="159" spans="1:8" ht="19.899999999999999" customHeight="1">
      <c r="A159" s="123">
        <v>46050</v>
      </c>
      <c r="B159" s="124" t="s">
        <v>415</v>
      </c>
      <c r="C159" s="125" t="s">
        <v>1297</v>
      </c>
      <c r="D159" s="124" t="s">
        <v>1286</v>
      </c>
      <c r="E159" s="126">
        <v>1.4548611111111109</v>
      </c>
      <c r="F159" s="124" t="s">
        <v>63</v>
      </c>
      <c r="G159" s="127">
        <v>5</v>
      </c>
      <c r="H159" s="128" t="s">
        <v>1298</v>
      </c>
    </row>
    <row r="160" spans="1:8" ht="19.899999999999999" customHeight="1">
      <c r="A160" s="143"/>
      <c r="B160" s="144"/>
      <c r="C160" s="144"/>
      <c r="D160" s="144"/>
      <c r="E160" s="144"/>
      <c r="F160" s="145" t="s">
        <v>1332</v>
      </c>
      <c r="G160" s="144"/>
      <c r="H160" s="146"/>
    </row>
    <row r="161" spans="1:8" ht="19.899999999999999" customHeight="1">
      <c r="A161" s="121">
        <v>46051</v>
      </c>
      <c r="B161" s="112" t="s">
        <v>61</v>
      </c>
      <c r="C161" s="113" t="s">
        <v>1287</v>
      </c>
      <c r="D161" s="112" t="s">
        <v>1286</v>
      </c>
      <c r="E161" s="122">
        <v>1.631944444444444</v>
      </c>
      <c r="F161" s="112" t="s">
        <v>63</v>
      </c>
      <c r="G161" s="114">
        <v>4</v>
      </c>
      <c r="H161" s="115" t="s">
        <v>1288</v>
      </c>
    </row>
    <row r="162" spans="1:8" ht="19.899999999999999" customHeight="1">
      <c r="A162" s="121">
        <v>46051</v>
      </c>
      <c r="B162" s="112" t="s">
        <v>359</v>
      </c>
      <c r="C162" s="113" t="s">
        <v>1291</v>
      </c>
      <c r="D162" s="112" t="s">
        <v>1286</v>
      </c>
      <c r="E162" s="122">
        <v>1.7673611111111109</v>
      </c>
      <c r="F162" s="112" t="s">
        <v>361</v>
      </c>
      <c r="G162" s="114">
        <v>9</v>
      </c>
      <c r="H162" s="115" t="s">
        <v>1304</v>
      </c>
    </row>
    <row r="163" spans="1:8" ht="19.899999999999999" customHeight="1">
      <c r="A163" s="121">
        <v>46051</v>
      </c>
      <c r="B163" s="112" t="s">
        <v>68</v>
      </c>
      <c r="C163" s="113" t="s">
        <v>1295</v>
      </c>
      <c r="D163" s="112" t="s">
        <v>1286</v>
      </c>
      <c r="E163" s="122">
        <v>1.868055555555556</v>
      </c>
      <c r="F163" s="112" t="s">
        <v>643</v>
      </c>
      <c r="G163" s="114">
        <v>9</v>
      </c>
      <c r="H163" s="115" t="s">
        <v>1296</v>
      </c>
    </row>
    <row r="164" spans="1:8" ht="19.899999999999999" customHeight="1">
      <c r="A164" s="121">
        <v>46051</v>
      </c>
      <c r="B164" s="112" t="s">
        <v>359</v>
      </c>
      <c r="C164" s="113" t="s">
        <v>1291</v>
      </c>
      <c r="D164" s="112" t="s">
        <v>1286</v>
      </c>
      <c r="E164" s="122">
        <v>1.7673611111111109</v>
      </c>
      <c r="F164" s="112" t="s">
        <v>46</v>
      </c>
      <c r="G164" s="114">
        <v>9</v>
      </c>
      <c r="H164" s="115" t="s">
        <v>1305</v>
      </c>
    </row>
    <row r="165" spans="1:8" ht="19.899999999999999" customHeight="1">
      <c r="A165" s="121">
        <v>46051</v>
      </c>
      <c r="B165" s="112" t="s">
        <v>402</v>
      </c>
      <c r="C165" s="113" t="s">
        <v>1294</v>
      </c>
      <c r="D165" s="112" t="s">
        <v>1286</v>
      </c>
      <c r="E165" s="122">
        <v>1.489583333333333</v>
      </c>
      <c r="F165" s="112" t="s">
        <v>63</v>
      </c>
      <c r="G165" s="114">
        <v>5</v>
      </c>
      <c r="H165" s="115" t="s">
        <v>1063</v>
      </c>
    </row>
    <row r="166" spans="1:8" ht="19.899999999999999" customHeight="1">
      <c r="A166" s="123">
        <v>46051</v>
      </c>
      <c r="B166" s="124" t="s">
        <v>415</v>
      </c>
      <c r="C166" s="125" t="s">
        <v>1297</v>
      </c>
      <c r="D166" s="124" t="s">
        <v>1286</v>
      </c>
      <c r="E166" s="126">
        <v>1.4548611111111109</v>
      </c>
      <c r="F166" s="124" t="s">
        <v>63</v>
      </c>
      <c r="G166" s="127">
        <v>5</v>
      </c>
      <c r="H166" s="128" t="s">
        <v>1298</v>
      </c>
    </row>
    <row r="167" spans="1:8" ht="19.899999999999999" customHeight="1">
      <c r="A167" s="143"/>
      <c r="B167" s="144"/>
      <c r="C167" s="144"/>
      <c r="D167" s="144"/>
      <c r="E167" s="144"/>
      <c r="F167" s="145" t="s">
        <v>1332</v>
      </c>
      <c r="G167" s="144"/>
      <c r="H167" s="146"/>
    </row>
    <row r="168" spans="1:8" ht="19.899999999999999" customHeight="1">
      <c r="A168" s="121">
        <v>46052</v>
      </c>
      <c r="B168" s="112" t="s">
        <v>61</v>
      </c>
      <c r="C168" s="113" t="s">
        <v>1287</v>
      </c>
      <c r="D168" s="112" t="s">
        <v>1286</v>
      </c>
      <c r="E168" s="122">
        <v>1.8298611111111109</v>
      </c>
      <c r="F168" s="112" t="s">
        <v>63</v>
      </c>
      <c r="G168" s="114">
        <v>6</v>
      </c>
      <c r="H168" s="115" t="s">
        <v>1316</v>
      </c>
    </row>
    <row r="169" spans="1:8" ht="19.899999999999999" customHeight="1">
      <c r="A169" s="121">
        <v>46052</v>
      </c>
      <c r="B169" s="112" t="s">
        <v>68</v>
      </c>
      <c r="C169" s="113" t="s">
        <v>1295</v>
      </c>
      <c r="D169" s="112" t="s">
        <v>1286</v>
      </c>
      <c r="E169" s="122">
        <v>1.868055555555556</v>
      </c>
      <c r="F169" s="112" t="s">
        <v>643</v>
      </c>
      <c r="G169" s="114">
        <v>9</v>
      </c>
      <c r="H169" s="115" t="s">
        <v>1296</v>
      </c>
    </row>
    <row r="170" spans="1:8" ht="19.899999999999999" customHeight="1">
      <c r="A170" s="121">
        <v>46052</v>
      </c>
      <c r="B170" s="112" t="s">
        <v>402</v>
      </c>
      <c r="C170" s="113" t="s">
        <v>1294</v>
      </c>
      <c r="D170" s="112" t="s">
        <v>1286</v>
      </c>
      <c r="E170" s="122">
        <v>1.489583333333333</v>
      </c>
      <c r="F170" s="112" t="s">
        <v>63</v>
      </c>
      <c r="G170" s="114">
        <v>4</v>
      </c>
      <c r="H170" s="115" t="s">
        <v>1063</v>
      </c>
    </row>
    <row r="171" spans="1:8" ht="19.899999999999999" customHeight="1">
      <c r="A171" s="123">
        <v>46052</v>
      </c>
      <c r="B171" s="124" t="s">
        <v>415</v>
      </c>
      <c r="C171" s="125" t="s">
        <v>1297</v>
      </c>
      <c r="D171" s="124" t="s">
        <v>1286</v>
      </c>
      <c r="E171" s="126">
        <v>1.4375</v>
      </c>
      <c r="F171" s="124" t="s">
        <v>63</v>
      </c>
      <c r="G171" s="127">
        <v>5</v>
      </c>
      <c r="H171" s="128" t="s">
        <v>1298</v>
      </c>
    </row>
    <row r="172" spans="1:8" ht="19.899999999999999" customHeight="1">
      <c r="A172" s="129">
        <v>46053</v>
      </c>
      <c r="B172" s="117" t="s">
        <v>61</v>
      </c>
      <c r="C172" s="118" t="s">
        <v>1319</v>
      </c>
      <c r="D172" s="117" t="s">
        <v>1318</v>
      </c>
      <c r="E172" s="130">
        <v>1.6909722222222221</v>
      </c>
      <c r="F172" s="117" t="s">
        <v>63</v>
      </c>
      <c r="G172" s="119">
        <v>5</v>
      </c>
      <c r="H172" s="120" t="s">
        <v>1325</v>
      </c>
    </row>
    <row r="173" spans="1:8" ht="19.899999999999999" customHeight="1">
      <c r="A173" s="143"/>
      <c r="B173" s="144"/>
      <c r="C173" s="144"/>
      <c r="D173" s="144"/>
      <c r="E173" s="144"/>
      <c r="F173" s="145" t="s">
        <v>1332</v>
      </c>
      <c r="G173" s="144"/>
      <c r="H173" s="146"/>
    </row>
    <row r="174" spans="1:8" ht="19.899999999999999" customHeight="1">
      <c r="A174" s="121">
        <v>46053</v>
      </c>
      <c r="B174" s="112" t="s">
        <v>359</v>
      </c>
      <c r="C174" s="113" t="s">
        <v>1291</v>
      </c>
      <c r="D174" s="112" t="s">
        <v>1286</v>
      </c>
      <c r="E174" s="122">
        <v>1.7673611111111109</v>
      </c>
      <c r="F174" s="112" t="s">
        <v>361</v>
      </c>
      <c r="G174" s="114">
        <v>9</v>
      </c>
      <c r="H174" s="115" t="s">
        <v>1309</v>
      </c>
    </row>
    <row r="175" spans="1:8" ht="19.899999999999999" customHeight="1">
      <c r="A175" s="121">
        <v>46053</v>
      </c>
      <c r="B175" s="112" t="s">
        <v>68</v>
      </c>
      <c r="C175" s="113" t="s">
        <v>1295</v>
      </c>
      <c r="D175" s="112" t="s">
        <v>1286</v>
      </c>
      <c r="E175" s="122">
        <v>1.868055555555556</v>
      </c>
      <c r="F175" s="112" t="s">
        <v>643</v>
      </c>
      <c r="G175" s="114">
        <v>9</v>
      </c>
      <c r="H175" s="115" t="s">
        <v>1296</v>
      </c>
    </row>
    <row r="176" spans="1:8" ht="19.899999999999999" customHeight="1">
      <c r="A176" s="121">
        <v>46053</v>
      </c>
      <c r="B176" s="112" t="s">
        <v>402</v>
      </c>
      <c r="C176" s="113" t="s">
        <v>1300</v>
      </c>
      <c r="D176" s="112" t="s">
        <v>1286</v>
      </c>
      <c r="E176" s="122">
        <v>1.8125</v>
      </c>
      <c r="F176" s="112" t="s">
        <v>63</v>
      </c>
      <c r="G176" s="114">
        <v>5</v>
      </c>
      <c r="H176" s="115" t="s">
        <v>1063</v>
      </c>
    </row>
    <row r="177" spans="1:8" ht="19.899999999999999" customHeight="1">
      <c r="A177" s="121">
        <v>46053</v>
      </c>
      <c r="B177" s="112" t="s">
        <v>359</v>
      </c>
      <c r="C177" s="113" t="s">
        <v>1291</v>
      </c>
      <c r="D177" s="112" t="s">
        <v>1286</v>
      </c>
      <c r="E177" s="122">
        <v>1.7673611111111109</v>
      </c>
      <c r="F177" s="112" t="s">
        <v>46</v>
      </c>
      <c r="G177" s="114">
        <v>9</v>
      </c>
      <c r="H177" s="115" t="s">
        <v>1310</v>
      </c>
    </row>
    <row r="178" spans="1:8" ht="19.899999999999999" customHeight="1">
      <c r="A178" s="123">
        <v>46053</v>
      </c>
      <c r="B178" s="124" t="s">
        <v>415</v>
      </c>
      <c r="C178" s="125" t="s">
        <v>1297</v>
      </c>
      <c r="D178" s="124" t="s">
        <v>1286</v>
      </c>
      <c r="E178" s="126">
        <v>1.4375</v>
      </c>
      <c r="F178" s="124" t="s">
        <v>63</v>
      </c>
      <c r="G178" s="127">
        <v>5</v>
      </c>
      <c r="H178" s="128" t="s">
        <v>1298</v>
      </c>
    </row>
  </sheetData>
  <pageMargins left="0.75" right="0.75" top="1" bottom="1" header="0.5" footer="0.5"/>
  <legacyDrawing r:id="rId1"/>
  <tableParts count="1">
    <tablePart r:id="rId2"/>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N118"/>
  <sheetViews>
    <sheetView workbookViewId="0"/>
  </sheetViews>
  <sheetFormatPr defaultRowHeight="14.45"/>
  <cols>
    <col min="1" max="1" width="17.28515625" bestFit="1" customWidth="1"/>
    <col min="2" max="2" width="15.7109375" bestFit="1" customWidth="1"/>
    <col min="3" max="3" width="14.7109375" bestFit="1" customWidth="1"/>
    <col min="4" max="4" width="32.85546875" bestFit="1" customWidth="1"/>
    <col min="5" max="5" width="18.5703125" bestFit="1" customWidth="1"/>
    <col min="6" max="6" width="23.42578125" bestFit="1" customWidth="1"/>
    <col min="7" max="7" width="45.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18.7109375" bestFit="1" customWidth="1"/>
  </cols>
  <sheetData>
    <row r="1" spans="1:92" ht="28.9" customHeight="1">
      <c r="A1" s="291" t="s">
        <v>0</v>
      </c>
      <c r="B1" s="294"/>
      <c r="C1" s="294"/>
      <c r="D1" s="294"/>
      <c r="E1" s="294"/>
      <c r="F1" s="1" t="s">
        <v>1333</v>
      </c>
      <c r="G1" s="2" t="s">
        <v>2</v>
      </c>
      <c r="H1" s="290">
        <v>46023</v>
      </c>
      <c r="I1" s="294"/>
      <c r="J1" s="294"/>
      <c r="K1" s="294"/>
      <c r="L1" s="294"/>
      <c r="M1" s="1" t="s">
        <v>3</v>
      </c>
      <c r="N1" s="286">
        <v>46053</v>
      </c>
      <c r="O1" s="294"/>
      <c r="P1" s="294"/>
      <c r="Q1" s="294"/>
      <c r="R1" s="294"/>
      <c r="CA1" s="3"/>
      <c r="CB1" s="3"/>
      <c r="CC1" s="3"/>
      <c r="CD1" s="3"/>
      <c r="CE1" s="3"/>
      <c r="CF1" s="3"/>
      <c r="CG1" s="3"/>
      <c r="CH1" s="3"/>
      <c r="CI1" s="3"/>
      <c r="CJ1" s="3"/>
      <c r="CK1" s="3"/>
      <c r="CL1" s="3"/>
      <c r="CM1" s="3"/>
      <c r="CN1" s="3"/>
    </row>
    <row r="2" spans="1:92" ht="23.45" customHeight="1">
      <c r="A2" s="289" t="s">
        <v>4</v>
      </c>
      <c r="B2" s="294"/>
      <c r="C2" s="294"/>
      <c r="D2" s="294"/>
      <c r="E2" s="294"/>
      <c r="F2" s="294"/>
      <c r="G2" s="288">
        <v>45980.61067317854</v>
      </c>
      <c r="H2" s="294"/>
      <c r="I2" s="294"/>
      <c r="J2" s="294"/>
      <c r="K2" s="287">
        <v>45980.610673178882</v>
      </c>
      <c r="L2" s="294"/>
      <c r="M2" s="294"/>
      <c r="N2" s="294"/>
      <c r="O2" s="294"/>
      <c r="P2" s="294"/>
      <c r="Q2" s="294"/>
      <c r="R2" s="294"/>
      <c r="CA2" s="3"/>
      <c r="CB2" s="3"/>
      <c r="CC2" s="3"/>
      <c r="CD2" s="3"/>
      <c r="CE2" s="3"/>
      <c r="CF2" s="3"/>
      <c r="CG2" s="3"/>
      <c r="CH2" s="3"/>
      <c r="CI2" s="3"/>
      <c r="CJ2" s="3"/>
      <c r="CK2" s="3"/>
      <c r="CL2" s="3"/>
      <c r="CM2" s="3"/>
      <c r="CN2" s="3"/>
    </row>
    <row r="3" spans="1:92" ht="24" customHeight="1">
      <c r="A3" s="281" t="s">
        <v>5</v>
      </c>
      <c r="B3" s="294"/>
      <c r="C3" s="294"/>
      <c r="D3" s="294"/>
      <c r="E3" s="294"/>
      <c r="F3" s="294"/>
      <c r="G3" s="294"/>
      <c r="H3" s="294"/>
      <c r="I3" s="294"/>
      <c r="J3" s="294"/>
      <c r="K3" s="294"/>
      <c r="L3" s="294"/>
      <c r="M3" s="294"/>
      <c r="N3" s="294"/>
      <c r="O3" s="294"/>
      <c r="P3" s="294"/>
      <c r="Q3" s="294"/>
      <c r="R3" s="294"/>
      <c r="CA3" s="3"/>
      <c r="CB3" s="3"/>
      <c r="CC3" s="3"/>
      <c r="CD3" s="3"/>
      <c r="CE3" s="3"/>
      <c r="CF3" s="3"/>
      <c r="CG3" s="3"/>
      <c r="CH3" s="3"/>
      <c r="CI3" s="3"/>
      <c r="CJ3" s="3"/>
      <c r="CK3" s="3"/>
      <c r="CL3" s="3"/>
      <c r="CM3" s="3"/>
      <c r="CN3" s="3"/>
    </row>
    <row r="4" spans="1:92" ht="22.15" customHeight="1">
      <c r="A4" s="282" t="s">
        <v>6</v>
      </c>
      <c r="B4" s="295"/>
      <c r="C4" s="295"/>
      <c r="D4" s="295"/>
      <c r="E4" s="295"/>
      <c r="F4" s="296"/>
      <c r="G4" s="4">
        <v>46023</v>
      </c>
      <c r="H4" s="280"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8" t="s">
        <v>359</v>
      </c>
      <c r="B6" s="8" t="s">
        <v>1334</v>
      </c>
      <c r="C6" s="9">
        <v>0.98263888888888884</v>
      </c>
      <c r="D6" s="8" t="s">
        <v>361</v>
      </c>
      <c r="E6" s="8" t="s">
        <v>80</v>
      </c>
      <c r="F6" s="8" t="s">
        <v>1250</v>
      </c>
      <c r="G6" s="297"/>
      <c r="H6" s="10"/>
      <c r="I6" s="11"/>
      <c r="J6" s="11"/>
      <c r="K6" s="11"/>
      <c r="L6" s="11"/>
      <c r="M6" s="11"/>
      <c r="N6" s="11"/>
      <c r="O6" s="12"/>
      <c r="P6" s="11"/>
      <c r="Q6" s="13"/>
      <c r="R6" s="14"/>
    </row>
    <row r="7" spans="1:92" ht="49.9" customHeight="1">
      <c r="A7" s="15" t="s">
        <v>359</v>
      </c>
      <c r="B7" s="15" t="s">
        <v>1334</v>
      </c>
      <c r="C7" s="16">
        <v>0.98263888888888884</v>
      </c>
      <c r="D7" s="15" t="s">
        <v>46</v>
      </c>
      <c r="E7" s="15" t="s">
        <v>82</v>
      </c>
      <c r="F7" s="15" t="s">
        <v>1251</v>
      </c>
      <c r="G7" s="298"/>
      <c r="H7" s="10"/>
      <c r="I7" s="11"/>
      <c r="J7" s="11"/>
      <c r="K7" s="11"/>
      <c r="L7" s="11"/>
      <c r="M7" s="11"/>
      <c r="N7" s="11"/>
      <c r="O7" s="12"/>
      <c r="P7" s="11"/>
      <c r="Q7" s="13"/>
      <c r="R7" s="14"/>
    </row>
    <row r="8" spans="1:92" ht="49.9" customHeight="1">
      <c r="A8" s="19" t="s">
        <v>402</v>
      </c>
      <c r="B8" s="19" t="s">
        <v>1335</v>
      </c>
      <c r="C8" s="20">
        <v>0.33680555555555558</v>
      </c>
      <c r="D8" s="19" t="s">
        <v>63</v>
      </c>
      <c r="E8" s="19" t="s">
        <v>29</v>
      </c>
      <c r="F8" s="19" t="s">
        <v>1226</v>
      </c>
      <c r="G8" s="298"/>
      <c r="H8" s="10"/>
      <c r="I8" s="11"/>
      <c r="J8" s="11"/>
      <c r="K8" s="11"/>
      <c r="L8" s="11"/>
      <c r="M8" s="11"/>
      <c r="N8" s="11"/>
      <c r="O8" s="12"/>
      <c r="P8" s="11"/>
      <c r="Q8" s="13"/>
      <c r="R8" s="14"/>
    </row>
    <row r="9" spans="1:92" ht="49.9" customHeight="1" thickBot="1">
      <c r="A9" s="260" t="s">
        <v>61</v>
      </c>
      <c r="B9" s="260" t="s">
        <v>1336</v>
      </c>
      <c r="C9" s="261">
        <v>0.8125</v>
      </c>
      <c r="D9" s="260" t="s">
        <v>63</v>
      </c>
      <c r="E9" s="260" t="s">
        <v>51</v>
      </c>
      <c r="F9" s="260" t="s">
        <v>1218</v>
      </c>
      <c r="G9" s="299"/>
      <c r="H9" s="189" t="s">
        <v>1337</v>
      </c>
      <c r="I9" s="190">
        <v>3.3500000000000002E-2</v>
      </c>
      <c r="J9" s="191">
        <v>6</v>
      </c>
      <c r="K9" s="192">
        <v>46335</v>
      </c>
      <c r="L9" s="191">
        <v>6</v>
      </c>
      <c r="M9" s="191">
        <v>0</v>
      </c>
      <c r="N9" s="191">
        <v>0</v>
      </c>
      <c r="O9" s="193" t="s">
        <v>549</v>
      </c>
      <c r="P9" s="194">
        <v>0.8125</v>
      </c>
      <c r="Q9" s="191">
        <v>179</v>
      </c>
      <c r="R9" s="195" t="s">
        <v>1338</v>
      </c>
    </row>
    <row r="10" spans="1:92" ht="17.45" customHeight="1" thickBot="1">
      <c r="A10" s="283"/>
      <c r="B10" s="284"/>
      <c r="C10" s="284"/>
      <c r="D10" s="284"/>
      <c r="E10" s="284"/>
      <c r="F10" s="284"/>
      <c r="G10" s="284"/>
      <c r="H10" s="284"/>
      <c r="I10" s="284"/>
      <c r="J10" s="284"/>
      <c r="K10" s="284"/>
      <c r="L10" s="284"/>
      <c r="M10" s="284"/>
      <c r="N10" s="284"/>
      <c r="O10" s="284"/>
      <c r="P10" s="284"/>
      <c r="Q10" s="284"/>
      <c r="R10" s="285"/>
    </row>
    <row r="11" spans="1:92" ht="22.15" customHeight="1" thickTop="1" thickBot="1">
      <c r="A11" s="279" t="s">
        <v>6</v>
      </c>
      <c r="B11" s="295"/>
      <c r="C11" s="295"/>
      <c r="D11" s="295"/>
      <c r="E11" s="295"/>
      <c r="F11" s="296"/>
      <c r="G11" s="32">
        <v>46025</v>
      </c>
      <c r="H11" s="278" t="s">
        <v>7</v>
      </c>
      <c r="I11" s="295"/>
      <c r="J11" s="295"/>
      <c r="K11" s="295"/>
      <c r="L11" s="295"/>
      <c r="M11" s="295"/>
      <c r="N11" s="295"/>
      <c r="O11" s="295"/>
      <c r="P11" s="295"/>
      <c r="Q11" s="295"/>
      <c r="R11" s="296"/>
    </row>
    <row r="12" spans="1:92" ht="24" customHeight="1">
      <c r="A12" s="33" t="s">
        <v>8</v>
      </c>
      <c r="B12" s="33" t="s">
        <v>9</v>
      </c>
      <c r="C12" s="34" t="s">
        <v>10</v>
      </c>
      <c r="D12" s="33" t="s">
        <v>11</v>
      </c>
      <c r="E12" s="33" t="s">
        <v>12</v>
      </c>
      <c r="F12" s="35" t="s">
        <v>13</v>
      </c>
      <c r="G12" s="36" t="s">
        <v>14</v>
      </c>
      <c r="H12" s="33" t="s">
        <v>15</v>
      </c>
      <c r="I12" s="37" t="s">
        <v>16</v>
      </c>
      <c r="J12" s="38" t="s">
        <v>17</v>
      </c>
      <c r="K12" s="39" t="s">
        <v>18</v>
      </c>
      <c r="L12" s="38" t="s">
        <v>19</v>
      </c>
      <c r="M12" s="38" t="s">
        <v>20</v>
      </c>
      <c r="N12" s="38" t="s">
        <v>21</v>
      </c>
      <c r="O12" s="33" t="s">
        <v>22</v>
      </c>
      <c r="P12" s="34" t="s">
        <v>23</v>
      </c>
      <c r="Q12" s="38" t="s">
        <v>24</v>
      </c>
      <c r="R12" s="33" t="s">
        <v>25</v>
      </c>
    </row>
    <row r="13" spans="1:92" ht="49.9" customHeight="1">
      <c r="A13" s="58" t="s">
        <v>61</v>
      </c>
      <c r="B13" s="58" t="s">
        <v>1336</v>
      </c>
      <c r="C13" s="59">
        <v>0.8125</v>
      </c>
      <c r="D13" s="58" t="s">
        <v>63</v>
      </c>
      <c r="E13" s="58" t="s">
        <v>177</v>
      </c>
      <c r="F13" s="58" t="s">
        <v>138</v>
      </c>
      <c r="G13" s="297"/>
      <c r="H13" s="60" t="s">
        <v>1337</v>
      </c>
      <c r="I13" s="61">
        <v>5.5899999999999998E-2</v>
      </c>
      <c r="J13" s="62">
        <v>10</v>
      </c>
      <c r="K13" s="63">
        <v>46345</v>
      </c>
      <c r="L13" s="62">
        <v>10</v>
      </c>
      <c r="M13" s="62">
        <v>0</v>
      </c>
      <c r="N13" s="62">
        <v>0</v>
      </c>
      <c r="O13" s="64" t="s">
        <v>905</v>
      </c>
      <c r="P13" s="65">
        <v>0.8125</v>
      </c>
      <c r="Q13" s="62">
        <v>179</v>
      </c>
      <c r="R13" s="66" t="s">
        <v>1339</v>
      </c>
    </row>
    <row r="14" spans="1:92" ht="49.9" customHeight="1" thickBot="1">
      <c r="A14" s="96" t="s">
        <v>402</v>
      </c>
      <c r="B14" s="96" t="s">
        <v>1335</v>
      </c>
      <c r="C14" s="97">
        <v>0.33680555555555558</v>
      </c>
      <c r="D14" s="96" t="s">
        <v>63</v>
      </c>
      <c r="E14" s="96" t="s">
        <v>143</v>
      </c>
      <c r="F14" s="96" t="s">
        <v>526</v>
      </c>
      <c r="G14" s="299"/>
      <c r="H14" s="300"/>
      <c r="I14" s="140"/>
      <c r="J14" s="140"/>
      <c r="K14" s="140"/>
      <c r="L14" s="140"/>
      <c r="M14" s="140"/>
      <c r="N14" s="140"/>
      <c r="O14" s="141"/>
      <c r="P14" s="140"/>
      <c r="Q14" s="142"/>
      <c r="R14" s="301"/>
    </row>
    <row r="15" spans="1:92" ht="17.45" customHeight="1" thickBot="1">
      <c r="A15" s="283"/>
      <c r="B15" s="284"/>
      <c r="C15" s="284"/>
      <c r="D15" s="284"/>
      <c r="E15" s="284"/>
      <c r="F15" s="284"/>
      <c r="G15" s="284"/>
      <c r="H15" s="284"/>
      <c r="I15" s="284"/>
      <c r="J15" s="284"/>
      <c r="K15" s="284"/>
      <c r="L15" s="284"/>
      <c r="M15" s="284"/>
      <c r="N15" s="284"/>
      <c r="O15" s="284"/>
      <c r="P15" s="284"/>
      <c r="Q15" s="284"/>
      <c r="R15" s="285"/>
    </row>
    <row r="16" spans="1:92" ht="22.15" customHeight="1" thickTop="1" thickBot="1">
      <c r="A16" s="279" t="s">
        <v>6</v>
      </c>
      <c r="B16" s="295"/>
      <c r="C16" s="295"/>
      <c r="D16" s="295"/>
      <c r="E16" s="295"/>
      <c r="F16" s="296"/>
      <c r="G16" s="32">
        <v>46027</v>
      </c>
      <c r="H16" s="278" t="s">
        <v>7</v>
      </c>
      <c r="I16" s="295"/>
      <c r="J16" s="295"/>
      <c r="K16" s="295"/>
      <c r="L16" s="295"/>
      <c r="M16" s="295"/>
      <c r="N16" s="295"/>
      <c r="O16" s="295"/>
      <c r="P16" s="295"/>
      <c r="Q16" s="295"/>
      <c r="R16" s="296"/>
    </row>
    <row r="17" spans="1:18" ht="24" customHeight="1">
      <c r="A17" s="33" t="s">
        <v>8</v>
      </c>
      <c r="B17" s="33" t="s">
        <v>9</v>
      </c>
      <c r="C17" s="34" t="s">
        <v>10</v>
      </c>
      <c r="D17" s="33" t="s">
        <v>11</v>
      </c>
      <c r="E17" s="33" t="s">
        <v>12</v>
      </c>
      <c r="F17" s="35" t="s">
        <v>13</v>
      </c>
      <c r="G17" s="36" t="s">
        <v>14</v>
      </c>
      <c r="H17" s="33" t="s">
        <v>15</v>
      </c>
      <c r="I17" s="37" t="s">
        <v>16</v>
      </c>
      <c r="J17" s="38" t="s">
        <v>17</v>
      </c>
      <c r="K17" s="39" t="s">
        <v>18</v>
      </c>
      <c r="L17" s="38" t="s">
        <v>19</v>
      </c>
      <c r="M17" s="38" t="s">
        <v>20</v>
      </c>
      <c r="N17" s="38" t="s">
        <v>21</v>
      </c>
      <c r="O17" s="33" t="s">
        <v>22</v>
      </c>
      <c r="P17" s="34" t="s">
        <v>23</v>
      </c>
      <c r="Q17" s="38" t="s">
        <v>24</v>
      </c>
      <c r="R17" s="33" t="s">
        <v>25</v>
      </c>
    </row>
    <row r="18" spans="1:18" ht="49.9" customHeight="1">
      <c r="A18" s="8" t="s">
        <v>359</v>
      </c>
      <c r="B18" s="8" t="s">
        <v>1334</v>
      </c>
      <c r="C18" s="9">
        <v>0.77083333333333337</v>
      </c>
      <c r="D18" s="8" t="s">
        <v>361</v>
      </c>
      <c r="E18" s="8" t="s">
        <v>80</v>
      </c>
      <c r="F18" s="8" t="s">
        <v>1250</v>
      </c>
      <c r="G18" s="297"/>
      <c r="H18" s="10"/>
      <c r="I18" s="11"/>
      <c r="J18" s="11"/>
      <c r="K18" s="11"/>
      <c r="L18" s="11"/>
      <c r="M18" s="11"/>
      <c r="N18" s="11"/>
      <c r="O18" s="12"/>
      <c r="P18" s="11"/>
      <c r="Q18" s="13"/>
      <c r="R18" s="14"/>
    </row>
    <row r="19" spans="1:18" ht="49.9" customHeight="1" thickTop="1" thickBot="1">
      <c r="A19" s="76" t="s">
        <v>359</v>
      </c>
      <c r="B19" s="76" t="s">
        <v>1334</v>
      </c>
      <c r="C19" s="77">
        <v>0.77083333333333337</v>
      </c>
      <c r="D19" s="76" t="s">
        <v>46</v>
      </c>
      <c r="E19" s="76" t="s">
        <v>82</v>
      </c>
      <c r="F19" s="76" t="s">
        <v>1251</v>
      </c>
      <c r="G19" s="299"/>
      <c r="H19" s="300"/>
      <c r="I19" s="140"/>
      <c r="J19" s="140"/>
      <c r="K19" s="140"/>
      <c r="L19" s="140"/>
      <c r="M19" s="140"/>
      <c r="N19" s="140"/>
      <c r="O19" s="141"/>
      <c r="P19" s="140"/>
      <c r="Q19" s="142"/>
      <c r="R19" s="301"/>
    </row>
    <row r="20" spans="1:18" ht="17.45" customHeight="1" thickBot="1">
      <c r="A20" s="283"/>
      <c r="B20" s="284"/>
      <c r="C20" s="284"/>
      <c r="D20" s="284"/>
      <c r="E20" s="284"/>
      <c r="F20" s="284"/>
      <c r="G20" s="284"/>
      <c r="H20" s="284"/>
      <c r="I20" s="284"/>
      <c r="J20" s="284"/>
      <c r="K20" s="284"/>
      <c r="L20" s="284"/>
      <c r="M20" s="284"/>
      <c r="N20" s="284"/>
      <c r="O20" s="284"/>
      <c r="P20" s="284"/>
      <c r="Q20" s="284"/>
      <c r="R20" s="285"/>
    </row>
    <row r="21" spans="1:18" ht="22.15" customHeight="1" thickTop="1" thickBot="1">
      <c r="A21" s="279" t="s">
        <v>6</v>
      </c>
      <c r="B21" s="295"/>
      <c r="C21" s="295"/>
      <c r="D21" s="295"/>
      <c r="E21" s="295"/>
      <c r="F21" s="296"/>
      <c r="G21" s="32">
        <v>46028</v>
      </c>
      <c r="H21" s="278" t="s">
        <v>7</v>
      </c>
      <c r="I21" s="295"/>
      <c r="J21" s="295"/>
      <c r="K21" s="295"/>
      <c r="L21" s="295"/>
      <c r="M21" s="295"/>
      <c r="N21" s="295"/>
      <c r="O21" s="295"/>
      <c r="P21" s="295"/>
      <c r="Q21" s="295"/>
      <c r="R21" s="296"/>
    </row>
    <row r="22" spans="1:18" ht="24" customHeight="1">
      <c r="A22" s="33" t="s">
        <v>8</v>
      </c>
      <c r="B22" s="33" t="s">
        <v>9</v>
      </c>
      <c r="C22" s="34" t="s">
        <v>10</v>
      </c>
      <c r="D22" s="33" t="s">
        <v>11</v>
      </c>
      <c r="E22" s="33" t="s">
        <v>12</v>
      </c>
      <c r="F22" s="35" t="s">
        <v>13</v>
      </c>
      <c r="G22" s="36" t="s">
        <v>14</v>
      </c>
      <c r="H22" s="33" t="s">
        <v>15</v>
      </c>
      <c r="I22" s="37" t="s">
        <v>16</v>
      </c>
      <c r="J22" s="38" t="s">
        <v>17</v>
      </c>
      <c r="K22" s="39" t="s">
        <v>18</v>
      </c>
      <c r="L22" s="38" t="s">
        <v>19</v>
      </c>
      <c r="M22" s="38" t="s">
        <v>20</v>
      </c>
      <c r="N22" s="38" t="s">
        <v>21</v>
      </c>
      <c r="O22" s="33" t="s">
        <v>22</v>
      </c>
      <c r="P22" s="34" t="s">
        <v>23</v>
      </c>
      <c r="Q22" s="38" t="s">
        <v>24</v>
      </c>
      <c r="R22" s="33" t="s">
        <v>25</v>
      </c>
    </row>
    <row r="23" spans="1:18" ht="49.9" customHeight="1" thickTop="1" thickBot="1">
      <c r="A23" s="166" t="s">
        <v>402</v>
      </c>
      <c r="B23" s="166" t="s">
        <v>1335</v>
      </c>
      <c r="C23" s="167">
        <v>0.33680555555555558</v>
      </c>
      <c r="D23" s="166" t="s">
        <v>63</v>
      </c>
      <c r="E23" s="166" t="s">
        <v>51</v>
      </c>
      <c r="F23" s="166" t="s">
        <v>526</v>
      </c>
      <c r="G23" s="297"/>
      <c r="H23" s="300"/>
      <c r="I23" s="140"/>
      <c r="J23" s="140"/>
      <c r="K23" s="140"/>
      <c r="L23" s="140"/>
      <c r="M23" s="140"/>
      <c r="N23" s="140"/>
      <c r="O23" s="141"/>
      <c r="P23" s="140"/>
      <c r="Q23" s="142"/>
      <c r="R23" s="301"/>
    </row>
    <row r="24" spans="1:18" ht="17.45" customHeight="1" thickBot="1">
      <c r="A24" s="283"/>
      <c r="B24" s="284"/>
      <c r="C24" s="284"/>
      <c r="D24" s="284"/>
      <c r="E24" s="284"/>
      <c r="F24" s="284"/>
      <c r="G24" s="284"/>
      <c r="H24" s="284"/>
      <c r="I24" s="284"/>
      <c r="J24" s="284"/>
      <c r="K24" s="284"/>
      <c r="L24" s="284"/>
      <c r="M24" s="284"/>
      <c r="N24" s="284"/>
      <c r="O24" s="284"/>
      <c r="P24" s="284"/>
      <c r="Q24" s="284"/>
      <c r="R24" s="285"/>
    </row>
    <row r="25" spans="1:18" ht="22.15" customHeight="1" thickTop="1" thickBot="1">
      <c r="A25" s="279" t="s">
        <v>6</v>
      </c>
      <c r="B25" s="295"/>
      <c r="C25" s="295"/>
      <c r="D25" s="295"/>
      <c r="E25" s="295"/>
      <c r="F25" s="296"/>
      <c r="G25" s="32">
        <v>46029</v>
      </c>
      <c r="H25" s="278" t="s">
        <v>7</v>
      </c>
      <c r="I25" s="295"/>
      <c r="J25" s="295"/>
      <c r="K25" s="295"/>
      <c r="L25" s="295"/>
      <c r="M25" s="295"/>
      <c r="N25" s="295"/>
      <c r="O25" s="295"/>
      <c r="P25" s="295"/>
      <c r="Q25" s="295"/>
      <c r="R25" s="296"/>
    </row>
    <row r="26" spans="1:18" ht="24" customHeight="1">
      <c r="A26" s="33" t="s">
        <v>8</v>
      </c>
      <c r="B26" s="33" t="s">
        <v>9</v>
      </c>
      <c r="C26" s="34" t="s">
        <v>10</v>
      </c>
      <c r="D26" s="33" t="s">
        <v>11</v>
      </c>
      <c r="E26" s="33" t="s">
        <v>12</v>
      </c>
      <c r="F26" s="35" t="s">
        <v>13</v>
      </c>
      <c r="G26" s="36" t="s">
        <v>14</v>
      </c>
      <c r="H26" s="33" t="s">
        <v>15</v>
      </c>
      <c r="I26" s="37" t="s">
        <v>16</v>
      </c>
      <c r="J26" s="38" t="s">
        <v>17</v>
      </c>
      <c r="K26" s="39" t="s">
        <v>18</v>
      </c>
      <c r="L26" s="38" t="s">
        <v>19</v>
      </c>
      <c r="M26" s="38" t="s">
        <v>20</v>
      </c>
      <c r="N26" s="38" t="s">
        <v>21</v>
      </c>
      <c r="O26" s="33" t="s">
        <v>22</v>
      </c>
      <c r="P26" s="34" t="s">
        <v>23</v>
      </c>
      <c r="Q26" s="38" t="s">
        <v>24</v>
      </c>
      <c r="R26" s="33" t="s">
        <v>25</v>
      </c>
    </row>
    <row r="27" spans="1:18" ht="49.9" customHeight="1">
      <c r="A27" s="8" t="s">
        <v>359</v>
      </c>
      <c r="B27" s="8" t="s">
        <v>1334</v>
      </c>
      <c r="C27" s="9">
        <v>0.98263888888888884</v>
      </c>
      <c r="D27" s="8" t="s">
        <v>361</v>
      </c>
      <c r="E27" s="8" t="s">
        <v>80</v>
      </c>
      <c r="F27" s="8" t="s">
        <v>1250</v>
      </c>
      <c r="G27" s="297"/>
      <c r="H27" s="10"/>
      <c r="I27" s="11"/>
      <c r="J27" s="11"/>
      <c r="K27" s="11"/>
      <c r="L27" s="11"/>
      <c r="M27" s="11"/>
      <c r="N27" s="11"/>
      <c r="O27" s="12"/>
      <c r="P27" s="11"/>
      <c r="Q27" s="13"/>
      <c r="R27" s="14"/>
    </row>
    <row r="28" spans="1:18" ht="49.9" customHeight="1" thickTop="1" thickBot="1">
      <c r="A28" s="76" t="s">
        <v>359</v>
      </c>
      <c r="B28" s="76" t="s">
        <v>1334</v>
      </c>
      <c r="C28" s="77">
        <v>0.98263888888888884</v>
      </c>
      <c r="D28" s="76" t="s">
        <v>46</v>
      </c>
      <c r="E28" s="76" t="s">
        <v>82</v>
      </c>
      <c r="F28" s="76" t="s">
        <v>1251</v>
      </c>
      <c r="G28" s="299"/>
      <c r="H28" s="300"/>
      <c r="I28" s="140"/>
      <c r="J28" s="140"/>
      <c r="K28" s="140"/>
      <c r="L28" s="140"/>
      <c r="M28" s="140"/>
      <c r="N28" s="140"/>
      <c r="O28" s="141"/>
      <c r="P28" s="140"/>
      <c r="Q28" s="142"/>
      <c r="R28" s="301"/>
    </row>
    <row r="29" spans="1:18" ht="17.45" customHeight="1" thickBot="1">
      <c r="A29" s="283"/>
      <c r="B29" s="284"/>
      <c r="C29" s="284"/>
      <c r="D29" s="284"/>
      <c r="E29" s="284"/>
      <c r="F29" s="284"/>
      <c r="G29" s="284"/>
      <c r="H29" s="284"/>
      <c r="I29" s="284"/>
      <c r="J29" s="284"/>
      <c r="K29" s="284"/>
      <c r="L29" s="284"/>
      <c r="M29" s="284"/>
      <c r="N29" s="284"/>
      <c r="O29" s="284"/>
      <c r="P29" s="284"/>
      <c r="Q29" s="284"/>
      <c r="R29" s="285"/>
    </row>
    <row r="30" spans="1:18" ht="22.15" customHeight="1" thickTop="1" thickBot="1">
      <c r="A30" s="279" t="s">
        <v>6</v>
      </c>
      <c r="B30" s="295"/>
      <c r="C30" s="295"/>
      <c r="D30" s="295"/>
      <c r="E30" s="295"/>
      <c r="F30" s="296"/>
      <c r="G30" s="32">
        <v>46030</v>
      </c>
      <c r="H30" s="278" t="s">
        <v>7</v>
      </c>
      <c r="I30" s="295"/>
      <c r="J30" s="295"/>
      <c r="K30" s="295"/>
      <c r="L30" s="295"/>
      <c r="M30" s="295"/>
      <c r="N30" s="295"/>
      <c r="O30" s="295"/>
      <c r="P30" s="295"/>
      <c r="Q30" s="295"/>
      <c r="R30" s="296"/>
    </row>
    <row r="31" spans="1:18" ht="24" customHeight="1">
      <c r="A31" s="33" t="s">
        <v>8</v>
      </c>
      <c r="B31" s="33" t="s">
        <v>9</v>
      </c>
      <c r="C31" s="34" t="s">
        <v>10</v>
      </c>
      <c r="D31" s="33" t="s">
        <v>11</v>
      </c>
      <c r="E31" s="33" t="s">
        <v>12</v>
      </c>
      <c r="F31" s="35" t="s">
        <v>13</v>
      </c>
      <c r="G31" s="36" t="s">
        <v>14</v>
      </c>
      <c r="H31" s="33" t="s">
        <v>15</v>
      </c>
      <c r="I31" s="37" t="s">
        <v>16</v>
      </c>
      <c r="J31" s="38" t="s">
        <v>17</v>
      </c>
      <c r="K31" s="39" t="s">
        <v>18</v>
      </c>
      <c r="L31" s="38" t="s">
        <v>19</v>
      </c>
      <c r="M31" s="38" t="s">
        <v>20</v>
      </c>
      <c r="N31" s="38" t="s">
        <v>21</v>
      </c>
      <c r="O31" s="33" t="s">
        <v>22</v>
      </c>
      <c r="P31" s="34" t="s">
        <v>23</v>
      </c>
      <c r="Q31" s="38" t="s">
        <v>24</v>
      </c>
      <c r="R31" s="33" t="s">
        <v>25</v>
      </c>
    </row>
    <row r="32" spans="1:18" ht="49.9" customHeight="1">
      <c r="A32" s="8" t="s">
        <v>359</v>
      </c>
      <c r="B32" s="8" t="s">
        <v>1334</v>
      </c>
      <c r="C32" s="9">
        <v>0.98263888888888884</v>
      </c>
      <c r="D32" s="8" t="s">
        <v>361</v>
      </c>
      <c r="E32" s="8" t="s">
        <v>80</v>
      </c>
      <c r="F32" s="8" t="s">
        <v>1250</v>
      </c>
      <c r="G32" s="297"/>
      <c r="H32" s="10"/>
      <c r="I32" s="11"/>
      <c r="J32" s="11"/>
      <c r="K32" s="11"/>
      <c r="L32" s="11"/>
      <c r="M32" s="11"/>
      <c r="N32" s="11"/>
      <c r="O32" s="12"/>
      <c r="P32" s="11"/>
      <c r="Q32" s="13"/>
      <c r="R32" s="14"/>
    </row>
    <row r="33" spans="1:18" ht="49.9" customHeight="1">
      <c r="A33" s="15" t="s">
        <v>359</v>
      </c>
      <c r="B33" s="15" t="s">
        <v>1334</v>
      </c>
      <c r="C33" s="16">
        <v>0.98263888888888884</v>
      </c>
      <c r="D33" s="15" t="s">
        <v>46</v>
      </c>
      <c r="E33" s="15" t="s">
        <v>82</v>
      </c>
      <c r="F33" s="15" t="s">
        <v>1251</v>
      </c>
      <c r="G33" s="298"/>
      <c r="H33" s="10"/>
      <c r="I33" s="11"/>
      <c r="J33" s="11"/>
      <c r="K33" s="11"/>
      <c r="L33" s="11"/>
      <c r="M33" s="11"/>
      <c r="N33" s="11"/>
      <c r="O33" s="12"/>
      <c r="P33" s="11"/>
      <c r="Q33" s="13"/>
      <c r="R33" s="14"/>
    </row>
    <row r="34" spans="1:18" ht="49.9" customHeight="1">
      <c r="A34" s="58" t="s">
        <v>61</v>
      </c>
      <c r="B34" s="58" t="s">
        <v>1336</v>
      </c>
      <c r="C34" s="59">
        <v>0.8125</v>
      </c>
      <c r="D34" s="58" t="s">
        <v>63</v>
      </c>
      <c r="E34" s="58" t="s">
        <v>29</v>
      </c>
      <c r="F34" s="58" t="s">
        <v>1340</v>
      </c>
      <c r="G34" s="298"/>
      <c r="H34" s="60" t="s">
        <v>1337</v>
      </c>
      <c r="I34" s="61">
        <v>1.6799999999999999E-2</v>
      </c>
      <c r="J34" s="62">
        <v>3</v>
      </c>
      <c r="K34" s="63">
        <v>46329</v>
      </c>
      <c r="L34" s="62">
        <v>3</v>
      </c>
      <c r="M34" s="62">
        <v>0</v>
      </c>
      <c r="N34" s="62">
        <v>0</v>
      </c>
      <c r="O34" s="64" t="s">
        <v>901</v>
      </c>
      <c r="P34" s="65">
        <v>0.8125</v>
      </c>
      <c r="Q34" s="62">
        <v>179</v>
      </c>
      <c r="R34" s="66" t="s">
        <v>1164</v>
      </c>
    </row>
    <row r="35" spans="1:18" ht="49.9" customHeight="1" thickBot="1">
      <c r="A35" s="96" t="s">
        <v>402</v>
      </c>
      <c r="B35" s="96" t="s">
        <v>1335</v>
      </c>
      <c r="C35" s="97">
        <v>0.33680555555555558</v>
      </c>
      <c r="D35" s="96" t="s">
        <v>63</v>
      </c>
      <c r="E35" s="96" t="s">
        <v>156</v>
      </c>
      <c r="F35" s="96" t="s">
        <v>1226</v>
      </c>
      <c r="G35" s="299"/>
      <c r="H35" s="300"/>
      <c r="I35" s="140"/>
      <c r="J35" s="140"/>
      <c r="K35" s="140"/>
      <c r="L35" s="140"/>
      <c r="M35" s="140"/>
      <c r="N35" s="140"/>
      <c r="O35" s="141"/>
      <c r="P35" s="140"/>
      <c r="Q35" s="142"/>
      <c r="R35" s="301"/>
    </row>
    <row r="36" spans="1:18" ht="17.45" customHeight="1" thickBot="1">
      <c r="A36" s="283"/>
      <c r="B36" s="284"/>
      <c r="C36" s="284"/>
      <c r="D36" s="284"/>
      <c r="E36" s="284"/>
      <c r="F36" s="284"/>
      <c r="G36" s="284"/>
      <c r="H36" s="284"/>
      <c r="I36" s="284"/>
      <c r="J36" s="284"/>
      <c r="K36" s="284"/>
      <c r="L36" s="284"/>
      <c r="M36" s="284"/>
      <c r="N36" s="284"/>
      <c r="O36" s="284"/>
      <c r="P36" s="284"/>
      <c r="Q36" s="284"/>
      <c r="R36" s="285"/>
    </row>
    <row r="37" spans="1:18" ht="22.15" customHeight="1" thickTop="1" thickBot="1">
      <c r="A37" s="279" t="s">
        <v>6</v>
      </c>
      <c r="B37" s="295"/>
      <c r="C37" s="295"/>
      <c r="D37" s="295"/>
      <c r="E37" s="295"/>
      <c r="F37" s="296"/>
      <c r="G37" s="32">
        <v>46032</v>
      </c>
      <c r="H37" s="278" t="s">
        <v>7</v>
      </c>
      <c r="I37" s="295"/>
      <c r="J37" s="295"/>
      <c r="K37" s="295"/>
      <c r="L37" s="295"/>
      <c r="M37" s="295"/>
      <c r="N37" s="295"/>
      <c r="O37" s="295"/>
      <c r="P37" s="295"/>
      <c r="Q37" s="295"/>
      <c r="R37" s="296"/>
    </row>
    <row r="38" spans="1:18" ht="24" customHeight="1">
      <c r="A38" s="33" t="s">
        <v>8</v>
      </c>
      <c r="B38" s="33" t="s">
        <v>9</v>
      </c>
      <c r="C38" s="34" t="s">
        <v>10</v>
      </c>
      <c r="D38" s="33" t="s">
        <v>11</v>
      </c>
      <c r="E38" s="33" t="s">
        <v>12</v>
      </c>
      <c r="F38" s="35" t="s">
        <v>13</v>
      </c>
      <c r="G38" s="36" t="s">
        <v>14</v>
      </c>
      <c r="H38" s="33" t="s">
        <v>15</v>
      </c>
      <c r="I38" s="37" t="s">
        <v>16</v>
      </c>
      <c r="J38" s="38" t="s">
        <v>17</v>
      </c>
      <c r="K38" s="39" t="s">
        <v>18</v>
      </c>
      <c r="L38" s="38" t="s">
        <v>19</v>
      </c>
      <c r="M38" s="38" t="s">
        <v>20</v>
      </c>
      <c r="N38" s="38" t="s">
        <v>21</v>
      </c>
      <c r="O38" s="33" t="s">
        <v>22</v>
      </c>
      <c r="P38" s="34" t="s">
        <v>23</v>
      </c>
      <c r="Q38" s="38" t="s">
        <v>24</v>
      </c>
      <c r="R38" s="33" t="s">
        <v>25</v>
      </c>
    </row>
    <row r="39" spans="1:18" ht="49.9" customHeight="1">
      <c r="A39" s="40" t="s">
        <v>61</v>
      </c>
      <c r="B39" s="40" t="s">
        <v>1336</v>
      </c>
      <c r="C39" s="41">
        <v>0.8125</v>
      </c>
      <c r="D39" s="40" t="s">
        <v>63</v>
      </c>
      <c r="E39" s="40" t="s">
        <v>143</v>
      </c>
      <c r="F39" s="40" t="s">
        <v>1340</v>
      </c>
      <c r="G39" s="302"/>
      <c r="H39" s="42" t="s">
        <v>1337</v>
      </c>
      <c r="I39" s="43">
        <v>2.7900000000000001E-2</v>
      </c>
      <c r="J39" s="44">
        <v>5</v>
      </c>
      <c r="K39" s="45">
        <v>46340</v>
      </c>
      <c r="L39" s="44">
        <v>5</v>
      </c>
      <c r="M39" s="44">
        <v>0</v>
      </c>
      <c r="N39" s="44">
        <v>0</v>
      </c>
      <c r="O39" s="46" t="s">
        <v>571</v>
      </c>
      <c r="P39" s="47">
        <v>0.8125</v>
      </c>
      <c r="Q39" s="44">
        <v>179</v>
      </c>
      <c r="R39" s="48" t="s">
        <v>1341</v>
      </c>
    </row>
    <row r="40" spans="1:18" ht="49.9" customHeight="1" thickBot="1">
      <c r="A40" s="96" t="s">
        <v>402</v>
      </c>
      <c r="B40" s="96" t="s">
        <v>1335</v>
      </c>
      <c r="C40" s="97">
        <v>0.33680555555555558</v>
      </c>
      <c r="D40" s="96" t="s">
        <v>63</v>
      </c>
      <c r="E40" s="96" t="s">
        <v>126</v>
      </c>
      <c r="F40" s="96" t="s">
        <v>526</v>
      </c>
      <c r="G40" s="299"/>
      <c r="H40" s="300"/>
      <c r="I40" s="140"/>
      <c r="J40" s="140"/>
      <c r="K40" s="140"/>
      <c r="L40" s="140"/>
      <c r="M40" s="140"/>
      <c r="N40" s="140"/>
      <c r="O40" s="141"/>
      <c r="P40" s="140"/>
      <c r="Q40" s="142"/>
      <c r="R40" s="301"/>
    </row>
    <row r="41" spans="1:18" ht="17.45" customHeight="1" thickBot="1">
      <c r="A41" s="283"/>
      <c r="B41" s="284"/>
      <c r="C41" s="284"/>
      <c r="D41" s="284"/>
      <c r="E41" s="284"/>
      <c r="F41" s="284"/>
      <c r="G41" s="284"/>
      <c r="H41" s="284"/>
      <c r="I41" s="284"/>
      <c r="J41" s="284"/>
      <c r="K41" s="284"/>
      <c r="L41" s="284"/>
      <c r="M41" s="284"/>
      <c r="N41" s="284"/>
      <c r="O41" s="284"/>
      <c r="P41" s="284"/>
      <c r="Q41" s="284"/>
      <c r="R41" s="285"/>
    </row>
    <row r="42" spans="1:18" ht="22.15" customHeight="1" thickTop="1" thickBot="1">
      <c r="A42" s="279" t="s">
        <v>6</v>
      </c>
      <c r="B42" s="295"/>
      <c r="C42" s="295"/>
      <c r="D42" s="295"/>
      <c r="E42" s="295"/>
      <c r="F42" s="296"/>
      <c r="G42" s="32">
        <v>46034</v>
      </c>
      <c r="H42" s="278" t="s">
        <v>7</v>
      </c>
      <c r="I42" s="295"/>
      <c r="J42" s="295"/>
      <c r="K42" s="295"/>
      <c r="L42" s="295"/>
      <c r="M42" s="295"/>
      <c r="N42" s="295"/>
      <c r="O42" s="295"/>
      <c r="P42" s="295"/>
      <c r="Q42" s="295"/>
      <c r="R42" s="296"/>
    </row>
    <row r="43" spans="1:18" ht="24" customHeight="1">
      <c r="A43" s="33" t="s">
        <v>8</v>
      </c>
      <c r="B43" s="33" t="s">
        <v>9</v>
      </c>
      <c r="C43" s="34" t="s">
        <v>10</v>
      </c>
      <c r="D43" s="33" t="s">
        <v>11</v>
      </c>
      <c r="E43" s="33" t="s">
        <v>12</v>
      </c>
      <c r="F43" s="35" t="s">
        <v>13</v>
      </c>
      <c r="G43" s="36" t="s">
        <v>14</v>
      </c>
      <c r="H43" s="33" t="s">
        <v>15</v>
      </c>
      <c r="I43" s="37" t="s">
        <v>16</v>
      </c>
      <c r="J43" s="38" t="s">
        <v>17</v>
      </c>
      <c r="K43" s="39" t="s">
        <v>18</v>
      </c>
      <c r="L43" s="38" t="s">
        <v>19</v>
      </c>
      <c r="M43" s="38" t="s">
        <v>20</v>
      </c>
      <c r="N43" s="38" t="s">
        <v>21</v>
      </c>
      <c r="O43" s="33" t="s">
        <v>22</v>
      </c>
      <c r="P43" s="34" t="s">
        <v>23</v>
      </c>
      <c r="Q43" s="38" t="s">
        <v>24</v>
      </c>
      <c r="R43" s="33" t="s">
        <v>25</v>
      </c>
    </row>
    <row r="44" spans="1:18" ht="49.9" customHeight="1">
      <c r="A44" s="8" t="s">
        <v>359</v>
      </c>
      <c r="B44" s="8" t="s">
        <v>1334</v>
      </c>
      <c r="C44" s="9">
        <v>0.77083333333333337</v>
      </c>
      <c r="D44" s="8" t="s">
        <v>361</v>
      </c>
      <c r="E44" s="8" t="s">
        <v>80</v>
      </c>
      <c r="F44" s="8" t="s">
        <v>1250</v>
      </c>
      <c r="G44" s="297"/>
      <c r="H44" s="10"/>
      <c r="I44" s="11"/>
      <c r="J44" s="11"/>
      <c r="K44" s="11"/>
      <c r="L44" s="11"/>
      <c r="M44" s="11"/>
      <c r="N44" s="11"/>
      <c r="O44" s="12"/>
      <c r="P44" s="11"/>
      <c r="Q44" s="13"/>
      <c r="R44" s="14"/>
    </row>
    <row r="45" spans="1:18" ht="49.9" customHeight="1" thickTop="1" thickBot="1">
      <c r="A45" s="76" t="s">
        <v>359</v>
      </c>
      <c r="B45" s="76" t="s">
        <v>1334</v>
      </c>
      <c r="C45" s="77">
        <v>0.77083333333333337</v>
      </c>
      <c r="D45" s="76" t="s">
        <v>46</v>
      </c>
      <c r="E45" s="76" t="s">
        <v>82</v>
      </c>
      <c r="F45" s="76" t="s">
        <v>1251</v>
      </c>
      <c r="G45" s="299"/>
      <c r="H45" s="300"/>
      <c r="I45" s="140"/>
      <c r="J45" s="140"/>
      <c r="K45" s="140"/>
      <c r="L45" s="140"/>
      <c r="M45" s="140"/>
      <c r="N45" s="140"/>
      <c r="O45" s="141"/>
      <c r="P45" s="140"/>
      <c r="Q45" s="142"/>
      <c r="R45" s="301"/>
    </row>
    <row r="46" spans="1:18" ht="17.45" customHeight="1" thickBot="1">
      <c r="A46" s="283"/>
      <c r="B46" s="284"/>
      <c r="C46" s="284"/>
      <c r="D46" s="284"/>
      <c r="E46" s="284"/>
      <c r="F46" s="284"/>
      <c r="G46" s="284"/>
      <c r="H46" s="284"/>
      <c r="I46" s="284"/>
      <c r="J46" s="284"/>
      <c r="K46" s="284"/>
      <c r="L46" s="284"/>
      <c r="M46" s="284"/>
      <c r="N46" s="284"/>
      <c r="O46" s="284"/>
      <c r="P46" s="284"/>
      <c r="Q46" s="284"/>
      <c r="R46" s="285"/>
    </row>
    <row r="47" spans="1:18" ht="22.15" customHeight="1" thickTop="1" thickBot="1">
      <c r="A47" s="279" t="s">
        <v>6</v>
      </c>
      <c r="B47" s="295"/>
      <c r="C47" s="295"/>
      <c r="D47" s="295"/>
      <c r="E47" s="295"/>
      <c r="F47" s="296"/>
      <c r="G47" s="32">
        <v>46035</v>
      </c>
      <c r="H47" s="278" t="s">
        <v>7</v>
      </c>
      <c r="I47" s="295"/>
      <c r="J47" s="295"/>
      <c r="K47" s="295"/>
      <c r="L47" s="295"/>
      <c r="M47" s="295"/>
      <c r="N47" s="295"/>
      <c r="O47" s="295"/>
      <c r="P47" s="295"/>
      <c r="Q47" s="295"/>
      <c r="R47" s="296"/>
    </row>
    <row r="48" spans="1:18" ht="24" customHeight="1">
      <c r="A48" s="33" t="s">
        <v>8</v>
      </c>
      <c r="B48" s="33" t="s">
        <v>9</v>
      </c>
      <c r="C48" s="34" t="s">
        <v>10</v>
      </c>
      <c r="D48" s="33" t="s">
        <v>11</v>
      </c>
      <c r="E48" s="33" t="s">
        <v>12</v>
      </c>
      <c r="F48" s="35" t="s">
        <v>13</v>
      </c>
      <c r="G48" s="36" t="s">
        <v>14</v>
      </c>
      <c r="H48" s="33" t="s">
        <v>15</v>
      </c>
      <c r="I48" s="37" t="s">
        <v>16</v>
      </c>
      <c r="J48" s="38" t="s">
        <v>17</v>
      </c>
      <c r="K48" s="39" t="s">
        <v>18</v>
      </c>
      <c r="L48" s="38" t="s">
        <v>19</v>
      </c>
      <c r="M48" s="38" t="s">
        <v>20</v>
      </c>
      <c r="N48" s="38" t="s">
        <v>21</v>
      </c>
      <c r="O48" s="33" t="s">
        <v>22</v>
      </c>
      <c r="P48" s="34" t="s">
        <v>23</v>
      </c>
      <c r="Q48" s="38" t="s">
        <v>24</v>
      </c>
      <c r="R48" s="33" t="s">
        <v>25</v>
      </c>
    </row>
    <row r="49" spans="1:18" ht="49.9" customHeight="1" thickTop="1" thickBot="1">
      <c r="A49" s="166" t="s">
        <v>402</v>
      </c>
      <c r="B49" s="166" t="s">
        <v>1335</v>
      </c>
      <c r="C49" s="167">
        <v>0.33680555555555558</v>
      </c>
      <c r="D49" s="166" t="s">
        <v>63</v>
      </c>
      <c r="E49" s="166" t="s">
        <v>51</v>
      </c>
      <c r="F49" s="166" t="s">
        <v>1342</v>
      </c>
      <c r="G49" s="297"/>
      <c r="H49" s="300"/>
      <c r="I49" s="140"/>
      <c r="J49" s="140"/>
      <c r="K49" s="140"/>
      <c r="L49" s="140"/>
      <c r="M49" s="140"/>
      <c r="N49" s="140"/>
      <c r="O49" s="141"/>
      <c r="P49" s="140"/>
      <c r="Q49" s="142"/>
      <c r="R49" s="301"/>
    </row>
    <row r="50" spans="1:18" ht="17.45" customHeight="1" thickBot="1">
      <c r="A50" s="283"/>
      <c r="B50" s="284"/>
      <c r="C50" s="284"/>
      <c r="D50" s="284"/>
      <c r="E50" s="284"/>
      <c r="F50" s="284"/>
      <c r="G50" s="284"/>
      <c r="H50" s="284"/>
      <c r="I50" s="284"/>
      <c r="J50" s="284"/>
      <c r="K50" s="284"/>
      <c r="L50" s="284"/>
      <c r="M50" s="284"/>
      <c r="N50" s="284"/>
      <c r="O50" s="284"/>
      <c r="P50" s="284"/>
      <c r="Q50" s="284"/>
      <c r="R50" s="285"/>
    </row>
    <row r="51" spans="1:18" ht="22.15" customHeight="1" thickTop="1" thickBot="1">
      <c r="A51" s="279" t="s">
        <v>6</v>
      </c>
      <c r="B51" s="295"/>
      <c r="C51" s="295"/>
      <c r="D51" s="295"/>
      <c r="E51" s="295"/>
      <c r="F51" s="296"/>
      <c r="G51" s="32">
        <v>46036</v>
      </c>
      <c r="H51" s="278" t="s">
        <v>7</v>
      </c>
      <c r="I51" s="295"/>
      <c r="J51" s="295"/>
      <c r="K51" s="295"/>
      <c r="L51" s="295"/>
      <c r="M51" s="295"/>
      <c r="N51" s="295"/>
      <c r="O51" s="295"/>
      <c r="P51" s="295"/>
      <c r="Q51" s="295"/>
      <c r="R51" s="296"/>
    </row>
    <row r="52" spans="1:18" ht="24" customHeight="1">
      <c r="A52" s="33" t="s">
        <v>8</v>
      </c>
      <c r="B52" s="33" t="s">
        <v>9</v>
      </c>
      <c r="C52" s="34" t="s">
        <v>10</v>
      </c>
      <c r="D52" s="33" t="s">
        <v>11</v>
      </c>
      <c r="E52" s="33" t="s">
        <v>12</v>
      </c>
      <c r="F52" s="35" t="s">
        <v>13</v>
      </c>
      <c r="G52" s="36" t="s">
        <v>14</v>
      </c>
      <c r="H52" s="33" t="s">
        <v>15</v>
      </c>
      <c r="I52" s="37" t="s">
        <v>16</v>
      </c>
      <c r="J52" s="38" t="s">
        <v>17</v>
      </c>
      <c r="K52" s="39" t="s">
        <v>18</v>
      </c>
      <c r="L52" s="38" t="s">
        <v>19</v>
      </c>
      <c r="M52" s="38" t="s">
        <v>20</v>
      </c>
      <c r="N52" s="38" t="s">
        <v>21</v>
      </c>
      <c r="O52" s="33" t="s">
        <v>22</v>
      </c>
      <c r="P52" s="34" t="s">
        <v>23</v>
      </c>
      <c r="Q52" s="38" t="s">
        <v>24</v>
      </c>
      <c r="R52" s="33" t="s">
        <v>25</v>
      </c>
    </row>
    <row r="53" spans="1:18" ht="49.9" customHeight="1">
      <c r="A53" s="8" t="s">
        <v>359</v>
      </c>
      <c r="B53" s="8" t="s">
        <v>1334</v>
      </c>
      <c r="C53" s="9">
        <v>0.98263888888888884</v>
      </c>
      <c r="D53" s="8" t="s">
        <v>361</v>
      </c>
      <c r="E53" s="8" t="s">
        <v>80</v>
      </c>
      <c r="F53" s="8" t="s">
        <v>1343</v>
      </c>
      <c r="G53" s="297"/>
      <c r="H53" s="10"/>
      <c r="I53" s="11"/>
      <c r="J53" s="11"/>
      <c r="K53" s="11"/>
      <c r="L53" s="11"/>
      <c r="M53" s="11"/>
      <c r="N53" s="11"/>
      <c r="O53" s="12"/>
      <c r="P53" s="11"/>
      <c r="Q53" s="13"/>
      <c r="R53" s="14"/>
    </row>
    <row r="54" spans="1:18" ht="49.9" customHeight="1" thickTop="1" thickBot="1">
      <c r="A54" s="76" t="s">
        <v>359</v>
      </c>
      <c r="B54" s="76" t="s">
        <v>1334</v>
      </c>
      <c r="C54" s="77">
        <v>0.98263888888888884</v>
      </c>
      <c r="D54" s="76" t="s">
        <v>46</v>
      </c>
      <c r="E54" s="76" t="s">
        <v>82</v>
      </c>
      <c r="F54" s="76" t="s">
        <v>1344</v>
      </c>
      <c r="G54" s="299"/>
      <c r="H54" s="300"/>
      <c r="I54" s="140"/>
      <c r="J54" s="140"/>
      <c r="K54" s="140"/>
      <c r="L54" s="140"/>
      <c r="M54" s="140"/>
      <c r="N54" s="140"/>
      <c r="O54" s="141"/>
      <c r="P54" s="140"/>
      <c r="Q54" s="142"/>
      <c r="R54" s="301"/>
    </row>
    <row r="55" spans="1:18" ht="17.45" customHeight="1" thickBot="1">
      <c r="A55" s="283"/>
      <c r="B55" s="284"/>
      <c r="C55" s="284"/>
      <c r="D55" s="284"/>
      <c r="E55" s="284"/>
      <c r="F55" s="284"/>
      <c r="G55" s="284"/>
      <c r="H55" s="284"/>
      <c r="I55" s="284"/>
      <c r="J55" s="284"/>
      <c r="K55" s="284"/>
      <c r="L55" s="284"/>
      <c r="M55" s="284"/>
      <c r="N55" s="284"/>
      <c r="O55" s="284"/>
      <c r="P55" s="284"/>
      <c r="Q55" s="284"/>
      <c r="R55" s="285"/>
    </row>
    <row r="56" spans="1:18" ht="22.15" customHeight="1" thickTop="1" thickBot="1">
      <c r="A56" s="279" t="s">
        <v>6</v>
      </c>
      <c r="B56" s="295"/>
      <c r="C56" s="295"/>
      <c r="D56" s="295"/>
      <c r="E56" s="295"/>
      <c r="F56" s="296"/>
      <c r="G56" s="32">
        <v>46037</v>
      </c>
      <c r="H56" s="278" t="s">
        <v>7</v>
      </c>
      <c r="I56" s="295"/>
      <c r="J56" s="295"/>
      <c r="K56" s="295"/>
      <c r="L56" s="295"/>
      <c r="M56" s="295"/>
      <c r="N56" s="295"/>
      <c r="O56" s="295"/>
      <c r="P56" s="295"/>
      <c r="Q56" s="295"/>
      <c r="R56" s="296"/>
    </row>
    <row r="57" spans="1:18" ht="24" customHeight="1">
      <c r="A57" s="33" t="s">
        <v>8</v>
      </c>
      <c r="B57" s="33" t="s">
        <v>9</v>
      </c>
      <c r="C57" s="34" t="s">
        <v>10</v>
      </c>
      <c r="D57" s="33" t="s">
        <v>11</v>
      </c>
      <c r="E57" s="33" t="s">
        <v>12</v>
      </c>
      <c r="F57" s="35" t="s">
        <v>13</v>
      </c>
      <c r="G57" s="36" t="s">
        <v>14</v>
      </c>
      <c r="H57" s="33" t="s">
        <v>15</v>
      </c>
      <c r="I57" s="37" t="s">
        <v>16</v>
      </c>
      <c r="J57" s="38" t="s">
        <v>17</v>
      </c>
      <c r="K57" s="39" t="s">
        <v>18</v>
      </c>
      <c r="L57" s="38" t="s">
        <v>19</v>
      </c>
      <c r="M57" s="38" t="s">
        <v>20</v>
      </c>
      <c r="N57" s="38" t="s">
        <v>21</v>
      </c>
      <c r="O57" s="33" t="s">
        <v>22</v>
      </c>
      <c r="P57" s="34" t="s">
        <v>23</v>
      </c>
      <c r="Q57" s="38" t="s">
        <v>24</v>
      </c>
      <c r="R57" s="33" t="s">
        <v>25</v>
      </c>
    </row>
    <row r="58" spans="1:18" ht="49.9" customHeight="1">
      <c r="A58" s="8" t="s">
        <v>402</v>
      </c>
      <c r="B58" s="8" t="s">
        <v>1335</v>
      </c>
      <c r="C58" s="9">
        <v>0.33680555555555558</v>
      </c>
      <c r="D58" s="8" t="s">
        <v>63</v>
      </c>
      <c r="E58" s="8" t="s">
        <v>51</v>
      </c>
      <c r="F58" s="8" t="s">
        <v>1345</v>
      </c>
      <c r="G58" s="302"/>
      <c r="H58" s="10"/>
      <c r="I58" s="11"/>
      <c r="J58" s="11"/>
      <c r="K58" s="11"/>
      <c r="L58" s="11"/>
      <c r="M58" s="11"/>
      <c r="N58" s="11"/>
      <c r="O58" s="12"/>
      <c r="P58" s="11"/>
      <c r="Q58" s="13"/>
      <c r="R58" s="14"/>
    </row>
    <row r="59" spans="1:18" ht="49.9" customHeight="1">
      <c r="A59" s="58" t="s">
        <v>61</v>
      </c>
      <c r="B59" s="58" t="s">
        <v>1336</v>
      </c>
      <c r="C59" s="59">
        <v>0.8125</v>
      </c>
      <c r="D59" s="58" t="s">
        <v>63</v>
      </c>
      <c r="E59" s="58" t="s">
        <v>107</v>
      </c>
      <c r="F59" s="58" t="s">
        <v>1346</v>
      </c>
      <c r="G59" s="298"/>
      <c r="H59" s="60" t="s">
        <v>1337</v>
      </c>
      <c r="I59" s="61">
        <v>7.8200000000000006E-2</v>
      </c>
      <c r="J59" s="62">
        <v>14</v>
      </c>
      <c r="K59" s="63">
        <v>46344</v>
      </c>
      <c r="L59" s="62">
        <v>14</v>
      </c>
      <c r="M59" s="62">
        <v>0</v>
      </c>
      <c r="N59" s="62">
        <v>0</v>
      </c>
      <c r="O59" s="64" t="s">
        <v>1119</v>
      </c>
      <c r="P59" s="65">
        <v>0.8125</v>
      </c>
      <c r="Q59" s="62">
        <v>179</v>
      </c>
      <c r="R59" s="66" t="s">
        <v>1347</v>
      </c>
    </row>
    <row r="60" spans="1:18" ht="49.9" customHeight="1">
      <c r="A60" s="19" t="s">
        <v>359</v>
      </c>
      <c r="B60" s="19" t="s">
        <v>1334</v>
      </c>
      <c r="C60" s="20">
        <v>0.98263888888888884</v>
      </c>
      <c r="D60" s="19" t="s">
        <v>361</v>
      </c>
      <c r="E60" s="19" t="s">
        <v>80</v>
      </c>
      <c r="F60" s="19" t="s">
        <v>1348</v>
      </c>
      <c r="G60" s="298"/>
      <c r="H60" s="10"/>
      <c r="I60" s="11"/>
      <c r="J60" s="11"/>
      <c r="K60" s="11"/>
      <c r="L60" s="11"/>
      <c r="M60" s="11"/>
      <c r="N60" s="11"/>
      <c r="O60" s="12"/>
      <c r="P60" s="11"/>
      <c r="Q60" s="13"/>
      <c r="R60" s="14"/>
    </row>
    <row r="61" spans="1:18" ht="49.9" customHeight="1" thickBot="1">
      <c r="A61" s="76" t="s">
        <v>359</v>
      </c>
      <c r="B61" s="76" t="s">
        <v>1334</v>
      </c>
      <c r="C61" s="77">
        <v>0.98263888888888884</v>
      </c>
      <c r="D61" s="76" t="s">
        <v>46</v>
      </c>
      <c r="E61" s="76" t="s">
        <v>82</v>
      </c>
      <c r="F61" s="76" t="s">
        <v>1349</v>
      </c>
      <c r="G61" s="299"/>
      <c r="H61" s="300"/>
      <c r="I61" s="140"/>
      <c r="J61" s="140"/>
      <c r="K61" s="140"/>
      <c r="L61" s="140"/>
      <c r="M61" s="140"/>
      <c r="N61" s="140"/>
      <c r="O61" s="141"/>
      <c r="P61" s="140"/>
      <c r="Q61" s="142"/>
      <c r="R61" s="301"/>
    </row>
    <row r="62" spans="1:18" ht="17.45" customHeight="1" thickBot="1">
      <c r="A62" s="283"/>
      <c r="B62" s="284"/>
      <c r="C62" s="284"/>
      <c r="D62" s="284"/>
      <c r="E62" s="284"/>
      <c r="F62" s="284"/>
      <c r="G62" s="284"/>
      <c r="H62" s="284"/>
      <c r="I62" s="284"/>
      <c r="J62" s="284"/>
      <c r="K62" s="284"/>
      <c r="L62" s="284"/>
      <c r="M62" s="284"/>
      <c r="N62" s="284"/>
      <c r="O62" s="284"/>
      <c r="P62" s="284"/>
      <c r="Q62" s="284"/>
      <c r="R62" s="285"/>
    </row>
    <row r="63" spans="1:18" ht="22.15" customHeight="1" thickTop="1" thickBot="1">
      <c r="A63" s="279" t="s">
        <v>6</v>
      </c>
      <c r="B63" s="295"/>
      <c r="C63" s="295"/>
      <c r="D63" s="295"/>
      <c r="E63" s="295"/>
      <c r="F63" s="296"/>
      <c r="G63" s="32">
        <v>46039</v>
      </c>
      <c r="H63" s="278" t="s">
        <v>7</v>
      </c>
      <c r="I63" s="295"/>
      <c r="J63" s="295"/>
      <c r="K63" s="295"/>
      <c r="L63" s="295"/>
      <c r="M63" s="295"/>
      <c r="N63" s="295"/>
      <c r="O63" s="295"/>
      <c r="P63" s="295"/>
      <c r="Q63" s="295"/>
      <c r="R63" s="296"/>
    </row>
    <row r="64" spans="1:18" ht="24" customHeight="1">
      <c r="A64" s="33" t="s">
        <v>8</v>
      </c>
      <c r="B64" s="33" t="s">
        <v>9</v>
      </c>
      <c r="C64" s="34" t="s">
        <v>10</v>
      </c>
      <c r="D64" s="33" t="s">
        <v>11</v>
      </c>
      <c r="E64" s="33" t="s">
        <v>12</v>
      </c>
      <c r="F64" s="35" t="s">
        <v>13</v>
      </c>
      <c r="G64" s="36" t="s">
        <v>14</v>
      </c>
      <c r="H64" s="33" t="s">
        <v>15</v>
      </c>
      <c r="I64" s="37" t="s">
        <v>16</v>
      </c>
      <c r="J64" s="38" t="s">
        <v>17</v>
      </c>
      <c r="K64" s="39" t="s">
        <v>18</v>
      </c>
      <c r="L64" s="38" t="s">
        <v>19</v>
      </c>
      <c r="M64" s="38" t="s">
        <v>20</v>
      </c>
      <c r="N64" s="38" t="s">
        <v>21</v>
      </c>
      <c r="O64" s="33" t="s">
        <v>22</v>
      </c>
      <c r="P64" s="34" t="s">
        <v>23</v>
      </c>
      <c r="Q64" s="38" t="s">
        <v>24</v>
      </c>
      <c r="R64" s="33" t="s">
        <v>25</v>
      </c>
    </row>
    <row r="65" spans="1:18" ht="49.9" customHeight="1">
      <c r="A65" s="8" t="s">
        <v>402</v>
      </c>
      <c r="B65" s="8" t="s">
        <v>1335</v>
      </c>
      <c r="C65" s="9">
        <v>0.33680555555555558</v>
      </c>
      <c r="D65" s="8" t="s">
        <v>63</v>
      </c>
      <c r="E65" s="8" t="s">
        <v>143</v>
      </c>
      <c r="F65" s="8" t="s">
        <v>1350</v>
      </c>
      <c r="G65" s="297"/>
      <c r="H65" s="10"/>
      <c r="I65" s="11"/>
      <c r="J65" s="11"/>
      <c r="K65" s="11"/>
      <c r="L65" s="11"/>
      <c r="M65" s="11"/>
      <c r="N65" s="11"/>
      <c r="O65" s="12"/>
      <c r="P65" s="11"/>
      <c r="Q65" s="13"/>
      <c r="R65" s="14"/>
    </row>
    <row r="66" spans="1:18" ht="49.9" customHeight="1" thickTop="1" thickBot="1">
      <c r="A66" s="262" t="s">
        <v>61</v>
      </c>
      <c r="B66" s="262" t="s">
        <v>1336</v>
      </c>
      <c r="C66" s="263">
        <v>0.8125</v>
      </c>
      <c r="D66" s="262" t="s">
        <v>63</v>
      </c>
      <c r="E66" s="262" t="s">
        <v>29</v>
      </c>
      <c r="F66" s="262" t="s">
        <v>1351</v>
      </c>
      <c r="G66" s="299"/>
      <c r="H66" s="181" t="s">
        <v>1337</v>
      </c>
      <c r="I66" s="182">
        <v>0.15640000000000001</v>
      </c>
      <c r="J66" s="183">
        <v>28</v>
      </c>
      <c r="K66" s="184">
        <v>46344</v>
      </c>
      <c r="L66" s="183">
        <v>28</v>
      </c>
      <c r="M66" s="183">
        <v>0</v>
      </c>
      <c r="N66" s="183">
        <v>0</v>
      </c>
      <c r="O66" s="185" t="s">
        <v>1169</v>
      </c>
      <c r="P66" s="186">
        <v>0.8125</v>
      </c>
      <c r="Q66" s="183">
        <v>179</v>
      </c>
      <c r="R66" s="187" t="s">
        <v>1352</v>
      </c>
    </row>
    <row r="67" spans="1:18" ht="17.45" customHeight="1" thickBot="1">
      <c r="A67" s="283"/>
      <c r="B67" s="284"/>
      <c r="C67" s="284"/>
      <c r="D67" s="284"/>
      <c r="E67" s="284"/>
      <c r="F67" s="284"/>
      <c r="G67" s="284"/>
      <c r="H67" s="284"/>
      <c r="I67" s="284"/>
      <c r="J67" s="284"/>
      <c r="K67" s="284"/>
      <c r="L67" s="284"/>
      <c r="M67" s="284"/>
      <c r="N67" s="284"/>
      <c r="O67" s="284"/>
      <c r="P67" s="284"/>
      <c r="Q67" s="284"/>
      <c r="R67" s="285"/>
    </row>
    <row r="68" spans="1:18" ht="22.15" customHeight="1" thickTop="1" thickBot="1">
      <c r="A68" s="279" t="s">
        <v>6</v>
      </c>
      <c r="B68" s="295"/>
      <c r="C68" s="295"/>
      <c r="D68" s="295"/>
      <c r="E68" s="295"/>
      <c r="F68" s="296"/>
      <c r="G68" s="32">
        <v>46041</v>
      </c>
      <c r="H68" s="278" t="s">
        <v>7</v>
      </c>
      <c r="I68" s="295"/>
      <c r="J68" s="295"/>
      <c r="K68" s="295"/>
      <c r="L68" s="295"/>
      <c r="M68" s="295"/>
      <c r="N68" s="295"/>
      <c r="O68" s="295"/>
      <c r="P68" s="295"/>
      <c r="Q68" s="295"/>
      <c r="R68" s="296"/>
    </row>
    <row r="69" spans="1:18" ht="24" customHeight="1">
      <c r="A69" s="33" t="s">
        <v>8</v>
      </c>
      <c r="B69" s="33" t="s">
        <v>9</v>
      </c>
      <c r="C69" s="34" t="s">
        <v>10</v>
      </c>
      <c r="D69" s="33" t="s">
        <v>11</v>
      </c>
      <c r="E69" s="33" t="s">
        <v>12</v>
      </c>
      <c r="F69" s="35" t="s">
        <v>13</v>
      </c>
      <c r="G69" s="36" t="s">
        <v>14</v>
      </c>
      <c r="H69" s="33" t="s">
        <v>15</v>
      </c>
      <c r="I69" s="37" t="s">
        <v>16</v>
      </c>
      <c r="J69" s="38" t="s">
        <v>17</v>
      </c>
      <c r="K69" s="39" t="s">
        <v>18</v>
      </c>
      <c r="L69" s="38" t="s">
        <v>19</v>
      </c>
      <c r="M69" s="38" t="s">
        <v>20</v>
      </c>
      <c r="N69" s="38" t="s">
        <v>21</v>
      </c>
      <c r="O69" s="33" t="s">
        <v>22</v>
      </c>
      <c r="P69" s="34" t="s">
        <v>23</v>
      </c>
      <c r="Q69" s="38" t="s">
        <v>24</v>
      </c>
      <c r="R69" s="33" t="s">
        <v>25</v>
      </c>
    </row>
    <row r="70" spans="1:18" ht="49.9" customHeight="1">
      <c r="A70" s="8" t="s">
        <v>359</v>
      </c>
      <c r="B70" s="8" t="s">
        <v>1334</v>
      </c>
      <c r="C70" s="9">
        <v>0.77083333333333337</v>
      </c>
      <c r="D70" s="8" t="s">
        <v>361</v>
      </c>
      <c r="E70" s="8" t="s">
        <v>80</v>
      </c>
      <c r="F70" s="8" t="s">
        <v>1343</v>
      </c>
      <c r="G70" s="297"/>
      <c r="H70" s="10"/>
      <c r="I70" s="11"/>
      <c r="J70" s="11"/>
      <c r="K70" s="11"/>
      <c r="L70" s="11"/>
      <c r="M70" s="11"/>
      <c r="N70" s="11"/>
      <c r="O70" s="12"/>
      <c r="P70" s="11"/>
      <c r="Q70" s="13"/>
      <c r="R70" s="14"/>
    </row>
    <row r="71" spans="1:18" ht="49.9" customHeight="1" thickTop="1" thickBot="1">
      <c r="A71" s="76" t="s">
        <v>359</v>
      </c>
      <c r="B71" s="76" t="s">
        <v>1334</v>
      </c>
      <c r="C71" s="77">
        <v>0.77083333333333337</v>
      </c>
      <c r="D71" s="76" t="s">
        <v>46</v>
      </c>
      <c r="E71" s="76" t="s">
        <v>82</v>
      </c>
      <c r="F71" s="76" t="s">
        <v>1344</v>
      </c>
      <c r="G71" s="299"/>
      <c r="H71" s="300"/>
      <c r="I71" s="140"/>
      <c r="J71" s="140"/>
      <c r="K71" s="140"/>
      <c r="L71" s="140"/>
      <c r="M71" s="140"/>
      <c r="N71" s="140"/>
      <c r="O71" s="141"/>
      <c r="P71" s="140"/>
      <c r="Q71" s="142"/>
      <c r="R71" s="301"/>
    </row>
    <row r="72" spans="1:18" ht="17.45" customHeight="1" thickBot="1">
      <c r="A72" s="283"/>
      <c r="B72" s="284"/>
      <c r="C72" s="284"/>
      <c r="D72" s="284"/>
      <c r="E72" s="284"/>
      <c r="F72" s="284"/>
      <c r="G72" s="284"/>
      <c r="H72" s="284"/>
      <c r="I72" s="284"/>
      <c r="J72" s="284"/>
      <c r="K72" s="284"/>
      <c r="L72" s="284"/>
      <c r="M72" s="284"/>
      <c r="N72" s="284"/>
      <c r="O72" s="284"/>
      <c r="P72" s="284"/>
      <c r="Q72" s="284"/>
      <c r="R72" s="285"/>
    </row>
    <row r="73" spans="1:18" ht="22.15" customHeight="1" thickTop="1" thickBot="1">
      <c r="A73" s="279" t="s">
        <v>6</v>
      </c>
      <c r="B73" s="295"/>
      <c r="C73" s="295"/>
      <c r="D73" s="295"/>
      <c r="E73" s="295"/>
      <c r="F73" s="296"/>
      <c r="G73" s="32">
        <v>46042</v>
      </c>
      <c r="H73" s="278" t="s">
        <v>7</v>
      </c>
      <c r="I73" s="295"/>
      <c r="J73" s="295"/>
      <c r="K73" s="295"/>
      <c r="L73" s="295"/>
      <c r="M73" s="295"/>
      <c r="N73" s="295"/>
      <c r="O73" s="295"/>
      <c r="P73" s="295"/>
      <c r="Q73" s="295"/>
      <c r="R73" s="296"/>
    </row>
    <row r="74" spans="1:18" ht="24" customHeight="1">
      <c r="A74" s="33" t="s">
        <v>8</v>
      </c>
      <c r="B74" s="33" t="s">
        <v>9</v>
      </c>
      <c r="C74" s="34" t="s">
        <v>10</v>
      </c>
      <c r="D74" s="33" t="s">
        <v>11</v>
      </c>
      <c r="E74" s="33" t="s">
        <v>12</v>
      </c>
      <c r="F74" s="35" t="s">
        <v>13</v>
      </c>
      <c r="G74" s="36" t="s">
        <v>14</v>
      </c>
      <c r="H74" s="33" t="s">
        <v>15</v>
      </c>
      <c r="I74" s="37" t="s">
        <v>16</v>
      </c>
      <c r="J74" s="38" t="s">
        <v>17</v>
      </c>
      <c r="K74" s="39" t="s">
        <v>18</v>
      </c>
      <c r="L74" s="38" t="s">
        <v>19</v>
      </c>
      <c r="M74" s="38" t="s">
        <v>20</v>
      </c>
      <c r="N74" s="38" t="s">
        <v>21</v>
      </c>
      <c r="O74" s="33" t="s">
        <v>22</v>
      </c>
      <c r="P74" s="34" t="s">
        <v>23</v>
      </c>
      <c r="Q74" s="38" t="s">
        <v>24</v>
      </c>
      <c r="R74" s="33" t="s">
        <v>25</v>
      </c>
    </row>
    <row r="75" spans="1:18" ht="49.9" customHeight="1" thickTop="1" thickBot="1">
      <c r="A75" s="166" t="s">
        <v>402</v>
      </c>
      <c r="B75" s="166" t="s">
        <v>1335</v>
      </c>
      <c r="C75" s="167">
        <v>0.33680555555555558</v>
      </c>
      <c r="D75" s="166" t="s">
        <v>63</v>
      </c>
      <c r="E75" s="166" t="s">
        <v>51</v>
      </c>
      <c r="F75" s="166" t="s">
        <v>1098</v>
      </c>
      <c r="G75" s="297"/>
      <c r="H75" s="300"/>
      <c r="I75" s="140"/>
      <c r="J75" s="140"/>
      <c r="K75" s="140"/>
      <c r="L75" s="140"/>
      <c r="M75" s="140"/>
      <c r="N75" s="140"/>
      <c r="O75" s="141"/>
      <c r="P75" s="140"/>
      <c r="Q75" s="142"/>
      <c r="R75" s="301"/>
    </row>
    <row r="76" spans="1:18" ht="17.45" customHeight="1" thickBot="1">
      <c r="A76" s="283"/>
      <c r="B76" s="284"/>
      <c r="C76" s="284"/>
      <c r="D76" s="284"/>
      <c r="E76" s="284"/>
      <c r="F76" s="284"/>
      <c r="G76" s="284"/>
      <c r="H76" s="284"/>
      <c r="I76" s="284"/>
      <c r="J76" s="284"/>
      <c r="K76" s="284"/>
      <c r="L76" s="284"/>
      <c r="M76" s="284"/>
      <c r="N76" s="284"/>
      <c r="O76" s="284"/>
      <c r="P76" s="284"/>
      <c r="Q76" s="284"/>
      <c r="R76" s="285"/>
    </row>
    <row r="77" spans="1:18" ht="22.15" customHeight="1" thickTop="1" thickBot="1">
      <c r="A77" s="279" t="s">
        <v>6</v>
      </c>
      <c r="B77" s="295"/>
      <c r="C77" s="295"/>
      <c r="D77" s="295"/>
      <c r="E77" s="295"/>
      <c r="F77" s="296"/>
      <c r="G77" s="32">
        <v>46043</v>
      </c>
      <c r="H77" s="278" t="s">
        <v>7</v>
      </c>
      <c r="I77" s="295"/>
      <c r="J77" s="295"/>
      <c r="K77" s="295"/>
      <c r="L77" s="295"/>
      <c r="M77" s="295"/>
      <c r="N77" s="295"/>
      <c r="O77" s="295"/>
      <c r="P77" s="295"/>
      <c r="Q77" s="295"/>
      <c r="R77" s="296"/>
    </row>
    <row r="78" spans="1:18" ht="24" customHeight="1">
      <c r="A78" s="33" t="s">
        <v>8</v>
      </c>
      <c r="B78" s="33" t="s">
        <v>9</v>
      </c>
      <c r="C78" s="34" t="s">
        <v>10</v>
      </c>
      <c r="D78" s="33" t="s">
        <v>11</v>
      </c>
      <c r="E78" s="33" t="s">
        <v>12</v>
      </c>
      <c r="F78" s="35" t="s">
        <v>13</v>
      </c>
      <c r="G78" s="36" t="s">
        <v>14</v>
      </c>
      <c r="H78" s="33" t="s">
        <v>15</v>
      </c>
      <c r="I78" s="37" t="s">
        <v>16</v>
      </c>
      <c r="J78" s="38" t="s">
        <v>17</v>
      </c>
      <c r="K78" s="39" t="s">
        <v>18</v>
      </c>
      <c r="L78" s="38" t="s">
        <v>19</v>
      </c>
      <c r="M78" s="38" t="s">
        <v>20</v>
      </c>
      <c r="N78" s="38" t="s">
        <v>21</v>
      </c>
      <c r="O78" s="33" t="s">
        <v>22</v>
      </c>
      <c r="P78" s="34" t="s">
        <v>23</v>
      </c>
      <c r="Q78" s="38" t="s">
        <v>24</v>
      </c>
      <c r="R78" s="33" t="s">
        <v>25</v>
      </c>
    </row>
    <row r="79" spans="1:18" ht="49.9" customHeight="1">
      <c r="A79" s="8" t="s">
        <v>359</v>
      </c>
      <c r="B79" s="8" t="s">
        <v>1334</v>
      </c>
      <c r="C79" s="9">
        <v>0.98263888888888884</v>
      </c>
      <c r="D79" s="8" t="s">
        <v>361</v>
      </c>
      <c r="E79" s="8" t="s">
        <v>80</v>
      </c>
      <c r="F79" s="8" t="s">
        <v>1343</v>
      </c>
      <c r="G79" s="297"/>
      <c r="H79" s="10"/>
      <c r="I79" s="11"/>
      <c r="J79" s="11"/>
      <c r="K79" s="11"/>
      <c r="L79" s="11"/>
      <c r="M79" s="11"/>
      <c r="N79" s="11"/>
      <c r="O79" s="12"/>
      <c r="P79" s="11"/>
      <c r="Q79" s="13"/>
      <c r="R79" s="14"/>
    </row>
    <row r="80" spans="1:18" ht="49.9" customHeight="1" thickTop="1" thickBot="1">
      <c r="A80" s="76" t="s">
        <v>359</v>
      </c>
      <c r="B80" s="76" t="s">
        <v>1334</v>
      </c>
      <c r="C80" s="77">
        <v>0.98263888888888884</v>
      </c>
      <c r="D80" s="76" t="s">
        <v>46</v>
      </c>
      <c r="E80" s="76" t="s">
        <v>82</v>
      </c>
      <c r="F80" s="76" t="s">
        <v>1344</v>
      </c>
      <c r="G80" s="299"/>
      <c r="H80" s="300"/>
      <c r="I80" s="140"/>
      <c r="J80" s="140"/>
      <c r="K80" s="140"/>
      <c r="L80" s="140"/>
      <c r="M80" s="140"/>
      <c r="N80" s="140"/>
      <c r="O80" s="141"/>
      <c r="P80" s="140"/>
      <c r="Q80" s="142"/>
      <c r="R80" s="301"/>
    </row>
    <row r="81" spans="1:18" ht="17.45" customHeight="1" thickBot="1">
      <c r="A81" s="283"/>
      <c r="B81" s="284"/>
      <c r="C81" s="284"/>
      <c r="D81" s="284"/>
      <c r="E81" s="284"/>
      <c r="F81" s="284"/>
      <c r="G81" s="284"/>
      <c r="H81" s="284"/>
      <c r="I81" s="284"/>
      <c r="J81" s="284"/>
      <c r="K81" s="284"/>
      <c r="L81" s="284"/>
      <c r="M81" s="284"/>
      <c r="N81" s="284"/>
      <c r="O81" s="284"/>
      <c r="P81" s="284"/>
      <c r="Q81" s="284"/>
      <c r="R81" s="285"/>
    </row>
    <row r="82" spans="1:18" ht="22.15" customHeight="1" thickTop="1" thickBot="1">
      <c r="A82" s="279" t="s">
        <v>6</v>
      </c>
      <c r="B82" s="295"/>
      <c r="C82" s="295"/>
      <c r="D82" s="295"/>
      <c r="E82" s="295"/>
      <c r="F82" s="296"/>
      <c r="G82" s="32">
        <v>46044</v>
      </c>
      <c r="H82" s="278" t="s">
        <v>7</v>
      </c>
      <c r="I82" s="295"/>
      <c r="J82" s="295"/>
      <c r="K82" s="295"/>
      <c r="L82" s="295"/>
      <c r="M82" s="295"/>
      <c r="N82" s="295"/>
      <c r="O82" s="295"/>
      <c r="P82" s="295"/>
      <c r="Q82" s="295"/>
      <c r="R82" s="296"/>
    </row>
    <row r="83" spans="1:18" ht="24" customHeight="1">
      <c r="A83" s="33" t="s">
        <v>8</v>
      </c>
      <c r="B83" s="33" t="s">
        <v>9</v>
      </c>
      <c r="C83" s="34" t="s">
        <v>10</v>
      </c>
      <c r="D83" s="33" t="s">
        <v>11</v>
      </c>
      <c r="E83" s="33" t="s">
        <v>12</v>
      </c>
      <c r="F83" s="35" t="s">
        <v>13</v>
      </c>
      <c r="G83" s="36" t="s">
        <v>14</v>
      </c>
      <c r="H83" s="33" t="s">
        <v>15</v>
      </c>
      <c r="I83" s="37" t="s">
        <v>16</v>
      </c>
      <c r="J83" s="38" t="s">
        <v>17</v>
      </c>
      <c r="K83" s="39" t="s">
        <v>18</v>
      </c>
      <c r="L83" s="38" t="s">
        <v>19</v>
      </c>
      <c r="M83" s="38" t="s">
        <v>20</v>
      </c>
      <c r="N83" s="38" t="s">
        <v>21</v>
      </c>
      <c r="O83" s="33" t="s">
        <v>22</v>
      </c>
      <c r="P83" s="34" t="s">
        <v>23</v>
      </c>
      <c r="Q83" s="38" t="s">
        <v>24</v>
      </c>
      <c r="R83" s="33" t="s">
        <v>25</v>
      </c>
    </row>
    <row r="84" spans="1:18" ht="49.9" customHeight="1">
      <c r="A84" s="87" t="s">
        <v>61</v>
      </c>
      <c r="B84" s="87" t="s">
        <v>1336</v>
      </c>
      <c r="C84" s="88">
        <v>0.8125</v>
      </c>
      <c r="D84" s="87" t="s">
        <v>63</v>
      </c>
      <c r="E84" s="87" t="s">
        <v>177</v>
      </c>
      <c r="F84" s="87" t="s">
        <v>1353</v>
      </c>
      <c r="G84" s="297"/>
      <c r="H84" s="89" t="s">
        <v>1337</v>
      </c>
      <c r="I84" s="90">
        <v>4.4699999999999997E-2</v>
      </c>
      <c r="J84" s="91">
        <v>8</v>
      </c>
      <c r="K84" s="92">
        <v>46344</v>
      </c>
      <c r="L84" s="91">
        <v>8</v>
      </c>
      <c r="M84" s="91">
        <v>0</v>
      </c>
      <c r="N84" s="91">
        <v>0</v>
      </c>
      <c r="O84" s="93" t="s">
        <v>1029</v>
      </c>
      <c r="P84" s="94">
        <v>0.8125</v>
      </c>
      <c r="Q84" s="91">
        <v>179</v>
      </c>
      <c r="R84" s="95" t="s">
        <v>1354</v>
      </c>
    </row>
    <row r="85" spans="1:18" ht="49.9" customHeight="1">
      <c r="A85" s="19" t="s">
        <v>359</v>
      </c>
      <c r="B85" s="19" t="s">
        <v>1334</v>
      </c>
      <c r="C85" s="20">
        <v>0.98263888888888884</v>
      </c>
      <c r="D85" s="19" t="s">
        <v>361</v>
      </c>
      <c r="E85" s="19" t="s">
        <v>80</v>
      </c>
      <c r="F85" s="19" t="s">
        <v>1343</v>
      </c>
      <c r="G85" s="298"/>
      <c r="H85" s="10"/>
      <c r="I85" s="11"/>
      <c r="J85" s="11"/>
      <c r="K85" s="11"/>
      <c r="L85" s="11"/>
      <c r="M85" s="11"/>
      <c r="N85" s="11"/>
      <c r="O85" s="12"/>
      <c r="P85" s="11"/>
      <c r="Q85" s="13"/>
      <c r="R85" s="14"/>
    </row>
    <row r="86" spans="1:18" ht="49.9" customHeight="1">
      <c r="A86" s="15" t="s">
        <v>359</v>
      </c>
      <c r="B86" s="15" t="s">
        <v>1334</v>
      </c>
      <c r="C86" s="16">
        <v>0.98263888888888884</v>
      </c>
      <c r="D86" s="15" t="s">
        <v>46</v>
      </c>
      <c r="E86" s="15" t="s">
        <v>82</v>
      </c>
      <c r="F86" s="15" t="s">
        <v>1344</v>
      </c>
      <c r="G86" s="298"/>
      <c r="H86" s="10"/>
      <c r="I86" s="11"/>
      <c r="J86" s="11"/>
      <c r="K86" s="11"/>
      <c r="L86" s="11"/>
      <c r="M86" s="11"/>
      <c r="N86" s="11"/>
      <c r="O86" s="12"/>
      <c r="P86" s="11"/>
      <c r="Q86" s="13"/>
      <c r="R86" s="14"/>
    </row>
    <row r="87" spans="1:18" ht="49.9" customHeight="1" thickBot="1">
      <c r="A87" s="96" t="s">
        <v>402</v>
      </c>
      <c r="B87" s="96" t="s">
        <v>1335</v>
      </c>
      <c r="C87" s="97">
        <v>0.33680555555555558</v>
      </c>
      <c r="D87" s="96" t="s">
        <v>63</v>
      </c>
      <c r="E87" s="96" t="s">
        <v>51</v>
      </c>
      <c r="F87" s="96" t="s">
        <v>1098</v>
      </c>
      <c r="G87" s="299"/>
      <c r="H87" s="300"/>
      <c r="I87" s="140"/>
      <c r="J87" s="140"/>
      <c r="K87" s="140"/>
      <c r="L87" s="140"/>
      <c r="M87" s="140"/>
      <c r="N87" s="140"/>
      <c r="O87" s="141"/>
      <c r="P87" s="140"/>
      <c r="Q87" s="142"/>
      <c r="R87" s="301"/>
    </row>
    <row r="88" spans="1:18" ht="17.45" customHeight="1" thickBot="1">
      <c r="A88" s="283"/>
      <c r="B88" s="284"/>
      <c r="C88" s="284"/>
      <c r="D88" s="284"/>
      <c r="E88" s="284"/>
      <c r="F88" s="284"/>
      <c r="G88" s="284"/>
      <c r="H88" s="284"/>
      <c r="I88" s="284"/>
      <c r="J88" s="284"/>
      <c r="K88" s="284"/>
      <c r="L88" s="284"/>
      <c r="M88" s="284"/>
      <c r="N88" s="284"/>
      <c r="O88" s="284"/>
      <c r="P88" s="284"/>
      <c r="Q88" s="284"/>
      <c r="R88" s="285"/>
    </row>
    <row r="89" spans="1:18" ht="22.15" customHeight="1" thickTop="1" thickBot="1">
      <c r="A89" s="279" t="s">
        <v>6</v>
      </c>
      <c r="B89" s="295"/>
      <c r="C89" s="295"/>
      <c r="D89" s="295"/>
      <c r="E89" s="295"/>
      <c r="F89" s="296"/>
      <c r="G89" s="32">
        <v>46046</v>
      </c>
      <c r="H89" s="278" t="s">
        <v>7</v>
      </c>
      <c r="I89" s="295"/>
      <c r="J89" s="295"/>
      <c r="K89" s="295"/>
      <c r="L89" s="295"/>
      <c r="M89" s="295"/>
      <c r="N89" s="295"/>
      <c r="O89" s="295"/>
      <c r="P89" s="295"/>
      <c r="Q89" s="295"/>
      <c r="R89" s="296"/>
    </row>
    <row r="90" spans="1:18" ht="24" customHeight="1">
      <c r="A90" s="33" t="s">
        <v>8</v>
      </c>
      <c r="B90" s="33" t="s">
        <v>9</v>
      </c>
      <c r="C90" s="34" t="s">
        <v>10</v>
      </c>
      <c r="D90" s="33" t="s">
        <v>11</v>
      </c>
      <c r="E90" s="33" t="s">
        <v>12</v>
      </c>
      <c r="F90" s="35" t="s">
        <v>13</v>
      </c>
      <c r="G90" s="36" t="s">
        <v>14</v>
      </c>
      <c r="H90" s="33" t="s">
        <v>15</v>
      </c>
      <c r="I90" s="37" t="s">
        <v>16</v>
      </c>
      <c r="J90" s="38" t="s">
        <v>17</v>
      </c>
      <c r="K90" s="39" t="s">
        <v>18</v>
      </c>
      <c r="L90" s="38" t="s">
        <v>19</v>
      </c>
      <c r="M90" s="38" t="s">
        <v>20</v>
      </c>
      <c r="N90" s="38" t="s">
        <v>21</v>
      </c>
      <c r="O90" s="33" t="s">
        <v>22</v>
      </c>
      <c r="P90" s="34" t="s">
        <v>23</v>
      </c>
      <c r="Q90" s="38" t="s">
        <v>24</v>
      </c>
      <c r="R90" s="33" t="s">
        <v>25</v>
      </c>
    </row>
    <row r="91" spans="1:18" ht="49.9" customHeight="1">
      <c r="A91" s="8" t="s">
        <v>402</v>
      </c>
      <c r="B91" s="8" t="s">
        <v>1335</v>
      </c>
      <c r="C91" s="9">
        <v>0.33680555555555558</v>
      </c>
      <c r="D91" s="8" t="s">
        <v>63</v>
      </c>
      <c r="E91" s="8" t="s">
        <v>177</v>
      </c>
      <c r="F91" s="8" t="s">
        <v>1355</v>
      </c>
      <c r="G91" s="297"/>
      <c r="H91" s="10"/>
      <c r="I91" s="11"/>
      <c r="J91" s="11"/>
      <c r="K91" s="11"/>
      <c r="L91" s="11"/>
      <c r="M91" s="11"/>
      <c r="N91" s="11"/>
      <c r="O91" s="12"/>
      <c r="P91" s="11"/>
      <c r="Q91" s="13"/>
      <c r="R91" s="14"/>
    </row>
    <row r="92" spans="1:18" ht="49.9" customHeight="1" thickTop="1" thickBot="1">
      <c r="A92" s="256" t="s">
        <v>61</v>
      </c>
      <c r="B92" s="256" t="s">
        <v>1336</v>
      </c>
      <c r="C92" s="257">
        <v>0.8125</v>
      </c>
      <c r="D92" s="256" t="s">
        <v>63</v>
      </c>
      <c r="E92" s="256" t="s">
        <v>29</v>
      </c>
      <c r="F92" s="256" t="s">
        <v>1356</v>
      </c>
      <c r="G92" s="299"/>
      <c r="H92" s="169" t="s">
        <v>1337</v>
      </c>
      <c r="I92" s="170">
        <v>5.5999999999999999E-3</v>
      </c>
      <c r="J92" s="171">
        <v>1</v>
      </c>
      <c r="K92" s="172">
        <v>46325</v>
      </c>
      <c r="L92" s="171">
        <v>1</v>
      </c>
      <c r="M92" s="171">
        <v>0</v>
      </c>
      <c r="N92" s="171">
        <v>0</v>
      </c>
      <c r="O92" s="173" t="s">
        <v>587</v>
      </c>
      <c r="P92" s="174">
        <v>0.8125</v>
      </c>
      <c r="Q92" s="171">
        <v>179</v>
      </c>
      <c r="R92" s="175" t="s">
        <v>686</v>
      </c>
    </row>
    <row r="93" spans="1:18" ht="17.45" customHeight="1" thickBot="1">
      <c r="A93" s="283"/>
      <c r="B93" s="284"/>
      <c r="C93" s="284"/>
      <c r="D93" s="284"/>
      <c r="E93" s="284"/>
      <c r="F93" s="284"/>
      <c r="G93" s="284"/>
      <c r="H93" s="284"/>
      <c r="I93" s="284"/>
      <c r="J93" s="284"/>
      <c r="K93" s="284"/>
      <c r="L93" s="284"/>
      <c r="M93" s="284"/>
      <c r="N93" s="284"/>
      <c r="O93" s="284"/>
      <c r="P93" s="284"/>
      <c r="Q93" s="284"/>
      <c r="R93" s="285"/>
    </row>
    <row r="94" spans="1:18" ht="22.15" customHeight="1" thickTop="1" thickBot="1">
      <c r="A94" s="279" t="s">
        <v>6</v>
      </c>
      <c r="B94" s="295"/>
      <c r="C94" s="295"/>
      <c r="D94" s="295"/>
      <c r="E94" s="295"/>
      <c r="F94" s="296"/>
      <c r="G94" s="32">
        <v>46048</v>
      </c>
      <c r="H94" s="278" t="s">
        <v>7</v>
      </c>
      <c r="I94" s="295"/>
      <c r="J94" s="295"/>
      <c r="K94" s="295"/>
      <c r="L94" s="295"/>
      <c r="M94" s="295"/>
      <c r="N94" s="295"/>
      <c r="O94" s="295"/>
      <c r="P94" s="295"/>
      <c r="Q94" s="295"/>
      <c r="R94" s="296"/>
    </row>
    <row r="95" spans="1:18" ht="24" customHeight="1">
      <c r="A95" s="33" t="s">
        <v>8</v>
      </c>
      <c r="B95" s="33" t="s">
        <v>9</v>
      </c>
      <c r="C95" s="34" t="s">
        <v>10</v>
      </c>
      <c r="D95" s="33" t="s">
        <v>11</v>
      </c>
      <c r="E95" s="33" t="s">
        <v>12</v>
      </c>
      <c r="F95" s="35" t="s">
        <v>13</v>
      </c>
      <c r="G95" s="36" t="s">
        <v>14</v>
      </c>
      <c r="H95" s="33" t="s">
        <v>15</v>
      </c>
      <c r="I95" s="37" t="s">
        <v>16</v>
      </c>
      <c r="J95" s="38" t="s">
        <v>17</v>
      </c>
      <c r="K95" s="39" t="s">
        <v>18</v>
      </c>
      <c r="L95" s="38" t="s">
        <v>19</v>
      </c>
      <c r="M95" s="38" t="s">
        <v>20</v>
      </c>
      <c r="N95" s="38" t="s">
        <v>21</v>
      </c>
      <c r="O95" s="33" t="s">
        <v>22</v>
      </c>
      <c r="P95" s="34" t="s">
        <v>23</v>
      </c>
      <c r="Q95" s="38" t="s">
        <v>24</v>
      </c>
      <c r="R95" s="33" t="s">
        <v>25</v>
      </c>
    </row>
    <row r="96" spans="1:18" ht="49.9" customHeight="1">
      <c r="A96" s="8" t="s">
        <v>359</v>
      </c>
      <c r="B96" s="8" t="s">
        <v>1334</v>
      </c>
      <c r="C96" s="9">
        <v>0.77083333333333337</v>
      </c>
      <c r="D96" s="8" t="s">
        <v>361</v>
      </c>
      <c r="E96" s="8" t="s">
        <v>80</v>
      </c>
      <c r="F96" s="8" t="s">
        <v>1343</v>
      </c>
      <c r="G96" s="302"/>
      <c r="H96" s="10"/>
      <c r="I96" s="11"/>
      <c r="J96" s="11"/>
      <c r="K96" s="11"/>
      <c r="L96" s="11"/>
      <c r="M96" s="11"/>
      <c r="N96" s="11"/>
      <c r="O96" s="12"/>
      <c r="P96" s="11"/>
      <c r="Q96" s="13"/>
      <c r="R96" s="14"/>
    </row>
    <row r="97" spans="1:18" ht="49.9" customHeight="1" thickTop="1" thickBot="1">
      <c r="A97" s="76" t="s">
        <v>359</v>
      </c>
      <c r="B97" s="76" t="s">
        <v>1334</v>
      </c>
      <c r="C97" s="77">
        <v>0.77083333333333337</v>
      </c>
      <c r="D97" s="76" t="s">
        <v>46</v>
      </c>
      <c r="E97" s="76" t="s">
        <v>82</v>
      </c>
      <c r="F97" s="76" t="s">
        <v>1344</v>
      </c>
      <c r="G97" s="299"/>
      <c r="H97" s="300"/>
      <c r="I97" s="140"/>
      <c r="J97" s="140"/>
      <c r="K97" s="140"/>
      <c r="L97" s="140"/>
      <c r="M97" s="140"/>
      <c r="N97" s="140"/>
      <c r="O97" s="141"/>
      <c r="P97" s="140"/>
      <c r="Q97" s="142"/>
      <c r="R97" s="301"/>
    </row>
    <row r="98" spans="1:18" ht="17.45" customHeight="1" thickBot="1">
      <c r="A98" s="283"/>
      <c r="B98" s="284"/>
      <c r="C98" s="284"/>
      <c r="D98" s="284"/>
      <c r="E98" s="284"/>
      <c r="F98" s="284"/>
      <c r="G98" s="284"/>
      <c r="H98" s="284"/>
      <c r="I98" s="284"/>
      <c r="J98" s="284"/>
      <c r="K98" s="284"/>
      <c r="L98" s="284"/>
      <c r="M98" s="284"/>
      <c r="N98" s="284"/>
      <c r="O98" s="284"/>
      <c r="P98" s="284"/>
      <c r="Q98" s="284"/>
      <c r="R98" s="285"/>
    </row>
    <row r="99" spans="1:18" ht="22.15" customHeight="1" thickTop="1" thickBot="1">
      <c r="A99" s="279" t="s">
        <v>6</v>
      </c>
      <c r="B99" s="295"/>
      <c r="C99" s="295"/>
      <c r="D99" s="295"/>
      <c r="E99" s="295"/>
      <c r="F99" s="296"/>
      <c r="G99" s="32">
        <v>46049</v>
      </c>
      <c r="H99" s="278" t="s">
        <v>7</v>
      </c>
      <c r="I99" s="295"/>
      <c r="J99" s="295"/>
      <c r="K99" s="295"/>
      <c r="L99" s="295"/>
      <c r="M99" s="295"/>
      <c r="N99" s="295"/>
      <c r="O99" s="295"/>
      <c r="P99" s="295"/>
      <c r="Q99" s="295"/>
      <c r="R99" s="296"/>
    </row>
    <row r="100" spans="1:18" ht="24" customHeight="1">
      <c r="A100" s="33" t="s">
        <v>8</v>
      </c>
      <c r="B100" s="33" t="s">
        <v>9</v>
      </c>
      <c r="C100" s="34" t="s">
        <v>10</v>
      </c>
      <c r="D100" s="33" t="s">
        <v>11</v>
      </c>
      <c r="E100" s="33" t="s">
        <v>12</v>
      </c>
      <c r="F100" s="35" t="s">
        <v>13</v>
      </c>
      <c r="G100" s="36" t="s">
        <v>14</v>
      </c>
      <c r="H100" s="33" t="s">
        <v>15</v>
      </c>
      <c r="I100" s="37" t="s">
        <v>16</v>
      </c>
      <c r="J100" s="38" t="s">
        <v>17</v>
      </c>
      <c r="K100" s="39" t="s">
        <v>18</v>
      </c>
      <c r="L100" s="38" t="s">
        <v>19</v>
      </c>
      <c r="M100" s="38" t="s">
        <v>20</v>
      </c>
      <c r="N100" s="38" t="s">
        <v>21</v>
      </c>
      <c r="O100" s="33" t="s">
        <v>22</v>
      </c>
      <c r="P100" s="34" t="s">
        <v>23</v>
      </c>
      <c r="Q100" s="38" t="s">
        <v>24</v>
      </c>
      <c r="R100" s="33" t="s">
        <v>25</v>
      </c>
    </row>
    <row r="101" spans="1:18" ht="49.9" customHeight="1" thickTop="1" thickBot="1">
      <c r="A101" s="166" t="s">
        <v>402</v>
      </c>
      <c r="B101" s="166" t="s">
        <v>1335</v>
      </c>
      <c r="C101" s="167">
        <v>0.33680555555555558</v>
      </c>
      <c r="D101" s="166" t="s">
        <v>63</v>
      </c>
      <c r="E101" s="166" t="s">
        <v>126</v>
      </c>
      <c r="F101" s="166" t="s">
        <v>671</v>
      </c>
      <c r="G101" s="302"/>
      <c r="H101" s="300"/>
      <c r="I101" s="140"/>
      <c r="J101" s="140"/>
      <c r="K101" s="140"/>
      <c r="L101" s="140"/>
      <c r="M101" s="140"/>
      <c r="N101" s="140"/>
      <c r="O101" s="141"/>
      <c r="P101" s="140"/>
      <c r="Q101" s="142"/>
      <c r="R101" s="301"/>
    </row>
    <row r="102" spans="1:18" ht="17.45" customHeight="1" thickBot="1">
      <c r="A102" s="283"/>
      <c r="B102" s="284"/>
      <c r="C102" s="284"/>
      <c r="D102" s="284"/>
      <c r="E102" s="284"/>
      <c r="F102" s="284"/>
      <c r="G102" s="284"/>
      <c r="H102" s="284"/>
      <c r="I102" s="284"/>
      <c r="J102" s="284"/>
      <c r="K102" s="284"/>
      <c r="L102" s="284"/>
      <c r="M102" s="284"/>
      <c r="N102" s="284"/>
      <c r="O102" s="284"/>
      <c r="P102" s="284"/>
      <c r="Q102" s="284"/>
      <c r="R102" s="285"/>
    </row>
    <row r="103" spans="1:18" ht="22.15" customHeight="1" thickTop="1" thickBot="1">
      <c r="A103" s="279" t="s">
        <v>6</v>
      </c>
      <c r="B103" s="295"/>
      <c r="C103" s="295"/>
      <c r="D103" s="295"/>
      <c r="E103" s="295"/>
      <c r="F103" s="296"/>
      <c r="G103" s="32">
        <v>46050</v>
      </c>
      <c r="H103" s="278" t="s">
        <v>7</v>
      </c>
      <c r="I103" s="295"/>
      <c r="J103" s="295"/>
      <c r="K103" s="295"/>
      <c r="L103" s="295"/>
      <c r="M103" s="295"/>
      <c r="N103" s="295"/>
      <c r="O103" s="295"/>
      <c r="P103" s="295"/>
      <c r="Q103" s="295"/>
      <c r="R103" s="296"/>
    </row>
    <row r="104" spans="1:18" ht="24" customHeight="1">
      <c r="A104" s="33" t="s">
        <v>8</v>
      </c>
      <c r="B104" s="33" t="s">
        <v>9</v>
      </c>
      <c r="C104" s="34" t="s">
        <v>10</v>
      </c>
      <c r="D104" s="33" t="s">
        <v>11</v>
      </c>
      <c r="E104" s="33" t="s">
        <v>12</v>
      </c>
      <c r="F104" s="35" t="s">
        <v>13</v>
      </c>
      <c r="G104" s="36" t="s">
        <v>14</v>
      </c>
      <c r="H104" s="33" t="s">
        <v>15</v>
      </c>
      <c r="I104" s="37" t="s">
        <v>16</v>
      </c>
      <c r="J104" s="38" t="s">
        <v>17</v>
      </c>
      <c r="K104" s="39" t="s">
        <v>18</v>
      </c>
      <c r="L104" s="38" t="s">
        <v>19</v>
      </c>
      <c r="M104" s="38" t="s">
        <v>20</v>
      </c>
      <c r="N104" s="38" t="s">
        <v>21</v>
      </c>
      <c r="O104" s="33" t="s">
        <v>22</v>
      </c>
      <c r="P104" s="34" t="s">
        <v>23</v>
      </c>
      <c r="Q104" s="38" t="s">
        <v>24</v>
      </c>
      <c r="R104" s="33" t="s">
        <v>25</v>
      </c>
    </row>
    <row r="105" spans="1:18" ht="49.9" customHeight="1">
      <c r="A105" s="8" t="s">
        <v>359</v>
      </c>
      <c r="B105" s="8" t="s">
        <v>1334</v>
      </c>
      <c r="C105" s="9">
        <v>0.98263888888888884</v>
      </c>
      <c r="D105" s="8" t="s">
        <v>361</v>
      </c>
      <c r="E105" s="8" t="s">
        <v>80</v>
      </c>
      <c r="F105" s="8" t="s">
        <v>1343</v>
      </c>
      <c r="G105" s="297"/>
      <c r="H105" s="10"/>
      <c r="I105" s="11"/>
      <c r="J105" s="11"/>
      <c r="K105" s="11"/>
      <c r="L105" s="11"/>
      <c r="M105" s="11"/>
      <c r="N105" s="11"/>
      <c r="O105" s="12"/>
      <c r="P105" s="11"/>
      <c r="Q105" s="13"/>
      <c r="R105" s="14"/>
    </row>
    <row r="106" spans="1:18" ht="49.9" customHeight="1" thickTop="1" thickBot="1">
      <c r="A106" s="76" t="s">
        <v>359</v>
      </c>
      <c r="B106" s="76" t="s">
        <v>1334</v>
      </c>
      <c r="C106" s="77">
        <v>0.98263888888888884</v>
      </c>
      <c r="D106" s="76" t="s">
        <v>46</v>
      </c>
      <c r="E106" s="76" t="s">
        <v>82</v>
      </c>
      <c r="F106" s="76" t="s">
        <v>1344</v>
      </c>
      <c r="G106" s="299"/>
      <c r="H106" s="300"/>
      <c r="I106" s="140"/>
      <c r="J106" s="140"/>
      <c r="K106" s="140"/>
      <c r="L106" s="140"/>
      <c r="M106" s="140"/>
      <c r="N106" s="140"/>
      <c r="O106" s="141"/>
      <c r="P106" s="140"/>
      <c r="Q106" s="142"/>
      <c r="R106" s="301"/>
    </row>
    <row r="107" spans="1:18" ht="17.45" customHeight="1" thickBot="1">
      <c r="A107" s="283"/>
      <c r="B107" s="284"/>
      <c r="C107" s="284"/>
      <c r="D107" s="284"/>
      <c r="E107" s="284"/>
      <c r="F107" s="284"/>
      <c r="G107" s="284"/>
      <c r="H107" s="284"/>
      <c r="I107" s="284"/>
      <c r="J107" s="284"/>
      <c r="K107" s="284"/>
      <c r="L107" s="284"/>
      <c r="M107" s="284"/>
      <c r="N107" s="284"/>
      <c r="O107" s="284"/>
      <c r="P107" s="284"/>
      <c r="Q107" s="284"/>
      <c r="R107" s="285"/>
    </row>
    <row r="108" spans="1:18" ht="22.15" customHeight="1" thickTop="1" thickBot="1">
      <c r="A108" s="279" t="s">
        <v>6</v>
      </c>
      <c r="B108" s="295"/>
      <c r="C108" s="295"/>
      <c r="D108" s="295"/>
      <c r="E108" s="295"/>
      <c r="F108" s="296"/>
      <c r="G108" s="32">
        <v>46051</v>
      </c>
      <c r="H108" s="278" t="s">
        <v>7</v>
      </c>
      <c r="I108" s="295"/>
      <c r="J108" s="295"/>
      <c r="K108" s="295"/>
      <c r="L108" s="295"/>
      <c r="M108" s="295"/>
      <c r="N108" s="295"/>
      <c r="O108" s="295"/>
      <c r="P108" s="295"/>
      <c r="Q108" s="295"/>
      <c r="R108" s="296"/>
    </row>
    <row r="109" spans="1:18" ht="24" customHeight="1">
      <c r="A109" s="33" t="s">
        <v>8</v>
      </c>
      <c r="B109" s="33" t="s">
        <v>9</v>
      </c>
      <c r="C109" s="34" t="s">
        <v>10</v>
      </c>
      <c r="D109" s="33" t="s">
        <v>11</v>
      </c>
      <c r="E109" s="33" t="s">
        <v>12</v>
      </c>
      <c r="F109" s="35" t="s">
        <v>13</v>
      </c>
      <c r="G109" s="36" t="s">
        <v>14</v>
      </c>
      <c r="H109" s="33" t="s">
        <v>15</v>
      </c>
      <c r="I109" s="37" t="s">
        <v>16</v>
      </c>
      <c r="J109" s="38" t="s">
        <v>17</v>
      </c>
      <c r="K109" s="39" t="s">
        <v>18</v>
      </c>
      <c r="L109" s="38" t="s">
        <v>19</v>
      </c>
      <c r="M109" s="38" t="s">
        <v>20</v>
      </c>
      <c r="N109" s="38" t="s">
        <v>21</v>
      </c>
      <c r="O109" s="33" t="s">
        <v>22</v>
      </c>
      <c r="P109" s="34" t="s">
        <v>23</v>
      </c>
      <c r="Q109" s="38" t="s">
        <v>24</v>
      </c>
      <c r="R109" s="33" t="s">
        <v>25</v>
      </c>
    </row>
    <row r="110" spans="1:18" ht="49.9" customHeight="1">
      <c r="A110" s="40" t="s">
        <v>61</v>
      </c>
      <c r="B110" s="40" t="s">
        <v>1336</v>
      </c>
      <c r="C110" s="41">
        <v>0.8125</v>
      </c>
      <c r="D110" s="40" t="s">
        <v>63</v>
      </c>
      <c r="E110" s="40" t="s">
        <v>107</v>
      </c>
      <c r="F110" s="40" t="s">
        <v>138</v>
      </c>
      <c r="G110" s="302"/>
      <c r="H110" s="42" t="s">
        <v>1337</v>
      </c>
      <c r="I110" s="43">
        <v>0</v>
      </c>
      <c r="J110" s="44">
        <v>0</v>
      </c>
      <c r="K110" s="45" t="s">
        <v>66</v>
      </c>
      <c r="L110" s="44">
        <v>0</v>
      </c>
      <c r="M110" s="44">
        <v>0</v>
      </c>
      <c r="N110" s="44">
        <v>0</v>
      </c>
      <c r="O110" s="46" t="s">
        <v>918</v>
      </c>
      <c r="P110" s="47">
        <v>0.8125</v>
      </c>
      <c r="Q110" s="44">
        <v>179</v>
      </c>
      <c r="R110" s="48" t="s">
        <v>66</v>
      </c>
    </row>
    <row r="111" spans="1:18" ht="49.9" customHeight="1">
      <c r="A111" s="19" t="s">
        <v>402</v>
      </c>
      <c r="B111" s="19" t="s">
        <v>1335</v>
      </c>
      <c r="C111" s="20">
        <v>0.33680555555555558</v>
      </c>
      <c r="D111" s="19" t="s">
        <v>63</v>
      </c>
      <c r="E111" s="19" t="s">
        <v>126</v>
      </c>
      <c r="F111" s="19" t="s">
        <v>671</v>
      </c>
      <c r="G111" s="298"/>
      <c r="H111" s="10"/>
      <c r="I111" s="11"/>
      <c r="J111" s="11"/>
      <c r="K111" s="11"/>
      <c r="L111" s="11"/>
      <c r="M111" s="11"/>
      <c r="N111" s="11"/>
      <c r="O111" s="12"/>
      <c r="P111" s="11"/>
      <c r="Q111" s="13"/>
      <c r="R111" s="14"/>
    </row>
    <row r="112" spans="1:18" ht="49.9" customHeight="1">
      <c r="A112" s="19" t="s">
        <v>359</v>
      </c>
      <c r="B112" s="19" t="s">
        <v>1334</v>
      </c>
      <c r="C112" s="20">
        <v>0.98263888888888884</v>
      </c>
      <c r="D112" s="19" t="s">
        <v>361</v>
      </c>
      <c r="E112" s="19" t="s">
        <v>80</v>
      </c>
      <c r="F112" s="19" t="s">
        <v>1343</v>
      </c>
      <c r="G112" s="298"/>
      <c r="H112" s="10"/>
      <c r="I112" s="11"/>
      <c r="J112" s="11"/>
      <c r="K112" s="11"/>
      <c r="L112" s="11"/>
      <c r="M112" s="11"/>
      <c r="N112" s="11"/>
      <c r="O112" s="12"/>
      <c r="P112" s="11"/>
      <c r="Q112" s="13"/>
      <c r="R112" s="14"/>
    </row>
    <row r="113" spans="1:18" ht="49.9" customHeight="1" thickBot="1">
      <c r="A113" s="76" t="s">
        <v>359</v>
      </c>
      <c r="B113" s="76" t="s">
        <v>1334</v>
      </c>
      <c r="C113" s="77">
        <v>0.98263888888888884</v>
      </c>
      <c r="D113" s="76" t="s">
        <v>46</v>
      </c>
      <c r="E113" s="76" t="s">
        <v>82</v>
      </c>
      <c r="F113" s="76" t="s">
        <v>1344</v>
      </c>
      <c r="G113" s="299"/>
      <c r="H113" s="300"/>
      <c r="I113" s="140"/>
      <c r="J113" s="140"/>
      <c r="K113" s="140"/>
      <c r="L113" s="140"/>
      <c r="M113" s="140"/>
      <c r="N113" s="140"/>
      <c r="O113" s="141"/>
      <c r="P113" s="140"/>
      <c r="Q113" s="142"/>
      <c r="R113" s="301"/>
    </row>
    <row r="114" spans="1:18" ht="17.45" customHeight="1" thickBot="1">
      <c r="A114" s="283"/>
      <c r="B114" s="284"/>
      <c r="C114" s="284"/>
      <c r="D114" s="284"/>
      <c r="E114" s="284"/>
      <c r="F114" s="284"/>
      <c r="G114" s="284"/>
      <c r="H114" s="284"/>
      <c r="I114" s="284"/>
      <c r="J114" s="284"/>
      <c r="K114" s="284"/>
      <c r="L114" s="284"/>
      <c r="M114" s="284"/>
      <c r="N114" s="284"/>
      <c r="O114" s="284"/>
      <c r="P114" s="284"/>
      <c r="Q114" s="284"/>
      <c r="R114" s="285"/>
    </row>
    <row r="115" spans="1:18" ht="22.15" customHeight="1" thickTop="1" thickBot="1">
      <c r="A115" s="279" t="s">
        <v>6</v>
      </c>
      <c r="B115" s="295"/>
      <c r="C115" s="295"/>
      <c r="D115" s="295"/>
      <c r="E115" s="295"/>
      <c r="F115" s="296"/>
      <c r="G115" s="32">
        <v>46053</v>
      </c>
      <c r="H115" s="278" t="s">
        <v>7</v>
      </c>
      <c r="I115" s="295"/>
      <c r="J115" s="295"/>
      <c r="K115" s="295"/>
      <c r="L115" s="295"/>
      <c r="M115" s="295"/>
      <c r="N115" s="295"/>
      <c r="O115" s="295"/>
      <c r="P115" s="295"/>
      <c r="Q115" s="295"/>
      <c r="R115" s="296"/>
    </row>
    <row r="116" spans="1:18" ht="24" customHeight="1">
      <c r="A116" s="33" t="s">
        <v>8</v>
      </c>
      <c r="B116" s="33" t="s">
        <v>9</v>
      </c>
      <c r="C116" s="34" t="s">
        <v>10</v>
      </c>
      <c r="D116" s="33" t="s">
        <v>11</v>
      </c>
      <c r="E116" s="33" t="s">
        <v>12</v>
      </c>
      <c r="F116" s="35" t="s">
        <v>13</v>
      </c>
      <c r="G116" s="36" t="s">
        <v>14</v>
      </c>
      <c r="H116" s="33" t="s">
        <v>15</v>
      </c>
      <c r="I116" s="37" t="s">
        <v>16</v>
      </c>
      <c r="J116" s="38" t="s">
        <v>17</v>
      </c>
      <c r="K116" s="39" t="s">
        <v>18</v>
      </c>
      <c r="L116" s="38" t="s">
        <v>19</v>
      </c>
      <c r="M116" s="38" t="s">
        <v>20</v>
      </c>
      <c r="N116" s="38" t="s">
        <v>21</v>
      </c>
      <c r="O116" s="33" t="s">
        <v>22</v>
      </c>
      <c r="P116" s="34" t="s">
        <v>23</v>
      </c>
      <c r="Q116" s="38" t="s">
        <v>24</v>
      </c>
      <c r="R116" s="33" t="s">
        <v>25</v>
      </c>
    </row>
    <row r="117" spans="1:18" ht="49.9" customHeight="1">
      <c r="A117" s="87" t="s">
        <v>61</v>
      </c>
      <c r="B117" s="87" t="s">
        <v>1336</v>
      </c>
      <c r="C117" s="88">
        <v>0.8125</v>
      </c>
      <c r="D117" s="87" t="s">
        <v>63</v>
      </c>
      <c r="E117" s="87" t="s">
        <v>126</v>
      </c>
      <c r="F117" s="87" t="s">
        <v>138</v>
      </c>
      <c r="G117" s="302"/>
      <c r="H117" s="89" t="s">
        <v>1337</v>
      </c>
      <c r="I117" s="90">
        <v>2.23E-2</v>
      </c>
      <c r="J117" s="91">
        <v>4</v>
      </c>
      <c r="K117" s="92">
        <v>46334</v>
      </c>
      <c r="L117" s="91">
        <v>4</v>
      </c>
      <c r="M117" s="91">
        <v>0</v>
      </c>
      <c r="N117" s="91">
        <v>0</v>
      </c>
      <c r="O117" s="93" t="s">
        <v>967</v>
      </c>
      <c r="P117" s="94">
        <v>0.8125</v>
      </c>
      <c r="Q117" s="91">
        <v>179</v>
      </c>
      <c r="R117" s="95" t="s">
        <v>1357</v>
      </c>
    </row>
    <row r="118" spans="1:18" ht="49.9" customHeight="1">
      <c r="A118" s="96" t="s">
        <v>402</v>
      </c>
      <c r="B118" s="96" t="s">
        <v>1335</v>
      </c>
      <c r="C118" s="97">
        <v>0.33680555555555558</v>
      </c>
      <c r="D118" s="96" t="s">
        <v>63</v>
      </c>
      <c r="E118" s="96" t="s">
        <v>156</v>
      </c>
      <c r="F118" s="96" t="s">
        <v>671</v>
      </c>
      <c r="G118" s="299"/>
      <c r="H118" s="300"/>
      <c r="I118" s="140"/>
      <c r="J118" s="140"/>
      <c r="K118" s="140"/>
      <c r="L118" s="140"/>
      <c r="M118" s="140"/>
      <c r="N118" s="140"/>
      <c r="O118" s="141"/>
      <c r="P118" s="140"/>
      <c r="Q118" s="142"/>
      <c r="R118" s="301"/>
    </row>
  </sheetData>
  <mergeCells count="94">
    <mergeCell ref="H1:L1"/>
    <mergeCell ref="A1:E1"/>
    <mergeCell ref="H103:R103"/>
    <mergeCell ref="A47:F47"/>
    <mergeCell ref="G65:G66"/>
    <mergeCell ref="H89:R89"/>
    <mergeCell ref="G18:G19"/>
    <mergeCell ref="A62:R62"/>
    <mergeCell ref="A73:F73"/>
    <mergeCell ref="A51:F51"/>
    <mergeCell ref="A82:F82"/>
    <mergeCell ref="A16:F16"/>
    <mergeCell ref="A2:F2"/>
    <mergeCell ref="G6:G9"/>
    <mergeCell ref="H11:R11"/>
    <mergeCell ref="H108:R108"/>
    <mergeCell ref="G58:G61"/>
    <mergeCell ref="G101"/>
    <mergeCell ref="H37:R37"/>
    <mergeCell ref="G44:G45"/>
    <mergeCell ref="H47:R47"/>
    <mergeCell ref="A98:R98"/>
    <mergeCell ref="A88:R88"/>
    <mergeCell ref="G70:G71"/>
    <mergeCell ref="A99:F99"/>
    <mergeCell ref="A108:F108"/>
    <mergeCell ref="G84:G87"/>
    <mergeCell ref="A107:R107"/>
    <mergeCell ref="G96:G97"/>
    <mergeCell ref="A41:R41"/>
    <mergeCell ref="G117:G118"/>
    <mergeCell ref="H82:R82"/>
    <mergeCell ref="G13:G14"/>
    <mergeCell ref="A46:R46"/>
    <mergeCell ref="H63:R63"/>
    <mergeCell ref="G39:G40"/>
    <mergeCell ref="A42:F42"/>
    <mergeCell ref="H56:R56"/>
    <mergeCell ref="H25:R25"/>
    <mergeCell ref="A76:R76"/>
    <mergeCell ref="H94:R94"/>
    <mergeCell ref="G105:G106"/>
    <mergeCell ref="H115:R115"/>
    <mergeCell ref="H99:R99"/>
    <mergeCell ref="A77:F77"/>
    <mergeCell ref="A114:R114"/>
    <mergeCell ref="A10:R10"/>
    <mergeCell ref="A93:R93"/>
    <mergeCell ref="A102:R102"/>
    <mergeCell ref="G91:G92"/>
    <mergeCell ref="A30:F30"/>
    <mergeCell ref="A11:F11"/>
    <mergeCell ref="G27:G28"/>
    <mergeCell ref="A36:R36"/>
    <mergeCell ref="A56:F56"/>
    <mergeCell ref="G53:G54"/>
    <mergeCell ref="H68:R68"/>
    <mergeCell ref="H30:R30"/>
    <mergeCell ref="A37:F37"/>
    <mergeCell ref="A89:F89"/>
    <mergeCell ref="A21:F21"/>
    <mergeCell ref="A81:R81"/>
    <mergeCell ref="G2:J2"/>
    <mergeCell ref="N1:R1"/>
    <mergeCell ref="A63:F63"/>
    <mergeCell ref="G23"/>
    <mergeCell ref="A115:F115"/>
    <mergeCell ref="G79:G80"/>
    <mergeCell ref="A68:F68"/>
    <mergeCell ref="H16:R16"/>
    <mergeCell ref="K2:R2"/>
    <mergeCell ref="A67:R67"/>
    <mergeCell ref="G110:G113"/>
    <mergeCell ref="G32:G35"/>
    <mergeCell ref="G49"/>
    <mergeCell ref="H77:R77"/>
    <mergeCell ref="A94:F94"/>
    <mergeCell ref="A103:F103"/>
    <mergeCell ref="H4:R4"/>
    <mergeCell ref="A50:R50"/>
    <mergeCell ref="A3:R3"/>
    <mergeCell ref="G75"/>
    <mergeCell ref="A55:R55"/>
    <mergeCell ref="H21:R21"/>
    <mergeCell ref="H73:R73"/>
    <mergeCell ref="H51:R51"/>
    <mergeCell ref="A4:F4"/>
    <mergeCell ref="A20:R20"/>
    <mergeCell ref="A72:R72"/>
    <mergeCell ref="A29:R29"/>
    <mergeCell ref="A15:R15"/>
    <mergeCell ref="A24:R24"/>
    <mergeCell ref="H42:R42"/>
    <mergeCell ref="A25:F25"/>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J12"/>
  <sheetViews>
    <sheetView workbookViewId="0"/>
  </sheetViews>
  <sheetFormatPr defaultColWidth="8.85546875" defaultRowHeight="15.6" outlineLevelCol="1"/>
  <cols>
    <col min="1" max="1" width="9.85546875" style="266" bestFit="1" customWidth="1"/>
    <col min="2" max="2" width="9.7109375" style="266" bestFit="1" customWidth="1"/>
    <col min="3" max="3" width="6.7109375" style="266" bestFit="1" customWidth="1"/>
    <col min="4" max="4" width="5.5703125" style="266" bestFit="1" customWidth="1"/>
    <col min="5" max="5" width="7.42578125" style="266" bestFit="1" customWidth="1"/>
    <col min="6" max="6" width="4.28515625" style="266" bestFit="1" customWidth="1"/>
    <col min="7" max="7" width="8.42578125" style="266" bestFit="1" customWidth="1"/>
    <col min="8" max="8" width="8.5703125" style="266" bestFit="1" customWidth="1"/>
    <col min="9" max="10" width="7" style="266" bestFit="1" customWidth="1"/>
    <col min="11" max="11" width="10.5703125" style="266" bestFit="1" customWidth="1"/>
    <col min="12" max="12" width="9.140625" style="266" bestFit="1" customWidth="1"/>
    <col min="13" max="13" width="7.7109375" style="266" bestFit="1" customWidth="1" outlineLevel="1"/>
    <col min="14" max="14" width="6.28515625" style="266" bestFit="1" customWidth="1" outlineLevel="1"/>
    <col min="15" max="15" width="8" style="266" bestFit="1" customWidth="1" outlineLevel="1"/>
    <col min="16" max="16" width="13.7109375" style="266" bestFit="1" customWidth="1"/>
    <col min="17" max="23" width="3.85546875" style="266" bestFit="1" customWidth="1"/>
    <col min="24" max="24" width="4.140625" style="266" bestFit="1" customWidth="1"/>
    <col min="25" max="25" width="4.42578125" style="266" bestFit="1" customWidth="1"/>
    <col min="26" max="26" width="3.85546875" style="266" bestFit="1" customWidth="1"/>
    <col min="27" max="27" width="4" style="266" bestFit="1" customWidth="1"/>
    <col min="28" max="36" width="3.85546875" style="266" bestFit="1" customWidth="1"/>
    <col min="37" max="16384" width="8.85546875" style="266"/>
  </cols>
  <sheetData>
    <row r="1" spans="1:36">
      <c r="A1" s="265" t="s">
        <v>201</v>
      </c>
      <c r="B1" s="265" t="s">
        <v>202</v>
      </c>
      <c r="C1" s="265" t="s">
        <v>203</v>
      </c>
      <c r="D1" s="265" t="s">
        <v>23</v>
      </c>
      <c r="E1" s="265" t="s">
        <v>204</v>
      </c>
      <c r="F1" s="265" t="s">
        <v>205</v>
      </c>
      <c r="G1" s="265" t="s">
        <v>16</v>
      </c>
      <c r="H1" s="265" t="s">
        <v>206</v>
      </c>
      <c r="I1" s="265" t="s">
        <v>207</v>
      </c>
      <c r="J1" s="265" t="s">
        <v>208</v>
      </c>
      <c r="K1" s="265" t="s">
        <v>209</v>
      </c>
      <c r="L1" s="265" t="s">
        <v>18</v>
      </c>
      <c r="M1" s="265" t="s">
        <v>20</v>
      </c>
      <c r="N1" s="265" t="s">
        <v>21</v>
      </c>
      <c r="O1" s="265" t="s">
        <v>19</v>
      </c>
      <c r="P1" s="265" t="s">
        <v>22</v>
      </c>
      <c r="Q1" s="265" t="s">
        <v>210</v>
      </c>
      <c r="R1" s="265" t="s">
        <v>211</v>
      </c>
      <c r="S1" s="265" t="s">
        <v>212</v>
      </c>
      <c r="T1" s="265" t="s">
        <v>213</v>
      </c>
      <c r="U1" s="265" t="s">
        <v>214</v>
      </c>
      <c r="V1" s="265" t="s">
        <v>215</v>
      </c>
      <c r="W1" s="265" t="s">
        <v>216</v>
      </c>
      <c r="X1" s="265" t="s">
        <v>217</v>
      </c>
      <c r="Y1" s="265" t="s">
        <v>218</v>
      </c>
      <c r="Z1" s="265" t="s">
        <v>219</v>
      </c>
      <c r="AA1" s="265" t="s">
        <v>220</v>
      </c>
      <c r="AB1" s="265" t="s">
        <v>221</v>
      </c>
      <c r="AC1" s="265" t="s">
        <v>222</v>
      </c>
      <c r="AD1" s="265" t="s">
        <v>223</v>
      </c>
      <c r="AE1" s="265" t="s">
        <v>224</v>
      </c>
      <c r="AF1" s="265" t="s">
        <v>225</v>
      </c>
      <c r="AG1" s="265" t="s">
        <v>226</v>
      </c>
      <c r="AH1" s="265" t="s">
        <v>227</v>
      </c>
      <c r="AI1" s="265" t="s">
        <v>228</v>
      </c>
      <c r="AJ1" s="265" t="s">
        <v>229</v>
      </c>
    </row>
    <row r="2" spans="1:36">
      <c r="A2" s="267" t="s">
        <v>230</v>
      </c>
      <c r="B2" s="268">
        <v>46023</v>
      </c>
      <c r="C2" s="269" t="s">
        <v>1337</v>
      </c>
      <c r="D2" s="270" t="s">
        <v>1324</v>
      </c>
      <c r="E2" s="269" t="s">
        <v>1333</v>
      </c>
      <c r="F2" s="269" t="s">
        <v>232</v>
      </c>
      <c r="G2" s="271">
        <v>3.3500000000000002E-2</v>
      </c>
      <c r="H2" s="272">
        <v>179</v>
      </c>
      <c r="I2" s="272">
        <v>6</v>
      </c>
      <c r="J2" s="272">
        <v>0</v>
      </c>
      <c r="K2" s="269" t="s">
        <v>233</v>
      </c>
      <c r="L2" s="273">
        <v>46335</v>
      </c>
      <c r="M2" s="272">
        <v>0</v>
      </c>
      <c r="N2" s="272">
        <v>0</v>
      </c>
      <c r="O2" s="272">
        <v>6</v>
      </c>
      <c r="P2" s="269" t="s">
        <v>549</v>
      </c>
      <c r="Q2" s="265"/>
      <c r="R2" s="265"/>
      <c r="S2" s="265"/>
      <c r="T2" s="265"/>
      <c r="U2" s="265"/>
      <c r="V2" s="265"/>
      <c r="W2" s="265"/>
      <c r="X2" s="265"/>
      <c r="Y2" s="265"/>
      <c r="Z2" s="265"/>
      <c r="AA2" s="265"/>
      <c r="AB2" s="265"/>
      <c r="AC2" s="272" t="s">
        <v>302</v>
      </c>
      <c r="AD2" s="272" t="s">
        <v>430</v>
      </c>
      <c r="AE2" s="265"/>
      <c r="AF2" s="272" t="s">
        <v>901</v>
      </c>
      <c r="AG2" s="265"/>
      <c r="AH2" s="265"/>
      <c r="AI2" s="265"/>
      <c r="AJ2" s="265"/>
    </row>
    <row r="3" spans="1:36">
      <c r="A3" s="267" t="s">
        <v>234</v>
      </c>
      <c r="B3" s="268">
        <v>46025</v>
      </c>
      <c r="C3" s="269" t="s">
        <v>1337</v>
      </c>
      <c r="D3" s="270" t="s">
        <v>1324</v>
      </c>
      <c r="E3" s="269" t="s">
        <v>1333</v>
      </c>
      <c r="F3" s="269" t="s">
        <v>232</v>
      </c>
      <c r="G3" s="271">
        <v>5.5899999999999998E-2</v>
      </c>
      <c r="H3" s="272">
        <v>179</v>
      </c>
      <c r="I3" s="272">
        <v>10</v>
      </c>
      <c r="J3" s="272">
        <v>0</v>
      </c>
      <c r="K3" s="269" t="s">
        <v>233</v>
      </c>
      <c r="L3" s="273">
        <v>46345</v>
      </c>
      <c r="M3" s="272">
        <v>0</v>
      </c>
      <c r="N3" s="272">
        <v>0</v>
      </c>
      <c r="O3" s="272">
        <v>10</v>
      </c>
      <c r="P3" s="269" t="s">
        <v>905</v>
      </c>
      <c r="Q3" s="265"/>
      <c r="R3" s="265"/>
      <c r="S3" s="265"/>
      <c r="T3" s="265"/>
      <c r="U3" s="265"/>
      <c r="V3" s="265"/>
      <c r="W3" s="265"/>
      <c r="X3" s="265"/>
      <c r="Y3" s="265"/>
      <c r="Z3" s="265"/>
      <c r="AA3" s="265"/>
      <c r="AB3" s="265"/>
      <c r="AC3" s="272" t="s">
        <v>298</v>
      </c>
      <c r="AD3" s="265"/>
      <c r="AE3" s="272" t="s">
        <v>918</v>
      </c>
      <c r="AF3" s="272" t="s">
        <v>244</v>
      </c>
      <c r="AG3" s="265"/>
      <c r="AH3" s="265"/>
      <c r="AI3" s="265"/>
      <c r="AJ3" s="265"/>
    </row>
    <row r="4" spans="1:36">
      <c r="A4" s="267" t="s">
        <v>230</v>
      </c>
      <c r="B4" s="268">
        <v>46030</v>
      </c>
      <c r="C4" s="269" t="s">
        <v>1337</v>
      </c>
      <c r="D4" s="270" t="s">
        <v>1324</v>
      </c>
      <c r="E4" s="269" t="s">
        <v>1333</v>
      </c>
      <c r="F4" s="269" t="s">
        <v>232</v>
      </c>
      <c r="G4" s="271">
        <v>1.6799999999999999E-2</v>
      </c>
      <c r="H4" s="272">
        <v>179</v>
      </c>
      <c r="I4" s="272">
        <v>3</v>
      </c>
      <c r="J4" s="272">
        <v>0</v>
      </c>
      <c r="K4" s="269" t="s">
        <v>233</v>
      </c>
      <c r="L4" s="273">
        <v>46329</v>
      </c>
      <c r="M4" s="272">
        <v>0</v>
      </c>
      <c r="N4" s="272">
        <v>0</v>
      </c>
      <c r="O4" s="272">
        <v>3</v>
      </c>
      <c r="P4" s="269" t="s">
        <v>901</v>
      </c>
      <c r="Q4" s="265"/>
      <c r="R4" s="265"/>
      <c r="S4" s="265"/>
      <c r="T4" s="265"/>
      <c r="U4" s="265"/>
      <c r="V4" s="265"/>
      <c r="W4" s="265"/>
      <c r="X4" s="265"/>
      <c r="Y4" s="265"/>
      <c r="Z4" s="272" t="s">
        <v>174</v>
      </c>
      <c r="AA4" s="265"/>
      <c r="AB4" s="265"/>
      <c r="AC4" s="265"/>
      <c r="AD4" s="265"/>
      <c r="AE4" s="265"/>
      <c r="AF4" s="272" t="s">
        <v>571</v>
      </c>
      <c r="AG4" s="265"/>
      <c r="AH4" s="265"/>
      <c r="AI4" s="265"/>
      <c r="AJ4" s="265"/>
    </row>
    <row r="5" spans="1:36">
      <c r="A5" s="267" t="s">
        <v>234</v>
      </c>
      <c r="B5" s="268">
        <v>46032</v>
      </c>
      <c r="C5" s="269" t="s">
        <v>1337</v>
      </c>
      <c r="D5" s="270" t="s">
        <v>1324</v>
      </c>
      <c r="E5" s="269" t="s">
        <v>1333</v>
      </c>
      <c r="F5" s="269" t="s">
        <v>232</v>
      </c>
      <c r="G5" s="271">
        <v>2.7900000000000001E-2</v>
      </c>
      <c r="H5" s="272">
        <v>179</v>
      </c>
      <c r="I5" s="272">
        <v>5</v>
      </c>
      <c r="J5" s="272">
        <v>0</v>
      </c>
      <c r="K5" s="269" t="s">
        <v>233</v>
      </c>
      <c r="L5" s="273">
        <v>46340</v>
      </c>
      <c r="M5" s="272">
        <v>0</v>
      </c>
      <c r="N5" s="272">
        <v>0</v>
      </c>
      <c r="O5" s="272">
        <v>5</v>
      </c>
      <c r="P5" s="269" t="s">
        <v>571</v>
      </c>
      <c r="Q5" s="265"/>
      <c r="R5" s="265"/>
      <c r="S5" s="265"/>
      <c r="T5" s="265"/>
      <c r="U5" s="265"/>
      <c r="V5" s="265"/>
      <c r="W5" s="265"/>
      <c r="X5" s="265"/>
      <c r="Y5" s="265"/>
      <c r="Z5" s="265"/>
      <c r="AA5" s="265"/>
      <c r="AB5" s="265"/>
      <c r="AC5" s="272" t="s">
        <v>302</v>
      </c>
      <c r="AD5" s="272" t="s">
        <v>430</v>
      </c>
      <c r="AE5" s="265"/>
      <c r="AF5" s="272" t="s">
        <v>819</v>
      </c>
      <c r="AG5" s="265"/>
      <c r="AH5" s="265"/>
      <c r="AI5" s="265"/>
      <c r="AJ5" s="265"/>
    </row>
    <row r="6" spans="1:36">
      <c r="A6" s="267" t="s">
        <v>230</v>
      </c>
      <c r="B6" s="268">
        <v>46037</v>
      </c>
      <c r="C6" s="269" t="s">
        <v>1337</v>
      </c>
      <c r="D6" s="270" t="s">
        <v>1324</v>
      </c>
      <c r="E6" s="269" t="s">
        <v>1333</v>
      </c>
      <c r="F6" s="269" t="s">
        <v>232</v>
      </c>
      <c r="G6" s="271">
        <v>7.8200000000000006E-2</v>
      </c>
      <c r="H6" s="272">
        <v>179</v>
      </c>
      <c r="I6" s="272">
        <v>14</v>
      </c>
      <c r="J6" s="272">
        <v>0</v>
      </c>
      <c r="K6" s="269" t="s">
        <v>233</v>
      </c>
      <c r="L6" s="273">
        <v>46344</v>
      </c>
      <c r="M6" s="272">
        <v>0</v>
      </c>
      <c r="N6" s="272">
        <v>0</v>
      </c>
      <c r="O6" s="272">
        <v>14</v>
      </c>
      <c r="P6" s="269" t="s">
        <v>1119</v>
      </c>
      <c r="Q6" s="265"/>
      <c r="R6" s="265"/>
      <c r="S6" s="265"/>
      <c r="T6" s="265"/>
      <c r="U6" s="265"/>
      <c r="V6" s="265"/>
      <c r="W6" s="265"/>
      <c r="X6" s="265"/>
      <c r="Y6" s="272" t="s">
        <v>1347</v>
      </c>
      <c r="Z6" s="265"/>
      <c r="AA6" s="265"/>
      <c r="AB6" s="265"/>
      <c r="AC6" s="265"/>
      <c r="AD6" s="265"/>
      <c r="AE6" s="265"/>
      <c r="AF6" s="265"/>
      <c r="AG6" s="265"/>
      <c r="AH6" s="265"/>
      <c r="AI6" s="265"/>
      <c r="AJ6" s="265"/>
    </row>
    <row r="7" spans="1:36">
      <c r="A7" s="267" t="s">
        <v>234</v>
      </c>
      <c r="B7" s="268">
        <v>46039</v>
      </c>
      <c r="C7" s="269" t="s">
        <v>1337</v>
      </c>
      <c r="D7" s="270" t="s">
        <v>1324</v>
      </c>
      <c r="E7" s="269" t="s">
        <v>1333</v>
      </c>
      <c r="F7" s="269" t="s">
        <v>232</v>
      </c>
      <c r="G7" s="271">
        <v>0.15640000000000001</v>
      </c>
      <c r="H7" s="272">
        <v>179</v>
      </c>
      <c r="I7" s="272">
        <v>28</v>
      </c>
      <c r="J7" s="272">
        <v>0</v>
      </c>
      <c r="K7" s="269" t="s">
        <v>233</v>
      </c>
      <c r="L7" s="273">
        <v>46344</v>
      </c>
      <c r="M7" s="272">
        <v>0</v>
      </c>
      <c r="N7" s="272">
        <v>0</v>
      </c>
      <c r="O7" s="272">
        <v>28</v>
      </c>
      <c r="P7" s="269" t="s">
        <v>1169</v>
      </c>
      <c r="Q7" s="265"/>
      <c r="R7" s="265"/>
      <c r="S7" s="265"/>
      <c r="T7" s="265"/>
      <c r="U7" s="265"/>
      <c r="V7" s="265"/>
      <c r="W7" s="265"/>
      <c r="X7" s="272" t="s">
        <v>1358</v>
      </c>
      <c r="Y7" s="272" t="s">
        <v>1359</v>
      </c>
      <c r="Z7" s="265"/>
      <c r="AA7" s="272" t="s">
        <v>310</v>
      </c>
      <c r="AB7" s="265"/>
      <c r="AC7" s="265"/>
      <c r="AD7" s="265"/>
      <c r="AE7" s="265"/>
      <c r="AF7" s="265"/>
      <c r="AG7" s="265"/>
      <c r="AH7" s="265"/>
      <c r="AI7" s="265"/>
      <c r="AJ7" s="265"/>
    </row>
    <row r="8" spans="1:36">
      <c r="A8" s="267" t="s">
        <v>230</v>
      </c>
      <c r="B8" s="268">
        <v>46044</v>
      </c>
      <c r="C8" s="269" t="s">
        <v>1337</v>
      </c>
      <c r="D8" s="270" t="s">
        <v>1324</v>
      </c>
      <c r="E8" s="269" t="s">
        <v>1333</v>
      </c>
      <c r="F8" s="269" t="s">
        <v>232</v>
      </c>
      <c r="G8" s="271">
        <v>4.4699999999999997E-2</v>
      </c>
      <c r="H8" s="272">
        <v>179</v>
      </c>
      <c r="I8" s="272">
        <v>8</v>
      </c>
      <c r="J8" s="272">
        <v>0</v>
      </c>
      <c r="K8" s="269" t="s">
        <v>233</v>
      </c>
      <c r="L8" s="273">
        <v>46344</v>
      </c>
      <c r="M8" s="272">
        <v>0</v>
      </c>
      <c r="N8" s="272">
        <v>0</v>
      </c>
      <c r="O8" s="272">
        <v>8</v>
      </c>
      <c r="P8" s="269" t="s">
        <v>1029</v>
      </c>
      <c r="Q8" s="265"/>
      <c r="R8" s="265"/>
      <c r="S8" s="265"/>
      <c r="T8" s="265"/>
      <c r="U8" s="265"/>
      <c r="V8" s="265"/>
      <c r="W8" s="265"/>
      <c r="X8" s="265"/>
      <c r="Y8" s="265"/>
      <c r="Z8" s="272" t="s">
        <v>1029</v>
      </c>
      <c r="AA8" s="272" t="s">
        <v>318</v>
      </c>
      <c r="AB8" s="265"/>
      <c r="AC8" s="265"/>
      <c r="AD8" s="265"/>
      <c r="AE8" s="265"/>
      <c r="AF8" s="265"/>
      <c r="AG8" s="265"/>
      <c r="AH8" s="265"/>
      <c r="AI8" s="265"/>
      <c r="AJ8" s="265"/>
    </row>
    <row r="9" spans="1:36">
      <c r="A9" s="267" t="s">
        <v>234</v>
      </c>
      <c r="B9" s="268">
        <v>46046</v>
      </c>
      <c r="C9" s="269" t="s">
        <v>1337</v>
      </c>
      <c r="D9" s="270" t="s">
        <v>1324</v>
      </c>
      <c r="E9" s="269" t="s">
        <v>1333</v>
      </c>
      <c r="F9" s="269" t="s">
        <v>232</v>
      </c>
      <c r="G9" s="271">
        <v>5.5999999999999999E-3</v>
      </c>
      <c r="H9" s="272">
        <v>179</v>
      </c>
      <c r="I9" s="272">
        <v>1</v>
      </c>
      <c r="J9" s="272">
        <v>0</v>
      </c>
      <c r="K9" s="269" t="s">
        <v>233</v>
      </c>
      <c r="L9" s="273">
        <v>46325</v>
      </c>
      <c r="M9" s="272">
        <v>0</v>
      </c>
      <c r="N9" s="272">
        <v>0</v>
      </c>
      <c r="O9" s="272">
        <v>1</v>
      </c>
      <c r="P9" s="269" t="s">
        <v>587</v>
      </c>
      <c r="Q9" s="265"/>
      <c r="R9" s="265"/>
      <c r="S9" s="265"/>
      <c r="T9" s="265"/>
      <c r="U9" s="265"/>
      <c r="V9" s="265"/>
      <c r="W9" s="265"/>
      <c r="X9" s="265"/>
      <c r="Y9" s="265"/>
      <c r="Z9" s="265"/>
      <c r="AA9" s="272" t="s">
        <v>686</v>
      </c>
      <c r="AB9" s="265"/>
      <c r="AC9" s="265"/>
      <c r="AD9" s="265"/>
      <c r="AE9" s="265"/>
      <c r="AF9" s="265"/>
      <c r="AG9" s="265"/>
      <c r="AH9" s="265"/>
      <c r="AI9" s="265"/>
      <c r="AJ9" s="265"/>
    </row>
    <row r="10" spans="1:36">
      <c r="A10" s="267" t="s">
        <v>230</v>
      </c>
      <c r="B10" s="268">
        <v>46051</v>
      </c>
      <c r="C10" s="269" t="s">
        <v>1337</v>
      </c>
      <c r="D10" s="270" t="s">
        <v>1324</v>
      </c>
      <c r="E10" s="269" t="s">
        <v>1333</v>
      </c>
      <c r="F10" s="269" t="s">
        <v>232</v>
      </c>
      <c r="G10" s="271">
        <v>0</v>
      </c>
      <c r="H10" s="272">
        <v>179</v>
      </c>
      <c r="I10" s="272">
        <v>0</v>
      </c>
      <c r="J10" s="272">
        <v>0</v>
      </c>
      <c r="K10" s="269" t="s">
        <v>233</v>
      </c>
      <c r="L10" s="273" t="s">
        <v>66</v>
      </c>
      <c r="M10" s="272">
        <v>0</v>
      </c>
      <c r="N10" s="272">
        <v>0</v>
      </c>
      <c r="O10" s="272">
        <v>0</v>
      </c>
      <c r="P10" s="269" t="s">
        <v>918</v>
      </c>
      <c r="Q10" s="265"/>
      <c r="R10" s="265"/>
      <c r="S10" s="265"/>
      <c r="T10" s="265"/>
      <c r="U10" s="265"/>
      <c r="V10" s="265"/>
      <c r="W10" s="265"/>
      <c r="X10" s="265"/>
      <c r="Y10" s="265"/>
      <c r="Z10" s="265"/>
      <c r="AA10" s="265"/>
      <c r="AB10" s="265"/>
      <c r="AC10" s="265"/>
      <c r="AD10" s="265"/>
      <c r="AE10" s="265"/>
      <c r="AF10" s="265"/>
      <c r="AG10" s="265"/>
      <c r="AH10" s="265"/>
      <c r="AI10" s="265"/>
      <c r="AJ10" s="265"/>
    </row>
    <row r="11" spans="1:36">
      <c r="A11" s="267" t="s">
        <v>234</v>
      </c>
      <c r="B11" s="268">
        <v>46053</v>
      </c>
      <c r="C11" s="269" t="s">
        <v>1337</v>
      </c>
      <c r="D11" s="270" t="s">
        <v>1324</v>
      </c>
      <c r="E11" s="269" t="s">
        <v>1333</v>
      </c>
      <c r="F11" s="269" t="s">
        <v>232</v>
      </c>
      <c r="G11" s="271">
        <v>2.23E-2</v>
      </c>
      <c r="H11" s="272">
        <v>179</v>
      </c>
      <c r="I11" s="272">
        <v>4</v>
      </c>
      <c r="J11" s="272">
        <v>0</v>
      </c>
      <c r="K11" s="269" t="s">
        <v>233</v>
      </c>
      <c r="L11" s="273">
        <v>46334</v>
      </c>
      <c r="M11" s="272">
        <v>0</v>
      </c>
      <c r="N11" s="272">
        <v>0</v>
      </c>
      <c r="O11" s="272">
        <v>4</v>
      </c>
      <c r="P11" s="269" t="s">
        <v>967</v>
      </c>
      <c r="Q11" s="265"/>
      <c r="R11" s="265"/>
      <c r="S11" s="265"/>
      <c r="T11" s="265"/>
      <c r="U11" s="265"/>
      <c r="V11" s="265"/>
      <c r="W11" s="265"/>
      <c r="X11" s="265"/>
      <c r="Y11" s="265"/>
      <c r="Z11" s="265"/>
      <c r="AA11" s="272" t="s">
        <v>318</v>
      </c>
      <c r="AB11" s="265"/>
      <c r="AC11" s="272" t="s">
        <v>302</v>
      </c>
      <c r="AD11" s="265"/>
      <c r="AE11" s="272" t="s">
        <v>570</v>
      </c>
      <c r="AF11" s="265"/>
      <c r="AG11" s="265"/>
      <c r="AH11" s="265"/>
      <c r="AI11" s="265"/>
      <c r="AJ11" s="265"/>
    </row>
    <row r="12" spans="1:36" ht="21">
      <c r="A12" s="274" t="s">
        <v>251</v>
      </c>
      <c r="B12" s="275"/>
      <c r="C12" s="274">
        <f>SUBTOTAL(103,CAI_GIZ_LF_LEGACY[Flt])</f>
        <v>10</v>
      </c>
      <c r="D12" s="274"/>
      <c r="E12" s="274">
        <f>SUBTOTAL(103,CAI_GIZ_LF_LEGACY[Brd-Off])</f>
        <v>10</v>
      </c>
      <c r="F12" s="274"/>
      <c r="G12" s="276">
        <f>SUBTOTAL(101,CAI_GIZ_LF_LEGACY[LF%])</f>
        <v>4.4130000000000003E-2</v>
      </c>
      <c r="H12" s="277">
        <f>SUBTOTAL(109,CAI_GIZ_LF_LEGACY[CAP])</f>
        <v>1790</v>
      </c>
      <c r="I12" s="277">
        <f>SUBTOTAL(109,CAI_GIZ_LF_LEGACY[BKG(Y)])</f>
        <v>79</v>
      </c>
      <c r="J12" s="277">
        <f>SUBTOTAL(109,CAI_GIZ_LF_LEGACY[GRP(Y)])</f>
        <v>0</v>
      </c>
      <c r="K12" s="274"/>
      <c r="L12" s="275"/>
      <c r="M12" s="277">
        <f>SUBTOTAL(109,CAI_GIZ_LF_LEGACY[TO-DAY])</f>
        <v>0</v>
      </c>
      <c r="N12" s="277">
        <f>SUBTOTAL(109,CAI_GIZ_LF_LEGACY[Y-DAY])</f>
        <v>0</v>
      </c>
      <c r="O12" s="277">
        <f>SUBTOTAL(109,CAI_GIZ_LF_LEGACY[WEEKLY])</f>
        <v>79</v>
      </c>
      <c r="P12" s="274"/>
      <c r="Q12" s="277">
        <f>SUBTOTAL(109,CAI_GIZ_LF_LEGACY[Y])</f>
        <v>0</v>
      </c>
      <c r="R12" s="277">
        <f>SUBTOTAL(109,CAI_GIZ_LF_LEGACY[B])</f>
        <v>0</v>
      </c>
      <c r="S12" s="277">
        <f>SUBTOTAL(109,CAI_GIZ_LF_LEGACY[M])</f>
        <v>0</v>
      </c>
      <c r="T12" s="277">
        <f>SUBTOTAL(109,CAI_GIZ_LF_LEGACY[H])</f>
        <v>0</v>
      </c>
      <c r="U12" s="277">
        <f>SUBTOTAL(109,CAI_GIZ_LF_LEGACY[Q])</f>
        <v>0</v>
      </c>
      <c r="V12" s="277">
        <f>SUBTOTAL(109,CAI_GIZ_LF_LEGACY[K])</f>
        <v>0</v>
      </c>
      <c r="W12" s="277">
        <f>SUBTOTAL(109,CAI_GIZ_LF_LEGACY[V])</f>
        <v>0</v>
      </c>
      <c r="X12" s="277">
        <f>SUBTOTAL(109,CAI_GIZ_LF_LEGACY[L])</f>
        <v>0</v>
      </c>
      <c r="Y12" s="277">
        <f>SUBTOTAL(109,CAI_GIZ_LF_LEGACY[G])</f>
        <v>0</v>
      </c>
      <c r="Z12" s="277">
        <f>SUBTOTAL(109,CAI_GIZ_LF_LEGACY[S])</f>
        <v>0</v>
      </c>
      <c r="AA12" s="277">
        <f>SUBTOTAL(109,CAI_GIZ_LF_LEGACY[W])</f>
        <v>0</v>
      </c>
      <c r="AB12" s="277">
        <f>SUBTOTAL(109,CAI_GIZ_LF_LEGACY[T])</f>
        <v>0</v>
      </c>
      <c r="AC12" s="277">
        <f>SUBTOTAL(109,CAI_GIZ_LF_LEGACY[X])</f>
        <v>0</v>
      </c>
      <c r="AD12" s="277">
        <f>SUBTOTAL(109,CAI_GIZ_LF_LEGACY[U])</f>
        <v>0</v>
      </c>
      <c r="AE12" s="277">
        <f>SUBTOTAL(109,CAI_GIZ_LF_LEGACY[O])</f>
        <v>0</v>
      </c>
      <c r="AF12" s="277">
        <f>SUBTOTAL(109,CAI_GIZ_LF_LEGACY[I])</f>
        <v>0</v>
      </c>
      <c r="AG12" s="277">
        <f>SUBTOTAL(109,CAI_GIZ_LF_LEGACY[E])</f>
        <v>0</v>
      </c>
      <c r="AH12" s="277">
        <f>SUBTOTAL(109,CAI_GIZ_LF_LEGACY[A])</f>
        <v>0</v>
      </c>
      <c r="AI12" s="277">
        <f>SUBTOTAL(109,CAI_GIZ_LF_LEGACY[P])</f>
        <v>0</v>
      </c>
      <c r="AJ12" s="277">
        <f>SUBTOTAL(103,CAI_GIZ_LF_LEGACY[N])</f>
        <v>0</v>
      </c>
    </row>
  </sheetData>
  <pageMargins left="0.75" right="0.75" top="1" bottom="1" header="0.5" footer="0.5"/>
  <tableParts count="1">
    <tablePart r:id="rId1"/>
  </tableParts>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I51"/>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59.8554687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11" t="s">
        <v>254</v>
      </c>
      <c r="B2" s="112" t="s">
        <v>359</v>
      </c>
      <c r="C2" s="113" t="s">
        <v>1334</v>
      </c>
      <c r="D2" s="112" t="s">
        <v>1333</v>
      </c>
      <c r="E2" s="112" t="s">
        <v>1009</v>
      </c>
      <c r="F2" s="112" t="s">
        <v>361</v>
      </c>
      <c r="G2" s="114">
        <v>9</v>
      </c>
      <c r="H2" s="115" t="s">
        <v>1250</v>
      </c>
    </row>
    <row r="3" spans="1:8" ht="19.899999999999999" customHeight="1">
      <c r="A3" s="111" t="s">
        <v>254</v>
      </c>
      <c r="B3" s="112" t="s">
        <v>402</v>
      </c>
      <c r="C3" s="113" t="s">
        <v>1335</v>
      </c>
      <c r="D3" s="112" t="s">
        <v>1333</v>
      </c>
      <c r="E3" s="112" t="s">
        <v>282</v>
      </c>
      <c r="F3" s="112" t="s">
        <v>63</v>
      </c>
      <c r="G3" s="114">
        <v>4</v>
      </c>
      <c r="H3" s="115" t="s">
        <v>1226</v>
      </c>
    </row>
    <row r="4" spans="1:8" ht="19.899999999999999" customHeight="1">
      <c r="A4" s="116" t="s">
        <v>254</v>
      </c>
      <c r="B4" s="117" t="s">
        <v>61</v>
      </c>
      <c r="C4" s="118" t="s">
        <v>1336</v>
      </c>
      <c r="D4" s="117" t="s">
        <v>1333</v>
      </c>
      <c r="E4" s="117" t="s">
        <v>1324</v>
      </c>
      <c r="F4" s="117" t="s">
        <v>63</v>
      </c>
      <c r="G4" s="119">
        <v>9</v>
      </c>
      <c r="H4" s="120" t="s">
        <v>1218</v>
      </c>
    </row>
    <row r="5" spans="1:8" ht="19.899999999999999" customHeight="1">
      <c r="A5" s="123">
        <v>46023</v>
      </c>
      <c r="B5" s="124" t="s">
        <v>359</v>
      </c>
      <c r="C5" s="125" t="s">
        <v>1334</v>
      </c>
      <c r="D5" s="124" t="s">
        <v>1333</v>
      </c>
      <c r="E5" s="126">
        <v>1.9826388888888891</v>
      </c>
      <c r="F5" s="124" t="s">
        <v>46</v>
      </c>
      <c r="G5" s="127">
        <v>9</v>
      </c>
      <c r="H5" s="128" t="s">
        <v>1251</v>
      </c>
    </row>
    <row r="6" spans="1:8" ht="19.899999999999999" customHeight="1">
      <c r="A6" s="129">
        <v>46025</v>
      </c>
      <c r="B6" s="117" t="s">
        <v>61</v>
      </c>
      <c r="C6" s="118" t="s">
        <v>1336</v>
      </c>
      <c r="D6" s="117" t="s">
        <v>1333</v>
      </c>
      <c r="E6" s="130">
        <v>1.8125</v>
      </c>
      <c r="F6" s="117" t="s">
        <v>63</v>
      </c>
      <c r="G6" s="119">
        <v>6</v>
      </c>
      <c r="H6" s="120" t="s">
        <v>138</v>
      </c>
    </row>
    <row r="7" spans="1:8" ht="19.899999999999999" customHeight="1">
      <c r="A7" s="123">
        <v>46025</v>
      </c>
      <c r="B7" s="124" t="s">
        <v>402</v>
      </c>
      <c r="C7" s="125" t="s">
        <v>1335</v>
      </c>
      <c r="D7" s="124" t="s">
        <v>1333</v>
      </c>
      <c r="E7" s="126">
        <v>1.336805555555556</v>
      </c>
      <c r="F7" s="124" t="s">
        <v>63</v>
      </c>
      <c r="G7" s="127">
        <v>2</v>
      </c>
      <c r="H7" s="128" t="s">
        <v>526</v>
      </c>
    </row>
    <row r="8" spans="1:8" ht="19.899999999999999" customHeight="1">
      <c r="A8" s="121">
        <v>46027</v>
      </c>
      <c r="B8" s="112" t="s">
        <v>359</v>
      </c>
      <c r="C8" s="113" t="s">
        <v>1334</v>
      </c>
      <c r="D8" s="112" t="s">
        <v>1333</v>
      </c>
      <c r="E8" s="122">
        <v>1.770833333333333</v>
      </c>
      <c r="F8" s="112" t="s">
        <v>361</v>
      </c>
      <c r="G8" s="114">
        <v>9</v>
      </c>
      <c r="H8" s="115" t="s">
        <v>1250</v>
      </c>
    </row>
    <row r="9" spans="1:8" ht="19.899999999999999" customHeight="1">
      <c r="A9" s="123">
        <v>46027</v>
      </c>
      <c r="B9" s="124" t="s">
        <v>359</v>
      </c>
      <c r="C9" s="125" t="s">
        <v>1334</v>
      </c>
      <c r="D9" s="124" t="s">
        <v>1333</v>
      </c>
      <c r="E9" s="126">
        <v>1.770833333333333</v>
      </c>
      <c r="F9" s="124" t="s">
        <v>46</v>
      </c>
      <c r="G9" s="127">
        <v>9</v>
      </c>
      <c r="H9" s="128" t="s">
        <v>1251</v>
      </c>
    </row>
    <row r="10" spans="1:8" ht="19.899999999999999" customHeight="1">
      <c r="A10" s="123">
        <v>46028</v>
      </c>
      <c r="B10" s="124" t="s">
        <v>402</v>
      </c>
      <c r="C10" s="125" t="s">
        <v>1335</v>
      </c>
      <c r="D10" s="124" t="s">
        <v>1333</v>
      </c>
      <c r="E10" s="126">
        <v>1.336805555555556</v>
      </c>
      <c r="F10" s="124" t="s">
        <v>63</v>
      </c>
      <c r="G10" s="127">
        <v>9</v>
      </c>
      <c r="H10" s="128" t="s">
        <v>526</v>
      </c>
    </row>
    <row r="11" spans="1:8" ht="19.899999999999999" customHeight="1">
      <c r="A11" s="121">
        <v>46029</v>
      </c>
      <c r="B11" s="112" t="s">
        <v>359</v>
      </c>
      <c r="C11" s="113" t="s">
        <v>1334</v>
      </c>
      <c r="D11" s="112" t="s">
        <v>1333</v>
      </c>
      <c r="E11" s="122">
        <v>1.9826388888888891</v>
      </c>
      <c r="F11" s="112" t="s">
        <v>361</v>
      </c>
      <c r="G11" s="114">
        <v>9</v>
      </c>
      <c r="H11" s="115" t="s">
        <v>1250</v>
      </c>
    </row>
    <row r="12" spans="1:8" ht="19.899999999999999" customHeight="1">
      <c r="A12" s="123">
        <v>46029</v>
      </c>
      <c r="B12" s="124" t="s">
        <v>359</v>
      </c>
      <c r="C12" s="125" t="s">
        <v>1334</v>
      </c>
      <c r="D12" s="124" t="s">
        <v>1333</v>
      </c>
      <c r="E12" s="126">
        <v>1.9826388888888891</v>
      </c>
      <c r="F12" s="124" t="s">
        <v>46</v>
      </c>
      <c r="G12" s="127">
        <v>9</v>
      </c>
      <c r="H12" s="128" t="s">
        <v>1251</v>
      </c>
    </row>
    <row r="13" spans="1:8" ht="19.899999999999999" customHeight="1">
      <c r="A13" s="121">
        <v>46030</v>
      </c>
      <c r="B13" s="112" t="s">
        <v>359</v>
      </c>
      <c r="C13" s="113" t="s">
        <v>1334</v>
      </c>
      <c r="D13" s="112" t="s">
        <v>1333</v>
      </c>
      <c r="E13" s="122">
        <v>1.9826388888888891</v>
      </c>
      <c r="F13" s="112" t="s">
        <v>361</v>
      </c>
      <c r="G13" s="114">
        <v>9</v>
      </c>
      <c r="H13" s="115" t="s">
        <v>1250</v>
      </c>
    </row>
    <row r="14" spans="1:8" ht="19.899999999999999" customHeight="1">
      <c r="A14" s="129">
        <v>46030</v>
      </c>
      <c r="B14" s="117" t="s">
        <v>61</v>
      </c>
      <c r="C14" s="118" t="s">
        <v>1336</v>
      </c>
      <c r="D14" s="117" t="s">
        <v>1333</v>
      </c>
      <c r="E14" s="130">
        <v>1.8125</v>
      </c>
      <c r="F14" s="117" t="s">
        <v>63</v>
      </c>
      <c r="G14" s="119">
        <v>4</v>
      </c>
      <c r="H14" s="120" t="s">
        <v>1340</v>
      </c>
    </row>
    <row r="15" spans="1:8" ht="19.899999999999999" customHeight="1">
      <c r="A15" s="121">
        <v>46030</v>
      </c>
      <c r="B15" s="112" t="s">
        <v>402</v>
      </c>
      <c r="C15" s="113" t="s">
        <v>1335</v>
      </c>
      <c r="D15" s="112" t="s">
        <v>1333</v>
      </c>
      <c r="E15" s="122">
        <v>1.336805555555556</v>
      </c>
      <c r="F15" s="112" t="s">
        <v>63</v>
      </c>
      <c r="G15" s="114">
        <v>1</v>
      </c>
      <c r="H15" s="115" t="s">
        <v>1226</v>
      </c>
    </row>
    <row r="16" spans="1:8" ht="19.899999999999999" customHeight="1">
      <c r="A16" s="123">
        <v>46030</v>
      </c>
      <c r="B16" s="124" t="s">
        <v>359</v>
      </c>
      <c r="C16" s="125" t="s">
        <v>1334</v>
      </c>
      <c r="D16" s="124" t="s">
        <v>1333</v>
      </c>
      <c r="E16" s="126">
        <v>1.9826388888888891</v>
      </c>
      <c r="F16" s="124" t="s">
        <v>46</v>
      </c>
      <c r="G16" s="127">
        <v>9</v>
      </c>
      <c r="H16" s="128" t="s">
        <v>1251</v>
      </c>
    </row>
    <row r="17" spans="1:8" ht="19.899999999999999" customHeight="1">
      <c r="A17" s="129">
        <v>46032</v>
      </c>
      <c r="B17" s="117" t="s">
        <v>61</v>
      </c>
      <c r="C17" s="118" t="s">
        <v>1336</v>
      </c>
      <c r="D17" s="117" t="s">
        <v>1333</v>
      </c>
      <c r="E17" s="130">
        <v>1.8125</v>
      </c>
      <c r="F17" s="117" t="s">
        <v>63</v>
      </c>
      <c r="G17" s="119">
        <v>2</v>
      </c>
      <c r="H17" s="120" t="s">
        <v>1340</v>
      </c>
    </row>
    <row r="18" spans="1:8" ht="19.899999999999999" customHeight="1">
      <c r="A18" s="123">
        <v>46032</v>
      </c>
      <c r="B18" s="124" t="s">
        <v>402</v>
      </c>
      <c r="C18" s="125" t="s">
        <v>1335</v>
      </c>
      <c r="D18" s="124" t="s">
        <v>1333</v>
      </c>
      <c r="E18" s="126">
        <v>1.336805555555556</v>
      </c>
      <c r="F18" s="124" t="s">
        <v>63</v>
      </c>
      <c r="G18" s="127">
        <v>3</v>
      </c>
      <c r="H18" s="128" t="s">
        <v>526</v>
      </c>
    </row>
    <row r="19" spans="1:8" ht="19.899999999999999" customHeight="1">
      <c r="A19" s="121">
        <v>46034</v>
      </c>
      <c r="B19" s="112" t="s">
        <v>359</v>
      </c>
      <c r="C19" s="113" t="s">
        <v>1334</v>
      </c>
      <c r="D19" s="112" t="s">
        <v>1333</v>
      </c>
      <c r="E19" s="122">
        <v>1.770833333333333</v>
      </c>
      <c r="F19" s="112" t="s">
        <v>361</v>
      </c>
      <c r="G19" s="114">
        <v>9</v>
      </c>
      <c r="H19" s="115" t="s">
        <v>1250</v>
      </c>
    </row>
    <row r="20" spans="1:8" ht="19.899999999999999" customHeight="1">
      <c r="A20" s="123">
        <v>46034</v>
      </c>
      <c r="B20" s="124" t="s">
        <v>359</v>
      </c>
      <c r="C20" s="125" t="s">
        <v>1334</v>
      </c>
      <c r="D20" s="124" t="s">
        <v>1333</v>
      </c>
      <c r="E20" s="126">
        <v>1.770833333333333</v>
      </c>
      <c r="F20" s="124" t="s">
        <v>46</v>
      </c>
      <c r="G20" s="127">
        <v>9</v>
      </c>
      <c r="H20" s="128" t="s">
        <v>1251</v>
      </c>
    </row>
    <row r="21" spans="1:8" ht="19.899999999999999" customHeight="1">
      <c r="A21" s="123">
        <v>46035</v>
      </c>
      <c r="B21" s="124" t="s">
        <v>402</v>
      </c>
      <c r="C21" s="125" t="s">
        <v>1335</v>
      </c>
      <c r="D21" s="124" t="s">
        <v>1333</v>
      </c>
      <c r="E21" s="126">
        <v>1.336805555555556</v>
      </c>
      <c r="F21" s="124" t="s">
        <v>63</v>
      </c>
      <c r="G21" s="127">
        <v>9</v>
      </c>
      <c r="H21" s="128" t="s">
        <v>1342</v>
      </c>
    </row>
    <row r="22" spans="1:8" ht="19.899999999999999" customHeight="1">
      <c r="A22" s="121">
        <v>46036</v>
      </c>
      <c r="B22" s="112" t="s">
        <v>359</v>
      </c>
      <c r="C22" s="113" t="s">
        <v>1334</v>
      </c>
      <c r="D22" s="112" t="s">
        <v>1333</v>
      </c>
      <c r="E22" s="122">
        <v>1.9826388888888891</v>
      </c>
      <c r="F22" s="112" t="s">
        <v>361</v>
      </c>
      <c r="G22" s="114">
        <v>9</v>
      </c>
      <c r="H22" s="115" t="s">
        <v>1343</v>
      </c>
    </row>
    <row r="23" spans="1:8" ht="19.899999999999999" customHeight="1">
      <c r="A23" s="123">
        <v>46036</v>
      </c>
      <c r="B23" s="124" t="s">
        <v>359</v>
      </c>
      <c r="C23" s="125" t="s">
        <v>1334</v>
      </c>
      <c r="D23" s="124" t="s">
        <v>1333</v>
      </c>
      <c r="E23" s="126">
        <v>1.9826388888888891</v>
      </c>
      <c r="F23" s="124" t="s">
        <v>46</v>
      </c>
      <c r="G23" s="127">
        <v>9</v>
      </c>
      <c r="H23" s="128" t="s">
        <v>1344</v>
      </c>
    </row>
    <row r="24" spans="1:8" ht="19.899999999999999" customHeight="1">
      <c r="A24" s="121">
        <v>46037</v>
      </c>
      <c r="B24" s="112" t="s">
        <v>402</v>
      </c>
      <c r="C24" s="113" t="s">
        <v>1335</v>
      </c>
      <c r="D24" s="112" t="s">
        <v>1333</v>
      </c>
      <c r="E24" s="122">
        <v>1.336805555555556</v>
      </c>
      <c r="F24" s="112" t="s">
        <v>63</v>
      </c>
      <c r="G24" s="114">
        <v>9</v>
      </c>
      <c r="H24" s="115" t="s">
        <v>1345</v>
      </c>
    </row>
    <row r="25" spans="1:8" ht="19.899999999999999" customHeight="1">
      <c r="A25" s="129">
        <v>46037</v>
      </c>
      <c r="B25" s="117" t="s">
        <v>61</v>
      </c>
      <c r="C25" s="118" t="s">
        <v>1336</v>
      </c>
      <c r="D25" s="117" t="s">
        <v>1333</v>
      </c>
      <c r="E25" s="130">
        <v>1.8125</v>
      </c>
      <c r="F25" s="117" t="s">
        <v>63</v>
      </c>
      <c r="G25" s="119">
        <v>7</v>
      </c>
      <c r="H25" s="120" t="s">
        <v>1346</v>
      </c>
    </row>
    <row r="26" spans="1:8" ht="19.899999999999999" customHeight="1">
      <c r="A26" s="121">
        <v>46037</v>
      </c>
      <c r="B26" s="112" t="s">
        <v>359</v>
      </c>
      <c r="C26" s="113" t="s">
        <v>1334</v>
      </c>
      <c r="D26" s="112" t="s">
        <v>1333</v>
      </c>
      <c r="E26" s="122">
        <v>1.9826388888888891</v>
      </c>
      <c r="F26" s="112" t="s">
        <v>361</v>
      </c>
      <c r="G26" s="114">
        <v>9</v>
      </c>
      <c r="H26" s="115" t="s">
        <v>1348</v>
      </c>
    </row>
    <row r="27" spans="1:8" ht="19.899999999999999" customHeight="1">
      <c r="A27" s="123">
        <v>46037</v>
      </c>
      <c r="B27" s="124" t="s">
        <v>359</v>
      </c>
      <c r="C27" s="125" t="s">
        <v>1334</v>
      </c>
      <c r="D27" s="124" t="s">
        <v>1333</v>
      </c>
      <c r="E27" s="126">
        <v>1.9826388888888891</v>
      </c>
      <c r="F27" s="124" t="s">
        <v>46</v>
      </c>
      <c r="G27" s="127">
        <v>9</v>
      </c>
      <c r="H27" s="128" t="s">
        <v>1349</v>
      </c>
    </row>
    <row r="28" spans="1:8" ht="19.899999999999999" customHeight="1">
      <c r="A28" s="121">
        <v>46039</v>
      </c>
      <c r="B28" s="112" t="s">
        <v>402</v>
      </c>
      <c r="C28" s="113" t="s">
        <v>1335</v>
      </c>
      <c r="D28" s="112" t="s">
        <v>1333</v>
      </c>
      <c r="E28" s="122">
        <v>1.336805555555556</v>
      </c>
      <c r="F28" s="112" t="s">
        <v>63</v>
      </c>
      <c r="G28" s="114">
        <v>2</v>
      </c>
      <c r="H28" s="115" t="s">
        <v>1350</v>
      </c>
    </row>
    <row r="29" spans="1:8" ht="19.899999999999999" customHeight="1">
      <c r="A29" s="136">
        <v>46039</v>
      </c>
      <c r="B29" s="132" t="s">
        <v>61</v>
      </c>
      <c r="C29" s="133" t="s">
        <v>1336</v>
      </c>
      <c r="D29" s="132" t="s">
        <v>1333</v>
      </c>
      <c r="E29" s="137">
        <v>1.8125</v>
      </c>
      <c r="F29" s="132" t="s">
        <v>63</v>
      </c>
      <c r="G29" s="134">
        <v>4</v>
      </c>
      <c r="H29" s="135" t="s">
        <v>1351</v>
      </c>
    </row>
    <row r="30" spans="1:8" ht="19.899999999999999" customHeight="1">
      <c r="A30" s="121">
        <v>46041</v>
      </c>
      <c r="B30" s="112" t="s">
        <v>359</v>
      </c>
      <c r="C30" s="113" t="s">
        <v>1334</v>
      </c>
      <c r="D30" s="112" t="s">
        <v>1333</v>
      </c>
      <c r="E30" s="122">
        <v>1.770833333333333</v>
      </c>
      <c r="F30" s="112" t="s">
        <v>361</v>
      </c>
      <c r="G30" s="114">
        <v>9</v>
      </c>
      <c r="H30" s="115" t="s">
        <v>1343</v>
      </c>
    </row>
    <row r="31" spans="1:8" ht="19.899999999999999" customHeight="1">
      <c r="A31" s="123">
        <v>46041</v>
      </c>
      <c r="B31" s="124" t="s">
        <v>359</v>
      </c>
      <c r="C31" s="125" t="s">
        <v>1334</v>
      </c>
      <c r="D31" s="124" t="s">
        <v>1333</v>
      </c>
      <c r="E31" s="126">
        <v>1.770833333333333</v>
      </c>
      <c r="F31" s="124" t="s">
        <v>46</v>
      </c>
      <c r="G31" s="127">
        <v>9</v>
      </c>
      <c r="H31" s="128" t="s">
        <v>1344</v>
      </c>
    </row>
    <row r="32" spans="1:8" ht="19.899999999999999" customHeight="1">
      <c r="A32" s="123">
        <v>46042</v>
      </c>
      <c r="B32" s="124" t="s">
        <v>402</v>
      </c>
      <c r="C32" s="125" t="s">
        <v>1335</v>
      </c>
      <c r="D32" s="124" t="s">
        <v>1333</v>
      </c>
      <c r="E32" s="126">
        <v>1.336805555555556</v>
      </c>
      <c r="F32" s="124" t="s">
        <v>63</v>
      </c>
      <c r="G32" s="127">
        <v>9</v>
      </c>
      <c r="H32" s="128" t="s">
        <v>1098</v>
      </c>
    </row>
    <row r="33" spans="1:8" ht="19.899999999999999" customHeight="1">
      <c r="A33" s="121">
        <v>46043</v>
      </c>
      <c r="B33" s="112" t="s">
        <v>359</v>
      </c>
      <c r="C33" s="113" t="s">
        <v>1334</v>
      </c>
      <c r="D33" s="112" t="s">
        <v>1333</v>
      </c>
      <c r="E33" s="122">
        <v>1.9826388888888891</v>
      </c>
      <c r="F33" s="112" t="s">
        <v>361</v>
      </c>
      <c r="G33" s="114">
        <v>9</v>
      </c>
      <c r="H33" s="115" t="s">
        <v>1343</v>
      </c>
    </row>
    <row r="34" spans="1:8" ht="19.899999999999999" customHeight="1">
      <c r="A34" s="123">
        <v>46043</v>
      </c>
      <c r="B34" s="124" t="s">
        <v>359</v>
      </c>
      <c r="C34" s="125" t="s">
        <v>1334</v>
      </c>
      <c r="D34" s="124" t="s">
        <v>1333</v>
      </c>
      <c r="E34" s="126">
        <v>1.9826388888888891</v>
      </c>
      <c r="F34" s="124" t="s">
        <v>46</v>
      </c>
      <c r="G34" s="127">
        <v>9</v>
      </c>
      <c r="H34" s="128" t="s">
        <v>1344</v>
      </c>
    </row>
    <row r="35" spans="1:8" ht="19.899999999999999" customHeight="1">
      <c r="A35" s="129">
        <v>46044</v>
      </c>
      <c r="B35" s="117" t="s">
        <v>61</v>
      </c>
      <c r="C35" s="118" t="s">
        <v>1336</v>
      </c>
      <c r="D35" s="117" t="s">
        <v>1333</v>
      </c>
      <c r="E35" s="130">
        <v>1.8125</v>
      </c>
      <c r="F35" s="117" t="s">
        <v>63</v>
      </c>
      <c r="G35" s="119">
        <v>6</v>
      </c>
      <c r="H35" s="120" t="s">
        <v>1353</v>
      </c>
    </row>
    <row r="36" spans="1:8" ht="19.899999999999999" customHeight="1">
      <c r="A36" s="121">
        <v>46044</v>
      </c>
      <c r="B36" s="112" t="s">
        <v>359</v>
      </c>
      <c r="C36" s="113" t="s">
        <v>1334</v>
      </c>
      <c r="D36" s="112" t="s">
        <v>1333</v>
      </c>
      <c r="E36" s="122">
        <v>1.9826388888888891</v>
      </c>
      <c r="F36" s="112" t="s">
        <v>361</v>
      </c>
      <c r="G36" s="114">
        <v>9</v>
      </c>
      <c r="H36" s="115" t="s">
        <v>1343</v>
      </c>
    </row>
    <row r="37" spans="1:8" ht="19.899999999999999" customHeight="1">
      <c r="A37" s="121">
        <v>46044</v>
      </c>
      <c r="B37" s="112" t="s">
        <v>402</v>
      </c>
      <c r="C37" s="113" t="s">
        <v>1335</v>
      </c>
      <c r="D37" s="112" t="s">
        <v>1333</v>
      </c>
      <c r="E37" s="122">
        <v>1.336805555555556</v>
      </c>
      <c r="F37" s="112" t="s">
        <v>63</v>
      </c>
      <c r="G37" s="114">
        <v>9</v>
      </c>
      <c r="H37" s="115" t="s">
        <v>1098</v>
      </c>
    </row>
    <row r="38" spans="1:8" ht="19.899999999999999" customHeight="1">
      <c r="A38" s="123">
        <v>46044</v>
      </c>
      <c r="B38" s="124" t="s">
        <v>359</v>
      </c>
      <c r="C38" s="125" t="s">
        <v>1334</v>
      </c>
      <c r="D38" s="124" t="s">
        <v>1333</v>
      </c>
      <c r="E38" s="126">
        <v>1.9826388888888891</v>
      </c>
      <c r="F38" s="124" t="s">
        <v>46</v>
      </c>
      <c r="G38" s="127">
        <v>9</v>
      </c>
      <c r="H38" s="128" t="s">
        <v>1344</v>
      </c>
    </row>
    <row r="39" spans="1:8" ht="19.899999999999999" customHeight="1">
      <c r="A39" s="121">
        <v>46046</v>
      </c>
      <c r="B39" s="112" t="s">
        <v>402</v>
      </c>
      <c r="C39" s="113" t="s">
        <v>1335</v>
      </c>
      <c r="D39" s="112" t="s">
        <v>1333</v>
      </c>
      <c r="E39" s="122">
        <v>1.336805555555556</v>
      </c>
      <c r="F39" s="112" t="s">
        <v>63</v>
      </c>
      <c r="G39" s="114">
        <v>6</v>
      </c>
      <c r="H39" s="115" t="s">
        <v>1355</v>
      </c>
    </row>
    <row r="40" spans="1:8" ht="19.899999999999999" customHeight="1">
      <c r="A40" s="136">
        <v>46046</v>
      </c>
      <c r="B40" s="132" t="s">
        <v>61</v>
      </c>
      <c r="C40" s="133" t="s">
        <v>1336</v>
      </c>
      <c r="D40" s="132" t="s">
        <v>1333</v>
      </c>
      <c r="E40" s="137">
        <v>1.8125</v>
      </c>
      <c r="F40" s="132" t="s">
        <v>63</v>
      </c>
      <c r="G40" s="134">
        <v>4</v>
      </c>
      <c r="H40" s="135" t="s">
        <v>1356</v>
      </c>
    </row>
    <row r="41" spans="1:8" ht="19.899999999999999" customHeight="1">
      <c r="A41" s="121">
        <v>46048</v>
      </c>
      <c r="B41" s="112" t="s">
        <v>359</v>
      </c>
      <c r="C41" s="113" t="s">
        <v>1334</v>
      </c>
      <c r="D41" s="112" t="s">
        <v>1333</v>
      </c>
      <c r="E41" s="122">
        <v>1.770833333333333</v>
      </c>
      <c r="F41" s="112" t="s">
        <v>361</v>
      </c>
      <c r="G41" s="114">
        <v>9</v>
      </c>
      <c r="H41" s="115" t="s">
        <v>1343</v>
      </c>
    </row>
    <row r="42" spans="1:8" ht="19.899999999999999" customHeight="1">
      <c r="A42" s="123">
        <v>46048</v>
      </c>
      <c r="B42" s="124" t="s">
        <v>359</v>
      </c>
      <c r="C42" s="125" t="s">
        <v>1334</v>
      </c>
      <c r="D42" s="124" t="s">
        <v>1333</v>
      </c>
      <c r="E42" s="126">
        <v>1.770833333333333</v>
      </c>
      <c r="F42" s="124" t="s">
        <v>46</v>
      </c>
      <c r="G42" s="127">
        <v>9</v>
      </c>
      <c r="H42" s="128" t="s">
        <v>1344</v>
      </c>
    </row>
    <row r="43" spans="1:8" ht="19.899999999999999" customHeight="1">
      <c r="A43" s="123">
        <v>46049</v>
      </c>
      <c r="B43" s="124" t="s">
        <v>402</v>
      </c>
      <c r="C43" s="125" t="s">
        <v>1335</v>
      </c>
      <c r="D43" s="124" t="s">
        <v>1333</v>
      </c>
      <c r="E43" s="126">
        <v>1.336805555555556</v>
      </c>
      <c r="F43" s="124" t="s">
        <v>63</v>
      </c>
      <c r="G43" s="127">
        <v>3</v>
      </c>
      <c r="H43" s="128" t="s">
        <v>671</v>
      </c>
    </row>
    <row r="44" spans="1:8" ht="19.899999999999999" customHeight="1">
      <c r="A44" s="121">
        <v>46050</v>
      </c>
      <c r="B44" s="112" t="s">
        <v>359</v>
      </c>
      <c r="C44" s="113" t="s">
        <v>1334</v>
      </c>
      <c r="D44" s="112" t="s">
        <v>1333</v>
      </c>
      <c r="E44" s="122">
        <v>1.9826388888888891</v>
      </c>
      <c r="F44" s="112" t="s">
        <v>361</v>
      </c>
      <c r="G44" s="114">
        <v>9</v>
      </c>
      <c r="H44" s="115" t="s">
        <v>1343</v>
      </c>
    </row>
    <row r="45" spans="1:8" ht="19.899999999999999" customHeight="1">
      <c r="A45" s="123">
        <v>46050</v>
      </c>
      <c r="B45" s="124" t="s">
        <v>359</v>
      </c>
      <c r="C45" s="125" t="s">
        <v>1334</v>
      </c>
      <c r="D45" s="124" t="s">
        <v>1333</v>
      </c>
      <c r="E45" s="126">
        <v>1.9826388888888891</v>
      </c>
      <c r="F45" s="124" t="s">
        <v>46</v>
      </c>
      <c r="G45" s="127">
        <v>9</v>
      </c>
      <c r="H45" s="128" t="s">
        <v>1344</v>
      </c>
    </row>
    <row r="46" spans="1:8" ht="19.899999999999999" customHeight="1">
      <c r="A46" s="129">
        <v>46051</v>
      </c>
      <c r="B46" s="117" t="s">
        <v>61</v>
      </c>
      <c r="C46" s="118" t="s">
        <v>1336</v>
      </c>
      <c r="D46" s="117" t="s">
        <v>1333</v>
      </c>
      <c r="E46" s="130">
        <v>1.8125</v>
      </c>
      <c r="F46" s="117" t="s">
        <v>63</v>
      </c>
      <c r="G46" s="119">
        <v>7</v>
      </c>
      <c r="H46" s="120" t="s">
        <v>138</v>
      </c>
    </row>
    <row r="47" spans="1:8" ht="19.899999999999999" customHeight="1">
      <c r="A47" s="121">
        <v>46051</v>
      </c>
      <c r="B47" s="112" t="s">
        <v>402</v>
      </c>
      <c r="C47" s="113" t="s">
        <v>1335</v>
      </c>
      <c r="D47" s="112" t="s">
        <v>1333</v>
      </c>
      <c r="E47" s="122">
        <v>1.336805555555556</v>
      </c>
      <c r="F47" s="112" t="s">
        <v>63</v>
      </c>
      <c r="G47" s="114">
        <v>3</v>
      </c>
      <c r="H47" s="115" t="s">
        <v>671</v>
      </c>
    </row>
    <row r="48" spans="1:8" ht="19.899999999999999" customHeight="1">
      <c r="A48" s="121">
        <v>46051</v>
      </c>
      <c r="B48" s="112" t="s">
        <v>359</v>
      </c>
      <c r="C48" s="113" t="s">
        <v>1334</v>
      </c>
      <c r="D48" s="112" t="s">
        <v>1333</v>
      </c>
      <c r="E48" s="122">
        <v>1.9826388888888891</v>
      </c>
      <c r="F48" s="112" t="s">
        <v>361</v>
      </c>
      <c r="G48" s="114">
        <v>9</v>
      </c>
      <c r="H48" s="115" t="s">
        <v>1343</v>
      </c>
    </row>
    <row r="49" spans="1:8" ht="19.899999999999999" customHeight="1">
      <c r="A49" s="123">
        <v>46051</v>
      </c>
      <c r="B49" s="124" t="s">
        <v>359</v>
      </c>
      <c r="C49" s="125" t="s">
        <v>1334</v>
      </c>
      <c r="D49" s="124" t="s">
        <v>1333</v>
      </c>
      <c r="E49" s="126">
        <v>1.9826388888888891</v>
      </c>
      <c r="F49" s="124" t="s">
        <v>46</v>
      </c>
      <c r="G49" s="127">
        <v>9</v>
      </c>
      <c r="H49" s="128" t="s">
        <v>1344</v>
      </c>
    </row>
    <row r="50" spans="1:8" ht="19.899999999999999" customHeight="1">
      <c r="A50" s="129">
        <v>46053</v>
      </c>
      <c r="B50" s="117" t="s">
        <v>61</v>
      </c>
      <c r="C50" s="118" t="s">
        <v>1336</v>
      </c>
      <c r="D50" s="117" t="s">
        <v>1333</v>
      </c>
      <c r="E50" s="130">
        <v>1.8125</v>
      </c>
      <c r="F50" s="117" t="s">
        <v>63</v>
      </c>
      <c r="G50" s="119">
        <v>3</v>
      </c>
      <c r="H50" s="120" t="s">
        <v>138</v>
      </c>
    </row>
    <row r="51" spans="1:8" ht="19.899999999999999" customHeight="1">
      <c r="A51" s="123">
        <v>46053</v>
      </c>
      <c r="B51" s="124" t="s">
        <v>402</v>
      </c>
      <c r="C51" s="125" t="s">
        <v>1335</v>
      </c>
      <c r="D51" s="124" t="s">
        <v>1333</v>
      </c>
      <c r="E51" s="126">
        <v>1.336805555555556</v>
      </c>
      <c r="F51" s="124" t="s">
        <v>63</v>
      </c>
      <c r="G51" s="127">
        <v>1</v>
      </c>
      <c r="H51" s="128" t="s">
        <v>671</v>
      </c>
    </row>
  </sheetData>
  <pageMargins left="0.75" right="0.75" top="1" bottom="1" header="0.5" footer="0.5"/>
  <legacyDrawing r:id="rId1"/>
  <tableParts count="1">
    <tablePart r:id="rId2"/>
  </tableParts>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I32"/>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59.85546875" hidden="1" customWidth="1"/>
  </cols>
  <sheetData>
    <row r="1" spans="1:8" ht="18">
      <c r="A1" s="108" t="s">
        <v>252</v>
      </c>
      <c r="B1" s="109" t="s">
        <v>8</v>
      </c>
      <c r="C1" s="109" t="s">
        <v>9</v>
      </c>
      <c r="D1" s="109" t="s">
        <v>253</v>
      </c>
      <c r="E1" s="109" t="s">
        <v>10</v>
      </c>
      <c r="F1" s="109" t="s">
        <v>11</v>
      </c>
      <c r="G1" s="109" t="s">
        <v>12</v>
      </c>
      <c r="H1" s="110" t="s">
        <v>13</v>
      </c>
    </row>
    <row r="2" spans="1:8" ht="19.899999999999999" customHeight="1">
      <c r="A2" s="131" t="s">
        <v>254</v>
      </c>
      <c r="B2" s="132" t="s">
        <v>61</v>
      </c>
      <c r="C2" s="133" t="s">
        <v>1336</v>
      </c>
      <c r="D2" s="132" t="s">
        <v>1333</v>
      </c>
      <c r="E2" s="132" t="s">
        <v>1324</v>
      </c>
      <c r="F2" s="132" t="s">
        <v>63</v>
      </c>
      <c r="G2" s="134">
        <v>9</v>
      </c>
      <c r="H2" s="135" t="s">
        <v>1218</v>
      </c>
    </row>
    <row r="3" spans="1:8" ht="19.899999999999999" customHeight="1">
      <c r="A3" s="136">
        <v>46025</v>
      </c>
      <c r="B3" s="132" t="s">
        <v>61</v>
      </c>
      <c r="C3" s="133" t="s">
        <v>1336</v>
      </c>
      <c r="D3" s="132" t="s">
        <v>1333</v>
      </c>
      <c r="E3" s="137">
        <v>1.8125</v>
      </c>
      <c r="F3" s="132" t="s">
        <v>63</v>
      </c>
      <c r="G3" s="134">
        <v>6</v>
      </c>
      <c r="H3" s="135" t="s">
        <v>138</v>
      </c>
    </row>
    <row r="4" spans="1:8" ht="19.899999999999999" customHeight="1">
      <c r="A4" s="121">
        <v>46027</v>
      </c>
      <c r="B4" s="112" t="s">
        <v>359</v>
      </c>
      <c r="C4" s="113" t="s">
        <v>1334</v>
      </c>
      <c r="D4" s="112" t="s">
        <v>1333</v>
      </c>
      <c r="E4" s="122">
        <v>1.770833333333333</v>
      </c>
      <c r="F4" s="112" t="s">
        <v>361</v>
      </c>
      <c r="G4" s="114">
        <v>9</v>
      </c>
      <c r="H4" s="115" t="s">
        <v>1250</v>
      </c>
    </row>
    <row r="5" spans="1:8" ht="19.899999999999999" customHeight="1">
      <c r="A5" s="123">
        <v>46027</v>
      </c>
      <c r="B5" s="124" t="s">
        <v>359</v>
      </c>
      <c r="C5" s="125" t="s">
        <v>1334</v>
      </c>
      <c r="D5" s="124" t="s">
        <v>1333</v>
      </c>
      <c r="E5" s="126">
        <v>1.770833333333333</v>
      </c>
      <c r="F5" s="124" t="s">
        <v>46</v>
      </c>
      <c r="G5" s="127">
        <v>9</v>
      </c>
      <c r="H5" s="128" t="s">
        <v>1251</v>
      </c>
    </row>
    <row r="6" spans="1:8" ht="19.899999999999999" customHeight="1">
      <c r="A6" s="123">
        <v>46028</v>
      </c>
      <c r="B6" s="124" t="s">
        <v>402</v>
      </c>
      <c r="C6" s="125" t="s">
        <v>1335</v>
      </c>
      <c r="D6" s="124" t="s">
        <v>1333</v>
      </c>
      <c r="E6" s="126">
        <v>1.336805555555556</v>
      </c>
      <c r="F6" s="124" t="s">
        <v>63</v>
      </c>
      <c r="G6" s="127">
        <v>9</v>
      </c>
      <c r="H6" s="128" t="s">
        <v>526</v>
      </c>
    </row>
    <row r="7" spans="1:8" ht="19.899999999999999" customHeight="1">
      <c r="A7" s="121">
        <v>46029</v>
      </c>
      <c r="B7" s="112" t="s">
        <v>359</v>
      </c>
      <c r="C7" s="113" t="s">
        <v>1334</v>
      </c>
      <c r="D7" s="112" t="s">
        <v>1333</v>
      </c>
      <c r="E7" s="122">
        <v>1.9826388888888891</v>
      </c>
      <c r="F7" s="112" t="s">
        <v>361</v>
      </c>
      <c r="G7" s="114">
        <v>9</v>
      </c>
      <c r="H7" s="115" t="s">
        <v>1250</v>
      </c>
    </row>
    <row r="8" spans="1:8" ht="19.899999999999999" customHeight="1">
      <c r="A8" s="123">
        <v>46029</v>
      </c>
      <c r="B8" s="124" t="s">
        <v>359</v>
      </c>
      <c r="C8" s="125" t="s">
        <v>1334</v>
      </c>
      <c r="D8" s="124" t="s">
        <v>1333</v>
      </c>
      <c r="E8" s="126">
        <v>1.9826388888888891</v>
      </c>
      <c r="F8" s="124" t="s">
        <v>46</v>
      </c>
      <c r="G8" s="127">
        <v>9</v>
      </c>
      <c r="H8" s="128" t="s">
        <v>1251</v>
      </c>
    </row>
    <row r="9" spans="1:8" ht="19.899999999999999" customHeight="1">
      <c r="A9" s="136">
        <v>46030</v>
      </c>
      <c r="B9" s="132" t="s">
        <v>61</v>
      </c>
      <c r="C9" s="133" t="s">
        <v>1336</v>
      </c>
      <c r="D9" s="132" t="s">
        <v>1333</v>
      </c>
      <c r="E9" s="137">
        <v>1.8125</v>
      </c>
      <c r="F9" s="132" t="s">
        <v>63</v>
      </c>
      <c r="G9" s="134">
        <v>4</v>
      </c>
      <c r="H9" s="135" t="s">
        <v>1340</v>
      </c>
    </row>
    <row r="10" spans="1:8" ht="19.899999999999999" customHeight="1">
      <c r="A10" s="136">
        <v>46032</v>
      </c>
      <c r="B10" s="132" t="s">
        <v>61</v>
      </c>
      <c r="C10" s="133" t="s">
        <v>1336</v>
      </c>
      <c r="D10" s="132" t="s">
        <v>1333</v>
      </c>
      <c r="E10" s="137">
        <v>1.8125</v>
      </c>
      <c r="F10" s="132" t="s">
        <v>63</v>
      </c>
      <c r="G10" s="134">
        <v>2</v>
      </c>
      <c r="H10" s="135" t="s">
        <v>1340</v>
      </c>
    </row>
    <row r="11" spans="1:8" ht="19.899999999999999" customHeight="1">
      <c r="A11" s="121">
        <v>46034</v>
      </c>
      <c r="B11" s="112" t="s">
        <v>359</v>
      </c>
      <c r="C11" s="113" t="s">
        <v>1334</v>
      </c>
      <c r="D11" s="112" t="s">
        <v>1333</v>
      </c>
      <c r="E11" s="122">
        <v>1.770833333333333</v>
      </c>
      <c r="F11" s="112" t="s">
        <v>361</v>
      </c>
      <c r="G11" s="114">
        <v>9</v>
      </c>
      <c r="H11" s="115" t="s">
        <v>1250</v>
      </c>
    </row>
    <row r="12" spans="1:8" ht="19.899999999999999" customHeight="1">
      <c r="A12" s="123">
        <v>46034</v>
      </c>
      <c r="B12" s="124" t="s">
        <v>359</v>
      </c>
      <c r="C12" s="125" t="s">
        <v>1334</v>
      </c>
      <c r="D12" s="124" t="s">
        <v>1333</v>
      </c>
      <c r="E12" s="126">
        <v>1.770833333333333</v>
      </c>
      <c r="F12" s="124" t="s">
        <v>46</v>
      </c>
      <c r="G12" s="127">
        <v>9</v>
      </c>
      <c r="H12" s="128" t="s">
        <v>1251</v>
      </c>
    </row>
    <row r="13" spans="1:8" ht="19.899999999999999" customHeight="1">
      <c r="A13" s="123">
        <v>46035</v>
      </c>
      <c r="B13" s="124" t="s">
        <v>402</v>
      </c>
      <c r="C13" s="125" t="s">
        <v>1335</v>
      </c>
      <c r="D13" s="124" t="s">
        <v>1333</v>
      </c>
      <c r="E13" s="126">
        <v>1.336805555555556</v>
      </c>
      <c r="F13" s="124" t="s">
        <v>63</v>
      </c>
      <c r="G13" s="127">
        <v>9</v>
      </c>
      <c r="H13" s="128" t="s">
        <v>1342</v>
      </c>
    </row>
    <row r="14" spans="1:8" ht="19.899999999999999" customHeight="1">
      <c r="A14" s="121">
        <v>46036</v>
      </c>
      <c r="B14" s="112" t="s">
        <v>359</v>
      </c>
      <c r="C14" s="113" t="s">
        <v>1334</v>
      </c>
      <c r="D14" s="112" t="s">
        <v>1333</v>
      </c>
      <c r="E14" s="122">
        <v>1.9826388888888891</v>
      </c>
      <c r="F14" s="112" t="s">
        <v>361</v>
      </c>
      <c r="G14" s="114">
        <v>9</v>
      </c>
      <c r="H14" s="115" t="s">
        <v>1343</v>
      </c>
    </row>
    <row r="15" spans="1:8" ht="19.899999999999999" customHeight="1">
      <c r="A15" s="123">
        <v>46036</v>
      </c>
      <c r="B15" s="124" t="s">
        <v>359</v>
      </c>
      <c r="C15" s="125" t="s">
        <v>1334</v>
      </c>
      <c r="D15" s="124" t="s">
        <v>1333</v>
      </c>
      <c r="E15" s="126">
        <v>1.9826388888888891</v>
      </c>
      <c r="F15" s="124" t="s">
        <v>46</v>
      </c>
      <c r="G15" s="127">
        <v>9</v>
      </c>
      <c r="H15" s="128" t="s">
        <v>1344</v>
      </c>
    </row>
    <row r="16" spans="1:8" ht="19.899999999999999" customHeight="1">
      <c r="A16" s="136">
        <v>46037</v>
      </c>
      <c r="B16" s="132" t="s">
        <v>61</v>
      </c>
      <c r="C16" s="133" t="s">
        <v>1336</v>
      </c>
      <c r="D16" s="132" t="s">
        <v>1333</v>
      </c>
      <c r="E16" s="137">
        <v>1.8125</v>
      </c>
      <c r="F16" s="132" t="s">
        <v>63</v>
      </c>
      <c r="G16" s="134">
        <v>7</v>
      </c>
      <c r="H16" s="135" t="s">
        <v>1346</v>
      </c>
    </row>
    <row r="17" spans="1:8" ht="19.899999999999999" customHeight="1">
      <c r="A17" s="121">
        <v>46039</v>
      </c>
      <c r="B17" s="112" t="s">
        <v>402</v>
      </c>
      <c r="C17" s="113" t="s">
        <v>1335</v>
      </c>
      <c r="D17" s="112" t="s">
        <v>1333</v>
      </c>
      <c r="E17" s="122">
        <v>1.336805555555556</v>
      </c>
      <c r="F17" s="112" t="s">
        <v>63</v>
      </c>
      <c r="G17" s="114">
        <v>2</v>
      </c>
      <c r="H17" s="115" t="s">
        <v>1350</v>
      </c>
    </row>
    <row r="18" spans="1:8" ht="19.899999999999999" customHeight="1">
      <c r="A18" s="136">
        <v>46039</v>
      </c>
      <c r="B18" s="132" t="s">
        <v>61</v>
      </c>
      <c r="C18" s="133" t="s">
        <v>1336</v>
      </c>
      <c r="D18" s="132" t="s">
        <v>1333</v>
      </c>
      <c r="E18" s="137">
        <v>1.8125</v>
      </c>
      <c r="F18" s="132" t="s">
        <v>63</v>
      </c>
      <c r="G18" s="134">
        <v>4</v>
      </c>
      <c r="H18" s="135" t="s">
        <v>1351</v>
      </c>
    </row>
    <row r="19" spans="1:8" ht="19.899999999999999" customHeight="1">
      <c r="A19" s="121">
        <v>46041</v>
      </c>
      <c r="B19" s="112" t="s">
        <v>359</v>
      </c>
      <c r="C19" s="113" t="s">
        <v>1334</v>
      </c>
      <c r="D19" s="112" t="s">
        <v>1333</v>
      </c>
      <c r="E19" s="122">
        <v>1.770833333333333</v>
      </c>
      <c r="F19" s="112" t="s">
        <v>361</v>
      </c>
      <c r="G19" s="114">
        <v>9</v>
      </c>
      <c r="H19" s="115" t="s">
        <v>1343</v>
      </c>
    </row>
    <row r="20" spans="1:8" ht="19.899999999999999" customHeight="1">
      <c r="A20" s="123">
        <v>46041</v>
      </c>
      <c r="B20" s="124" t="s">
        <v>359</v>
      </c>
      <c r="C20" s="125" t="s">
        <v>1334</v>
      </c>
      <c r="D20" s="124" t="s">
        <v>1333</v>
      </c>
      <c r="E20" s="126">
        <v>1.770833333333333</v>
      </c>
      <c r="F20" s="124" t="s">
        <v>46</v>
      </c>
      <c r="G20" s="127">
        <v>9</v>
      </c>
      <c r="H20" s="128" t="s">
        <v>1344</v>
      </c>
    </row>
    <row r="21" spans="1:8" ht="19.899999999999999" customHeight="1">
      <c r="A21" s="123">
        <v>46042</v>
      </c>
      <c r="B21" s="124" t="s">
        <v>402</v>
      </c>
      <c r="C21" s="125" t="s">
        <v>1335</v>
      </c>
      <c r="D21" s="124" t="s">
        <v>1333</v>
      </c>
      <c r="E21" s="126">
        <v>1.336805555555556</v>
      </c>
      <c r="F21" s="124" t="s">
        <v>63</v>
      </c>
      <c r="G21" s="127">
        <v>9</v>
      </c>
      <c r="H21" s="128" t="s">
        <v>1098</v>
      </c>
    </row>
    <row r="22" spans="1:8" ht="19.899999999999999" customHeight="1">
      <c r="A22" s="121">
        <v>46043</v>
      </c>
      <c r="B22" s="112" t="s">
        <v>359</v>
      </c>
      <c r="C22" s="113" t="s">
        <v>1334</v>
      </c>
      <c r="D22" s="112" t="s">
        <v>1333</v>
      </c>
      <c r="E22" s="122">
        <v>1.9826388888888891</v>
      </c>
      <c r="F22" s="112" t="s">
        <v>361</v>
      </c>
      <c r="G22" s="114">
        <v>9</v>
      </c>
      <c r="H22" s="115" t="s">
        <v>1343</v>
      </c>
    </row>
    <row r="23" spans="1:8" ht="19.899999999999999" customHeight="1">
      <c r="A23" s="123">
        <v>46043</v>
      </c>
      <c r="B23" s="124" t="s">
        <v>359</v>
      </c>
      <c r="C23" s="125" t="s">
        <v>1334</v>
      </c>
      <c r="D23" s="124" t="s">
        <v>1333</v>
      </c>
      <c r="E23" s="126">
        <v>1.9826388888888891</v>
      </c>
      <c r="F23" s="124" t="s">
        <v>46</v>
      </c>
      <c r="G23" s="127">
        <v>9</v>
      </c>
      <c r="H23" s="128" t="s">
        <v>1344</v>
      </c>
    </row>
    <row r="24" spans="1:8" ht="19.899999999999999" customHeight="1">
      <c r="A24" s="136">
        <v>46044</v>
      </c>
      <c r="B24" s="132" t="s">
        <v>61</v>
      </c>
      <c r="C24" s="133" t="s">
        <v>1336</v>
      </c>
      <c r="D24" s="132" t="s">
        <v>1333</v>
      </c>
      <c r="E24" s="137">
        <v>1.8125</v>
      </c>
      <c r="F24" s="132" t="s">
        <v>63</v>
      </c>
      <c r="G24" s="134">
        <v>6</v>
      </c>
      <c r="H24" s="135" t="s">
        <v>1353</v>
      </c>
    </row>
    <row r="25" spans="1:8" ht="19.899999999999999" customHeight="1">
      <c r="A25" s="136">
        <v>46046</v>
      </c>
      <c r="B25" s="132" t="s">
        <v>61</v>
      </c>
      <c r="C25" s="133" t="s">
        <v>1336</v>
      </c>
      <c r="D25" s="132" t="s">
        <v>1333</v>
      </c>
      <c r="E25" s="137">
        <v>1.8125</v>
      </c>
      <c r="F25" s="132" t="s">
        <v>63</v>
      </c>
      <c r="G25" s="134">
        <v>4</v>
      </c>
      <c r="H25" s="135" t="s">
        <v>1356</v>
      </c>
    </row>
    <row r="26" spans="1:8" ht="19.899999999999999" customHeight="1">
      <c r="A26" s="121">
        <v>46048</v>
      </c>
      <c r="B26" s="112" t="s">
        <v>359</v>
      </c>
      <c r="C26" s="113" t="s">
        <v>1334</v>
      </c>
      <c r="D26" s="112" t="s">
        <v>1333</v>
      </c>
      <c r="E26" s="122">
        <v>1.770833333333333</v>
      </c>
      <c r="F26" s="112" t="s">
        <v>361</v>
      </c>
      <c r="G26" s="114">
        <v>9</v>
      </c>
      <c r="H26" s="115" t="s">
        <v>1343</v>
      </c>
    </row>
    <row r="27" spans="1:8" ht="19.899999999999999" customHeight="1">
      <c r="A27" s="123">
        <v>46048</v>
      </c>
      <c r="B27" s="124" t="s">
        <v>359</v>
      </c>
      <c r="C27" s="125" t="s">
        <v>1334</v>
      </c>
      <c r="D27" s="124" t="s">
        <v>1333</v>
      </c>
      <c r="E27" s="126">
        <v>1.770833333333333</v>
      </c>
      <c r="F27" s="124" t="s">
        <v>46</v>
      </c>
      <c r="G27" s="127">
        <v>9</v>
      </c>
      <c r="H27" s="128" t="s">
        <v>1344</v>
      </c>
    </row>
    <row r="28" spans="1:8" ht="19.899999999999999" customHeight="1">
      <c r="A28" s="123">
        <v>46049</v>
      </c>
      <c r="B28" s="124" t="s">
        <v>402</v>
      </c>
      <c r="C28" s="125" t="s">
        <v>1335</v>
      </c>
      <c r="D28" s="124" t="s">
        <v>1333</v>
      </c>
      <c r="E28" s="126">
        <v>1.336805555555556</v>
      </c>
      <c r="F28" s="124" t="s">
        <v>63</v>
      </c>
      <c r="G28" s="127">
        <v>3</v>
      </c>
      <c r="H28" s="128" t="s">
        <v>671</v>
      </c>
    </row>
    <row r="29" spans="1:8" ht="19.899999999999999" customHeight="1">
      <c r="A29" s="121">
        <v>46050</v>
      </c>
      <c r="B29" s="112" t="s">
        <v>359</v>
      </c>
      <c r="C29" s="113" t="s">
        <v>1334</v>
      </c>
      <c r="D29" s="112" t="s">
        <v>1333</v>
      </c>
      <c r="E29" s="122">
        <v>1.9826388888888891</v>
      </c>
      <c r="F29" s="112" t="s">
        <v>361</v>
      </c>
      <c r="G29" s="114">
        <v>9</v>
      </c>
      <c r="H29" s="115" t="s">
        <v>1343</v>
      </c>
    </row>
    <row r="30" spans="1:8" ht="19.899999999999999" customHeight="1">
      <c r="A30" s="123">
        <v>46050</v>
      </c>
      <c r="B30" s="124" t="s">
        <v>359</v>
      </c>
      <c r="C30" s="125" t="s">
        <v>1334</v>
      </c>
      <c r="D30" s="124" t="s">
        <v>1333</v>
      </c>
      <c r="E30" s="126">
        <v>1.9826388888888891</v>
      </c>
      <c r="F30" s="124" t="s">
        <v>46</v>
      </c>
      <c r="G30" s="127">
        <v>9</v>
      </c>
      <c r="H30" s="128" t="s">
        <v>1344</v>
      </c>
    </row>
    <row r="31" spans="1:8" ht="19.899999999999999" customHeight="1">
      <c r="A31" s="136">
        <v>46051</v>
      </c>
      <c r="B31" s="132" t="s">
        <v>61</v>
      </c>
      <c r="C31" s="133" t="s">
        <v>1336</v>
      </c>
      <c r="D31" s="132" t="s">
        <v>1333</v>
      </c>
      <c r="E31" s="137">
        <v>1.8125</v>
      </c>
      <c r="F31" s="132" t="s">
        <v>63</v>
      </c>
      <c r="G31" s="134">
        <v>7</v>
      </c>
      <c r="H31" s="135" t="s">
        <v>138</v>
      </c>
    </row>
    <row r="32" spans="1:8" ht="19.899999999999999" customHeight="1">
      <c r="A32" s="136">
        <v>46053</v>
      </c>
      <c r="B32" s="132" t="s">
        <v>61</v>
      </c>
      <c r="C32" s="133" t="s">
        <v>1336</v>
      </c>
      <c r="D32" s="132" t="s">
        <v>1333</v>
      </c>
      <c r="E32" s="137">
        <v>1.8125</v>
      </c>
      <c r="F32" s="132" t="s">
        <v>63</v>
      </c>
      <c r="G32" s="134">
        <v>3</v>
      </c>
      <c r="H32" s="135" t="s">
        <v>138</v>
      </c>
    </row>
  </sheetData>
  <pageMargins left="0.75" right="0.75" top="1" bottom="1" header="0.5" footer="0.5"/>
  <legacyDrawing r:id="rId1"/>
  <tableParts count="1">
    <tablePart r:id="rId2"/>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J554"/>
  <sheetViews>
    <sheetView workbookViewId="0"/>
  </sheetViews>
  <sheetFormatPr defaultRowHeight="14.45"/>
  <cols>
    <col min="1" max="1" width="11.5703125" bestFit="1" customWidth="1"/>
    <col min="2" max="2" width="17" bestFit="1" customWidth="1"/>
    <col min="3" max="3" width="6.5703125" bestFit="1" customWidth="1"/>
    <col min="4" max="4" width="5.5703125" bestFit="1" customWidth="1"/>
    <col min="5" max="5" width="9.28515625" bestFit="1" customWidth="1"/>
    <col min="6" max="6" width="4.28515625" bestFit="1" customWidth="1"/>
    <col min="7" max="7" width="7" bestFit="1" customWidth="1"/>
    <col min="8" max="8" width="4.42578125" bestFit="1" customWidth="1"/>
    <col min="9" max="10" width="6.7109375" bestFit="1" customWidth="1"/>
    <col min="11" max="11" width="10.5703125" bestFit="1" customWidth="1"/>
    <col min="12" max="12" width="17" bestFit="1" customWidth="1"/>
    <col min="13" max="13" width="7.42578125" bestFit="1" customWidth="1"/>
    <col min="14" max="14" width="6.140625" bestFit="1" customWidth="1"/>
    <col min="15" max="15" width="7.7109375" bestFit="1" customWidth="1"/>
    <col min="16" max="16" width="13.7109375" bestFit="1" customWidth="1"/>
    <col min="17" max="17" width="2" bestFit="1" customWidth="1"/>
    <col min="18" max="18" width="2.140625" bestFit="1" customWidth="1"/>
    <col min="19" max="19" width="2.7109375" bestFit="1" customWidth="1"/>
    <col min="20" max="21" width="2.28515625" bestFit="1" customWidth="1"/>
    <col min="22" max="33" width="3" bestFit="1" customWidth="1"/>
    <col min="34" max="34" width="2.28515625" bestFit="1" customWidth="1"/>
    <col min="35" max="35" width="4" bestFit="1" customWidth="1"/>
    <col min="36" max="36" width="2.28515625" bestFit="1" customWidth="1"/>
  </cols>
  <sheetData>
    <row r="1" spans="1:36">
      <c r="A1" s="107" t="s">
        <v>201</v>
      </c>
      <c r="B1" s="107" t="s">
        <v>202</v>
      </c>
      <c r="C1" s="107" t="s">
        <v>203</v>
      </c>
      <c r="D1" s="107" t="s">
        <v>23</v>
      </c>
      <c r="E1" s="107" t="s">
        <v>204</v>
      </c>
      <c r="F1" s="107" t="s">
        <v>205</v>
      </c>
      <c r="G1" s="107" t="s">
        <v>16</v>
      </c>
      <c r="H1" s="107" t="s">
        <v>206</v>
      </c>
      <c r="I1" s="107" t="s">
        <v>207</v>
      </c>
      <c r="J1" s="107" t="s">
        <v>208</v>
      </c>
      <c r="K1" s="107" t="s">
        <v>209</v>
      </c>
      <c r="L1" s="107" t="s">
        <v>18</v>
      </c>
      <c r="M1" s="107" t="s">
        <v>20</v>
      </c>
      <c r="N1" s="107" t="s">
        <v>21</v>
      </c>
      <c r="O1" s="107" t="s">
        <v>19</v>
      </c>
      <c r="P1" s="107" t="s">
        <v>22</v>
      </c>
      <c r="Q1" s="107" t="s">
        <v>210</v>
      </c>
      <c r="R1" s="107" t="s">
        <v>211</v>
      </c>
      <c r="S1" s="107" t="s">
        <v>212</v>
      </c>
      <c r="T1" s="107" t="s">
        <v>213</v>
      </c>
      <c r="U1" s="107" t="s">
        <v>214</v>
      </c>
      <c r="V1" s="107" t="s">
        <v>215</v>
      </c>
      <c r="W1" s="107" t="s">
        <v>216</v>
      </c>
      <c r="X1" s="107" t="s">
        <v>217</v>
      </c>
      <c r="Y1" s="107" t="s">
        <v>218</v>
      </c>
      <c r="Z1" s="107" t="s">
        <v>219</v>
      </c>
      <c r="AA1" s="107" t="s">
        <v>220</v>
      </c>
      <c r="AB1" s="107" t="s">
        <v>221</v>
      </c>
      <c r="AC1" s="107" t="s">
        <v>222</v>
      </c>
      <c r="AD1" s="107" t="s">
        <v>223</v>
      </c>
      <c r="AE1" s="107" t="s">
        <v>224</v>
      </c>
      <c r="AF1" s="107" t="s">
        <v>225</v>
      </c>
      <c r="AG1" s="107" t="s">
        <v>226</v>
      </c>
      <c r="AH1" s="107" t="s">
        <v>227</v>
      </c>
      <c r="AI1" s="107" t="s">
        <v>228</v>
      </c>
      <c r="AJ1" s="107" t="s">
        <v>229</v>
      </c>
    </row>
    <row r="2" spans="1:36">
      <c r="A2" t="s">
        <v>230</v>
      </c>
      <c r="B2" s="264">
        <v>46023</v>
      </c>
      <c r="C2" t="s">
        <v>709</v>
      </c>
      <c r="D2" t="s">
        <v>742</v>
      </c>
      <c r="E2" t="s">
        <v>706</v>
      </c>
      <c r="F2" t="s">
        <v>232</v>
      </c>
      <c r="G2">
        <v>1.11E-2</v>
      </c>
      <c r="H2">
        <v>180</v>
      </c>
      <c r="I2">
        <v>2</v>
      </c>
      <c r="J2">
        <v>0</v>
      </c>
      <c r="K2" t="s">
        <v>233</v>
      </c>
      <c r="L2" s="264">
        <v>46289</v>
      </c>
      <c r="M2">
        <v>0</v>
      </c>
      <c r="N2">
        <v>0</v>
      </c>
      <c r="O2">
        <v>2</v>
      </c>
      <c r="P2" t="s">
        <v>298</v>
      </c>
      <c r="Q2">
        <v>0</v>
      </c>
      <c r="R2">
        <v>0</v>
      </c>
      <c r="S2">
        <v>0</v>
      </c>
      <c r="T2">
        <v>0</v>
      </c>
      <c r="U2">
        <v>0</v>
      </c>
      <c r="V2">
        <v>0</v>
      </c>
      <c r="W2">
        <v>0</v>
      </c>
      <c r="X2">
        <v>0</v>
      </c>
      <c r="Y2">
        <v>0</v>
      </c>
      <c r="Z2">
        <v>0</v>
      </c>
      <c r="AA2">
        <v>0</v>
      </c>
      <c r="AB2">
        <v>0</v>
      </c>
      <c r="AC2">
        <v>2</v>
      </c>
      <c r="AD2">
        <v>0</v>
      </c>
      <c r="AE2">
        <v>0</v>
      </c>
      <c r="AF2">
        <v>0</v>
      </c>
      <c r="AG2">
        <v>0</v>
      </c>
      <c r="AH2">
        <v>0</v>
      </c>
      <c r="AI2">
        <v>0</v>
      </c>
      <c r="AJ2">
        <v>0</v>
      </c>
    </row>
    <row r="3" spans="1:36">
      <c r="A3" t="s">
        <v>230</v>
      </c>
      <c r="B3" s="264">
        <v>46023</v>
      </c>
      <c r="C3" t="s">
        <v>712</v>
      </c>
      <c r="D3" t="s">
        <v>743</v>
      </c>
      <c r="E3" t="s">
        <v>706</v>
      </c>
      <c r="F3" t="s">
        <v>232</v>
      </c>
      <c r="G3">
        <v>2.2200000000000001E-2</v>
      </c>
      <c r="H3">
        <v>180</v>
      </c>
      <c r="I3">
        <v>4</v>
      </c>
      <c r="J3">
        <v>0</v>
      </c>
      <c r="K3" t="s">
        <v>233</v>
      </c>
      <c r="L3" s="264">
        <v>46343</v>
      </c>
      <c r="M3">
        <v>0</v>
      </c>
      <c r="N3">
        <v>0</v>
      </c>
      <c r="O3">
        <v>4</v>
      </c>
      <c r="P3" t="s">
        <v>300</v>
      </c>
      <c r="Q3">
        <v>0</v>
      </c>
      <c r="R3">
        <v>0</v>
      </c>
      <c r="S3">
        <v>0</v>
      </c>
      <c r="T3">
        <v>0</v>
      </c>
      <c r="U3">
        <v>0</v>
      </c>
      <c r="V3">
        <v>0</v>
      </c>
      <c r="W3">
        <v>0</v>
      </c>
      <c r="X3">
        <v>0</v>
      </c>
      <c r="Y3">
        <v>0</v>
      </c>
      <c r="Z3">
        <v>0</v>
      </c>
      <c r="AA3">
        <v>0</v>
      </c>
      <c r="AB3">
        <v>0</v>
      </c>
      <c r="AC3">
        <v>4</v>
      </c>
      <c r="AD3">
        <v>0</v>
      </c>
      <c r="AE3">
        <v>0</v>
      </c>
      <c r="AF3">
        <v>0</v>
      </c>
      <c r="AG3">
        <v>0</v>
      </c>
      <c r="AH3">
        <v>0</v>
      </c>
      <c r="AI3">
        <v>0</v>
      </c>
      <c r="AJ3">
        <v>0</v>
      </c>
    </row>
    <row r="4" spans="1:36">
      <c r="A4" t="s">
        <v>230</v>
      </c>
      <c r="B4" s="264">
        <v>46023</v>
      </c>
      <c r="C4" t="s">
        <v>1241</v>
      </c>
      <c r="D4" t="s">
        <v>334</v>
      </c>
      <c r="E4" t="s">
        <v>1239</v>
      </c>
      <c r="F4" t="s">
        <v>232</v>
      </c>
      <c r="G4">
        <v>0.1229</v>
      </c>
      <c r="H4">
        <v>179</v>
      </c>
      <c r="I4">
        <v>22</v>
      </c>
      <c r="J4">
        <v>0</v>
      </c>
      <c r="K4" t="s">
        <v>233</v>
      </c>
      <c r="L4" s="264">
        <v>46345</v>
      </c>
      <c r="M4">
        <v>0</v>
      </c>
      <c r="N4">
        <v>0</v>
      </c>
      <c r="O4">
        <v>22</v>
      </c>
      <c r="P4" t="s">
        <v>430</v>
      </c>
      <c r="Q4">
        <v>0</v>
      </c>
      <c r="R4">
        <v>0</v>
      </c>
      <c r="S4">
        <v>0</v>
      </c>
      <c r="T4">
        <v>0</v>
      </c>
      <c r="U4">
        <v>0</v>
      </c>
      <c r="V4">
        <v>0</v>
      </c>
      <c r="W4">
        <v>0</v>
      </c>
      <c r="X4">
        <v>0</v>
      </c>
      <c r="Y4">
        <v>0</v>
      </c>
      <c r="Z4">
        <v>0</v>
      </c>
      <c r="AA4">
        <v>0</v>
      </c>
      <c r="AB4">
        <v>0</v>
      </c>
      <c r="AC4">
        <v>3</v>
      </c>
      <c r="AD4">
        <v>7</v>
      </c>
      <c r="AE4">
        <v>8</v>
      </c>
      <c r="AF4">
        <v>4</v>
      </c>
      <c r="AG4">
        <v>0</v>
      </c>
      <c r="AH4">
        <v>0</v>
      </c>
      <c r="AI4">
        <v>0</v>
      </c>
      <c r="AJ4">
        <v>0</v>
      </c>
    </row>
    <row r="5" spans="1:36">
      <c r="A5" t="s">
        <v>230</v>
      </c>
      <c r="B5" s="264">
        <v>46023</v>
      </c>
      <c r="C5" t="s">
        <v>1194</v>
      </c>
      <c r="D5" t="s">
        <v>1202</v>
      </c>
      <c r="E5" t="s">
        <v>1192</v>
      </c>
      <c r="F5" t="s">
        <v>232</v>
      </c>
      <c r="G5">
        <v>1.6799999999999999E-2</v>
      </c>
      <c r="H5">
        <v>179</v>
      </c>
      <c r="I5">
        <v>3</v>
      </c>
      <c r="J5">
        <v>0</v>
      </c>
      <c r="K5" t="s">
        <v>233</v>
      </c>
      <c r="L5" s="264">
        <v>46342</v>
      </c>
      <c r="M5">
        <v>0</v>
      </c>
      <c r="N5">
        <v>0</v>
      </c>
      <c r="O5">
        <v>3</v>
      </c>
      <c r="P5" t="s">
        <v>819</v>
      </c>
      <c r="Q5">
        <v>0</v>
      </c>
      <c r="R5">
        <v>0</v>
      </c>
      <c r="S5">
        <v>0</v>
      </c>
      <c r="T5">
        <v>0</v>
      </c>
      <c r="U5">
        <v>0</v>
      </c>
      <c r="V5">
        <v>0</v>
      </c>
      <c r="W5">
        <v>0</v>
      </c>
      <c r="X5">
        <v>0</v>
      </c>
      <c r="Y5">
        <v>0</v>
      </c>
      <c r="Z5">
        <v>0</v>
      </c>
      <c r="AA5">
        <v>0</v>
      </c>
      <c r="AB5">
        <v>0</v>
      </c>
      <c r="AC5">
        <v>0</v>
      </c>
      <c r="AD5">
        <v>0</v>
      </c>
      <c r="AE5">
        <v>0</v>
      </c>
      <c r="AF5">
        <v>3</v>
      </c>
      <c r="AG5">
        <v>0</v>
      </c>
      <c r="AH5">
        <v>0</v>
      </c>
      <c r="AI5">
        <v>0</v>
      </c>
      <c r="AJ5">
        <v>0</v>
      </c>
    </row>
    <row r="6" spans="1:36">
      <c r="A6" t="s">
        <v>230</v>
      </c>
      <c r="B6" s="264">
        <v>46023</v>
      </c>
      <c r="C6" t="s">
        <v>1045</v>
      </c>
      <c r="D6" t="s">
        <v>1108</v>
      </c>
      <c r="E6" t="s">
        <v>1040</v>
      </c>
      <c r="F6" t="s">
        <v>232</v>
      </c>
      <c r="G6">
        <v>0.17219999999999999</v>
      </c>
      <c r="H6">
        <v>180</v>
      </c>
      <c r="I6">
        <v>31</v>
      </c>
      <c r="J6">
        <v>0</v>
      </c>
      <c r="K6" t="s">
        <v>233</v>
      </c>
      <c r="L6" s="264">
        <v>46344</v>
      </c>
      <c r="M6">
        <v>0</v>
      </c>
      <c r="N6">
        <v>0</v>
      </c>
      <c r="O6">
        <v>31</v>
      </c>
      <c r="P6" t="s">
        <v>302</v>
      </c>
      <c r="Q6">
        <v>0</v>
      </c>
      <c r="R6">
        <v>0</v>
      </c>
      <c r="S6">
        <v>0</v>
      </c>
      <c r="T6">
        <v>0</v>
      </c>
      <c r="U6">
        <v>0</v>
      </c>
      <c r="V6">
        <v>0</v>
      </c>
      <c r="W6">
        <v>0</v>
      </c>
      <c r="X6">
        <v>0</v>
      </c>
      <c r="Y6">
        <v>0</v>
      </c>
      <c r="Z6">
        <v>0</v>
      </c>
      <c r="AA6">
        <v>0</v>
      </c>
      <c r="AB6">
        <v>0</v>
      </c>
      <c r="AC6">
        <v>15</v>
      </c>
      <c r="AD6">
        <v>10</v>
      </c>
      <c r="AE6">
        <v>5</v>
      </c>
      <c r="AF6">
        <v>1</v>
      </c>
      <c r="AG6">
        <v>0</v>
      </c>
      <c r="AH6">
        <v>0</v>
      </c>
      <c r="AI6">
        <v>0</v>
      </c>
      <c r="AJ6">
        <v>0</v>
      </c>
    </row>
    <row r="7" spans="1:36">
      <c r="A7" t="s">
        <v>230</v>
      </c>
      <c r="B7" s="264">
        <v>46023</v>
      </c>
      <c r="C7" t="s">
        <v>1289</v>
      </c>
      <c r="D7" t="s">
        <v>703</v>
      </c>
      <c r="E7" t="s">
        <v>1286</v>
      </c>
      <c r="F7" t="s">
        <v>232</v>
      </c>
      <c r="G7">
        <v>5.0299999999999997E-2</v>
      </c>
      <c r="H7">
        <v>179</v>
      </c>
      <c r="I7">
        <v>9</v>
      </c>
      <c r="J7">
        <v>0</v>
      </c>
      <c r="K7" t="s">
        <v>233</v>
      </c>
      <c r="L7" s="264">
        <v>46343</v>
      </c>
      <c r="M7">
        <v>0</v>
      </c>
      <c r="N7">
        <v>0</v>
      </c>
      <c r="O7">
        <v>9</v>
      </c>
      <c r="P7" t="s">
        <v>918</v>
      </c>
      <c r="Q7">
        <v>0</v>
      </c>
      <c r="R7">
        <v>0</v>
      </c>
      <c r="S7">
        <v>0</v>
      </c>
      <c r="T7">
        <v>0</v>
      </c>
      <c r="U7">
        <v>0</v>
      </c>
      <c r="V7">
        <v>0</v>
      </c>
      <c r="W7">
        <v>0</v>
      </c>
      <c r="X7">
        <v>0</v>
      </c>
      <c r="Y7">
        <v>0</v>
      </c>
      <c r="Z7">
        <v>0</v>
      </c>
      <c r="AA7">
        <v>0</v>
      </c>
      <c r="AB7">
        <v>0</v>
      </c>
      <c r="AC7">
        <v>3</v>
      </c>
      <c r="AD7">
        <v>0</v>
      </c>
      <c r="AE7">
        <v>2</v>
      </c>
      <c r="AF7">
        <v>4</v>
      </c>
      <c r="AG7">
        <v>0</v>
      </c>
      <c r="AH7">
        <v>0</v>
      </c>
      <c r="AI7">
        <v>0</v>
      </c>
      <c r="AJ7">
        <v>0</v>
      </c>
    </row>
    <row r="8" spans="1:36">
      <c r="A8" t="s">
        <v>230</v>
      </c>
      <c r="B8" s="264">
        <v>46023</v>
      </c>
      <c r="C8" t="s">
        <v>1337</v>
      </c>
      <c r="D8" t="s">
        <v>1324</v>
      </c>
      <c r="E8" t="s">
        <v>1333</v>
      </c>
      <c r="F8" t="s">
        <v>232</v>
      </c>
      <c r="G8">
        <v>3.3500000000000002E-2</v>
      </c>
      <c r="H8">
        <v>179</v>
      </c>
      <c r="I8">
        <v>6</v>
      </c>
      <c r="J8">
        <v>0</v>
      </c>
      <c r="K8" t="s">
        <v>233</v>
      </c>
      <c r="L8" s="264">
        <v>46335</v>
      </c>
      <c r="M8">
        <v>0</v>
      </c>
      <c r="N8">
        <v>0</v>
      </c>
      <c r="O8">
        <v>6</v>
      </c>
      <c r="P8" t="s">
        <v>549</v>
      </c>
      <c r="Q8">
        <v>0</v>
      </c>
      <c r="R8">
        <v>0</v>
      </c>
      <c r="S8">
        <v>0</v>
      </c>
      <c r="T8">
        <v>0</v>
      </c>
      <c r="U8">
        <v>0</v>
      </c>
      <c r="V8">
        <v>0</v>
      </c>
      <c r="W8">
        <v>0</v>
      </c>
      <c r="X8">
        <v>0</v>
      </c>
      <c r="Y8">
        <v>0</v>
      </c>
      <c r="Z8">
        <v>0</v>
      </c>
      <c r="AA8">
        <v>0</v>
      </c>
      <c r="AB8">
        <v>0</v>
      </c>
      <c r="AC8">
        <v>1</v>
      </c>
      <c r="AD8">
        <v>1</v>
      </c>
      <c r="AE8">
        <v>0</v>
      </c>
      <c r="AF8">
        <v>4</v>
      </c>
      <c r="AG8">
        <v>0</v>
      </c>
      <c r="AH8">
        <v>0</v>
      </c>
      <c r="AI8">
        <v>0</v>
      </c>
      <c r="AJ8">
        <v>0</v>
      </c>
    </row>
    <row r="9" spans="1:36">
      <c r="A9" t="s">
        <v>230</v>
      </c>
      <c r="B9" s="264">
        <v>46023</v>
      </c>
      <c r="C9" t="s">
        <v>366</v>
      </c>
      <c r="D9" t="s">
        <v>559</v>
      </c>
      <c r="E9" t="s">
        <v>341</v>
      </c>
      <c r="F9" t="s">
        <v>232</v>
      </c>
      <c r="G9">
        <v>2.1499999999999998E-2</v>
      </c>
      <c r="H9">
        <v>186</v>
      </c>
      <c r="I9">
        <v>4</v>
      </c>
      <c r="J9">
        <v>0</v>
      </c>
      <c r="K9" t="s">
        <v>233</v>
      </c>
      <c r="L9" s="264">
        <v>46342</v>
      </c>
      <c r="M9">
        <v>0</v>
      </c>
      <c r="N9">
        <v>0</v>
      </c>
      <c r="O9">
        <v>4</v>
      </c>
      <c r="P9" t="s">
        <v>367</v>
      </c>
      <c r="Q9">
        <v>0</v>
      </c>
      <c r="R9">
        <v>0</v>
      </c>
      <c r="S9">
        <v>0</v>
      </c>
      <c r="T9">
        <v>0</v>
      </c>
      <c r="U9">
        <v>0</v>
      </c>
      <c r="V9">
        <v>0</v>
      </c>
      <c r="W9">
        <v>0</v>
      </c>
      <c r="X9">
        <v>0</v>
      </c>
      <c r="Y9">
        <v>0</v>
      </c>
      <c r="Z9">
        <v>0</v>
      </c>
      <c r="AA9">
        <v>0</v>
      </c>
      <c r="AB9">
        <v>0</v>
      </c>
      <c r="AC9">
        <v>0</v>
      </c>
      <c r="AD9">
        <v>4</v>
      </c>
      <c r="AE9">
        <v>0</v>
      </c>
      <c r="AF9">
        <v>0</v>
      </c>
      <c r="AG9">
        <v>0</v>
      </c>
      <c r="AH9">
        <v>0</v>
      </c>
      <c r="AI9">
        <v>0</v>
      </c>
      <c r="AJ9">
        <v>0</v>
      </c>
    </row>
    <row r="10" spans="1:36">
      <c r="A10" t="s">
        <v>230</v>
      </c>
      <c r="B10" s="264">
        <v>46023</v>
      </c>
      <c r="C10" t="s">
        <v>370</v>
      </c>
      <c r="D10" t="s">
        <v>554</v>
      </c>
      <c r="E10" t="s">
        <v>341</v>
      </c>
      <c r="F10" t="s">
        <v>232</v>
      </c>
      <c r="G10">
        <v>0</v>
      </c>
      <c r="H10">
        <v>180</v>
      </c>
      <c r="I10">
        <v>0</v>
      </c>
      <c r="J10">
        <v>0</v>
      </c>
      <c r="K10" t="s">
        <v>233</v>
      </c>
      <c r="L10" t="s">
        <v>66</v>
      </c>
      <c r="M10">
        <v>0</v>
      </c>
      <c r="N10">
        <v>0</v>
      </c>
      <c r="O10">
        <v>0</v>
      </c>
      <c r="P10" t="s">
        <v>292</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230</v>
      </c>
      <c r="B11" s="264">
        <v>46023</v>
      </c>
      <c r="C11" t="s">
        <v>373</v>
      </c>
      <c r="D11" t="s">
        <v>273</v>
      </c>
      <c r="E11" t="s">
        <v>341</v>
      </c>
      <c r="F11" t="s">
        <v>232</v>
      </c>
      <c r="G11">
        <v>3.8899999999999997E-2</v>
      </c>
      <c r="H11">
        <v>180</v>
      </c>
      <c r="I11">
        <v>7</v>
      </c>
      <c r="J11">
        <v>0</v>
      </c>
      <c r="K11" t="s">
        <v>233</v>
      </c>
      <c r="L11" s="264">
        <v>46317</v>
      </c>
      <c r="M11">
        <v>0</v>
      </c>
      <c r="N11">
        <v>0</v>
      </c>
      <c r="O11">
        <v>7</v>
      </c>
      <c r="P11" t="s">
        <v>305</v>
      </c>
      <c r="Q11">
        <v>0</v>
      </c>
      <c r="R11">
        <v>0</v>
      </c>
      <c r="S11">
        <v>0</v>
      </c>
      <c r="T11">
        <v>0</v>
      </c>
      <c r="U11">
        <v>0</v>
      </c>
      <c r="V11">
        <v>0</v>
      </c>
      <c r="W11">
        <v>0</v>
      </c>
      <c r="X11">
        <v>0</v>
      </c>
      <c r="Y11">
        <v>0</v>
      </c>
      <c r="Z11">
        <v>0</v>
      </c>
      <c r="AA11">
        <v>0</v>
      </c>
      <c r="AB11">
        <v>0</v>
      </c>
      <c r="AC11">
        <v>0</v>
      </c>
      <c r="AD11">
        <v>0</v>
      </c>
      <c r="AE11">
        <v>0</v>
      </c>
      <c r="AF11">
        <v>7</v>
      </c>
      <c r="AG11">
        <v>0</v>
      </c>
      <c r="AH11">
        <v>0</v>
      </c>
      <c r="AI11">
        <v>0</v>
      </c>
      <c r="AJ11">
        <v>0</v>
      </c>
    </row>
    <row r="12" spans="1:36">
      <c r="A12" t="s">
        <v>230</v>
      </c>
      <c r="B12" s="264">
        <v>46023</v>
      </c>
      <c r="C12" t="s">
        <v>376</v>
      </c>
      <c r="D12" t="s">
        <v>553</v>
      </c>
      <c r="E12" t="s">
        <v>341</v>
      </c>
      <c r="F12" t="s">
        <v>232</v>
      </c>
      <c r="G12">
        <v>0.05</v>
      </c>
      <c r="H12">
        <v>180</v>
      </c>
      <c r="I12">
        <v>9</v>
      </c>
      <c r="J12">
        <v>0</v>
      </c>
      <c r="K12" t="s">
        <v>233</v>
      </c>
      <c r="L12" s="264">
        <v>46325</v>
      </c>
      <c r="M12">
        <v>0</v>
      </c>
      <c r="N12">
        <v>0</v>
      </c>
      <c r="O12">
        <v>12</v>
      </c>
      <c r="P12" t="s">
        <v>307</v>
      </c>
      <c r="Q12">
        <v>0</v>
      </c>
      <c r="R12">
        <v>0</v>
      </c>
      <c r="S12">
        <v>0</v>
      </c>
      <c r="T12">
        <v>0</v>
      </c>
      <c r="U12">
        <v>0</v>
      </c>
      <c r="V12">
        <v>0</v>
      </c>
      <c r="W12">
        <v>0</v>
      </c>
      <c r="X12">
        <v>0</v>
      </c>
      <c r="Y12">
        <v>0</v>
      </c>
      <c r="Z12">
        <v>0</v>
      </c>
      <c r="AA12">
        <v>0</v>
      </c>
      <c r="AB12">
        <v>0</v>
      </c>
      <c r="AC12">
        <v>0</v>
      </c>
      <c r="AD12">
        <v>0</v>
      </c>
      <c r="AE12">
        <v>0</v>
      </c>
      <c r="AF12">
        <v>9</v>
      </c>
      <c r="AG12">
        <v>0</v>
      </c>
      <c r="AH12">
        <v>0</v>
      </c>
      <c r="AI12">
        <v>0</v>
      </c>
      <c r="AJ12">
        <v>0</v>
      </c>
    </row>
    <row r="13" spans="1:36">
      <c r="A13" t="s">
        <v>230</v>
      </c>
      <c r="B13" s="264">
        <v>46023</v>
      </c>
      <c r="C13" t="s">
        <v>378</v>
      </c>
      <c r="D13" t="s">
        <v>555</v>
      </c>
      <c r="E13" t="s">
        <v>341</v>
      </c>
      <c r="F13" t="s">
        <v>232</v>
      </c>
      <c r="G13">
        <v>0.05</v>
      </c>
      <c r="H13">
        <v>180</v>
      </c>
      <c r="I13">
        <v>9</v>
      </c>
      <c r="J13">
        <v>0</v>
      </c>
      <c r="K13" t="s">
        <v>233</v>
      </c>
      <c r="L13" s="264">
        <v>46318</v>
      </c>
      <c r="M13">
        <v>0</v>
      </c>
      <c r="N13">
        <v>0</v>
      </c>
      <c r="O13">
        <v>9</v>
      </c>
      <c r="P13" t="s">
        <v>307</v>
      </c>
      <c r="Q13">
        <v>0</v>
      </c>
      <c r="R13">
        <v>0</v>
      </c>
      <c r="S13">
        <v>0</v>
      </c>
      <c r="T13">
        <v>0</v>
      </c>
      <c r="U13">
        <v>0</v>
      </c>
      <c r="V13">
        <v>0</v>
      </c>
      <c r="W13">
        <v>0</v>
      </c>
      <c r="X13">
        <v>0</v>
      </c>
      <c r="Y13">
        <v>0</v>
      </c>
      <c r="Z13">
        <v>0</v>
      </c>
      <c r="AA13">
        <v>0</v>
      </c>
      <c r="AB13">
        <v>0</v>
      </c>
      <c r="AC13">
        <v>0</v>
      </c>
      <c r="AD13">
        <v>0</v>
      </c>
      <c r="AE13">
        <v>0</v>
      </c>
      <c r="AF13">
        <v>9</v>
      </c>
      <c r="AG13">
        <v>0</v>
      </c>
      <c r="AH13">
        <v>0</v>
      </c>
      <c r="AI13">
        <v>0</v>
      </c>
      <c r="AJ13">
        <v>0</v>
      </c>
    </row>
    <row r="14" spans="1:36">
      <c r="A14" t="s">
        <v>230</v>
      </c>
      <c r="B14" s="264">
        <v>46023</v>
      </c>
      <c r="C14" t="s">
        <v>380</v>
      </c>
      <c r="D14" t="s">
        <v>556</v>
      </c>
      <c r="E14" t="s">
        <v>341</v>
      </c>
      <c r="F14" t="s">
        <v>232</v>
      </c>
      <c r="G14">
        <v>7.7799999999999994E-2</v>
      </c>
      <c r="H14">
        <v>180</v>
      </c>
      <c r="I14">
        <v>14</v>
      </c>
      <c r="J14">
        <v>0</v>
      </c>
      <c r="K14" t="s">
        <v>233</v>
      </c>
      <c r="L14" s="264">
        <v>46293</v>
      </c>
      <c r="M14">
        <v>0</v>
      </c>
      <c r="N14">
        <v>0</v>
      </c>
      <c r="O14">
        <v>14</v>
      </c>
      <c r="P14" t="s">
        <v>304</v>
      </c>
      <c r="Q14">
        <v>0</v>
      </c>
      <c r="R14">
        <v>0</v>
      </c>
      <c r="S14">
        <v>0</v>
      </c>
      <c r="T14">
        <v>0</v>
      </c>
      <c r="U14">
        <v>0</v>
      </c>
      <c r="V14">
        <v>0</v>
      </c>
      <c r="W14">
        <v>4</v>
      </c>
      <c r="X14">
        <v>0</v>
      </c>
      <c r="Y14">
        <v>0</v>
      </c>
      <c r="Z14">
        <v>0</v>
      </c>
      <c r="AA14">
        <v>0</v>
      </c>
      <c r="AB14">
        <v>0</v>
      </c>
      <c r="AC14">
        <v>0</v>
      </c>
      <c r="AD14">
        <v>0</v>
      </c>
      <c r="AE14">
        <v>0</v>
      </c>
      <c r="AF14">
        <v>10</v>
      </c>
      <c r="AG14">
        <v>0</v>
      </c>
      <c r="AH14">
        <v>0</v>
      </c>
      <c r="AI14">
        <v>0</v>
      </c>
      <c r="AJ14">
        <v>0</v>
      </c>
    </row>
    <row r="15" spans="1:36">
      <c r="A15" t="s">
        <v>230</v>
      </c>
      <c r="B15" s="264">
        <v>46023</v>
      </c>
      <c r="C15" t="s">
        <v>65</v>
      </c>
      <c r="D15" t="s">
        <v>231</v>
      </c>
      <c r="E15" t="s">
        <v>1</v>
      </c>
      <c r="F15" t="s">
        <v>232</v>
      </c>
      <c r="G15">
        <v>0</v>
      </c>
      <c r="H15">
        <v>180</v>
      </c>
      <c r="I15">
        <v>0</v>
      </c>
      <c r="J15">
        <v>0</v>
      </c>
      <c r="K15" t="s">
        <v>233</v>
      </c>
      <c r="L15" t="s">
        <v>66</v>
      </c>
      <c r="M15">
        <v>0</v>
      </c>
      <c r="N15">
        <v>0</v>
      </c>
      <c r="O15">
        <v>0</v>
      </c>
      <c r="P15" t="s">
        <v>67</v>
      </c>
      <c r="Q15">
        <v>0</v>
      </c>
      <c r="R15">
        <v>0</v>
      </c>
      <c r="S15">
        <v>0</v>
      </c>
      <c r="T15">
        <v>0</v>
      </c>
      <c r="U15">
        <v>0</v>
      </c>
      <c r="V15">
        <v>0</v>
      </c>
      <c r="W15">
        <v>0</v>
      </c>
      <c r="X15">
        <v>0</v>
      </c>
      <c r="Y15">
        <v>0</v>
      </c>
      <c r="Z15">
        <v>0</v>
      </c>
      <c r="AA15">
        <v>0</v>
      </c>
      <c r="AB15">
        <v>0</v>
      </c>
      <c r="AC15">
        <v>0</v>
      </c>
      <c r="AD15">
        <v>0</v>
      </c>
      <c r="AE15">
        <v>0</v>
      </c>
      <c r="AF15">
        <v>0</v>
      </c>
      <c r="AG15">
        <v>0</v>
      </c>
      <c r="AH15">
        <v>0</v>
      </c>
      <c r="AI15">
        <v>0</v>
      </c>
      <c r="AJ15">
        <v>0</v>
      </c>
    </row>
    <row r="16" spans="1:36">
      <c r="A16" t="s">
        <v>230</v>
      </c>
      <c r="B16" s="264">
        <v>46023</v>
      </c>
      <c r="C16" t="s">
        <v>818</v>
      </c>
      <c r="D16" t="s">
        <v>974</v>
      </c>
      <c r="E16" t="s">
        <v>808</v>
      </c>
      <c r="F16" t="s">
        <v>232</v>
      </c>
      <c r="G16">
        <v>1.6799999999999999E-2</v>
      </c>
      <c r="H16">
        <v>179</v>
      </c>
      <c r="I16">
        <v>3</v>
      </c>
      <c r="J16">
        <v>0</v>
      </c>
      <c r="K16" t="s">
        <v>233</v>
      </c>
      <c r="L16" s="264">
        <v>46338</v>
      </c>
      <c r="M16">
        <v>0</v>
      </c>
      <c r="N16">
        <v>0</v>
      </c>
      <c r="O16">
        <v>3</v>
      </c>
      <c r="P16" t="s">
        <v>326</v>
      </c>
      <c r="Q16">
        <v>0</v>
      </c>
      <c r="R16">
        <v>0</v>
      </c>
      <c r="S16">
        <v>0</v>
      </c>
      <c r="T16">
        <v>0</v>
      </c>
      <c r="U16">
        <v>0</v>
      </c>
      <c r="V16">
        <v>0</v>
      </c>
      <c r="W16">
        <v>0</v>
      </c>
      <c r="X16">
        <v>0</v>
      </c>
      <c r="Y16">
        <v>0</v>
      </c>
      <c r="Z16">
        <v>0</v>
      </c>
      <c r="AA16">
        <v>0</v>
      </c>
      <c r="AB16">
        <v>0</v>
      </c>
      <c r="AC16">
        <v>0</v>
      </c>
      <c r="AD16">
        <v>0</v>
      </c>
      <c r="AE16">
        <v>0</v>
      </c>
      <c r="AF16">
        <v>3</v>
      </c>
      <c r="AG16">
        <v>0</v>
      </c>
      <c r="AH16">
        <v>0</v>
      </c>
      <c r="AI16">
        <v>0</v>
      </c>
      <c r="AJ16">
        <v>0</v>
      </c>
    </row>
    <row r="17" spans="1:36">
      <c r="A17" t="s">
        <v>230</v>
      </c>
      <c r="B17" s="264">
        <v>46023</v>
      </c>
      <c r="C17" t="s">
        <v>1148</v>
      </c>
      <c r="D17" t="s">
        <v>1176</v>
      </c>
      <c r="E17" t="s">
        <v>1144</v>
      </c>
      <c r="F17" t="s">
        <v>232</v>
      </c>
      <c r="G17">
        <v>1.6799999999999999E-2</v>
      </c>
      <c r="H17">
        <v>179</v>
      </c>
      <c r="I17">
        <v>3</v>
      </c>
      <c r="J17">
        <v>0</v>
      </c>
      <c r="K17" t="s">
        <v>233</v>
      </c>
      <c r="L17" s="264">
        <v>46337</v>
      </c>
      <c r="M17">
        <v>0</v>
      </c>
      <c r="N17">
        <v>0</v>
      </c>
      <c r="O17">
        <v>3</v>
      </c>
      <c r="P17" t="s">
        <v>901</v>
      </c>
      <c r="Q17">
        <v>0</v>
      </c>
      <c r="R17">
        <v>0</v>
      </c>
      <c r="S17">
        <v>0</v>
      </c>
      <c r="T17">
        <v>0</v>
      </c>
      <c r="U17">
        <v>0</v>
      </c>
      <c r="V17">
        <v>0</v>
      </c>
      <c r="W17">
        <v>0</v>
      </c>
      <c r="X17">
        <v>0</v>
      </c>
      <c r="Y17">
        <v>0</v>
      </c>
      <c r="Z17">
        <v>0</v>
      </c>
      <c r="AA17">
        <v>0</v>
      </c>
      <c r="AB17">
        <v>0</v>
      </c>
      <c r="AC17">
        <v>0</v>
      </c>
      <c r="AD17">
        <v>0</v>
      </c>
      <c r="AE17">
        <v>0</v>
      </c>
      <c r="AF17">
        <v>3</v>
      </c>
      <c r="AG17">
        <v>0</v>
      </c>
      <c r="AH17">
        <v>0</v>
      </c>
      <c r="AI17">
        <v>0</v>
      </c>
      <c r="AJ17">
        <v>0</v>
      </c>
    </row>
    <row r="18" spans="1:36">
      <c r="A18" t="s">
        <v>230</v>
      </c>
      <c r="B18" s="264">
        <v>46023</v>
      </c>
      <c r="C18" t="s">
        <v>1215</v>
      </c>
      <c r="D18" t="s">
        <v>563</v>
      </c>
      <c r="E18" t="s">
        <v>1213</v>
      </c>
      <c r="F18" t="s">
        <v>232</v>
      </c>
      <c r="G18">
        <v>2.7900000000000001E-2</v>
      </c>
      <c r="H18">
        <v>179</v>
      </c>
      <c r="I18">
        <v>5</v>
      </c>
      <c r="J18">
        <v>0</v>
      </c>
      <c r="K18" t="s">
        <v>233</v>
      </c>
      <c r="L18" s="264">
        <v>46337</v>
      </c>
      <c r="M18">
        <v>0</v>
      </c>
      <c r="N18">
        <v>0</v>
      </c>
      <c r="O18">
        <v>5</v>
      </c>
      <c r="P18" t="s">
        <v>549</v>
      </c>
      <c r="Q18">
        <v>0</v>
      </c>
      <c r="R18">
        <v>0</v>
      </c>
      <c r="S18">
        <v>0</v>
      </c>
      <c r="T18">
        <v>0</v>
      </c>
      <c r="U18">
        <v>0</v>
      </c>
      <c r="V18">
        <v>0</v>
      </c>
      <c r="W18">
        <v>0</v>
      </c>
      <c r="X18">
        <v>0</v>
      </c>
      <c r="Y18">
        <v>0</v>
      </c>
      <c r="Z18">
        <v>0</v>
      </c>
      <c r="AA18">
        <v>0</v>
      </c>
      <c r="AB18">
        <v>3</v>
      </c>
      <c r="AC18">
        <v>2</v>
      </c>
      <c r="AD18">
        <v>0</v>
      </c>
      <c r="AE18">
        <v>0</v>
      </c>
      <c r="AF18">
        <v>0</v>
      </c>
      <c r="AG18">
        <v>0</v>
      </c>
      <c r="AH18">
        <v>0</v>
      </c>
      <c r="AI18">
        <v>0</v>
      </c>
      <c r="AJ18">
        <v>0</v>
      </c>
    </row>
    <row r="19" spans="1:36">
      <c r="A19" t="s">
        <v>230</v>
      </c>
      <c r="B19" s="264">
        <v>46023</v>
      </c>
      <c r="C19" t="s">
        <v>613</v>
      </c>
      <c r="D19" t="s">
        <v>687</v>
      </c>
      <c r="E19" t="s">
        <v>601</v>
      </c>
      <c r="F19" t="s">
        <v>232</v>
      </c>
      <c r="G19">
        <v>0.72219999999999995</v>
      </c>
      <c r="H19">
        <v>180</v>
      </c>
      <c r="I19">
        <v>130</v>
      </c>
      <c r="J19">
        <v>125</v>
      </c>
      <c r="K19" t="s">
        <v>233</v>
      </c>
      <c r="L19" s="264">
        <v>46341</v>
      </c>
      <c r="M19">
        <v>0</v>
      </c>
      <c r="N19">
        <v>0</v>
      </c>
      <c r="O19">
        <v>10</v>
      </c>
      <c r="P19" t="s">
        <v>589</v>
      </c>
      <c r="Q19">
        <v>0</v>
      </c>
      <c r="R19">
        <v>0</v>
      </c>
      <c r="S19">
        <v>0</v>
      </c>
      <c r="T19">
        <v>0</v>
      </c>
      <c r="U19">
        <v>0</v>
      </c>
      <c r="V19">
        <v>0</v>
      </c>
      <c r="W19">
        <v>0</v>
      </c>
      <c r="X19">
        <v>0</v>
      </c>
      <c r="Y19">
        <v>0</v>
      </c>
      <c r="Z19">
        <v>0</v>
      </c>
      <c r="AA19">
        <v>0</v>
      </c>
      <c r="AB19">
        <v>4</v>
      </c>
      <c r="AC19">
        <v>1</v>
      </c>
      <c r="AD19">
        <v>0</v>
      </c>
      <c r="AE19">
        <v>0</v>
      </c>
      <c r="AF19">
        <v>0</v>
      </c>
      <c r="AG19">
        <v>0</v>
      </c>
      <c r="AH19">
        <v>0</v>
      </c>
      <c r="AI19">
        <v>125</v>
      </c>
      <c r="AJ19">
        <v>0</v>
      </c>
    </row>
    <row r="20" spans="1:36">
      <c r="A20" t="s">
        <v>230</v>
      </c>
      <c r="B20" s="264">
        <v>46023</v>
      </c>
      <c r="C20" t="s">
        <v>263</v>
      </c>
      <c r="D20" t="s">
        <v>313</v>
      </c>
      <c r="E20" t="s">
        <v>261</v>
      </c>
      <c r="F20" t="s">
        <v>232</v>
      </c>
      <c r="G20">
        <v>1.67E-2</v>
      </c>
      <c r="H20">
        <v>180</v>
      </c>
      <c r="I20">
        <v>3</v>
      </c>
      <c r="J20">
        <v>0</v>
      </c>
      <c r="K20" t="s">
        <v>233</v>
      </c>
      <c r="L20" s="264">
        <v>46340</v>
      </c>
      <c r="M20">
        <v>0</v>
      </c>
      <c r="N20">
        <v>0</v>
      </c>
      <c r="O20">
        <v>3</v>
      </c>
      <c r="P20" t="s">
        <v>183</v>
      </c>
      <c r="Q20">
        <v>0</v>
      </c>
      <c r="R20">
        <v>0</v>
      </c>
      <c r="S20">
        <v>0</v>
      </c>
      <c r="T20">
        <v>0</v>
      </c>
      <c r="U20">
        <v>0</v>
      </c>
      <c r="V20">
        <v>0</v>
      </c>
      <c r="W20">
        <v>0</v>
      </c>
      <c r="X20">
        <v>0</v>
      </c>
      <c r="Y20">
        <v>0</v>
      </c>
      <c r="Z20">
        <v>0</v>
      </c>
      <c r="AA20">
        <v>0</v>
      </c>
      <c r="AB20">
        <v>3</v>
      </c>
      <c r="AC20">
        <v>0</v>
      </c>
      <c r="AD20">
        <v>0</v>
      </c>
      <c r="AE20">
        <v>0</v>
      </c>
      <c r="AF20">
        <v>0</v>
      </c>
      <c r="AG20">
        <v>0</v>
      </c>
      <c r="AH20">
        <v>0</v>
      </c>
      <c r="AI20">
        <v>0</v>
      </c>
      <c r="AJ20">
        <v>0</v>
      </c>
    </row>
    <row r="21" spans="1:36">
      <c r="A21" t="s">
        <v>560</v>
      </c>
      <c r="B21" s="264">
        <v>46024</v>
      </c>
      <c r="C21" t="s">
        <v>1279</v>
      </c>
      <c r="D21" t="s">
        <v>1283</v>
      </c>
      <c r="E21" t="s">
        <v>1276</v>
      </c>
      <c r="F21" t="s">
        <v>232</v>
      </c>
      <c r="G21">
        <v>3.9100000000000003E-2</v>
      </c>
      <c r="H21">
        <v>179</v>
      </c>
      <c r="I21">
        <v>7</v>
      </c>
      <c r="J21">
        <v>0</v>
      </c>
      <c r="K21" t="s">
        <v>233</v>
      </c>
      <c r="L21" s="264">
        <v>46345</v>
      </c>
      <c r="M21">
        <v>0</v>
      </c>
      <c r="N21">
        <v>0</v>
      </c>
      <c r="O21">
        <v>7</v>
      </c>
      <c r="P21" t="s">
        <v>918</v>
      </c>
      <c r="Q21">
        <v>0</v>
      </c>
      <c r="R21">
        <v>0</v>
      </c>
      <c r="S21">
        <v>0</v>
      </c>
      <c r="T21">
        <v>0</v>
      </c>
      <c r="U21">
        <v>0</v>
      </c>
      <c r="V21">
        <v>0</v>
      </c>
      <c r="W21">
        <v>0</v>
      </c>
      <c r="X21">
        <v>0</v>
      </c>
      <c r="Y21">
        <v>0</v>
      </c>
      <c r="Z21">
        <v>0</v>
      </c>
      <c r="AA21">
        <v>0</v>
      </c>
      <c r="AB21">
        <v>0</v>
      </c>
      <c r="AC21">
        <v>1</v>
      </c>
      <c r="AD21">
        <v>0</v>
      </c>
      <c r="AE21">
        <v>0</v>
      </c>
      <c r="AF21">
        <v>6</v>
      </c>
      <c r="AG21">
        <v>0</v>
      </c>
      <c r="AH21">
        <v>0</v>
      </c>
      <c r="AI21">
        <v>0</v>
      </c>
      <c r="AJ21">
        <v>0</v>
      </c>
    </row>
    <row r="22" spans="1:36">
      <c r="A22" t="s">
        <v>560</v>
      </c>
      <c r="B22" s="264">
        <v>46024</v>
      </c>
      <c r="C22" t="s">
        <v>1208</v>
      </c>
      <c r="D22" t="s">
        <v>313</v>
      </c>
      <c r="E22" t="s">
        <v>1205</v>
      </c>
      <c r="F22" t="s">
        <v>232</v>
      </c>
      <c r="G22">
        <v>5.5999999999999999E-3</v>
      </c>
      <c r="H22">
        <v>179</v>
      </c>
      <c r="I22">
        <v>1</v>
      </c>
      <c r="J22">
        <v>0</v>
      </c>
      <c r="K22" t="s">
        <v>233</v>
      </c>
      <c r="L22" s="264">
        <v>46319</v>
      </c>
      <c r="M22">
        <v>0</v>
      </c>
      <c r="N22">
        <v>0</v>
      </c>
      <c r="O22">
        <v>1</v>
      </c>
      <c r="P22" t="s">
        <v>900</v>
      </c>
      <c r="Q22">
        <v>0</v>
      </c>
      <c r="R22">
        <v>0</v>
      </c>
      <c r="S22">
        <v>0</v>
      </c>
      <c r="T22">
        <v>0</v>
      </c>
      <c r="U22">
        <v>0</v>
      </c>
      <c r="V22">
        <v>0</v>
      </c>
      <c r="W22">
        <v>0</v>
      </c>
      <c r="X22">
        <v>0</v>
      </c>
      <c r="Y22">
        <v>0</v>
      </c>
      <c r="Z22">
        <v>0</v>
      </c>
      <c r="AA22">
        <v>0</v>
      </c>
      <c r="AB22">
        <v>0</v>
      </c>
      <c r="AC22">
        <v>0</v>
      </c>
      <c r="AD22">
        <v>0</v>
      </c>
      <c r="AE22">
        <v>0</v>
      </c>
      <c r="AF22">
        <v>1</v>
      </c>
      <c r="AG22">
        <v>0</v>
      </c>
      <c r="AH22">
        <v>0</v>
      </c>
      <c r="AI22">
        <v>0</v>
      </c>
      <c r="AJ22">
        <v>0</v>
      </c>
    </row>
    <row r="23" spans="1:36">
      <c r="A23" t="s">
        <v>560</v>
      </c>
      <c r="B23" s="264">
        <v>46024</v>
      </c>
      <c r="C23" t="s">
        <v>1125</v>
      </c>
      <c r="D23" t="s">
        <v>1140</v>
      </c>
      <c r="E23" t="s">
        <v>1123</v>
      </c>
      <c r="F23" t="s">
        <v>232</v>
      </c>
      <c r="G23">
        <v>7.22E-2</v>
      </c>
      <c r="H23">
        <v>180</v>
      </c>
      <c r="I23">
        <v>13</v>
      </c>
      <c r="J23">
        <v>0</v>
      </c>
      <c r="K23" t="s">
        <v>233</v>
      </c>
      <c r="L23" s="264">
        <v>46344</v>
      </c>
      <c r="M23">
        <v>0</v>
      </c>
      <c r="N23">
        <v>0</v>
      </c>
      <c r="O23">
        <v>13</v>
      </c>
      <c r="P23" t="s">
        <v>570</v>
      </c>
      <c r="Q23">
        <v>0</v>
      </c>
      <c r="R23">
        <v>0</v>
      </c>
      <c r="S23">
        <v>0</v>
      </c>
      <c r="T23">
        <v>0</v>
      </c>
      <c r="U23">
        <v>0</v>
      </c>
      <c r="V23">
        <v>0</v>
      </c>
      <c r="W23">
        <v>0</v>
      </c>
      <c r="X23">
        <v>0</v>
      </c>
      <c r="Y23">
        <v>0</v>
      </c>
      <c r="Z23">
        <v>0</v>
      </c>
      <c r="AA23">
        <v>0</v>
      </c>
      <c r="AB23">
        <v>0</v>
      </c>
      <c r="AC23">
        <v>5</v>
      </c>
      <c r="AD23">
        <v>0</v>
      </c>
      <c r="AE23">
        <v>6</v>
      </c>
      <c r="AF23">
        <v>2</v>
      </c>
      <c r="AG23">
        <v>0</v>
      </c>
      <c r="AH23">
        <v>0</v>
      </c>
      <c r="AI23">
        <v>0</v>
      </c>
      <c r="AJ23">
        <v>0</v>
      </c>
    </row>
    <row r="24" spans="1:36">
      <c r="A24" t="s">
        <v>560</v>
      </c>
      <c r="B24" s="264">
        <v>46024</v>
      </c>
      <c r="C24" t="s">
        <v>716</v>
      </c>
      <c r="D24" t="s">
        <v>744</v>
      </c>
      <c r="E24" t="s">
        <v>706</v>
      </c>
      <c r="F24" t="s">
        <v>232</v>
      </c>
      <c r="G24">
        <v>2.7799999999999998E-2</v>
      </c>
      <c r="H24">
        <v>180</v>
      </c>
      <c r="I24">
        <v>5</v>
      </c>
      <c r="J24">
        <v>0</v>
      </c>
      <c r="K24" t="s">
        <v>233</v>
      </c>
      <c r="L24" s="264">
        <v>46342</v>
      </c>
      <c r="M24">
        <v>0</v>
      </c>
      <c r="N24">
        <v>0</v>
      </c>
      <c r="O24">
        <v>5</v>
      </c>
      <c r="P24" t="s">
        <v>302</v>
      </c>
      <c r="Q24">
        <v>0</v>
      </c>
      <c r="R24">
        <v>0</v>
      </c>
      <c r="S24">
        <v>0</v>
      </c>
      <c r="T24">
        <v>0</v>
      </c>
      <c r="U24">
        <v>0</v>
      </c>
      <c r="V24">
        <v>0</v>
      </c>
      <c r="W24">
        <v>0</v>
      </c>
      <c r="X24">
        <v>0</v>
      </c>
      <c r="Y24">
        <v>0</v>
      </c>
      <c r="Z24">
        <v>0</v>
      </c>
      <c r="AA24">
        <v>2</v>
      </c>
      <c r="AB24">
        <v>0</v>
      </c>
      <c r="AC24">
        <v>3</v>
      </c>
      <c r="AD24">
        <v>0</v>
      </c>
      <c r="AE24">
        <v>0</v>
      </c>
      <c r="AF24">
        <v>0</v>
      </c>
      <c r="AG24">
        <v>0</v>
      </c>
      <c r="AH24">
        <v>0</v>
      </c>
      <c r="AI24">
        <v>0</v>
      </c>
      <c r="AJ24">
        <v>0</v>
      </c>
    </row>
    <row r="25" spans="1:36">
      <c r="A25" t="s">
        <v>560</v>
      </c>
      <c r="B25" s="264">
        <v>46024</v>
      </c>
      <c r="C25" t="s">
        <v>1181</v>
      </c>
      <c r="D25" t="s">
        <v>1188</v>
      </c>
      <c r="E25" t="s">
        <v>1178</v>
      </c>
      <c r="F25" t="s">
        <v>232</v>
      </c>
      <c r="G25">
        <v>0</v>
      </c>
      <c r="H25">
        <v>179</v>
      </c>
      <c r="I25">
        <v>0</v>
      </c>
      <c r="J25">
        <v>0</v>
      </c>
      <c r="K25" t="s">
        <v>233</v>
      </c>
      <c r="L25" t="s">
        <v>66</v>
      </c>
      <c r="M25">
        <v>0</v>
      </c>
      <c r="N25">
        <v>0</v>
      </c>
      <c r="O25">
        <v>0</v>
      </c>
      <c r="P25" t="s">
        <v>374</v>
      </c>
      <c r="Q25">
        <v>0</v>
      </c>
      <c r="R25">
        <v>0</v>
      </c>
      <c r="S25">
        <v>0</v>
      </c>
      <c r="T25">
        <v>0</v>
      </c>
      <c r="U25">
        <v>0</v>
      </c>
      <c r="V25">
        <v>0</v>
      </c>
      <c r="W25">
        <v>0</v>
      </c>
      <c r="X25">
        <v>0</v>
      </c>
      <c r="Y25">
        <v>0</v>
      </c>
      <c r="Z25">
        <v>0</v>
      </c>
      <c r="AA25">
        <v>0</v>
      </c>
      <c r="AB25">
        <v>0</v>
      </c>
      <c r="AC25">
        <v>0</v>
      </c>
      <c r="AD25">
        <v>0</v>
      </c>
      <c r="AE25">
        <v>0</v>
      </c>
      <c r="AF25">
        <v>0</v>
      </c>
      <c r="AG25">
        <v>0</v>
      </c>
      <c r="AH25">
        <v>0</v>
      </c>
      <c r="AI25">
        <v>0</v>
      </c>
      <c r="AJ25">
        <v>0</v>
      </c>
    </row>
    <row r="26" spans="1:36">
      <c r="A26" t="s">
        <v>560</v>
      </c>
      <c r="B26" s="264">
        <v>46024</v>
      </c>
      <c r="C26" t="s">
        <v>1045</v>
      </c>
      <c r="D26" t="s">
        <v>231</v>
      </c>
      <c r="E26" t="s">
        <v>1040</v>
      </c>
      <c r="F26" t="s">
        <v>232</v>
      </c>
      <c r="G26">
        <v>0.1444</v>
      </c>
      <c r="H26">
        <v>180</v>
      </c>
      <c r="I26">
        <v>26</v>
      </c>
      <c r="J26">
        <v>0</v>
      </c>
      <c r="K26" t="s">
        <v>233</v>
      </c>
      <c r="L26" s="264">
        <v>46343</v>
      </c>
      <c r="M26">
        <v>0</v>
      </c>
      <c r="N26">
        <v>0</v>
      </c>
      <c r="O26">
        <v>26</v>
      </c>
      <c r="P26" t="s">
        <v>305</v>
      </c>
      <c r="Q26">
        <v>0</v>
      </c>
      <c r="R26">
        <v>0</v>
      </c>
      <c r="S26">
        <v>0</v>
      </c>
      <c r="T26">
        <v>0</v>
      </c>
      <c r="U26">
        <v>0</v>
      </c>
      <c r="V26">
        <v>0</v>
      </c>
      <c r="W26">
        <v>0</v>
      </c>
      <c r="X26">
        <v>0</v>
      </c>
      <c r="Y26">
        <v>0</v>
      </c>
      <c r="Z26">
        <v>0</v>
      </c>
      <c r="AA26">
        <v>0</v>
      </c>
      <c r="AB26">
        <v>5</v>
      </c>
      <c r="AC26">
        <v>8</v>
      </c>
      <c r="AD26">
        <v>10</v>
      </c>
      <c r="AE26">
        <v>3</v>
      </c>
      <c r="AF26">
        <v>0</v>
      </c>
      <c r="AG26">
        <v>0</v>
      </c>
      <c r="AH26">
        <v>0</v>
      </c>
      <c r="AI26">
        <v>0</v>
      </c>
      <c r="AJ26">
        <v>0</v>
      </c>
    </row>
    <row r="27" spans="1:36">
      <c r="A27" t="s">
        <v>560</v>
      </c>
      <c r="B27" s="264">
        <v>46024</v>
      </c>
      <c r="C27" t="s">
        <v>1289</v>
      </c>
      <c r="D27" t="s">
        <v>574</v>
      </c>
      <c r="E27" t="s">
        <v>1286</v>
      </c>
      <c r="F27" t="s">
        <v>232</v>
      </c>
      <c r="G27">
        <v>3.9100000000000003E-2</v>
      </c>
      <c r="H27">
        <v>179</v>
      </c>
      <c r="I27">
        <v>7</v>
      </c>
      <c r="J27">
        <v>0</v>
      </c>
      <c r="K27" t="s">
        <v>233</v>
      </c>
      <c r="L27" s="264">
        <v>46344</v>
      </c>
      <c r="M27">
        <v>0</v>
      </c>
      <c r="N27">
        <v>0</v>
      </c>
      <c r="O27">
        <v>7</v>
      </c>
      <c r="P27" t="s">
        <v>877</v>
      </c>
      <c r="Q27">
        <v>0</v>
      </c>
      <c r="R27">
        <v>0</v>
      </c>
      <c r="S27">
        <v>0</v>
      </c>
      <c r="T27">
        <v>0</v>
      </c>
      <c r="U27">
        <v>0</v>
      </c>
      <c r="V27">
        <v>0</v>
      </c>
      <c r="W27">
        <v>0</v>
      </c>
      <c r="X27">
        <v>0</v>
      </c>
      <c r="Y27">
        <v>0</v>
      </c>
      <c r="Z27">
        <v>0</v>
      </c>
      <c r="AA27">
        <v>0</v>
      </c>
      <c r="AB27">
        <v>0</v>
      </c>
      <c r="AC27">
        <v>1</v>
      </c>
      <c r="AD27">
        <v>0</v>
      </c>
      <c r="AE27">
        <v>0</v>
      </c>
      <c r="AF27">
        <v>6</v>
      </c>
      <c r="AG27">
        <v>0</v>
      </c>
      <c r="AH27">
        <v>0</v>
      </c>
      <c r="AI27">
        <v>0</v>
      </c>
      <c r="AJ27">
        <v>0</v>
      </c>
    </row>
    <row r="28" spans="1:36">
      <c r="A28" t="s">
        <v>560</v>
      </c>
      <c r="B28" s="264">
        <v>46024</v>
      </c>
      <c r="C28" t="s">
        <v>433</v>
      </c>
      <c r="D28" t="s">
        <v>565</v>
      </c>
      <c r="E28" t="s">
        <v>341</v>
      </c>
      <c r="F28" t="s">
        <v>232</v>
      </c>
      <c r="G28">
        <v>5.5599999999999997E-2</v>
      </c>
      <c r="H28">
        <v>180</v>
      </c>
      <c r="I28">
        <v>10</v>
      </c>
      <c r="J28">
        <v>0</v>
      </c>
      <c r="K28" t="s">
        <v>233</v>
      </c>
      <c r="L28" s="264">
        <v>46340</v>
      </c>
      <c r="M28">
        <v>0</v>
      </c>
      <c r="N28">
        <v>0</v>
      </c>
      <c r="O28">
        <v>10</v>
      </c>
      <c r="P28" t="s">
        <v>304</v>
      </c>
      <c r="Q28">
        <v>0</v>
      </c>
      <c r="R28">
        <v>0</v>
      </c>
      <c r="S28">
        <v>0</v>
      </c>
      <c r="T28">
        <v>0</v>
      </c>
      <c r="U28">
        <v>0</v>
      </c>
      <c r="V28">
        <v>0</v>
      </c>
      <c r="W28">
        <v>0</v>
      </c>
      <c r="X28">
        <v>0</v>
      </c>
      <c r="Y28">
        <v>0</v>
      </c>
      <c r="Z28">
        <v>0</v>
      </c>
      <c r="AA28">
        <v>0</v>
      </c>
      <c r="AB28">
        <v>0</v>
      </c>
      <c r="AC28">
        <v>4</v>
      </c>
      <c r="AD28">
        <v>6</v>
      </c>
      <c r="AE28">
        <v>0</v>
      </c>
      <c r="AF28">
        <v>0</v>
      </c>
      <c r="AG28">
        <v>0</v>
      </c>
      <c r="AH28">
        <v>0</v>
      </c>
      <c r="AI28">
        <v>0</v>
      </c>
      <c r="AJ28">
        <v>0</v>
      </c>
    </row>
    <row r="29" spans="1:36">
      <c r="A29" t="s">
        <v>560</v>
      </c>
      <c r="B29" s="264">
        <v>46024</v>
      </c>
      <c r="C29" t="s">
        <v>429</v>
      </c>
      <c r="D29" t="s">
        <v>564</v>
      </c>
      <c r="E29" t="s">
        <v>341</v>
      </c>
      <c r="F29" t="s">
        <v>232</v>
      </c>
      <c r="G29">
        <v>2.7799999999999998E-2</v>
      </c>
      <c r="H29">
        <v>180</v>
      </c>
      <c r="I29">
        <v>5</v>
      </c>
      <c r="J29">
        <v>0</v>
      </c>
      <c r="K29" t="s">
        <v>233</v>
      </c>
      <c r="L29" s="264">
        <v>46334</v>
      </c>
      <c r="M29">
        <v>0</v>
      </c>
      <c r="N29">
        <v>0</v>
      </c>
      <c r="O29">
        <v>5</v>
      </c>
      <c r="P29" t="s">
        <v>430</v>
      </c>
      <c r="Q29">
        <v>0</v>
      </c>
      <c r="R29">
        <v>0</v>
      </c>
      <c r="S29">
        <v>0</v>
      </c>
      <c r="T29">
        <v>0</v>
      </c>
      <c r="U29">
        <v>0</v>
      </c>
      <c r="V29">
        <v>0</v>
      </c>
      <c r="W29">
        <v>0</v>
      </c>
      <c r="X29">
        <v>0</v>
      </c>
      <c r="Y29">
        <v>0</v>
      </c>
      <c r="Z29">
        <v>0</v>
      </c>
      <c r="AA29">
        <v>0</v>
      </c>
      <c r="AB29">
        <v>0</v>
      </c>
      <c r="AC29">
        <v>0</v>
      </c>
      <c r="AD29">
        <v>5</v>
      </c>
      <c r="AE29">
        <v>0</v>
      </c>
      <c r="AF29">
        <v>0</v>
      </c>
      <c r="AG29">
        <v>0</v>
      </c>
      <c r="AH29">
        <v>0</v>
      </c>
      <c r="AI29">
        <v>0</v>
      </c>
      <c r="AJ29">
        <v>0</v>
      </c>
    </row>
    <row r="30" spans="1:36">
      <c r="A30" t="s">
        <v>560</v>
      </c>
      <c r="B30" s="264">
        <v>46024</v>
      </c>
      <c r="C30" t="s">
        <v>376</v>
      </c>
      <c r="D30" t="s">
        <v>561</v>
      </c>
      <c r="E30" t="s">
        <v>341</v>
      </c>
      <c r="F30" t="s">
        <v>232</v>
      </c>
      <c r="G30">
        <v>3.3300000000000003E-2</v>
      </c>
      <c r="H30">
        <v>180</v>
      </c>
      <c r="I30">
        <v>6</v>
      </c>
      <c r="J30">
        <v>0</v>
      </c>
      <c r="K30" t="s">
        <v>233</v>
      </c>
      <c r="L30" s="264">
        <v>46342</v>
      </c>
      <c r="M30">
        <v>0</v>
      </c>
      <c r="N30">
        <v>0</v>
      </c>
      <c r="O30">
        <v>6</v>
      </c>
      <c r="P30" t="s">
        <v>299</v>
      </c>
      <c r="Q30">
        <v>0</v>
      </c>
      <c r="R30">
        <v>0</v>
      </c>
      <c r="S30">
        <v>0</v>
      </c>
      <c r="T30">
        <v>0</v>
      </c>
      <c r="U30">
        <v>0</v>
      </c>
      <c r="V30">
        <v>0</v>
      </c>
      <c r="W30">
        <v>0</v>
      </c>
      <c r="X30">
        <v>0</v>
      </c>
      <c r="Y30">
        <v>0</v>
      </c>
      <c r="Z30">
        <v>0</v>
      </c>
      <c r="AA30">
        <v>0</v>
      </c>
      <c r="AB30">
        <v>0</v>
      </c>
      <c r="AC30">
        <v>0</v>
      </c>
      <c r="AD30">
        <v>6</v>
      </c>
      <c r="AE30">
        <v>0</v>
      </c>
      <c r="AF30">
        <v>0</v>
      </c>
      <c r="AG30">
        <v>0</v>
      </c>
      <c r="AH30">
        <v>0</v>
      </c>
      <c r="AI30">
        <v>0</v>
      </c>
      <c r="AJ30">
        <v>0</v>
      </c>
    </row>
    <row r="31" spans="1:36">
      <c r="A31" t="s">
        <v>560</v>
      </c>
      <c r="B31" s="264">
        <v>46024</v>
      </c>
      <c r="C31" t="s">
        <v>378</v>
      </c>
      <c r="D31" t="s">
        <v>562</v>
      </c>
      <c r="E31" t="s">
        <v>341</v>
      </c>
      <c r="F31" t="s">
        <v>232</v>
      </c>
      <c r="G31">
        <v>5.5999999999999999E-3</v>
      </c>
      <c r="H31">
        <v>180</v>
      </c>
      <c r="I31">
        <v>1</v>
      </c>
      <c r="J31">
        <v>0</v>
      </c>
      <c r="K31" t="s">
        <v>233</v>
      </c>
      <c r="L31" s="264">
        <v>46332</v>
      </c>
      <c r="M31">
        <v>0</v>
      </c>
      <c r="N31">
        <v>0</v>
      </c>
      <c r="O31">
        <v>1</v>
      </c>
      <c r="P31" t="s">
        <v>431</v>
      </c>
      <c r="Q31">
        <v>0</v>
      </c>
      <c r="R31">
        <v>0</v>
      </c>
      <c r="S31">
        <v>0</v>
      </c>
      <c r="T31">
        <v>0</v>
      </c>
      <c r="U31">
        <v>0</v>
      </c>
      <c r="V31">
        <v>0</v>
      </c>
      <c r="W31">
        <v>0</v>
      </c>
      <c r="X31">
        <v>0</v>
      </c>
      <c r="Y31">
        <v>0</v>
      </c>
      <c r="Z31">
        <v>0</v>
      </c>
      <c r="AA31">
        <v>0</v>
      </c>
      <c r="AB31">
        <v>0</v>
      </c>
      <c r="AC31">
        <v>0</v>
      </c>
      <c r="AD31">
        <v>1</v>
      </c>
      <c r="AE31">
        <v>0</v>
      </c>
      <c r="AF31">
        <v>0</v>
      </c>
      <c r="AG31">
        <v>0</v>
      </c>
      <c r="AH31">
        <v>0</v>
      </c>
      <c r="AI31">
        <v>0</v>
      </c>
      <c r="AJ31">
        <v>0</v>
      </c>
    </row>
    <row r="32" spans="1:36">
      <c r="A32" t="s">
        <v>560</v>
      </c>
      <c r="B32" s="264">
        <v>46024</v>
      </c>
      <c r="C32" t="s">
        <v>380</v>
      </c>
      <c r="D32" t="s">
        <v>563</v>
      </c>
      <c r="E32" t="s">
        <v>341</v>
      </c>
      <c r="F32" t="s">
        <v>232</v>
      </c>
      <c r="G32">
        <v>2.7799999999999998E-2</v>
      </c>
      <c r="H32">
        <v>180</v>
      </c>
      <c r="I32">
        <v>5</v>
      </c>
      <c r="J32">
        <v>0</v>
      </c>
      <c r="K32" t="s">
        <v>233</v>
      </c>
      <c r="L32" s="264">
        <v>46329</v>
      </c>
      <c r="M32">
        <v>0</v>
      </c>
      <c r="N32">
        <v>0</v>
      </c>
      <c r="O32">
        <v>2</v>
      </c>
      <c r="P32" t="s">
        <v>430</v>
      </c>
      <c r="Q32">
        <v>0</v>
      </c>
      <c r="R32">
        <v>0</v>
      </c>
      <c r="S32">
        <v>0</v>
      </c>
      <c r="T32">
        <v>0</v>
      </c>
      <c r="U32">
        <v>0</v>
      </c>
      <c r="V32">
        <v>0</v>
      </c>
      <c r="W32">
        <v>0</v>
      </c>
      <c r="X32">
        <v>0</v>
      </c>
      <c r="Y32">
        <v>0</v>
      </c>
      <c r="Z32">
        <v>0</v>
      </c>
      <c r="AA32">
        <v>0</v>
      </c>
      <c r="AB32">
        <v>0</v>
      </c>
      <c r="AC32">
        <v>0</v>
      </c>
      <c r="AD32">
        <v>5</v>
      </c>
      <c r="AE32">
        <v>0</v>
      </c>
      <c r="AF32">
        <v>0</v>
      </c>
      <c r="AG32">
        <v>0</v>
      </c>
      <c r="AH32">
        <v>0</v>
      </c>
      <c r="AI32">
        <v>0</v>
      </c>
      <c r="AJ32">
        <v>0</v>
      </c>
    </row>
    <row r="33" spans="1:36">
      <c r="A33" t="s">
        <v>560</v>
      </c>
      <c r="B33" s="264">
        <v>46024</v>
      </c>
      <c r="C33" t="s">
        <v>818</v>
      </c>
      <c r="D33" t="s">
        <v>555</v>
      </c>
      <c r="E33" t="s">
        <v>808</v>
      </c>
      <c r="F33" t="s">
        <v>232</v>
      </c>
      <c r="G33">
        <v>4.4699999999999997E-2</v>
      </c>
      <c r="H33">
        <v>179</v>
      </c>
      <c r="I33">
        <v>8</v>
      </c>
      <c r="J33">
        <v>0</v>
      </c>
      <c r="K33" t="s">
        <v>233</v>
      </c>
      <c r="L33" s="264">
        <v>46344</v>
      </c>
      <c r="M33">
        <v>0</v>
      </c>
      <c r="N33">
        <v>0</v>
      </c>
      <c r="O33">
        <v>8</v>
      </c>
      <c r="P33" t="s">
        <v>850</v>
      </c>
      <c r="Q33">
        <v>0</v>
      </c>
      <c r="R33">
        <v>0</v>
      </c>
      <c r="S33">
        <v>0</v>
      </c>
      <c r="T33">
        <v>0</v>
      </c>
      <c r="U33">
        <v>0</v>
      </c>
      <c r="V33">
        <v>0</v>
      </c>
      <c r="W33">
        <v>0</v>
      </c>
      <c r="X33">
        <v>0</v>
      </c>
      <c r="Y33">
        <v>0</v>
      </c>
      <c r="Z33">
        <v>0</v>
      </c>
      <c r="AA33">
        <v>0</v>
      </c>
      <c r="AB33">
        <v>0</v>
      </c>
      <c r="AC33">
        <v>0</v>
      </c>
      <c r="AD33">
        <v>0</v>
      </c>
      <c r="AE33">
        <v>1</v>
      </c>
      <c r="AF33">
        <v>7</v>
      </c>
      <c r="AG33">
        <v>0</v>
      </c>
      <c r="AH33">
        <v>0</v>
      </c>
      <c r="AI33">
        <v>0</v>
      </c>
      <c r="AJ33">
        <v>0</v>
      </c>
    </row>
    <row r="34" spans="1:36">
      <c r="A34" t="s">
        <v>560</v>
      </c>
      <c r="B34" s="264">
        <v>46024</v>
      </c>
      <c r="C34" t="s">
        <v>854</v>
      </c>
      <c r="D34" t="s">
        <v>975</v>
      </c>
      <c r="E34" t="s">
        <v>808</v>
      </c>
      <c r="F34" t="s">
        <v>232</v>
      </c>
      <c r="G34">
        <v>8.9399999999999993E-2</v>
      </c>
      <c r="H34">
        <v>179</v>
      </c>
      <c r="I34">
        <v>16</v>
      </c>
      <c r="J34">
        <v>0</v>
      </c>
      <c r="K34" t="s">
        <v>233</v>
      </c>
      <c r="L34" s="264">
        <v>46344</v>
      </c>
      <c r="M34">
        <v>0</v>
      </c>
      <c r="N34">
        <v>0</v>
      </c>
      <c r="O34">
        <v>16</v>
      </c>
      <c r="P34" t="s">
        <v>552</v>
      </c>
      <c r="Q34">
        <v>0</v>
      </c>
      <c r="R34">
        <v>0</v>
      </c>
      <c r="S34">
        <v>0</v>
      </c>
      <c r="T34">
        <v>0</v>
      </c>
      <c r="U34">
        <v>0</v>
      </c>
      <c r="V34">
        <v>0</v>
      </c>
      <c r="W34">
        <v>0</v>
      </c>
      <c r="X34">
        <v>0</v>
      </c>
      <c r="Y34">
        <v>0</v>
      </c>
      <c r="Z34">
        <v>0</v>
      </c>
      <c r="AA34">
        <v>0</v>
      </c>
      <c r="AB34">
        <v>0</v>
      </c>
      <c r="AC34">
        <v>3</v>
      </c>
      <c r="AD34">
        <v>1</v>
      </c>
      <c r="AE34">
        <v>8</v>
      </c>
      <c r="AF34">
        <v>4</v>
      </c>
      <c r="AG34">
        <v>0</v>
      </c>
      <c r="AH34">
        <v>0</v>
      </c>
      <c r="AI34">
        <v>0</v>
      </c>
      <c r="AJ34">
        <v>0</v>
      </c>
    </row>
    <row r="35" spans="1:36">
      <c r="A35" t="s">
        <v>560</v>
      </c>
      <c r="B35" s="264">
        <v>46024</v>
      </c>
      <c r="C35" t="s">
        <v>1215</v>
      </c>
      <c r="D35" t="s">
        <v>751</v>
      </c>
      <c r="E35" t="s">
        <v>1213</v>
      </c>
      <c r="F35" t="s">
        <v>232</v>
      </c>
      <c r="G35">
        <v>2.23E-2</v>
      </c>
      <c r="H35">
        <v>179</v>
      </c>
      <c r="I35">
        <v>4</v>
      </c>
      <c r="J35">
        <v>0</v>
      </c>
      <c r="K35" t="s">
        <v>233</v>
      </c>
      <c r="L35" s="264">
        <v>46343</v>
      </c>
      <c r="M35">
        <v>0</v>
      </c>
      <c r="N35">
        <v>0</v>
      </c>
      <c r="O35">
        <v>4</v>
      </c>
      <c r="P35" t="s">
        <v>877</v>
      </c>
      <c r="Q35">
        <v>0</v>
      </c>
      <c r="R35">
        <v>0</v>
      </c>
      <c r="S35">
        <v>0</v>
      </c>
      <c r="T35">
        <v>0</v>
      </c>
      <c r="U35">
        <v>0</v>
      </c>
      <c r="V35">
        <v>0</v>
      </c>
      <c r="W35">
        <v>0</v>
      </c>
      <c r="X35">
        <v>0</v>
      </c>
      <c r="Y35">
        <v>0</v>
      </c>
      <c r="Z35">
        <v>0</v>
      </c>
      <c r="AA35">
        <v>0</v>
      </c>
      <c r="AB35">
        <v>2</v>
      </c>
      <c r="AC35">
        <v>2</v>
      </c>
      <c r="AD35">
        <v>0</v>
      </c>
      <c r="AE35">
        <v>0</v>
      </c>
      <c r="AF35">
        <v>0</v>
      </c>
      <c r="AG35">
        <v>0</v>
      </c>
      <c r="AH35">
        <v>0</v>
      </c>
      <c r="AI35">
        <v>0</v>
      </c>
      <c r="AJ35">
        <v>0</v>
      </c>
    </row>
    <row r="36" spans="1:36">
      <c r="A36" t="s">
        <v>560</v>
      </c>
      <c r="B36" s="264">
        <v>46024</v>
      </c>
      <c r="C36" t="s">
        <v>613</v>
      </c>
      <c r="D36" t="s">
        <v>257</v>
      </c>
      <c r="E36" t="s">
        <v>601</v>
      </c>
      <c r="F36" t="s">
        <v>232</v>
      </c>
      <c r="G36">
        <v>3.3300000000000003E-2</v>
      </c>
      <c r="H36">
        <v>180</v>
      </c>
      <c r="I36">
        <v>6</v>
      </c>
      <c r="J36">
        <v>0</v>
      </c>
      <c r="K36" t="s">
        <v>233</v>
      </c>
      <c r="L36" s="264">
        <v>46344</v>
      </c>
      <c r="M36">
        <v>0</v>
      </c>
      <c r="N36">
        <v>0</v>
      </c>
      <c r="O36">
        <v>6</v>
      </c>
      <c r="P36" t="s">
        <v>300</v>
      </c>
      <c r="Q36">
        <v>0</v>
      </c>
      <c r="R36">
        <v>0</v>
      </c>
      <c r="S36">
        <v>0</v>
      </c>
      <c r="T36">
        <v>0</v>
      </c>
      <c r="U36">
        <v>0</v>
      </c>
      <c r="V36">
        <v>0</v>
      </c>
      <c r="W36">
        <v>0</v>
      </c>
      <c r="X36">
        <v>0</v>
      </c>
      <c r="Y36">
        <v>0</v>
      </c>
      <c r="Z36">
        <v>0</v>
      </c>
      <c r="AA36">
        <v>0</v>
      </c>
      <c r="AB36">
        <v>6</v>
      </c>
      <c r="AC36">
        <v>0</v>
      </c>
      <c r="AD36">
        <v>0</v>
      </c>
      <c r="AE36">
        <v>0</v>
      </c>
      <c r="AF36">
        <v>0</v>
      </c>
      <c r="AG36">
        <v>0</v>
      </c>
      <c r="AH36">
        <v>0</v>
      </c>
      <c r="AI36">
        <v>0</v>
      </c>
      <c r="AJ36">
        <v>0</v>
      </c>
    </row>
    <row r="37" spans="1:36">
      <c r="A37" t="s">
        <v>234</v>
      </c>
      <c r="B37" s="264">
        <v>46025</v>
      </c>
      <c r="C37" t="s">
        <v>1321</v>
      </c>
      <c r="D37" t="s">
        <v>748</v>
      </c>
      <c r="E37" t="s">
        <v>1318</v>
      </c>
      <c r="F37" t="s">
        <v>232</v>
      </c>
      <c r="G37">
        <v>2.7900000000000001E-2</v>
      </c>
      <c r="H37">
        <v>179</v>
      </c>
      <c r="I37">
        <v>5</v>
      </c>
      <c r="J37">
        <v>0</v>
      </c>
      <c r="K37" t="s">
        <v>233</v>
      </c>
      <c r="L37" s="264">
        <v>46338</v>
      </c>
      <c r="M37">
        <v>0</v>
      </c>
      <c r="N37">
        <v>0</v>
      </c>
      <c r="O37">
        <v>5</v>
      </c>
      <c r="P37" t="s">
        <v>819</v>
      </c>
      <c r="Q37">
        <v>0</v>
      </c>
      <c r="R37">
        <v>0</v>
      </c>
      <c r="S37">
        <v>0</v>
      </c>
      <c r="T37">
        <v>0</v>
      </c>
      <c r="U37">
        <v>0</v>
      </c>
      <c r="V37">
        <v>0</v>
      </c>
      <c r="W37">
        <v>0</v>
      </c>
      <c r="X37">
        <v>0</v>
      </c>
      <c r="Y37">
        <v>0</v>
      </c>
      <c r="Z37">
        <v>0</v>
      </c>
      <c r="AA37">
        <v>0</v>
      </c>
      <c r="AB37">
        <v>0</v>
      </c>
      <c r="AC37">
        <v>0</v>
      </c>
      <c r="AD37">
        <v>2</v>
      </c>
      <c r="AE37">
        <v>0</v>
      </c>
      <c r="AF37">
        <v>3</v>
      </c>
      <c r="AG37">
        <v>0</v>
      </c>
      <c r="AH37">
        <v>0</v>
      </c>
      <c r="AI37">
        <v>0</v>
      </c>
      <c r="AJ37">
        <v>0</v>
      </c>
    </row>
    <row r="38" spans="1:36">
      <c r="A38" t="s">
        <v>234</v>
      </c>
      <c r="B38" s="264">
        <v>46025</v>
      </c>
      <c r="C38" t="s">
        <v>709</v>
      </c>
      <c r="D38" t="s">
        <v>745</v>
      </c>
      <c r="E38" t="s">
        <v>706</v>
      </c>
      <c r="F38" t="s">
        <v>232</v>
      </c>
      <c r="G38">
        <v>0</v>
      </c>
      <c r="H38">
        <v>180</v>
      </c>
      <c r="I38">
        <v>0</v>
      </c>
      <c r="J38">
        <v>0</v>
      </c>
      <c r="K38" t="s">
        <v>233</v>
      </c>
      <c r="L38" t="s">
        <v>66</v>
      </c>
      <c r="M38">
        <v>0</v>
      </c>
      <c r="N38">
        <v>0</v>
      </c>
      <c r="O38">
        <v>0</v>
      </c>
      <c r="P38" t="s">
        <v>307</v>
      </c>
      <c r="Q38">
        <v>0</v>
      </c>
      <c r="R38">
        <v>0</v>
      </c>
      <c r="S38">
        <v>0</v>
      </c>
      <c r="T38">
        <v>0</v>
      </c>
      <c r="U38">
        <v>0</v>
      </c>
      <c r="V38">
        <v>0</v>
      </c>
      <c r="W38">
        <v>0</v>
      </c>
      <c r="X38">
        <v>0</v>
      </c>
      <c r="Y38">
        <v>0</v>
      </c>
      <c r="Z38">
        <v>0</v>
      </c>
      <c r="AA38">
        <v>0</v>
      </c>
      <c r="AB38">
        <v>0</v>
      </c>
      <c r="AC38">
        <v>0</v>
      </c>
      <c r="AD38">
        <v>0</v>
      </c>
      <c r="AE38">
        <v>0</v>
      </c>
      <c r="AF38">
        <v>0</v>
      </c>
      <c r="AG38">
        <v>0</v>
      </c>
      <c r="AH38">
        <v>0</v>
      </c>
      <c r="AI38">
        <v>0</v>
      </c>
      <c r="AJ38">
        <v>0</v>
      </c>
    </row>
    <row r="39" spans="1:36">
      <c r="A39" t="s">
        <v>234</v>
      </c>
      <c r="B39" s="264">
        <v>46025</v>
      </c>
      <c r="C39" t="s">
        <v>712</v>
      </c>
      <c r="D39" t="s">
        <v>746</v>
      </c>
      <c r="E39" t="s">
        <v>706</v>
      </c>
      <c r="F39" t="s">
        <v>232</v>
      </c>
      <c r="G39">
        <v>2.2200000000000001E-2</v>
      </c>
      <c r="H39">
        <v>180</v>
      </c>
      <c r="I39">
        <v>4</v>
      </c>
      <c r="J39">
        <v>0</v>
      </c>
      <c r="K39" t="s">
        <v>233</v>
      </c>
      <c r="L39" s="264">
        <v>46333</v>
      </c>
      <c r="M39">
        <v>0</v>
      </c>
      <c r="N39">
        <v>0</v>
      </c>
      <c r="O39">
        <v>4</v>
      </c>
      <c r="P39" t="s">
        <v>302</v>
      </c>
      <c r="Q39">
        <v>0</v>
      </c>
      <c r="R39">
        <v>0</v>
      </c>
      <c r="S39">
        <v>0</v>
      </c>
      <c r="T39">
        <v>0</v>
      </c>
      <c r="U39">
        <v>0</v>
      </c>
      <c r="V39">
        <v>0</v>
      </c>
      <c r="W39">
        <v>0</v>
      </c>
      <c r="X39">
        <v>0</v>
      </c>
      <c r="Y39">
        <v>0</v>
      </c>
      <c r="Z39">
        <v>0</v>
      </c>
      <c r="AA39">
        <v>1</v>
      </c>
      <c r="AB39">
        <v>0</v>
      </c>
      <c r="AC39">
        <v>3</v>
      </c>
      <c r="AD39">
        <v>0</v>
      </c>
      <c r="AE39">
        <v>0</v>
      </c>
      <c r="AF39">
        <v>0</v>
      </c>
      <c r="AG39">
        <v>0</v>
      </c>
      <c r="AH39">
        <v>0</v>
      </c>
      <c r="AI39">
        <v>0</v>
      </c>
      <c r="AJ39">
        <v>0</v>
      </c>
    </row>
    <row r="40" spans="1:36">
      <c r="A40" t="s">
        <v>234</v>
      </c>
      <c r="B40" s="264">
        <v>46025</v>
      </c>
      <c r="C40" t="s">
        <v>716</v>
      </c>
      <c r="D40" t="s">
        <v>561</v>
      </c>
      <c r="E40" t="s">
        <v>706</v>
      </c>
      <c r="F40" t="s">
        <v>232</v>
      </c>
      <c r="G40">
        <v>1.67E-2</v>
      </c>
      <c r="H40">
        <v>180</v>
      </c>
      <c r="I40">
        <v>3</v>
      </c>
      <c r="J40">
        <v>0</v>
      </c>
      <c r="K40" t="s">
        <v>233</v>
      </c>
      <c r="L40" s="264">
        <v>46341</v>
      </c>
      <c r="M40">
        <v>0</v>
      </c>
      <c r="N40">
        <v>0</v>
      </c>
      <c r="O40">
        <v>3</v>
      </c>
      <c r="P40" t="s">
        <v>302</v>
      </c>
      <c r="Q40">
        <v>0</v>
      </c>
      <c r="R40">
        <v>0</v>
      </c>
      <c r="S40">
        <v>0</v>
      </c>
      <c r="T40">
        <v>0</v>
      </c>
      <c r="U40">
        <v>0</v>
      </c>
      <c r="V40">
        <v>0</v>
      </c>
      <c r="W40">
        <v>0</v>
      </c>
      <c r="X40">
        <v>0</v>
      </c>
      <c r="Y40">
        <v>0</v>
      </c>
      <c r="Z40">
        <v>0</v>
      </c>
      <c r="AA40">
        <v>0</v>
      </c>
      <c r="AB40">
        <v>0</v>
      </c>
      <c r="AC40">
        <v>3</v>
      </c>
      <c r="AD40">
        <v>0</v>
      </c>
      <c r="AE40">
        <v>0</v>
      </c>
      <c r="AF40">
        <v>0</v>
      </c>
      <c r="AG40">
        <v>0</v>
      </c>
      <c r="AH40">
        <v>0</v>
      </c>
      <c r="AI40">
        <v>0</v>
      </c>
      <c r="AJ40">
        <v>0</v>
      </c>
    </row>
    <row r="41" spans="1:36">
      <c r="A41" t="s">
        <v>234</v>
      </c>
      <c r="B41" s="264">
        <v>46025</v>
      </c>
      <c r="C41" t="s">
        <v>323</v>
      </c>
      <c r="D41" t="s">
        <v>334</v>
      </c>
      <c r="E41" t="s">
        <v>320</v>
      </c>
      <c r="F41" t="s">
        <v>232</v>
      </c>
      <c r="G41">
        <v>1.11E-2</v>
      </c>
      <c r="H41">
        <v>180</v>
      </c>
      <c r="I41">
        <v>2</v>
      </c>
      <c r="J41">
        <v>0</v>
      </c>
      <c r="K41" t="s">
        <v>233</v>
      </c>
      <c r="L41" s="264">
        <v>46344</v>
      </c>
      <c r="M41">
        <v>0</v>
      </c>
      <c r="N41">
        <v>0</v>
      </c>
      <c r="O41">
        <v>2</v>
      </c>
      <c r="P41" t="s">
        <v>324</v>
      </c>
      <c r="Q41">
        <v>0</v>
      </c>
      <c r="R41">
        <v>0</v>
      </c>
      <c r="S41">
        <v>0</v>
      </c>
      <c r="T41">
        <v>0</v>
      </c>
      <c r="U41">
        <v>0</v>
      </c>
      <c r="V41">
        <v>0</v>
      </c>
      <c r="W41">
        <v>0</v>
      </c>
      <c r="X41">
        <v>0</v>
      </c>
      <c r="Y41">
        <v>0</v>
      </c>
      <c r="Z41">
        <v>0</v>
      </c>
      <c r="AA41">
        <v>0</v>
      </c>
      <c r="AB41">
        <v>0</v>
      </c>
      <c r="AC41">
        <v>1</v>
      </c>
      <c r="AD41">
        <v>0</v>
      </c>
      <c r="AE41">
        <v>0</v>
      </c>
      <c r="AF41">
        <v>1</v>
      </c>
      <c r="AG41">
        <v>0</v>
      </c>
      <c r="AH41">
        <v>0</v>
      </c>
      <c r="AI41">
        <v>0</v>
      </c>
      <c r="AJ41">
        <v>0</v>
      </c>
    </row>
    <row r="42" spans="1:36">
      <c r="A42" t="s">
        <v>234</v>
      </c>
      <c r="B42" s="264">
        <v>46025</v>
      </c>
      <c r="C42" t="s">
        <v>1241</v>
      </c>
      <c r="D42" t="s">
        <v>334</v>
      </c>
      <c r="E42" t="s">
        <v>1239</v>
      </c>
      <c r="F42" t="s">
        <v>232</v>
      </c>
      <c r="G42">
        <v>0.14530000000000001</v>
      </c>
      <c r="H42">
        <v>179</v>
      </c>
      <c r="I42">
        <v>26</v>
      </c>
      <c r="J42">
        <v>0</v>
      </c>
      <c r="K42" t="s">
        <v>233</v>
      </c>
      <c r="L42" s="264">
        <v>46344</v>
      </c>
      <c r="M42">
        <v>0</v>
      </c>
      <c r="N42">
        <v>0</v>
      </c>
      <c r="O42">
        <v>26</v>
      </c>
      <c r="P42" t="s">
        <v>305</v>
      </c>
      <c r="Q42">
        <v>0</v>
      </c>
      <c r="R42">
        <v>0</v>
      </c>
      <c r="S42">
        <v>0</v>
      </c>
      <c r="T42">
        <v>0</v>
      </c>
      <c r="U42">
        <v>0</v>
      </c>
      <c r="V42">
        <v>0</v>
      </c>
      <c r="W42">
        <v>0</v>
      </c>
      <c r="X42">
        <v>0</v>
      </c>
      <c r="Y42">
        <v>0</v>
      </c>
      <c r="Z42">
        <v>0</v>
      </c>
      <c r="AA42">
        <v>2</v>
      </c>
      <c r="AB42">
        <v>0</v>
      </c>
      <c r="AC42">
        <v>10</v>
      </c>
      <c r="AD42">
        <v>10</v>
      </c>
      <c r="AE42">
        <v>4</v>
      </c>
      <c r="AF42">
        <v>0</v>
      </c>
      <c r="AG42">
        <v>0</v>
      </c>
      <c r="AH42">
        <v>0</v>
      </c>
      <c r="AI42">
        <v>0</v>
      </c>
      <c r="AJ42">
        <v>0</v>
      </c>
    </row>
    <row r="43" spans="1:36">
      <c r="A43" t="s">
        <v>234</v>
      </c>
      <c r="B43" s="264">
        <v>46025</v>
      </c>
      <c r="C43" t="s">
        <v>1194</v>
      </c>
      <c r="D43" t="s">
        <v>1203</v>
      </c>
      <c r="E43" t="s">
        <v>1192</v>
      </c>
      <c r="F43" t="s">
        <v>232</v>
      </c>
      <c r="G43">
        <v>2.23E-2</v>
      </c>
      <c r="H43">
        <v>179</v>
      </c>
      <c r="I43">
        <v>4</v>
      </c>
      <c r="J43">
        <v>0</v>
      </c>
      <c r="K43" t="s">
        <v>233</v>
      </c>
      <c r="L43" s="264">
        <v>46335</v>
      </c>
      <c r="M43">
        <v>0</v>
      </c>
      <c r="N43">
        <v>0</v>
      </c>
      <c r="O43">
        <v>4</v>
      </c>
      <c r="P43" t="s">
        <v>819</v>
      </c>
      <c r="Q43">
        <v>0</v>
      </c>
      <c r="R43">
        <v>0</v>
      </c>
      <c r="S43">
        <v>0</v>
      </c>
      <c r="T43">
        <v>0</v>
      </c>
      <c r="U43">
        <v>0</v>
      </c>
      <c r="V43">
        <v>0</v>
      </c>
      <c r="W43">
        <v>0</v>
      </c>
      <c r="X43">
        <v>0</v>
      </c>
      <c r="Y43">
        <v>0</v>
      </c>
      <c r="Z43">
        <v>0</v>
      </c>
      <c r="AA43">
        <v>0</v>
      </c>
      <c r="AB43">
        <v>0</v>
      </c>
      <c r="AC43">
        <v>0</v>
      </c>
      <c r="AD43">
        <v>0</v>
      </c>
      <c r="AE43">
        <v>0</v>
      </c>
      <c r="AF43">
        <v>4</v>
      </c>
      <c r="AG43">
        <v>0</v>
      </c>
      <c r="AH43">
        <v>0</v>
      </c>
      <c r="AI43">
        <v>0</v>
      </c>
      <c r="AJ43">
        <v>0</v>
      </c>
    </row>
    <row r="44" spans="1:36">
      <c r="A44" t="s">
        <v>234</v>
      </c>
      <c r="B44" s="264">
        <v>46025</v>
      </c>
      <c r="C44" t="s">
        <v>1045</v>
      </c>
      <c r="D44" t="s">
        <v>1108</v>
      </c>
      <c r="E44" t="s">
        <v>1040</v>
      </c>
      <c r="F44" t="s">
        <v>232</v>
      </c>
      <c r="G44">
        <v>0.27779999999999999</v>
      </c>
      <c r="H44">
        <v>180</v>
      </c>
      <c r="I44">
        <v>50</v>
      </c>
      <c r="J44">
        <v>0</v>
      </c>
      <c r="K44" t="s">
        <v>233</v>
      </c>
      <c r="L44" s="264">
        <v>46345</v>
      </c>
      <c r="M44">
        <v>0</v>
      </c>
      <c r="N44">
        <v>0</v>
      </c>
      <c r="O44">
        <v>50</v>
      </c>
      <c r="P44" t="s">
        <v>1069</v>
      </c>
      <c r="Q44">
        <v>0</v>
      </c>
      <c r="R44">
        <v>0</v>
      </c>
      <c r="S44">
        <v>0</v>
      </c>
      <c r="T44">
        <v>0</v>
      </c>
      <c r="U44">
        <v>0</v>
      </c>
      <c r="V44">
        <v>0</v>
      </c>
      <c r="W44">
        <v>0</v>
      </c>
      <c r="X44">
        <v>0</v>
      </c>
      <c r="Y44">
        <v>0</v>
      </c>
      <c r="Z44">
        <v>2</v>
      </c>
      <c r="AA44">
        <v>9</v>
      </c>
      <c r="AB44">
        <v>15</v>
      </c>
      <c r="AC44">
        <v>15</v>
      </c>
      <c r="AD44">
        <v>9</v>
      </c>
      <c r="AE44">
        <v>0</v>
      </c>
      <c r="AF44">
        <v>0</v>
      </c>
      <c r="AG44">
        <v>0</v>
      </c>
      <c r="AH44">
        <v>0</v>
      </c>
      <c r="AI44">
        <v>0</v>
      </c>
      <c r="AJ44">
        <v>0</v>
      </c>
    </row>
    <row r="45" spans="1:36">
      <c r="A45" t="s">
        <v>234</v>
      </c>
      <c r="B45" s="264">
        <v>46025</v>
      </c>
      <c r="C45" t="s">
        <v>1337</v>
      </c>
      <c r="D45" t="s">
        <v>1324</v>
      </c>
      <c r="E45" t="s">
        <v>1333</v>
      </c>
      <c r="F45" t="s">
        <v>232</v>
      </c>
      <c r="G45">
        <v>5.5899999999999998E-2</v>
      </c>
      <c r="H45">
        <v>179</v>
      </c>
      <c r="I45">
        <v>10</v>
      </c>
      <c r="J45">
        <v>0</v>
      </c>
      <c r="K45" t="s">
        <v>233</v>
      </c>
      <c r="L45" s="264">
        <v>46345</v>
      </c>
      <c r="M45">
        <v>0</v>
      </c>
      <c r="N45">
        <v>0</v>
      </c>
      <c r="O45">
        <v>10</v>
      </c>
      <c r="P45" t="s">
        <v>905</v>
      </c>
      <c r="Q45">
        <v>0</v>
      </c>
      <c r="R45">
        <v>0</v>
      </c>
      <c r="S45">
        <v>0</v>
      </c>
      <c r="T45">
        <v>0</v>
      </c>
      <c r="U45">
        <v>0</v>
      </c>
      <c r="V45">
        <v>0</v>
      </c>
      <c r="W45">
        <v>0</v>
      </c>
      <c r="X45">
        <v>0</v>
      </c>
      <c r="Y45">
        <v>0</v>
      </c>
      <c r="Z45">
        <v>0</v>
      </c>
      <c r="AA45">
        <v>0</v>
      </c>
      <c r="AB45">
        <v>0</v>
      </c>
      <c r="AC45">
        <v>2</v>
      </c>
      <c r="AD45">
        <v>0</v>
      </c>
      <c r="AE45">
        <v>7</v>
      </c>
      <c r="AF45">
        <v>1</v>
      </c>
      <c r="AG45">
        <v>0</v>
      </c>
      <c r="AH45">
        <v>0</v>
      </c>
      <c r="AI45">
        <v>0</v>
      </c>
      <c r="AJ45">
        <v>0</v>
      </c>
    </row>
    <row r="46" spans="1:36">
      <c r="A46" t="s">
        <v>234</v>
      </c>
      <c r="B46" s="264">
        <v>46025</v>
      </c>
      <c r="C46" t="s">
        <v>366</v>
      </c>
      <c r="D46" t="s">
        <v>568</v>
      </c>
      <c r="E46" t="s">
        <v>341</v>
      </c>
      <c r="F46" t="s">
        <v>232</v>
      </c>
      <c r="G46">
        <v>5.5599999999999997E-2</v>
      </c>
      <c r="H46">
        <v>180</v>
      </c>
      <c r="I46">
        <v>10</v>
      </c>
      <c r="J46">
        <v>0</v>
      </c>
      <c r="K46" t="s">
        <v>233</v>
      </c>
      <c r="L46" s="264">
        <v>46338</v>
      </c>
      <c r="M46">
        <v>0</v>
      </c>
      <c r="N46">
        <v>0</v>
      </c>
      <c r="O46">
        <v>10</v>
      </c>
      <c r="P46" t="s">
        <v>304</v>
      </c>
      <c r="Q46">
        <v>0</v>
      </c>
      <c r="R46">
        <v>0</v>
      </c>
      <c r="S46">
        <v>0</v>
      </c>
      <c r="T46">
        <v>0</v>
      </c>
      <c r="U46">
        <v>0</v>
      </c>
      <c r="V46">
        <v>0</v>
      </c>
      <c r="W46">
        <v>0</v>
      </c>
      <c r="X46">
        <v>0</v>
      </c>
      <c r="Y46">
        <v>0</v>
      </c>
      <c r="Z46">
        <v>0</v>
      </c>
      <c r="AA46">
        <v>0</v>
      </c>
      <c r="AB46">
        <v>0</v>
      </c>
      <c r="AC46">
        <v>2</v>
      </c>
      <c r="AD46">
        <v>8</v>
      </c>
      <c r="AE46">
        <v>0</v>
      </c>
      <c r="AF46">
        <v>0</v>
      </c>
      <c r="AG46">
        <v>0</v>
      </c>
      <c r="AH46">
        <v>0</v>
      </c>
      <c r="AI46">
        <v>0</v>
      </c>
      <c r="AJ46">
        <v>0</v>
      </c>
    </row>
    <row r="47" spans="1:36">
      <c r="A47" t="s">
        <v>234</v>
      </c>
      <c r="B47" s="264">
        <v>46025</v>
      </c>
      <c r="C47" t="s">
        <v>373</v>
      </c>
      <c r="D47" t="s">
        <v>566</v>
      </c>
      <c r="E47" t="s">
        <v>341</v>
      </c>
      <c r="F47" t="s">
        <v>232</v>
      </c>
      <c r="G47">
        <v>2.69E-2</v>
      </c>
      <c r="H47">
        <v>186</v>
      </c>
      <c r="I47">
        <v>5</v>
      </c>
      <c r="J47">
        <v>0</v>
      </c>
      <c r="K47" t="s">
        <v>233</v>
      </c>
      <c r="L47" s="264">
        <v>46342</v>
      </c>
      <c r="M47">
        <v>0</v>
      </c>
      <c r="N47">
        <v>0</v>
      </c>
      <c r="O47">
        <v>5</v>
      </c>
      <c r="P47" t="s">
        <v>446</v>
      </c>
      <c r="Q47">
        <v>0</v>
      </c>
      <c r="R47">
        <v>0</v>
      </c>
      <c r="S47">
        <v>0</v>
      </c>
      <c r="T47">
        <v>0</v>
      </c>
      <c r="U47">
        <v>0</v>
      </c>
      <c r="V47">
        <v>0</v>
      </c>
      <c r="W47">
        <v>0</v>
      </c>
      <c r="X47">
        <v>0</v>
      </c>
      <c r="Y47">
        <v>0</v>
      </c>
      <c r="Z47">
        <v>0</v>
      </c>
      <c r="AA47">
        <v>0</v>
      </c>
      <c r="AB47">
        <v>0</v>
      </c>
      <c r="AC47">
        <v>2</v>
      </c>
      <c r="AD47">
        <v>3</v>
      </c>
      <c r="AE47">
        <v>0</v>
      </c>
      <c r="AF47">
        <v>0</v>
      </c>
      <c r="AG47">
        <v>0</v>
      </c>
      <c r="AH47">
        <v>0</v>
      </c>
      <c r="AI47">
        <v>0</v>
      </c>
      <c r="AJ47">
        <v>0</v>
      </c>
    </row>
    <row r="48" spans="1:36">
      <c r="A48" t="s">
        <v>234</v>
      </c>
      <c r="B48" s="264">
        <v>46025</v>
      </c>
      <c r="C48" t="s">
        <v>376</v>
      </c>
      <c r="D48" t="s">
        <v>553</v>
      </c>
      <c r="E48" t="s">
        <v>341</v>
      </c>
      <c r="F48" t="s">
        <v>232</v>
      </c>
      <c r="G48">
        <v>3.3300000000000003E-2</v>
      </c>
      <c r="H48">
        <v>180</v>
      </c>
      <c r="I48">
        <v>6</v>
      </c>
      <c r="J48">
        <v>0</v>
      </c>
      <c r="K48" t="s">
        <v>233</v>
      </c>
      <c r="L48" s="264">
        <v>46332</v>
      </c>
      <c r="M48">
        <v>0</v>
      </c>
      <c r="N48">
        <v>0</v>
      </c>
      <c r="O48">
        <v>10</v>
      </c>
      <c r="P48" t="s">
        <v>299</v>
      </c>
      <c r="Q48">
        <v>0</v>
      </c>
      <c r="R48">
        <v>0</v>
      </c>
      <c r="S48">
        <v>0</v>
      </c>
      <c r="T48">
        <v>0</v>
      </c>
      <c r="U48">
        <v>0</v>
      </c>
      <c r="V48">
        <v>0</v>
      </c>
      <c r="W48">
        <v>0</v>
      </c>
      <c r="X48">
        <v>0</v>
      </c>
      <c r="Y48">
        <v>0</v>
      </c>
      <c r="Z48">
        <v>0</v>
      </c>
      <c r="AA48">
        <v>0</v>
      </c>
      <c r="AB48">
        <v>0</v>
      </c>
      <c r="AC48">
        <v>0</v>
      </c>
      <c r="AD48">
        <v>6</v>
      </c>
      <c r="AE48">
        <v>0</v>
      </c>
      <c r="AF48">
        <v>0</v>
      </c>
      <c r="AG48">
        <v>0</v>
      </c>
      <c r="AH48">
        <v>0</v>
      </c>
      <c r="AI48">
        <v>0</v>
      </c>
      <c r="AJ48">
        <v>0</v>
      </c>
    </row>
    <row r="49" spans="1:36">
      <c r="A49" t="s">
        <v>234</v>
      </c>
      <c r="B49" s="264">
        <v>46025</v>
      </c>
      <c r="C49" t="s">
        <v>378</v>
      </c>
      <c r="D49" t="s">
        <v>567</v>
      </c>
      <c r="E49" t="s">
        <v>341</v>
      </c>
      <c r="F49" t="s">
        <v>232</v>
      </c>
      <c r="G49">
        <v>7.7799999999999994E-2</v>
      </c>
      <c r="H49">
        <v>180</v>
      </c>
      <c r="I49">
        <v>14</v>
      </c>
      <c r="J49">
        <v>0</v>
      </c>
      <c r="K49" t="s">
        <v>233</v>
      </c>
      <c r="L49" s="264">
        <v>46338</v>
      </c>
      <c r="M49">
        <v>0</v>
      </c>
      <c r="N49">
        <v>0</v>
      </c>
      <c r="O49">
        <v>14</v>
      </c>
      <c r="P49" t="s">
        <v>67</v>
      </c>
      <c r="Q49">
        <v>0</v>
      </c>
      <c r="R49">
        <v>0</v>
      </c>
      <c r="S49">
        <v>0</v>
      </c>
      <c r="T49">
        <v>0</v>
      </c>
      <c r="U49">
        <v>0</v>
      </c>
      <c r="V49">
        <v>0</v>
      </c>
      <c r="W49">
        <v>0</v>
      </c>
      <c r="X49">
        <v>0</v>
      </c>
      <c r="Y49">
        <v>0</v>
      </c>
      <c r="Z49">
        <v>1</v>
      </c>
      <c r="AA49">
        <v>0</v>
      </c>
      <c r="AB49">
        <v>0</v>
      </c>
      <c r="AC49">
        <v>7</v>
      </c>
      <c r="AD49">
        <v>6</v>
      </c>
      <c r="AE49">
        <v>0</v>
      </c>
      <c r="AF49">
        <v>0</v>
      </c>
      <c r="AG49">
        <v>0</v>
      </c>
      <c r="AH49">
        <v>0</v>
      </c>
      <c r="AI49">
        <v>0</v>
      </c>
      <c r="AJ49">
        <v>0</v>
      </c>
    </row>
    <row r="50" spans="1:36">
      <c r="A50" t="s">
        <v>234</v>
      </c>
      <c r="B50" s="264">
        <v>46025</v>
      </c>
      <c r="C50" t="s">
        <v>65</v>
      </c>
      <c r="D50" t="s">
        <v>235</v>
      </c>
      <c r="E50" t="s">
        <v>1</v>
      </c>
      <c r="F50" t="s">
        <v>232</v>
      </c>
      <c r="G50">
        <v>0</v>
      </c>
      <c r="H50">
        <v>180</v>
      </c>
      <c r="I50">
        <v>0</v>
      </c>
      <c r="J50">
        <v>0</v>
      </c>
      <c r="K50" t="s">
        <v>233</v>
      </c>
      <c r="L50" t="s">
        <v>66</v>
      </c>
      <c r="M50">
        <v>0</v>
      </c>
      <c r="N50">
        <v>0</v>
      </c>
      <c r="O50">
        <v>0</v>
      </c>
      <c r="P50" t="s">
        <v>67</v>
      </c>
      <c r="Q50">
        <v>0</v>
      </c>
      <c r="R50">
        <v>0</v>
      </c>
      <c r="S50">
        <v>0</v>
      </c>
      <c r="T50">
        <v>0</v>
      </c>
      <c r="U50">
        <v>0</v>
      </c>
      <c r="V50">
        <v>0</v>
      </c>
      <c r="W50">
        <v>0</v>
      </c>
      <c r="X50">
        <v>0</v>
      </c>
      <c r="Y50">
        <v>0</v>
      </c>
      <c r="Z50">
        <v>0</v>
      </c>
      <c r="AA50">
        <v>0</v>
      </c>
      <c r="AB50">
        <v>0</v>
      </c>
      <c r="AC50">
        <v>0</v>
      </c>
      <c r="AD50">
        <v>0</v>
      </c>
      <c r="AE50">
        <v>0</v>
      </c>
      <c r="AF50">
        <v>0</v>
      </c>
      <c r="AG50">
        <v>0</v>
      </c>
      <c r="AH50">
        <v>0</v>
      </c>
      <c r="AI50">
        <v>0</v>
      </c>
      <c r="AJ50">
        <v>0</v>
      </c>
    </row>
    <row r="51" spans="1:36">
      <c r="A51" t="s">
        <v>234</v>
      </c>
      <c r="B51" s="264">
        <v>46025</v>
      </c>
      <c r="C51" t="s">
        <v>818</v>
      </c>
      <c r="D51" t="s">
        <v>974</v>
      </c>
      <c r="E51" t="s">
        <v>808</v>
      </c>
      <c r="F51" t="s">
        <v>232</v>
      </c>
      <c r="G51">
        <v>0.2235</v>
      </c>
      <c r="H51">
        <v>179</v>
      </c>
      <c r="I51">
        <v>40</v>
      </c>
      <c r="J51">
        <v>0</v>
      </c>
      <c r="K51" t="s">
        <v>233</v>
      </c>
      <c r="L51" s="264">
        <v>46345</v>
      </c>
      <c r="M51">
        <v>0</v>
      </c>
      <c r="N51">
        <v>0</v>
      </c>
      <c r="O51">
        <v>40</v>
      </c>
      <c r="P51" t="s">
        <v>128</v>
      </c>
      <c r="Q51">
        <v>0</v>
      </c>
      <c r="R51">
        <v>0</v>
      </c>
      <c r="S51">
        <v>0</v>
      </c>
      <c r="T51">
        <v>0</v>
      </c>
      <c r="U51">
        <v>0</v>
      </c>
      <c r="V51">
        <v>3</v>
      </c>
      <c r="W51">
        <v>0</v>
      </c>
      <c r="X51">
        <v>0</v>
      </c>
      <c r="Y51">
        <v>0</v>
      </c>
      <c r="Z51">
        <v>0</v>
      </c>
      <c r="AA51">
        <v>0</v>
      </c>
      <c r="AB51">
        <v>13</v>
      </c>
      <c r="AC51">
        <v>5</v>
      </c>
      <c r="AD51">
        <v>9</v>
      </c>
      <c r="AE51">
        <v>5</v>
      </c>
      <c r="AF51">
        <v>5</v>
      </c>
      <c r="AG51">
        <v>0</v>
      </c>
      <c r="AH51">
        <v>0</v>
      </c>
      <c r="AI51">
        <v>0</v>
      </c>
      <c r="AJ51">
        <v>0</v>
      </c>
    </row>
    <row r="52" spans="1:36">
      <c r="A52" t="s">
        <v>234</v>
      </c>
      <c r="B52" s="264">
        <v>46025</v>
      </c>
      <c r="C52" t="s">
        <v>1148</v>
      </c>
      <c r="D52" t="s">
        <v>597</v>
      </c>
      <c r="E52" t="s">
        <v>1144</v>
      </c>
      <c r="F52" t="s">
        <v>232</v>
      </c>
      <c r="G52">
        <v>6.7000000000000004E-2</v>
      </c>
      <c r="H52">
        <v>179</v>
      </c>
      <c r="I52">
        <v>12</v>
      </c>
      <c r="J52">
        <v>0</v>
      </c>
      <c r="K52" t="s">
        <v>233</v>
      </c>
      <c r="L52" s="264">
        <v>46339</v>
      </c>
      <c r="M52">
        <v>0</v>
      </c>
      <c r="N52">
        <v>0</v>
      </c>
      <c r="O52">
        <v>12</v>
      </c>
      <c r="P52" t="s">
        <v>951</v>
      </c>
      <c r="Q52">
        <v>0</v>
      </c>
      <c r="R52">
        <v>0</v>
      </c>
      <c r="S52">
        <v>0</v>
      </c>
      <c r="T52">
        <v>0</v>
      </c>
      <c r="U52">
        <v>0</v>
      </c>
      <c r="V52">
        <v>0</v>
      </c>
      <c r="W52">
        <v>0</v>
      </c>
      <c r="X52">
        <v>0</v>
      </c>
      <c r="Y52">
        <v>0</v>
      </c>
      <c r="Z52">
        <v>2</v>
      </c>
      <c r="AA52">
        <v>0</v>
      </c>
      <c r="AB52">
        <v>0</v>
      </c>
      <c r="AC52">
        <v>0</v>
      </c>
      <c r="AD52">
        <v>0</v>
      </c>
      <c r="AE52">
        <v>3</v>
      </c>
      <c r="AF52">
        <v>7</v>
      </c>
      <c r="AG52">
        <v>0</v>
      </c>
      <c r="AH52">
        <v>0</v>
      </c>
      <c r="AI52">
        <v>0</v>
      </c>
      <c r="AJ52">
        <v>0</v>
      </c>
    </row>
    <row r="53" spans="1:36">
      <c r="A53" t="s">
        <v>234</v>
      </c>
      <c r="B53" s="264">
        <v>46025</v>
      </c>
      <c r="C53" t="s">
        <v>1215</v>
      </c>
      <c r="D53" t="s">
        <v>336</v>
      </c>
      <c r="E53" t="s">
        <v>1213</v>
      </c>
      <c r="F53" t="s">
        <v>232</v>
      </c>
      <c r="G53">
        <v>6.7000000000000004E-2</v>
      </c>
      <c r="H53">
        <v>179</v>
      </c>
      <c r="I53">
        <v>12</v>
      </c>
      <c r="J53">
        <v>0</v>
      </c>
      <c r="K53" t="s">
        <v>233</v>
      </c>
      <c r="L53" s="264">
        <v>46339</v>
      </c>
      <c r="M53">
        <v>0</v>
      </c>
      <c r="N53">
        <v>0</v>
      </c>
      <c r="O53">
        <v>12</v>
      </c>
      <c r="P53" t="s">
        <v>67</v>
      </c>
      <c r="Q53">
        <v>0</v>
      </c>
      <c r="R53">
        <v>0</v>
      </c>
      <c r="S53">
        <v>0</v>
      </c>
      <c r="T53">
        <v>0</v>
      </c>
      <c r="U53">
        <v>0</v>
      </c>
      <c r="V53">
        <v>3</v>
      </c>
      <c r="W53">
        <v>0</v>
      </c>
      <c r="X53">
        <v>0</v>
      </c>
      <c r="Y53">
        <v>0</v>
      </c>
      <c r="Z53">
        <v>0</v>
      </c>
      <c r="AA53">
        <v>3</v>
      </c>
      <c r="AB53">
        <v>4</v>
      </c>
      <c r="AC53">
        <v>2</v>
      </c>
      <c r="AD53">
        <v>0</v>
      </c>
      <c r="AE53">
        <v>0</v>
      </c>
      <c r="AF53">
        <v>0</v>
      </c>
      <c r="AG53">
        <v>0</v>
      </c>
      <c r="AH53">
        <v>0</v>
      </c>
      <c r="AI53">
        <v>0</v>
      </c>
      <c r="AJ53">
        <v>0</v>
      </c>
    </row>
    <row r="54" spans="1:36">
      <c r="A54" t="s">
        <v>234</v>
      </c>
      <c r="B54" s="264">
        <v>46025</v>
      </c>
      <c r="C54" t="s">
        <v>613</v>
      </c>
      <c r="D54" t="s">
        <v>690</v>
      </c>
      <c r="E54" t="s">
        <v>601</v>
      </c>
      <c r="F54" t="s">
        <v>232</v>
      </c>
      <c r="G54">
        <v>7.22E-2</v>
      </c>
      <c r="H54">
        <v>180</v>
      </c>
      <c r="I54">
        <v>13</v>
      </c>
      <c r="J54">
        <v>0</v>
      </c>
      <c r="K54" t="s">
        <v>233</v>
      </c>
      <c r="L54" s="264">
        <v>46338</v>
      </c>
      <c r="M54">
        <v>0</v>
      </c>
      <c r="N54">
        <v>0</v>
      </c>
      <c r="O54">
        <v>13</v>
      </c>
      <c r="P54" t="s">
        <v>101</v>
      </c>
      <c r="Q54">
        <v>0</v>
      </c>
      <c r="R54">
        <v>0</v>
      </c>
      <c r="S54">
        <v>0</v>
      </c>
      <c r="T54">
        <v>0</v>
      </c>
      <c r="U54">
        <v>0</v>
      </c>
      <c r="V54">
        <v>0</v>
      </c>
      <c r="W54">
        <v>0</v>
      </c>
      <c r="X54">
        <v>0</v>
      </c>
      <c r="Y54">
        <v>0</v>
      </c>
      <c r="Z54">
        <v>0</v>
      </c>
      <c r="AA54">
        <v>0</v>
      </c>
      <c r="AB54">
        <v>1</v>
      </c>
      <c r="AC54">
        <v>12</v>
      </c>
      <c r="AD54">
        <v>0</v>
      </c>
      <c r="AE54">
        <v>0</v>
      </c>
      <c r="AF54">
        <v>0</v>
      </c>
      <c r="AG54">
        <v>0</v>
      </c>
      <c r="AH54">
        <v>0</v>
      </c>
      <c r="AI54">
        <v>0</v>
      </c>
      <c r="AJ54">
        <v>0</v>
      </c>
    </row>
    <row r="55" spans="1:36">
      <c r="A55" t="s">
        <v>234</v>
      </c>
      <c r="B55" s="264">
        <v>46025</v>
      </c>
      <c r="C55" t="s">
        <v>630</v>
      </c>
      <c r="D55" t="s">
        <v>689</v>
      </c>
      <c r="E55" t="s">
        <v>601</v>
      </c>
      <c r="F55" t="s">
        <v>232</v>
      </c>
      <c r="G55">
        <v>0.05</v>
      </c>
      <c r="H55">
        <v>180</v>
      </c>
      <c r="I55">
        <v>9</v>
      </c>
      <c r="J55">
        <v>0</v>
      </c>
      <c r="K55" t="s">
        <v>233</v>
      </c>
      <c r="L55" s="264">
        <v>46342</v>
      </c>
      <c r="M55">
        <v>0</v>
      </c>
      <c r="N55">
        <v>0</v>
      </c>
      <c r="O55">
        <v>10</v>
      </c>
      <c r="P55" t="s">
        <v>298</v>
      </c>
      <c r="Q55">
        <v>0</v>
      </c>
      <c r="R55">
        <v>0</v>
      </c>
      <c r="S55">
        <v>0</v>
      </c>
      <c r="T55">
        <v>0</v>
      </c>
      <c r="U55">
        <v>0</v>
      </c>
      <c r="V55">
        <v>0</v>
      </c>
      <c r="W55">
        <v>0</v>
      </c>
      <c r="X55">
        <v>0</v>
      </c>
      <c r="Y55">
        <v>0</v>
      </c>
      <c r="Z55">
        <v>0</v>
      </c>
      <c r="AA55">
        <v>0</v>
      </c>
      <c r="AB55">
        <v>1</v>
      </c>
      <c r="AC55">
        <v>8</v>
      </c>
      <c r="AD55">
        <v>0</v>
      </c>
      <c r="AE55">
        <v>0</v>
      </c>
      <c r="AF55">
        <v>0</v>
      </c>
      <c r="AG55">
        <v>0</v>
      </c>
      <c r="AH55">
        <v>0</v>
      </c>
      <c r="AI55">
        <v>0</v>
      </c>
      <c r="AJ55">
        <v>0</v>
      </c>
    </row>
    <row r="56" spans="1:36">
      <c r="A56" t="s">
        <v>236</v>
      </c>
      <c r="B56" s="264">
        <v>46026</v>
      </c>
      <c r="C56" t="s">
        <v>712</v>
      </c>
      <c r="D56" t="s">
        <v>748</v>
      </c>
      <c r="E56" t="s">
        <v>706</v>
      </c>
      <c r="F56" t="s">
        <v>232</v>
      </c>
      <c r="G56">
        <v>2.2200000000000001E-2</v>
      </c>
      <c r="H56">
        <v>180</v>
      </c>
      <c r="I56">
        <v>4</v>
      </c>
      <c r="J56">
        <v>0</v>
      </c>
      <c r="K56" t="s">
        <v>233</v>
      </c>
      <c r="L56" s="264">
        <v>46334</v>
      </c>
      <c r="M56">
        <v>0</v>
      </c>
      <c r="N56">
        <v>0</v>
      </c>
      <c r="O56">
        <v>4</v>
      </c>
      <c r="P56" t="s">
        <v>300</v>
      </c>
      <c r="Q56">
        <v>0</v>
      </c>
      <c r="R56">
        <v>0</v>
      </c>
      <c r="S56">
        <v>0</v>
      </c>
      <c r="T56">
        <v>0</v>
      </c>
      <c r="U56">
        <v>0</v>
      </c>
      <c r="V56">
        <v>0</v>
      </c>
      <c r="W56">
        <v>0</v>
      </c>
      <c r="X56">
        <v>0</v>
      </c>
      <c r="Y56">
        <v>0</v>
      </c>
      <c r="Z56">
        <v>0</v>
      </c>
      <c r="AA56">
        <v>0</v>
      </c>
      <c r="AB56">
        <v>0</v>
      </c>
      <c r="AC56">
        <v>4</v>
      </c>
      <c r="AD56">
        <v>0</v>
      </c>
      <c r="AE56">
        <v>0</v>
      </c>
      <c r="AF56">
        <v>0</v>
      </c>
      <c r="AG56">
        <v>0</v>
      </c>
      <c r="AH56">
        <v>0</v>
      </c>
      <c r="AI56">
        <v>0</v>
      </c>
      <c r="AJ56">
        <v>0</v>
      </c>
    </row>
    <row r="57" spans="1:36">
      <c r="A57" t="s">
        <v>236</v>
      </c>
      <c r="B57" s="264">
        <v>46026</v>
      </c>
      <c r="C57" t="s">
        <v>716</v>
      </c>
      <c r="D57" t="s">
        <v>747</v>
      </c>
      <c r="E57" t="s">
        <v>706</v>
      </c>
      <c r="F57" t="s">
        <v>232</v>
      </c>
      <c r="G57">
        <v>0</v>
      </c>
      <c r="H57">
        <v>180</v>
      </c>
      <c r="I57">
        <v>0</v>
      </c>
      <c r="J57">
        <v>0</v>
      </c>
      <c r="K57" t="s">
        <v>233</v>
      </c>
      <c r="L57" t="s">
        <v>66</v>
      </c>
      <c r="M57">
        <v>0</v>
      </c>
      <c r="N57">
        <v>0</v>
      </c>
      <c r="O57">
        <v>0</v>
      </c>
      <c r="P57" t="s">
        <v>307</v>
      </c>
      <c r="Q57">
        <v>0</v>
      </c>
      <c r="R57">
        <v>0</v>
      </c>
      <c r="S57">
        <v>0</v>
      </c>
      <c r="T57">
        <v>0</v>
      </c>
      <c r="U57">
        <v>0</v>
      </c>
      <c r="V57">
        <v>0</v>
      </c>
      <c r="W57">
        <v>0</v>
      </c>
      <c r="X57">
        <v>0</v>
      </c>
      <c r="Y57">
        <v>0</v>
      </c>
      <c r="Z57">
        <v>0</v>
      </c>
      <c r="AA57">
        <v>0</v>
      </c>
      <c r="AB57">
        <v>0</v>
      </c>
      <c r="AC57">
        <v>0</v>
      </c>
      <c r="AD57">
        <v>0</v>
      </c>
      <c r="AE57">
        <v>0</v>
      </c>
      <c r="AF57">
        <v>0</v>
      </c>
      <c r="AG57">
        <v>0</v>
      </c>
      <c r="AH57">
        <v>0</v>
      </c>
      <c r="AI57">
        <v>0</v>
      </c>
      <c r="AJ57">
        <v>0</v>
      </c>
    </row>
    <row r="58" spans="1:36">
      <c r="A58" t="s">
        <v>236</v>
      </c>
      <c r="B58" s="264">
        <v>46026</v>
      </c>
      <c r="C58" t="s">
        <v>998</v>
      </c>
      <c r="D58" t="s">
        <v>978</v>
      </c>
      <c r="E58" t="s">
        <v>985</v>
      </c>
      <c r="F58" t="s">
        <v>232</v>
      </c>
      <c r="G58">
        <v>0.13969999999999999</v>
      </c>
      <c r="H58">
        <v>179</v>
      </c>
      <c r="I58">
        <v>25</v>
      </c>
      <c r="J58">
        <v>0</v>
      </c>
      <c r="K58" t="s">
        <v>233</v>
      </c>
      <c r="L58" s="264">
        <v>46343</v>
      </c>
      <c r="M58">
        <v>0</v>
      </c>
      <c r="N58">
        <v>0</v>
      </c>
      <c r="O58">
        <v>25</v>
      </c>
      <c r="P58" t="s">
        <v>299</v>
      </c>
      <c r="Q58">
        <v>0</v>
      </c>
      <c r="R58">
        <v>0</v>
      </c>
      <c r="S58">
        <v>0</v>
      </c>
      <c r="T58">
        <v>0</v>
      </c>
      <c r="U58">
        <v>0</v>
      </c>
      <c r="V58">
        <v>0</v>
      </c>
      <c r="W58">
        <v>0</v>
      </c>
      <c r="X58">
        <v>0</v>
      </c>
      <c r="Y58">
        <v>1</v>
      </c>
      <c r="Z58">
        <v>0</v>
      </c>
      <c r="AA58">
        <v>6</v>
      </c>
      <c r="AB58">
        <v>0</v>
      </c>
      <c r="AC58">
        <v>4</v>
      </c>
      <c r="AD58">
        <v>8</v>
      </c>
      <c r="AE58">
        <v>6</v>
      </c>
      <c r="AF58">
        <v>0</v>
      </c>
      <c r="AG58">
        <v>0</v>
      </c>
      <c r="AH58">
        <v>0</v>
      </c>
      <c r="AI58">
        <v>0</v>
      </c>
      <c r="AJ58">
        <v>0</v>
      </c>
    </row>
    <row r="59" spans="1:36">
      <c r="A59" t="s">
        <v>236</v>
      </c>
      <c r="B59" s="264">
        <v>46026</v>
      </c>
      <c r="C59" t="s">
        <v>370</v>
      </c>
      <c r="D59" t="s">
        <v>553</v>
      </c>
      <c r="E59" t="s">
        <v>341</v>
      </c>
      <c r="F59" t="s">
        <v>232</v>
      </c>
      <c r="G59">
        <v>3.3300000000000003E-2</v>
      </c>
      <c r="H59">
        <v>180</v>
      </c>
      <c r="I59">
        <v>6</v>
      </c>
      <c r="J59">
        <v>0</v>
      </c>
      <c r="K59" t="s">
        <v>233</v>
      </c>
      <c r="L59" s="264">
        <v>46332</v>
      </c>
      <c r="M59">
        <v>0</v>
      </c>
      <c r="N59">
        <v>0</v>
      </c>
      <c r="O59">
        <v>9</v>
      </c>
      <c r="P59" t="s">
        <v>292</v>
      </c>
      <c r="Q59">
        <v>0</v>
      </c>
      <c r="R59">
        <v>0</v>
      </c>
      <c r="S59">
        <v>0</v>
      </c>
      <c r="T59">
        <v>0</v>
      </c>
      <c r="U59">
        <v>0</v>
      </c>
      <c r="V59">
        <v>0</v>
      </c>
      <c r="W59">
        <v>0</v>
      </c>
      <c r="X59">
        <v>0</v>
      </c>
      <c r="Y59">
        <v>0</v>
      </c>
      <c r="Z59">
        <v>2</v>
      </c>
      <c r="AA59">
        <v>0</v>
      </c>
      <c r="AB59">
        <v>0</v>
      </c>
      <c r="AC59">
        <v>1</v>
      </c>
      <c r="AD59">
        <v>0</v>
      </c>
      <c r="AE59">
        <v>1</v>
      </c>
      <c r="AF59">
        <v>2</v>
      </c>
      <c r="AG59">
        <v>0</v>
      </c>
      <c r="AH59">
        <v>0</v>
      </c>
      <c r="AI59">
        <v>0</v>
      </c>
      <c r="AJ59">
        <v>0</v>
      </c>
    </row>
    <row r="60" spans="1:36">
      <c r="A60" t="s">
        <v>236</v>
      </c>
      <c r="B60" s="264">
        <v>46026</v>
      </c>
      <c r="C60" t="s">
        <v>433</v>
      </c>
      <c r="D60" t="s">
        <v>572</v>
      </c>
      <c r="E60" t="s">
        <v>341</v>
      </c>
      <c r="F60" t="s">
        <v>232</v>
      </c>
      <c r="G60">
        <v>0</v>
      </c>
      <c r="H60">
        <v>180</v>
      </c>
      <c r="I60">
        <v>0</v>
      </c>
      <c r="J60">
        <v>0</v>
      </c>
      <c r="K60" t="s">
        <v>233</v>
      </c>
      <c r="L60" t="s">
        <v>66</v>
      </c>
      <c r="M60">
        <v>0</v>
      </c>
      <c r="N60">
        <v>0</v>
      </c>
      <c r="O60">
        <v>0</v>
      </c>
      <c r="P60" t="s">
        <v>436</v>
      </c>
      <c r="Q60">
        <v>0</v>
      </c>
      <c r="R60">
        <v>0</v>
      </c>
      <c r="S60">
        <v>0</v>
      </c>
      <c r="T60">
        <v>0</v>
      </c>
      <c r="U60">
        <v>0</v>
      </c>
      <c r="V60">
        <v>0</v>
      </c>
      <c r="W60">
        <v>0</v>
      </c>
      <c r="X60">
        <v>0</v>
      </c>
      <c r="Y60">
        <v>0</v>
      </c>
      <c r="Z60">
        <v>0</v>
      </c>
      <c r="AA60">
        <v>0</v>
      </c>
      <c r="AB60">
        <v>0</v>
      </c>
      <c r="AC60">
        <v>0</v>
      </c>
      <c r="AD60">
        <v>0</v>
      </c>
      <c r="AE60">
        <v>0</v>
      </c>
      <c r="AF60">
        <v>0</v>
      </c>
      <c r="AG60">
        <v>0</v>
      </c>
      <c r="AH60">
        <v>0</v>
      </c>
      <c r="AI60">
        <v>0</v>
      </c>
      <c r="AJ60">
        <v>0</v>
      </c>
    </row>
    <row r="61" spans="1:36">
      <c r="A61" t="s">
        <v>236</v>
      </c>
      <c r="B61" s="264">
        <v>46026</v>
      </c>
      <c r="C61" t="s">
        <v>376</v>
      </c>
      <c r="D61" t="s">
        <v>561</v>
      </c>
      <c r="E61" t="s">
        <v>341</v>
      </c>
      <c r="F61" t="s">
        <v>232</v>
      </c>
      <c r="G61">
        <v>1.67E-2</v>
      </c>
      <c r="H61">
        <v>180</v>
      </c>
      <c r="I61">
        <v>3</v>
      </c>
      <c r="J61">
        <v>0</v>
      </c>
      <c r="K61" t="s">
        <v>233</v>
      </c>
      <c r="L61" s="264">
        <v>46344</v>
      </c>
      <c r="M61">
        <v>0</v>
      </c>
      <c r="N61">
        <v>0</v>
      </c>
      <c r="O61">
        <v>3</v>
      </c>
      <c r="P61" t="s">
        <v>368</v>
      </c>
      <c r="Q61">
        <v>0</v>
      </c>
      <c r="R61">
        <v>0</v>
      </c>
      <c r="S61">
        <v>0</v>
      </c>
      <c r="T61">
        <v>0</v>
      </c>
      <c r="U61">
        <v>0</v>
      </c>
      <c r="V61">
        <v>0</v>
      </c>
      <c r="W61">
        <v>0</v>
      </c>
      <c r="X61">
        <v>0</v>
      </c>
      <c r="Y61">
        <v>0</v>
      </c>
      <c r="Z61">
        <v>0</v>
      </c>
      <c r="AA61">
        <v>0</v>
      </c>
      <c r="AB61">
        <v>0</v>
      </c>
      <c r="AC61">
        <v>1</v>
      </c>
      <c r="AD61">
        <v>2</v>
      </c>
      <c r="AE61">
        <v>0</v>
      </c>
      <c r="AF61">
        <v>0</v>
      </c>
      <c r="AG61">
        <v>0</v>
      </c>
      <c r="AH61">
        <v>0</v>
      </c>
      <c r="AI61">
        <v>0</v>
      </c>
      <c r="AJ61">
        <v>0</v>
      </c>
    </row>
    <row r="62" spans="1:36">
      <c r="A62" t="s">
        <v>236</v>
      </c>
      <c r="B62" s="264">
        <v>46026</v>
      </c>
      <c r="C62" t="s">
        <v>378</v>
      </c>
      <c r="D62" t="s">
        <v>573</v>
      </c>
      <c r="E62" t="s">
        <v>341</v>
      </c>
      <c r="F62" t="s">
        <v>232</v>
      </c>
      <c r="G62">
        <v>5.5999999999999999E-3</v>
      </c>
      <c r="H62">
        <v>180</v>
      </c>
      <c r="I62">
        <v>1</v>
      </c>
      <c r="J62">
        <v>0</v>
      </c>
      <c r="K62" t="s">
        <v>233</v>
      </c>
      <c r="L62" s="264">
        <v>46344</v>
      </c>
      <c r="M62">
        <v>0</v>
      </c>
      <c r="N62">
        <v>0</v>
      </c>
      <c r="O62">
        <v>1</v>
      </c>
      <c r="P62" t="s">
        <v>431</v>
      </c>
      <c r="Q62">
        <v>0</v>
      </c>
      <c r="R62">
        <v>0</v>
      </c>
      <c r="S62">
        <v>0</v>
      </c>
      <c r="T62">
        <v>0</v>
      </c>
      <c r="U62">
        <v>0</v>
      </c>
      <c r="V62">
        <v>0</v>
      </c>
      <c r="W62">
        <v>0</v>
      </c>
      <c r="X62">
        <v>0</v>
      </c>
      <c r="Y62">
        <v>0</v>
      </c>
      <c r="Z62">
        <v>0</v>
      </c>
      <c r="AA62">
        <v>0</v>
      </c>
      <c r="AB62">
        <v>0</v>
      </c>
      <c r="AC62">
        <v>0</v>
      </c>
      <c r="AD62">
        <v>1</v>
      </c>
      <c r="AE62">
        <v>0</v>
      </c>
      <c r="AF62">
        <v>0</v>
      </c>
      <c r="AG62">
        <v>0</v>
      </c>
      <c r="AH62">
        <v>0</v>
      </c>
      <c r="AI62">
        <v>0</v>
      </c>
      <c r="AJ62">
        <v>0</v>
      </c>
    </row>
    <row r="63" spans="1:36">
      <c r="A63" t="s">
        <v>236</v>
      </c>
      <c r="B63" s="264">
        <v>46026</v>
      </c>
      <c r="C63" t="s">
        <v>380</v>
      </c>
      <c r="D63" t="s">
        <v>574</v>
      </c>
      <c r="E63" t="s">
        <v>341</v>
      </c>
      <c r="F63" t="s">
        <v>232</v>
      </c>
      <c r="G63">
        <v>2.2200000000000001E-2</v>
      </c>
      <c r="H63">
        <v>180</v>
      </c>
      <c r="I63">
        <v>4</v>
      </c>
      <c r="J63">
        <v>0</v>
      </c>
      <c r="K63" t="s">
        <v>233</v>
      </c>
      <c r="L63" s="264">
        <v>46336</v>
      </c>
      <c r="M63">
        <v>0</v>
      </c>
      <c r="N63">
        <v>0</v>
      </c>
      <c r="O63">
        <v>4</v>
      </c>
      <c r="P63" t="s">
        <v>367</v>
      </c>
      <c r="Q63">
        <v>0</v>
      </c>
      <c r="R63">
        <v>0</v>
      </c>
      <c r="S63">
        <v>0</v>
      </c>
      <c r="T63">
        <v>0</v>
      </c>
      <c r="U63">
        <v>0</v>
      </c>
      <c r="V63">
        <v>0</v>
      </c>
      <c r="W63">
        <v>0</v>
      </c>
      <c r="X63">
        <v>0</v>
      </c>
      <c r="Y63">
        <v>0</v>
      </c>
      <c r="Z63">
        <v>0</v>
      </c>
      <c r="AA63">
        <v>0</v>
      </c>
      <c r="AB63">
        <v>0</v>
      </c>
      <c r="AC63">
        <v>0</v>
      </c>
      <c r="AD63">
        <v>4</v>
      </c>
      <c r="AE63">
        <v>0</v>
      </c>
      <c r="AF63">
        <v>0</v>
      </c>
      <c r="AG63">
        <v>0</v>
      </c>
      <c r="AH63">
        <v>0</v>
      </c>
      <c r="AI63">
        <v>0</v>
      </c>
      <c r="AJ63">
        <v>0</v>
      </c>
    </row>
    <row r="64" spans="1:36">
      <c r="A64" t="s">
        <v>236</v>
      </c>
      <c r="B64" s="264">
        <v>46026</v>
      </c>
      <c r="C64" t="s">
        <v>65</v>
      </c>
      <c r="D64" t="s">
        <v>237</v>
      </c>
      <c r="E64" t="s">
        <v>1</v>
      </c>
      <c r="F64" t="s">
        <v>232</v>
      </c>
      <c r="G64">
        <v>0.4</v>
      </c>
      <c r="H64">
        <v>180</v>
      </c>
      <c r="I64">
        <v>72</v>
      </c>
      <c r="J64">
        <v>70</v>
      </c>
      <c r="K64" t="s">
        <v>233</v>
      </c>
      <c r="L64" s="264">
        <v>46329</v>
      </c>
      <c r="M64">
        <v>0</v>
      </c>
      <c r="N64">
        <v>0</v>
      </c>
      <c r="O64">
        <v>5</v>
      </c>
      <c r="P64" t="s">
        <v>101</v>
      </c>
      <c r="Q64">
        <v>0</v>
      </c>
      <c r="R64">
        <v>0</v>
      </c>
      <c r="S64">
        <v>0</v>
      </c>
      <c r="T64">
        <v>0</v>
      </c>
      <c r="U64">
        <v>0</v>
      </c>
      <c r="V64">
        <v>0</v>
      </c>
      <c r="W64">
        <v>0</v>
      </c>
      <c r="X64">
        <v>0</v>
      </c>
      <c r="Y64">
        <v>0</v>
      </c>
      <c r="Z64">
        <v>0</v>
      </c>
      <c r="AA64">
        <v>0</v>
      </c>
      <c r="AB64">
        <v>2</v>
      </c>
      <c r="AC64">
        <v>0</v>
      </c>
      <c r="AD64">
        <v>0</v>
      </c>
      <c r="AE64">
        <v>0</v>
      </c>
      <c r="AF64">
        <v>0</v>
      </c>
      <c r="AG64">
        <v>25</v>
      </c>
      <c r="AH64">
        <v>0</v>
      </c>
      <c r="AI64">
        <v>45</v>
      </c>
      <c r="AJ64">
        <v>0</v>
      </c>
    </row>
    <row r="65" spans="1:36">
      <c r="A65" t="s">
        <v>236</v>
      </c>
      <c r="B65" s="264">
        <v>46026</v>
      </c>
      <c r="C65" t="s">
        <v>818</v>
      </c>
      <c r="D65" t="s">
        <v>978</v>
      </c>
      <c r="E65" t="s">
        <v>808</v>
      </c>
      <c r="F65" t="s">
        <v>232</v>
      </c>
      <c r="G65">
        <v>8.3799999999999999E-2</v>
      </c>
      <c r="H65">
        <v>179</v>
      </c>
      <c r="I65">
        <v>15</v>
      </c>
      <c r="J65">
        <v>0</v>
      </c>
      <c r="K65" t="s">
        <v>233</v>
      </c>
      <c r="L65" s="264">
        <v>46344</v>
      </c>
      <c r="M65">
        <v>0</v>
      </c>
      <c r="N65">
        <v>0</v>
      </c>
      <c r="O65">
        <v>15</v>
      </c>
      <c r="P65" t="s">
        <v>877</v>
      </c>
      <c r="Q65">
        <v>0</v>
      </c>
      <c r="R65">
        <v>0</v>
      </c>
      <c r="S65">
        <v>0</v>
      </c>
      <c r="T65">
        <v>0</v>
      </c>
      <c r="U65">
        <v>0</v>
      </c>
      <c r="V65">
        <v>0</v>
      </c>
      <c r="W65">
        <v>0</v>
      </c>
      <c r="X65">
        <v>0</v>
      </c>
      <c r="Y65">
        <v>0</v>
      </c>
      <c r="Z65">
        <v>0</v>
      </c>
      <c r="AA65">
        <v>0</v>
      </c>
      <c r="AB65">
        <v>0</v>
      </c>
      <c r="AC65">
        <v>0</v>
      </c>
      <c r="AD65">
        <v>0</v>
      </c>
      <c r="AE65">
        <v>12</v>
      </c>
      <c r="AF65">
        <v>3</v>
      </c>
      <c r="AG65">
        <v>0</v>
      </c>
      <c r="AH65">
        <v>0</v>
      </c>
      <c r="AI65">
        <v>0</v>
      </c>
      <c r="AJ65">
        <v>0</v>
      </c>
    </row>
    <row r="66" spans="1:36">
      <c r="A66" t="s">
        <v>236</v>
      </c>
      <c r="B66" s="264">
        <v>46026</v>
      </c>
      <c r="C66" t="s">
        <v>1215</v>
      </c>
      <c r="D66" t="s">
        <v>1236</v>
      </c>
      <c r="E66" t="s">
        <v>1213</v>
      </c>
      <c r="F66" t="s">
        <v>232</v>
      </c>
      <c r="G66">
        <v>5.0299999999999997E-2</v>
      </c>
      <c r="H66">
        <v>179</v>
      </c>
      <c r="I66">
        <v>9</v>
      </c>
      <c r="J66">
        <v>0</v>
      </c>
      <c r="K66" t="s">
        <v>233</v>
      </c>
      <c r="L66" s="264">
        <v>46344</v>
      </c>
      <c r="M66">
        <v>0</v>
      </c>
      <c r="N66">
        <v>0</v>
      </c>
      <c r="O66">
        <v>9</v>
      </c>
      <c r="P66" t="s">
        <v>819</v>
      </c>
      <c r="Q66">
        <v>0</v>
      </c>
      <c r="R66">
        <v>0</v>
      </c>
      <c r="S66">
        <v>0</v>
      </c>
      <c r="T66">
        <v>0</v>
      </c>
      <c r="U66">
        <v>0</v>
      </c>
      <c r="V66">
        <v>0</v>
      </c>
      <c r="W66">
        <v>0</v>
      </c>
      <c r="X66">
        <v>0</v>
      </c>
      <c r="Y66">
        <v>0</v>
      </c>
      <c r="Z66">
        <v>0</v>
      </c>
      <c r="AA66">
        <v>0</v>
      </c>
      <c r="AB66">
        <v>2</v>
      </c>
      <c r="AC66">
        <v>2</v>
      </c>
      <c r="AD66">
        <v>0</v>
      </c>
      <c r="AE66">
        <v>0</v>
      </c>
      <c r="AF66">
        <v>5</v>
      </c>
      <c r="AG66">
        <v>0</v>
      </c>
      <c r="AH66">
        <v>0</v>
      </c>
      <c r="AI66">
        <v>0</v>
      </c>
      <c r="AJ66">
        <v>0</v>
      </c>
    </row>
    <row r="67" spans="1:36">
      <c r="A67" t="s">
        <v>236</v>
      </c>
      <c r="B67" s="264">
        <v>46026</v>
      </c>
      <c r="C67" t="s">
        <v>613</v>
      </c>
      <c r="D67" t="s">
        <v>692</v>
      </c>
      <c r="E67" t="s">
        <v>601</v>
      </c>
      <c r="F67" t="s">
        <v>232</v>
      </c>
      <c r="G67">
        <v>5.5999999999999999E-3</v>
      </c>
      <c r="H67">
        <v>180</v>
      </c>
      <c r="I67">
        <v>1</v>
      </c>
      <c r="J67">
        <v>0</v>
      </c>
      <c r="K67" t="s">
        <v>233</v>
      </c>
      <c r="L67" s="264">
        <v>46340</v>
      </c>
      <c r="M67">
        <v>0</v>
      </c>
      <c r="N67">
        <v>0</v>
      </c>
      <c r="O67">
        <v>3</v>
      </c>
      <c r="P67" t="s">
        <v>292</v>
      </c>
      <c r="Q67">
        <v>0</v>
      </c>
      <c r="R67">
        <v>0</v>
      </c>
      <c r="S67">
        <v>0</v>
      </c>
      <c r="T67">
        <v>0</v>
      </c>
      <c r="U67">
        <v>0</v>
      </c>
      <c r="V67">
        <v>0</v>
      </c>
      <c r="W67">
        <v>0</v>
      </c>
      <c r="X67">
        <v>0</v>
      </c>
      <c r="Y67">
        <v>0</v>
      </c>
      <c r="Z67">
        <v>0</v>
      </c>
      <c r="AA67">
        <v>0</v>
      </c>
      <c r="AB67">
        <v>0</v>
      </c>
      <c r="AC67">
        <v>1</v>
      </c>
      <c r="AD67">
        <v>0</v>
      </c>
      <c r="AE67">
        <v>0</v>
      </c>
      <c r="AF67">
        <v>0</v>
      </c>
      <c r="AG67">
        <v>0</v>
      </c>
      <c r="AH67">
        <v>0</v>
      </c>
      <c r="AI67">
        <v>0</v>
      </c>
      <c r="AJ67">
        <v>0</v>
      </c>
    </row>
    <row r="68" spans="1:36">
      <c r="A68" t="s">
        <v>236</v>
      </c>
      <c r="B68" s="264">
        <v>46026</v>
      </c>
      <c r="C68" t="s">
        <v>630</v>
      </c>
      <c r="D68" t="s">
        <v>693</v>
      </c>
      <c r="E68" t="s">
        <v>601</v>
      </c>
      <c r="F68" t="s">
        <v>232</v>
      </c>
      <c r="G68">
        <v>5.5999999999999999E-3</v>
      </c>
      <c r="H68">
        <v>180</v>
      </c>
      <c r="I68">
        <v>1</v>
      </c>
      <c r="J68">
        <v>0</v>
      </c>
      <c r="K68" t="s">
        <v>233</v>
      </c>
      <c r="L68" s="264">
        <v>46315</v>
      </c>
      <c r="M68">
        <v>0</v>
      </c>
      <c r="N68">
        <v>0</v>
      </c>
      <c r="O68">
        <v>1</v>
      </c>
      <c r="P68" t="s">
        <v>292</v>
      </c>
      <c r="Q68">
        <v>0</v>
      </c>
      <c r="R68">
        <v>0</v>
      </c>
      <c r="S68">
        <v>0</v>
      </c>
      <c r="T68">
        <v>0</v>
      </c>
      <c r="U68">
        <v>0</v>
      </c>
      <c r="V68">
        <v>0</v>
      </c>
      <c r="W68">
        <v>0</v>
      </c>
      <c r="X68">
        <v>0</v>
      </c>
      <c r="Y68">
        <v>0</v>
      </c>
      <c r="Z68">
        <v>0</v>
      </c>
      <c r="AA68">
        <v>0</v>
      </c>
      <c r="AB68">
        <v>0</v>
      </c>
      <c r="AC68">
        <v>1</v>
      </c>
      <c r="AD68">
        <v>0</v>
      </c>
      <c r="AE68">
        <v>0</v>
      </c>
      <c r="AF68">
        <v>0</v>
      </c>
      <c r="AG68">
        <v>0</v>
      </c>
      <c r="AH68">
        <v>0</v>
      </c>
      <c r="AI68">
        <v>0</v>
      </c>
      <c r="AJ68">
        <v>0</v>
      </c>
    </row>
    <row r="69" spans="1:36">
      <c r="A69" t="s">
        <v>236</v>
      </c>
      <c r="B69" s="264">
        <v>46026</v>
      </c>
      <c r="C69" t="s">
        <v>263</v>
      </c>
      <c r="D69" t="s">
        <v>235</v>
      </c>
      <c r="E69" t="s">
        <v>261</v>
      </c>
      <c r="F69" t="s">
        <v>232</v>
      </c>
      <c r="G69">
        <v>0</v>
      </c>
      <c r="H69">
        <v>180</v>
      </c>
      <c r="I69">
        <v>0</v>
      </c>
      <c r="J69">
        <v>0</v>
      </c>
      <c r="K69" t="s">
        <v>233</v>
      </c>
      <c r="L69" t="s">
        <v>66</v>
      </c>
      <c r="M69">
        <v>0</v>
      </c>
      <c r="N69">
        <v>0</v>
      </c>
      <c r="O69">
        <v>0</v>
      </c>
      <c r="P69" t="s">
        <v>67</v>
      </c>
      <c r="Q69">
        <v>0</v>
      </c>
      <c r="R69">
        <v>0</v>
      </c>
      <c r="S69">
        <v>0</v>
      </c>
      <c r="T69">
        <v>0</v>
      </c>
      <c r="U69">
        <v>0</v>
      </c>
      <c r="V69">
        <v>0</v>
      </c>
      <c r="W69">
        <v>0</v>
      </c>
      <c r="X69">
        <v>0</v>
      </c>
      <c r="Y69">
        <v>0</v>
      </c>
      <c r="Z69">
        <v>0</v>
      </c>
      <c r="AA69">
        <v>0</v>
      </c>
      <c r="AB69">
        <v>0</v>
      </c>
      <c r="AC69">
        <v>0</v>
      </c>
      <c r="AD69">
        <v>0</v>
      </c>
      <c r="AE69">
        <v>0</v>
      </c>
      <c r="AF69">
        <v>0</v>
      </c>
      <c r="AG69">
        <v>0</v>
      </c>
      <c r="AH69">
        <v>0</v>
      </c>
      <c r="AI69">
        <v>0</v>
      </c>
      <c r="AJ69">
        <v>0</v>
      </c>
    </row>
    <row r="70" spans="1:36">
      <c r="A70" t="s">
        <v>240</v>
      </c>
      <c r="B70" s="264">
        <v>46027</v>
      </c>
      <c r="C70" t="s">
        <v>1125</v>
      </c>
      <c r="D70" t="s">
        <v>1141</v>
      </c>
      <c r="E70" t="s">
        <v>1123</v>
      </c>
      <c r="F70" t="s">
        <v>232</v>
      </c>
      <c r="G70">
        <v>3.8899999999999997E-2</v>
      </c>
      <c r="H70">
        <v>180</v>
      </c>
      <c r="I70">
        <v>7</v>
      </c>
      <c r="J70">
        <v>0</v>
      </c>
      <c r="K70" t="s">
        <v>233</v>
      </c>
      <c r="L70" s="264">
        <v>46315</v>
      </c>
      <c r="M70">
        <v>0</v>
      </c>
      <c r="N70">
        <v>0</v>
      </c>
      <c r="O70">
        <v>7</v>
      </c>
      <c r="P70" t="s">
        <v>918</v>
      </c>
      <c r="Q70">
        <v>0</v>
      </c>
      <c r="R70">
        <v>0</v>
      </c>
      <c r="S70">
        <v>0</v>
      </c>
      <c r="T70">
        <v>0</v>
      </c>
      <c r="U70">
        <v>0</v>
      </c>
      <c r="V70">
        <v>0</v>
      </c>
      <c r="W70">
        <v>0</v>
      </c>
      <c r="X70">
        <v>0</v>
      </c>
      <c r="Y70">
        <v>0</v>
      </c>
      <c r="Z70">
        <v>0</v>
      </c>
      <c r="AA70">
        <v>0</v>
      </c>
      <c r="AB70">
        <v>0</v>
      </c>
      <c r="AC70">
        <v>5</v>
      </c>
      <c r="AD70">
        <v>0</v>
      </c>
      <c r="AE70">
        <v>0</v>
      </c>
      <c r="AF70">
        <v>2</v>
      </c>
      <c r="AG70">
        <v>0</v>
      </c>
      <c r="AH70">
        <v>0</v>
      </c>
      <c r="AI70">
        <v>0</v>
      </c>
      <c r="AJ70">
        <v>0</v>
      </c>
    </row>
    <row r="71" spans="1:36">
      <c r="A71" t="s">
        <v>240</v>
      </c>
      <c r="B71" s="264">
        <v>46027</v>
      </c>
      <c r="C71" t="s">
        <v>723</v>
      </c>
      <c r="D71" t="s">
        <v>656</v>
      </c>
      <c r="E71" t="s">
        <v>706</v>
      </c>
      <c r="F71" t="s">
        <v>232</v>
      </c>
      <c r="G71">
        <v>5.5999999999999999E-3</v>
      </c>
      <c r="H71">
        <v>180</v>
      </c>
      <c r="I71">
        <v>1</v>
      </c>
      <c r="J71">
        <v>0</v>
      </c>
      <c r="K71" t="s">
        <v>233</v>
      </c>
      <c r="L71" s="264">
        <v>46286</v>
      </c>
      <c r="M71">
        <v>0</v>
      </c>
      <c r="N71">
        <v>0</v>
      </c>
      <c r="O71">
        <v>1</v>
      </c>
      <c r="P71" t="s">
        <v>307</v>
      </c>
      <c r="Q71">
        <v>0</v>
      </c>
      <c r="R71">
        <v>0</v>
      </c>
      <c r="S71">
        <v>0</v>
      </c>
      <c r="T71">
        <v>0</v>
      </c>
      <c r="U71">
        <v>0</v>
      </c>
      <c r="V71">
        <v>0</v>
      </c>
      <c r="W71">
        <v>0</v>
      </c>
      <c r="X71">
        <v>0</v>
      </c>
      <c r="Y71">
        <v>0</v>
      </c>
      <c r="Z71">
        <v>0</v>
      </c>
      <c r="AA71">
        <v>1</v>
      </c>
      <c r="AB71">
        <v>0</v>
      </c>
      <c r="AC71">
        <v>0</v>
      </c>
      <c r="AD71">
        <v>0</v>
      </c>
      <c r="AE71">
        <v>0</v>
      </c>
      <c r="AF71">
        <v>0</v>
      </c>
      <c r="AG71">
        <v>0</v>
      </c>
      <c r="AH71">
        <v>0</v>
      </c>
      <c r="AI71">
        <v>0</v>
      </c>
      <c r="AJ71">
        <v>0</v>
      </c>
    </row>
    <row r="72" spans="1:36">
      <c r="A72" t="s">
        <v>240</v>
      </c>
      <c r="B72" s="264">
        <v>46027</v>
      </c>
      <c r="C72" t="s">
        <v>709</v>
      </c>
      <c r="D72" t="s">
        <v>743</v>
      </c>
      <c r="E72" t="s">
        <v>706</v>
      </c>
      <c r="F72" t="s">
        <v>232</v>
      </c>
      <c r="G72">
        <v>3.8899999999999997E-2</v>
      </c>
      <c r="H72">
        <v>180</v>
      </c>
      <c r="I72">
        <v>7</v>
      </c>
      <c r="J72">
        <v>0</v>
      </c>
      <c r="K72" t="s">
        <v>233</v>
      </c>
      <c r="L72" s="264">
        <v>46344</v>
      </c>
      <c r="M72">
        <v>0</v>
      </c>
      <c r="N72">
        <v>0</v>
      </c>
      <c r="O72">
        <v>7</v>
      </c>
      <c r="P72" t="s">
        <v>304</v>
      </c>
      <c r="Q72">
        <v>0</v>
      </c>
      <c r="R72">
        <v>0</v>
      </c>
      <c r="S72">
        <v>0</v>
      </c>
      <c r="T72">
        <v>0</v>
      </c>
      <c r="U72">
        <v>0</v>
      </c>
      <c r="V72">
        <v>0</v>
      </c>
      <c r="W72">
        <v>0</v>
      </c>
      <c r="X72">
        <v>0</v>
      </c>
      <c r="Y72">
        <v>0</v>
      </c>
      <c r="Z72">
        <v>0</v>
      </c>
      <c r="AA72">
        <v>6</v>
      </c>
      <c r="AB72">
        <v>0</v>
      </c>
      <c r="AC72">
        <v>1</v>
      </c>
      <c r="AD72">
        <v>0</v>
      </c>
      <c r="AE72">
        <v>0</v>
      </c>
      <c r="AF72">
        <v>0</v>
      </c>
      <c r="AG72">
        <v>0</v>
      </c>
      <c r="AH72">
        <v>0</v>
      </c>
      <c r="AI72">
        <v>0</v>
      </c>
      <c r="AJ72">
        <v>0</v>
      </c>
    </row>
    <row r="73" spans="1:36">
      <c r="A73" t="s">
        <v>240</v>
      </c>
      <c r="B73" s="264">
        <v>46027</v>
      </c>
      <c r="C73" t="s">
        <v>712</v>
      </c>
      <c r="D73" t="s">
        <v>750</v>
      </c>
      <c r="E73" t="s">
        <v>706</v>
      </c>
      <c r="F73" t="s">
        <v>232</v>
      </c>
      <c r="G73">
        <v>0</v>
      </c>
      <c r="H73">
        <v>180</v>
      </c>
      <c r="I73">
        <v>0</v>
      </c>
      <c r="J73">
        <v>0</v>
      </c>
      <c r="K73" t="s">
        <v>233</v>
      </c>
      <c r="L73" t="s">
        <v>66</v>
      </c>
      <c r="M73">
        <v>0</v>
      </c>
      <c r="N73">
        <v>0</v>
      </c>
      <c r="O73">
        <v>0</v>
      </c>
      <c r="P73" t="s">
        <v>307</v>
      </c>
      <c r="Q73">
        <v>0</v>
      </c>
      <c r="R73">
        <v>0</v>
      </c>
      <c r="S73">
        <v>0</v>
      </c>
      <c r="T73">
        <v>0</v>
      </c>
      <c r="U73">
        <v>0</v>
      </c>
      <c r="V73">
        <v>0</v>
      </c>
      <c r="W73">
        <v>0</v>
      </c>
      <c r="X73">
        <v>0</v>
      </c>
      <c r="Y73">
        <v>0</v>
      </c>
      <c r="Z73">
        <v>0</v>
      </c>
      <c r="AA73">
        <v>0</v>
      </c>
      <c r="AB73">
        <v>0</v>
      </c>
      <c r="AC73">
        <v>0</v>
      </c>
      <c r="AD73">
        <v>0</v>
      </c>
      <c r="AE73">
        <v>0</v>
      </c>
      <c r="AF73">
        <v>0</v>
      </c>
      <c r="AG73">
        <v>0</v>
      </c>
      <c r="AH73">
        <v>0</v>
      </c>
      <c r="AI73">
        <v>0</v>
      </c>
      <c r="AJ73">
        <v>0</v>
      </c>
    </row>
    <row r="74" spans="1:36">
      <c r="A74" t="s">
        <v>240</v>
      </c>
      <c r="B74" s="264">
        <v>46027</v>
      </c>
      <c r="C74" t="s">
        <v>716</v>
      </c>
      <c r="D74" t="s">
        <v>749</v>
      </c>
      <c r="E74" t="s">
        <v>706</v>
      </c>
      <c r="F74" t="s">
        <v>232</v>
      </c>
      <c r="G74">
        <v>0</v>
      </c>
      <c r="H74">
        <v>180</v>
      </c>
      <c r="I74">
        <v>0</v>
      </c>
      <c r="J74">
        <v>0</v>
      </c>
      <c r="K74" t="s">
        <v>233</v>
      </c>
      <c r="L74" t="s">
        <v>66</v>
      </c>
      <c r="M74">
        <v>0</v>
      </c>
      <c r="N74">
        <v>0</v>
      </c>
      <c r="O74">
        <v>0</v>
      </c>
      <c r="P74" t="s">
        <v>307</v>
      </c>
      <c r="Q74">
        <v>0</v>
      </c>
      <c r="R74">
        <v>0</v>
      </c>
      <c r="S74">
        <v>0</v>
      </c>
      <c r="T74">
        <v>0</v>
      </c>
      <c r="U74">
        <v>0</v>
      </c>
      <c r="V74">
        <v>0</v>
      </c>
      <c r="W74">
        <v>0</v>
      </c>
      <c r="X74">
        <v>0</v>
      </c>
      <c r="Y74">
        <v>0</v>
      </c>
      <c r="Z74">
        <v>0</v>
      </c>
      <c r="AA74">
        <v>0</v>
      </c>
      <c r="AB74">
        <v>0</v>
      </c>
      <c r="AC74">
        <v>0</v>
      </c>
      <c r="AD74">
        <v>0</v>
      </c>
      <c r="AE74">
        <v>0</v>
      </c>
      <c r="AF74">
        <v>0</v>
      </c>
      <c r="AG74">
        <v>0</v>
      </c>
      <c r="AH74">
        <v>0</v>
      </c>
      <c r="AI74">
        <v>0</v>
      </c>
      <c r="AJ74">
        <v>0</v>
      </c>
    </row>
    <row r="75" spans="1:36">
      <c r="A75" t="s">
        <v>240</v>
      </c>
      <c r="B75" s="264">
        <v>46027</v>
      </c>
      <c r="C75" t="s">
        <v>323</v>
      </c>
      <c r="D75" t="s">
        <v>335</v>
      </c>
      <c r="E75" t="s">
        <v>320</v>
      </c>
      <c r="F75" t="s">
        <v>232</v>
      </c>
      <c r="G75">
        <v>3.3300000000000003E-2</v>
      </c>
      <c r="H75">
        <v>180</v>
      </c>
      <c r="I75">
        <v>6</v>
      </c>
      <c r="J75">
        <v>0</v>
      </c>
      <c r="K75" t="s">
        <v>233</v>
      </c>
      <c r="L75" s="264">
        <v>46335</v>
      </c>
      <c r="M75">
        <v>0</v>
      </c>
      <c r="N75">
        <v>0</v>
      </c>
      <c r="O75">
        <v>6</v>
      </c>
      <c r="P75" t="s">
        <v>326</v>
      </c>
      <c r="Q75">
        <v>0</v>
      </c>
      <c r="R75">
        <v>0</v>
      </c>
      <c r="S75">
        <v>0</v>
      </c>
      <c r="T75">
        <v>0</v>
      </c>
      <c r="U75">
        <v>0</v>
      </c>
      <c r="V75">
        <v>0</v>
      </c>
      <c r="W75">
        <v>0</v>
      </c>
      <c r="X75">
        <v>0</v>
      </c>
      <c r="Y75">
        <v>0</v>
      </c>
      <c r="Z75">
        <v>0</v>
      </c>
      <c r="AA75">
        <v>0</v>
      </c>
      <c r="AB75">
        <v>0</v>
      </c>
      <c r="AC75">
        <v>6</v>
      </c>
      <c r="AD75">
        <v>0</v>
      </c>
      <c r="AE75">
        <v>0</v>
      </c>
      <c r="AF75">
        <v>0</v>
      </c>
      <c r="AG75">
        <v>0</v>
      </c>
      <c r="AH75">
        <v>0</v>
      </c>
      <c r="AI75">
        <v>0</v>
      </c>
      <c r="AJ75">
        <v>0</v>
      </c>
    </row>
    <row r="76" spans="1:36">
      <c r="A76" t="s">
        <v>240</v>
      </c>
      <c r="B76" s="264">
        <v>46027</v>
      </c>
      <c r="C76" t="s">
        <v>433</v>
      </c>
      <c r="D76" t="s">
        <v>334</v>
      </c>
      <c r="E76" t="s">
        <v>341</v>
      </c>
      <c r="F76" t="s">
        <v>232</v>
      </c>
      <c r="G76">
        <v>2.7799999999999998E-2</v>
      </c>
      <c r="H76">
        <v>180</v>
      </c>
      <c r="I76">
        <v>5</v>
      </c>
      <c r="J76">
        <v>0</v>
      </c>
      <c r="K76" t="s">
        <v>233</v>
      </c>
      <c r="L76" s="264">
        <v>46332</v>
      </c>
      <c r="M76">
        <v>0</v>
      </c>
      <c r="N76">
        <v>0</v>
      </c>
      <c r="O76">
        <v>5</v>
      </c>
      <c r="P76" t="s">
        <v>430</v>
      </c>
      <c r="Q76">
        <v>0</v>
      </c>
      <c r="R76">
        <v>0</v>
      </c>
      <c r="S76">
        <v>0</v>
      </c>
      <c r="T76">
        <v>0</v>
      </c>
      <c r="U76">
        <v>0</v>
      </c>
      <c r="V76">
        <v>0</v>
      </c>
      <c r="W76">
        <v>0</v>
      </c>
      <c r="X76">
        <v>0</v>
      </c>
      <c r="Y76">
        <v>0</v>
      </c>
      <c r="Z76">
        <v>0</v>
      </c>
      <c r="AA76">
        <v>0</v>
      </c>
      <c r="AB76">
        <v>0</v>
      </c>
      <c r="AC76">
        <v>0</v>
      </c>
      <c r="AD76">
        <v>5</v>
      </c>
      <c r="AE76">
        <v>0</v>
      </c>
      <c r="AF76">
        <v>0</v>
      </c>
      <c r="AG76">
        <v>0</v>
      </c>
      <c r="AH76">
        <v>0</v>
      </c>
      <c r="AI76">
        <v>0</v>
      </c>
      <c r="AJ76">
        <v>0</v>
      </c>
    </row>
    <row r="77" spans="1:36">
      <c r="A77" t="s">
        <v>240</v>
      </c>
      <c r="B77" s="264">
        <v>46027</v>
      </c>
      <c r="C77" t="s">
        <v>376</v>
      </c>
      <c r="D77" t="s">
        <v>575</v>
      </c>
      <c r="E77" t="s">
        <v>341</v>
      </c>
      <c r="F77" t="s">
        <v>232</v>
      </c>
      <c r="G77">
        <v>0.1222</v>
      </c>
      <c r="H77">
        <v>180</v>
      </c>
      <c r="I77">
        <v>22</v>
      </c>
      <c r="J77">
        <v>0</v>
      </c>
      <c r="K77" t="s">
        <v>233</v>
      </c>
      <c r="L77" s="264">
        <v>46343</v>
      </c>
      <c r="M77">
        <v>0</v>
      </c>
      <c r="N77">
        <v>0</v>
      </c>
      <c r="O77">
        <v>24</v>
      </c>
      <c r="P77" t="s">
        <v>471</v>
      </c>
      <c r="Q77">
        <v>0</v>
      </c>
      <c r="R77">
        <v>0</v>
      </c>
      <c r="S77">
        <v>0</v>
      </c>
      <c r="T77">
        <v>0</v>
      </c>
      <c r="U77">
        <v>0</v>
      </c>
      <c r="V77">
        <v>0</v>
      </c>
      <c r="W77">
        <v>0</v>
      </c>
      <c r="X77">
        <v>0</v>
      </c>
      <c r="Y77">
        <v>0</v>
      </c>
      <c r="Z77">
        <v>0</v>
      </c>
      <c r="AA77">
        <v>0</v>
      </c>
      <c r="AB77">
        <v>9</v>
      </c>
      <c r="AC77">
        <v>9</v>
      </c>
      <c r="AD77">
        <v>4</v>
      </c>
      <c r="AE77">
        <v>0</v>
      </c>
      <c r="AF77">
        <v>0</v>
      </c>
      <c r="AG77">
        <v>0</v>
      </c>
      <c r="AH77">
        <v>0</v>
      </c>
      <c r="AI77">
        <v>0</v>
      </c>
      <c r="AJ77">
        <v>0</v>
      </c>
    </row>
    <row r="78" spans="1:36">
      <c r="A78" t="s">
        <v>240</v>
      </c>
      <c r="B78" s="264">
        <v>46027</v>
      </c>
      <c r="C78" t="s">
        <v>378</v>
      </c>
      <c r="D78" t="s">
        <v>563</v>
      </c>
      <c r="E78" t="s">
        <v>341</v>
      </c>
      <c r="F78" t="s">
        <v>232</v>
      </c>
      <c r="G78">
        <v>2.7799999999999998E-2</v>
      </c>
      <c r="H78">
        <v>180</v>
      </c>
      <c r="I78">
        <v>5</v>
      </c>
      <c r="J78">
        <v>0</v>
      </c>
      <c r="K78" t="s">
        <v>233</v>
      </c>
      <c r="L78" s="264">
        <v>46343</v>
      </c>
      <c r="M78">
        <v>0</v>
      </c>
      <c r="N78">
        <v>0</v>
      </c>
      <c r="O78">
        <v>5</v>
      </c>
      <c r="P78" t="s">
        <v>430</v>
      </c>
      <c r="Q78">
        <v>0</v>
      </c>
      <c r="R78">
        <v>0</v>
      </c>
      <c r="S78">
        <v>0</v>
      </c>
      <c r="T78">
        <v>0</v>
      </c>
      <c r="U78">
        <v>0</v>
      </c>
      <c r="V78">
        <v>0</v>
      </c>
      <c r="W78">
        <v>0</v>
      </c>
      <c r="X78">
        <v>0</v>
      </c>
      <c r="Y78">
        <v>0</v>
      </c>
      <c r="Z78">
        <v>0</v>
      </c>
      <c r="AA78">
        <v>0</v>
      </c>
      <c r="AB78">
        <v>0</v>
      </c>
      <c r="AC78">
        <v>0</v>
      </c>
      <c r="AD78">
        <v>5</v>
      </c>
      <c r="AE78">
        <v>0</v>
      </c>
      <c r="AF78">
        <v>0</v>
      </c>
      <c r="AG78">
        <v>0</v>
      </c>
      <c r="AH78">
        <v>0</v>
      </c>
      <c r="AI78">
        <v>0</v>
      </c>
      <c r="AJ78">
        <v>0</v>
      </c>
    </row>
    <row r="79" spans="1:36">
      <c r="A79" t="s">
        <v>240</v>
      </c>
      <c r="B79" s="264">
        <v>46027</v>
      </c>
      <c r="C79" t="s">
        <v>112</v>
      </c>
      <c r="D79" t="s">
        <v>241</v>
      </c>
      <c r="E79" t="s">
        <v>1</v>
      </c>
      <c r="F79" t="s">
        <v>232</v>
      </c>
      <c r="G79">
        <v>0</v>
      </c>
      <c r="H79">
        <v>180</v>
      </c>
      <c r="I79">
        <v>0</v>
      </c>
      <c r="J79">
        <v>0</v>
      </c>
      <c r="K79" t="s">
        <v>233</v>
      </c>
      <c r="L79" t="s">
        <v>66</v>
      </c>
      <c r="M79">
        <v>0</v>
      </c>
      <c r="N79">
        <v>0</v>
      </c>
      <c r="O79">
        <v>0</v>
      </c>
      <c r="P79" t="s">
        <v>67</v>
      </c>
      <c r="Q79">
        <v>0</v>
      </c>
      <c r="R79">
        <v>0</v>
      </c>
      <c r="S79">
        <v>0</v>
      </c>
      <c r="T79">
        <v>0</v>
      </c>
      <c r="U79">
        <v>0</v>
      </c>
      <c r="V79">
        <v>0</v>
      </c>
      <c r="W79">
        <v>0</v>
      </c>
      <c r="X79">
        <v>0</v>
      </c>
      <c r="Y79">
        <v>0</v>
      </c>
      <c r="Z79">
        <v>0</v>
      </c>
      <c r="AA79">
        <v>0</v>
      </c>
      <c r="AB79">
        <v>0</v>
      </c>
      <c r="AC79">
        <v>0</v>
      </c>
      <c r="AD79">
        <v>0</v>
      </c>
      <c r="AE79">
        <v>0</v>
      </c>
      <c r="AF79">
        <v>0</v>
      </c>
      <c r="AG79">
        <v>0</v>
      </c>
      <c r="AH79">
        <v>0</v>
      </c>
      <c r="AI79">
        <v>0</v>
      </c>
      <c r="AJ79">
        <v>0</v>
      </c>
    </row>
    <row r="80" spans="1:36">
      <c r="A80" t="s">
        <v>240</v>
      </c>
      <c r="B80" s="264">
        <v>46027</v>
      </c>
      <c r="C80" t="s">
        <v>854</v>
      </c>
      <c r="D80" t="s">
        <v>975</v>
      </c>
      <c r="E80" t="s">
        <v>808</v>
      </c>
      <c r="F80" t="s">
        <v>232</v>
      </c>
      <c r="G80">
        <v>3.9100000000000003E-2</v>
      </c>
      <c r="H80">
        <v>179</v>
      </c>
      <c r="I80">
        <v>7</v>
      </c>
      <c r="J80">
        <v>0</v>
      </c>
      <c r="K80" t="s">
        <v>233</v>
      </c>
      <c r="L80" s="264">
        <v>46344</v>
      </c>
      <c r="M80">
        <v>0</v>
      </c>
      <c r="N80">
        <v>0</v>
      </c>
      <c r="O80">
        <v>7</v>
      </c>
      <c r="P80" t="s">
        <v>877</v>
      </c>
      <c r="Q80">
        <v>0</v>
      </c>
      <c r="R80">
        <v>0</v>
      </c>
      <c r="S80">
        <v>0</v>
      </c>
      <c r="T80">
        <v>0</v>
      </c>
      <c r="U80">
        <v>0</v>
      </c>
      <c r="V80">
        <v>0</v>
      </c>
      <c r="W80">
        <v>0</v>
      </c>
      <c r="X80">
        <v>0</v>
      </c>
      <c r="Y80">
        <v>0</v>
      </c>
      <c r="Z80">
        <v>0</v>
      </c>
      <c r="AA80">
        <v>0</v>
      </c>
      <c r="AB80">
        <v>0</v>
      </c>
      <c r="AC80">
        <v>3</v>
      </c>
      <c r="AD80">
        <v>0</v>
      </c>
      <c r="AE80">
        <v>0</v>
      </c>
      <c r="AF80">
        <v>4</v>
      </c>
      <c r="AG80">
        <v>0</v>
      </c>
      <c r="AH80">
        <v>0</v>
      </c>
      <c r="AI80">
        <v>0</v>
      </c>
      <c r="AJ80">
        <v>0</v>
      </c>
    </row>
    <row r="81" spans="1:36">
      <c r="A81" t="s">
        <v>240</v>
      </c>
      <c r="B81" s="264">
        <v>46027</v>
      </c>
      <c r="C81" t="s">
        <v>1215</v>
      </c>
      <c r="D81" t="s">
        <v>751</v>
      </c>
      <c r="E81" t="s">
        <v>1213</v>
      </c>
      <c r="F81" t="s">
        <v>232</v>
      </c>
      <c r="G81">
        <v>4.4699999999999997E-2</v>
      </c>
      <c r="H81">
        <v>179</v>
      </c>
      <c r="I81">
        <v>8</v>
      </c>
      <c r="J81">
        <v>0</v>
      </c>
      <c r="K81" t="s">
        <v>233</v>
      </c>
      <c r="L81" s="264">
        <v>46343</v>
      </c>
      <c r="M81">
        <v>0</v>
      </c>
      <c r="N81">
        <v>0</v>
      </c>
      <c r="O81">
        <v>8</v>
      </c>
      <c r="P81" t="s">
        <v>374</v>
      </c>
      <c r="Q81">
        <v>0</v>
      </c>
      <c r="R81">
        <v>0</v>
      </c>
      <c r="S81">
        <v>0</v>
      </c>
      <c r="T81">
        <v>0</v>
      </c>
      <c r="U81">
        <v>0</v>
      </c>
      <c r="V81">
        <v>0</v>
      </c>
      <c r="W81">
        <v>0</v>
      </c>
      <c r="X81">
        <v>0</v>
      </c>
      <c r="Y81">
        <v>0</v>
      </c>
      <c r="Z81">
        <v>0</v>
      </c>
      <c r="AA81">
        <v>1</v>
      </c>
      <c r="AB81">
        <v>4</v>
      </c>
      <c r="AC81">
        <v>2</v>
      </c>
      <c r="AD81">
        <v>0</v>
      </c>
      <c r="AE81">
        <v>0</v>
      </c>
      <c r="AF81">
        <v>1</v>
      </c>
      <c r="AG81">
        <v>0</v>
      </c>
      <c r="AH81">
        <v>0</v>
      </c>
      <c r="AI81">
        <v>0</v>
      </c>
      <c r="AJ81">
        <v>0</v>
      </c>
    </row>
    <row r="82" spans="1:36">
      <c r="A82" t="s">
        <v>240</v>
      </c>
      <c r="B82" s="264">
        <v>46027</v>
      </c>
      <c r="C82" t="s">
        <v>613</v>
      </c>
      <c r="D82" t="s">
        <v>695</v>
      </c>
      <c r="E82" t="s">
        <v>601</v>
      </c>
      <c r="F82" t="s">
        <v>232</v>
      </c>
      <c r="G82">
        <v>3.8899999999999997E-2</v>
      </c>
      <c r="H82">
        <v>180</v>
      </c>
      <c r="I82">
        <v>7</v>
      </c>
      <c r="J82">
        <v>0</v>
      </c>
      <c r="K82" t="s">
        <v>233</v>
      </c>
      <c r="L82" s="264">
        <v>46340</v>
      </c>
      <c r="M82">
        <v>0</v>
      </c>
      <c r="N82">
        <v>0</v>
      </c>
      <c r="O82">
        <v>8</v>
      </c>
      <c r="P82" t="s">
        <v>306</v>
      </c>
      <c r="Q82">
        <v>0</v>
      </c>
      <c r="R82">
        <v>0</v>
      </c>
      <c r="S82">
        <v>0</v>
      </c>
      <c r="T82">
        <v>0</v>
      </c>
      <c r="U82">
        <v>0</v>
      </c>
      <c r="V82">
        <v>0</v>
      </c>
      <c r="W82">
        <v>0</v>
      </c>
      <c r="X82">
        <v>0</v>
      </c>
      <c r="Y82">
        <v>0</v>
      </c>
      <c r="Z82">
        <v>2</v>
      </c>
      <c r="AA82">
        <v>0</v>
      </c>
      <c r="AB82">
        <v>0</v>
      </c>
      <c r="AC82">
        <v>5</v>
      </c>
      <c r="AD82">
        <v>0</v>
      </c>
      <c r="AE82">
        <v>0</v>
      </c>
      <c r="AF82">
        <v>0</v>
      </c>
      <c r="AG82">
        <v>0</v>
      </c>
      <c r="AH82">
        <v>0</v>
      </c>
      <c r="AI82">
        <v>0</v>
      </c>
      <c r="AJ82">
        <v>0</v>
      </c>
    </row>
    <row r="83" spans="1:36">
      <c r="A83" t="s">
        <v>240</v>
      </c>
      <c r="B83" s="264">
        <v>46027</v>
      </c>
      <c r="C83" t="s">
        <v>630</v>
      </c>
      <c r="D83" t="s">
        <v>694</v>
      </c>
      <c r="E83" t="s">
        <v>601</v>
      </c>
      <c r="F83" t="s">
        <v>232</v>
      </c>
      <c r="G83">
        <v>0</v>
      </c>
      <c r="H83">
        <v>180</v>
      </c>
      <c r="I83">
        <v>0</v>
      </c>
      <c r="J83">
        <v>0</v>
      </c>
      <c r="K83" t="s">
        <v>233</v>
      </c>
      <c r="L83" t="s">
        <v>66</v>
      </c>
      <c r="M83">
        <v>0</v>
      </c>
      <c r="N83">
        <v>0</v>
      </c>
      <c r="O83">
        <v>0</v>
      </c>
      <c r="P83" t="s">
        <v>292</v>
      </c>
      <c r="Q83">
        <v>0</v>
      </c>
      <c r="R83">
        <v>0</v>
      </c>
      <c r="S83">
        <v>0</v>
      </c>
      <c r="T83">
        <v>0</v>
      </c>
      <c r="U83">
        <v>0</v>
      </c>
      <c r="V83">
        <v>0</v>
      </c>
      <c r="W83">
        <v>0</v>
      </c>
      <c r="X83">
        <v>0</v>
      </c>
      <c r="Y83">
        <v>0</v>
      </c>
      <c r="Z83">
        <v>0</v>
      </c>
      <c r="AA83">
        <v>0</v>
      </c>
      <c r="AB83">
        <v>0</v>
      </c>
      <c r="AC83">
        <v>0</v>
      </c>
      <c r="AD83">
        <v>0</v>
      </c>
      <c r="AE83">
        <v>0</v>
      </c>
      <c r="AF83">
        <v>0</v>
      </c>
      <c r="AG83">
        <v>0</v>
      </c>
      <c r="AH83">
        <v>0</v>
      </c>
      <c r="AI83">
        <v>0</v>
      </c>
      <c r="AJ83">
        <v>0</v>
      </c>
    </row>
    <row r="84" spans="1:36">
      <c r="A84" t="s">
        <v>240</v>
      </c>
      <c r="B84" s="264">
        <v>46027</v>
      </c>
      <c r="C84" t="s">
        <v>758</v>
      </c>
      <c r="D84" t="s">
        <v>765</v>
      </c>
      <c r="E84" t="s">
        <v>755</v>
      </c>
      <c r="F84" t="s">
        <v>232</v>
      </c>
      <c r="G84">
        <v>0</v>
      </c>
      <c r="H84">
        <v>180</v>
      </c>
      <c r="I84">
        <v>0</v>
      </c>
      <c r="J84">
        <v>0</v>
      </c>
      <c r="K84" t="s">
        <v>233</v>
      </c>
      <c r="L84" t="s">
        <v>66</v>
      </c>
      <c r="M84">
        <v>0</v>
      </c>
      <c r="N84">
        <v>0</v>
      </c>
      <c r="O84">
        <v>0</v>
      </c>
      <c r="P84" t="s">
        <v>761</v>
      </c>
      <c r="Q84">
        <v>0</v>
      </c>
      <c r="R84">
        <v>0</v>
      </c>
      <c r="S84">
        <v>0</v>
      </c>
      <c r="T84">
        <v>0</v>
      </c>
      <c r="U84">
        <v>0</v>
      </c>
      <c r="V84">
        <v>0</v>
      </c>
      <c r="W84">
        <v>0</v>
      </c>
      <c r="X84">
        <v>0</v>
      </c>
      <c r="Y84">
        <v>0</v>
      </c>
      <c r="Z84">
        <v>0</v>
      </c>
      <c r="AA84">
        <v>0</v>
      </c>
      <c r="AB84">
        <v>0</v>
      </c>
      <c r="AC84">
        <v>0</v>
      </c>
      <c r="AD84">
        <v>0</v>
      </c>
      <c r="AE84">
        <v>0</v>
      </c>
      <c r="AF84">
        <v>0</v>
      </c>
      <c r="AG84">
        <v>0</v>
      </c>
      <c r="AH84">
        <v>0</v>
      </c>
      <c r="AI84">
        <v>0</v>
      </c>
      <c r="AJ84">
        <v>0</v>
      </c>
    </row>
    <row r="85" spans="1:36">
      <c r="A85" t="s">
        <v>242</v>
      </c>
      <c r="B85" s="264">
        <v>46028</v>
      </c>
      <c r="C85" t="s">
        <v>1321</v>
      </c>
      <c r="D85" t="s">
        <v>1331</v>
      </c>
      <c r="E85" t="s">
        <v>1318</v>
      </c>
      <c r="F85" t="s">
        <v>232</v>
      </c>
      <c r="G85">
        <v>1.6799999999999999E-2</v>
      </c>
      <c r="H85">
        <v>179</v>
      </c>
      <c r="I85">
        <v>3</v>
      </c>
      <c r="J85">
        <v>0</v>
      </c>
      <c r="K85" t="s">
        <v>233</v>
      </c>
      <c r="L85" s="264">
        <v>46330</v>
      </c>
      <c r="M85">
        <v>0</v>
      </c>
      <c r="N85">
        <v>0</v>
      </c>
      <c r="O85">
        <v>3</v>
      </c>
      <c r="P85" t="s">
        <v>901</v>
      </c>
      <c r="Q85">
        <v>0</v>
      </c>
      <c r="R85">
        <v>0</v>
      </c>
      <c r="S85">
        <v>0</v>
      </c>
      <c r="T85">
        <v>0</v>
      </c>
      <c r="U85">
        <v>0</v>
      </c>
      <c r="V85">
        <v>0</v>
      </c>
      <c r="W85">
        <v>0</v>
      </c>
      <c r="X85">
        <v>0</v>
      </c>
      <c r="Y85">
        <v>0</v>
      </c>
      <c r="Z85">
        <v>0</v>
      </c>
      <c r="AA85">
        <v>0</v>
      </c>
      <c r="AB85">
        <v>0</v>
      </c>
      <c r="AC85">
        <v>0</v>
      </c>
      <c r="AD85">
        <v>0</v>
      </c>
      <c r="AE85">
        <v>0</v>
      </c>
      <c r="AF85">
        <v>3</v>
      </c>
      <c r="AG85">
        <v>0</v>
      </c>
      <c r="AH85">
        <v>0</v>
      </c>
      <c r="AI85">
        <v>0</v>
      </c>
      <c r="AJ85">
        <v>0</v>
      </c>
    </row>
    <row r="86" spans="1:36">
      <c r="A86" t="s">
        <v>242</v>
      </c>
      <c r="B86" s="264">
        <v>46028</v>
      </c>
      <c r="C86" t="s">
        <v>709</v>
      </c>
      <c r="D86" t="s">
        <v>751</v>
      </c>
      <c r="E86" t="s">
        <v>706</v>
      </c>
      <c r="F86" t="s">
        <v>232</v>
      </c>
      <c r="G86">
        <v>0</v>
      </c>
      <c r="H86">
        <v>180</v>
      </c>
      <c r="I86">
        <v>0</v>
      </c>
      <c r="J86">
        <v>0</v>
      </c>
      <c r="K86" t="s">
        <v>233</v>
      </c>
      <c r="L86" t="s">
        <v>66</v>
      </c>
      <c r="M86">
        <v>0</v>
      </c>
      <c r="N86">
        <v>0</v>
      </c>
      <c r="O86">
        <v>0</v>
      </c>
      <c r="P86" t="s">
        <v>307</v>
      </c>
      <c r="Q86">
        <v>0</v>
      </c>
      <c r="R86">
        <v>0</v>
      </c>
      <c r="S86">
        <v>0</v>
      </c>
      <c r="T86">
        <v>0</v>
      </c>
      <c r="U86">
        <v>0</v>
      </c>
      <c r="V86">
        <v>0</v>
      </c>
      <c r="W86">
        <v>0</v>
      </c>
      <c r="X86">
        <v>0</v>
      </c>
      <c r="Y86">
        <v>0</v>
      </c>
      <c r="Z86">
        <v>0</v>
      </c>
      <c r="AA86">
        <v>0</v>
      </c>
      <c r="AB86">
        <v>0</v>
      </c>
      <c r="AC86">
        <v>0</v>
      </c>
      <c r="AD86">
        <v>0</v>
      </c>
      <c r="AE86">
        <v>0</v>
      </c>
      <c r="AF86">
        <v>0</v>
      </c>
      <c r="AG86">
        <v>0</v>
      </c>
      <c r="AH86">
        <v>0</v>
      </c>
      <c r="AI86">
        <v>0</v>
      </c>
      <c r="AJ86">
        <v>0</v>
      </c>
    </row>
    <row r="87" spans="1:36">
      <c r="A87" t="s">
        <v>242</v>
      </c>
      <c r="B87" s="264">
        <v>46028</v>
      </c>
      <c r="C87" t="s">
        <v>712</v>
      </c>
      <c r="D87" t="s">
        <v>746</v>
      </c>
      <c r="E87" t="s">
        <v>706</v>
      </c>
      <c r="F87" t="s">
        <v>232</v>
      </c>
      <c r="G87">
        <v>0</v>
      </c>
      <c r="H87">
        <v>180</v>
      </c>
      <c r="I87">
        <v>0</v>
      </c>
      <c r="J87">
        <v>0</v>
      </c>
      <c r="K87" t="s">
        <v>233</v>
      </c>
      <c r="L87" t="s">
        <v>66</v>
      </c>
      <c r="M87">
        <v>0</v>
      </c>
      <c r="N87">
        <v>0</v>
      </c>
      <c r="O87">
        <v>0</v>
      </c>
      <c r="P87" t="s">
        <v>307</v>
      </c>
      <c r="Q87">
        <v>0</v>
      </c>
      <c r="R87">
        <v>0</v>
      </c>
      <c r="S87">
        <v>0</v>
      </c>
      <c r="T87">
        <v>0</v>
      </c>
      <c r="U87">
        <v>0</v>
      </c>
      <c r="V87">
        <v>0</v>
      </c>
      <c r="W87">
        <v>0</v>
      </c>
      <c r="X87">
        <v>0</v>
      </c>
      <c r="Y87">
        <v>0</v>
      </c>
      <c r="Z87">
        <v>0</v>
      </c>
      <c r="AA87">
        <v>0</v>
      </c>
      <c r="AB87">
        <v>0</v>
      </c>
      <c r="AC87">
        <v>0</v>
      </c>
      <c r="AD87">
        <v>0</v>
      </c>
      <c r="AE87">
        <v>0</v>
      </c>
      <c r="AF87">
        <v>0</v>
      </c>
      <c r="AG87">
        <v>0</v>
      </c>
      <c r="AH87">
        <v>0</v>
      </c>
      <c r="AI87">
        <v>0</v>
      </c>
      <c r="AJ87">
        <v>0</v>
      </c>
    </row>
    <row r="88" spans="1:36">
      <c r="A88" t="s">
        <v>242</v>
      </c>
      <c r="B88" s="264">
        <v>46028</v>
      </c>
      <c r="C88" t="s">
        <v>323</v>
      </c>
      <c r="D88" t="s">
        <v>336</v>
      </c>
      <c r="E88" t="s">
        <v>320</v>
      </c>
      <c r="F88" t="s">
        <v>232</v>
      </c>
      <c r="G88">
        <v>0</v>
      </c>
      <c r="H88">
        <v>180</v>
      </c>
      <c r="I88">
        <v>0</v>
      </c>
      <c r="J88">
        <v>0</v>
      </c>
      <c r="K88" t="s">
        <v>233</v>
      </c>
      <c r="L88" t="s">
        <v>66</v>
      </c>
      <c r="M88">
        <v>0</v>
      </c>
      <c r="N88">
        <v>0</v>
      </c>
      <c r="O88">
        <v>0</v>
      </c>
      <c r="P88" t="s">
        <v>326</v>
      </c>
      <c r="Q88">
        <v>0</v>
      </c>
      <c r="R88">
        <v>0</v>
      </c>
      <c r="S88">
        <v>0</v>
      </c>
      <c r="T88">
        <v>0</v>
      </c>
      <c r="U88">
        <v>0</v>
      </c>
      <c r="V88">
        <v>0</v>
      </c>
      <c r="W88">
        <v>0</v>
      </c>
      <c r="X88">
        <v>0</v>
      </c>
      <c r="Y88">
        <v>0</v>
      </c>
      <c r="Z88">
        <v>0</v>
      </c>
      <c r="AA88">
        <v>0</v>
      </c>
      <c r="AB88">
        <v>0</v>
      </c>
      <c r="AC88">
        <v>0</v>
      </c>
      <c r="AD88">
        <v>0</v>
      </c>
      <c r="AE88">
        <v>0</v>
      </c>
      <c r="AF88">
        <v>0</v>
      </c>
      <c r="AG88">
        <v>0</v>
      </c>
      <c r="AH88">
        <v>0</v>
      </c>
      <c r="AI88">
        <v>0</v>
      </c>
      <c r="AJ88">
        <v>0</v>
      </c>
    </row>
    <row r="89" spans="1:36">
      <c r="A89" t="s">
        <v>242</v>
      </c>
      <c r="B89" s="264">
        <v>46028</v>
      </c>
      <c r="C89" t="s">
        <v>998</v>
      </c>
      <c r="D89" t="s">
        <v>1035</v>
      </c>
      <c r="E89" t="s">
        <v>985</v>
      </c>
      <c r="F89" t="s">
        <v>232</v>
      </c>
      <c r="G89">
        <v>4.4699999999999997E-2</v>
      </c>
      <c r="H89">
        <v>179</v>
      </c>
      <c r="I89">
        <v>8</v>
      </c>
      <c r="J89">
        <v>0</v>
      </c>
      <c r="K89" t="s">
        <v>233</v>
      </c>
      <c r="L89" s="264">
        <v>46344</v>
      </c>
      <c r="M89">
        <v>0</v>
      </c>
      <c r="N89">
        <v>0</v>
      </c>
      <c r="O89">
        <v>8</v>
      </c>
      <c r="P89" t="s">
        <v>850</v>
      </c>
      <c r="Q89">
        <v>0</v>
      </c>
      <c r="R89">
        <v>0</v>
      </c>
      <c r="S89">
        <v>0</v>
      </c>
      <c r="T89">
        <v>0</v>
      </c>
      <c r="U89">
        <v>0</v>
      </c>
      <c r="V89">
        <v>0</v>
      </c>
      <c r="W89">
        <v>0</v>
      </c>
      <c r="X89">
        <v>0</v>
      </c>
      <c r="Y89">
        <v>0</v>
      </c>
      <c r="Z89">
        <v>0</v>
      </c>
      <c r="AA89">
        <v>3</v>
      </c>
      <c r="AB89">
        <v>0</v>
      </c>
      <c r="AC89">
        <v>0</v>
      </c>
      <c r="AD89">
        <v>0</v>
      </c>
      <c r="AE89">
        <v>1</v>
      </c>
      <c r="AF89">
        <v>4</v>
      </c>
      <c r="AG89">
        <v>0</v>
      </c>
      <c r="AH89">
        <v>0</v>
      </c>
      <c r="AI89">
        <v>0</v>
      </c>
      <c r="AJ89">
        <v>0</v>
      </c>
    </row>
    <row r="90" spans="1:36">
      <c r="A90" t="s">
        <v>242</v>
      </c>
      <c r="B90" s="264">
        <v>46028</v>
      </c>
      <c r="C90" t="s">
        <v>1194</v>
      </c>
      <c r="D90" t="s">
        <v>1204</v>
      </c>
      <c r="E90" t="s">
        <v>1192</v>
      </c>
      <c r="F90" t="s">
        <v>232</v>
      </c>
      <c r="G90">
        <v>1.12E-2</v>
      </c>
      <c r="H90">
        <v>179</v>
      </c>
      <c r="I90">
        <v>2</v>
      </c>
      <c r="J90">
        <v>0</v>
      </c>
      <c r="K90" t="s">
        <v>233</v>
      </c>
      <c r="L90" s="264">
        <v>46335</v>
      </c>
      <c r="M90">
        <v>0</v>
      </c>
      <c r="N90">
        <v>0</v>
      </c>
      <c r="O90">
        <v>2</v>
      </c>
      <c r="P90" t="s">
        <v>591</v>
      </c>
      <c r="Q90">
        <v>0</v>
      </c>
      <c r="R90">
        <v>0</v>
      </c>
      <c r="S90">
        <v>0</v>
      </c>
      <c r="T90">
        <v>0</v>
      </c>
      <c r="U90">
        <v>0</v>
      </c>
      <c r="V90">
        <v>0</v>
      </c>
      <c r="W90">
        <v>0</v>
      </c>
      <c r="X90">
        <v>0</v>
      </c>
      <c r="Y90">
        <v>0</v>
      </c>
      <c r="Z90">
        <v>0</v>
      </c>
      <c r="AA90">
        <v>0</v>
      </c>
      <c r="AB90">
        <v>0</v>
      </c>
      <c r="AC90">
        <v>0</v>
      </c>
      <c r="AD90">
        <v>0</v>
      </c>
      <c r="AE90">
        <v>0</v>
      </c>
      <c r="AF90">
        <v>2</v>
      </c>
      <c r="AG90">
        <v>0</v>
      </c>
      <c r="AH90">
        <v>0</v>
      </c>
      <c r="AI90">
        <v>0</v>
      </c>
      <c r="AJ90">
        <v>0</v>
      </c>
    </row>
    <row r="91" spans="1:36">
      <c r="A91" t="s">
        <v>242</v>
      </c>
      <c r="B91" s="264">
        <v>46028</v>
      </c>
      <c r="C91" t="s">
        <v>1045</v>
      </c>
      <c r="D91" t="s">
        <v>1111</v>
      </c>
      <c r="E91" t="s">
        <v>1040</v>
      </c>
      <c r="F91" t="s">
        <v>232</v>
      </c>
      <c r="G91">
        <v>8.8900000000000007E-2</v>
      </c>
      <c r="H91">
        <v>180</v>
      </c>
      <c r="I91">
        <v>16</v>
      </c>
      <c r="J91">
        <v>0</v>
      </c>
      <c r="K91" t="s">
        <v>233</v>
      </c>
      <c r="L91" s="264">
        <v>46344</v>
      </c>
      <c r="M91">
        <v>0</v>
      </c>
      <c r="N91">
        <v>0</v>
      </c>
      <c r="O91">
        <v>16</v>
      </c>
      <c r="P91" t="s">
        <v>552</v>
      </c>
      <c r="Q91">
        <v>0</v>
      </c>
      <c r="R91">
        <v>0</v>
      </c>
      <c r="S91">
        <v>0</v>
      </c>
      <c r="T91">
        <v>0</v>
      </c>
      <c r="U91">
        <v>0</v>
      </c>
      <c r="V91">
        <v>0</v>
      </c>
      <c r="W91">
        <v>0</v>
      </c>
      <c r="X91">
        <v>0</v>
      </c>
      <c r="Y91">
        <v>0</v>
      </c>
      <c r="Z91">
        <v>0</v>
      </c>
      <c r="AA91">
        <v>0</v>
      </c>
      <c r="AB91">
        <v>0</v>
      </c>
      <c r="AC91">
        <v>3</v>
      </c>
      <c r="AD91">
        <v>2</v>
      </c>
      <c r="AE91">
        <v>7</v>
      </c>
      <c r="AF91">
        <v>4</v>
      </c>
      <c r="AG91">
        <v>0</v>
      </c>
      <c r="AH91">
        <v>0</v>
      </c>
      <c r="AI91">
        <v>0</v>
      </c>
      <c r="AJ91">
        <v>0</v>
      </c>
    </row>
    <row r="92" spans="1:36">
      <c r="A92" t="s">
        <v>242</v>
      </c>
      <c r="B92" s="264">
        <v>46028</v>
      </c>
      <c r="C92" t="s">
        <v>366</v>
      </c>
      <c r="D92" t="s">
        <v>578</v>
      </c>
      <c r="E92" t="s">
        <v>341</v>
      </c>
      <c r="F92" t="s">
        <v>232</v>
      </c>
      <c r="G92">
        <v>1.11E-2</v>
      </c>
      <c r="H92">
        <v>180</v>
      </c>
      <c r="I92">
        <v>2</v>
      </c>
      <c r="J92">
        <v>0</v>
      </c>
      <c r="K92" t="s">
        <v>233</v>
      </c>
      <c r="L92" s="264">
        <v>46314</v>
      </c>
      <c r="M92">
        <v>0</v>
      </c>
      <c r="N92">
        <v>0</v>
      </c>
      <c r="O92">
        <v>2</v>
      </c>
      <c r="P92" t="s">
        <v>368</v>
      </c>
      <c r="Q92">
        <v>0</v>
      </c>
      <c r="R92">
        <v>0</v>
      </c>
      <c r="S92">
        <v>0</v>
      </c>
      <c r="T92">
        <v>0</v>
      </c>
      <c r="U92">
        <v>0</v>
      </c>
      <c r="V92">
        <v>0</v>
      </c>
      <c r="W92">
        <v>0</v>
      </c>
      <c r="X92">
        <v>0</v>
      </c>
      <c r="Y92">
        <v>0</v>
      </c>
      <c r="Z92">
        <v>0</v>
      </c>
      <c r="AA92">
        <v>0</v>
      </c>
      <c r="AB92">
        <v>0</v>
      </c>
      <c r="AC92">
        <v>0</v>
      </c>
      <c r="AD92">
        <v>2</v>
      </c>
      <c r="AE92">
        <v>0</v>
      </c>
      <c r="AF92">
        <v>0</v>
      </c>
      <c r="AG92">
        <v>0</v>
      </c>
      <c r="AH92">
        <v>0</v>
      </c>
      <c r="AI92">
        <v>0</v>
      </c>
      <c r="AJ92">
        <v>0</v>
      </c>
    </row>
    <row r="93" spans="1:36">
      <c r="A93" t="s">
        <v>242</v>
      </c>
      <c r="B93" s="264">
        <v>46028</v>
      </c>
      <c r="C93" t="s">
        <v>433</v>
      </c>
      <c r="D93" t="s">
        <v>577</v>
      </c>
      <c r="E93" t="s">
        <v>341</v>
      </c>
      <c r="F93" t="s">
        <v>232</v>
      </c>
      <c r="G93">
        <v>0</v>
      </c>
      <c r="H93">
        <v>180</v>
      </c>
      <c r="I93">
        <v>0</v>
      </c>
      <c r="J93">
        <v>0</v>
      </c>
      <c r="K93" t="s">
        <v>233</v>
      </c>
      <c r="L93" t="s">
        <v>66</v>
      </c>
      <c r="M93">
        <v>0</v>
      </c>
      <c r="N93">
        <v>0</v>
      </c>
      <c r="O93">
        <v>0</v>
      </c>
      <c r="P93" t="s">
        <v>436</v>
      </c>
      <c r="Q93">
        <v>0</v>
      </c>
      <c r="R93">
        <v>0</v>
      </c>
      <c r="S93">
        <v>0</v>
      </c>
      <c r="T93">
        <v>0</v>
      </c>
      <c r="U93">
        <v>0</v>
      </c>
      <c r="V93">
        <v>0</v>
      </c>
      <c r="W93">
        <v>0</v>
      </c>
      <c r="X93">
        <v>0</v>
      </c>
      <c r="Y93">
        <v>0</v>
      </c>
      <c r="Z93">
        <v>0</v>
      </c>
      <c r="AA93">
        <v>0</v>
      </c>
      <c r="AB93">
        <v>0</v>
      </c>
      <c r="AC93">
        <v>0</v>
      </c>
      <c r="AD93">
        <v>0</v>
      </c>
      <c r="AE93">
        <v>0</v>
      </c>
      <c r="AF93">
        <v>0</v>
      </c>
      <c r="AG93">
        <v>0</v>
      </c>
      <c r="AH93">
        <v>0</v>
      </c>
      <c r="AI93">
        <v>0</v>
      </c>
      <c r="AJ93">
        <v>0</v>
      </c>
    </row>
    <row r="94" spans="1:36">
      <c r="A94" t="s">
        <v>242</v>
      </c>
      <c r="B94" s="264">
        <v>46028</v>
      </c>
      <c r="C94" t="s">
        <v>429</v>
      </c>
      <c r="D94" t="s">
        <v>576</v>
      </c>
      <c r="E94" t="s">
        <v>341</v>
      </c>
      <c r="F94" t="s">
        <v>232</v>
      </c>
      <c r="G94">
        <v>5.5999999999999999E-3</v>
      </c>
      <c r="H94">
        <v>180</v>
      </c>
      <c r="I94">
        <v>1</v>
      </c>
      <c r="J94">
        <v>0</v>
      </c>
      <c r="K94" t="s">
        <v>233</v>
      </c>
      <c r="L94" s="264">
        <v>46325</v>
      </c>
      <c r="M94">
        <v>0</v>
      </c>
      <c r="N94">
        <v>0</v>
      </c>
      <c r="O94">
        <v>4</v>
      </c>
      <c r="P94" t="s">
        <v>431</v>
      </c>
      <c r="Q94">
        <v>0</v>
      </c>
      <c r="R94">
        <v>0</v>
      </c>
      <c r="S94">
        <v>0</v>
      </c>
      <c r="T94">
        <v>0</v>
      </c>
      <c r="U94">
        <v>0</v>
      </c>
      <c r="V94">
        <v>0</v>
      </c>
      <c r="W94">
        <v>0</v>
      </c>
      <c r="X94">
        <v>0</v>
      </c>
      <c r="Y94">
        <v>0</v>
      </c>
      <c r="Z94">
        <v>0</v>
      </c>
      <c r="AA94">
        <v>0</v>
      </c>
      <c r="AB94">
        <v>0</v>
      </c>
      <c r="AC94">
        <v>0</v>
      </c>
      <c r="AD94">
        <v>1</v>
      </c>
      <c r="AE94">
        <v>0</v>
      </c>
      <c r="AF94">
        <v>0</v>
      </c>
      <c r="AG94">
        <v>0</v>
      </c>
      <c r="AH94">
        <v>0</v>
      </c>
      <c r="AI94">
        <v>0</v>
      </c>
      <c r="AJ94">
        <v>0</v>
      </c>
    </row>
    <row r="95" spans="1:36">
      <c r="A95" t="s">
        <v>242</v>
      </c>
      <c r="B95" s="264">
        <v>46028</v>
      </c>
      <c r="C95" t="s">
        <v>376</v>
      </c>
      <c r="D95" t="s">
        <v>579</v>
      </c>
      <c r="E95" t="s">
        <v>341</v>
      </c>
      <c r="F95" t="s">
        <v>232</v>
      </c>
      <c r="G95">
        <v>0</v>
      </c>
      <c r="H95">
        <v>180</v>
      </c>
      <c r="I95">
        <v>0</v>
      </c>
      <c r="J95">
        <v>0</v>
      </c>
      <c r="K95" t="s">
        <v>233</v>
      </c>
      <c r="L95" t="s">
        <v>66</v>
      </c>
      <c r="M95">
        <v>0</v>
      </c>
      <c r="N95">
        <v>0</v>
      </c>
      <c r="O95">
        <v>0</v>
      </c>
      <c r="P95" t="s">
        <v>436</v>
      </c>
      <c r="Q95">
        <v>0</v>
      </c>
      <c r="R95">
        <v>0</v>
      </c>
      <c r="S95">
        <v>0</v>
      </c>
      <c r="T95">
        <v>0</v>
      </c>
      <c r="U95">
        <v>0</v>
      </c>
      <c r="V95">
        <v>0</v>
      </c>
      <c r="W95">
        <v>0</v>
      </c>
      <c r="X95">
        <v>0</v>
      </c>
      <c r="Y95">
        <v>0</v>
      </c>
      <c r="Z95">
        <v>0</v>
      </c>
      <c r="AA95">
        <v>0</v>
      </c>
      <c r="AB95">
        <v>0</v>
      </c>
      <c r="AC95">
        <v>0</v>
      </c>
      <c r="AD95">
        <v>0</v>
      </c>
      <c r="AE95">
        <v>0</v>
      </c>
      <c r="AF95">
        <v>0</v>
      </c>
      <c r="AG95">
        <v>0</v>
      </c>
      <c r="AH95">
        <v>0</v>
      </c>
      <c r="AI95">
        <v>0</v>
      </c>
      <c r="AJ95">
        <v>0</v>
      </c>
    </row>
    <row r="96" spans="1:36">
      <c r="A96" t="s">
        <v>242</v>
      </c>
      <c r="B96" s="264">
        <v>46028</v>
      </c>
      <c r="C96" t="s">
        <v>378</v>
      </c>
      <c r="D96" t="s">
        <v>563</v>
      </c>
      <c r="E96" t="s">
        <v>341</v>
      </c>
      <c r="F96" t="s">
        <v>232</v>
      </c>
      <c r="G96">
        <v>5.5999999999999999E-3</v>
      </c>
      <c r="H96">
        <v>180</v>
      </c>
      <c r="I96">
        <v>1</v>
      </c>
      <c r="J96">
        <v>0</v>
      </c>
      <c r="K96" t="s">
        <v>233</v>
      </c>
      <c r="L96" s="264">
        <v>46305</v>
      </c>
      <c r="M96">
        <v>0</v>
      </c>
      <c r="N96">
        <v>0</v>
      </c>
      <c r="O96">
        <v>1</v>
      </c>
      <c r="P96" t="s">
        <v>431</v>
      </c>
      <c r="Q96">
        <v>0</v>
      </c>
      <c r="R96">
        <v>0</v>
      </c>
      <c r="S96">
        <v>0</v>
      </c>
      <c r="T96">
        <v>0</v>
      </c>
      <c r="U96">
        <v>0</v>
      </c>
      <c r="V96">
        <v>0</v>
      </c>
      <c r="W96">
        <v>0</v>
      </c>
      <c r="X96">
        <v>0</v>
      </c>
      <c r="Y96">
        <v>0</v>
      </c>
      <c r="Z96">
        <v>0</v>
      </c>
      <c r="AA96">
        <v>0</v>
      </c>
      <c r="AB96">
        <v>0</v>
      </c>
      <c r="AC96">
        <v>0</v>
      </c>
      <c r="AD96">
        <v>1</v>
      </c>
      <c r="AE96">
        <v>0</v>
      </c>
      <c r="AF96">
        <v>0</v>
      </c>
      <c r="AG96">
        <v>0</v>
      </c>
      <c r="AH96">
        <v>0</v>
      </c>
      <c r="AI96">
        <v>0</v>
      </c>
      <c r="AJ96">
        <v>0</v>
      </c>
    </row>
    <row r="97" spans="1:36">
      <c r="A97" t="s">
        <v>242</v>
      </c>
      <c r="B97" s="264">
        <v>46028</v>
      </c>
      <c r="C97" t="s">
        <v>380</v>
      </c>
      <c r="D97" t="s">
        <v>231</v>
      </c>
      <c r="E97" t="s">
        <v>341</v>
      </c>
      <c r="F97" t="s">
        <v>232</v>
      </c>
      <c r="G97">
        <v>3.3300000000000003E-2</v>
      </c>
      <c r="H97">
        <v>180</v>
      </c>
      <c r="I97">
        <v>6</v>
      </c>
      <c r="J97">
        <v>0</v>
      </c>
      <c r="K97" t="s">
        <v>233</v>
      </c>
      <c r="L97" s="264">
        <v>46339</v>
      </c>
      <c r="M97">
        <v>0</v>
      </c>
      <c r="N97">
        <v>0</v>
      </c>
      <c r="O97">
        <v>6</v>
      </c>
      <c r="P97" t="s">
        <v>299</v>
      </c>
      <c r="Q97">
        <v>0</v>
      </c>
      <c r="R97">
        <v>0</v>
      </c>
      <c r="S97">
        <v>0</v>
      </c>
      <c r="T97">
        <v>0</v>
      </c>
      <c r="U97">
        <v>0</v>
      </c>
      <c r="V97">
        <v>0</v>
      </c>
      <c r="W97">
        <v>0</v>
      </c>
      <c r="X97">
        <v>0</v>
      </c>
      <c r="Y97">
        <v>0</v>
      </c>
      <c r="Z97">
        <v>0</v>
      </c>
      <c r="AA97">
        <v>0</v>
      </c>
      <c r="AB97">
        <v>0</v>
      </c>
      <c r="AC97">
        <v>0</v>
      </c>
      <c r="AD97">
        <v>6</v>
      </c>
      <c r="AE97">
        <v>0</v>
      </c>
      <c r="AF97">
        <v>0</v>
      </c>
      <c r="AG97">
        <v>0</v>
      </c>
      <c r="AH97">
        <v>0</v>
      </c>
      <c r="AI97">
        <v>0</v>
      </c>
      <c r="AJ97">
        <v>0</v>
      </c>
    </row>
    <row r="98" spans="1:36">
      <c r="A98" t="s">
        <v>242</v>
      </c>
      <c r="B98" s="264">
        <v>46028</v>
      </c>
      <c r="C98" t="s">
        <v>65</v>
      </c>
      <c r="D98" t="s">
        <v>243</v>
      </c>
      <c r="E98" t="s">
        <v>1</v>
      </c>
      <c r="F98" t="s">
        <v>232</v>
      </c>
      <c r="G98">
        <v>0</v>
      </c>
      <c r="H98">
        <v>180</v>
      </c>
      <c r="I98">
        <v>0</v>
      </c>
      <c r="J98">
        <v>0</v>
      </c>
      <c r="K98" t="s">
        <v>233</v>
      </c>
      <c r="L98" t="s">
        <v>66</v>
      </c>
      <c r="M98">
        <v>0</v>
      </c>
      <c r="N98">
        <v>0</v>
      </c>
      <c r="O98">
        <v>0</v>
      </c>
      <c r="P98" t="s">
        <v>67</v>
      </c>
      <c r="Q98">
        <v>0</v>
      </c>
      <c r="R98">
        <v>0</v>
      </c>
      <c r="S98">
        <v>0</v>
      </c>
      <c r="T98">
        <v>0</v>
      </c>
      <c r="U98">
        <v>0</v>
      </c>
      <c r="V98">
        <v>0</v>
      </c>
      <c r="W98">
        <v>0</v>
      </c>
      <c r="X98">
        <v>0</v>
      </c>
      <c r="Y98">
        <v>0</v>
      </c>
      <c r="Z98">
        <v>0</v>
      </c>
      <c r="AA98">
        <v>0</v>
      </c>
      <c r="AB98">
        <v>0</v>
      </c>
      <c r="AC98">
        <v>0</v>
      </c>
      <c r="AD98">
        <v>0</v>
      </c>
      <c r="AE98">
        <v>0</v>
      </c>
      <c r="AF98">
        <v>0</v>
      </c>
      <c r="AG98">
        <v>0</v>
      </c>
      <c r="AH98">
        <v>0</v>
      </c>
      <c r="AI98">
        <v>0</v>
      </c>
      <c r="AJ98">
        <v>0</v>
      </c>
    </row>
    <row r="99" spans="1:36">
      <c r="A99" t="s">
        <v>242</v>
      </c>
      <c r="B99" s="264">
        <v>46028</v>
      </c>
      <c r="C99" t="s">
        <v>854</v>
      </c>
      <c r="D99" t="s">
        <v>980</v>
      </c>
      <c r="E99" t="s">
        <v>808</v>
      </c>
      <c r="F99" t="s">
        <v>232</v>
      </c>
      <c r="G99">
        <v>3.3500000000000002E-2</v>
      </c>
      <c r="H99">
        <v>179</v>
      </c>
      <c r="I99">
        <v>6</v>
      </c>
      <c r="J99">
        <v>0</v>
      </c>
      <c r="K99" t="s">
        <v>233</v>
      </c>
      <c r="L99" s="264">
        <v>46344</v>
      </c>
      <c r="M99">
        <v>0</v>
      </c>
      <c r="N99">
        <v>0</v>
      </c>
      <c r="O99">
        <v>6</v>
      </c>
      <c r="P99" t="s">
        <v>326</v>
      </c>
      <c r="Q99">
        <v>0</v>
      </c>
      <c r="R99">
        <v>0</v>
      </c>
      <c r="S99">
        <v>0</v>
      </c>
      <c r="T99">
        <v>0</v>
      </c>
      <c r="U99">
        <v>0</v>
      </c>
      <c r="V99">
        <v>0</v>
      </c>
      <c r="W99">
        <v>0</v>
      </c>
      <c r="X99">
        <v>0</v>
      </c>
      <c r="Y99">
        <v>0</v>
      </c>
      <c r="Z99">
        <v>0</v>
      </c>
      <c r="AA99">
        <v>0</v>
      </c>
      <c r="AB99">
        <v>0</v>
      </c>
      <c r="AC99">
        <v>2</v>
      </c>
      <c r="AD99">
        <v>0</v>
      </c>
      <c r="AE99">
        <v>0</v>
      </c>
      <c r="AF99">
        <v>4</v>
      </c>
      <c r="AG99">
        <v>0</v>
      </c>
      <c r="AH99">
        <v>0</v>
      </c>
      <c r="AI99">
        <v>0</v>
      </c>
      <c r="AJ99">
        <v>0</v>
      </c>
    </row>
    <row r="100" spans="1:36">
      <c r="A100" t="s">
        <v>242</v>
      </c>
      <c r="B100" s="264">
        <v>46028</v>
      </c>
      <c r="C100" t="s">
        <v>1215</v>
      </c>
      <c r="D100" t="s">
        <v>1237</v>
      </c>
      <c r="E100" t="s">
        <v>1213</v>
      </c>
      <c r="F100" t="s">
        <v>232</v>
      </c>
      <c r="G100">
        <v>2.23E-2</v>
      </c>
      <c r="H100">
        <v>179</v>
      </c>
      <c r="I100">
        <v>4</v>
      </c>
      <c r="J100">
        <v>0</v>
      </c>
      <c r="K100" t="s">
        <v>233</v>
      </c>
      <c r="L100" s="264">
        <v>46326</v>
      </c>
      <c r="M100">
        <v>0</v>
      </c>
      <c r="N100">
        <v>0</v>
      </c>
      <c r="O100">
        <v>4</v>
      </c>
      <c r="P100" t="s">
        <v>549</v>
      </c>
      <c r="Q100">
        <v>0</v>
      </c>
      <c r="R100">
        <v>0</v>
      </c>
      <c r="S100">
        <v>0</v>
      </c>
      <c r="T100">
        <v>0</v>
      </c>
      <c r="U100">
        <v>0</v>
      </c>
      <c r="V100">
        <v>0</v>
      </c>
      <c r="W100">
        <v>0</v>
      </c>
      <c r="X100">
        <v>0</v>
      </c>
      <c r="Y100">
        <v>0</v>
      </c>
      <c r="Z100">
        <v>0</v>
      </c>
      <c r="AA100">
        <v>0</v>
      </c>
      <c r="AB100">
        <v>2</v>
      </c>
      <c r="AC100">
        <v>2</v>
      </c>
      <c r="AD100">
        <v>0</v>
      </c>
      <c r="AE100">
        <v>0</v>
      </c>
      <c r="AF100">
        <v>0</v>
      </c>
      <c r="AG100">
        <v>0</v>
      </c>
      <c r="AH100">
        <v>0</v>
      </c>
      <c r="AI100">
        <v>0</v>
      </c>
      <c r="AJ100">
        <v>0</v>
      </c>
    </row>
    <row r="101" spans="1:36">
      <c r="A101" t="s">
        <v>242</v>
      </c>
      <c r="B101" s="264">
        <v>46028</v>
      </c>
      <c r="C101" t="s">
        <v>613</v>
      </c>
      <c r="D101" t="s">
        <v>696</v>
      </c>
      <c r="E101" t="s">
        <v>601</v>
      </c>
      <c r="F101" t="s">
        <v>232</v>
      </c>
      <c r="G101">
        <v>5.5999999999999999E-3</v>
      </c>
      <c r="H101">
        <v>180</v>
      </c>
      <c r="I101">
        <v>1</v>
      </c>
      <c r="J101">
        <v>0</v>
      </c>
      <c r="K101" t="s">
        <v>233</v>
      </c>
      <c r="L101" s="264">
        <v>46329</v>
      </c>
      <c r="M101">
        <v>0</v>
      </c>
      <c r="N101">
        <v>0</v>
      </c>
      <c r="O101">
        <v>2</v>
      </c>
      <c r="P101" t="s">
        <v>292</v>
      </c>
      <c r="Q101">
        <v>0</v>
      </c>
      <c r="R101">
        <v>0</v>
      </c>
      <c r="S101">
        <v>0</v>
      </c>
      <c r="T101">
        <v>0</v>
      </c>
      <c r="U101">
        <v>0</v>
      </c>
      <c r="V101">
        <v>0</v>
      </c>
      <c r="W101">
        <v>0</v>
      </c>
      <c r="X101">
        <v>0</v>
      </c>
      <c r="Y101">
        <v>0</v>
      </c>
      <c r="Z101">
        <v>0</v>
      </c>
      <c r="AA101">
        <v>0</v>
      </c>
      <c r="AB101">
        <v>0</v>
      </c>
      <c r="AC101">
        <v>1</v>
      </c>
      <c r="AD101">
        <v>0</v>
      </c>
      <c r="AE101">
        <v>0</v>
      </c>
      <c r="AF101">
        <v>0</v>
      </c>
      <c r="AG101">
        <v>0</v>
      </c>
      <c r="AH101">
        <v>0</v>
      </c>
      <c r="AI101">
        <v>0</v>
      </c>
      <c r="AJ101">
        <v>0</v>
      </c>
    </row>
    <row r="102" spans="1:36">
      <c r="A102" t="s">
        <v>242</v>
      </c>
      <c r="B102" s="264">
        <v>46028</v>
      </c>
      <c r="C102" t="s">
        <v>263</v>
      </c>
      <c r="D102" t="s">
        <v>314</v>
      </c>
      <c r="E102" t="s">
        <v>261</v>
      </c>
      <c r="F102" t="s">
        <v>232</v>
      </c>
      <c r="G102">
        <v>6.1100000000000002E-2</v>
      </c>
      <c r="H102">
        <v>180</v>
      </c>
      <c r="I102">
        <v>11</v>
      </c>
      <c r="J102">
        <v>0</v>
      </c>
      <c r="K102" t="s">
        <v>233</v>
      </c>
      <c r="L102" s="264">
        <v>46344</v>
      </c>
      <c r="M102">
        <v>0</v>
      </c>
      <c r="N102">
        <v>0</v>
      </c>
      <c r="O102">
        <v>11</v>
      </c>
      <c r="P102" t="s">
        <v>164</v>
      </c>
      <c r="Q102">
        <v>0</v>
      </c>
      <c r="R102">
        <v>0</v>
      </c>
      <c r="S102">
        <v>0</v>
      </c>
      <c r="T102">
        <v>0</v>
      </c>
      <c r="U102">
        <v>0</v>
      </c>
      <c r="V102">
        <v>0</v>
      </c>
      <c r="W102">
        <v>0</v>
      </c>
      <c r="X102">
        <v>0</v>
      </c>
      <c r="Y102">
        <v>0</v>
      </c>
      <c r="Z102">
        <v>0</v>
      </c>
      <c r="AA102">
        <v>0</v>
      </c>
      <c r="AB102">
        <v>2</v>
      </c>
      <c r="AC102">
        <v>9</v>
      </c>
      <c r="AD102">
        <v>0</v>
      </c>
      <c r="AE102">
        <v>0</v>
      </c>
      <c r="AF102">
        <v>0</v>
      </c>
      <c r="AG102">
        <v>0</v>
      </c>
      <c r="AH102">
        <v>0</v>
      </c>
      <c r="AI102">
        <v>0</v>
      </c>
      <c r="AJ102">
        <v>0</v>
      </c>
    </row>
    <row r="103" spans="1:36">
      <c r="A103" t="s">
        <v>242</v>
      </c>
      <c r="B103" s="264">
        <v>46028</v>
      </c>
      <c r="C103" t="s">
        <v>762</v>
      </c>
      <c r="D103" t="s">
        <v>766</v>
      </c>
      <c r="E103" t="s">
        <v>755</v>
      </c>
      <c r="F103" t="s">
        <v>232</v>
      </c>
      <c r="G103">
        <v>0</v>
      </c>
      <c r="H103">
        <v>180</v>
      </c>
      <c r="I103">
        <v>0</v>
      </c>
      <c r="J103">
        <v>0</v>
      </c>
      <c r="K103" t="s">
        <v>233</v>
      </c>
      <c r="L103" t="s">
        <v>66</v>
      </c>
      <c r="M103">
        <v>0</v>
      </c>
      <c r="N103">
        <v>0</v>
      </c>
      <c r="O103">
        <v>0</v>
      </c>
      <c r="P103" t="s">
        <v>761</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row>
    <row r="104" spans="1:36">
      <c r="A104" t="s">
        <v>242</v>
      </c>
      <c r="B104" s="264">
        <v>46028</v>
      </c>
      <c r="C104" t="s">
        <v>763</v>
      </c>
      <c r="D104" t="s">
        <v>767</v>
      </c>
      <c r="E104" t="s">
        <v>755</v>
      </c>
      <c r="F104" t="s">
        <v>232</v>
      </c>
      <c r="G104">
        <v>0</v>
      </c>
      <c r="H104">
        <v>180</v>
      </c>
      <c r="I104">
        <v>0</v>
      </c>
      <c r="J104">
        <v>0</v>
      </c>
      <c r="K104" t="s">
        <v>233</v>
      </c>
      <c r="L104" t="s">
        <v>66</v>
      </c>
      <c r="M104">
        <v>0</v>
      </c>
      <c r="N104">
        <v>0</v>
      </c>
      <c r="O104">
        <v>0</v>
      </c>
      <c r="P104" t="s">
        <v>761</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row>
    <row r="105" spans="1:36">
      <c r="A105" t="s">
        <v>242</v>
      </c>
      <c r="B105" s="264">
        <v>46028</v>
      </c>
      <c r="C105" t="s">
        <v>764</v>
      </c>
      <c r="D105" t="s">
        <v>579</v>
      </c>
      <c r="E105" t="s">
        <v>755</v>
      </c>
      <c r="F105" t="s">
        <v>232</v>
      </c>
      <c r="G105">
        <v>0</v>
      </c>
      <c r="H105">
        <v>180</v>
      </c>
      <c r="I105">
        <v>0</v>
      </c>
      <c r="J105">
        <v>0</v>
      </c>
      <c r="K105" t="s">
        <v>233</v>
      </c>
      <c r="L105" t="s">
        <v>66</v>
      </c>
      <c r="M105">
        <v>0</v>
      </c>
      <c r="N105">
        <v>0</v>
      </c>
      <c r="O105">
        <v>0</v>
      </c>
      <c r="P105" t="s">
        <v>761</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row>
    <row r="106" spans="1:36">
      <c r="A106" t="s">
        <v>315</v>
      </c>
      <c r="B106" s="264">
        <v>46029</v>
      </c>
      <c r="C106" t="s">
        <v>723</v>
      </c>
      <c r="D106" t="s">
        <v>754</v>
      </c>
      <c r="E106" t="s">
        <v>706</v>
      </c>
      <c r="F106" t="s">
        <v>232</v>
      </c>
      <c r="G106">
        <v>5.5999999999999999E-3</v>
      </c>
      <c r="H106">
        <v>180</v>
      </c>
      <c r="I106">
        <v>1</v>
      </c>
      <c r="J106">
        <v>0</v>
      </c>
      <c r="K106" t="s">
        <v>233</v>
      </c>
      <c r="L106" s="264">
        <v>46268</v>
      </c>
      <c r="M106">
        <v>0</v>
      </c>
      <c r="N106">
        <v>0</v>
      </c>
      <c r="O106">
        <v>1</v>
      </c>
      <c r="P106" t="s">
        <v>304</v>
      </c>
      <c r="Q106">
        <v>0</v>
      </c>
      <c r="R106">
        <v>0</v>
      </c>
      <c r="S106">
        <v>0</v>
      </c>
      <c r="T106">
        <v>0</v>
      </c>
      <c r="U106">
        <v>0</v>
      </c>
      <c r="V106">
        <v>0</v>
      </c>
      <c r="W106">
        <v>0</v>
      </c>
      <c r="X106">
        <v>0</v>
      </c>
      <c r="Y106">
        <v>0</v>
      </c>
      <c r="Z106">
        <v>0</v>
      </c>
      <c r="AA106">
        <v>0</v>
      </c>
      <c r="AB106">
        <v>0</v>
      </c>
      <c r="AC106">
        <v>1</v>
      </c>
      <c r="AD106">
        <v>0</v>
      </c>
      <c r="AE106">
        <v>0</v>
      </c>
      <c r="AF106">
        <v>0</v>
      </c>
      <c r="AG106">
        <v>0</v>
      </c>
      <c r="AH106">
        <v>0</v>
      </c>
      <c r="AI106">
        <v>0</v>
      </c>
      <c r="AJ106">
        <v>0</v>
      </c>
    </row>
    <row r="107" spans="1:36">
      <c r="A107" t="s">
        <v>315</v>
      </c>
      <c r="B107" s="264">
        <v>46029</v>
      </c>
      <c r="C107" t="s">
        <v>709</v>
      </c>
      <c r="D107" t="s">
        <v>752</v>
      </c>
      <c r="E107" t="s">
        <v>706</v>
      </c>
      <c r="F107" t="s">
        <v>232</v>
      </c>
      <c r="G107">
        <v>0</v>
      </c>
      <c r="H107">
        <v>180</v>
      </c>
      <c r="I107">
        <v>0</v>
      </c>
      <c r="J107">
        <v>0</v>
      </c>
      <c r="K107" t="s">
        <v>233</v>
      </c>
      <c r="L107" t="s">
        <v>66</v>
      </c>
      <c r="M107">
        <v>0</v>
      </c>
      <c r="N107">
        <v>0</v>
      </c>
      <c r="O107">
        <v>0</v>
      </c>
      <c r="P107" t="s">
        <v>307</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row>
    <row r="108" spans="1:36">
      <c r="A108" t="s">
        <v>315</v>
      </c>
      <c r="B108" s="264">
        <v>46029</v>
      </c>
      <c r="C108" t="s">
        <v>716</v>
      </c>
      <c r="D108" t="s">
        <v>753</v>
      </c>
      <c r="E108" t="s">
        <v>706</v>
      </c>
      <c r="F108" t="s">
        <v>232</v>
      </c>
      <c r="G108">
        <v>2.7799999999999998E-2</v>
      </c>
      <c r="H108">
        <v>180</v>
      </c>
      <c r="I108">
        <v>5</v>
      </c>
      <c r="J108">
        <v>0</v>
      </c>
      <c r="K108" t="s">
        <v>233</v>
      </c>
      <c r="L108" s="264">
        <v>46340</v>
      </c>
      <c r="M108">
        <v>0</v>
      </c>
      <c r="N108">
        <v>0</v>
      </c>
      <c r="O108">
        <v>5</v>
      </c>
      <c r="P108" t="s">
        <v>302</v>
      </c>
      <c r="Q108">
        <v>0</v>
      </c>
      <c r="R108">
        <v>0</v>
      </c>
      <c r="S108">
        <v>0</v>
      </c>
      <c r="T108">
        <v>0</v>
      </c>
      <c r="U108">
        <v>0</v>
      </c>
      <c r="V108">
        <v>0</v>
      </c>
      <c r="W108">
        <v>0</v>
      </c>
      <c r="X108">
        <v>0</v>
      </c>
      <c r="Y108">
        <v>0</v>
      </c>
      <c r="Z108">
        <v>0</v>
      </c>
      <c r="AA108">
        <v>2</v>
      </c>
      <c r="AB108">
        <v>0</v>
      </c>
      <c r="AC108">
        <v>3</v>
      </c>
      <c r="AD108">
        <v>0</v>
      </c>
      <c r="AE108">
        <v>0</v>
      </c>
      <c r="AF108">
        <v>0</v>
      </c>
      <c r="AG108">
        <v>0</v>
      </c>
      <c r="AH108">
        <v>0</v>
      </c>
      <c r="AI108">
        <v>0</v>
      </c>
      <c r="AJ108">
        <v>0</v>
      </c>
    </row>
    <row r="109" spans="1:36">
      <c r="A109" t="s">
        <v>315</v>
      </c>
      <c r="B109" s="264">
        <v>46029</v>
      </c>
      <c r="C109" t="s">
        <v>328</v>
      </c>
      <c r="D109" t="s">
        <v>337</v>
      </c>
      <c r="E109" t="s">
        <v>320</v>
      </c>
      <c r="F109" t="s">
        <v>232</v>
      </c>
      <c r="G109">
        <v>2.2200000000000001E-2</v>
      </c>
      <c r="H109">
        <v>180</v>
      </c>
      <c r="I109">
        <v>4</v>
      </c>
      <c r="J109">
        <v>0</v>
      </c>
      <c r="K109" t="s">
        <v>233</v>
      </c>
      <c r="L109" s="264">
        <v>46336</v>
      </c>
      <c r="M109">
        <v>0</v>
      </c>
      <c r="N109">
        <v>0</v>
      </c>
      <c r="O109">
        <v>4</v>
      </c>
      <c r="P109" t="s">
        <v>326</v>
      </c>
      <c r="Q109">
        <v>1</v>
      </c>
      <c r="R109">
        <v>0</v>
      </c>
      <c r="S109">
        <v>0</v>
      </c>
      <c r="T109">
        <v>0</v>
      </c>
      <c r="U109">
        <v>0</v>
      </c>
      <c r="V109">
        <v>0</v>
      </c>
      <c r="W109">
        <v>0</v>
      </c>
      <c r="X109">
        <v>0</v>
      </c>
      <c r="Y109">
        <v>0</v>
      </c>
      <c r="Z109">
        <v>0</v>
      </c>
      <c r="AA109">
        <v>0</v>
      </c>
      <c r="AB109">
        <v>0</v>
      </c>
      <c r="AC109">
        <v>3</v>
      </c>
      <c r="AD109">
        <v>0</v>
      </c>
      <c r="AE109">
        <v>0</v>
      </c>
      <c r="AF109">
        <v>0</v>
      </c>
      <c r="AG109">
        <v>0</v>
      </c>
      <c r="AH109">
        <v>0</v>
      </c>
      <c r="AI109">
        <v>0</v>
      </c>
      <c r="AJ109">
        <v>0</v>
      </c>
    </row>
    <row r="110" spans="1:36">
      <c r="A110" t="s">
        <v>315</v>
      </c>
      <c r="B110" s="264">
        <v>46029</v>
      </c>
      <c r="C110" t="s">
        <v>1006</v>
      </c>
      <c r="D110" t="s">
        <v>555</v>
      </c>
      <c r="E110" t="s">
        <v>985</v>
      </c>
      <c r="F110" t="s">
        <v>232</v>
      </c>
      <c r="G110">
        <v>0.10059999999999999</v>
      </c>
      <c r="H110">
        <v>179</v>
      </c>
      <c r="I110">
        <v>18</v>
      </c>
      <c r="J110">
        <v>0</v>
      </c>
      <c r="K110" t="s">
        <v>233</v>
      </c>
      <c r="L110" s="264">
        <v>46342</v>
      </c>
      <c r="M110">
        <v>0</v>
      </c>
      <c r="N110">
        <v>0</v>
      </c>
      <c r="O110">
        <v>18</v>
      </c>
      <c r="P110" t="s">
        <v>431</v>
      </c>
      <c r="Q110">
        <v>1</v>
      </c>
      <c r="R110">
        <v>0</v>
      </c>
      <c r="S110">
        <v>0</v>
      </c>
      <c r="T110">
        <v>0</v>
      </c>
      <c r="U110">
        <v>0</v>
      </c>
      <c r="V110">
        <v>0</v>
      </c>
      <c r="W110">
        <v>0</v>
      </c>
      <c r="X110">
        <v>0</v>
      </c>
      <c r="Y110">
        <v>0</v>
      </c>
      <c r="Z110">
        <v>0</v>
      </c>
      <c r="AA110">
        <v>4</v>
      </c>
      <c r="AB110">
        <v>0</v>
      </c>
      <c r="AC110">
        <v>0</v>
      </c>
      <c r="AD110">
        <v>4</v>
      </c>
      <c r="AE110">
        <v>7</v>
      </c>
      <c r="AF110">
        <v>2</v>
      </c>
      <c r="AG110">
        <v>0</v>
      </c>
      <c r="AH110">
        <v>0</v>
      </c>
      <c r="AI110">
        <v>0</v>
      </c>
      <c r="AJ110">
        <v>0</v>
      </c>
    </row>
    <row r="111" spans="1:36">
      <c r="A111" t="s">
        <v>315</v>
      </c>
      <c r="B111" s="264">
        <v>46029</v>
      </c>
      <c r="C111" t="s">
        <v>1253</v>
      </c>
      <c r="D111" t="s">
        <v>1274</v>
      </c>
      <c r="E111" t="s">
        <v>1239</v>
      </c>
      <c r="F111" t="s">
        <v>232</v>
      </c>
      <c r="G111">
        <v>8.9399999999999993E-2</v>
      </c>
      <c r="H111">
        <v>179</v>
      </c>
      <c r="I111">
        <v>16</v>
      </c>
      <c r="J111">
        <v>0</v>
      </c>
      <c r="K111" t="s">
        <v>233</v>
      </c>
      <c r="L111" s="264">
        <v>46339</v>
      </c>
      <c r="M111">
        <v>0</v>
      </c>
      <c r="N111">
        <v>0</v>
      </c>
      <c r="O111">
        <v>16</v>
      </c>
      <c r="P111" t="s">
        <v>552</v>
      </c>
      <c r="Q111">
        <v>0</v>
      </c>
      <c r="R111">
        <v>0</v>
      </c>
      <c r="S111">
        <v>0</v>
      </c>
      <c r="T111">
        <v>0</v>
      </c>
      <c r="U111">
        <v>0</v>
      </c>
      <c r="V111">
        <v>0</v>
      </c>
      <c r="W111">
        <v>0</v>
      </c>
      <c r="X111">
        <v>0</v>
      </c>
      <c r="Y111">
        <v>0</v>
      </c>
      <c r="Z111">
        <v>0</v>
      </c>
      <c r="AA111">
        <v>3</v>
      </c>
      <c r="AB111">
        <v>0</v>
      </c>
      <c r="AC111">
        <v>4</v>
      </c>
      <c r="AD111">
        <v>1</v>
      </c>
      <c r="AE111">
        <v>5</v>
      </c>
      <c r="AF111">
        <v>3</v>
      </c>
      <c r="AG111">
        <v>0</v>
      </c>
      <c r="AH111">
        <v>0</v>
      </c>
      <c r="AI111">
        <v>0</v>
      </c>
      <c r="AJ111">
        <v>0</v>
      </c>
    </row>
    <row r="112" spans="1:36">
      <c r="A112" t="s">
        <v>315</v>
      </c>
      <c r="B112" s="264">
        <v>46029</v>
      </c>
      <c r="C112" t="s">
        <v>366</v>
      </c>
      <c r="D112" t="s">
        <v>580</v>
      </c>
      <c r="E112" t="s">
        <v>341</v>
      </c>
      <c r="F112" t="s">
        <v>232</v>
      </c>
      <c r="G112">
        <v>0.05</v>
      </c>
      <c r="H112">
        <v>180</v>
      </c>
      <c r="I112">
        <v>9</v>
      </c>
      <c r="J112">
        <v>0</v>
      </c>
      <c r="K112" t="s">
        <v>233</v>
      </c>
      <c r="L112" s="264">
        <v>46343</v>
      </c>
      <c r="M112">
        <v>0</v>
      </c>
      <c r="N112">
        <v>0</v>
      </c>
      <c r="O112">
        <v>11</v>
      </c>
      <c r="P112" t="s">
        <v>430</v>
      </c>
      <c r="Q112">
        <v>0</v>
      </c>
      <c r="R112">
        <v>0</v>
      </c>
      <c r="S112">
        <v>0</v>
      </c>
      <c r="T112">
        <v>0</v>
      </c>
      <c r="U112">
        <v>0</v>
      </c>
      <c r="V112">
        <v>0</v>
      </c>
      <c r="W112">
        <v>0</v>
      </c>
      <c r="X112">
        <v>0</v>
      </c>
      <c r="Y112">
        <v>0</v>
      </c>
      <c r="Z112">
        <v>0</v>
      </c>
      <c r="AA112">
        <v>0</v>
      </c>
      <c r="AB112">
        <v>4</v>
      </c>
      <c r="AC112">
        <v>0</v>
      </c>
      <c r="AD112">
        <v>5</v>
      </c>
      <c r="AE112">
        <v>0</v>
      </c>
      <c r="AF112">
        <v>0</v>
      </c>
      <c r="AG112">
        <v>0</v>
      </c>
      <c r="AH112">
        <v>0</v>
      </c>
      <c r="AI112">
        <v>0</v>
      </c>
      <c r="AJ112">
        <v>0</v>
      </c>
    </row>
    <row r="113" spans="1:36">
      <c r="A113" t="s">
        <v>315</v>
      </c>
      <c r="B113" s="264">
        <v>46029</v>
      </c>
      <c r="C113" t="s">
        <v>433</v>
      </c>
      <c r="D113" t="s">
        <v>582</v>
      </c>
      <c r="E113" t="s">
        <v>341</v>
      </c>
      <c r="F113" t="s">
        <v>232</v>
      </c>
      <c r="G113">
        <v>5.5999999999999999E-3</v>
      </c>
      <c r="H113">
        <v>180</v>
      </c>
      <c r="I113">
        <v>1</v>
      </c>
      <c r="J113">
        <v>0</v>
      </c>
      <c r="K113" t="s">
        <v>233</v>
      </c>
      <c r="L113" s="264">
        <v>46300</v>
      </c>
      <c r="M113">
        <v>0</v>
      </c>
      <c r="N113">
        <v>0</v>
      </c>
      <c r="O113">
        <v>1</v>
      </c>
      <c r="P113" t="s">
        <v>431</v>
      </c>
      <c r="Q113">
        <v>0</v>
      </c>
      <c r="R113">
        <v>0</v>
      </c>
      <c r="S113">
        <v>0</v>
      </c>
      <c r="T113">
        <v>0</v>
      </c>
      <c r="U113">
        <v>0</v>
      </c>
      <c r="V113">
        <v>0</v>
      </c>
      <c r="W113">
        <v>0</v>
      </c>
      <c r="X113">
        <v>0</v>
      </c>
      <c r="Y113">
        <v>0</v>
      </c>
      <c r="Z113">
        <v>0</v>
      </c>
      <c r="AA113">
        <v>0</v>
      </c>
      <c r="AB113">
        <v>0</v>
      </c>
      <c r="AC113">
        <v>0</v>
      </c>
      <c r="AD113">
        <v>1</v>
      </c>
      <c r="AE113">
        <v>0</v>
      </c>
      <c r="AF113">
        <v>0</v>
      </c>
      <c r="AG113">
        <v>0</v>
      </c>
      <c r="AH113">
        <v>0</v>
      </c>
      <c r="AI113">
        <v>0</v>
      </c>
      <c r="AJ113">
        <v>0</v>
      </c>
    </row>
    <row r="114" spans="1:36">
      <c r="A114" t="s">
        <v>315</v>
      </c>
      <c r="B114" s="264">
        <v>46029</v>
      </c>
      <c r="C114" t="s">
        <v>429</v>
      </c>
      <c r="D114" t="s">
        <v>559</v>
      </c>
      <c r="E114" t="s">
        <v>341</v>
      </c>
      <c r="F114" t="s">
        <v>232</v>
      </c>
      <c r="G114">
        <v>1.11E-2</v>
      </c>
      <c r="H114">
        <v>180</v>
      </c>
      <c r="I114">
        <v>2</v>
      </c>
      <c r="J114">
        <v>0</v>
      </c>
      <c r="K114" t="s">
        <v>233</v>
      </c>
      <c r="L114" s="264">
        <v>46330</v>
      </c>
      <c r="M114">
        <v>0</v>
      </c>
      <c r="N114">
        <v>0</v>
      </c>
      <c r="O114">
        <v>2</v>
      </c>
      <c r="P114" t="s">
        <v>368</v>
      </c>
      <c r="Q114">
        <v>0</v>
      </c>
      <c r="R114">
        <v>0</v>
      </c>
      <c r="S114">
        <v>0</v>
      </c>
      <c r="T114">
        <v>0</v>
      </c>
      <c r="U114">
        <v>0</v>
      </c>
      <c r="V114">
        <v>0</v>
      </c>
      <c r="W114">
        <v>0</v>
      </c>
      <c r="X114">
        <v>0</v>
      </c>
      <c r="Y114">
        <v>0</v>
      </c>
      <c r="Z114">
        <v>0</v>
      </c>
      <c r="AA114">
        <v>0</v>
      </c>
      <c r="AB114">
        <v>0</v>
      </c>
      <c r="AC114">
        <v>0</v>
      </c>
      <c r="AD114">
        <v>2</v>
      </c>
      <c r="AE114">
        <v>0</v>
      </c>
      <c r="AF114">
        <v>0</v>
      </c>
      <c r="AG114">
        <v>0</v>
      </c>
      <c r="AH114">
        <v>0</v>
      </c>
      <c r="AI114">
        <v>0</v>
      </c>
      <c r="AJ114">
        <v>0</v>
      </c>
    </row>
    <row r="115" spans="1:36">
      <c r="A115" t="s">
        <v>315</v>
      </c>
      <c r="B115" s="264">
        <v>46029</v>
      </c>
      <c r="C115" t="s">
        <v>376</v>
      </c>
      <c r="D115" t="s">
        <v>581</v>
      </c>
      <c r="E115" t="s">
        <v>341</v>
      </c>
      <c r="F115" t="s">
        <v>232</v>
      </c>
      <c r="G115">
        <v>1.11E-2</v>
      </c>
      <c r="H115">
        <v>180</v>
      </c>
      <c r="I115">
        <v>2</v>
      </c>
      <c r="J115">
        <v>0</v>
      </c>
      <c r="K115" t="s">
        <v>233</v>
      </c>
      <c r="L115" s="264">
        <v>46329</v>
      </c>
      <c r="M115">
        <v>0</v>
      </c>
      <c r="N115">
        <v>0</v>
      </c>
      <c r="O115">
        <v>2</v>
      </c>
      <c r="P115" t="s">
        <v>368</v>
      </c>
      <c r="Q115">
        <v>0</v>
      </c>
      <c r="R115">
        <v>0</v>
      </c>
      <c r="S115">
        <v>0</v>
      </c>
      <c r="T115">
        <v>0</v>
      </c>
      <c r="U115">
        <v>0</v>
      </c>
      <c r="V115">
        <v>0</v>
      </c>
      <c r="W115">
        <v>0</v>
      </c>
      <c r="X115">
        <v>0</v>
      </c>
      <c r="Y115">
        <v>0</v>
      </c>
      <c r="Z115">
        <v>0</v>
      </c>
      <c r="AA115">
        <v>0</v>
      </c>
      <c r="AB115">
        <v>0</v>
      </c>
      <c r="AC115">
        <v>0</v>
      </c>
      <c r="AD115">
        <v>2</v>
      </c>
      <c r="AE115">
        <v>0</v>
      </c>
      <c r="AF115">
        <v>0</v>
      </c>
      <c r="AG115">
        <v>0</v>
      </c>
      <c r="AH115">
        <v>0</v>
      </c>
      <c r="AI115">
        <v>0</v>
      </c>
      <c r="AJ115">
        <v>0</v>
      </c>
    </row>
    <row r="116" spans="1:36">
      <c r="A116" t="s">
        <v>315</v>
      </c>
      <c r="B116" s="264">
        <v>46029</v>
      </c>
      <c r="C116" t="s">
        <v>378</v>
      </c>
      <c r="D116" t="s">
        <v>563</v>
      </c>
      <c r="E116" t="s">
        <v>341</v>
      </c>
      <c r="F116" t="s">
        <v>232</v>
      </c>
      <c r="G116">
        <v>1.67E-2</v>
      </c>
      <c r="H116">
        <v>180</v>
      </c>
      <c r="I116">
        <v>3</v>
      </c>
      <c r="J116">
        <v>0</v>
      </c>
      <c r="K116" t="s">
        <v>233</v>
      </c>
      <c r="L116" s="264">
        <v>46321</v>
      </c>
      <c r="M116">
        <v>0</v>
      </c>
      <c r="N116">
        <v>0</v>
      </c>
      <c r="O116">
        <v>3</v>
      </c>
      <c r="P116" t="s">
        <v>446</v>
      </c>
      <c r="Q116">
        <v>0</v>
      </c>
      <c r="R116">
        <v>0</v>
      </c>
      <c r="S116">
        <v>0</v>
      </c>
      <c r="T116">
        <v>0</v>
      </c>
      <c r="U116">
        <v>0</v>
      </c>
      <c r="V116">
        <v>0</v>
      </c>
      <c r="W116">
        <v>0</v>
      </c>
      <c r="X116">
        <v>0</v>
      </c>
      <c r="Y116">
        <v>0</v>
      </c>
      <c r="Z116">
        <v>0</v>
      </c>
      <c r="AA116">
        <v>0</v>
      </c>
      <c r="AB116">
        <v>0</v>
      </c>
      <c r="AC116">
        <v>0</v>
      </c>
      <c r="AD116">
        <v>3</v>
      </c>
      <c r="AE116">
        <v>0</v>
      </c>
      <c r="AF116">
        <v>0</v>
      </c>
      <c r="AG116">
        <v>0</v>
      </c>
      <c r="AH116">
        <v>0</v>
      </c>
      <c r="AI116">
        <v>0</v>
      </c>
      <c r="AJ116">
        <v>0</v>
      </c>
    </row>
    <row r="117" spans="1:36">
      <c r="A117" t="s">
        <v>315</v>
      </c>
      <c r="B117" s="264">
        <v>46029</v>
      </c>
      <c r="C117" t="s">
        <v>818</v>
      </c>
      <c r="D117" t="s">
        <v>974</v>
      </c>
      <c r="E117" t="s">
        <v>808</v>
      </c>
      <c r="F117" t="s">
        <v>232</v>
      </c>
      <c r="G117">
        <v>0</v>
      </c>
      <c r="H117">
        <v>179</v>
      </c>
      <c r="I117">
        <v>0</v>
      </c>
      <c r="J117">
        <v>0</v>
      </c>
      <c r="K117" t="s">
        <v>233</v>
      </c>
      <c r="L117" t="s">
        <v>66</v>
      </c>
      <c r="M117">
        <v>0</v>
      </c>
      <c r="N117">
        <v>0</v>
      </c>
      <c r="O117">
        <v>0</v>
      </c>
      <c r="P117" t="s">
        <v>326</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row>
    <row r="118" spans="1:36">
      <c r="A118" t="s">
        <v>315</v>
      </c>
      <c r="B118" s="264">
        <v>46029</v>
      </c>
      <c r="C118" t="s">
        <v>854</v>
      </c>
      <c r="D118" t="s">
        <v>975</v>
      </c>
      <c r="E118" t="s">
        <v>808</v>
      </c>
      <c r="F118" t="s">
        <v>232</v>
      </c>
      <c r="G118">
        <v>1.6799999999999999E-2</v>
      </c>
      <c r="H118">
        <v>179</v>
      </c>
      <c r="I118">
        <v>3</v>
      </c>
      <c r="J118">
        <v>0</v>
      </c>
      <c r="K118" t="s">
        <v>233</v>
      </c>
      <c r="L118" s="264">
        <v>46330</v>
      </c>
      <c r="M118">
        <v>0</v>
      </c>
      <c r="N118">
        <v>0</v>
      </c>
      <c r="O118">
        <v>3</v>
      </c>
      <c r="P118" t="s">
        <v>326</v>
      </c>
      <c r="Q118">
        <v>0</v>
      </c>
      <c r="R118">
        <v>0</v>
      </c>
      <c r="S118">
        <v>0</v>
      </c>
      <c r="T118">
        <v>0</v>
      </c>
      <c r="U118">
        <v>0</v>
      </c>
      <c r="V118">
        <v>0</v>
      </c>
      <c r="W118">
        <v>0</v>
      </c>
      <c r="X118">
        <v>0</v>
      </c>
      <c r="Y118">
        <v>0</v>
      </c>
      <c r="Z118">
        <v>0</v>
      </c>
      <c r="AA118">
        <v>0</v>
      </c>
      <c r="AB118">
        <v>0</v>
      </c>
      <c r="AC118">
        <v>1</v>
      </c>
      <c r="AD118">
        <v>0</v>
      </c>
      <c r="AE118">
        <v>0</v>
      </c>
      <c r="AF118">
        <v>2</v>
      </c>
      <c r="AG118">
        <v>0</v>
      </c>
      <c r="AH118">
        <v>0</v>
      </c>
      <c r="AI118">
        <v>0</v>
      </c>
      <c r="AJ118">
        <v>0</v>
      </c>
    </row>
    <row r="119" spans="1:36">
      <c r="A119" t="s">
        <v>315</v>
      </c>
      <c r="B119" s="264">
        <v>46029</v>
      </c>
      <c r="C119" t="s">
        <v>1148</v>
      </c>
      <c r="D119" t="s">
        <v>1176</v>
      </c>
      <c r="E119" t="s">
        <v>1144</v>
      </c>
      <c r="F119" t="s">
        <v>232</v>
      </c>
      <c r="G119">
        <v>2.23E-2</v>
      </c>
      <c r="H119">
        <v>179</v>
      </c>
      <c r="I119">
        <v>4</v>
      </c>
      <c r="J119">
        <v>0</v>
      </c>
      <c r="K119" t="s">
        <v>233</v>
      </c>
      <c r="L119" s="264">
        <v>46328</v>
      </c>
      <c r="M119">
        <v>0</v>
      </c>
      <c r="N119">
        <v>0</v>
      </c>
      <c r="O119">
        <v>4</v>
      </c>
      <c r="P119" t="s">
        <v>819</v>
      </c>
      <c r="Q119">
        <v>0</v>
      </c>
      <c r="R119">
        <v>0</v>
      </c>
      <c r="S119">
        <v>0</v>
      </c>
      <c r="T119">
        <v>0</v>
      </c>
      <c r="U119">
        <v>0</v>
      </c>
      <c r="V119">
        <v>0</v>
      </c>
      <c r="W119">
        <v>0</v>
      </c>
      <c r="X119">
        <v>0</v>
      </c>
      <c r="Y119">
        <v>0</v>
      </c>
      <c r="Z119">
        <v>0</v>
      </c>
      <c r="AA119">
        <v>0</v>
      </c>
      <c r="AB119">
        <v>0</v>
      </c>
      <c r="AC119">
        <v>0</v>
      </c>
      <c r="AD119">
        <v>0</v>
      </c>
      <c r="AE119">
        <v>0</v>
      </c>
      <c r="AF119">
        <v>4</v>
      </c>
      <c r="AG119">
        <v>0</v>
      </c>
      <c r="AH119">
        <v>0</v>
      </c>
      <c r="AI119">
        <v>0</v>
      </c>
      <c r="AJ119">
        <v>0</v>
      </c>
    </row>
    <row r="120" spans="1:36">
      <c r="A120" t="s">
        <v>315</v>
      </c>
      <c r="B120" s="264">
        <v>46029</v>
      </c>
      <c r="C120" t="s">
        <v>1215</v>
      </c>
      <c r="D120" t="s">
        <v>1238</v>
      </c>
      <c r="E120" t="s">
        <v>1213</v>
      </c>
      <c r="F120" t="s">
        <v>232</v>
      </c>
      <c r="G120">
        <v>2.7900000000000001E-2</v>
      </c>
      <c r="H120">
        <v>179</v>
      </c>
      <c r="I120">
        <v>5</v>
      </c>
      <c r="J120">
        <v>0</v>
      </c>
      <c r="K120" t="s">
        <v>233</v>
      </c>
      <c r="L120" s="264">
        <v>46343</v>
      </c>
      <c r="M120">
        <v>0</v>
      </c>
      <c r="N120">
        <v>0</v>
      </c>
      <c r="O120">
        <v>5</v>
      </c>
      <c r="P120" t="s">
        <v>549</v>
      </c>
      <c r="Q120">
        <v>0</v>
      </c>
      <c r="R120">
        <v>0</v>
      </c>
      <c r="S120">
        <v>0</v>
      </c>
      <c r="T120">
        <v>0</v>
      </c>
      <c r="U120">
        <v>0</v>
      </c>
      <c r="V120">
        <v>0</v>
      </c>
      <c r="W120">
        <v>0</v>
      </c>
      <c r="X120">
        <v>0</v>
      </c>
      <c r="Y120">
        <v>0</v>
      </c>
      <c r="Z120">
        <v>0</v>
      </c>
      <c r="AA120">
        <v>0</v>
      </c>
      <c r="AB120">
        <v>3</v>
      </c>
      <c r="AC120">
        <v>2</v>
      </c>
      <c r="AD120">
        <v>0</v>
      </c>
      <c r="AE120">
        <v>0</v>
      </c>
      <c r="AF120">
        <v>0</v>
      </c>
      <c r="AG120">
        <v>0</v>
      </c>
      <c r="AH120">
        <v>0</v>
      </c>
      <c r="AI120">
        <v>0</v>
      </c>
      <c r="AJ120">
        <v>0</v>
      </c>
    </row>
    <row r="121" spans="1:36">
      <c r="A121" t="s">
        <v>315</v>
      </c>
      <c r="B121" s="264">
        <v>46029</v>
      </c>
      <c r="C121" t="s">
        <v>613</v>
      </c>
      <c r="D121" t="s">
        <v>697</v>
      </c>
      <c r="E121" t="s">
        <v>601</v>
      </c>
      <c r="F121" t="s">
        <v>232</v>
      </c>
      <c r="G121">
        <v>7.22E-2</v>
      </c>
      <c r="H121">
        <v>180</v>
      </c>
      <c r="I121">
        <v>13</v>
      </c>
      <c r="J121">
        <v>0</v>
      </c>
      <c r="K121" t="s">
        <v>233</v>
      </c>
      <c r="L121" s="264">
        <v>46342</v>
      </c>
      <c r="M121">
        <v>0</v>
      </c>
      <c r="N121">
        <v>0</v>
      </c>
      <c r="O121">
        <v>13</v>
      </c>
      <c r="P121" t="s">
        <v>302</v>
      </c>
      <c r="Q121">
        <v>0</v>
      </c>
      <c r="R121">
        <v>0</v>
      </c>
      <c r="S121">
        <v>0</v>
      </c>
      <c r="T121">
        <v>0</v>
      </c>
      <c r="U121">
        <v>0</v>
      </c>
      <c r="V121">
        <v>0</v>
      </c>
      <c r="W121">
        <v>0</v>
      </c>
      <c r="X121">
        <v>0</v>
      </c>
      <c r="Y121">
        <v>0</v>
      </c>
      <c r="Z121">
        <v>0</v>
      </c>
      <c r="AA121">
        <v>0</v>
      </c>
      <c r="AB121">
        <v>4</v>
      </c>
      <c r="AC121">
        <v>9</v>
      </c>
      <c r="AD121">
        <v>0</v>
      </c>
      <c r="AE121">
        <v>0</v>
      </c>
      <c r="AF121">
        <v>0</v>
      </c>
      <c r="AG121">
        <v>0</v>
      </c>
      <c r="AH121">
        <v>0</v>
      </c>
      <c r="AI121">
        <v>0</v>
      </c>
      <c r="AJ121">
        <v>0</v>
      </c>
    </row>
    <row r="122" spans="1:36">
      <c r="A122" t="s">
        <v>315</v>
      </c>
      <c r="B122" s="264">
        <v>46029</v>
      </c>
      <c r="C122" t="s">
        <v>630</v>
      </c>
      <c r="D122" t="s">
        <v>698</v>
      </c>
      <c r="E122" t="s">
        <v>601</v>
      </c>
      <c r="F122" t="s">
        <v>232</v>
      </c>
      <c r="G122">
        <v>3.3300000000000003E-2</v>
      </c>
      <c r="H122">
        <v>180</v>
      </c>
      <c r="I122">
        <v>6</v>
      </c>
      <c r="J122">
        <v>0</v>
      </c>
      <c r="K122" t="s">
        <v>233</v>
      </c>
      <c r="L122" s="264">
        <v>46340</v>
      </c>
      <c r="M122">
        <v>0</v>
      </c>
      <c r="N122">
        <v>0</v>
      </c>
      <c r="O122">
        <v>8</v>
      </c>
      <c r="P122" t="s">
        <v>307</v>
      </c>
      <c r="Q122">
        <v>0</v>
      </c>
      <c r="R122">
        <v>0</v>
      </c>
      <c r="S122">
        <v>0</v>
      </c>
      <c r="T122">
        <v>0</v>
      </c>
      <c r="U122">
        <v>0</v>
      </c>
      <c r="V122">
        <v>0</v>
      </c>
      <c r="W122">
        <v>0</v>
      </c>
      <c r="X122">
        <v>0</v>
      </c>
      <c r="Y122">
        <v>0</v>
      </c>
      <c r="Z122">
        <v>0</v>
      </c>
      <c r="AA122">
        <v>0</v>
      </c>
      <c r="AB122">
        <v>0</v>
      </c>
      <c r="AC122">
        <v>6</v>
      </c>
      <c r="AD122">
        <v>0</v>
      </c>
      <c r="AE122">
        <v>0</v>
      </c>
      <c r="AF122">
        <v>0</v>
      </c>
      <c r="AG122">
        <v>0</v>
      </c>
      <c r="AH122">
        <v>0</v>
      </c>
      <c r="AI122">
        <v>0</v>
      </c>
      <c r="AJ122">
        <v>0</v>
      </c>
    </row>
    <row r="123" spans="1:36">
      <c r="A123" t="s">
        <v>315</v>
      </c>
      <c r="B123" s="264">
        <v>46029</v>
      </c>
      <c r="C123" t="s">
        <v>646</v>
      </c>
      <c r="D123" t="s">
        <v>699</v>
      </c>
      <c r="E123" t="s">
        <v>601</v>
      </c>
      <c r="F123" t="s">
        <v>232</v>
      </c>
      <c r="G123">
        <v>0</v>
      </c>
      <c r="H123">
        <v>180</v>
      </c>
      <c r="I123">
        <v>0</v>
      </c>
      <c r="J123">
        <v>0</v>
      </c>
      <c r="K123" t="s">
        <v>233</v>
      </c>
      <c r="L123" t="s">
        <v>66</v>
      </c>
      <c r="M123">
        <v>0</v>
      </c>
      <c r="N123">
        <v>0</v>
      </c>
      <c r="O123">
        <v>0</v>
      </c>
      <c r="P123" t="s">
        <v>292</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row>
    <row r="124" spans="1:36">
      <c r="A124" t="s">
        <v>315</v>
      </c>
      <c r="B124" s="264">
        <v>46029</v>
      </c>
      <c r="C124" t="s">
        <v>263</v>
      </c>
      <c r="D124" t="s">
        <v>316</v>
      </c>
      <c r="E124" t="s">
        <v>261</v>
      </c>
      <c r="F124" t="s">
        <v>232</v>
      </c>
      <c r="G124">
        <v>0.26669999999999999</v>
      </c>
      <c r="H124">
        <v>180</v>
      </c>
      <c r="I124">
        <v>48</v>
      </c>
      <c r="J124">
        <v>45</v>
      </c>
      <c r="K124" t="s">
        <v>233</v>
      </c>
      <c r="L124" s="264">
        <v>46331</v>
      </c>
      <c r="M124">
        <v>0</v>
      </c>
      <c r="N124">
        <v>0</v>
      </c>
      <c r="O124">
        <v>4</v>
      </c>
      <c r="P124" t="s">
        <v>183</v>
      </c>
      <c r="Q124">
        <v>0</v>
      </c>
      <c r="R124">
        <v>0</v>
      </c>
      <c r="S124">
        <v>0</v>
      </c>
      <c r="T124">
        <v>0</v>
      </c>
      <c r="U124">
        <v>0</v>
      </c>
      <c r="V124">
        <v>0</v>
      </c>
      <c r="W124">
        <v>0</v>
      </c>
      <c r="X124">
        <v>0</v>
      </c>
      <c r="Y124">
        <v>0</v>
      </c>
      <c r="Z124">
        <v>0</v>
      </c>
      <c r="AA124">
        <v>0</v>
      </c>
      <c r="AB124">
        <v>3</v>
      </c>
      <c r="AC124">
        <v>0</v>
      </c>
      <c r="AD124">
        <v>0</v>
      </c>
      <c r="AE124">
        <v>0</v>
      </c>
      <c r="AF124">
        <v>0</v>
      </c>
      <c r="AG124">
        <v>0</v>
      </c>
      <c r="AH124">
        <v>0</v>
      </c>
      <c r="AI124">
        <v>45</v>
      </c>
      <c r="AJ124">
        <v>0</v>
      </c>
    </row>
    <row r="125" spans="1:36">
      <c r="A125" t="s">
        <v>230</v>
      </c>
      <c r="B125" s="264">
        <v>46030</v>
      </c>
      <c r="C125" t="s">
        <v>709</v>
      </c>
      <c r="D125" t="s">
        <v>742</v>
      </c>
      <c r="E125" t="s">
        <v>706</v>
      </c>
      <c r="F125" t="s">
        <v>232</v>
      </c>
      <c r="G125">
        <v>0.05</v>
      </c>
      <c r="H125">
        <v>180</v>
      </c>
      <c r="I125">
        <v>9</v>
      </c>
      <c r="J125">
        <v>0</v>
      </c>
      <c r="K125" t="s">
        <v>233</v>
      </c>
      <c r="L125" s="264">
        <v>46320</v>
      </c>
      <c r="M125">
        <v>0</v>
      </c>
      <c r="N125">
        <v>0</v>
      </c>
      <c r="O125">
        <v>9</v>
      </c>
      <c r="P125" t="s">
        <v>302</v>
      </c>
      <c r="Q125">
        <v>0</v>
      </c>
      <c r="R125">
        <v>0</v>
      </c>
      <c r="S125">
        <v>0</v>
      </c>
      <c r="T125">
        <v>0</v>
      </c>
      <c r="U125">
        <v>0</v>
      </c>
      <c r="V125">
        <v>0</v>
      </c>
      <c r="W125">
        <v>0</v>
      </c>
      <c r="X125">
        <v>0</v>
      </c>
      <c r="Y125">
        <v>0</v>
      </c>
      <c r="Z125">
        <v>2</v>
      </c>
      <c r="AA125">
        <v>0</v>
      </c>
      <c r="AB125">
        <v>6</v>
      </c>
      <c r="AC125">
        <v>1</v>
      </c>
      <c r="AD125">
        <v>0</v>
      </c>
      <c r="AE125">
        <v>0</v>
      </c>
      <c r="AF125">
        <v>0</v>
      </c>
      <c r="AG125">
        <v>0</v>
      </c>
      <c r="AH125">
        <v>0</v>
      </c>
      <c r="AI125">
        <v>0</v>
      </c>
      <c r="AJ125">
        <v>0</v>
      </c>
    </row>
    <row r="126" spans="1:36">
      <c r="A126" t="s">
        <v>230</v>
      </c>
      <c r="B126" s="264">
        <v>46030</v>
      </c>
      <c r="C126" t="s">
        <v>712</v>
      </c>
      <c r="D126" t="s">
        <v>743</v>
      </c>
      <c r="E126" t="s">
        <v>706</v>
      </c>
      <c r="F126" t="s">
        <v>232</v>
      </c>
      <c r="G126">
        <v>1.11E-2</v>
      </c>
      <c r="H126">
        <v>180</v>
      </c>
      <c r="I126">
        <v>2</v>
      </c>
      <c r="J126">
        <v>0</v>
      </c>
      <c r="K126" t="s">
        <v>233</v>
      </c>
      <c r="L126" s="264">
        <v>46329</v>
      </c>
      <c r="M126">
        <v>0</v>
      </c>
      <c r="N126">
        <v>0</v>
      </c>
      <c r="O126">
        <v>2</v>
      </c>
      <c r="P126" t="s">
        <v>307</v>
      </c>
      <c r="Q126">
        <v>0</v>
      </c>
      <c r="R126">
        <v>0</v>
      </c>
      <c r="S126">
        <v>0</v>
      </c>
      <c r="T126">
        <v>0</v>
      </c>
      <c r="U126">
        <v>0</v>
      </c>
      <c r="V126">
        <v>0</v>
      </c>
      <c r="W126">
        <v>0</v>
      </c>
      <c r="X126">
        <v>0</v>
      </c>
      <c r="Y126">
        <v>0</v>
      </c>
      <c r="Z126">
        <v>0</v>
      </c>
      <c r="AA126">
        <v>2</v>
      </c>
      <c r="AB126">
        <v>0</v>
      </c>
      <c r="AC126">
        <v>0</v>
      </c>
      <c r="AD126">
        <v>0</v>
      </c>
      <c r="AE126">
        <v>0</v>
      </c>
      <c r="AF126">
        <v>0</v>
      </c>
      <c r="AG126">
        <v>0</v>
      </c>
      <c r="AH126">
        <v>0</v>
      </c>
      <c r="AI126">
        <v>0</v>
      </c>
      <c r="AJ126">
        <v>0</v>
      </c>
    </row>
    <row r="127" spans="1:36">
      <c r="A127" t="s">
        <v>230</v>
      </c>
      <c r="B127" s="264">
        <v>46030</v>
      </c>
      <c r="C127" t="s">
        <v>1241</v>
      </c>
      <c r="D127" t="s">
        <v>334</v>
      </c>
      <c r="E127" t="s">
        <v>1239</v>
      </c>
      <c r="F127" t="s">
        <v>232</v>
      </c>
      <c r="G127">
        <v>6.1499999999999999E-2</v>
      </c>
      <c r="H127">
        <v>179</v>
      </c>
      <c r="I127">
        <v>11</v>
      </c>
      <c r="J127">
        <v>0</v>
      </c>
      <c r="K127" t="s">
        <v>233</v>
      </c>
      <c r="L127" s="264">
        <v>46344</v>
      </c>
      <c r="M127">
        <v>0</v>
      </c>
      <c r="N127">
        <v>0</v>
      </c>
      <c r="O127">
        <v>11</v>
      </c>
      <c r="P127" t="s">
        <v>968</v>
      </c>
      <c r="Q127">
        <v>0</v>
      </c>
      <c r="R127">
        <v>0</v>
      </c>
      <c r="S127">
        <v>0</v>
      </c>
      <c r="T127">
        <v>0</v>
      </c>
      <c r="U127">
        <v>0</v>
      </c>
      <c r="V127">
        <v>0</v>
      </c>
      <c r="W127">
        <v>0</v>
      </c>
      <c r="X127">
        <v>0</v>
      </c>
      <c r="Y127">
        <v>0</v>
      </c>
      <c r="Z127">
        <v>0</v>
      </c>
      <c r="AA127">
        <v>0</v>
      </c>
      <c r="AB127">
        <v>0</v>
      </c>
      <c r="AC127">
        <v>3</v>
      </c>
      <c r="AD127">
        <v>0</v>
      </c>
      <c r="AE127">
        <v>4</v>
      </c>
      <c r="AF127">
        <v>4</v>
      </c>
      <c r="AG127">
        <v>0</v>
      </c>
      <c r="AH127">
        <v>0</v>
      </c>
      <c r="AI127">
        <v>0</v>
      </c>
      <c r="AJ127">
        <v>0</v>
      </c>
    </row>
    <row r="128" spans="1:36">
      <c r="A128" t="s">
        <v>230</v>
      </c>
      <c r="B128" s="264">
        <v>46030</v>
      </c>
      <c r="C128" t="s">
        <v>1194</v>
      </c>
      <c r="D128" t="s">
        <v>1202</v>
      </c>
      <c r="E128" t="s">
        <v>1192</v>
      </c>
      <c r="F128" t="s">
        <v>232</v>
      </c>
      <c r="G128">
        <v>0</v>
      </c>
      <c r="H128">
        <v>179</v>
      </c>
      <c r="I128">
        <v>0</v>
      </c>
      <c r="J128">
        <v>0</v>
      </c>
      <c r="K128" t="s">
        <v>233</v>
      </c>
      <c r="L128" t="s">
        <v>66</v>
      </c>
      <c r="M128">
        <v>0</v>
      </c>
      <c r="N128">
        <v>0</v>
      </c>
      <c r="O128">
        <v>0</v>
      </c>
      <c r="P128" t="s">
        <v>374</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row>
    <row r="129" spans="1:36">
      <c r="A129" t="s">
        <v>230</v>
      </c>
      <c r="B129" s="264">
        <v>46030</v>
      </c>
      <c r="C129" t="s">
        <v>1045</v>
      </c>
      <c r="D129" t="s">
        <v>1108</v>
      </c>
      <c r="E129" t="s">
        <v>1040</v>
      </c>
      <c r="F129" t="s">
        <v>232</v>
      </c>
      <c r="G129">
        <v>8.3299999999999999E-2</v>
      </c>
      <c r="H129">
        <v>180</v>
      </c>
      <c r="I129">
        <v>15</v>
      </c>
      <c r="J129">
        <v>0</v>
      </c>
      <c r="K129" t="s">
        <v>233</v>
      </c>
      <c r="L129" s="264">
        <v>46343</v>
      </c>
      <c r="M129">
        <v>0</v>
      </c>
      <c r="N129">
        <v>0</v>
      </c>
      <c r="O129">
        <v>15</v>
      </c>
      <c r="P129" t="s">
        <v>570</v>
      </c>
      <c r="Q129">
        <v>0</v>
      </c>
      <c r="R129">
        <v>0</v>
      </c>
      <c r="S129">
        <v>0</v>
      </c>
      <c r="T129">
        <v>0</v>
      </c>
      <c r="U129">
        <v>0</v>
      </c>
      <c r="V129">
        <v>0</v>
      </c>
      <c r="W129">
        <v>0</v>
      </c>
      <c r="X129">
        <v>0</v>
      </c>
      <c r="Y129">
        <v>0</v>
      </c>
      <c r="Z129">
        <v>0</v>
      </c>
      <c r="AA129">
        <v>0</v>
      </c>
      <c r="AB129">
        <v>0</v>
      </c>
      <c r="AC129">
        <v>3</v>
      </c>
      <c r="AD129">
        <v>2</v>
      </c>
      <c r="AE129">
        <v>7</v>
      </c>
      <c r="AF129">
        <v>3</v>
      </c>
      <c r="AG129">
        <v>0</v>
      </c>
      <c r="AH129">
        <v>0</v>
      </c>
      <c r="AI129">
        <v>0</v>
      </c>
      <c r="AJ129">
        <v>0</v>
      </c>
    </row>
    <row r="130" spans="1:36">
      <c r="A130" t="s">
        <v>230</v>
      </c>
      <c r="B130" s="264">
        <v>46030</v>
      </c>
      <c r="C130" t="s">
        <v>1289</v>
      </c>
      <c r="D130" t="s">
        <v>703</v>
      </c>
      <c r="E130" t="s">
        <v>1286</v>
      </c>
      <c r="F130" t="s">
        <v>232</v>
      </c>
      <c r="G130">
        <v>2.23E-2</v>
      </c>
      <c r="H130">
        <v>179</v>
      </c>
      <c r="I130">
        <v>4</v>
      </c>
      <c r="J130">
        <v>0</v>
      </c>
      <c r="K130" t="s">
        <v>233</v>
      </c>
      <c r="L130" s="264">
        <v>46343</v>
      </c>
      <c r="M130">
        <v>0</v>
      </c>
      <c r="N130">
        <v>0</v>
      </c>
      <c r="O130">
        <v>4</v>
      </c>
      <c r="P130" t="s">
        <v>819</v>
      </c>
      <c r="Q130">
        <v>0</v>
      </c>
      <c r="R130">
        <v>0</v>
      </c>
      <c r="S130">
        <v>0</v>
      </c>
      <c r="T130">
        <v>0</v>
      </c>
      <c r="U130">
        <v>0</v>
      </c>
      <c r="V130">
        <v>0</v>
      </c>
      <c r="W130">
        <v>0</v>
      </c>
      <c r="X130">
        <v>0</v>
      </c>
      <c r="Y130">
        <v>0</v>
      </c>
      <c r="Z130">
        <v>0</v>
      </c>
      <c r="AA130">
        <v>0</v>
      </c>
      <c r="AB130">
        <v>0</v>
      </c>
      <c r="AC130">
        <v>1</v>
      </c>
      <c r="AD130">
        <v>0</v>
      </c>
      <c r="AE130">
        <v>0</v>
      </c>
      <c r="AF130">
        <v>3</v>
      </c>
      <c r="AG130">
        <v>0</v>
      </c>
      <c r="AH130">
        <v>0</v>
      </c>
      <c r="AI130">
        <v>0</v>
      </c>
      <c r="AJ130">
        <v>0</v>
      </c>
    </row>
    <row r="131" spans="1:36">
      <c r="A131" t="s">
        <v>230</v>
      </c>
      <c r="B131" s="264">
        <v>46030</v>
      </c>
      <c r="C131" t="s">
        <v>1337</v>
      </c>
      <c r="D131" t="s">
        <v>1324</v>
      </c>
      <c r="E131" t="s">
        <v>1333</v>
      </c>
      <c r="F131" t="s">
        <v>232</v>
      </c>
      <c r="G131">
        <v>1.6799999999999999E-2</v>
      </c>
      <c r="H131">
        <v>179</v>
      </c>
      <c r="I131">
        <v>3</v>
      </c>
      <c r="J131">
        <v>0</v>
      </c>
      <c r="K131" t="s">
        <v>233</v>
      </c>
      <c r="L131" s="264">
        <v>46329</v>
      </c>
      <c r="M131">
        <v>0</v>
      </c>
      <c r="N131">
        <v>0</v>
      </c>
      <c r="O131">
        <v>3</v>
      </c>
      <c r="P131" t="s">
        <v>901</v>
      </c>
      <c r="Q131">
        <v>0</v>
      </c>
      <c r="R131">
        <v>0</v>
      </c>
      <c r="S131">
        <v>0</v>
      </c>
      <c r="T131">
        <v>0</v>
      </c>
      <c r="U131">
        <v>0</v>
      </c>
      <c r="V131">
        <v>0</v>
      </c>
      <c r="W131">
        <v>0</v>
      </c>
      <c r="X131">
        <v>0</v>
      </c>
      <c r="Y131">
        <v>0</v>
      </c>
      <c r="Z131">
        <v>1</v>
      </c>
      <c r="AA131">
        <v>0</v>
      </c>
      <c r="AB131">
        <v>0</v>
      </c>
      <c r="AC131">
        <v>0</v>
      </c>
      <c r="AD131">
        <v>0</v>
      </c>
      <c r="AE131">
        <v>0</v>
      </c>
      <c r="AF131">
        <v>2</v>
      </c>
      <c r="AG131">
        <v>0</v>
      </c>
      <c r="AH131">
        <v>0</v>
      </c>
      <c r="AI131">
        <v>0</v>
      </c>
      <c r="AJ131">
        <v>0</v>
      </c>
    </row>
    <row r="132" spans="1:36">
      <c r="A132" t="s">
        <v>230</v>
      </c>
      <c r="B132" s="264">
        <v>46030</v>
      </c>
      <c r="C132" t="s">
        <v>366</v>
      </c>
      <c r="D132" t="s">
        <v>559</v>
      </c>
      <c r="E132" t="s">
        <v>341</v>
      </c>
      <c r="F132" t="s">
        <v>232</v>
      </c>
      <c r="G132">
        <v>0</v>
      </c>
      <c r="H132">
        <v>180</v>
      </c>
      <c r="I132">
        <v>0</v>
      </c>
      <c r="J132">
        <v>0</v>
      </c>
      <c r="K132" t="s">
        <v>233</v>
      </c>
      <c r="L132" t="s">
        <v>66</v>
      </c>
      <c r="M132">
        <v>0</v>
      </c>
      <c r="N132">
        <v>0</v>
      </c>
      <c r="O132">
        <v>0</v>
      </c>
      <c r="P132" t="s">
        <v>436</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row>
    <row r="133" spans="1:36">
      <c r="A133" t="s">
        <v>230</v>
      </c>
      <c r="B133" s="264">
        <v>46030</v>
      </c>
      <c r="C133" t="s">
        <v>370</v>
      </c>
      <c r="D133" t="s">
        <v>554</v>
      </c>
      <c r="E133" t="s">
        <v>341</v>
      </c>
      <c r="F133" t="s">
        <v>232</v>
      </c>
      <c r="G133">
        <v>1.67E-2</v>
      </c>
      <c r="H133">
        <v>180</v>
      </c>
      <c r="I133">
        <v>3</v>
      </c>
      <c r="J133">
        <v>0</v>
      </c>
      <c r="K133" t="s">
        <v>233</v>
      </c>
      <c r="L133" s="264">
        <v>46342</v>
      </c>
      <c r="M133">
        <v>0</v>
      </c>
      <c r="N133">
        <v>0</v>
      </c>
      <c r="O133">
        <v>3</v>
      </c>
      <c r="P133" t="s">
        <v>292</v>
      </c>
      <c r="Q133">
        <v>0</v>
      </c>
      <c r="R133">
        <v>0</v>
      </c>
      <c r="S133">
        <v>0</v>
      </c>
      <c r="T133">
        <v>0</v>
      </c>
      <c r="U133">
        <v>0</v>
      </c>
      <c r="V133">
        <v>0</v>
      </c>
      <c r="W133">
        <v>0</v>
      </c>
      <c r="X133">
        <v>0</v>
      </c>
      <c r="Y133">
        <v>0</v>
      </c>
      <c r="Z133">
        <v>0</v>
      </c>
      <c r="AA133">
        <v>0</v>
      </c>
      <c r="AB133">
        <v>0</v>
      </c>
      <c r="AC133">
        <v>3</v>
      </c>
      <c r="AD133">
        <v>0</v>
      </c>
      <c r="AE133">
        <v>0</v>
      </c>
      <c r="AF133">
        <v>0</v>
      </c>
      <c r="AG133">
        <v>0</v>
      </c>
      <c r="AH133">
        <v>0</v>
      </c>
      <c r="AI133">
        <v>0</v>
      </c>
      <c r="AJ133">
        <v>0</v>
      </c>
    </row>
    <row r="134" spans="1:36">
      <c r="A134" t="s">
        <v>230</v>
      </c>
      <c r="B134" s="264">
        <v>46030</v>
      </c>
      <c r="C134" t="s">
        <v>373</v>
      </c>
      <c r="D134" t="s">
        <v>273</v>
      </c>
      <c r="E134" t="s">
        <v>341</v>
      </c>
      <c r="F134" t="s">
        <v>232</v>
      </c>
      <c r="G134">
        <v>0</v>
      </c>
      <c r="H134">
        <v>180</v>
      </c>
      <c r="I134">
        <v>0</v>
      </c>
      <c r="J134">
        <v>0</v>
      </c>
      <c r="K134" t="s">
        <v>233</v>
      </c>
      <c r="L134" t="s">
        <v>66</v>
      </c>
      <c r="M134">
        <v>0</v>
      </c>
      <c r="N134">
        <v>0</v>
      </c>
      <c r="O134">
        <v>0</v>
      </c>
      <c r="P134" t="s">
        <v>436</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row>
    <row r="135" spans="1:36">
      <c r="A135" t="s">
        <v>230</v>
      </c>
      <c r="B135" s="264">
        <v>46030</v>
      </c>
      <c r="C135" t="s">
        <v>376</v>
      </c>
      <c r="D135" t="s">
        <v>553</v>
      </c>
      <c r="E135" t="s">
        <v>341</v>
      </c>
      <c r="F135" t="s">
        <v>232</v>
      </c>
      <c r="G135">
        <v>0</v>
      </c>
      <c r="H135">
        <v>180</v>
      </c>
      <c r="I135">
        <v>0</v>
      </c>
      <c r="J135">
        <v>0</v>
      </c>
      <c r="K135" t="s">
        <v>233</v>
      </c>
      <c r="L135" t="s">
        <v>66</v>
      </c>
      <c r="M135">
        <v>0</v>
      </c>
      <c r="N135">
        <v>0</v>
      </c>
      <c r="O135">
        <v>0</v>
      </c>
      <c r="P135" t="s">
        <v>436</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row>
    <row r="136" spans="1:36">
      <c r="A136" t="s">
        <v>230</v>
      </c>
      <c r="B136" s="264">
        <v>46030</v>
      </c>
      <c r="C136" t="s">
        <v>378</v>
      </c>
      <c r="D136" t="s">
        <v>555</v>
      </c>
      <c r="E136" t="s">
        <v>341</v>
      </c>
      <c r="F136" t="s">
        <v>232</v>
      </c>
      <c r="G136">
        <v>1.67E-2</v>
      </c>
      <c r="H136">
        <v>180</v>
      </c>
      <c r="I136">
        <v>3</v>
      </c>
      <c r="J136">
        <v>0</v>
      </c>
      <c r="K136" t="s">
        <v>233</v>
      </c>
      <c r="L136" s="264">
        <v>46343</v>
      </c>
      <c r="M136">
        <v>0</v>
      </c>
      <c r="N136">
        <v>0</v>
      </c>
      <c r="O136">
        <v>3</v>
      </c>
      <c r="P136" t="s">
        <v>446</v>
      </c>
      <c r="Q136">
        <v>0</v>
      </c>
      <c r="R136">
        <v>0</v>
      </c>
      <c r="S136">
        <v>0</v>
      </c>
      <c r="T136">
        <v>0</v>
      </c>
      <c r="U136">
        <v>0</v>
      </c>
      <c r="V136">
        <v>0</v>
      </c>
      <c r="W136">
        <v>0</v>
      </c>
      <c r="X136">
        <v>0</v>
      </c>
      <c r="Y136">
        <v>0</v>
      </c>
      <c r="Z136">
        <v>0</v>
      </c>
      <c r="AA136">
        <v>0</v>
      </c>
      <c r="AB136">
        <v>0</v>
      </c>
      <c r="AC136">
        <v>0</v>
      </c>
      <c r="AD136">
        <v>3</v>
      </c>
      <c r="AE136">
        <v>0</v>
      </c>
      <c r="AF136">
        <v>0</v>
      </c>
      <c r="AG136">
        <v>0</v>
      </c>
      <c r="AH136">
        <v>0</v>
      </c>
      <c r="AI136">
        <v>0</v>
      </c>
      <c r="AJ136">
        <v>0</v>
      </c>
    </row>
    <row r="137" spans="1:36">
      <c r="A137" t="s">
        <v>230</v>
      </c>
      <c r="B137" s="264">
        <v>46030</v>
      </c>
      <c r="C137" t="s">
        <v>380</v>
      </c>
      <c r="D137" t="s">
        <v>556</v>
      </c>
      <c r="E137" t="s">
        <v>341</v>
      </c>
      <c r="F137" t="s">
        <v>232</v>
      </c>
      <c r="G137">
        <v>2.7799999999999998E-2</v>
      </c>
      <c r="H137">
        <v>180</v>
      </c>
      <c r="I137">
        <v>5</v>
      </c>
      <c r="J137">
        <v>0</v>
      </c>
      <c r="K137" t="s">
        <v>233</v>
      </c>
      <c r="L137" s="264">
        <v>46342</v>
      </c>
      <c r="M137">
        <v>0</v>
      </c>
      <c r="N137">
        <v>0</v>
      </c>
      <c r="O137">
        <v>5</v>
      </c>
      <c r="P137" t="s">
        <v>430</v>
      </c>
      <c r="Q137">
        <v>0</v>
      </c>
      <c r="R137">
        <v>0</v>
      </c>
      <c r="S137">
        <v>0</v>
      </c>
      <c r="T137">
        <v>0</v>
      </c>
      <c r="U137">
        <v>0</v>
      </c>
      <c r="V137">
        <v>0</v>
      </c>
      <c r="W137">
        <v>0</v>
      </c>
      <c r="X137">
        <v>0</v>
      </c>
      <c r="Y137">
        <v>0</v>
      </c>
      <c r="Z137">
        <v>0</v>
      </c>
      <c r="AA137">
        <v>0</v>
      </c>
      <c r="AB137">
        <v>0</v>
      </c>
      <c r="AC137">
        <v>0</v>
      </c>
      <c r="AD137">
        <v>5</v>
      </c>
      <c r="AE137">
        <v>0</v>
      </c>
      <c r="AF137">
        <v>0</v>
      </c>
      <c r="AG137">
        <v>0</v>
      </c>
      <c r="AH137">
        <v>0</v>
      </c>
      <c r="AI137">
        <v>0</v>
      </c>
      <c r="AJ137">
        <v>0</v>
      </c>
    </row>
    <row r="138" spans="1:36">
      <c r="A138" t="s">
        <v>230</v>
      </c>
      <c r="B138" s="264">
        <v>46030</v>
      </c>
      <c r="C138" t="s">
        <v>65</v>
      </c>
      <c r="D138" t="s">
        <v>231</v>
      </c>
      <c r="E138" t="s">
        <v>1</v>
      </c>
      <c r="F138" t="s">
        <v>232</v>
      </c>
      <c r="G138">
        <v>5.5999999999999999E-3</v>
      </c>
      <c r="H138">
        <v>180</v>
      </c>
      <c r="I138">
        <v>1</v>
      </c>
      <c r="J138">
        <v>0</v>
      </c>
      <c r="K138" t="s">
        <v>233</v>
      </c>
      <c r="L138" s="264">
        <v>46337</v>
      </c>
      <c r="M138">
        <v>0</v>
      </c>
      <c r="N138">
        <v>0</v>
      </c>
      <c r="O138">
        <v>1</v>
      </c>
      <c r="P138" t="s">
        <v>67</v>
      </c>
      <c r="Q138">
        <v>0</v>
      </c>
      <c r="R138">
        <v>0</v>
      </c>
      <c r="S138">
        <v>0</v>
      </c>
      <c r="T138">
        <v>0</v>
      </c>
      <c r="U138">
        <v>0</v>
      </c>
      <c r="V138">
        <v>0</v>
      </c>
      <c r="W138">
        <v>0</v>
      </c>
      <c r="X138">
        <v>0</v>
      </c>
      <c r="Y138">
        <v>0</v>
      </c>
      <c r="Z138">
        <v>0</v>
      </c>
      <c r="AA138">
        <v>0</v>
      </c>
      <c r="AB138">
        <v>1</v>
      </c>
      <c r="AC138">
        <v>0</v>
      </c>
      <c r="AD138">
        <v>0</v>
      </c>
      <c r="AE138">
        <v>0</v>
      </c>
      <c r="AF138">
        <v>0</v>
      </c>
      <c r="AG138">
        <v>0</v>
      </c>
      <c r="AH138">
        <v>0</v>
      </c>
      <c r="AI138">
        <v>0</v>
      </c>
      <c r="AJ138">
        <v>0</v>
      </c>
    </row>
    <row r="139" spans="1:36">
      <c r="A139" t="s">
        <v>230</v>
      </c>
      <c r="B139" s="264">
        <v>46030</v>
      </c>
      <c r="C139" t="s">
        <v>818</v>
      </c>
      <c r="D139" t="s">
        <v>974</v>
      </c>
      <c r="E139" t="s">
        <v>808</v>
      </c>
      <c r="F139" t="s">
        <v>232</v>
      </c>
      <c r="G139">
        <v>3.9100000000000003E-2</v>
      </c>
      <c r="H139">
        <v>179</v>
      </c>
      <c r="I139">
        <v>7</v>
      </c>
      <c r="J139">
        <v>0</v>
      </c>
      <c r="K139" t="s">
        <v>233</v>
      </c>
      <c r="L139" s="264">
        <v>46341</v>
      </c>
      <c r="M139">
        <v>0</v>
      </c>
      <c r="N139">
        <v>0</v>
      </c>
      <c r="O139">
        <v>7</v>
      </c>
      <c r="P139" t="s">
        <v>326</v>
      </c>
      <c r="Q139">
        <v>0</v>
      </c>
      <c r="R139">
        <v>0</v>
      </c>
      <c r="S139">
        <v>0</v>
      </c>
      <c r="T139">
        <v>0</v>
      </c>
      <c r="U139">
        <v>0</v>
      </c>
      <c r="V139">
        <v>0</v>
      </c>
      <c r="W139">
        <v>0</v>
      </c>
      <c r="X139">
        <v>0</v>
      </c>
      <c r="Y139">
        <v>0</v>
      </c>
      <c r="Z139">
        <v>0</v>
      </c>
      <c r="AA139">
        <v>0</v>
      </c>
      <c r="AB139">
        <v>0</v>
      </c>
      <c r="AC139">
        <v>2</v>
      </c>
      <c r="AD139">
        <v>0</v>
      </c>
      <c r="AE139">
        <v>0</v>
      </c>
      <c r="AF139">
        <v>5</v>
      </c>
      <c r="AG139">
        <v>0</v>
      </c>
      <c r="AH139">
        <v>0</v>
      </c>
      <c r="AI139">
        <v>0</v>
      </c>
      <c r="AJ139">
        <v>0</v>
      </c>
    </row>
    <row r="140" spans="1:36">
      <c r="A140" t="s">
        <v>230</v>
      </c>
      <c r="B140" s="264">
        <v>46030</v>
      </c>
      <c r="C140" t="s">
        <v>1148</v>
      </c>
      <c r="D140" t="s">
        <v>1176</v>
      </c>
      <c r="E140" t="s">
        <v>1144</v>
      </c>
      <c r="F140" t="s">
        <v>232</v>
      </c>
      <c r="G140">
        <v>3.3500000000000002E-2</v>
      </c>
      <c r="H140">
        <v>179</v>
      </c>
      <c r="I140">
        <v>6</v>
      </c>
      <c r="J140">
        <v>0</v>
      </c>
      <c r="K140" t="s">
        <v>233</v>
      </c>
      <c r="L140" s="264">
        <v>46338</v>
      </c>
      <c r="M140">
        <v>0</v>
      </c>
      <c r="N140">
        <v>0</v>
      </c>
      <c r="O140">
        <v>6</v>
      </c>
      <c r="P140" t="s">
        <v>244</v>
      </c>
      <c r="Q140">
        <v>0</v>
      </c>
      <c r="R140">
        <v>0</v>
      </c>
      <c r="S140">
        <v>0</v>
      </c>
      <c r="T140">
        <v>0</v>
      </c>
      <c r="U140">
        <v>0</v>
      </c>
      <c r="V140">
        <v>0</v>
      </c>
      <c r="W140">
        <v>0</v>
      </c>
      <c r="X140">
        <v>0</v>
      </c>
      <c r="Y140">
        <v>0</v>
      </c>
      <c r="Z140">
        <v>0</v>
      </c>
      <c r="AA140">
        <v>0</v>
      </c>
      <c r="AB140">
        <v>0</v>
      </c>
      <c r="AC140">
        <v>0</v>
      </c>
      <c r="AD140">
        <v>0</v>
      </c>
      <c r="AE140">
        <v>0</v>
      </c>
      <c r="AF140">
        <v>6</v>
      </c>
      <c r="AG140">
        <v>0</v>
      </c>
      <c r="AH140">
        <v>0</v>
      </c>
      <c r="AI140">
        <v>0</v>
      </c>
      <c r="AJ140">
        <v>0</v>
      </c>
    </row>
    <row r="141" spans="1:36">
      <c r="A141" t="s">
        <v>230</v>
      </c>
      <c r="B141" s="264">
        <v>46030</v>
      </c>
      <c r="C141" t="s">
        <v>1215</v>
      </c>
      <c r="D141" t="s">
        <v>563</v>
      </c>
      <c r="E141" t="s">
        <v>1213</v>
      </c>
      <c r="F141" t="s">
        <v>232</v>
      </c>
      <c r="G141">
        <v>1.12E-2</v>
      </c>
      <c r="H141">
        <v>179</v>
      </c>
      <c r="I141">
        <v>2</v>
      </c>
      <c r="J141">
        <v>0</v>
      </c>
      <c r="K141" t="s">
        <v>233</v>
      </c>
      <c r="L141" s="264">
        <v>46326</v>
      </c>
      <c r="M141">
        <v>0</v>
      </c>
      <c r="N141">
        <v>0</v>
      </c>
      <c r="O141">
        <v>2</v>
      </c>
      <c r="P141" t="s">
        <v>549</v>
      </c>
      <c r="Q141">
        <v>0</v>
      </c>
      <c r="R141">
        <v>0</v>
      </c>
      <c r="S141">
        <v>0</v>
      </c>
      <c r="T141">
        <v>0</v>
      </c>
      <c r="U141">
        <v>0</v>
      </c>
      <c r="V141">
        <v>0</v>
      </c>
      <c r="W141">
        <v>0</v>
      </c>
      <c r="X141">
        <v>0</v>
      </c>
      <c r="Y141">
        <v>0</v>
      </c>
      <c r="Z141">
        <v>0</v>
      </c>
      <c r="AA141">
        <v>0</v>
      </c>
      <c r="AB141">
        <v>0</v>
      </c>
      <c r="AC141">
        <v>2</v>
      </c>
      <c r="AD141">
        <v>0</v>
      </c>
      <c r="AE141">
        <v>0</v>
      </c>
      <c r="AF141">
        <v>0</v>
      </c>
      <c r="AG141">
        <v>0</v>
      </c>
      <c r="AH141">
        <v>0</v>
      </c>
      <c r="AI141">
        <v>0</v>
      </c>
      <c r="AJ141">
        <v>0</v>
      </c>
    </row>
    <row r="142" spans="1:36">
      <c r="A142" t="s">
        <v>230</v>
      </c>
      <c r="B142" s="264">
        <v>46030</v>
      </c>
      <c r="C142" t="s">
        <v>613</v>
      </c>
      <c r="D142" t="s">
        <v>687</v>
      </c>
      <c r="E142" t="s">
        <v>601</v>
      </c>
      <c r="F142" t="s">
        <v>232</v>
      </c>
      <c r="G142">
        <v>1.11E-2</v>
      </c>
      <c r="H142">
        <v>180</v>
      </c>
      <c r="I142">
        <v>2</v>
      </c>
      <c r="J142">
        <v>0</v>
      </c>
      <c r="K142" t="s">
        <v>233</v>
      </c>
      <c r="L142" s="264">
        <v>46331</v>
      </c>
      <c r="M142">
        <v>0</v>
      </c>
      <c r="N142">
        <v>0</v>
      </c>
      <c r="O142">
        <v>4</v>
      </c>
      <c r="P142" t="s">
        <v>292</v>
      </c>
      <c r="Q142">
        <v>0</v>
      </c>
      <c r="R142">
        <v>0</v>
      </c>
      <c r="S142">
        <v>0</v>
      </c>
      <c r="T142">
        <v>0</v>
      </c>
      <c r="U142">
        <v>0</v>
      </c>
      <c r="V142">
        <v>0</v>
      </c>
      <c r="W142">
        <v>0</v>
      </c>
      <c r="X142">
        <v>0</v>
      </c>
      <c r="Y142">
        <v>0</v>
      </c>
      <c r="Z142">
        <v>0</v>
      </c>
      <c r="AA142">
        <v>0</v>
      </c>
      <c r="AB142">
        <v>0</v>
      </c>
      <c r="AC142">
        <v>0</v>
      </c>
      <c r="AD142">
        <v>0</v>
      </c>
      <c r="AE142">
        <v>0</v>
      </c>
      <c r="AF142">
        <v>1</v>
      </c>
      <c r="AG142">
        <v>0</v>
      </c>
      <c r="AH142">
        <v>0</v>
      </c>
      <c r="AI142">
        <v>0</v>
      </c>
      <c r="AJ142">
        <v>1</v>
      </c>
    </row>
    <row r="143" spans="1:36">
      <c r="A143" t="s">
        <v>230</v>
      </c>
      <c r="B143" s="264">
        <v>46030</v>
      </c>
      <c r="C143" t="s">
        <v>263</v>
      </c>
      <c r="D143" t="s">
        <v>313</v>
      </c>
      <c r="E143" t="s">
        <v>261</v>
      </c>
      <c r="F143" t="s">
        <v>232</v>
      </c>
      <c r="G143">
        <v>0.2611</v>
      </c>
      <c r="H143">
        <v>180</v>
      </c>
      <c r="I143">
        <v>47</v>
      </c>
      <c r="J143">
        <v>45</v>
      </c>
      <c r="K143" t="s">
        <v>233</v>
      </c>
      <c r="L143" s="264">
        <v>46338</v>
      </c>
      <c r="M143">
        <v>0</v>
      </c>
      <c r="N143">
        <v>0</v>
      </c>
      <c r="O143">
        <v>3</v>
      </c>
      <c r="P143" t="s">
        <v>101</v>
      </c>
      <c r="Q143">
        <v>0</v>
      </c>
      <c r="R143">
        <v>0</v>
      </c>
      <c r="S143">
        <v>0</v>
      </c>
      <c r="T143">
        <v>0</v>
      </c>
      <c r="U143">
        <v>0</v>
      </c>
      <c r="V143">
        <v>0</v>
      </c>
      <c r="W143">
        <v>0</v>
      </c>
      <c r="X143">
        <v>0</v>
      </c>
      <c r="Y143">
        <v>0</v>
      </c>
      <c r="Z143">
        <v>0</v>
      </c>
      <c r="AA143">
        <v>0</v>
      </c>
      <c r="AB143">
        <v>2</v>
      </c>
      <c r="AC143">
        <v>0</v>
      </c>
      <c r="AD143">
        <v>0</v>
      </c>
      <c r="AE143">
        <v>0</v>
      </c>
      <c r="AF143">
        <v>0</v>
      </c>
      <c r="AG143">
        <v>0</v>
      </c>
      <c r="AH143">
        <v>0</v>
      </c>
      <c r="AI143">
        <v>45</v>
      </c>
      <c r="AJ143">
        <v>0</v>
      </c>
    </row>
    <row r="144" spans="1:36">
      <c r="A144" t="s">
        <v>560</v>
      </c>
      <c r="B144" s="264">
        <v>46031</v>
      </c>
      <c r="C144" t="s">
        <v>1279</v>
      </c>
      <c r="D144" t="s">
        <v>1283</v>
      </c>
      <c r="E144" t="s">
        <v>1276</v>
      </c>
      <c r="F144" t="s">
        <v>232</v>
      </c>
      <c r="G144">
        <v>3.3500000000000002E-2</v>
      </c>
      <c r="H144">
        <v>179</v>
      </c>
      <c r="I144">
        <v>6</v>
      </c>
      <c r="J144">
        <v>0</v>
      </c>
      <c r="K144" t="s">
        <v>233</v>
      </c>
      <c r="L144" s="264">
        <v>46339</v>
      </c>
      <c r="M144">
        <v>0</v>
      </c>
      <c r="N144">
        <v>0</v>
      </c>
      <c r="O144">
        <v>6</v>
      </c>
      <c r="P144" t="s">
        <v>244</v>
      </c>
      <c r="Q144">
        <v>0</v>
      </c>
      <c r="R144">
        <v>0</v>
      </c>
      <c r="S144">
        <v>0</v>
      </c>
      <c r="T144">
        <v>0</v>
      </c>
      <c r="U144">
        <v>0</v>
      </c>
      <c r="V144">
        <v>0</v>
      </c>
      <c r="W144">
        <v>0</v>
      </c>
      <c r="X144">
        <v>0</v>
      </c>
      <c r="Y144">
        <v>0</v>
      </c>
      <c r="Z144">
        <v>0</v>
      </c>
      <c r="AA144">
        <v>0</v>
      </c>
      <c r="AB144">
        <v>0</v>
      </c>
      <c r="AC144">
        <v>0</v>
      </c>
      <c r="AD144">
        <v>0</v>
      </c>
      <c r="AE144">
        <v>0</v>
      </c>
      <c r="AF144">
        <v>6</v>
      </c>
      <c r="AG144">
        <v>0</v>
      </c>
      <c r="AH144">
        <v>0</v>
      </c>
      <c r="AI144">
        <v>0</v>
      </c>
      <c r="AJ144">
        <v>0</v>
      </c>
    </row>
    <row r="145" spans="1:36">
      <c r="A145" t="s">
        <v>560</v>
      </c>
      <c r="B145" s="264">
        <v>46031</v>
      </c>
      <c r="C145" t="s">
        <v>1208</v>
      </c>
      <c r="D145" t="s">
        <v>313</v>
      </c>
      <c r="E145" t="s">
        <v>1205</v>
      </c>
      <c r="F145" t="s">
        <v>232</v>
      </c>
      <c r="G145">
        <v>5.5999999999999999E-3</v>
      </c>
      <c r="H145">
        <v>179</v>
      </c>
      <c r="I145">
        <v>1</v>
      </c>
      <c r="J145">
        <v>0</v>
      </c>
      <c r="K145" t="s">
        <v>233</v>
      </c>
      <c r="L145" s="264">
        <v>46332</v>
      </c>
      <c r="M145">
        <v>0</v>
      </c>
      <c r="N145">
        <v>0</v>
      </c>
      <c r="O145">
        <v>1</v>
      </c>
      <c r="P145" t="s">
        <v>900</v>
      </c>
      <c r="Q145">
        <v>0</v>
      </c>
      <c r="R145">
        <v>0</v>
      </c>
      <c r="S145">
        <v>0</v>
      </c>
      <c r="T145">
        <v>0</v>
      </c>
      <c r="U145">
        <v>0</v>
      </c>
      <c r="V145">
        <v>0</v>
      </c>
      <c r="W145">
        <v>0</v>
      </c>
      <c r="X145">
        <v>0</v>
      </c>
      <c r="Y145">
        <v>0</v>
      </c>
      <c r="Z145">
        <v>0</v>
      </c>
      <c r="AA145">
        <v>0</v>
      </c>
      <c r="AB145">
        <v>0</v>
      </c>
      <c r="AC145">
        <v>0</v>
      </c>
      <c r="AD145">
        <v>0</v>
      </c>
      <c r="AE145">
        <v>0</v>
      </c>
      <c r="AF145">
        <v>1</v>
      </c>
      <c r="AG145">
        <v>0</v>
      </c>
      <c r="AH145">
        <v>0</v>
      </c>
      <c r="AI145">
        <v>0</v>
      </c>
      <c r="AJ145">
        <v>0</v>
      </c>
    </row>
    <row r="146" spans="1:36">
      <c r="A146" t="s">
        <v>560</v>
      </c>
      <c r="B146" s="264">
        <v>46031</v>
      </c>
      <c r="C146" t="s">
        <v>1125</v>
      </c>
      <c r="D146" t="s">
        <v>1140</v>
      </c>
      <c r="E146" t="s">
        <v>1123</v>
      </c>
      <c r="F146" t="s">
        <v>232</v>
      </c>
      <c r="G146">
        <v>3.8899999999999997E-2</v>
      </c>
      <c r="H146">
        <v>180</v>
      </c>
      <c r="I146">
        <v>7</v>
      </c>
      <c r="J146">
        <v>0</v>
      </c>
      <c r="K146" t="s">
        <v>233</v>
      </c>
      <c r="L146" s="264">
        <v>46344</v>
      </c>
      <c r="M146">
        <v>0</v>
      </c>
      <c r="N146">
        <v>0</v>
      </c>
      <c r="O146">
        <v>7</v>
      </c>
      <c r="P146" t="s">
        <v>918</v>
      </c>
      <c r="Q146">
        <v>0</v>
      </c>
      <c r="R146">
        <v>0</v>
      </c>
      <c r="S146">
        <v>0</v>
      </c>
      <c r="T146">
        <v>0</v>
      </c>
      <c r="U146">
        <v>0</v>
      </c>
      <c r="V146">
        <v>0</v>
      </c>
      <c r="W146">
        <v>0</v>
      </c>
      <c r="X146">
        <v>0</v>
      </c>
      <c r="Y146">
        <v>0</v>
      </c>
      <c r="Z146">
        <v>0</v>
      </c>
      <c r="AA146">
        <v>0</v>
      </c>
      <c r="AB146">
        <v>0</v>
      </c>
      <c r="AC146">
        <v>1</v>
      </c>
      <c r="AD146">
        <v>0</v>
      </c>
      <c r="AE146">
        <v>0</v>
      </c>
      <c r="AF146">
        <v>6</v>
      </c>
      <c r="AG146">
        <v>0</v>
      </c>
      <c r="AH146">
        <v>0</v>
      </c>
      <c r="AI146">
        <v>0</v>
      </c>
      <c r="AJ146">
        <v>0</v>
      </c>
    </row>
    <row r="147" spans="1:36">
      <c r="A147" t="s">
        <v>560</v>
      </c>
      <c r="B147" s="264">
        <v>46031</v>
      </c>
      <c r="C147" t="s">
        <v>716</v>
      </c>
      <c r="D147" t="s">
        <v>744</v>
      </c>
      <c r="E147" t="s">
        <v>706</v>
      </c>
      <c r="F147" t="s">
        <v>232</v>
      </c>
      <c r="G147">
        <v>0</v>
      </c>
      <c r="H147">
        <v>180</v>
      </c>
      <c r="I147">
        <v>0</v>
      </c>
      <c r="J147">
        <v>0</v>
      </c>
      <c r="K147" t="s">
        <v>233</v>
      </c>
      <c r="L147" t="s">
        <v>66</v>
      </c>
      <c r="M147">
        <v>0</v>
      </c>
      <c r="N147">
        <v>0</v>
      </c>
      <c r="O147">
        <v>0</v>
      </c>
      <c r="P147" t="s">
        <v>307</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row>
    <row r="148" spans="1:36">
      <c r="A148" t="s">
        <v>560</v>
      </c>
      <c r="B148" s="264">
        <v>46031</v>
      </c>
      <c r="C148" t="s">
        <v>1181</v>
      </c>
      <c r="D148" t="s">
        <v>1188</v>
      </c>
      <c r="E148" t="s">
        <v>1178</v>
      </c>
      <c r="F148" t="s">
        <v>232</v>
      </c>
      <c r="G148">
        <v>2.23E-2</v>
      </c>
      <c r="H148">
        <v>179</v>
      </c>
      <c r="I148">
        <v>4</v>
      </c>
      <c r="J148">
        <v>0</v>
      </c>
      <c r="K148" t="s">
        <v>233</v>
      </c>
      <c r="L148" s="264">
        <v>46295</v>
      </c>
      <c r="M148">
        <v>0</v>
      </c>
      <c r="N148">
        <v>0</v>
      </c>
      <c r="O148">
        <v>4</v>
      </c>
      <c r="P148" t="s">
        <v>819</v>
      </c>
      <c r="Q148">
        <v>3</v>
      </c>
      <c r="R148">
        <v>0</v>
      </c>
      <c r="S148">
        <v>0</v>
      </c>
      <c r="T148">
        <v>0</v>
      </c>
      <c r="U148">
        <v>0</v>
      </c>
      <c r="V148">
        <v>0</v>
      </c>
      <c r="W148">
        <v>0</v>
      </c>
      <c r="X148">
        <v>0</v>
      </c>
      <c r="Y148">
        <v>0</v>
      </c>
      <c r="Z148">
        <v>0</v>
      </c>
      <c r="AA148">
        <v>0</v>
      </c>
      <c r="AB148">
        <v>0</v>
      </c>
      <c r="AC148">
        <v>1</v>
      </c>
      <c r="AD148">
        <v>0</v>
      </c>
      <c r="AE148">
        <v>0</v>
      </c>
      <c r="AF148">
        <v>0</v>
      </c>
      <c r="AG148">
        <v>0</v>
      </c>
      <c r="AH148">
        <v>0</v>
      </c>
      <c r="AI148">
        <v>0</v>
      </c>
      <c r="AJ148">
        <v>0</v>
      </c>
    </row>
    <row r="149" spans="1:36">
      <c r="A149" t="s">
        <v>560</v>
      </c>
      <c r="B149" s="264">
        <v>46031</v>
      </c>
      <c r="C149" t="s">
        <v>1045</v>
      </c>
      <c r="D149" t="s">
        <v>231</v>
      </c>
      <c r="E149" t="s">
        <v>1040</v>
      </c>
      <c r="F149" t="s">
        <v>232</v>
      </c>
      <c r="G149">
        <v>0.1056</v>
      </c>
      <c r="H149">
        <v>180</v>
      </c>
      <c r="I149">
        <v>19</v>
      </c>
      <c r="J149">
        <v>0</v>
      </c>
      <c r="K149" t="s">
        <v>233</v>
      </c>
      <c r="L149" s="264">
        <v>46343</v>
      </c>
      <c r="M149">
        <v>0</v>
      </c>
      <c r="N149">
        <v>0</v>
      </c>
      <c r="O149">
        <v>19</v>
      </c>
      <c r="P149" t="s">
        <v>368</v>
      </c>
      <c r="Q149">
        <v>0</v>
      </c>
      <c r="R149">
        <v>0</v>
      </c>
      <c r="S149">
        <v>0</v>
      </c>
      <c r="T149">
        <v>0</v>
      </c>
      <c r="U149">
        <v>0</v>
      </c>
      <c r="V149">
        <v>0</v>
      </c>
      <c r="W149">
        <v>0</v>
      </c>
      <c r="X149">
        <v>0</v>
      </c>
      <c r="Y149">
        <v>0</v>
      </c>
      <c r="Z149">
        <v>0</v>
      </c>
      <c r="AA149">
        <v>0</v>
      </c>
      <c r="AB149">
        <v>0</v>
      </c>
      <c r="AC149">
        <v>2</v>
      </c>
      <c r="AD149">
        <v>7</v>
      </c>
      <c r="AE149">
        <v>5</v>
      </c>
      <c r="AF149">
        <v>5</v>
      </c>
      <c r="AG149">
        <v>0</v>
      </c>
      <c r="AH149">
        <v>0</v>
      </c>
      <c r="AI149">
        <v>0</v>
      </c>
      <c r="AJ149">
        <v>0</v>
      </c>
    </row>
    <row r="150" spans="1:36">
      <c r="A150" t="s">
        <v>560</v>
      </c>
      <c r="B150" s="264">
        <v>46031</v>
      </c>
      <c r="C150" t="s">
        <v>1289</v>
      </c>
      <c r="D150" t="s">
        <v>574</v>
      </c>
      <c r="E150" t="s">
        <v>1286</v>
      </c>
      <c r="F150" t="s">
        <v>232</v>
      </c>
      <c r="G150">
        <v>3.9100000000000003E-2</v>
      </c>
      <c r="H150">
        <v>179</v>
      </c>
      <c r="I150">
        <v>7</v>
      </c>
      <c r="J150">
        <v>0</v>
      </c>
      <c r="K150" t="s">
        <v>233</v>
      </c>
      <c r="L150" s="264">
        <v>46342</v>
      </c>
      <c r="M150">
        <v>0</v>
      </c>
      <c r="N150">
        <v>0</v>
      </c>
      <c r="O150">
        <v>7</v>
      </c>
      <c r="P150" t="s">
        <v>918</v>
      </c>
      <c r="Q150">
        <v>0</v>
      </c>
      <c r="R150">
        <v>0</v>
      </c>
      <c r="S150">
        <v>0</v>
      </c>
      <c r="T150">
        <v>0</v>
      </c>
      <c r="U150">
        <v>0</v>
      </c>
      <c r="V150">
        <v>0</v>
      </c>
      <c r="W150">
        <v>0</v>
      </c>
      <c r="X150">
        <v>0</v>
      </c>
      <c r="Y150">
        <v>0</v>
      </c>
      <c r="Z150">
        <v>0</v>
      </c>
      <c r="AA150">
        <v>0</v>
      </c>
      <c r="AB150">
        <v>1</v>
      </c>
      <c r="AC150">
        <v>2</v>
      </c>
      <c r="AD150">
        <v>0</v>
      </c>
      <c r="AE150">
        <v>0</v>
      </c>
      <c r="AF150">
        <v>4</v>
      </c>
      <c r="AG150">
        <v>0</v>
      </c>
      <c r="AH150">
        <v>0</v>
      </c>
      <c r="AI150">
        <v>0</v>
      </c>
      <c r="AJ150">
        <v>0</v>
      </c>
    </row>
    <row r="151" spans="1:36">
      <c r="A151" t="s">
        <v>560</v>
      </c>
      <c r="B151" s="264">
        <v>46031</v>
      </c>
      <c r="C151" t="s">
        <v>433</v>
      </c>
      <c r="D151" t="s">
        <v>565</v>
      </c>
      <c r="E151" t="s">
        <v>341</v>
      </c>
      <c r="F151" t="s">
        <v>232</v>
      </c>
      <c r="G151">
        <v>3.3300000000000003E-2</v>
      </c>
      <c r="H151">
        <v>180</v>
      </c>
      <c r="I151">
        <v>6</v>
      </c>
      <c r="J151">
        <v>0</v>
      </c>
      <c r="K151" t="s">
        <v>233</v>
      </c>
      <c r="L151" s="264">
        <v>46344</v>
      </c>
      <c r="M151">
        <v>0</v>
      </c>
      <c r="N151">
        <v>0</v>
      </c>
      <c r="O151">
        <v>6</v>
      </c>
      <c r="P151" t="s">
        <v>299</v>
      </c>
      <c r="Q151">
        <v>0</v>
      </c>
      <c r="R151">
        <v>0</v>
      </c>
      <c r="S151">
        <v>0</v>
      </c>
      <c r="T151">
        <v>0</v>
      </c>
      <c r="U151">
        <v>0</v>
      </c>
      <c r="V151">
        <v>0</v>
      </c>
      <c r="W151">
        <v>0</v>
      </c>
      <c r="X151">
        <v>0</v>
      </c>
      <c r="Y151">
        <v>0</v>
      </c>
      <c r="Z151">
        <v>0</v>
      </c>
      <c r="AA151">
        <v>0</v>
      </c>
      <c r="AB151">
        <v>0</v>
      </c>
      <c r="AC151">
        <v>0</v>
      </c>
      <c r="AD151">
        <v>6</v>
      </c>
      <c r="AE151">
        <v>0</v>
      </c>
      <c r="AF151">
        <v>0</v>
      </c>
      <c r="AG151">
        <v>0</v>
      </c>
      <c r="AH151">
        <v>0</v>
      </c>
      <c r="AI151">
        <v>0</v>
      </c>
      <c r="AJ151">
        <v>0</v>
      </c>
    </row>
    <row r="152" spans="1:36">
      <c r="A152" t="s">
        <v>560</v>
      </c>
      <c r="B152" s="264">
        <v>46031</v>
      </c>
      <c r="C152" t="s">
        <v>429</v>
      </c>
      <c r="D152" t="s">
        <v>564</v>
      </c>
      <c r="E152" t="s">
        <v>341</v>
      </c>
      <c r="F152" t="s">
        <v>232</v>
      </c>
      <c r="G152">
        <v>2.7799999999999998E-2</v>
      </c>
      <c r="H152">
        <v>180</v>
      </c>
      <c r="I152">
        <v>5</v>
      </c>
      <c r="J152">
        <v>0</v>
      </c>
      <c r="K152" t="s">
        <v>233</v>
      </c>
      <c r="L152" s="264">
        <v>46340</v>
      </c>
      <c r="M152">
        <v>0</v>
      </c>
      <c r="N152">
        <v>0</v>
      </c>
      <c r="O152">
        <v>5</v>
      </c>
      <c r="P152" t="s">
        <v>430</v>
      </c>
      <c r="Q152">
        <v>0</v>
      </c>
      <c r="R152">
        <v>0</v>
      </c>
      <c r="S152">
        <v>0</v>
      </c>
      <c r="T152">
        <v>0</v>
      </c>
      <c r="U152">
        <v>0</v>
      </c>
      <c r="V152">
        <v>0</v>
      </c>
      <c r="W152">
        <v>0</v>
      </c>
      <c r="X152">
        <v>0</v>
      </c>
      <c r="Y152">
        <v>0</v>
      </c>
      <c r="Z152">
        <v>0</v>
      </c>
      <c r="AA152">
        <v>0</v>
      </c>
      <c r="AB152">
        <v>0</v>
      </c>
      <c r="AC152">
        <v>0</v>
      </c>
      <c r="AD152">
        <v>5</v>
      </c>
      <c r="AE152">
        <v>0</v>
      </c>
      <c r="AF152">
        <v>0</v>
      </c>
      <c r="AG152">
        <v>0</v>
      </c>
      <c r="AH152">
        <v>0</v>
      </c>
      <c r="AI152">
        <v>0</v>
      </c>
      <c r="AJ152">
        <v>0</v>
      </c>
    </row>
    <row r="153" spans="1:36">
      <c r="A153" t="s">
        <v>560</v>
      </c>
      <c r="B153" s="264">
        <v>46031</v>
      </c>
      <c r="C153" t="s">
        <v>376</v>
      </c>
      <c r="D153" t="s">
        <v>561</v>
      </c>
      <c r="E153" t="s">
        <v>341</v>
      </c>
      <c r="F153" t="s">
        <v>232</v>
      </c>
      <c r="G153">
        <v>1.67E-2</v>
      </c>
      <c r="H153">
        <v>180</v>
      </c>
      <c r="I153">
        <v>3</v>
      </c>
      <c r="J153">
        <v>0</v>
      </c>
      <c r="K153" t="s">
        <v>233</v>
      </c>
      <c r="L153" s="264">
        <v>46302</v>
      </c>
      <c r="M153">
        <v>0</v>
      </c>
      <c r="N153">
        <v>0</v>
      </c>
      <c r="O153">
        <v>3</v>
      </c>
      <c r="P153" t="s">
        <v>446</v>
      </c>
      <c r="Q153">
        <v>0</v>
      </c>
      <c r="R153">
        <v>0</v>
      </c>
      <c r="S153">
        <v>0</v>
      </c>
      <c r="T153">
        <v>0</v>
      </c>
      <c r="U153">
        <v>0</v>
      </c>
      <c r="V153">
        <v>0</v>
      </c>
      <c r="W153">
        <v>0</v>
      </c>
      <c r="X153">
        <v>0</v>
      </c>
      <c r="Y153">
        <v>0</v>
      </c>
      <c r="Z153">
        <v>0</v>
      </c>
      <c r="AA153">
        <v>0</v>
      </c>
      <c r="AB153">
        <v>0</v>
      </c>
      <c r="AC153">
        <v>0</v>
      </c>
      <c r="AD153">
        <v>3</v>
      </c>
      <c r="AE153">
        <v>0</v>
      </c>
      <c r="AF153">
        <v>0</v>
      </c>
      <c r="AG153">
        <v>0</v>
      </c>
      <c r="AH153">
        <v>0</v>
      </c>
      <c r="AI153">
        <v>0</v>
      </c>
      <c r="AJ153">
        <v>0</v>
      </c>
    </row>
    <row r="154" spans="1:36">
      <c r="A154" t="s">
        <v>560</v>
      </c>
      <c r="B154" s="264">
        <v>46031</v>
      </c>
      <c r="C154" t="s">
        <v>378</v>
      </c>
      <c r="D154" t="s">
        <v>562</v>
      </c>
      <c r="E154" t="s">
        <v>341</v>
      </c>
      <c r="F154" t="s">
        <v>232</v>
      </c>
      <c r="G154">
        <v>0</v>
      </c>
      <c r="H154">
        <v>180</v>
      </c>
      <c r="I154">
        <v>0</v>
      </c>
      <c r="J154">
        <v>0</v>
      </c>
      <c r="K154" t="s">
        <v>233</v>
      </c>
      <c r="L154" t="s">
        <v>66</v>
      </c>
      <c r="M154">
        <v>0</v>
      </c>
      <c r="N154">
        <v>0</v>
      </c>
      <c r="O154">
        <v>0</v>
      </c>
      <c r="P154" t="s">
        <v>436</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row>
    <row r="155" spans="1:36">
      <c r="A155" t="s">
        <v>560</v>
      </c>
      <c r="B155" s="264">
        <v>46031</v>
      </c>
      <c r="C155" t="s">
        <v>380</v>
      </c>
      <c r="D155" t="s">
        <v>563</v>
      </c>
      <c r="E155" t="s">
        <v>341</v>
      </c>
      <c r="F155" t="s">
        <v>232</v>
      </c>
      <c r="G155">
        <v>1.67E-2</v>
      </c>
      <c r="H155">
        <v>180</v>
      </c>
      <c r="I155">
        <v>3</v>
      </c>
      <c r="J155">
        <v>0</v>
      </c>
      <c r="K155" t="s">
        <v>233</v>
      </c>
      <c r="L155" s="264">
        <v>46340</v>
      </c>
      <c r="M155">
        <v>0</v>
      </c>
      <c r="N155">
        <v>0</v>
      </c>
      <c r="O155">
        <v>3</v>
      </c>
      <c r="P155" t="s">
        <v>446</v>
      </c>
      <c r="Q155">
        <v>0</v>
      </c>
      <c r="R155">
        <v>0</v>
      </c>
      <c r="S155">
        <v>0</v>
      </c>
      <c r="T155">
        <v>0</v>
      </c>
      <c r="U155">
        <v>0</v>
      </c>
      <c r="V155">
        <v>0</v>
      </c>
      <c r="W155">
        <v>0</v>
      </c>
      <c r="X155">
        <v>0</v>
      </c>
      <c r="Y155">
        <v>0</v>
      </c>
      <c r="Z155">
        <v>0</v>
      </c>
      <c r="AA155">
        <v>0</v>
      </c>
      <c r="AB155">
        <v>0</v>
      </c>
      <c r="AC155">
        <v>0</v>
      </c>
      <c r="AD155">
        <v>3</v>
      </c>
      <c r="AE155">
        <v>0</v>
      </c>
      <c r="AF155">
        <v>0</v>
      </c>
      <c r="AG155">
        <v>0</v>
      </c>
      <c r="AH155">
        <v>0</v>
      </c>
      <c r="AI155">
        <v>0</v>
      </c>
      <c r="AJ155">
        <v>0</v>
      </c>
    </row>
    <row r="156" spans="1:36">
      <c r="A156" t="s">
        <v>560</v>
      </c>
      <c r="B156" s="264">
        <v>46031</v>
      </c>
      <c r="C156" t="s">
        <v>818</v>
      </c>
      <c r="D156" t="s">
        <v>555</v>
      </c>
      <c r="E156" t="s">
        <v>808</v>
      </c>
      <c r="F156" t="s">
        <v>232</v>
      </c>
      <c r="G156">
        <v>5.5999999999999999E-3</v>
      </c>
      <c r="H156">
        <v>179</v>
      </c>
      <c r="I156">
        <v>1</v>
      </c>
      <c r="J156">
        <v>0</v>
      </c>
      <c r="K156" t="s">
        <v>233</v>
      </c>
      <c r="L156" s="264">
        <v>46338</v>
      </c>
      <c r="M156">
        <v>0</v>
      </c>
      <c r="N156">
        <v>0</v>
      </c>
      <c r="O156">
        <v>1</v>
      </c>
      <c r="P156" t="s">
        <v>900</v>
      </c>
      <c r="Q156">
        <v>0</v>
      </c>
      <c r="R156">
        <v>0</v>
      </c>
      <c r="S156">
        <v>0</v>
      </c>
      <c r="T156">
        <v>0</v>
      </c>
      <c r="U156">
        <v>0</v>
      </c>
      <c r="V156">
        <v>0</v>
      </c>
      <c r="W156">
        <v>0</v>
      </c>
      <c r="X156">
        <v>0</v>
      </c>
      <c r="Y156">
        <v>0</v>
      </c>
      <c r="Z156">
        <v>0</v>
      </c>
      <c r="AA156">
        <v>0</v>
      </c>
      <c r="AB156">
        <v>0</v>
      </c>
      <c r="AC156">
        <v>0</v>
      </c>
      <c r="AD156">
        <v>0</v>
      </c>
      <c r="AE156">
        <v>0</v>
      </c>
      <c r="AF156">
        <v>1</v>
      </c>
      <c r="AG156">
        <v>0</v>
      </c>
      <c r="AH156">
        <v>0</v>
      </c>
      <c r="AI156">
        <v>0</v>
      </c>
      <c r="AJ156">
        <v>0</v>
      </c>
    </row>
    <row r="157" spans="1:36">
      <c r="A157" t="s">
        <v>560</v>
      </c>
      <c r="B157" s="264">
        <v>46031</v>
      </c>
      <c r="C157" t="s">
        <v>854</v>
      </c>
      <c r="D157" t="s">
        <v>975</v>
      </c>
      <c r="E157" t="s">
        <v>808</v>
      </c>
      <c r="F157" t="s">
        <v>232</v>
      </c>
      <c r="G157">
        <v>1.6799999999999999E-2</v>
      </c>
      <c r="H157">
        <v>179</v>
      </c>
      <c r="I157">
        <v>3</v>
      </c>
      <c r="J157">
        <v>0</v>
      </c>
      <c r="K157" t="s">
        <v>233</v>
      </c>
      <c r="L157" s="264">
        <v>46326</v>
      </c>
      <c r="M157">
        <v>0</v>
      </c>
      <c r="N157">
        <v>0</v>
      </c>
      <c r="O157">
        <v>3</v>
      </c>
      <c r="P157" t="s">
        <v>901</v>
      </c>
      <c r="Q157">
        <v>0</v>
      </c>
      <c r="R157">
        <v>0</v>
      </c>
      <c r="S157">
        <v>0</v>
      </c>
      <c r="T157">
        <v>0</v>
      </c>
      <c r="U157">
        <v>0</v>
      </c>
      <c r="V157">
        <v>0</v>
      </c>
      <c r="W157">
        <v>0</v>
      </c>
      <c r="X157">
        <v>0</v>
      </c>
      <c r="Y157">
        <v>0</v>
      </c>
      <c r="Z157">
        <v>0</v>
      </c>
      <c r="AA157">
        <v>0</v>
      </c>
      <c r="AB157">
        <v>0</v>
      </c>
      <c r="AC157">
        <v>2</v>
      </c>
      <c r="AD157">
        <v>0</v>
      </c>
      <c r="AE157">
        <v>0</v>
      </c>
      <c r="AF157">
        <v>1</v>
      </c>
      <c r="AG157">
        <v>0</v>
      </c>
      <c r="AH157">
        <v>0</v>
      </c>
      <c r="AI157">
        <v>0</v>
      </c>
      <c r="AJ157">
        <v>0</v>
      </c>
    </row>
    <row r="158" spans="1:36">
      <c r="A158" t="s">
        <v>560</v>
      </c>
      <c r="B158" s="264">
        <v>46031</v>
      </c>
      <c r="C158" t="s">
        <v>1215</v>
      </c>
      <c r="D158" t="s">
        <v>751</v>
      </c>
      <c r="E158" t="s">
        <v>1213</v>
      </c>
      <c r="F158" t="s">
        <v>232</v>
      </c>
      <c r="G158">
        <v>2.23E-2</v>
      </c>
      <c r="H158">
        <v>179</v>
      </c>
      <c r="I158">
        <v>4</v>
      </c>
      <c r="J158">
        <v>0</v>
      </c>
      <c r="K158" t="s">
        <v>233</v>
      </c>
      <c r="L158" s="264">
        <v>46343</v>
      </c>
      <c r="M158">
        <v>0</v>
      </c>
      <c r="N158">
        <v>0</v>
      </c>
      <c r="O158">
        <v>4</v>
      </c>
      <c r="P158" t="s">
        <v>549</v>
      </c>
      <c r="Q158">
        <v>0</v>
      </c>
      <c r="R158">
        <v>0</v>
      </c>
      <c r="S158">
        <v>0</v>
      </c>
      <c r="T158">
        <v>0</v>
      </c>
      <c r="U158">
        <v>0</v>
      </c>
      <c r="V158">
        <v>0</v>
      </c>
      <c r="W158">
        <v>0</v>
      </c>
      <c r="X158">
        <v>0</v>
      </c>
      <c r="Y158">
        <v>0</v>
      </c>
      <c r="Z158">
        <v>0</v>
      </c>
      <c r="AA158">
        <v>0</v>
      </c>
      <c r="AB158">
        <v>1</v>
      </c>
      <c r="AC158">
        <v>2</v>
      </c>
      <c r="AD158">
        <v>1</v>
      </c>
      <c r="AE158">
        <v>0</v>
      </c>
      <c r="AF158">
        <v>0</v>
      </c>
      <c r="AG158">
        <v>0</v>
      </c>
      <c r="AH158">
        <v>0</v>
      </c>
      <c r="AI158">
        <v>0</v>
      </c>
      <c r="AJ158">
        <v>0</v>
      </c>
    </row>
    <row r="159" spans="1:36">
      <c r="A159" t="s">
        <v>560</v>
      </c>
      <c r="B159" s="264">
        <v>46031</v>
      </c>
      <c r="C159" t="s">
        <v>613</v>
      </c>
      <c r="D159" t="s">
        <v>257</v>
      </c>
      <c r="E159" t="s">
        <v>601</v>
      </c>
      <c r="F159" t="s">
        <v>232</v>
      </c>
      <c r="G159">
        <v>0</v>
      </c>
      <c r="H159">
        <v>180</v>
      </c>
      <c r="I159">
        <v>0</v>
      </c>
      <c r="J159">
        <v>0</v>
      </c>
      <c r="K159" t="s">
        <v>233</v>
      </c>
      <c r="L159" t="s">
        <v>66</v>
      </c>
      <c r="M159">
        <v>0</v>
      </c>
      <c r="N159">
        <v>0</v>
      </c>
      <c r="O159">
        <v>0</v>
      </c>
      <c r="P159" t="s">
        <v>67</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row>
    <row r="160" spans="1:36">
      <c r="A160" t="s">
        <v>234</v>
      </c>
      <c r="B160" s="264">
        <v>46032</v>
      </c>
      <c r="C160" t="s">
        <v>1321</v>
      </c>
      <c r="D160" t="s">
        <v>748</v>
      </c>
      <c r="E160" t="s">
        <v>1318</v>
      </c>
      <c r="F160" t="s">
        <v>232</v>
      </c>
      <c r="G160">
        <v>5.5999999999999999E-3</v>
      </c>
      <c r="H160">
        <v>179</v>
      </c>
      <c r="I160">
        <v>1</v>
      </c>
      <c r="J160">
        <v>0</v>
      </c>
      <c r="K160" t="s">
        <v>233</v>
      </c>
      <c r="L160" s="264">
        <v>46335</v>
      </c>
      <c r="M160">
        <v>0</v>
      </c>
      <c r="N160">
        <v>0</v>
      </c>
      <c r="O160">
        <v>1</v>
      </c>
      <c r="P160" t="s">
        <v>900</v>
      </c>
      <c r="Q160">
        <v>0</v>
      </c>
      <c r="R160">
        <v>0</v>
      </c>
      <c r="S160">
        <v>0</v>
      </c>
      <c r="T160">
        <v>0</v>
      </c>
      <c r="U160">
        <v>0</v>
      </c>
      <c r="V160">
        <v>0</v>
      </c>
      <c r="W160">
        <v>0</v>
      </c>
      <c r="X160">
        <v>0</v>
      </c>
      <c r="Y160">
        <v>0</v>
      </c>
      <c r="Z160">
        <v>0</v>
      </c>
      <c r="AA160">
        <v>0</v>
      </c>
      <c r="AB160">
        <v>0</v>
      </c>
      <c r="AC160">
        <v>0</v>
      </c>
      <c r="AD160">
        <v>0</v>
      </c>
      <c r="AE160">
        <v>0</v>
      </c>
      <c r="AF160">
        <v>1</v>
      </c>
      <c r="AG160">
        <v>0</v>
      </c>
      <c r="AH160">
        <v>0</v>
      </c>
      <c r="AI160">
        <v>0</v>
      </c>
      <c r="AJ160">
        <v>0</v>
      </c>
    </row>
    <row r="161" spans="1:36">
      <c r="A161" t="s">
        <v>234</v>
      </c>
      <c r="B161" s="264">
        <v>46032</v>
      </c>
      <c r="C161" t="s">
        <v>709</v>
      </c>
      <c r="D161" t="s">
        <v>745</v>
      </c>
      <c r="E161" t="s">
        <v>706</v>
      </c>
      <c r="F161" t="s">
        <v>232</v>
      </c>
      <c r="G161">
        <v>1.11E-2</v>
      </c>
      <c r="H161">
        <v>180</v>
      </c>
      <c r="I161">
        <v>2</v>
      </c>
      <c r="J161">
        <v>0</v>
      </c>
      <c r="K161" t="s">
        <v>233</v>
      </c>
      <c r="L161" s="264">
        <v>46343</v>
      </c>
      <c r="M161">
        <v>0</v>
      </c>
      <c r="N161">
        <v>0</v>
      </c>
      <c r="O161">
        <v>2</v>
      </c>
      <c r="P161" t="s">
        <v>298</v>
      </c>
      <c r="Q161">
        <v>0</v>
      </c>
      <c r="R161">
        <v>0</v>
      </c>
      <c r="S161">
        <v>0</v>
      </c>
      <c r="T161">
        <v>0</v>
      </c>
      <c r="U161">
        <v>0</v>
      </c>
      <c r="V161">
        <v>0</v>
      </c>
      <c r="W161">
        <v>0</v>
      </c>
      <c r="X161">
        <v>0</v>
      </c>
      <c r="Y161">
        <v>0</v>
      </c>
      <c r="Z161">
        <v>0</v>
      </c>
      <c r="AA161">
        <v>0</v>
      </c>
      <c r="AB161">
        <v>0</v>
      </c>
      <c r="AC161">
        <v>2</v>
      </c>
      <c r="AD161">
        <v>0</v>
      </c>
      <c r="AE161">
        <v>0</v>
      </c>
      <c r="AF161">
        <v>0</v>
      </c>
      <c r="AG161">
        <v>0</v>
      </c>
      <c r="AH161">
        <v>0</v>
      </c>
      <c r="AI161">
        <v>0</v>
      </c>
      <c r="AJ161">
        <v>0</v>
      </c>
    </row>
    <row r="162" spans="1:36">
      <c r="A162" t="s">
        <v>234</v>
      </c>
      <c r="B162" s="264">
        <v>46032</v>
      </c>
      <c r="C162" t="s">
        <v>712</v>
      </c>
      <c r="D162" t="s">
        <v>746</v>
      </c>
      <c r="E162" t="s">
        <v>706</v>
      </c>
      <c r="F162" t="s">
        <v>232</v>
      </c>
      <c r="G162">
        <v>2.2200000000000001E-2</v>
      </c>
      <c r="H162">
        <v>180</v>
      </c>
      <c r="I162">
        <v>4</v>
      </c>
      <c r="J162">
        <v>0</v>
      </c>
      <c r="K162" t="s">
        <v>233</v>
      </c>
      <c r="L162" s="264">
        <v>46336</v>
      </c>
      <c r="M162">
        <v>0</v>
      </c>
      <c r="N162">
        <v>0</v>
      </c>
      <c r="O162">
        <v>4</v>
      </c>
      <c r="P162" t="s">
        <v>300</v>
      </c>
      <c r="Q162">
        <v>0</v>
      </c>
      <c r="R162">
        <v>0</v>
      </c>
      <c r="S162">
        <v>0</v>
      </c>
      <c r="T162">
        <v>0</v>
      </c>
      <c r="U162">
        <v>0</v>
      </c>
      <c r="V162">
        <v>0</v>
      </c>
      <c r="W162">
        <v>0</v>
      </c>
      <c r="X162">
        <v>0</v>
      </c>
      <c r="Y162">
        <v>0</v>
      </c>
      <c r="Z162">
        <v>0</v>
      </c>
      <c r="AA162">
        <v>0</v>
      </c>
      <c r="AB162">
        <v>0</v>
      </c>
      <c r="AC162">
        <v>4</v>
      </c>
      <c r="AD162">
        <v>0</v>
      </c>
      <c r="AE162">
        <v>0</v>
      </c>
      <c r="AF162">
        <v>0</v>
      </c>
      <c r="AG162">
        <v>0</v>
      </c>
      <c r="AH162">
        <v>0</v>
      </c>
      <c r="AI162">
        <v>0</v>
      </c>
      <c r="AJ162">
        <v>0</v>
      </c>
    </row>
    <row r="163" spans="1:36">
      <c r="A163" t="s">
        <v>234</v>
      </c>
      <c r="B163" s="264">
        <v>46032</v>
      </c>
      <c r="C163" t="s">
        <v>716</v>
      </c>
      <c r="D163" t="s">
        <v>561</v>
      </c>
      <c r="E163" t="s">
        <v>706</v>
      </c>
      <c r="F163" t="s">
        <v>232</v>
      </c>
      <c r="G163">
        <v>0</v>
      </c>
      <c r="H163">
        <v>180</v>
      </c>
      <c r="I163">
        <v>0</v>
      </c>
      <c r="J163">
        <v>0</v>
      </c>
      <c r="K163" t="s">
        <v>233</v>
      </c>
      <c r="L163" t="s">
        <v>66</v>
      </c>
      <c r="M163">
        <v>0</v>
      </c>
      <c r="N163">
        <v>0</v>
      </c>
      <c r="O163">
        <v>0</v>
      </c>
      <c r="P163" t="s">
        <v>307</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row>
    <row r="164" spans="1:36">
      <c r="A164" t="s">
        <v>234</v>
      </c>
      <c r="B164" s="264">
        <v>46032</v>
      </c>
      <c r="C164" t="s">
        <v>323</v>
      </c>
      <c r="D164" t="s">
        <v>334</v>
      </c>
      <c r="E164" t="s">
        <v>320</v>
      </c>
      <c r="F164" t="s">
        <v>232</v>
      </c>
      <c r="G164">
        <v>5.5999999999999999E-3</v>
      </c>
      <c r="H164">
        <v>180</v>
      </c>
      <c r="I164">
        <v>1</v>
      </c>
      <c r="J164">
        <v>0</v>
      </c>
      <c r="K164" t="s">
        <v>233</v>
      </c>
      <c r="L164" s="264">
        <v>46325</v>
      </c>
      <c r="M164">
        <v>0</v>
      </c>
      <c r="N164">
        <v>0</v>
      </c>
      <c r="O164">
        <v>1</v>
      </c>
      <c r="P164" t="s">
        <v>326</v>
      </c>
      <c r="Q164">
        <v>0</v>
      </c>
      <c r="R164">
        <v>0</v>
      </c>
      <c r="S164">
        <v>0</v>
      </c>
      <c r="T164">
        <v>0</v>
      </c>
      <c r="U164">
        <v>0</v>
      </c>
      <c r="V164">
        <v>0</v>
      </c>
      <c r="W164">
        <v>0</v>
      </c>
      <c r="X164">
        <v>0</v>
      </c>
      <c r="Y164">
        <v>0</v>
      </c>
      <c r="Z164">
        <v>0</v>
      </c>
      <c r="AA164">
        <v>0</v>
      </c>
      <c r="AB164">
        <v>0</v>
      </c>
      <c r="AC164">
        <v>1</v>
      </c>
      <c r="AD164">
        <v>0</v>
      </c>
      <c r="AE164">
        <v>0</v>
      </c>
      <c r="AF164">
        <v>0</v>
      </c>
      <c r="AG164">
        <v>0</v>
      </c>
      <c r="AH164">
        <v>0</v>
      </c>
      <c r="AI164">
        <v>0</v>
      </c>
      <c r="AJ164">
        <v>0</v>
      </c>
    </row>
    <row r="165" spans="1:36">
      <c r="A165" t="s">
        <v>234</v>
      </c>
      <c r="B165" s="264">
        <v>46032</v>
      </c>
      <c r="C165" t="s">
        <v>1241</v>
      </c>
      <c r="D165" t="s">
        <v>334</v>
      </c>
      <c r="E165" t="s">
        <v>1239</v>
      </c>
      <c r="F165" t="s">
        <v>232</v>
      </c>
      <c r="G165">
        <v>0.1341</v>
      </c>
      <c r="H165">
        <v>179</v>
      </c>
      <c r="I165">
        <v>24</v>
      </c>
      <c r="J165">
        <v>0</v>
      </c>
      <c r="K165" t="s">
        <v>233</v>
      </c>
      <c r="L165" s="264">
        <v>46340</v>
      </c>
      <c r="M165">
        <v>0</v>
      </c>
      <c r="N165">
        <v>0</v>
      </c>
      <c r="O165">
        <v>24</v>
      </c>
      <c r="P165" t="s">
        <v>305</v>
      </c>
      <c r="Q165">
        <v>0</v>
      </c>
      <c r="R165">
        <v>0</v>
      </c>
      <c r="S165">
        <v>0</v>
      </c>
      <c r="T165">
        <v>0</v>
      </c>
      <c r="U165">
        <v>0</v>
      </c>
      <c r="V165">
        <v>0</v>
      </c>
      <c r="W165">
        <v>0</v>
      </c>
      <c r="X165">
        <v>0</v>
      </c>
      <c r="Y165">
        <v>0</v>
      </c>
      <c r="Z165">
        <v>0</v>
      </c>
      <c r="AA165">
        <v>0</v>
      </c>
      <c r="AB165">
        <v>3</v>
      </c>
      <c r="AC165">
        <v>8</v>
      </c>
      <c r="AD165">
        <v>7</v>
      </c>
      <c r="AE165">
        <v>6</v>
      </c>
      <c r="AF165">
        <v>0</v>
      </c>
      <c r="AG165">
        <v>0</v>
      </c>
      <c r="AH165">
        <v>0</v>
      </c>
      <c r="AI165">
        <v>0</v>
      </c>
      <c r="AJ165">
        <v>0</v>
      </c>
    </row>
    <row r="166" spans="1:36">
      <c r="A166" t="s">
        <v>234</v>
      </c>
      <c r="B166" s="264">
        <v>46032</v>
      </c>
      <c r="C166" t="s">
        <v>1194</v>
      </c>
      <c r="D166" t="s">
        <v>1203</v>
      </c>
      <c r="E166" t="s">
        <v>1192</v>
      </c>
      <c r="F166" t="s">
        <v>232</v>
      </c>
      <c r="G166">
        <v>5.0299999999999997E-2</v>
      </c>
      <c r="H166">
        <v>179</v>
      </c>
      <c r="I166">
        <v>9</v>
      </c>
      <c r="J166">
        <v>0</v>
      </c>
      <c r="K166" t="s">
        <v>233</v>
      </c>
      <c r="L166" s="264">
        <v>46342</v>
      </c>
      <c r="M166">
        <v>0</v>
      </c>
      <c r="N166">
        <v>0</v>
      </c>
      <c r="O166">
        <v>9</v>
      </c>
      <c r="P166" t="s">
        <v>819</v>
      </c>
      <c r="Q166">
        <v>0</v>
      </c>
      <c r="R166">
        <v>0</v>
      </c>
      <c r="S166">
        <v>0</v>
      </c>
      <c r="T166">
        <v>0</v>
      </c>
      <c r="U166">
        <v>0</v>
      </c>
      <c r="V166">
        <v>0</v>
      </c>
      <c r="W166">
        <v>0</v>
      </c>
      <c r="X166">
        <v>0</v>
      </c>
      <c r="Y166">
        <v>0</v>
      </c>
      <c r="Z166">
        <v>0</v>
      </c>
      <c r="AA166">
        <v>0</v>
      </c>
      <c r="AB166">
        <v>0</v>
      </c>
      <c r="AC166">
        <v>0</v>
      </c>
      <c r="AD166">
        <v>0</v>
      </c>
      <c r="AE166">
        <v>5</v>
      </c>
      <c r="AF166">
        <v>4</v>
      </c>
      <c r="AG166">
        <v>0</v>
      </c>
      <c r="AH166">
        <v>0</v>
      </c>
      <c r="AI166">
        <v>0</v>
      </c>
      <c r="AJ166">
        <v>0</v>
      </c>
    </row>
    <row r="167" spans="1:36">
      <c r="A167" t="s">
        <v>234</v>
      </c>
      <c r="B167" s="264">
        <v>46032</v>
      </c>
      <c r="C167" t="s">
        <v>1045</v>
      </c>
      <c r="D167" t="s">
        <v>1108</v>
      </c>
      <c r="E167" t="s">
        <v>1040</v>
      </c>
      <c r="F167" t="s">
        <v>232</v>
      </c>
      <c r="G167">
        <v>0.2389</v>
      </c>
      <c r="H167">
        <v>180</v>
      </c>
      <c r="I167">
        <v>43</v>
      </c>
      <c r="J167">
        <v>0</v>
      </c>
      <c r="K167" t="s">
        <v>233</v>
      </c>
      <c r="L167" s="264">
        <v>46345</v>
      </c>
      <c r="M167">
        <v>0</v>
      </c>
      <c r="N167">
        <v>0</v>
      </c>
      <c r="O167">
        <v>43</v>
      </c>
      <c r="P167" t="s">
        <v>310</v>
      </c>
      <c r="Q167">
        <v>0</v>
      </c>
      <c r="R167">
        <v>0</v>
      </c>
      <c r="S167">
        <v>0</v>
      </c>
      <c r="T167">
        <v>0</v>
      </c>
      <c r="U167">
        <v>0</v>
      </c>
      <c r="V167">
        <v>0</v>
      </c>
      <c r="W167">
        <v>0</v>
      </c>
      <c r="X167">
        <v>0</v>
      </c>
      <c r="Y167">
        <v>0</v>
      </c>
      <c r="Z167">
        <v>1</v>
      </c>
      <c r="AA167">
        <v>4</v>
      </c>
      <c r="AB167">
        <v>12</v>
      </c>
      <c r="AC167">
        <v>16</v>
      </c>
      <c r="AD167">
        <v>7</v>
      </c>
      <c r="AE167">
        <v>3</v>
      </c>
      <c r="AF167">
        <v>0</v>
      </c>
      <c r="AG167">
        <v>0</v>
      </c>
      <c r="AH167">
        <v>0</v>
      </c>
      <c r="AI167">
        <v>0</v>
      </c>
      <c r="AJ167">
        <v>0</v>
      </c>
    </row>
    <row r="168" spans="1:36">
      <c r="A168" t="s">
        <v>234</v>
      </c>
      <c r="B168" s="264">
        <v>46032</v>
      </c>
      <c r="C168" t="s">
        <v>1337</v>
      </c>
      <c r="D168" t="s">
        <v>1324</v>
      </c>
      <c r="E168" t="s">
        <v>1333</v>
      </c>
      <c r="F168" t="s">
        <v>232</v>
      </c>
      <c r="G168">
        <v>2.7900000000000001E-2</v>
      </c>
      <c r="H168">
        <v>179</v>
      </c>
      <c r="I168">
        <v>5</v>
      </c>
      <c r="J168">
        <v>0</v>
      </c>
      <c r="K168" t="s">
        <v>233</v>
      </c>
      <c r="L168" s="264">
        <v>46340</v>
      </c>
      <c r="M168">
        <v>0</v>
      </c>
      <c r="N168">
        <v>0</v>
      </c>
      <c r="O168">
        <v>5</v>
      </c>
      <c r="P168" t="s">
        <v>571</v>
      </c>
      <c r="Q168">
        <v>0</v>
      </c>
      <c r="R168">
        <v>0</v>
      </c>
      <c r="S168">
        <v>0</v>
      </c>
      <c r="T168">
        <v>0</v>
      </c>
      <c r="U168">
        <v>0</v>
      </c>
      <c r="V168">
        <v>0</v>
      </c>
      <c r="W168">
        <v>0</v>
      </c>
      <c r="X168">
        <v>0</v>
      </c>
      <c r="Y168">
        <v>0</v>
      </c>
      <c r="Z168">
        <v>0</v>
      </c>
      <c r="AA168">
        <v>0</v>
      </c>
      <c r="AB168">
        <v>0</v>
      </c>
      <c r="AC168">
        <v>1</v>
      </c>
      <c r="AD168">
        <v>1</v>
      </c>
      <c r="AE168">
        <v>0</v>
      </c>
      <c r="AF168">
        <v>3</v>
      </c>
      <c r="AG168">
        <v>0</v>
      </c>
      <c r="AH168">
        <v>0</v>
      </c>
      <c r="AI168">
        <v>0</v>
      </c>
      <c r="AJ168">
        <v>0</v>
      </c>
    </row>
    <row r="169" spans="1:36">
      <c r="A169" t="s">
        <v>234</v>
      </c>
      <c r="B169" s="264">
        <v>46032</v>
      </c>
      <c r="C169" t="s">
        <v>366</v>
      </c>
      <c r="D169" t="s">
        <v>568</v>
      </c>
      <c r="E169" t="s">
        <v>341</v>
      </c>
      <c r="F169" t="s">
        <v>232</v>
      </c>
      <c r="G169">
        <v>3.3300000000000003E-2</v>
      </c>
      <c r="H169">
        <v>180</v>
      </c>
      <c r="I169">
        <v>6</v>
      </c>
      <c r="J169">
        <v>0</v>
      </c>
      <c r="K169" t="s">
        <v>233</v>
      </c>
      <c r="L169" s="264">
        <v>46326</v>
      </c>
      <c r="M169">
        <v>0</v>
      </c>
      <c r="N169">
        <v>0</v>
      </c>
      <c r="O169">
        <v>6</v>
      </c>
      <c r="P169" t="s">
        <v>299</v>
      </c>
      <c r="Q169">
        <v>0</v>
      </c>
      <c r="R169">
        <v>0</v>
      </c>
      <c r="S169">
        <v>0</v>
      </c>
      <c r="T169">
        <v>0</v>
      </c>
      <c r="U169">
        <v>0</v>
      </c>
      <c r="V169">
        <v>0</v>
      </c>
      <c r="W169">
        <v>0</v>
      </c>
      <c r="X169">
        <v>0</v>
      </c>
      <c r="Y169">
        <v>0</v>
      </c>
      <c r="Z169">
        <v>0</v>
      </c>
      <c r="AA169">
        <v>0</v>
      </c>
      <c r="AB169">
        <v>0</v>
      </c>
      <c r="AC169">
        <v>0</v>
      </c>
      <c r="AD169">
        <v>6</v>
      </c>
      <c r="AE169">
        <v>0</v>
      </c>
      <c r="AF169">
        <v>0</v>
      </c>
      <c r="AG169">
        <v>0</v>
      </c>
      <c r="AH169">
        <v>0</v>
      </c>
      <c r="AI169">
        <v>0</v>
      </c>
      <c r="AJ169">
        <v>0</v>
      </c>
    </row>
    <row r="170" spans="1:36">
      <c r="A170" t="s">
        <v>234</v>
      </c>
      <c r="B170" s="264">
        <v>46032</v>
      </c>
      <c r="C170" t="s">
        <v>373</v>
      </c>
      <c r="D170" t="s">
        <v>566</v>
      </c>
      <c r="E170" t="s">
        <v>341</v>
      </c>
      <c r="F170" t="s">
        <v>232</v>
      </c>
      <c r="G170">
        <v>2.69E-2</v>
      </c>
      <c r="H170">
        <v>186</v>
      </c>
      <c r="I170">
        <v>5</v>
      </c>
      <c r="J170">
        <v>0</v>
      </c>
      <c r="K170" t="s">
        <v>233</v>
      </c>
      <c r="L170" s="264">
        <v>46331</v>
      </c>
      <c r="M170">
        <v>0</v>
      </c>
      <c r="N170">
        <v>0</v>
      </c>
      <c r="O170">
        <v>5</v>
      </c>
      <c r="P170" t="s">
        <v>446</v>
      </c>
      <c r="Q170">
        <v>0</v>
      </c>
      <c r="R170">
        <v>0</v>
      </c>
      <c r="S170">
        <v>0</v>
      </c>
      <c r="T170">
        <v>0</v>
      </c>
      <c r="U170">
        <v>0</v>
      </c>
      <c r="V170">
        <v>0</v>
      </c>
      <c r="W170">
        <v>0</v>
      </c>
      <c r="X170">
        <v>0</v>
      </c>
      <c r="Y170">
        <v>0</v>
      </c>
      <c r="Z170">
        <v>0</v>
      </c>
      <c r="AA170">
        <v>0</v>
      </c>
      <c r="AB170">
        <v>0</v>
      </c>
      <c r="AC170">
        <v>2</v>
      </c>
      <c r="AD170">
        <v>3</v>
      </c>
      <c r="AE170">
        <v>0</v>
      </c>
      <c r="AF170">
        <v>0</v>
      </c>
      <c r="AG170">
        <v>0</v>
      </c>
      <c r="AH170">
        <v>0</v>
      </c>
      <c r="AI170">
        <v>0</v>
      </c>
      <c r="AJ170">
        <v>0</v>
      </c>
    </row>
    <row r="171" spans="1:36">
      <c r="A171" t="s">
        <v>234</v>
      </c>
      <c r="B171" s="264">
        <v>46032</v>
      </c>
      <c r="C171" t="s">
        <v>376</v>
      </c>
      <c r="D171" t="s">
        <v>553</v>
      </c>
      <c r="E171" t="s">
        <v>341</v>
      </c>
      <c r="F171" t="s">
        <v>232</v>
      </c>
      <c r="G171">
        <v>1.11E-2</v>
      </c>
      <c r="H171">
        <v>180</v>
      </c>
      <c r="I171">
        <v>2</v>
      </c>
      <c r="J171">
        <v>0</v>
      </c>
      <c r="K171" t="s">
        <v>233</v>
      </c>
      <c r="L171" s="264">
        <v>46325</v>
      </c>
      <c r="M171">
        <v>0</v>
      </c>
      <c r="N171">
        <v>0</v>
      </c>
      <c r="O171">
        <v>5</v>
      </c>
      <c r="P171" t="s">
        <v>368</v>
      </c>
      <c r="Q171">
        <v>0</v>
      </c>
      <c r="R171">
        <v>0</v>
      </c>
      <c r="S171">
        <v>0</v>
      </c>
      <c r="T171">
        <v>0</v>
      </c>
      <c r="U171">
        <v>0</v>
      </c>
      <c r="V171">
        <v>0</v>
      </c>
      <c r="W171">
        <v>0</v>
      </c>
      <c r="X171">
        <v>0</v>
      </c>
      <c r="Y171">
        <v>0</v>
      </c>
      <c r="Z171">
        <v>0</v>
      </c>
      <c r="AA171">
        <v>0</v>
      </c>
      <c r="AB171">
        <v>0</v>
      </c>
      <c r="AC171">
        <v>0</v>
      </c>
      <c r="AD171">
        <v>2</v>
      </c>
      <c r="AE171">
        <v>0</v>
      </c>
      <c r="AF171">
        <v>0</v>
      </c>
      <c r="AG171">
        <v>0</v>
      </c>
      <c r="AH171">
        <v>0</v>
      </c>
      <c r="AI171">
        <v>0</v>
      </c>
      <c r="AJ171">
        <v>0</v>
      </c>
    </row>
    <row r="172" spans="1:36">
      <c r="A172" t="s">
        <v>234</v>
      </c>
      <c r="B172" s="264">
        <v>46032</v>
      </c>
      <c r="C172" t="s">
        <v>378</v>
      </c>
      <c r="D172" t="s">
        <v>567</v>
      </c>
      <c r="E172" t="s">
        <v>341</v>
      </c>
      <c r="F172" t="s">
        <v>232</v>
      </c>
      <c r="G172">
        <v>2.7799999999999998E-2</v>
      </c>
      <c r="H172">
        <v>180</v>
      </c>
      <c r="I172">
        <v>5</v>
      </c>
      <c r="J172">
        <v>0</v>
      </c>
      <c r="K172" t="s">
        <v>233</v>
      </c>
      <c r="L172" s="264">
        <v>46336</v>
      </c>
      <c r="M172">
        <v>0</v>
      </c>
      <c r="N172">
        <v>0</v>
      </c>
      <c r="O172">
        <v>5</v>
      </c>
      <c r="P172" t="s">
        <v>430</v>
      </c>
      <c r="Q172">
        <v>0</v>
      </c>
      <c r="R172">
        <v>0</v>
      </c>
      <c r="S172">
        <v>0</v>
      </c>
      <c r="T172">
        <v>0</v>
      </c>
      <c r="U172">
        <v>0</v>
      </c>
      <c r="V172">
        <v>0</v>
      </c>
      <c r="W172">
        <v>0</v>
      </c>
      <c r="X172">
        <v>0</v>
      </c>
      <c r="Y172">
        <v>0</v>
      </c>
      <c r="Z172">
        <v>0</v>
      </c>
      <c r="AA172">
        <v>0</v>
      </c>
      <c r="AB172">
        <v>0</v>
      </c>
      <c r="AC172">
        <v>0</v>
      </c>
      <c r="AD172">
        <v>5</v>
      </c>
      <c r="AE172">
        <v>0</v>
      </c>
      <c r="AF172">
        <v>0</v>
      </c>
      <c r="AG172">
        <v>0</v>
      </c>
      <c r="AH172">
        <v>0</v>
      </c>
      <c r="AI172">
        <v>0</v>
      </c>
      <c r="AJ172">
        <v>0</v>
      </c>
    </row>
    <row r="173" spans="1:36">
      <c r="A173" t="s">
        <v>234</v>
      </c>
      <c r="B173" s="264">
        <v>46032</v>
      </c>
      <c r="C173" t="s">
        <v>65</v>
      </c>
      <c r="D173" t="s">
        <v>235</v>
      </c>
      <c r="E173" t="s">
        <v>1</v>
      </c>
      <c r="F173" t="s">
        <v>232</v>
      </c>
      <c r="G173">
        <v>5.5999999999999999E-3</v>
      </c>
      <c r="H173">
        <v>180</v>
      </c>
      <c r="I173">
        <v>1</v>
      </c>
      <c r="J173">
        <v>0</v>
      </c>
      <c r="K173" t="s">
        <v>233</v>
      </c>
      <c r="L173" s="264">
        <v>46302</v>
      </c>
      <c r="M173">
        <v>0</v>
      </c>
      <c r="N173">
        <v>0</v>
      </c>
      <c r="O173">
        <v>1</v>
      </c>
      <c r="P173" t="s">
        <v>67</v>
      </c>
      <c r="Q173">
        <v>0</v>
      </c>
      <c r="R173">
        <v>0</v>
      </c>
      <c r="S173">
        <v>0</v>
      </c>
      <c r="T173">
        <v>0</v>
      </c>
      <c r="U173">
        <v>0</v>
      </c>
      <c r="V173">
        <v>0</v>
      </c>
      <c r="W173">
        <v>0</v>
      </c>
      <c r="X173">
        <v>0</v>
      </c>
      <c r="Y173">
        <v>0</v>
      </c>
      <c r="Z173">
        <v>0</v>
      </c>
      <c r="AA173">
        <v>0</v>
      </c>
      <c r="AB173">
        <v>1</v>
      </c>
      <c r="AC173">
        <v>0</v>
      </c>
      <c r="AD173">
        <v>0</v>
      </c>
      <c r="AE173">
        <v>0</v>
      </c>
      <c r="AF173">
        <v>0</v>
      </c>
      <c r="AG173">
        <v>0</v>
      </c>
      <c r="AH173">
        <v>0</v>
      </c>
      <c r="AI173">
        <v>0</v>
      </c>
      <c r="AJ173">
        <v>0</v>
      </c>
    </row>
    <row r="174" spans="1:36">
      <c r="A174" t="s">
        <v>234</v>
      </c>
      <c r="B174" s="264">
        <v>46032</v>
      </c>
      <c r="C174" t="s">
        <v>818</v>
      </c>
      <c r="D174" t="s">
        <v>974</v>
      </c>
      <c r="E174" t="s">
        <v>808</v>
      </c>
      <c r="F174" t="s">
        <v>232</v>
      </c>
      <c r="G174">
        <v>4.4699999999999997E-2</v>
      </c>
      <c r="H174">
        <v>179</v>
      </c>
      <c r="I174">
        <v>8</v>
      </c>
      <c r="J174">
        <v>0</v>
      </c>
      <c r="K174" t="s">
        <v>233</v>
      </c>
      <c r="L174" s="264">
        <v>46345</v>
      </c>
      <c r="M174">
        <v>0</v>
      </c>
      <c r="N174">
        <v>0</v>
      </c>
      <c r="O174">
        <v>8</v>
      </c>
      <c r="P174" t="s">
        <v>905</v>
      </c>
      <c r="Q174">
        <v>0</v>
      </c>
      <c r="R174">
        <v>0</v>
      </c>
      <c r="S174">
        <v>0</v>
      </c>
      <c r="T174">
        <v>0</v>
      </c>
      <c r="U174">
        <v>0</v>
      </c>
      <c r="V174">
        <v>0</v>
      </c>
      <c r="W174">
        <v>0</v>
      </c>
      <c r="X174">
        <v>0</v>
      </c>
      <c r="Y174">
        <v>0</v>
      </c>
      <c r="Z174">
        <v>0</v>
      </c>
      <c r="AA174">
        <v>0</v>
      </c>
      <c r="AB174">
        <v>0</v>
      </c>
      <c r="AC174">
        <v>2</v>
      </c>
      <c r="AD174">
        <v>0</v>
      </c>
      <c r="AE174">
        <v>1</v>
      </c>
      <c r="AF174">
        <v>5</v>
      </c>
      <c r="AG174">
        <v>0</v>
      </c>
      <c r="AH174">
        <v>0</v>
      </c>
      <c r="AI174">
        <v>0</v>
      </c>
      <c r="AJ174">
        <v>0</v>
      </c>
    </row>
    <row r="175" spans="1:36">
      <c r="A175" t="s">
        <v>234</v>
      </c>
      <c r="B175" s="264">
        <v>46032</v>
      </c>
      <c r="C175" t="s">
        <v>1148</v>
      </c>
      <c r="D175" t="s">
        <v>597</v>
      </c>
      <c r="E175" t="s">
        <v>1144</v>
      </c>
      <c r="F175" t="s">
        <v>232</v>
      </c>
      <c r="G175">
        <v>2.7900000000000001E-2</v>
      </c>
      <c r="H175">
        <v>179</v>
      </c>
      <c r="I175">
        <v>5</v>
      </c>
      <c r="J175">
        <v>0</v>
      </c>
      <c r="K175" t="s">
        <v>233</v>
      </c>
      <c r="L175" s="264">
        <v>46342</v>
      </c>
      <c r="M175">
        <v>0</v>
      </c>
      <c r="N175">
        <v>0</v>
      </c>
      <c r="O175">
        <v>5</v>
      </c>
      <c r="P175" t="s">
        <v>571</v>
      </c>
      <c r="Q175">
        <v>0</v>
      </c>
      <c r="R175">
        <v>0</v>
      </c>
      <c r="S175">
        <v>0</v>
      </c>
      <c r="T175">
        <v>0</v>
      </c>
      <c r="U175">
        <v>0</v>
      </c>
      <c r="V175">
        <v>0</v>
      </c>
      <c r="W175">
        <v>0</v>
      </c>
      <c r="X175">
        <v>0</v>
      </c>
      <c r="Y175">
        <v>0</v>
      </c>
      <c r="Z175">
        <v>0</v>
      </c>
      <c r="AA175">
        <v>0</v>
      </c>
      <c r="AB175">
        <v>0</v>
      </c>
      <c r="AC175">
        <v>0</v>
      </c>
      <c r="AD175">
        <v>0</v>
      </c>
      <c r="AE175">
        <v>0</v>
      </c>
      <c r="AF175">
        <v>5</v>
      </c>
      <c r="AG175">
        <v>0</v>
      </c>
      <c r="AH175">
        <v>0</v>
      </c>
      <c r="AI175">
        <v>0</v>
      </c>
      <c r="AJ175">
        <v>0</v>
      </c>
    </row>
    <row r="176" spans="1:36">
      <c r="A176" t="s">
        <v>234</v>
      </c>
      <c r="B176" s="264">
        <v>46032</v>
      </c>
      <c r="C176" t="s">
        <v>1215</v>
      </c>
      <c r="D176" t="s">
        <v>336</v>
      </c>
      <c r="E176" t="s">
        <v>1213</v>
      </c>
      <c r="F176" t="s">
        <v>232</v>
      </c>
      <c r="G176">
        <v>3.9100000000000003E-2</v>
      </c>
      <c r="H176">
        <v>179</v>
      </c>
      <c r="I176">
        <v>7</v>
      </c>
      <c r="J176">
        <v>0</v>
      </c>
      <c r="K176" t="s">
        <v>233</v>
      </c>
      <c r="L176" s="264">
        <v>46335</v>
      </c>
      <c r="M176">
        <v>0</v>
      </c>
      <c r="N176">
        <v>0</v>
      </c>
      <c r="O176">
        <v>7</v>
      </c>
      <c r="P176" t="s">
        <v>292</v>
      </c>
      <c r="Q176">
        <v>0</v>
      </c>
      <c r="R176">
        <v>0</v>
      </c>
      <c r="S176">
        <v>0</v>
      </c>
      <c r="T176">
        <v>0</v>
      </c>
      <c r="U176">
        <v>0</v>
      </c>
      <c r="V176">
        <v>0</v>
      </c>
      <c r="W176">
        <v>0</v>
      </c>
      <c r="X176">
        <v>0</v>
      </c>
      <c r="Y176">
        <v>0</v>
      </c>
      <c r="Z176">
        <v>1</v>
      </c>
      <c r="AA176">
        <v>0</v>
      </c>
      <c r="AB176">
        <v>4</v>
      </c>
      <c r="AC176">
        <v>2</v>
      </c>
      <c r="AD176">
        <v>0</v>
      </c>
      <c r="AE176">
        <v>0</v>
      </c>
      <c r="AF176">
        <v>0</v>
      </c>
      <c r="AG176">
        <v>0</v>
      </c>
      <c r="AH176">
        <v>0</v>
      </c>
      <c r="AI176">
        <v>0</v>
      </c>
      <c r="AJ176">
        <v>0</v>
      </c>
    </row>
    <row r="177" spans="1:36">
      <c r="A177" t="s">
        <v>234</v>
      </c>
      <c r="B177" s="264">
        <v>46032</v>
      </c>
      <c r="C177" t="s">
        <v>613</v>
      </c>
      <c r="D177" t="s">
        <v>690</v>
      </c>
      <c r="E177" t="s">
        <v>601</v>
      </c>
      <c r="F177" t="s">
        <v>232</v>
      </c>
      <c r="G177">
        <v>4.4400000000000002E-2</v>
      </c>
      <c r="H177">
        <v>180</v>
      </c>
      <c r="I177">
        <v>8</v>
      </c>
      <c r="J177">
        <v>0</v>
      </c>
      <c r="K177" t="s">
        <v>233</v>
      </c>
      <c r="L177" s="264">
        <v>46339</v>
      </c>
      <c r="M177">
        <v>0</v>
      </c>
      <c r="N177">
        <v>0</v>
      </c>
      <c r="O177">
        <v>8</v>
      </c>
      <c r="P177" t="s">
        <v>298</v>
      </c>
      <c r="Q177">
        <v>0</v>
      </c>
      <c r="R177">
        <v>0</v>
      </c>
      <c r="S177">
        <v>0</v>
      </c>
      <c r="T177">
        <v>0</v>
      </c>
      <c r="U177">
        <v>0</v>
      </c>
      <c r="V177">
        <v>0</v>
      </c>
      <c r="W177">
        <v>0</v>
      </c>
      <c r="X177">
        <v>0</v>
      </c>
      <c r="Y177">
        <v>0</v>
      </c>
      <c r="Z177">
        <v>0</v>
      </c>
      <c r="AA177">
        <v>0</v>
      </c>
      <c r="AB177">
        <v>0</v>
      </c>
      <c r="AC177">
        <v>8</v>
      </c>
      <c r="AD177">
        <v>0</v>
      </c>
      <c r="AE177">
        <v>0</v>
      </c>
      <c r="AF177">
        <v>0</v>
      </c>
      <c r="AG177">
        <v>0</v>
      </c>
      <c r="AH177">
        <v>0</v>
      </c>
      <c r="AI177">
        <v>0</v>
      </c>
      <c r="AJ177">
        <v>0</v>
      </c>
    </row>
    <row r="178" spans="1:36">
      <c r="A178" t="s">
        <v>234</v>
      </c>
      <c r="B178" s="264">
        <v>46032</v>
      </c>
      <c r="C178" t="s">
        <v>630</v>
      </c>
      <c r="D178" t="s">
        <v>689</v>
      </c>
      <c r="E178" t="s">
        <v>601</v>
      </c>
      <c r="F178" t="s">
        <v>232</v>
      </c>
      <c r="G178">
        <v>1.67E-2</v>
      </c>
      <c r="H178">
        <v>180</v>
      </c>
      <c r="I178">
        <v>3</v>
      </c>
      <c r="J178">
        <v>0</v>
      </c>
      <c r="K178" t="s">
        <v>233</v>
      </c>
      <c r="L178" s="264">
        <v>46331</v>
      </c>
      <c r="M178">
        <v>0</v>
      </c>
      <c r="N178">
        <v>0</v>
      </c>
      <c r="O178">
        <v>4</v>
      </c>
      <c r="P178" t="s">
        <v>299</v>
      </c>
      <c r="Q178">
        <v>0</v>
      </c>
      <c r="R178">
        <v>0</v>
      </c>
      <c r="S178">
        <v>0</v>
      </c>
      <c r="T178">
        <v>0</v>
      </c>
      <c r="U178">
        <v>0</v>
      </c>
      <c r="V178">
        <v>0</v>
      </c>
      <c r="W178">
        <v>0</v>
      </c>
      <c r="X178">
        <v>0</v>
      </c>
      <c r="Y178">
        <v>0</v>
      </c>
      <c r="Z178">
        <v>0</v>
      </c>
      <c r="AA178">
        <v>0</v>
      </c>
      <c r="AB178">
        <v>0</v>
      </c>
      <c r="AC178">
        <v>3</v>
      </c>
      <c r="AD178">
        <v>0</v>
      </c>
      <c r="AE178">
        <v>0</v>
      </c>
      <c r="AF178">
        <v>0</v>
      </c>
      <c r="AG178">
        <v>0</v>
      </c>
      <c r="AH178">
        <v>0</v>
      </c>
      <c r="AI178">
        <v>0</v>
      </c>
      <c r="AJ178">
        <v>0</v>
      </c>
    </row>
    <row r="179" spans="1:36">
      <c r="A179" t="s">
        <v>236</v>
      </c>
      <c r="B179" s="264">
        <v>46033</v>
      </c>
      <c r="C179" t="s">
        <v>712</v>
      </c>
      <c r="D179" t="s">
        <v>748</v>
      </c>
      <c r="E179" t="s">
        <v>706</v>
      </c>
      <c r="F179" t="s">
        <v>232</v>
      </c>
      <c r="G179">
        <v>5.5999999999999999E-3</v>
      </c>
      <c r="H179">
        <v>180</v>
      </c>
      <c r="I179">
        <v>1</v>
      </c>
      <c r="J179">
        <v>0</v>
      </c>
      <c r="K179" t="s">
        <v>233</v>
      </c>
      <c r="L179" s="264">
        <v>46335</v>
      </c>
      <c r="M179">
        <v>0</v>
      </c>
      <c r="N179">
        <v>0</v>
      </c>
      <c r="O179">
        <v>1</v>
      </c>
      <c r="P179" t="s">
        <v>304</v>
      </c>
      <c r="Q179">
        <v>0</v>
      </c>
      <c r="R179">
        <v>0</v>
      </c>
      <c r="S179">
        <v>0</v>
      </c>
      <c r="T179">
        <v>0</v>
      </c>
      <c r="U179">
        <v>0</v>
      </c>
      <c r="V179">
        <v>0</v>
      </c>
      <c r="W179">
        <v>0</v>
      </c>
      <c r="X179">
        <v>0</v>
      </c>
      <c r="Y179">
        <v>0</v>
      </c>
      <c r="Z179">
        <v>0</v>
      </c>
      <c r="AA179">
        <v>0</v>
      </c>
      <c r="AB179">
        <v>0</v>
      </c>
      <c r="AC179">
        <v>1</v>
      </c>
      <c r="AD179">
        <v>0</v>
      </c>
      <c r="AE179">
        <v>0</v>
      </c>
      <c r="AF179">
        <v>0</v>
      </c>
      <c r="AG179">
        <v>0</v>
      </c>
      <c r="AH179">
        <v>0</v>
      </c>
      <c r="AI179">
        <v>0</v>
      </c>
      <c r="AJ179">
        <v>0</v>
      </c>
    </row>
    <row r="180" spans="1:36">
      <c r="A180" t="s">
        <v>236</v>
      </c>
      <c r="B180" s="264">
        <v>46033</v>
      </c>
      <c r="C180" t="s">
        <v>716</v>
      </c>
      <c r="D180" t="s">
        <v>747</v>
      </c>
      <c r="E180" t="s">
        <v>706</v>
      </c>
      <c r="F180" t="s">
        <v>232</v>
      </c>
      <c r="G180">
        <v>0</v>
      </c>
      <c r="H180">
        <v>180</v>
      </c>
      <c r="I180">
        <v>0</v>
      </c>
      <c r="J180">
        <v>0</v>
      </c>
      <c r="K180" t="s">
        <v>233</v>
      </c>
      <c r="L180" t="s">
        <v>66</v>
      </c>
      <c r="M180">
        <v>0</v>
      </c>
      <c r="N180">
        <v>0</v>
      </c>
      <c r="O180">
        <v>0</v>
      </c>
      <c r="P180" t="s">
        <v>307</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row>
    <row r="181" spans="1:36">
      <c r="A181" t="s">
        <v>236</v>
      </c>
      <c r="B181" s="264">
        <v>46033</v>
      </c>
      <c r="C181" t="s">
        <v>998</v>
      </c>
      <c r="D181" t="s">
        <v>978</v>
      </c>
      <c r="E181" t="s">
        <v>985</v>
      </c>
      <c r="F181" t="s">
        <v>232</v>
      </c>
      <c r="G181">
        <v>8.9399999999999993E-2</v>
      </c>
      <c r="H181">
        <v>179</v>
      </c>
      <c r="I181">
        <v>16</v>
      </c>
      <c r="J181">
        <v>0</v>
      </c>
      <c r="K181" t="s">
        <v>233</v>
      </c>
      <c r="L181" s="264">
        <v>46342</v>
      </c>
      <c r="M181">
        <v>0</v>
      </c>
      <c r="N181">
        <v>0</v>
      </c>
      <c r="O181">
        <v>16</v>
      </c>
      <c r="P181" t="s">
        <v>552</v>
      </c>
      <c r="Q181">
        <v>0</v>
      </c>
      <c r="R181">
        <v>0</v>
      </c>
      <c r="S181">
        <v>0</v>
      </c>
      <c r="T181">
        <v>0</v>
      </c>
      <c r="U181">
        <v>0</v>
      </c>
      <c r="V181">
        <v>0</v>
      </c>
      <c r="W181">
        <v>0</v>
      </c>
      <c r="X181">
        <v>0</v>
      </c>
      <c r="Y181">
        <v>0</v>
      </c>
      <c r="Z181">
        <v>0</v>
      </c>
      <c r="AA181">
        <v>4</v>
      </c>
      <c r="AB181">
        <v>0</v>
      </c>
      <c r="AC181">
        <v>5</v>
      </c>
      <c r="AD181">
        <v>2</v>
      </c>
      <c r="AE181">
        <v>4</v>
      </c>
      <c r="AF181">
        <v>1</v>
      </c>
      <c r="AG181">
        <v>0</v>
      </c>
      <c r="AH181">
        <v>0</v>
      </c>
      <c r="AI181">
        <v>0</v>
      </c>
      <c r="AJ181">
        <v>0</v>
      </c>
    </row>
    <row r="182" spans="1:36">
      <c r="A182" t="s">
        <v>236</v>
      </c>
      <c r="B182" s="264">
        <v>46033</v>
      </c>
      <c r="C182" t="s">
        <v>1289</v>
      </c>
      <c r="D182" t="s">
        <v>703</v>
      </c>
      <c r="E182" t="s">
        <v>1286</v>
      </c>
      <c r="F182" t="s">
        <v>232</v>
      </c>
      <c r="G182">
        <v>3.3500000000000002E-2</v>
      </c>
      <c r="H182">
        <v>179</v>
      </c>
      <c r="I182">
        <v>6</v>
      </c>
      <c r="J182">
        <v>0</v>
      </c>
      <c r="K182" t="s">
        <v>233</v>
      </c>
      <c r="L182" s="264">
        <v>46338</v>
      </c>
      <c r="M182">
        <v>0</v>
      </c>
      <c r="N182">
        <v>0</v>
      </c>
      <c r="O182">
        <v>6</v>
      </c>
      <c r="P182" t="s">
        <v>244</v>
      </c>
      <c r="Q182">
        <v>0</v>
      </c>
      <c r="R182">
        <v>0</v>
      </c>
      <c r="S182">
        <v>0</v>
      </c>
      <c r="T182">
        <v>0</v>
      </c>
      <c r="U182">
        <v>0</v>
      </c>
      <c r="V182">
        <v>0</v>
      </c>
      <c r="W182">
        <v>0</v>
      </c>
      <c r="X182">
        <v>0</v>
      </c>
      <c r="Y182">
        <v>0</v>
      </c>
      <c r="Z182">
        <v>0</v>
      </c>
      <c r="AA182">
        <v>0</v>
      </c>
      <c r="AB182">
        <v>0</v>
      </c>
      <c r="AC182">
        <v>1</v>
      </c>
      <c r="AD182">
        <v>0</v>
      </c>
      <c r="AE182">
        <v>3</v>
      </c>
      <c r="AF182">
        <v>2</v>
      </c>
      <c r="AG182">
        <v>0</v>
      </c>
      <c r="AH182">
        <v>0</v>
      </c>
      <c r="AI182">
        <v>0</v>
      </c>
      <c r="AJ182">
        <v>0</v>
      </c>
    </row>
    <row r="183" spans="1:36">
      <c r="A183" t="s">
        <v>236</v>
      </c>
      <c r="B183" s="264">
        <v>46033</v>
      </c>
      <c r="C183" t="s">
        <v>370</v>
      </c>
      <c r="D183" t="s">
        <v>553</v>
      </c>
      <c r="E183" t="s">
        <v>341</v>
      </c>
      <c r="F183" t="s">
        <v>232</v>
      </c>
      <c r="G183">
        <v>0</v>
      </c>
      <c r="H183">
        <v>180</v>
      </c>
      <c r="I183">
        <v>0</v>
      </c>
      <c r="J183">
        <v>0</v>
      </c>
      <c r="K183" t="s">
        <v>233</v>
      </c>
      <c r="L183" t="s">
        <v>66</v>
      </c>
      <c r="M183">
        <v>0</v>
      </c>
      <c r="N183">
        <v>0</v>
      </c>
      <c r="O183">
        <v>0</v>
      </c>
      <c r="P183" t="s">
        <v>292</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row>
    <row r="184" spans="1:36">
      <c r="A184" t="s">
        <v>236</v>
      </c>
      <c r="B184" s="264">
        <v>46033</v>
      </c>
      <c r="C184" t="s">
        <v>433</v>
      </c>
      <c r="D184" t="s">
        <v>572</v>
      </c>
      <c r="E184" t="s">
        <v>341</v>
      </c>
      <c r="F184" t="s">
        <v>232</v>
      </c>
      <c r="G184">
        <v>5.5999999999999999E-3</v>
      </c>
      <c r="H184">
        <v>180</v>
      </c>
      <c r="I184">
        <v>1</v>
      </c>
      <c r="J184">
        <v>0</v>
      </c>
      <c r="K184" t="s">
        <v>233</v>
      </c>
      <c r="L184" s="264">
        <v>46301</v>
      </c>
      <c r="M184">
        <v>0</v>
      </c>
      <c r="N184">
        <v>0</v>
      </c>
      <c r="O184">
        <v>1</v>
      </c>
      <c r="P184" t="s">
        <v>431</v>
      </c>
      <c r="Q184">
        <v>0</v>
      </c>
      <c r="R184">
        <v>0</v>
      </c>
      <c r="S184">
        <v>0</v>
      </c>
      <c r="T184">
        <v>0</v>
      </c>
      <c r="U184">
        <v>0</v>
      </c>
      <c r="V184">
        <v>0</v>
      </c>
      <c r="W184">
        <v>0</v>
      </c>
      <c r="X184">
        <v>0</v>
      </c>
      <c r="Y184">
        <v>0</v>
      </c>
      <c r="Z184">
        <v>0</v>
      </c>
      <c r="AA184">
        <v>0</v>
      </c>
      <c r="AB184">
        <v>0</v>
      </c>
      <c r="AC184">
        <v>0</v>
      </c>
      <c r="AD184">
        <v>1</v>
      </c>
      <c r="AE184">
        <v>0</v>
      </c>
      <c r="AF184">
        <v>0</v>
      </c>
      <c r="AG184">
        <v>0</v>
      </c>
      <c r="AH184">
        <v>0</v>
      </c>
      <c r="AI184">
        <v>0</v>
      </c>
      <c r="AJ184">
        <v>0</v>
      </c>
    </row>
    <row r="185" spans="1:36">
      <c r="A185" t="s">
        <v>236</v>
      </c>
      <c r="B185" s="264">
        <v>46033</v>
      </c>
      <c r="C185" t="s">
        <v>376</v>
      </c>
      <c r="D185" t="s">
        <v>561</v>
      </c>
      <c r="E185" t="s">
        <v>341</v>
      </c>
      <c r="F185" t="s">
        <v>232</v>
      </c>
      <c r="G185">
        <v>0.26669999999999999</v>
      </c>
      <c r="H185">
        <v>180</v>
      </c>
      <c r="I185">
        <v>48</v>
      </c>
      <c r="J185">
        <v>45</v>
      </c>
      <c r="K185" t="s">
        <v>233</v>
      </c>
      <c r="L185" s="264">
        <v>46344</v>
      </c>
      <c r="M185">
        <v>0</v>
      </c>
      <c r="N185">
        <v>0</v>
      </c>
      <c r="O185">
        <v>4</v>
      </c>
      <c r="P185" t="s">
        <v>446</v>
      </c>
      <c r="Q185">
        <v>0</v>
      </c>
      <c r="R185">
        <v>0</v>
      </c>
      <c r="S185">
        <v>0</v>
      </c>
      <c r="T185">
        <v>0</v>
      </c>
      <c r="U185">
        <v>0</v>
      </c>
      <c r="V185">
        <v>0</v>
      </c>
      <c r="W185">
        <v>0</v>
      </c>
      <c r="X185">
        <v>0</v>
      </c>
      <c r="Y185">
        <v>0</v>
      </c>
      <c r="Z185">
        <v>0</v>
      </c>
      <c r="AA185">
        <v>0</v>
      </c>
      <c r="AB185">
        <v>0</v>
      </c>
      <c r="AC185">
        <v>0</v>
      </c>
      <c r="AD185">
        <v>3</v>
      </c>
      <c r="AE185">
        <v>0</v>
      </c>
      <c r="AF185">
        <v>0</v>
      </c>
      <c r="AG185">
        <v>0</v>
      </c>
      <c r="AH185">
        <v>0</v>
      </c>
      <c r="AI185">
        <v>45</v>
      </c>
      <c r="AJ185">
        <v>0</v>
      </c>
    </row>
    <row r="186" spans="1:36">
      <c r="A186" t="s">
        <v>236</v>
      </c>
      <c r="B186" s="264">
        <v>46033</v>
      </c>
      <c r="C186" t="s">
        <v>378</v>
      </c>
      <c r="D186" t="s">
        <v>573</v>
      </c>
      <c r="E186" t="s">
        <v>341</v>
      </c>
      <c r="F186" t="s">
        <v>232</v>
      </c>
      <c r="G186">
        <v>5.5999999999999999E-3</v>
      </c>
      <c r="H186">
        <v>180</v>
      </c>
      <c r="I186">
        <v>1</v>
      </c>
      <c r="J186">
        <v>0</v>
      </c>
      <c r="K186" t="s">
        <v>233</v>
      </c>
      <c r="L186" s="264">
        <v>46326</v>
      </c>
      <c r="M186">
        <v>0</v>
      </c>
      <c r="N186">
        <v>0</v>
      </c>
      <c r="O186">
        <v>1</v>
      </c>
      <c r="P186" t="s">
        <v>431</v>
      </c>
      <c r="Q186">
        <v>0</v>
      </c>
      <c r="R186">
        <v>0</v>
      </c>
      <c r="S186">
        <v>0</v>
      </c>
      <c r="T186">
        <v>0</v>
      </c>
      <c r="U186">
        <v>0</v>
      </c>
      <c r="V186">
        <v>0</v>
      </c>
      <c r="W186">
        <v>0</v>
      </c>
      <c r="X186">
        <v>0</v>
      </c>
      <c r="Y186">
        <v>0</v>
      </c>
      <c r="Z186">
        <v>0</v>
      </c>
      <c r="AA186">
        <v>0</v>
      </c>
      <c r="AB186">
        <v>0</v>
      </c>
      <c r="AC186">
        <v>0</v>
      </c>
      <c r="AD186">
        <v>1</v>
      </c>
      <c r="AE186">
        <v>0</v>
      </c>
      <c r="AF186">
        <v>0</v>
      </c>
      <c r="AG186">
        <v>0</v>
      </c>
      <c r="AH186">
        <v>0</v>
      </c>
      <c r="AI186">
        <v>0</v>
      </c>
      <c r="AJ186">
        <v>0</v>
      </c>
    </row>
    <row r="187" spans="1:36">
      <c r="A187" t="s">
        <v>236</v>
      </c>
      <c r="B187" s="264">
        <v>46033</v>
      </c>
      <c r="C187" t="s">
        <v>380</v>
      </c>
      <c r="D187" t="s">
        <v>574</v>
      </c>
      <c r="E187" t="s">
        <v>341</v>
      </c>
      <c r="F187" t="s">
        <v>232</v>
      </c>
      <c r="G187">
        <v>1.67E-2</v>
      </c>
      <c r="H187">
        <v>180</v>
      </c>
      <c r="I187">
        <v>3</v>
      </c>
      <c r="J187">
        <v>0</v>
      </c>
      <c r="K187" t="s">
        <v>233</v>
      </c>
      <c r="L187" s="264">
        <v>46342</v>
      </c>
      <c r="M187">
        <v>0</v>
      </c>
      <c r="N187">
        <v>0</v>
      </c>
      <c r="O187">
        <v>3</v>
      </c>
      <c r="P187" t="s">
        <v>446</v>
      </c>
      <c r="Q187">
        <v>0</v>
      </c>
      <c r="R187">
        <v>0</v>
      </c>
      <c r="S187">
        <v>0</v>
      </c>
      <c r="T187">
        <v>0</v>
      </c>
      <c r="U187">
        <v>0</v>
      </c>
      <c r="V187">
        <v>0</v>
      </c>
      <c r="W187">
        <v>0</v>
      </c>
      <c r="X187">
        <v>0</v>
      </c>
      <c r="Y187">
        <v>0</v>
      </c>
      <c r="Z187">
        <v>0</v>
      </c>
      <c r="AA187">
        <v>0</v>
      </c>
      <c r="AB187">
        <v>0</v>
      </c>
      <c r="AC187">
        <v>0</v>
      </c>
      <c r="AD187">
        <v>3</v>
      </c>
      <c r="AE187">
        <v>0</v>
      </c>
      <c r="AF187">
        <v>0</v>
      </c>
      <c r="AG187">
        <v>0</v>
      </c>
      <c r="AH187">
        <v>0</v>
      </c>
      <c r="AI187">
        <v>0</v>
      </c>
      <c r="AJ187">
        <v>0</v>
      </c>
    </row>
    <row r="188" spans="1:36">
      <c r="A188" t="s">
        <v>236</v>
      </c>
      <c r="B188" s="264">
        <v>46033</v>
      </c>
      <c r="C188" t="s">
        <v>65</v>
      </c>
      <c r="D188" t="s">
        <v>237</v>
      </c>
      <c r="E188" t="s">
        <v>1</v>
      </c>
      <c r="F188" t="s">
        <v>232</v>
      </c>
      <c r="G188">
        <v>0.27779999999999999</v>
      </c>
      <c r="H188">
        <v>180</v>
      </c>
      <c r="I188">
        <v>50</v>
      </c>
      <c r="J188">
        <v>50</v>
      </c>
      <c r="K188" t="s">
        <v>233</v>
      </c>
      <c r="L188" s="264">
        <v>46339</v>
      </c>
      <c r="M188">
        <v>0</v>
      </c>
      <c r="N188">
        <v>0</v>
      </c>
      <c r="O188">
        <v>1</v>
      </c>
      <c r="P188" t="s">
        <v>67</v>
      </c>
      <c r="Q188">
        <v>0</v>
      </c>
      <c r="R188">
        <v>0</v>
      </c>
      <c r="S188">
        <v>0</v>
      </c>
      <c r="T188">
        <v>0</v>
      </c>
      <c r="U188">
        <v>0</v>
      </c>
      <c r="V188">
        <v>0</v>
      </c>
      <c r="W188">
        <v>0</v>
      </c>
      <c r="X188">
        <v>0</v>
      </c>
      <c r="Y188">
        <v>0</v>
      </c>
      <c r="Z188">
        <v>0</v>
      </c>
      <c r="AA188">
        <v>0</v>
      </c>
      <c r="AB188">
        <v>0</v>
      </c>
      <c r="AC188">
        <v>0</v>
      </c>
      <c r="AD188">
        <v>0</v>
      </c>
      <c r="AE188">
        <v>0</v>
      </c>
      <c r="AF188">
        <v>0</v>
      </c>
      <c r="AG188">
        <v>50</v>
      </c>
      <c r="AH188">
        <v>0</v>
      </c>
      <c r="AI188">
        <v>0</v>
      </c>
      <c r="AJ188">
        <v>0</v>
      </c>
    </row>
    <row r="189" spans="1:36">
      <c r="A189" t="s">
        <v>236</v>
      </c>
      <c r="B189" s="264">
        <v>46033</v>
      </c>
      <c r="C189" t="s">
        <v>818</v>
      </c>
      <c r="D189" t="s">
        <v>978</v>
      </c>
      <c r="E189" t="s">
        <v>808</v>
      </c>
      <c r="F189" t="s">
        <v>232</v>
      </c>
      <c r="G189">
        <v>1.6799999999999999E-2</v>
      </c>
      <c r="H189">
        <v>179</v>
      </c>
      <c r="I189">
        <v>3</v>
      </c>
      <c r="J189">
        <v>0</v>
      </c>
      <c r="K189" t="s">
        <v>233</v>
      </c>
      <c r="L189" s="264">
        <v>46311</v>
      </c>
      <c r="M189">
        <v>0</v>
      </c>
      <c r="N189">
        <v>0</v>
      </c>
      <c r="O189">
        <v>3</v>
      </c>
      <c r="P189" t="s">
        <v>326</v>
      </c>
      <c r="Q189">
        <v>0</v>
      </c>
      <c r="R189">
        <v>0</v>
      </c>
      <c r="S189">
        <v>0</v>
      </c>
      <c r="T189">
        <v>0</v>
      </c>
      <c r="U189">
        <v>0</v>
      </c>
      <c r="V189">
        <v>0</v>
      </c>
      <c r="W189">
        <v>0</v>
      </c>
      <c r="X189">
        <v>0</v>
      </c>
      <c r="Y189">
        <v>0</v>
      </c>
      <c r="Z189">
        <v>0</v>
      </c>
      <c r="AA189">
        <v>0</v>
      </c>
      <c r="AB189">
        <v>0</v>
      </c>
      <c r="AC189">
        <v>2</v>
      </c>
      <c r="AD189">
        <v>0</v>
      </c>
      <c r="AE189">
        <v>0</v>
      </c>
      <c r="AF189">
        <v>1</v>
      </c>
      <c r="AG189">
        <v>0</v>
      </c>
      <c r="AH189">
        <v>0</v>
      </c>
      <c r="AI189">
        <v>0</v>
      </c>
      <c r="AJ189">
        <v>0</v>
      </c>
    </row>
    <row r="190" spans="1:36">
      <c r="A190" t="s">
        <v>236</v>
      </c>
      <c r="B190" s="264">
        <v>46033</v>
      </c>
      <c r="C190" t="s">
        <v>1215</v>
      </c>
      <c r="D190" t="s">
        <v>1236</v>
      </c>
      <c r="E190" t="s">
        <v>1213</v>
      </c>
      <c r="F190" t="s">
        <v>232</v>
      </c>
      <c r="G190">
        <v>3.3500000000000002E-2</v>
      </c>
      <c r="H190">
        <v>179</v>
      </c>
      <c r="I190">
        <v>6</v>
      </c>
      <c r="J190">
        <v>0</v>
      </c>
      <c r="K190" t="s">
        <v>233</v>
      </c>
      <c r="L190" s="264">
        <v>46343</v>
      </c>
      <c r="M190">
        <v>0</v>
      </c>
      <c r="N190">
        <v>0</v>
      </c>
      <c r="O190">
        <v>6</v>
      </c>
      <c r="P190" t="s">
        <v>549</v>
      </c>
      <c r="Q190">
        <v>0</v>
      </c>
      <c r="R190">
        <v>0</v>
      </c>
      <c r="S190">
        <v>0</v>
      </c>
      <c r="T190">
        <v>0</v>
      </c>
      <c r="U190">
        <v>0</v>
      </c>
      <c r="V190">
        <v>0</v>
      </c>
      <c r="W190">
        <v>0</v>
      </c>
      <c r="X190">
        <v>0</v>
      </c>
      <c r="Y190">
        <v>0</v>
      </c>
      <c r="Z190">
        <v>0</v>
      </c>
      <c r="AA190">
        <v>0</v>
      </c>
      <c r="AB190">
        <v>3</v>
      </c>
      <c r="AC190">
        <v>2</v>
      </c>
      <c r="AD190">
        <v>1</v>
      </c>
      <c r="AE190">
        <v>0</v>
      </c>
      <c r="AF190">
        <v>0</v>
      </c>
      <c r="AG190">
        <v>0</v>
      </c>
      <c r="AH190">
        <v>0</v>
      </c>
      <c r="AI190">
        <v>0</v>
      </c>
      <c r="AJ190">
        <v>0</v>
      </c>
    </row>
    <row r="191" spans="1:36">
      <c r="A191" t="s">
        <v>236</v>
      </c>
      <c r="B191" s="264">
        <v>46033</v>
      </c>
      <c r="C191" t="s">
        <v>613</v>
      </c>
      <c r="D191" t="s">
        <v>692</v>
      </c>
      <c r="E191" t="s">
        <v>601</v>
      </c>
      <c r="F191" t="s">
        <v>232</v>
      </c>
      <c r="G191">
        <v>5.5999999999999999E-3</v>
      </c>
      <c r="H191">
        <v>180</v>
      </c>
      <c r="I191">
        <v>1</v>
      </c>
      <c r="J191">
        <v>0</v>
      </c>
      <c r="K191" t="s">
        <v>233</v>
      </c>
      <c r="L191" s="264">
        <v>46331</v>
      </c>
      <c r="M191">
        <v>0</v>
      </c>
      <c r="N191">
        <v>0</v>
      </c>
      <c r="O191">
        <v>3</v>
      </c>
      <c r="P191" t="s">
        <v>292</v>
      </c>
      <c r="Q191">
        <v>0</v>
      </c>
      <c r="R191">
        <v>0</v>
      </c>
      <c r="S191">
        <v>0</v>
      </c>
      <c r="T191">
        <v>0</v>
      </c>
      <c r="U191">
        <v>0</v>
      </c>
      <c r="V191">
        <v>0</v>
      </c>
      <c r="W191">
        <v>0</v>
      </c>
      <c r="X191">
        <v>0</v>
      </c>
      <c r="Y191">
        <v>0</v>
      </c>
      <c r="Z191">
        <v>0</v>
      </c>
      <c r="AA191">
        <v>0</v>
      </c>
      <c r="AB191">
        <v>0</v>
      </c>
      <c r="AC191">
        <v>1</v>
      </c>
      <c r="AD191">
        <v>0</v>
      </c>
      <c r="AE191">
        <v>0</v>
      </c>
      <c r="AF191">
        <v>0</v>
      </c>
      <c r="AG191">
        <v>0</v>
      </c>
      <c r="AH191">
        <v>0</v>
      </c>
      <c r="AI191">
        <v>0</v>
      </c>
      <c r="AJ191">
        <v>0</v>
      </c>
    </row>
    <row r="192" spans="1:36">
      <c r="A192" t="s">
        <v>236</v>
      </c>
      <c r="B192" s="264">
        <v>46033</v>
      </c>
      <c r="C192" t="s">
        <v>630</v>
      </c>
      <c r="D192" t="s">
        <v>693</v>
      </c>
      <c r="E192" t="s">
        <v>601</v>
      </c>
      <c r="F192" t="s">
        <v>232</v>
      </c>
      <c r="G192">
        <v>0</v>
      </c>
      <c r="H192">
        <v>180</v>
      </c>
      <c r="I192">
        <v>0</v>
      </c>
      <c r="J192">
        <v>0</v>
      </c>
      <c r="K192" t="s">
        <v>233</v>
      </c>
      <c r="L192" t="s">
        <v>66</v>
      </c>
      <c r="M192">
        <v>0</v>
      </c>
      <c r="N192">
        <v>0</v>
      </c>
      <c r="O192">
        <v>0</v>
      </c>
      <c r="P192" t="s">
        <v>292</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row>
    <row r="193" spans="1:36">
      <c r="A193" t="s">
        <v>236</v>
      </c>
      <c r="B193" s="264">
        <v>46033</v>
      </c>
      <c r="C193" t="s">
        <v>263</v>
      </c>
      <c r="D193" t="s">
        <v>235</v>
      </c>
      <c r="E193" t="s">
        <v>261</v>
      </c>
      <c r="F193" t="s">
        <v>232</v>
      </c>
      <c r="G193">
        <v>5.5999999999999999E-3</v>
      </c>
      <c r="H193">
        <v>180</v>
      </c>
      <c r="I193">
        <v>1</v>
      </c>
      <c r="J193">
        <v>0</v>
      </c>
      <c r="K193" t="s">
        <v>233</v>
      </c>
      <c r="L193" s="264">
        <v>46308</v>
      </c>
      <c r="M193">
        <v>0</v>
      </c>
      <c r="N193">
        <v>0</v>
      </c>
      <c r="O193">
        <v>1</v>
      </c>
      <c r="P193" t="s">
        <v>67</v>
      </c>
      <c r="Q193">
        <v>0</v>
      </c>
      <c r="R193">
        <v>0</v>
      </c>
      <c r="S193">
        <v>0</v>
      </c>
      <c r="T193">
        <v>0</v>
      </c>
      <c r="U193">
        <v>0</v>
      </c>
      <c r="V193">
        <v>0</v>
      </c>
      <c r="W193">
        <v>0</v>
      </c>
      <c r="X193">
        <v>0</v>
      </c>
      <c r="Y193">
        <v>0</v>
      </c>
      <c r="Z193">
        <v>0</v>
      </c>
      <c r="AA193">
        <v>0</v>
      </c>
      <c r="AB193">
        <v>1</v>
      </c>
      <c r="AC193">
        <v>0</v>
      </c>
      <c r="AD193">
        <v>0</v>
      </c>
      <c r="AE193">
        <v>0</v>
      </c>
      <c r="AF193">
        <v>0</v>
      </c>
      <c r="AG193">
        <v>0</v>
      </c>
      <c r="AH193">
        <v>0</v>
      </c>
      <c r="AI193">
        <v>0</v>
      </c>
      <c r="AJ193">
        <v>0</v>
      </c>
    </row>
    <row r="194" spans="1:36">
      <c r="A194" t="s">
        <v>240</v>
      </c>
      <c r="B194" s="264">
        <v>46034</v>
      </c>
      <c r="C194" t="s">
        <v>775</v>
      </c>
      <c r="D194" t="s">
        <v>276</v>
      </c>
      <c r="E194" t="s">
        <v>774</v>
      </c>
      <c r="F194" t="s">
        <v>232</v>
      </c>
      <c r="G194">
        <v>0</v>
      </c>
      <c r="H194">
        <v>180</v>
      </c>
      <c r="I194">
        <v>0</v>
      </c>
      <c r="J194">
        <v>0</v>
      </c>
      <c r="K194" t="s">
        <v>233</v>
      </c>
      <c r="L194" t="s">
        <v>66</v>
      </c>
      <c r="M194">
        <v>0</v>
      </c>
      <c r="N194">
        <v>0</v>
      </c>
      <c r="O194">
        <v>0</v>
      </c>
      <c r="P194" t="s">
        <v>761</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row>
    <row r="195" spans="1:36">
      <c r="A195" t="s">
        <v>240</v>
      </c>
      <c r="B195" s="264">
        <v>46034</v>
      </c>
      <c r="C195" t="s">
        <v>776</v>
      </c>
      <c r="D195" t="s">
        <v>778</v>
      </c>
      <c r="E195" t="s">
        <v>774</v>
      </c>
      <c r="F195" t="s">
        <v>232</v>
      </c>
      <c r="G195">
        <v>0</v>
      </c>
      <c r="H195">
        <v>180</v>
      </c>
      <c r="I195">
        <v>0</v>
      </c>
      <c r="J195">
        <v>0</v>
      </c>
      <c r="K195" t="s">
        <v>233</v>
      </c>
      <c r="L195" t="s">
        <v>66</v>
      </c>
      <c r="M195">
        <v>0</v>
      </c>
      <c r="N195">
        <v>0</v>
      </c>
      <c r="O195">
        <v>0</v>
      </c>
      <c r="P195" t="s">
        <v>761</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row>
    <row r="196" spans="1:36">
      <c r="A196" t="s">
        <v>240</v>
      </c>
      <c r="B196" s="264">
        <v>46034</v>
      </c>
      <c r="C196" t="s">
        <v>1125</v>
      </c>
      <c r="D196" t="s">
        <v>1141</v>
      </c>
      <c r="E196" t="s">
        <v>1123</v>
      </c>
      <c r="F196" t="s">
        <v>232</v>
      </c>
      <c r="G196">
        <v>5.5599999999999997E-2</v>
      </c>
      <c r="H196">
        <v>180</v>
      </c>
      <c r="I196">
        <v>10</v>
      </c>
      <c r="J196">
        <v>0</v>
      </c>
      <c r="K196" t="s">
        <v>233</v>
      </c>
      <c r="L196" s="264">
        <v>46345</v>
      </c>
      <c r="M196">
        <v>0</v>
      </c>
      <c r="N196">
        <v>0</v>
      </c>
      <c r="O196">
        <v>10</v>
      </c>
      <c r="P196" t="s">
        <v>905</v>
      </c>
      <c r="Q196">
        <v>0</v>
      </c>
      <c r="R196">
        <v>0</v>
      </c>
      <c r="S196">
        <v>0</v>
      </c>
      <c r="T196">
        <v>0</v>
      </c>
      <c r="U196">
        <v>0</v>
      </c>
      <c r="V196">
        <v>0</v>
      </c>
      <c r="W196">
        <v>0</v>
      </c>
      <c r="X196">
        <v>0</v>
      </c>
      <c r="Y196">
        <v>0</v>
      </c>
      <c r="Z196">
        <v>0</v>
      </c>
      <c r="AA196">
        <v>2</v>
      </c>
      <c r="AB196">
        <v>0</v>
      </c>
      <c r="AC196">
        <v>0</v>
      </c>
      <c r="AD196">
        <v>0</v>
      </c>
      <c r="AE196">
        <v>1</v>
      </c>
      <c r="AF196">
        <v>7</v>
      </c>
      <c r="AG196">
        <v>0</v>
      </c>
      <c r="AH196">
        <v>0</v>
      </c>
      <c r="AI196">
        <v>0</v>
      </c>
      <c r="AJ196">
        <v>0</v>
      </c>
    </row>
    <row r="197" spans="1:36">
      <c r="A197" t="s">
        <v>240</v>
      </c>
      <c r="B197" s="264">
        <v>46034</v>
      </c>
      <c r="C197" t="s">
        <v>709</v>
      </c>
      <c r="D197" t="s">
        <v>743</v>
      </c>
      <c r="E197" t="s">
        <v>706</v>
      </c>
      <c r="F197" t="s">
        <v>232</v>
      </c>
      <c r="G197">
        <v>5.5999999999999999E-3</v>
      </c>
      <c r="H197">
        <v>180</v>
      </c>
      <c r="I197">
        <v>1</v>
      </c>
      <c r="J197">
        <v>0</v>
      </c>
      <c r="K197" t="s">
        <v>233</v>
      </c>
      <c r="L197" s="264">
        <v>46329</v>
      </c>
      <c r="M197">
        <v>0</v>
      </c>
      <c r="N197">
        <v>0</v>
      </c>
      <c r="O197">
        <v>1</v>
      </c>
      <c r="P197" t="s">
        <v>304</v>
      </c>
      <c r="Q197">
        <v>0</v>
      </c>
      <c r="R197">
        <v>0</v>
      </c>
      <c r="S197">
        <v>0</v>
      </c>
      <c r="T197">
        <v>0</v>
      </c>
      <c r="U197">
        <v>0</v>
      </c>
      <c r="V197">
        <v>0</v>
      </c>
      <c r="W197">
        <v>0</v>
      </c>
      <c r="X197">
        <v>0</v>
      </c>
      <c r="Y197">
        <v>0</v>
      </c>
      <c r="Z197">
        <v>0</v>
      </c>
      <c r="AA197">
        <v>0</v>
      </c>
      <c r="AB197">
        <v>0</v>
      </c>
      <c r="AC197">
        <v>1</v>
      </c>
      <c r="AD197">
        <v>0</v>
      </c>
      <c r="AE197">
        <v>0</v>
      </c>
      <c r="AF197">
        <v>0</v>
      </c>
      <c r="AG197">
        <v>0</v>
      </c>
      <c r="AH197">
        <v>0</v>
      </c>
      <c r="AI197">
        <v>0</v>
      </c>
      <c r="AJ197">
        <v>0</v>
      </c>
    </row>
    <row r="198" spans="1:36">
      <c r="A198" t="s">
        <v>240</v>
      </c>
      <c r="B198" s="264">
        <v>46034</v>
      </c>
      <c r="C198" t="s">
        <v>712</v>
      </c>
      <c r="D198" t="s">
        <v>750</v>
      </c>
      <c r="E198" t="s">
        <v>706</v>
      </c>
      <c r="F198" t="s">
        <v>232</v>
      </c>
      <c r="G198">
        <v>0</v>
      </c>
      <c r="H198">
        <v>180</v>
      </c>
      <c r="I198">
        <v>0</v>
      </c>
      <c r="J198">
        <v>0</v>
      </c>
      <c r="K198" t="s">
        <v>233</v>
      </c>
      <c r="L198" t="s">
        <v>66</v>
      </c>
      <c r="M198">
        <v>0</v>
      </c>
      <c r="N198">
        <v>0</v>
      </c>
      <c r="O198">
        <v>0</v>
      </c>
      <c r="P198" t="s">
        <v>307</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row>
    <row r="199" spans="1:36">
      <c r="A199" t="s">
        <v>240</v>
      </c>
      <c r="B199" s="264">
        <v>46034</v>
      </c>
      <c r="C199" t="s">
        <v>716</v>
      </c>
      <c r="D199" t="s">
        <v>749</v>
      </c>
      <c r="E199" t="s">
        <v>706</v>
      </c>
      <c r="F199" t="s">
        <v>232</v>
      </c>
      <c r="G199">
        <v>0</v>
      </c>
      <c r="H199">
        <v>180</v>
      </c>
      <c r="I199">
        <v>0</v>
      </c>
      <c r="J199">
        <v>0</v>
      </c>
      <c r="K199" t="s">
        <v>233</v>
      </c>
      <c r="L199" t="s">
        <v>66</v>
      </c>
      <c r="M199">
        <v>0</v>
      </c>
      <c r="N199">
        <v>0</v>
      </c>
      <c r="O199">
        <v>0</v>
      </c>
      <c r="P199" t="s">
        <v>307</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row>
    <row r="200" spans="1:36">
      <c r="A200" t="s">
        <v>240</v>
      </c>
      <c r="B200" s="264">
        <v>46034</v>
      </c>
      <c r="C200" t="s">
        <v>323</v>
      </c>
      <c r="D200" t="s">
        <v>335</v>
      </c>
      <c r="E200" t="s">
        <v>320</v>
      </c>
      <c r="F200" t="s">
        <v>232</v>
      </c>
      <c r="G200">
        <v>1.11E-2</v>
      </c>
      <c r="H200">
        <v>180</v>
      </c>
      <c r="I200">
        <v>2</v>
      </c>
      <c r="J200">
        <v>0</v>
      </c>
      <c r="K200" t="s">
        <v>233</v>
      </c>
      <c r="L200" s="264">
        <v>46307</v>
      </c>
      <c r="M200">
        <v>0</v>
      </c>
      <c r="N200">
        <v>0</v>
      </c>
      <c r="O200">
        <v>2</v>
      </c>
      <c r="P200" t="s">
        <v>326</v>
      </c>
      <c r="Q200">
        <v>0</v>
      </c>
      <c r="R200">
        <v>0</v>
      </c>
      <c r="S200">
        <v>0</v>
      </c>
      <c r="T200">
        <v>0</v>
      </c>
      <c r="U200">
        <v>0</v>
      </c>
      <c r="V200">
        <v>0</v>
      </c>
      <c r="W200">
        <v>0</v>
      </c>
      <c r="X200">
        <v>0</v>
      </c>
      <c r="Y200">
        <v>0</v>
      </c>
      <c r="Z200">
        <v>0</v>
      </c>
      <c r="AA200">
        <v>0</v>
      </c>
      <c r="AB200">
        <v>0</v>
      </c>
      <c r="AC200">
        <v>2</v>
      </c>
      <c r="AD200">
        <v>0</v>
      </c>
      <c r="AE200">
        <v>0</v>
      </c>
      <c r="AF200">
        <v>0</v>
      </c>
      <c r="AG200">
        <v>0</v>
      </c>
      <c r="AH200">
        <v>0</v>
      </c>
      <c r="AI200">
        <v>0</v>
      </c>
      <c r="AJ200">
        <v>0</v>
      </c>
    </row>
    <row r="201" spans="1:36">
      <c r="A201" t="s">
        <v>240</v>
      </c>
      <c r="B201" s="264">
        <v>46034</v>
      </c>
      <c r="C201" t="s">
        <v>433</v>
      </c>
      <c r="D201" t="s">
        <v>334</v>
      </c>
      <c r="E201" t="s">
        <v>341</v>
      </c>
      <c r="F201" t="s">
        <v>232</v>
      </c>
      <c r="G201">
        <v>5.5999999999999999E-3</v>
      </c>
      <c r="H201">
        <v>180</v>
      </c>
      <c r="I201">
        <v>1</v>
      </c>
      <c r="J201">
        <v>0</v>
      </c>
      <c r="K201" t="s">
        <v>233</v>
      </c>
      <c r="L201" s="264">
        <v>46342</v>
      </c>
      <c r="M201">
        <v>0</v>
      </c>
      <c r="N201">
        <v>0</v>
      </c>
      <c r="O201">
        <v>1</v>
      </c>
      <c r="P201" t="s">
        <v>431</v>
      </c>
      <c r="Q201">
        <v>0</v>
      </c>
      <c r="R201">
        <v>0</v>
      </c>
      <c r="S201">
        <v>0</v>
      </c>
      <c r="T201">
        <v>0</v>
      </c>
      <c r="U201">
        <v>0</v>
      </c>
      <c r="V201">
        <v>0</v>
      </c>
      <c r="W201">
        <v>0</v>
      </c>
      <c r="X201">
        <v>0</v>
      </c>
      <c r="Y201">
        <v>0</v>
      </c>
      <c r="Z201">
        <v>0</v>
      </c>
      <c r="AA201">
        <v>0</v>
      </c>
      <c r="AB201">
        <v>0</v>
      </c>
      <c r="AC201">
        <v>0</v>
      </c>
      <c r="AD201">
        <v>1</v>
      </c>
      <c r="AE201">
        <v>0</v>
      </c>
      <c r="AF201">
        <v>0</v>
      </c>
      <c r="AG201">
        <v>0</v>
      </c>
      <c r="AH201">
        <v>0</v>
      </c>
      <c r="AI201">
        <v>0</v>
      </c>
      <c r="AJ201">
        <v>0</v>
      </c>
    </row>
    <row r="202" spans="1:36">
      <c r="A202" t="s">
        <v>240</v>
      </c>
      <c r="B202" s="264">
        <v>46034</v>
      </c>
      <c r="C202" t="s">
        <v>376</v>
      </c>
      <c r="D202" t="s">
        <v>575</v>
      </c>
      <c r="E202" t="s">
        <v>341</v>
      </c>
      <c r="F202" t="s">
        <v>232</v>
      </c>
      <c r="G202">
        <v>1.11E-2</v>
      </c>
      <c r="H202">
        <v>180</v>
      </c>
      <c r="I202">
        <v>2</v>
      </c>
      <c r="J202">
        <v>0</v>
      </c>
      <c r="K202" t="s">
        <v>233</v>
      </c>
      <c r="L202" s="264">
        <v>46325</v>
      </c>
      <c r="M202">
        <v>0</v>
      </c>
      <c r="N202">
        <v>0</v>
      </c>
      <c r="O202">
        <v>4</v>
      </c>
      <c r="P202" t="s">
        <v>368</v>
      </c>
      <c r="Q202">
        <v>0</v>
      </c>
      <c r="R202">
        <v>0</v>
      </c>
      <c r="S202">
        <v>0</v>
      </c>
      <c r="T202">
        <v>0</v>
      </c>
      <c r="U202">
        <v>0</v>
      </c>
      <c r="V202">
        <v>0</v>
      </c>
      <c r="W202">
        <v>0</v>
      </c>
      <c r="X202">
        <v>0</v>
      </c>
      <c r="Y202">
        <v>0</v>
      </c>
      <c r="Z202">
        <v>0</v>
      </c>
      <c r="AA202">
        <v>0</v>
      </c>
      <c r="AB202">
        <v>0</v>
      </c>
      <c r="AC202">
        <v>0</v>
      </c>
      <c r="AD202">
        <v>2</v>
      </c>
      <c r="AE202">
        <v>0</v>
      </c>
      <c r="AF202">
        <v>0</v>
      </c>
      <c r="AG202">
        <v>0</v>
      </c>
      <c r="AH202">
        <v>0</v>
      </c>
      <c r="AI202">
        <v>0</v>
      </c>
      <c r="AJ202">
        <v>0</v>
      </c>
    </row>
    <row r="203" spans="1:36">
      <c r="A203" t="s">
        <v>240</v>
      </c>
      <c r="B203" s="264">
        <v>46034</v>
      </c>
      <c r="C203" t="s">
        <v>378</v>
      </c>
      <c r="D203" t="s">
        <v>563</v>
      </c>
      <c r="E203" t="s">
        <v>341</v>
      </c>
      <c r="F203" t="s">
        <v>232</v>
      </c>
      <c r="G203">
        <v>1.11E-2</v>
      </c>
      <c r="H203">
        <v>180</v>
      </c>
      <c r="I203">
        <v>2</v>
      </c>
      <c r="J203">
        <v>0</v>
      </c>
      <c r="K203" t="s">
        <v>233</v>
      </c>
      <c r="L203" s="264">
        <v>46342</v>
      </c>
      <c r="M203">
        <v>0</v>
      </c>
      <c r="N203">
        <v>0</v>
      </c>
      <c r="O203">
        <v>2</v>
      </c>
      <c r="P203" t="s">
        <v>368</v>
      </c>
      <c r="Q203">
        <v>0</v>
      </c>
      <c r="R203">
        <v>0</v>
      </c>
      <c r="S203">
        <v>0</v>
      </c>
      <c r="T203">
        <v>0</v>
      </c>
      <c r="U203">
        <v>0</v>
      </c>
      <c r="V203">
        <v>0</v>
      </c>
      <c r="W203">
        <v>0</v>
      </c>
      <c r="X203">
        <v>0</v>
      </c>
      <c r="Y203">
        <v>0</v>
      </c>
      <c r="Z203">
        <v>0</v>
      </c>
      <c r="AA203">
        <v>0</v>
      </c>
      <c r="AB203">
        <v>0</v>
      </c>
      <c r="AC203">
        <v>0</v>
      </c>
      <c r="AD203">
        <v>2</v>
      </c>
      <c r="AE203">
        <v>0</v>
      </c>
      <c r="AF203">
        <v>0</v>
      </c>
      <c r="AG203">
        <v>0</v>
      </c>
      <c r="AH203">
        <v>0</v>
      </c>
      <c r="AI203">
        <v>0</v>
      </c>
      <c r="AJ203">
        <v>0</v>
      </c>
    </row>
    <row r="204" spans="1:36">
      <c r="A204" t="s">
        <v>240</v>
      </c>
      <c r="B204" s="264">
        <v>46034</v>
      </c>
      <c r="C204" t="s">
        <v>112</v>
      </c>
      <c r="D204" t="s">
        <v>241</v>
      </c>
      <c r="E204" t="s">
        <v>1</v>
      </c>
      <c r="F204" t="s">
        <v>232</v>
      </c>
      <c r="G204">
        <v>0</v>
      </c>
      <c r="H204">
        <v>180</v>
      </c>
      <c r="I204">
        <v>0</v>
      </c>
      <c r="J204">
        <v>0</v>
      </c>
      <c r="K204" t="s">
        <v>233</v>
      </c>
      <c r="L204" t="s">
        <v>66</v>
      </c>
      <c r="M204">
        <v>0</v>
      </c>
      <c r="N204">
        <v>0</v>
      </c>
      <c r="O204">
        <v>0</v>
      </c>
      <c r="P204" t="s">
        <v>67</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row>
    <row r="205" spans="1:36">
      <c r="A205" t="s">
        <v>240</v>
      </c>
      <c r="B205" s="264">
        <v>46034</v>
      </c>
      <c r="C205" t="s">
        <v>854</v>
      </c>
      <c r="D205" t="s">
        <v>975</v>
      </c>
      <c r="E205" t="s">
        <v>808</v>
      </c>
      <c r="F205" t="s">
        <v>232</v>
      </c>
      <c r="G205">
        <v>1.12E-2</v>
      </c>
      <c r="H205">
        <v>179</v>
      </c>
      <c r="I205">
        <v>2</v>
      </c>
      <c r="J205">
        <v>0</v>
      </c>
      <c r="K205" t="s">
        <v>233</v>
      </c>
      <c r="L205" s="264">
        <v>46338</v>
      </c>
      <c r="M205">
        <v>0</v>
      </c>
      <c r="N205">
        <v>0</v>
      </c>
      <c r="O205">
        <v>2</v>
      </c>
      <c r="P205" t="s">
        <v>326</v>
      </c>
      <c r="Q205">
        <v>0</v>
      </c>
      <c r="R205">
        <v>0</v>
      </c>
      <c r="S205">
        <v>0</v>
      </c>
      <c r="T205">
        <v>0</v>
      </c>
      <c r="U205">
        <v>0</v>
      </c>
      <c r="V205">
        <v>0</v>
      </c>
      <c r="W205">
        <v>0</v>
      </c>
      <c r="X205">
        <v>0</v>
      </c>
      <c r="Y205">
        <v>0</v>
      </c>
      <c r="Z205">
        <v>0</v>
      </c>
      <c r="AA205">
        <v>0</v>
      </c>
      <c r="AB205">
        <v>0</v>
      </c>
      <c r="AC205">
        <v>1</v>
      </c>
      <c r="AD205">
        <v>0</v>
      </c>
      <c r="AE205">
        <v>0</v>
      </c>
      <c r="AF205">
        <v>1</v>
      </c>
      <c r="AG205">
        <v>0</v>
      </c>
      <c r="AH205">
        <v>0</v>
      </c>
      <c r="AI205">
        <v>0</v>
      </c>
      <c r="AJ205">
        <v>0</v>
      </c>
    </row>
    <row r="206" spans="1:36">
      <c r="A206" t="s">
        <v>240</v>
      </c>
      <c r="B206" s="264">
        <v>46034</v>
      </c>
      <c r="C206" t="s">
        <v>1215</v>
      </c>
      <c r="D206" t="s">
        <v>751</v>
      </c>
      <c r="E206" t="s">
        <v>1213</v>
      </c>
      <c r="F206" t="s">
        <v>232</v>
      </c>
      <c r="G206">
        <v>5.5999999999999999E-3</v>
      </c>
      <c r="H206">
        <v>179</v>
      </c>
      <c r="I206">
        <v>1</v>
      </c>
      <c r="J206">
        <v>0</v>
      </c>
      <c r="K206" t="s">
        <v>233</v>
      </c>
      <c r="L206" s="264">
        <v>46266</v>
      </c>
      <c r="M206">
        <v>0</v>
      </c>
      <c r="N206">
        <v>0</v>
      </c>
      <c r="O206">
        <v>1</v>
      </c>
      <c r="P206" t="s">
        <v>877</v>
      </c>
      <c r="Q206">
        <v>0</v>
      </c>
      <c r="R206">
        <v>0</v>
      </c>
      <c r="S206">
        <v>0</v>
      </c>
      <c r="T206">
        <v>0</v>
      </c>
      <c r="U206">
        <v>0</v>
      </c>
      <c r="V206">
        <v>0</v>
      </c>
      <c r="W206">
        <v>0</v>
      </c>
      <c r="X206">
        <v>0</v>
      </c>
      <c r="Y206">
        <v>0</v>
      </c>
      <c r="Z206">
        <v>0</v>
      </c>
      <c r="AA206">
        <v>0</v>
      </c>
      <c r="AB206">
        <v>0</v>
      </c>
      <c r="AC206">
        <v>1</v>
      </c>
      <c r="AD206">
        <v>0</v>
      </c>
      <c r="AE206">
        <v>0</v>
      </c>
      <c r="AF206">
        <v>0</v>
      </c>
      <c r="AG206">
        <v>0</v>
      </c>
      <c r="AH206">
        <v>0</v>
      </c>
      <c r="AI206">
        <v>0</v>
      </c>
      <c r="AJ206">
        <v>0</v>
      </c>
    </row>
    <row r="207" spans="1:36">
      <c r="A207" t="s">
        <v>240</v>
      </c>
      <c r="B207" s="264">
        <v>46034</v>
      </c>
      <c r="C207" t="s">
        <v>613</v>
      </c>
      <c r="D207" t="s">
        <v>695</v>
      </c>
      <c r="E207" t="s">
        <v>601</v>
      </c>
      <c r="F207" t="s">
        <v>232</v>
      </c>
      <c r="G207">
        <v>0</v>
      </c>
      <c r="H207">
        <v>180</v>
      </c>
      <c r="I207">
        <v>0</v>
      </c>
      <c r="J207">
        <v>0</v>
      </c>
      <c r="K207" t="s">
        <v>233</v>
      </c>
      <c r="L207" t="s">
        <v>66</v>
      </c>
      <c r="M207">
        <v>0</v>
      </c>
      <c r="N207">
        <v>0</v>
      </c>
      <c r="O207">
        <v>0</v>
      </c>
      <c r="P207" t="s">
        <v>292</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row>
    <row r="208" spans="1:36">
      <c r="A208" t="s">
        <v>240</v>
      </c>
      <c r="B208" s="264">
        <v>46034</v>
      </c>
      <c r="C208" t="s">
        <v>630</v>
      </c>
      <c r="D208" t="s">
        <v>694</v>
      </c>
      <c r="E208" t="s">
        <v>601</v>
      </c>
      <c r="F208" t="s">
        <v>232</v>
      </c>
      <c r="G208">
        <v>0</v>
      </c>
      <c r="H208">
        <v>180</v>
      </c>
      <c r="I208">
        <v>0</v>
      </c>
      <c r="J208">
        <v>0</v>
      </c>
      <c r="K208" t="s">
        <v>233</v>
      </c>
      <c r="L208" t="s">
        <v>66</v>
      </c>
      <c r="M208">
        <v>0</v>
      </c>
      <c r="N208">
        <v>0</v>
      </c>
      <c r="O208">
        <v>0</v>
      </c>
      <c r="P208" t="s">
        <v>292</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row>
    <row r="209" spans="1:36">
      <c r="A209" t="s">
        <v>240</v>
      </c>
      <c r="B209" s="264">
        <v>46034</v>
      </c>
      <c r="C209" t="s">
        <v>758</v>
      </c>
      <c r="D209" t="s">
        <v>765</v>
      </c>
      <c r="E209" t="s">
        <v>755</v>
      </c>
      <c r="F209" t="s">
        <v>232</v>
      </c>
      <c r="G209">
        <v>0</v>
      </c>
      <c r="H209">
        <v>180</v>
      </c>
      <c r="I209">
        <v>0</v>
      </c>
      <c r="J209">
        <v>0</v>
      </c>
      <c r="K209" t="s">
        <v>233</v>
      </c>
      <c r="L209" t="s">
        <v>66</v>
      </c>
      <c r="M209">
        <v>0</v>
      </c>
      <c r="N209">
        <v>0</v>
      </c>
      <c r="O209">
        <v>0</v>
      </c>
      <c r="P209" t="s">
        <v>761</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row>
    <row r="210" spans="1:36">
      <c r="A210" t="s">
        <v>242</v>
      </c>
      <c r="B210" s="264">
        <v>46035</v>
      </c>
      <c r="C210" t="s">
        <v>777</v>
      </c>
      <c r="D210" t="s">
        <v>313</v>
      </c>
      <c r="E210" t="s">
        <v>774</v>
      </c>
      <c r="F210" t="s">
        <v>232</v>
      </c>
      <c r="G210">
        <v>0</v>
      </c>
      <c r="H210">
        <v>180</v>
      </c>
      <c r="I210">
        <v>0</v>
      </c>
      <c r="J210">
        <v>0</v>
      </c>
      <c r="K210" t="s">
        <v>233</v>
      </c>
      <c r="L210" t="s">
        <v>66</v>
      </c>
      <c r="M210">
        <v>0</v>
      </c>
      <c r="N210">
        <v>0</v>
      </c>
      <c r="O210">
        <v>0</v>
      </c>
      <c r="P210" t="s">
        <v>761</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row>
    <row r="211" spans="1:36">
      <c r="A211" t="s">
        <v>242</v>
      </c>
      <c r="B211" s="264">
        <v>46035</v>
      </c>
      <c r="C211" t="s">
        <v>1321</v>
      </c>
      <c r="D211" t="s">
        <v>1331</v>
      </c>
      <c r="E211" t="s">
        <v>1318</v>
      </c>
      <c r="F211" t="s">
        <v>232</v>
      </c>
      <c r="G211">
        <v>1.6799999999999999E-2</v>
      </c>
      <c r="H211">
        <v>179</v>
      </c>
      <c r="I211">
        <v>3</v>
      </c>
      <c r="J211">
        <v>0</v>
      </c>
      <c r="K211" t="s">
        <v>233</v>
      </c>
      <c r="L211" s="264">
        <v>46325</v>
      </c>
      <c r="M211">
        <v>0</v>
      </c>
      <c r="N211">
        <v>0</v>
      </c>
      <c r="O211">
        <v>3</v>
      </c>
      <c r="P211" t="s">
        <v>901</v>
      </c>
      <c r="Q211">
        <v>0</v>
      </c>
      <c r="R211">
        <v>0</v>
      </c>
      <c r="S211">
        <v>0</v>
      </c>
      <c r="T211">
        <v>0</v>
      </c>
      <c r="U211">
        <v>0</v>
      </c>
      <c r="V211">
        <v>0</v>
      </c>
      <c r="W211">
        <v>0</v>
      </c>
      <c r="X211">
        <v>0</v>
      </c>
      <c r="Y211">
        <v>0</v>
      </c>
      <c r="Z211">
        <v>0</v>
      </c>
      <c r="AA211">
        <v>0</v>
      </c>
      <c r="AB211">
        <v>0</v>
      </c>
      <c r="AC211">
        <v>1</v>
      </c>
      <c r="AD211">
        <v>0</v>
      </c>
      <c r="AE211">
        <v>0</v>
      </c>
      <c r="AF211">
        <v>2</v>
      </c>
      <c r="AG211">
        <v>0</v>
      </c>
      <c r="AH211">
        <v>0</v>
      </c>
      <c r="AI211">
        <v>0</v>
      </c>
      <c r="AJ211">
        <v>0</v>
      </c>
    </row>
    <row r="212" spans="1:36">
      <c r="A212" t="s">
        <v>242</v>
      </c>
      <c r="B212" s="264">
        <v>46035</v>
      </c>
      <c r="C212" t="s">
        <v>709</v>
      </c>
      <c r="D212" t="s">
        <v>751</v>
      </c>
      <c r="E212" t="s">
        <v>706</v>
      </c>
      <c r="F212" t="s">
        <v>232</v>
      </c>
      <c r="G212">
        <v>5.5999999999999999E-3</v>
      </c>
      <c r="H212">
        <v>180</v>
      </c>
      <c r="I212">
        <v>1</v>
      </c>
      <c r="J212">
        <v>0</v>
      </c>
      <c r="K212" t="s">
        <v>233</v>
      </c>
      <c r="L212" s="264">
        <v>46322</v>
      </c>
      <c r="M212">
        <v>0</v>
      </c>
      <c r="N212">
        <v>0</v>
      </c>
      <c r="O212">
        <v>1</v>
      </c>
      <c r="P212" t="s">
        <v>304</v>
      </c>
      <c r="Q212">
        <v>0</v>
      </c>
      <c r="R212">
        <v>0</v>
      </c>
      <c r="S212">
        <v>0</v>
      </c>
      <c r="T212">
        <v>0</v>
      </c>
      <c r="U212">
        <v>0</v>
      </c>
      <c r="V212">
        <v>0</v>
      </c>
      <c r="W212">
        <v>0</v>
      </c>
      <c r="X212">
        <v>0</v>
      </c>
      <c r="Y212">
        <v>0</v>
      </c>
      <c r="Z212">
        <v>0</v>
      </c>
      <c r="AA212">
        <v>0</v>
      </c>
      <c r="AB212">
        <v>0</v>
      </c>
      <c r="AC212">
        <v>1</v>
      </c>
      <c r="AD212">
        <v>0</v>
      </c>
      <c r="AE212">
        <v>0</v>
      </c>
      <c r="AF212">
        <v>0</v>
      </c>
      <c r="AG212">
        <v>0</v>
      </c>
      <c r="AH212">
        <v>0</v>
      </c>
      <c r="AI212">
        <v>0</v>
      </c>
      <c r="AJ212">
        <v>0</v>
      </c>
    </row>
    <row r="213" spans="1:36">
      <c r="A213" t="s">
        <v>242</v>
      </c>
      <c r="B213" s="264">
        <v>46035</v>
      </c>
      <c r="C213" t="s">
        <v>712</v>
      </c>
      <c r="D213" t="s">
        <v>746</v>
      </c>
      <c r="E213" t="s">
        <v>706</v>
      </c>
      <c r="F213" t="s">
        <v>232</v>
      </c>
      <c r="G213">
        <v>5.5999999999999999E-3</v>
      </c>
      <c r="H213">
        <v>180</v>
      </c>
      <c r="I213">
        <v>1</v>
      </c>
      <c r="J213">
        <v>0</v>
      </c>
      <c r="K213" t="s">
        <v>233</v>
      </c>
      <c r="L213" s="264">
        <v>46323</v>
      </c>
      <c r="M213">
        <v>0</v>
      </c>
      <c r="N213">
        <v>0</v>
      </c>
      <c r="O213">
        <v>1</v>
      </c>
      <c r="P213" t="s">
        <v>307</v>
      </c>
      <c r="Q213">
        <v>0</v>
      </c>
      <c r="R213">
        <v>0</v>
      </c>
      <c r="S213">
        <v>0</v>
      </c>
      <c r="T213">
        <v>0</v>
      </c>
      <c r="U213">
        <v>0</v>
      </c>
      <c r="V213">
        <v>0</v>
      </c>
      <c r="W213">
        <v>0</v>
      </c>
      <c r="X213">
        <v>0</v>
      </c>
      <c r="Y213">
        <v>0</v>
      </c>
      <c r="Z213">
        <v>0</v>
      </c>
      <c r="AA213">
        <v>1</v>
      </c>
      <c r="AB213">
        <v>0</v>
      </c>
      <c r="AC213">
        <v>0</v>
      </c>
      <c r="AD213">
        <v>0</v>
      </c>
      <c r="AE213">
        <v>0</v>
      </c>
      <c r="AF213">
        <v>0</v>
      </c>
      <c r="AG213">
        <v>0</v>
      </c>
      <c r="AH213">
        <v>0</v>
      </c>
      <c r="AI213">
        <v>0</v>
      </c>
      <c r="AJ213">
        <v>0</v>
      </c>
    </row>
    <row r="214" spans="1:36">
      <c r="A214" t="s">
        <v>242</v>
      </c>
      <c r="B214" s="264">
        <v>46035</v>
      </c>
      <c r="C214" t="s">
        <v>323</v>
      </c>
      <c r="D214" t="s">
        <v>336</v>
      </c>
      <c r="E214" t="s">
        <v>320</v>
      </c>
      <c r="F214" t="s">
        <v>232</v>
      </c>
      <c r="G214">
        <v>1.11E-2</v>
      </c>
      <c r="H214">
        <v>180</v>
      </c>
      <c r="I214">
        <v>2</v>
      </c>
      <c r="J214">
        <v>0</v>
      </c>
      <c r="K214" t="s">
        <v>233</v>
      </c>
      <c r="L214" s="264">
        <v>46311</v>
      </c>
      <c r="M214">
        <v>0</v>
      </c>
      <c r="N214">
        <v>0</v>
      </c>
      <c r="O214">
        <v>2</v>
      </c>
      <c r="P214" t="s">
        <v>326</v>
      </c>
      <c r="Q214">
        <v>0</v>
      </c>
      <c r="R214">
        <v>0</v>
      </c>
      <c r="S214">
        <v>0</v>
      </c>
      <c r="T214">
        <v>0</v>
      </c>
      <c r="U214">
        <v>0</v>
      </c>
      <c r="V214">
        <v>0</v>
      </c>
      <c r="W214">
        <v>0</v>
      </c>
      <c r="X214">
        <v>0</v>
      </c>
      <c r="Y214">
        <v>0</v>
      </c>
      <c r="Z214">
        <v>0</v>
      </c>
      <c r="AA214">
        <v>0</v>
      </c>
      <c r="AB214">
        <v>0</v>
      </c>
      <c r="AC214">
        <v>2</v>
      </c>
      <c r="AD214">
        <v>0</v>
      </c>
      <c r="AE214">
        <v>0</v>
      </c>
      <c r="AF214">
        <v>0</v>
      </c>
      <c r="AG214">
        <v>0</v>
      </c>
      <c r="AH214">
        <v>0</v>
      </c>
      <c r="AI214">
        <v>0</v>
      </c>
      <c r="AJ214">
        <v>0</v>
      </c>
    </row>
    <row r="215" spans="1:36">
      <c r="A215" t="s">
        <v>242</v>
      </c>
      <c r="B215" s="264">
        <v>46035</v>
      </c>
      <c r="C215" t="s">
        <v>998</v>
      </c>
      <c r="D215" t="s">
        <v>1035</v>
      </c>
      <c r="E215" t="s">
        <v>985</v>
      </c>
      <c r="F215" t="s">
        <v>232</v>
      </c>
      <c r="G215">
        <v>3.9100000000000003E-2</v>
      </c>
      <c r="H215">
        <v>179</v>
      </c>
      <c r="I215">
        <v>7</v>
      </c>
      <c r="J215">
        <v>0</v>
      </c>
      <c r="K215" t="s">
        <v>233</v>
      </c>
      <c r="L215" s="264">
        <v>46345</v>
      </c>
      <c r="M215">
        <v>0</v>
      </c>
      <c r="N215">
        <v>0</v>
      </c>
      <c r="O215">
        <v>7</v>
      </c>
      <c r="P215" t="s">
        <v>918</v>
      </c>
      <c r="Q215">
        <v>0</v>
      </c>
      <c r="R215">
        <v>0</v>
      </c>
      <c r="S215">
        <v>0</v>
      </c>
      <c r="T215">
        <v>0</v>
      </c>
      <c r="U215">
        <v>0</v>
      </c>
      <c r="V215">
        <v>0</v>
      </c>
      <c r="W215">
        <v>0</v>
      </c>
      <c r="X215">
        <v>0</v>
      </c>
      <c r="Y215">
        <v>0</v>
      </c>
      <c r="Z215">
        <v>0</v>
      </c>
      <c r="AA215">
        <v>0</v>
      </c>
      <c r="AB215">
        <v>0</v>
      </c>
      <c r="AC215">
        <v>2</v>
      </c>
      <c r="AD215">
        <v>0</v>
      </c>
      <c r="AE215">
        <v>1</v>
      </c>
      <c r="AF215">
        <v>4</v>
      </c>
      <c r="AG215">
        <v>0</v>
      </c>
      <c r="AH215">
        <v>0</v>
      </c>
      <c r="AI215">
        <v>0</v>
      </c>
      <c r="AJ215">
        <v>0</v>
      </c>
    </row>
    <row r="216" spans="1:36">
      <c r="A216" t="s">
        <v>242</v>
      </c>
      <c r="B216" s="264">
        <v>46035</v>
      </c>
      <c r="C216" t="s">
        <v>1194</v>
      </c>
      <c r="D216" t="s">
        <v>1204</v>
      </c>
      <c r="E216" t="s">
        <v>1192</v>
      </c>
      <c r="F216" t="s">
        <v>232</v>
      </c>
      <c r="G216">
        <v>5.5999999999999999E-3</v>
      </c>
      <c r="H216">
        <v>179</v>
      </c>
      <c r="I216">
        <v>1</v>
      </c>
      <c r="J216">
        <v>0</v>
      </c>
      <c r="K216" t="s">
        <v>233</v>
      </c>
      <c r="L216" s="264">
        <v>46342</v>
      </c>
      <c r="M216">
        <v>0</v>
      </c>
      <c r="N216">
        <v>0</v>
      </c>
      <c r="O216">
        <v>1</v>
      </c>
      <c r="P216" t="s">
        <v>900</v>
      </c>
      <c r="Q216">
        <v>0</v>
      </c>
      <c r="R216">
        <v>0</v>
      </c>
      <c r="S216">
        <v>0</v>
      </c>
      <c r="T216">
        <v>0</v>
      </c>
      <c r="U216">
        <v>0</v>
      </c>
      <c r="V216">
        <v>0</v>
      </c>
      <c r="W216">
        <v>0</v>
      </c>
      <c r="X216">
        <v>0</v>
      </c>
      <c r="Y216">
        <v>0</v>
      </c>
      <c r="Z216">
        <v>0</v>
      </c>
      <c r="AA216">
        <v>0</v>
      </c>
      <c r="AB216">
        <v>0</v>
      </c>
      <c r="AC216">
        <v>0</v>
      </c>
      <c r="AD216">
        <v>0</v>
      </c>
      <c r="AE216">
        <v>0</v>
      </c>
      <c r="AF216">
        <v>1</v>
      </c>
      <c r="AG216">
        <v>0</v>
      </c>
      <c r="AH216">
        <v>0</v>
      </c>
      <c r="AI216">
        <v>0</v>
      </c>
      <c r="AJ216">
        <v>0</v>
      </c>
    </row>
    <row r="217" spans="1:36">
      <c r="A217" t="s">
        <v>242</v>
      </c>
      <c r="B217" s="264">
        <v>46035</v>
      </c>
      <c r="C217" t="s">
        <v>1045</v>
      </c>
      <c r="D217" t="s">
        <v>1111</v>
      </c>
      <c r="E217" t="s">
        <v>1040</v>
      </c>
      <c r="F217" t="s">
        <v>232</v>
      </c>
      <c r="G217">
        <v>0.1333</v>
      </c>
      <c r="H217">
        <v>180</v>
      </c>
      <c r="I217">
        <v>24</v>
      </c>
      <c r="J217">
        <v>0</v>
      </c>
      <c r="K217" t="s">
        <v>233</v>
      </c>
      <c r="L217" s="264">
        <v>46344</v>
      </c>
      <c r="M217">
        <v>0</v>
      </c>
      <c r="N217">
        <v>0</v>
      </c>
      <c r="O217">
        <v>24</v>
      </c>
      <c r="P217" t="s">
        <v>305</v>
      </c>
      <c r="Q217">
        <v>0</v>
      </c>
      <c r="R217">
        <v>0</v>
      </c>
      <c r="S217">
        <v>0</v>
      </c>
      <c r="T217">
        <v>0</v>
      </c>
      <c r="U217">
        <v>0</v>
      </c>
      <c r="V217">
        <v>0</v>
      </c>
      <c r="W217">
        <v>0</v>
      </c>
      <c r="X217">
        <v>0</v>
      </c>
      <c r="Y217">
        <v>0</v>
      </c>
      <c r="Z217">
        <v>0</v>
      </c>
      <c r="AA217">
        <v>0</v>
      </c>
      <c r="AB217">
        <v>0</v>
      </c>
      <c r="AC217">
        <v>8</v>
      </c>
      <c r="AD217">
        <v>8</v>
      </c>
      <c r="AE217">
        <v>7</v>
      </c>
      <c r="AF217">
        <v>1</v>
      </c>
      <c r="AG217">
        <v>0</v>
      </c>
      <c r="AH217">
        <v>0</v>
      </c>
      <c r="AI217">
        <v>0</v>
      </c>
      <c r="AJ217">
        <v>0</v>
      </c>
    </row>
    <row r="218" spans="1:36">
      <c r="A218" t="s">
        <v>242</v>
      </c>
      <c r="B218" s="264">
        <v>46035</v>
      </c>
      <c r="C218" t="s">
        <v>366</v>
      </c>
      <c r="D218" t="s">
        <v>578</v>
      </c>
      <c r="E218" t="s">
        <v>341</v>
      </c>
      <c r="F218" t="s">
        <v>232</v>
      </c>
      <c r="G218">
        <v>3.3300000000000003E-2</v>
      </c>
      <c r="H218">
        <v>180</v>
      </c>
      <c r="I218">
        <v>6</v>
      </c>
      <c r="J218">
        <v>0</v>
      </c>
      <c r="K218" t="s">
        <v>233</v>
      </c>
      <c r="L218" s="264">
        <v>46338</v>
      </c>
      <c r="M218">
        <v>0</v>
      </c>
      <c r="N218">
        <v>0</v>
      </c>
      <c r="O218">
        <v>6</v>
      </c>
      <c r="P218" t="s">
        <v>299</v>
      </c>
      <c r="Q218">
        <v>0</v>
      </c>
      <c r="R218">
        <v>0</v>
      </c>
      <c r="S218">
        <v>0</v>
      </c>
      <c r="T218">
        <v>0</v>
      </c>
      <c r="U218">
        <v>0</v>
      </c>
      <c r="V218">
        <v>0</v>
      </c>
      <c r="W218">
        <v>0</v>
      </c>
      <c r="X218">
        <v>0</v>
      </c>
      <c r="Y218">
        <v>0</v>
      </c>
      <c r="Z218">
        <v>0</v>
      </c>
      <c r="AA218">
        <v>0</v>
      </c>
      <c r="AB218">
        <v>0</v>
      </c>
      <c r="AC218">
        <v>0</v>
      </c>
      <c r="AD218">
        <v>6</v>
      </c>
      <c r="AE218">
        <v>0</v>
      </c>
      <c r="AF218">
        <v>0</v>
      </c>
      <c r="AG218">
        <v>0</v>
      </c>
      <c r="AH218">
        <v>0</v>
      </c>
      <c r="AI218">
        <v>0</v>
      </c>
      <c r="AJ218">
        <v>0</v>
      </c>
    </row>
    <row r="219" spans="1:36">
      <c r="A219" t="s">
        <v>242</v>
      </c>
      <c r="B219" s="264">
        <v>46035</v>
      </c>
      <c r="C219" t="s">
        <v>433</v>
      </c>
      <c r="D219" t="s">
        <v>577</v>
      </c>
      <c r="E219" t="s">
        <v>341</v>
      </c>
      <c r="F219" t="s">
        <v>232</v>
      </c>
      <c r="G219">
        <v>5.5999999999999999E-3</v>
      </c>
      <c r="H219">
        <v>180</v>
      </c>
      <c r="I219">
        <v>1</v>
      </c>
      <c r="J219">
        <v>0</v>
      </c>
      <c r="K219" t="s">
        <v>233</v>
      </c>
      <c r="L219" s="264">
        <v>46338</v>
      </c>
      <c r="M219">
        <v>0</v>
      </c>
      <c r="N219">
        <v>0</v>
      </c>
      <c r="O219">
        <v>1</v>
      </c>
      <c r="P219" t="s">
        <v>436</v>
      </c>
      <c r="Q219">
        <v>0</v>
      </c>
      <c r="R219">
        <v>0</v>
      </c>
      <c r="S219">
        <v>0</v>
      </c>
      <c r="T219">
        <v>0</v>
      </c>
      <c r="U219">
        <v>0</v>
      </c>
      <c r="V219">
        <v>0</v>
      </c>
      <c r="W219">
        <v>0</v>
      </c>
      <c r="X219">
        <v>0</v>
      </c>
      <c r="Y219">
        <v>0</v>
      </c>
      <c r="Z219">
        <v>1</v>
      </c>
      <c r="AA219">
        <v>0</v>
      </c>
      <c r="AB219">
        <v>0</v>
      </c>
      <c r="AC219">
        <v>0</v>
      </c>
      <c r="AD219">
        <v>0</v>
      </c>
      <c r="AE219">
        <v>0</v>
      </c>
      <c r="AF219">
        <v>0</v>
      </c>
      <c r="AG219">
        <v>0</v>
      </c>
      <c r="AH219">
        <v>0</v>
      </c>
      <c r="AI219">
        <v>0</v>
      </c>
      <c r="AJ219">
        <v>0</v>
      </c>
    </row>
    <row r="220" spans="1:36">
      <c r="A220" t="s">
        <v>242</v>
      </c>
      <c r="B220" s="264">
        <v>46035</v>
      </c>
      <c r="C220" t="s">
        <v>429</v>
      </c>
      <c r="D220" t="s">
        <v>576</v>
      </c>
      <c r="E220" t="s">
        <v>341</v>
      </c>
      <c r="F220" t="s">
        <v>232</v>
      </c>
      <c r="G220">
        <v>5.5999999999999999E-3</v>
      </c>
      <c r="H220">
        <v>180</v>
      </c>
      <c r="I220">
        <v>1</v>
      </c>
      <c r="J220">
        <v>0</v>
      </c>
      <c r="K220" t="s">
        <v>233</v>
      </c>
      <c r="L220" s="264">
        <v>46332</v>
      </c>
      <c r="M220">
        <v>0</v>
      </c>
      <c r="N220">
        <v>0</v>
      </c>
      <c r="O220">
        <v>4</v>
      </c>
      <c r="P220" t="s">
        <v>436</v>
      </c>
      <c r="Q220">
        <v>0</v>
      </c>
      <c r="R220">
        <v>0</v>
      </c>
      <c r="S220">
        <v>0</v>
      </c>
      <c r="T220">
        <v>0</v>
      </c>
      <c r="U220">
        <v>0</v>
      </c>
      <c r="V220">
        <v>0</v>
      </c>
      <c r="W220">
        <v>0</v>
      </c>
      <c r="X220">
        <v>0</v>
      </c>
      <c r="Y220">
        <v>0</v>
      </c>
      <c r="Z220">
        <v>1</v>
      </c>
      <c r="AA220">
        <v>0</v>
      </c>
      <c r="AB220">
        <v>0</v>
      </c>
      <c r="AC220">
        <v>0</v>
      </c>
      <c r="AD220">
        <v>0</v>
      </c>
      <c r="AE220">
        <v>0</v>
      </c>
      <c r="AF220">
        <v>0</v>
      </c>
      <c r="AG220">
        <v>0</v>
      </c>
      <c r="AH220">
        <v>0</v>
      </c>
      <c r="AI220">
        <v>0</v>
      </c>
      <c r="AJ220">
        <v>0</v>
      </c>
    </row>
    <row r="221" spans="1:36">
      <c r="A221" t="s">
        <v>242</v>
      </c>
      <c r="B221" s="264">
        <v>46035</v>
      </c>
      <c r="C221" t="s">
        <v>376</v>
      </c>
      <c r="D221" t="s">
        <v>579</v>
      </c>
      <c r="E221" t="s">
        <v>341</v>
      </c>
      <c r="F221" t="s">
        <v>232</v>
      </c>
      <c r="G221">
        <v>1.67E-2</v>
      </c>
      <c r="H221">
        <v>180</v>
      </c>
      <c r="I221">
        <v>3</v>
      </c>
      <c r="J221">
        <v>0</v>
      </c>
      <c r="K221" t="s">
        <v>233</v>
      </c>
      <c r="L221" s="264">
        <v>46329</v>
      </c>
      <c r="M221">
        <v>0</v>
      </c>
      <c r="N221">
        <v>0</v>
      </c>
      <c r="O221">
        <v>3</v>
      </c>
      <c r="P221" t="s">
        <v>446</v>
      </c>
      <c r="Q221">
        <v>0</v>
      </c>
      <c r="R221">
        <v>0</v>
      </c>
      <c r="S221">
        <v>0</v>
      </c>
      <c r="T221">
        <v>0</v>
      </c>
      <c r="U221">
        <v>0</v>
      </c>
      <c r="V221">
        <v>0</v>
      </c>
      <c r="W221">
        <v>0</v>
      </c>
      <c r="X221">
        <v>0</v>
      </c>
      <c r="Y221">
        <v>0</v>
      </c>
      <c r="Z221">
        <v>0</v>
      </c>
      <c r="AA221">
        <v>0</v>
      </c>
      <c r="AB221">
        <v>0</v>
      </c>
      <c r="AC221">
        <v>0</v>
      </c>
      <c r="AD221">
        <v>3</v>
      </c>
      <c r="AE221">
        <v>0</v>
      </c>
      <c r="AF221">
        <v>0</v>
      </c>
      <c r="AG221">
        <v>0</v>
      </c>
      <c r="AH221">
        <v>0</v>
      </c>
      <c r="AI221">
        <v>0</v>
      </c>
      <c r="AJ221">
        <v>0</v>
      </c>
    </row>
    <row r="222" spans="1:36">
      <c r="A222" t="s">
        <v>242</v>
      </c>
      <c r="B222" s="264">
        <v>46035</v>
      </c>
      <c r="C222" t="s">
        <v>378</v>
      </c>
      <c r="D222" t="s">
        <v>563</v>
      </c>
      <c r="E222" t="s">
        <v>341</v>
      </c>
      <c r="F222" t="s">
        <v>232</v>
      </c>
      <c r="G222">
        <v>2.2200000000000001E-2</v>
      </c>
      <c r="H222">
        <v>180</v>
      </c>
      <c r="I222">
        <v>4</v>
      </c>
      <c r="J222">
        <v>0</v>
      </c>
      <c r="K222" t="s">
        <v>233</v>
      </c>
      <c r="L222" s="264">
        <v>46344</v>
      </c>
      <c r="M222">
        <v>0</v>
      </c>
      <c r="N222">
        <v>0</v>
      </c>
      <c r="O222">
        <v>4</v>
      </c>
      <c r="P222" t="s">
        <v>367</v>
      </c>
      <c r="Q222">
        <v>0</v>
      </c>
      <c r="R222">
        <v>0</v>
      </c>
      <c r="S222">
        <v>0</v>
      </c>
      <c r="T222">
        <v>0</v>
      </c>
      <c r="U222">
        <v>0</v>
      </c>
      <c r="V222">
        <v>0</v>
      </c>
      <c r="W222">
        <v>0</v>
      </c>
      <c r="X222">
        <v>0</v>
      </c>
      <c r="Y222">
        <v>0</v>
      </c>
      <c r="Z222">
        <v>0</v>
      </c>
      <c r="AA222">
        <v>0</v>
      </c>
      <c r="AB222">
        <v>0</v>
      </c>
      <c r="AC222">
        <v>0</v>
      </c>
      <c r="AD222">
        <v>4</v>
      </c>
      <c r="AE222">
        <v>0</v>
      </c>
      <c r="AF222">
        <v>0</v>
      </c>
      <c r="AG222">
        <v>0</v>
      </c>
      <c r="AH222">
        <v>0</v>
      </c>
      <c r="AI222">
        <v>0</v>
      </c>
      <c r="AJ222">
        <v>0</v>
      </c>
    </row>
    <row r="223" spans="1:36">
      <c r="A223" t="s">
        <v>242</v>
      </c>
      <c r="B223" s="264">
        <v>46035</v>
      </c>
      <c r="C223" t="s">
        <v>380</v>
      </c>
      <c r="D223" t="s">
        <v>231</v>
      </c>
      <c r="E223" t="s">
        <v>341</v>
      </c>
      <c r="F223" t="s">
        <v>232</v>
      </c>
      <c r="G223">
        <v>0</v>
      </c>
      <c r="H223">
        <v>180</v>
      </c>
      <c r="I223">
        <v>0</v>
      </c>
      <c r="J223">
        <v>0</v>
      </c>
      <c r="K223" t="s">
        <v>233</v>
      </c>
      <c r="L223" t="s">
        <v>66</v>
      </c>
      <c r="M223">
        <v>0</v>
      </c>
      <c r="N223">
        <v>0</v>
      </c>
      <c r="O223">
        <v>0</v>
      </c>
      <c r="P223" t="s">
        <v>436</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row>
    <row r="224" spans="1:36">
      <c r="A224" t="s">
        <v>242</v>
      </c>
      <c r="B224" s="264">
        <v>46035</v>
      </c>
      <c r="C224" t="s">
        <v>65</v>
      </c>
      <c r="D224" t="s">
        <v>243</v>
      </c>
      <c r="E224" t="s">
        <v>1</v>
      </c>
      <c r="F224" t="s">
        <v>232</v>
      </c>
      <c r="G224">
        <v>0.28889999999999999</v>
      </c>
      <c r="H224">
        <v>180</v>
      </c>
      <c r="I224">
        <v>52</v>
      </c>
      <c r="J224">
        <v>50</v>
      </c>
      <c r="K224" t="s">
        <v>233</v>
      </c>
      <c r="L224" s="264">
        <v>46342</v>
      </c>
      <c r="M224">
        <v>0</v>
      </c>
      <c r="N224">
        <v>0</v>
      </c>
      <c r="O224">
        <v>4</v>
      </c>
      <c r="P224" t="s">
        <v>101</v>
      </c>
      <c r="Q224">
        <v>0</v>
      </c>
      <c r="R224">
        <v>0</v>
      </c>
      <c r="S224">
        <v>0</v>
      </c>
      <c r="T224">
        <v>0</v>
      </c>
      <c r="U224">
        <v>0</v>
      </c>
      <c r="V224">
        <v>0</v>
      </c>
      <c r="W224">
        <v>0</v>
      </c>
      <c r="X224">
        <v>0</v>
      </c>
      <c r="Y224">
        <v>0</v>
      </c>
      <c r="Z224">
        <v>0</v>
      </c>
      <c r="AA224">
        <v>0</v>
      </c>
      <c r="AB224">
        <v>1</v>
      </c>
      <c r="AC224">
        <v>0</v>
      </c>
      <c r="AD224">
        <v>0</v>
      </c>
      <c r="AE224">
        <v>0</v>
      </c>
      <c r="AF224">
        <v>1</v>
      </c>
      <c r="AG224">
        <v>0</v>
      </c>
      <c r="AH224">
        <v>0</v>
      </c>
      <c r="AI224">
        <v>50</v>
      </c>
      <c r="AJ224">
        <v>0</v>
      </c>
    </row>
    <row r="225" spans="1:36">
      <c r="A225" t="s">
        <v>242</v>
      </c>
      <c r="B225" s="264">
        <v>46035</v>
      </c>
      <c r="C225" t="s">
        <v>854</v>
      </c>
      <c r="D225" t="s">
        <v>980</v>
      </c>
      <c r="E225" t="s">
        <v>808</v>
      </c>
      <c r="F225" t="s">
        <v>232</v>
      </c>
      <c r="G225">
        <v>3.3500000000000002E-2</v>
      </c>
      <c r="H225">
        <v>179</v>
      </c>
      <c r="I225">
        <v>6</v>
      </c>
      <c r="J225">
        <v>0</v>
      </c>
      <c r="K225" t="s">
        <v>233</v>
      </c>
      <c r="L225" s="264">
        <v>46343</v>
      </c>
      <c r="M225">
        <v>0</v>
      </c>
      <c r="N225">
        <v>0</v>
      </c>
      <c r="O225">
        <v>6</v>
      </c>
      <c r="P225" t="s">
        <v>326</v>
      </c>
      <c r="Q225">
        <v>0</v>
      </c>
      <c r="R225">
        <v>0</v>
      </c>
      <c r="S225">
        <v>0</v>
      </c>
      <c r="T225">
        <v>0</v>
      </c>
      <c r="U225">
        <v>0</v>
      </c>
      <c r="V225">
        <v>0</v>
      </c>
      <c r="W225">
        <v>0</v>
      </c>
      <c r="X225">
        <v>0</v>
      </c>
      <c r="Y225">
        <v>0</v>
      </c>
      <c r="Z225">
        <v>1</v>
      </c>
      <c r="AA225">
        <v>0</v>
      </c>
      <c r="AB225">
        <v>0</v>
      </c>
      <c r="AC225">
        <v>0</v>
      </c>
      <c r="AD225">
        <v>0</v>
      </c>
      <c r="AE225">
        <v>1</v>
      </c>
      <c r="AF225">
        <v>4</v>
      </c>
      <c r="AG225">
        <v>0</v>
      </c>
      <c r="AH225">
        <v>0</v>
      </c>
      <c r="AI225">
        <v>0</v>
      </c>
      <c r="AJ225">
        <v>0</v>
      </c>
    </row>
    <row r="226" spans="1:36">
      <c r="A226" t="s">
        <v>242</v>
      </c>
      <c r="B226" s="264">
        <v>46035</v>
      </c>
      <c r="C226" t="s">
        <v>1215</v>
      </c>
      <c r="D226" t="s">
        <v>1237</v>
      </c>
      <c r="E226" t="s">
        <v>1213</v>
      </c>
      <c r="F226" t="s">
        <v>232</v>
      </c>
      <c r="G226">
        <v>1.12E-2</v>
      </c>
      <c r="H226">
        <v>179</v>
      </c>
      <c r="I226">
        <v>2</v>
      </c>
      <c r="J226">
        <v>0</v>
      </c>
      <c r="K226" t="s">
        <v>233</v>
      </c>
      <c r="L226" s="264">
        <v>46338</v>
      </c>
      <c r="M226">
        <v>0</v>
      </c>
      <c r="N226">
        <v>0</v>
      </c>
      <c r="O226">
        <v>2</v>
      </c>
      <c r="P226" t="s">
        <v>877</v>
      </c>
      <c r="Q226">
        <v>0</v>
      </c>
      <c r="R226">
        <v>0</v>
      </c>
      <c r="S226">
        <v>0</v>
      </c>
      <c r="T226">
        <v>0</v>
      </c>
      <c r="U226">
        <v>0</v>
      </c>
      <c r="V226">
        <v>0</v>
      </c>
      <c r="W226">
        <v>0</v>
      </c>
      <c r="X226">
        <v>0</v>
      </c>
      <c r="Y226">
        <v>0</v>
      </c>
      <c r="Z226">
        <v>0</v>
      </c>
      <c r="AA226">
        <v>0</v>
      </c>
      <c r="AB226">
        <v>1</v>
      </c>
      <c r="AC226">
        <v>1</v>
      </c>
      <c r="AD226">
        <v>0</v>
      </c>
      <c r="AE226">
        <v>0</v>
      </c>
      <c r="AF226">
        <v>0</v>
      </c>
      <c r="AG226">
        <v>0</v>
      </c>
      <c r="AH226">
        <v>0</v>
      </c>
      <c r="AI226">
        <v>0</v>
      </c>
      <c r="AJ226">
        <v>0</v>
      </c>
    </row>
    <row r="227" spans="1:36">
      <c r="A227" t="s">
        <v>242</v>
      </c>
      <c r="B227" s="264">
        <v>46035</v>
      </c>
      <c r="C227" t="s">
        <v>613</v>
      </c>
      <c r="D227" t="s">
        <v>696</v>
      </c>
      <c r="E227" t="s">
        <v>601</v>
      </c>
      <c r="F227" t="s">
        <v>232</v>
      </c>
      <c r="G227">
        <v>1.11E-2</v>
      </c>
      <c r="H227">
        <v>180</v>
      </c>
      <c r="I227">
        <v>2</v>
      </c>
      <c r="J227">
        <v>0</v>
      </c>
      <c r="K227" t="s">
        <v>233</v>
      </c>
      <c r="L227" s="264">
        <v>46325</v>
      </c>
      <c r="M227">
        <v>0</v>
      </c>
      <c r="N227">
        <v>0</v>
      </c>
      <c r="O227">
        <v>3</v>
      </c>
      <c r="P227" t="s">
        <v>301</v>
      </c>
      <c r="Q227">
        <v>0</v>
      </c>
      <c r="R227">
        <v>0</v>
      </c>
      <c r="S227">
        <v>0</v>
      </c>
      <c r="T227">
        <v>0</v>
      </c>
      <c r="U227">
        <v>0</v>
      </c>
      <c r="V227">
        <v>0</v>
      </c>
      <c r="W227">
        <v>0</v>
      </c>
      <c r="X227">
        <v>0</v>
      </c>
      <c r="Y227">
        <v>0</v>
      </c>
      <c r="Z227">
        <v>0</v>
      </c>
      <c r="AA227">
        <v>0</v>
      </c>
      <c r="AB227">
        <v>0</v>
      </c>
      <c r="AC227">
        <v>2</v>
      </c>
      <c r="AD227">
        <v>0</v>
      </c>
      <c r="AE227">
        <v>0</v>
      </c>
      <c r="AF227">
        <v>0</v>
      </c>
      <c r="AG227">
        <v>0</v>
      </c>
      <c r="AH227">
        <v>0</v>
      </c>
      <c r="AI227">
        <v>0</v>
      </c>
      <c r="AJ227">
        <v>0</v>
      </c>
    </row>
    <row r="228" spans="1:36">
      <c r="A228" t="s">
        <v>242</v>
      </c>
      <c r="B228" s="264">
        <v>46035</v>
      </c>
      <c r="C228" t="s">
        <v>263</v>
      </c>
      <c r="D228" t="s">
        <v>314</v>
      </c>
      <c r="E228" t="s">
        <v>261</v>
      </c>
      <c r="F228" t="s">
        <v>232</v>
      </c>
      <c r="G228">
        <v>0</v>
      </c>
      <c r="H228">
        <v>180</v>
      </c>
      <c r="I228">
        <v>0</v>
      </c>
      <c r="J228">
        <v>0</v>
      </c>
      <c r="K228" t="s">
        <v>233</v>
      </c>
      <c r="L228" t="s">
        <v>66</v>
      </c>
      <c r="M228">
        <v>0</v>
      </c>
      <c r="N228">
        <v>0</v>
      </c>
      <c r="O228">
        <v>0</v>
      </c>
      <c r="P228" t="s">
        <v>292</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row>
    <row r="229" spans="1:36">
      <c r="A229" t="s">
        <v>242</v>
      </c>
      <c r="B229" s="264">
        <v>46035</v>
      </c>
      <c r="C229" t="s">
        <v>762</v>
      </c>
      <c r="D229" t="s">
        <v>768</v>
      </c>
      <c r="E229" t="s">
        <v>755</v>
      </c>
      <c r="F229" t="s">
        <v>232</v>
      </c>
      <c r="G229">
        <v>0</v>
      </c>
      <c r="H229">
        <v>180</v>
      </c>
      <c r="I229">
        <v>0</v>
      </c>
      <c r="J229">
        <v>0</v>
      </c>
      <c r="K229" t="s">
        <v>233</v>
      </c>
      <c r="L229" t="s">
        <v>66</v>
      </c>
      <c r="M229">
        <v>0</v>
      </c>
      <c r="N229">
        <v>0</v>
      </c>
      <c r="O229">
        <v>0</v>
      </c>
      <c r="P229" t="s">
        <v>761</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row>
    <row r="230" spans="1:36">
      <c r="A230" t="s">
        <v>242</v>
      </c>
      <c r="B230" s="264">
        <v>46035</v>
      </c>
      <c r="C230" t="s">
        <v>763</v>
      </c>
      <c r="D230" t="s">
        <v>769</v>
      </c>
      <c r="E230" t="s">
        <v>755</v>
      </c>
      <c r="F230" t="s">
        <v>232</v>
      </c>
      <c r="G230">
        <v>0</v>
      </c>
      <c r="H230">
        <v>180</v>
      </c>
      <c r="I230">
        <v>0</v>
      </c>
      <c r="J230">
        <v>0</v>
      </c>
      <c r="K230" t="s">
        <v>233</v>
      </c>
      <c r="L230" t="s">
        <v>66</v>
      </c>
      <c r="M230">
        <v>0</v>
      </c>
      <c r="N230">
        <v>0</v>
      </c>
      <c r="O230">
        <v>0</v>
      </c>
      <c r="P230" t="s">
        <v>761</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row>
    <row r="231" spans="1:36">
      <c r="A231" t="s">
        <v>242</v>
      </c>
      <c r="B231" s="264">
        <v>46035</v>
      </c>
      <c r="C231" t="s">
        <v>764</v>
      </c>
      <c r="D231" t="s">
        <v>579</v>
      </c>
      <c r="E231" t="s">
        <v>755</v>
      </c>
      <c r="F231" t="s">
        <v>232</v>
      </c>
      <c r="G231">
        <v>0</v>
      </c>
      <c r="H231">
        <v>180</v>
      </c>
      <c r="I231">
        <v>0</v>
      </c>
      <c r="J231">
        <v>0</v>
      </c>
      <c r="K231" t="s">
        <v>233</v>
      </c>
      <c r="L231" t="s">
        <v>66</v>
      </c>
      <c r="M231">
        <v>0</v>
      </c>
      <c r="N231">
        <v>0</v>
      </c>
      <c r="O231">
        <v>0</v>
      </c>
      <c r="P231" t="s">
        <v>761</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row>
    <row r="232" spans="1:36">
      <c r="A232" t="s">
        <v>315</v>
      </c>
      <c r="B232" s="264">
        <v>46036</v>
      </c>
      <c r="C232" t="s">
        <v>723</v>
      </c>
      <c r="D232" t="s">
        <v>754</v>
      </c>
      <c r="E232" t="s">
        <v>706</v>
      </c>
      <c r="F232" t="s">
        <v>232</v>
      </c>
      <c r="G232">
        <v>1.67E-2</v>
      </c>
      <c r="H232">
        <v>180</v>
      </c>
      <c r="I232">
        <v>3</v>
      </c>
      <c r="J232">
        <v>0</v>
      </c>
      <c r="K232" t="s">
        <v>233</v>
      </c>
      <c r="L232" s="264">
        <v>46336</v>
      </c>
      <c r="M232">
        <v>0</v>
      </c>
      <c r="N232">
        <v>0</v>
      </c>
      <c r="O232">
        <v>3</v>
      </c>
      <c r="P232" t="s">
        <v>302</v>
      </c>
      <c r="Q232">
        <v>0</v>
      </c>
      <c r="R232">
        <v>0</v>
      </c>
      <c r="S232">
        <v>0</v>
      </c>
      <c r="T232">
        <v>0</v>
      </c>
      <c r="U232">
        <v>0</v>
      </c>
      <c r="V232">
        <v>0</v>
      </c>
      <c r="W232">
        <v>0</v>
      </c>
      <c r="X232">
        <v>0</v>
      </c>
      <c r="Y232">
        <v>0</v>
      </c>
      <c r="Z232">
        <v>0</v>
      </c>
      <c r="AA232">
        <v>0</v>
      </c>
      <c r="AB232">
        <v>0</v>
      </c>
      <c r="AC232">
        <v>3</v>
      </c>
      <c r="AD232">
        <v>0</v>
      </c>
      <c r="AE232">
        <v>0</v>
      </c>
      <c r="AF232">
        <v>0</v>
      </c>
      <c r="AG232">
        <v>0</v>
      </c>
      <c r="AH232">
        <v>0</v>
      </c>
      <c r="AI232">
        <v>0</v>
      </c>
      <c r="AJ232">
        <v>0</v>
      </c>
    </row>
    <row r="233" spans="1:36">
      <c r="A233" t="s">
        <v>315</v>
      </c>
      <c r="B233" s="264">
        <v>46036</v>
      </c>
      <c r="C233" t="s">
        <v>709</v>
      </c>
      <c r="D233" t="s">
        <v>752</v>
      </c>
      <c r="E233" t="s">
        <v>706</v>
      </c>
      <c r="F233" t="s">
        <v>232</v>
      </c>
      <c r="G233">
        <v>0</v>
      </c>
      <c r="H233">
        <v>180</v>
      </c>
      <c r="I233">
        <v>0</v>
      </c>
      <c r="J233">
        <v>0</v>
      </c>
      <c r="K233" t="s">
        <v>233</v>
      </c>
      <c r="L233" t="s">
        <v>66</v>
      </c>
      <c r="M233">
        <v>0</v>
      </c>
      <c r="N233">
        <v>0</v>
      </c>
      <c r="O233">
        <v>0</v>
      </c>
      <c r="P233" t="s">
        <v>307</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row>
    <row r="234" spans="1:36">
      <c r="A234" t="s">
        <v>315</v>
      </c>
      <c r="B234" s="264">
        <v>46036</v>
      </c>
      <c r="C234" t="s">
        <v>716</v>
      </c>
      <c r="D234" t="s">
        <v>753</v>
      </c>
      <c r="E234" t="s">
        <v>706</v>
      </c>
      <c r="F234" t="s">
        <v>232</v>
      </c>
      <c r="G234">
        <v>5.5999999999999999E-3</v>
      </c>
      <c r="H234">
        <v>180</v>
      </c>
      <c r="I234">
        <v>1</v>
      </c>
      <c r="J234">
        <v>0</v>
      </c>
      <c r="K234" t="s">
        <v>233</v>
      </c>
      <c r="L234" s="264">
        <v>46315</v>
      </c>
      <c r="M234">
        <v>0</v>
      </c>
      <c r="N234">
        <v>0</v>
      </c>
      <c r="O234">
        <v>1</v>
      </c>
      <c r="P234" t="s">
        <v>304</v>
      </c>
      <c r="Q234">
        <v>0</v>
      </c>
      <c r="R234">
        <v>0</v>
      </c>
      <c r="S234">
        <v>0</v>
      </c>
      <c r="T234">
        <v>0</v>
      </c>
      <c r="U234">
        <v>0</v>
      </c>
      <c r="V234">
        <v>0</v>
      </c>
      <c r="W234">
        <v>0</v>
      </c>
      <c r="X234">
        <v>0</v>
      </c>
      <c r="Y234">
        <v>0</v>
      </c>
      <c r="Z234">
        <v>0</v>
      </c>
      <c r="AA234">
        <v>0</v>
      </c>
      <c r="AB234">
        <v>0</v>
      </c>
      <c r="AC234">
        <v>1</v>
      </c>
      <c r="AD234">
        <v>0</v>
      </c>
      <c r="AE234">
        <v>0</v>
      </c>
      <c r="AF234">
        <v>0</v>
      </c>
      <c r="AG234">
        <v>0</v>
      </c>
      <c r="AH234">
        <v>0</v>
      </c>
      <c r="AI234">
        <v>0</v>
      </c>
      <c r="AJ234">
        <v>0</v>
      </c>
    </row>
    <row r="235" spans="1:36">
      <c r="A235" t="s">
        <v>315</v>
      </c>
      <c r="B235" s="264">
        <v>46036</v>
      </c>
      <c r="C235" t="s">
        <v>328</v>
      </c>
      <c r="D235" t="s">
        <v>337</v>
      </c>
      <c r="E235" t="s">
        <v>320</v>
      </c>
      <c r="F235" t="s">
        <v>232</v>
      </c>
      <c r="G235">
        <v>1.67E-2</v>
      </c>
      <c r="H235">
        <v>180</v>
      </c>
      <c r="I235">
        <v>3</v>
      </c>
      <c r="J235">
        <v>0</v>
      </c>
      <c r="K235" t="s">
        <v>233</v>
      </c>
      <c r="L235" s="264">
        <v>46316</v>
      </c>
      <c r="M235">
        <v>0</v>
      </c>
      <c r="N235">
        <v>0</v>
      </c>
      <c r="O235">
        <v>3</v>
      </c>
      <c r="P235" t="s">
        <v>326</v>
      </c>
      <c r="Q235">
        <v>0</v>
      </c>
      <c r="R235">
        <v>0</v>
      </c>
      <c r="S235">
        <v>0</v>
      </c>
      <c r="T235">
        <v>0</v>
      </c>
      <c r="U235">
        <v>0</v>
      </c>
      <c r="V235">
        <v>0</v>
      </c>
      <c r="W235">
        <v>0</v>
      </c>
      <c r="X235">
        <v>0</v>
      </c>
      <c r="Y235">
        <v>0</v>
      </c>
      <c r="Z235">
        <v>0</v>
      </c>
      <c r="AA235">
        <v>0</v>
      </c>
      <c r="AB235">
        <v>0</v>
      </c>
      <c r="AC235">
        <v>3</v>
      </c>
      <c r="AD235">
        <v>0</v>
      </c>
      <c r="AE235">
        <v>0</v>
      </c>
      <c r="AF235">
        <v>0</v>
      </c>
      <c r="AG235">
        <v>0</v>
      </c>
      <c r="AH235">
        <v>0</v>
      </c>
      <c r="AI235">
        <v>0</v>
      </c>
      <c r="AJ235">
        <v>0</v>
      </c>
    </row>
    <row r="236" spans="1:36">
      <c r="A236" t="s">
        <v>315</v>
      </c>
      <c r="B236" s="264">
        <v>46036</v>
      </c>
      <c r="C236" t="s">
        <v>1006</v>
      </c>
      <c r="D236" t="s">
        <v>555</v>
      </c>
      <c r="E236" t="s">
        <v>985</v>
      </c>
      <c r="F236" t="s">
        <v>232</v>
      </c>
      <c r="G236">
        <v>6.7000000000000004E-2</v>
      </c>
      <c r="H236">
        <v>179</v>
      </c>
      <c r="I236">
        <v>12</v>
      </c>
      <c r="J236">
        <v>0</v>
      </c>
      <c r="K236" t="s">
        <v>233</v>
      </c>
      <c r="L236" s="264">
        <v>46342</v>
      </c>
      <c r="M236">
        <v>0</v>
      </c>
      <c r="N236">
        <v>0</v>
      </c>
      <c r="O236">
        <v>12</v>
      </c>
      <c r="P236" t="s">
        <v>1016</v>
      </c>
      <c r="Q236">
        <v>0</v>
      </c>
      <c r="R236">
        <v>0</v>
      </c>
      <c r="S236">
        <v>0</v>
      </c>
      <c r="T236">
        <v>0</v>
      </c>
      <c r="U236">
        <v>0</v>
      </c>
      <c r="V236">
        <v>0</v>
      </c>
      <c r="W236">
        <v>0</v>
      </c>
      <c r="X236">
        <v>0</v>
      </c>
      <c r="Y236">
        <v>0</v>
      </c>
      <c r="Z236">
        <v>0</v>
      </c>
      <c r="AA236">
        <v>0</v>
      </c>
      <c r="AB236">
        <v>0</v>
      </c>
      <c r="AC236">
        <v>6</v>
      </c>
      <c r="AD236">
        <v>0</v>
      </c>
      <c r="AE236">
        <v>5</v>
      </c>
      <c r="AF236">
        <v>1</v>
      </c>
      <c r="AG236">
        <v>0</v>
      </c>
      <c r="AH236">
        <v>0</v>
      </c>
      <c r="AI236">
        <v>0</v>
      </c>
      <c r="AJ236">
        <v>0</v>
      </c>
    </row>
    <row r="237" spans="1:36">
      <c r="A237" t="s">
        <v>315</v>
      </c>
      <c r="B237" s="264">
        <v>46036</v>
      </c>
      <c r="C237" t="s">
        <v>1253</v>
      </c>
      <c r="D237" t="s">
        <v>1274</v>
      </c>
      <c r="E237" t="s">
        <v>1239</v>
      </c>
      <c r="F237" t="s">
        <v>232</v>
      </c>
      <c r="G237">
        <v>0.1285</v>
      </c>
      <c r="H237">
        <v>179</v>
      </c>
      <c r="I237">
        <v>23</v>
      </c>
      <c r="J237">
        <v>0</v>
      </c>
      <c r="K237" t="s">
        <v>233</v>
      </c>
      <c r="L237" s="264">
        <v>46343</v>
      </c>
      <c r="M237">
        <v>0</v>
      </c>
      <c r="N237">
        <v>0</v>
      </c>
      <c r="O237">
        <v>23</v>
      </c>
      <c r="P237" t="s">
        <v>299</v>
      </c>
      <c r="Q237">
        <v>0</v>
      </c>
      <c r="R237">
        <v>0</v>
      </c>
      <c r="S237">
        <v>0</v>
      </c>
      <c r="T237">
        <v>0</v>
      </c>
      <c r="U237">
        <v>0</v>
      </c>
      <c r="V237">
        <v>0</v>
      </c>
      <c r="W237">
        <v>0</v>
      </c>
      <c r="X237">
        <v>0</v>
      </c>
      <c r="Y237">
        <v>0</v>
      </c>
      <c r="Z237">
        <v>0</v>
      </c>
      <c r="AA237">
        <v>0</v>
      </c>
      <c r="AB237">
        <v>0</v>
      </c>
      <c r="AC237">
        <v>2</v>
      </c>
      <c r="AD237">
        <v>7</v>
      </c>
      <c r="AE237">
        <v>7</v>
      </c>
      <c r="AF237">
        <v>7</v>
      </c>
      <c r="AG237">
        <v>0</v>
      </c>
      <c r="AH237">
        <v>0</v>
      </c>
      <c r="AI237">
        <v>0</v>
      </c>
      <c r="AJ237">
        <v>0</v>
      </c>
    </row>
    <row r="238" spans="1:36">
      <c r="A238" t="s">
        <v>315</v>
      </c>
      <c r="B238" s="264">
        <v>46036</v>
      </c>
      <c r="C238" t="s">
        <v>366</v>
      </c>
      <c r="D238" t="s">
        <v>580</v>
      </c>
      <c r="E238" t="s">
        <v>341</v>
      </c>
      <c r="F238" t="s">
        <v>232</v>
      </c>
      <c r="G238">
        <v>0</v>
      </c>
      <c r="H238">
        <v>180</v>
      </c>
      <c r="I238">
        <v>0</v>
      </c>
      <c r="J238">
        <v>0</v>
      </c>
      <c r="K238" t="s">
        <v>233</v>
      </c>
      <c r="L238" t="s">
        <v>66</v>
      </c>
      <c r="M238">
        <v>0</v>
      </c>
      <c r="N238">
        <v>0</v>
      </c>
      <c r="O238">
        <v>0</v>
      </c>
      <c r="P238" t="s">
        <v>436</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row>
    <row r="239" spans="1:36">
      <c r="A239" t="s">
        <v>315</v>
      </c>
      <c r="B239" s="264">
        <v>46036</v>
      </c>
      <c r="C239" t="s">
        <v>433</v>
      </c>
      <c r="D239" t="s">
        <v>582</v>
      </c>
      <c r="E239" t="s">
        <v>341</v>
      </c>
      <c r="F239" t="s">
        <v>232</v>
      </c>
      <c r="G239">
        <v>0</v>
      </c>
      <c r="H239">
        <v>180</v>
      </c>
      <c r="I239">
        <v>0</v>
      </c>
      <c r="J239">
        <v>0</v>
      </c>
      <c r="K239" t="s">
        <v>233</v>
      </c>
      <c r="L239" t="s">
        <v>66</v>
      </c>
      <c r="M239">
        <v>0</v>
      </c>
      <c r="N239">
        <v>0</v>
      </c>
      <c r="O239">
        <v>0</v>
      </c>
      <c r="P239" t="s">
        <v>436</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row>
    <row r="240" spans="1:36">
      <c r="A240" t="s">
        <v>315</v>
      </c>
      <c r="B240" s="264">
        <v>46036</v>
      </c>
      <c r="C240" t="s">
        <v>429</v>
      </c>
      <c r="D240" t="s">
        <v>559</v>
      </c>
      <c r="E240" t="s">
        <v>341</v>
      </c>
      <c r="F240" t="s">
        <v>232</v>
      </c>
      <c r="G240">
        <v>1.67E-2</v>
      </c>
      <c r="H240">
        <v>180</v>
      </c>
      <c r="I240">
        <v>3</v>
      </c>
      <c r="J240">
        <v>0</v>
      </c>
      <c r="K240" t="s">
        <v>233</v>
      </c>
      <c r="L240" s="264">
        <v>46334</v>
      </c>
      <c r="M240">
        <v>0</v>
      </c>
      <c r="N240">
        <v>0</v>
      </c>
      <c r="O240">
        <v>3</v>
      </c>
      <c r="P240" t="s">
        <v>446</v>
      </c>
      <c r="Q240">
        <v>0</v>
      </c>
      <c r="R240">
        <v>0</v>
      </c>
      <c r="S240">
        <v>0</v>
      </c>
      <c r="T240">
        <v>0</v>
      </c>
      <c r="U240">
        <v>0</v>
      </c>
      <c r="V240">
        <v>0</v>
      </c>
      <c r="W240">
        <v>0</v>
      </c>
      <c r="X240">
        <v>0</v>
      </c>
      <c r="Y240">
        <v>0</v>
      </c>
      <c r="Z240">
        <v>0</v>
      </c>
      <c r="AA240">
        <v>0</v>
      </c>
      <c r="AB240">
        <v>0</v>
      </c>
      <c r="AC240">
        <v>0</v>
      </c>
      <c r="AD240">
        <v>3</v>
      </c>
      <c r="AE240">
        <v>0</v>
      </c>
      <c r="AF240">
        <v>0</v>
      </c>
      <c r="AG240">
        <v>0</v>
      </c>
      <c r="AH240">
        <v>0</v>
      </c>
      <c r="AI240">
        <v>0</v>
      </c>
      <c r="AJ240">
        <v>0</v>
      </c>
    </row>
    <row r="241" spans="1:36">
      <c r="A241" t="s">
        <v>315</v>
      </c>
      <c r="B241" s="264">
        <v>46036</v>
      </c>
      <c r="C241" t="s">
        <v>376</v>
      </c>
      <c r="D241" t="s">
        <v>581</v>
      </c>
      <c r="E241" t="s">
        <v>341</v>
      </c>
      <c r="F241" t="s">
        <v>232</v>
      </c>
      <c r="G241">
        <v>0</v>
      </c>
      <c r="H241">
        <v>180</v>
      </c>
      <c r="I241">
        <v>0</v>
      </c>
      <c r="J241">
        <v>0</v>
      </c>
      <c r="K241" t="s">
        <v>233</v>
      </c>
      <c r="L241" t="s">
        <v>66</v>
      </c>
      <c r="M241">
        <v>0</v>
      </c>
      <c r="N241">
        <v>0</v>
      </c>
      <c r="O241">
        <v>0</v>
      </c>
      <c r="P241" t="s">
        <v>436</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row>
    <row r="242" spans="1:36">
      <c r="A242" t="s">
        <v>315</v>
      </c>
      <c r="B242" s="264">
        <v>46036</v>
      </c>
      <c r="C242" t="s">
        <v>378</v>
      </c>
      <c r="D242" t="s">
        <v>563</v>
      </c>
      <c r="E242" t="s">
        <v>341</v>
      </c>
      <c r="F242" t="s">
        <v>232</v>
      </c>
      <c r="G242">
        <v>4.4400000000000002E-2</v>
      </c>
      <c r="H242">
        <v>180</v>
      </c>
      <c r="I242">
        <v>8</v>
      </c>
      <c r="J242">
        <v>0</v>
      </c>
      <c r="K242" t="s">
        <v>233</v>
      </c>
      <c r="L242" s="264">
        <v>46327</v>
      </c>
      <c r="M242">
        <v>0</v>
      </c>
      <c r="N242">
        <v>0</v>
      </c>
      <c r="O242">
        <v>8</v>
      </c>
      <c r="P242" t="s">
        <v>306</v>
      </c>
      <c r="Q242">
        <v>0</v>
      </c>
      <c r="R242">
        <v>0</v>
      </c>
      <c r="S242">
        <v>0</v>
      </c>
      <c r="T242">
        <v>0</v>
      </c>
      <c r="U242">
        <v>0</v>
      </c>
      <c r="V242">
        <v>0</v>
      </c>
      <c r="W242">
        <v>0</v>
      </c>
      <c r="X242">
        <v>0</v>
      </c>
      <c r="Y242">
        <v>0</v>
      </c>
      <c r="Z242">
        <v>0</v>
      </c>
      <c r="AA242">
        <v>0</v>
      </c>
      <c r="AB242">
        <v>0</v>
      </c>
      <c r="AC242">
        <v>1</v>
      </c>
      <c r="AD242">
        <v>7</v>
      </c>
      <c r="AE242">
        <v>0</v>
      </c>
      <c r="AF242">
        <v>0</v>
      </c>
      <c r="AG242">
        <v>0</v>
      </c>
      <c r="AH242">
        <v>0</v>
      </c>
      <c r="AI242">
        <v>0</v>
      </c>
      <c r="AJ242">
        <v>0</v>
      </c>
    </row>
    <row r="243" spans="1:36">
      <c r="A243" t="s">
        <v>315</v>
      </c>
      <c r="B243" s="264">
        <v>46036</v>
      </c>
      <c r="C243" t="s">
        <v>818</v>
      </c>
      <c r="D243" t="s">
        <v>974</v>
      </c>
      <c r="E243" t="s">
        <v>808</v>
      </c>
      <c r="F243" t="s">
        <v>232</v>
      </c>
      <c r="G243">
        <v>3.3500000000000002E-2</v>
      </c>
      <c r="H243">
        <v>179</v>
      </c>
      <c r="I243">
        <v>6</v>
      </c>
      <c r="J243">
        <v>0</v>
      </c>
      <c r="K243" t="s">
        <v>233</v>
      </c>
      <c r="L243" s="264">
        <v>46344</v>
      </c>
      <c r="M243">
        <v>0</v>
      </c>
      <c r="N243">
        <v>0</v>
      </c>
      <c r="O243">
        <v>6</v>
      </c>
      <c r="P243" t="s">
        <v>326</v>
      </c>
      <c r="Q243">
        <v>0</v>
      </c>
      <c r="R243">
        <v>0</v>
      </c>
      <c r="S243">
        <v>0</v>
      </c>
      <c r="T243">
        <v>0</v>
      </c>
      <c r="U243">
        <v>0</v>
      </c>
      <c r="V243">
        <v>0</v>
      </c>
      <c r="W243">
        <v>0</v>
      </c>
      <c r="X243">
        <v>0</v>
      </c>
      <c r="Y243">
        <v>0</v>
      </c>
      <c r="Z243">
        <v>0</v>
      </c>
      <c r="AA243">
        <v>0</v>
      </c>
      <c r="AB243">
        <v>0</v>
      </c>
      <c r="AC243">
        <v>0</v>
      </c>
      <c r="AD243">
        <v>0</v>
      </c>
      <c r="AE243">
        <v>0</v>
      </c>
      <c r="AF243">
        <v>6</v>
      </c>
      <c r="AG243">
        <v>0</v>
      </c>
      <c r="AH243">
        <v>0</v>
      </c>
      <c r="AI243">
        <v>0</v>
      </c>
      <c r="AJ243">
        <v>0</v>
      </c>
    </row>
    <row r="244" spans="1:36">
      <c r="A244" t="s">
        <v>315</v>
      </c>
      <c r="B244" s="264">
        <v>46036</v>
      </c>
      <c r="C244" t="s">
        <v>854</v>
      </c>
      <c r="D244" t="s">
        <v>975</v>
      </c>
      <c r="E244" t="s">
        <v>808</v>
      </c>
      <c r="F244" t="s">
        <v>232</v>
      </c>
      <c r="G244">
        <v>3.9100000000000003E-2</v>
      </c>
      <c r="H244">
        <v>179</v>
      </c>
      <c r="I244">
        <v>7</v>
      </c>
      <c r="J244">
        <v>0</v>
      </c>
      <c r="K244" t="s">
        <v>233</v>
      </c>
      <c r="L244" s="264">
        <v>46337</v>
      </c>
      <c r="M244">
        <v>0</v>
      </c>
      <c r="N244">
        <v>0</v>
      </c>
      <c r="O244">
        <v>7</v>
      </c>
      <c r="P244" t="s">
        <v>918</v>
      </c>
      <c r="Q244">
        <v>0</v>
      </c>
      <c r="R244">
        <v>0</v>
      </c>
      <c r="S244">
        <v>0</v>
      </c>
      <c r="T244">
        <v>0</v>
      </c>
      <c r="U244">
        <v>0</v>
      </c>
      <c r="V244">
        <v>0</v>
      </c>
      <c r="W244">
        <v>0</v>
      </c>
      <c r="X244">
        <v>0</v>
      </c>
      <c r="Y244">
        <v>0</v>
      </c>
      <c r="Z244">
        <v>0</v>
      </c>
      <c r="AA244">
        <v>0</v>
      </c>
      <c r="AB244">
        <v>0</v>
      </c>
      <c r="AC244">
        <v>3</v>
      </c>
      <c r="AD244">
        <v>0</v>
      </c>
      <c r="AE244">
        <v>0</v>
      </c>
      <c r="AF244">
        <v>4</v>
      </c>
      <c r="AG244">
        <v>0</v>
      </c>
      <c r="AH244">
        <v>0</v>
      </c>
      <c r="AI244">
        <v>0</v>
      </c>
      <c r="AJ244">
        <v>0</v>
      </c>
    </row>
    <row r="245" spans="1:36">
      <c r="A245" t="s">
        <v>315</v>
      </c>
      <c r="B245" s="264">
        <v>46036</v>
      </c>
      <c r="C245" t="s">
        <v>1148</v>
      </c>
      <c r="D245" t="s">
        <v>1176</v>
      </c>
      <c r="E245" t="s">
        <v>1144</v>
      </c>
      <c r="F245" t="s">
        <v>232</v>
      </c>
      <c r="G245">
        <v>1.6799999999999999E-2</v>
      </c>
      <c r="H245">
        <v>179</v>
      </c>
      <c r="I245">
        <v>3</v>
      </c>
      <c r="J245">
        <v>0</v>
      </c>
      <c r="K245" t="s">
        <v>233</v>
      </c>
      <c r="L245" s="264">
        <v>46332</v>
      </c>
      <c r="M245">
        <v>0</v>
      </c>
      <c r="N245">
        <v>0</v>
      </c>
      <c r="O245">
        <v>3</v>
      </c>
      <c r="P245" t="s">
        <v>901</v>
      </c>
      <c r="Q245">
        <v>0</v>
      </c>
      <c r="R245">
        <v>0</v>
      </c>
      <c r="S245">
        <v>0</v>
      </c>
      <c r="T245">
        <v>0</v>
      </c>
      <c r="U245">
        <v>0</v>
      </c>
      <c r="V245">
        <v>0</v>
      </c>
      <c r="W245">
        <v>0</v>
      </c>
      <c r="X245">
        <v>0</v>
      </c>
      <c r="Y245">
        <v>0</v>
      </c>
      <c r="Z245">
        <v>1</v>
      </c>
      <c r="AA245">
        <v>0</v>
      </c>
      <c r="AB245">
        <v>0</v>
      </c>
      <c r="AC245">
        <v>0</v>
      </c>
      <c r="AD245">
        <v>0</v>
      </c>
      <c r="AE245">
        <v>0</v>
      </c>
      <c r="AF245">
        <v>2</v>
      </c>
      <c r="AG245">
        <v>0</v>
      </c>
      <c r="AH245">
        <v>0</v>
      </c>
      <c r="AI245">
        <v>0</v>
      </c>
      <c r="AJ245">
        <v>0</v>
      </c>
    </row>
    <row r="246" spans="1:36">
      <c r="A246" t="s">
        <v>315</v>
      </c>
      <c r="B246" s="264">
        <v>46036</v>
      </c>
      <c r="C246" t="s">
        <v>1215</v>
      </c>
      <c r="D246" t="s">
        <v>1238</v>
      </c>
      <c r="E246" t="s">
        <v>1213</v>
      </c>
      <c r="F246" t="s">
        <v>232</v>
      </c>
      <c r="G246">
        <v>1.6799999999999999E-2</v>
      </c>
      <c r="H246">
        <v>179</v>
      </c>
      <c r="I246">
        <v>3</v>
      </c>
      <c r="J246">
        <v>0</v>
      </c>
      <c r="K246" t="s">
        <v>233</v>
      </c>
      <c r="L246" s="264">
        <v>46328</v>
      </c>
      <c r="M246">
        <v>0</v>
      </c>
      <c r="N246">
        <v>0</v>
      </c>
      <c r="O246">
        <v>3</v>
      </c>
      <c r="P246" t="s">
        <v>549</v>
      </c>
      <c r="Q246">
        <v>0</v>
      </c>
      <c r="R246">
        <v>0</v>
      </c>
      <c r="S246">
        <v>0</v>
      </c>
      <c r="T246">
        <v>0</v>
      </c>
      <c r="U246">
        <v>0</v>
      </c>
      <c r="V246">
        <v>0</v>
      </c>
      <c r="W246">
        <v>0</v>
      </c>
      <c r="X246">
        <v>0</v>
      </c>
      <c r="Y246">
        <v>0</v>
      </c>
      <c r="Z246">
        <v>0</v>
      </c>
      <c r="AA246">
        <v>0</v>
      </c>
      <c r="AB246">
        <v>1</v>
      </c>
      <c r="AC246">
        <v>2</v>
      </c>
      <c r="AD246">
        <v>0</v>
      </c>
      <c r="AE246">
        <v>0</v>
      </c>
      <c r="AF246">
        <v>0</v>
      </c>
      <c r="AG246">
        <v>0</v>
      </c>
      <c r="AH246">
        <v>0</v>
      </c>
      <c r="AI246">
        <v>0</v>
      </c>
      <c r="AJ246">
        <v>0</v>
      </c>
    </row>
    <row r="247" spans="1:36">
      <c r="A247" t="s">
        <v>315</v>
      </c>
      <c r="B247" s="264">
        <v>46036</v>
      </c>
      <c r="C247" t="s">
        <v>613</v>
      </c>
      <c r="D247" t="s">
        <v>697</v>
      </c>
      <c r="E247" t="s">
        <v>601</v>
      </c>
      <c r="F247" t="s">
        <v>232</v>
      </c>
      <c r="G247">
        <v>1.11E-2</v>
      </c>
      <c r="H247">
        <v>180</v>
      </c>
      <c r="I247">
        <v>2</v>
      </c>
      <c r="J247">
        <v>0</v>
      </c>
      <c r="K247" t="s">
        <v>233</v>
      </c>
      <c r="L247" s="264">
        <v>46279</v>
      </c>
      <c r="M247">
        <v>0</v>
      </c>
      <c r="N247">
        <v>0</v>
      </c>
      <c r="O247">
        <v>2</v>
      </c>
      <c r="P247" t="s">
        <v>301</v>
      </c>
      <c r="Q247">
        <v>0</v>
      </c>
      <c r="R247">
        <v>0</v>
      </c>
      <c r="S247">
        <v>0</v>
      </c>
      <c r="T247">
        <v>0</v>
      </c>
      <c r="U247">
        <v>0</v>
      </c>
      <c r="V247">
        <v>0</v>
      </c>
      <c r="W247">
        <v>0</v>
      </c>
      <c r="X247">
        <v>0</v>
      </c>
      <c r="Y247">
        <v>0</v>
      </c>
      <c r="Z247">
        <v>0</v>
      </c>
      <c r="AA247">
        <v>0</v>
      </c>
      <c r="AB247">
        <v>0</v>
      </c>
      <c r="AC247">
        <v>2</v>
      </c>
      <c r="AD247">
        <v>0</v>
      </c>
      <c r="AE247">
        <v>0</v>
      </c>
      <c r="AF247">
        <v>0</v>
      </c>
      <c r="AG247">
        <v>0</v>
      </c>
      <c r="AH247">
        <v>0</v>
      </c>
      <c r="AI247">
        <v>0</v>
      </c>
      <c r="AJ247">
        <v>0</v>
      </c>
    </row>
    <row r="248" spans="1:36">
      <c r="A248" t="s">
        <v>315</v>
      </c>
      <c r="B248" s="264">
        <v>46036</v>
      </c>
      <c r="C248" t="s">
        <v>630</v>
      </c>
      <c r="D248" t="s">
        <v>698</v>
      </c>
      <c r="E248" t="s">
        <v>601</v>
      </c>
      <c r="F248" t="s">
        <v>232</v>
      </c>
      <c r="G248">
        <v>4.4400000000000002E-2</v>
      </c>
      <c r="H248">
        <v>180</v>
      </c>
      <c r="I248">
        <v>8</v>
      </c>
      <c r="J248">
        <v>0</v>
      </c>
      <c r="K248" t="s">
        <v>233</v>
      </c>
      <c r="L248" s="264">
        <v>46342</v>
      </c>
      <c r="M248">
        <v>0</v>
      </c>
      <c r="N248">
        <v>0</v>
      </c>
      <c r="O248">
        <v>8</v>
      </c>
      <c r="P248" t="s">
        <v>298</v>
      </c>
      <c r="Q248">
        <v>0</v>
      </c>
      <c r="R248">
        <v>0</v>
      </c>
      <c r="S248">
        <v>0</v>
      </c>
      <c r="T248">
        <v>0</v>
      </c>
      <c r="U248">
        <v>0</v>
      </c>
      <c r="V248">
        <v>0</v>
      </c>
      <c r="W248">
        <v>0</v>
      </c>
      <c r="X248">
        <v>0</v>
      </c>
      <c r="Y248">
        <v>0</v>
      </c>
      <c r="Z248">
        <v>0</v>
      </c>
      <c r="AA248">
        <v>0</v>
      </c>
      <c r="AB248">
        <v>0</v>
      </c>
      <c r="AC248">
        <v>8</v>
      </c>
      <c r="AD248">
        <v>0</v>
      </c>
      <c r="AE248">
        <v>0</v>
      </c>
      <c r="AF248">
        <v>0</v>
      </c>
      <c r="AG248">
        <v>0</v>
      </c>
      <c r="AH248">
        <v>0</v>
      </c>
      <c r="AI248">
        <v>0</v>
      </c>
      <c r="AJ248">
        <v>0</v>
      </c>
    </row>
    <row r="249" spans="1:36">
      <c r="A249" t="s">
        <v>315</v>
      </c>
      <c r="B249" s="264">
        <v>46036</v>
      </c>
      <c r="C249" t="s">
        <v>646</v>
      </c>
      <c r="D249" t="s">
        <v>699</v>
      </c>
      <c r="E249" t="s">
        <v>601</v>
      </c>
      <c r="F249" t="s">
        <v>232</v>
      </c>
      <c r="G249">
        <v>1.11E-2</v>
      </c>
      <c r="H249">
        <v>180</v>
      </c>
      <c r="I249">
        <v>2</v>
      </c>
      <c r="J249">
        <v>0</v>
      </c>
      <c r="K249" t="s">
        <v>233</v>
      </c>
      <c r="L249" s="264">
        <v>46340</v>
      </c>
      <c r="M249">
        <v>0</v>
      </c>
      <c r="N249">
        <v>0</v>
      </c>
      <c r="O249">
        <v>2</v>
      </c>
      <c r="P249" t="s">
        <v>301</v>
      </c>
      <c r="Q249">
        <v>0</v>
      </c>
      <c r="R249">
        <v>0</v>
      </c>
      <c r="S249">
        <v>0</v>
      </c>
      <c r="T249">
        <v>0</v>
      </c>
      <c r="U249">
        <v>0</v>
      </c>
      <c r="V249">
        <v>0</v>
      </c>
      <c r="W249">
        <v>0</v>
      </c>
      <c r="X249">
        <v>0</v>
      </c>
      <c r="Y249">
        <v>0</v>
      </c>
      <c r="Z249">
        <v>0</v>
      </c>
      <c r="AA249">
        <v>0</v>
      </c>
      <c r="AB249">
        <v>0</v>
      </c>
      <c r="AC249">
        <v>2</v>
      </c>
      <c r="AD249">
        <v>0</v>
      </c>
      <c r="AE249">
        <v>0</v>
      </c>
      <c r="AF249">
        <v>0</v>
      </c>
      <c r="AG249">
        <v>0</v>
      </c>
      <c r="AH249">
        <v>0</v>
      </c>
      <c r="AI249">
        <v>0</v>
      </c>
      <c r="AJ249">
        <v>0</v>
      </c>
    </row>
    <row r="250" spans="1:36">
      <c r="A250" t="s">
        <v>315</v>
      </c>
      <c r="B250" s="264">
        <v>46036</v>
      </c>
      <c r="C250" t="s">
        <v>263</v>
      </c>
      <c r="D250" t="s">
        <v>316</v>
      </c>
      <c r="E250" t="s">
        <v>261</v>
      </c>
      <c r="F250" t="s">
        <v>232</v>
      </c>
      <c r="G250">
        <v>0</v>
      </c>
      <c r="H250">
        <v>180</v>
      </c>
      <c r="I250">
        <v>0</v>
      </c>
      <c r="J250">
        <v>0</v>
      </c>
      <c r="K250" t="s">
        <v>233</v>
      </c>
      <c r="L250" t="s">
        <v>66</v>
      </c>
      <c r="M250">
        <v>0</v>
      </c>
      <c r="N250">
        <v>0</v>
      </c>
      <c r="O250">
        <v>0</v>
      </c>
      <c r="P250" t="s">
        <v>67</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row>
    <row r="251" spans="1:36">
      <c r="A251" t="s">
        <v>230</v>
      </c>
      <c r="B251" s="264">
        <v>46037</v>
      </c>
      <c r="C251" t="s">
        <v>709</v>
      </c>
      <c r="D251" t="s">
        <v>742</v>
      </c>
      <c r="E251" t="s">
        <v>706</v>
      </c>
      <c r="F251" t="s">
        <v>232</v>
      </c>
      <c r="G251">
        <v>1.11E-2</v>
      </c>
      <c r="H251">
        <v>180</v>
      </c>
      <c r="I251">
        <v>2</v>
      </c>
      <c r="J251">
        <v>0</v>
      </c>
      <c r="K251" t="s">
        <v>233</v>
      </c>
      <c r="L251" s="264">
        <v>46318</v>
      </c>
      <c r="M251">
        <v>0</v>
      </c>
      <c r="N251">
        <v>0</v>
      </c>
      <c r="O251">
        <v>2</v>
      </c>
      <c r="P251" t="s">
        <v>298</v>
      </c>
      <c r="Q251">
        <v>0</v>
      </c>
      <c r="R251">
        <v>0</v>
      </c>
      <c r="S251">
        <v>0</v>
      </c>
      <c r="T251">
        <v>0</v>
      </c>
      <c r="U251">
        <v>0</v>
      </c>
      <c r="V251">
        <v>0</v>
      </c>
      <c r="W251">
        <v>0</v>
      </c>
      <c r="X251">
        <v>0</v>
      </c>
      <c r="Y251">
        <v>0</v>
      </c>
      <c r="Z251">
        <v>0</v>
      </c>
      <c r="AA251">
        <v>0</v>
      </c>
      <c r="AB251">
        <v>0</v>
      </c>
      <c r="AC251">
        <v>2</v>
      </c>
      <c r="AD251">
        <v>0</v>
      </c>
      <c r="AE251">
        <v>0</v>
      </c>
      <c r="AF251">
        <v>0</v>
      </c>
      <c r="AG251">
        <v>0</v>
      </c>
      <c r="AH251">
        <v>0</v>
      </c>
      <c r="AI251">
        <v>0</v>
      </c>
      <c r="AJ251">
        <v>0</v>
      </c>
    </row>
    <row r="252" spans="1:36">
      <c r="A252" t="s">
        <v>230</v>
      </c>
      <c r="B252" s="264">
        <v>46037</v>
      </c>
      <c r="C252" t="s">
        <v>712</v>
      </c>
      <c r="D252" t="s">
        <v>743</v>
      </c>
      <c r="E252" t="s">
        <v>706</v>
      </c>
      <c r="F252" t="s">
        <v>232</v>
      </c>
      <c r="G252">
        <v>2.2200000000000001E-2</v>
      </c>
      <c r="H252">
        <v>180</v>
      </c>
      <c r="I252">
        <v>4</v>
      </c>
      <c r="J252">
        <v>0</v>
      </c>
      <c r="K252" t="s">
        <v>233</v>
      </c>
      <c r="L252" s="264">
        <v>46339</v>
      </c>
      <c r="M252">
        <v>0</v>
      </c>
      <c r="N252">
        <v>0</v>
      </c>
      <c r="O252">
        <v>4</v>
      </c>
      <c r="P252" t="s">
        <v>302</v>
      </c>
      <c r="Q252">
        <v>0</v>
      </c>
      <c r="R252">
        <v>0</v>
      </c>
      <c r="S252">
        <v>0</v>
      </c>
      <c r="T252">
        <v>0</v>
      </c>
      <c r="U252">
        <v>0</v>
      </c>
      <c r="V252">
        <v>0</v>
      </c>
      <c r="W252">
        <v>0</v>
      </c>
      <c r="X252">
        <v>0</v>
      </c>
      <c r="Y252">
        <v>0</v>
      </c>
      <c r="Z252">
        <v>0</v>
      </c>
      <c r="AA252">
        <v>1</v>
      </c>
      <c r="AB252">
        <v>0</v>
      </c>
      <c r="AC252">
        <v>3</v>
      </c>
      <c r="AD252">
        <v>0</v>
      </c>
      <c r="AE252">
        <v>0</v>
      </c>
      <c r="AF252">
        <v>0</v>
      </c>
      <c r="AG252">
        <v>0</v>
      </c>
      <c r="AH252">
        <v>0</v>
      </c>
      <c r="AI252">
        <v>0</v>
      </c>
      <c r="AJ252">
        <v>0</v>
      </c>
    </row>
    <row r="253" spans="1:36">
      <c r="A253" t="s">
        <v>230</v>
      </c>
      <c r="B253" s="264">
        <v>46037</v>
      </c>
      <c r="C253" t="s">
        <v>1241</v>
      </c>
      <c r="D253" t="s">
        <v>334</v>
      </c>
      <c r="E253" t="s">
        <v>1239</v>
      </c>
      <c r="F253" t="s">
        <v>232</v>
      </c>
      <c r="G253">
        <v>0.1061</v>
      </c>
      <c r="H253">
        <v>179</v>
      </c>
      <c r="I253">
        <v>19</v>
      </c>
      <c r="J253">
        <v>0</v>
      </c>
      <c r="K253" t="s">
        <v>233</v>
      </c>
      <c r="L253" s="264">
        <v>46341</v>
      </c>
      <c r="M253">
        <v>0</v>
      </c>
      <c r="N253">
        <v>0</v>
      </c>
      <c r="O253">
        <v>19</v>
      </c>
      <c r="P253" t="s">
        <v>981</v>
      </c>
      <c r="Q253">
        <v>0</v>
      </c>
      <c r="R253">
        <v>0</v>
      </c>
      <c r="S253">
        <v>0</v>
      </c>
      <c r="T253">
        <v>0</v>
      </c>
      <c r="U253">
        <v>0</v>
      </c>
      <c r="V253">
        <v>0</v>
      </c>
      <c r="W253">
        <v>0</v>
      </c>
      <c r="X253">
        <v>5</v>
      </c>
      <c r="Y253">
        <v>0</v>
      </c>
      <c r="Z253">
        <v>0</v>
      </c>
      <c r="AA253">
        <v>0</v>
      </c>
      <c r="AB253">
        <v>7</v>
      </c>
      <c r="AC253">
        <v>7</v>
      </c>
      <c r="AD253">
        <v>0</v>
      </c>
      <c r="AE253">
        <v>0</v>
      </c>
      <c r="AF253">
        <v>0</v>
      </c>
      <c r="AG253">
        <v>0</v>
      </c>
      <c r="AH253">
        <v>0</v>
      </c>
      <c r="AI253">
        <v>0</v>
      </c>
      <c r="AJ253">
        <v>0</v>
      </c>
    </row>
    <row r="254" spans="1:36">
      <c r="A254" t="s">
        <v>230</v>
      </c>
      <c r="B254" s="264">
        <v>46037</v>
      </c>
      <c r="C254" t="s">
        <v>1194</v>
      </c>
      <c r="D254" t="s">
        <v>1202</v>
      </c>
      <c r="E254" t="s">
        <v>1192</v>
      </c>
      <c r="F254" t="s">
        <v>232</v>
      </c>
      <c r="G254">
        <v>5.5999999999999999E-3</v>
      </c>
      <c r="H254">
        <v>179</v>
      </c>
      <c r="I254">
        <v>1</v>
      </c>
      <c r="J254">
        <v>0</v>
      </c>
      <c r="K254" t="s">
        <v>233</v>
      </c>
      <c r="L254" s="264">
        <v>46298</v>
      </c>
      <c r="M254">
        <v>0</v>
      </c>
      <c r="N254">
        <v>0</v>
      </c>
      <c r="O254">
        <v>1</v>
      </c>
      <c r="P254" t="s">
        <v>667</v>
      </c>
      <c r="Q254">
        <v>0</v>
      </c>
      <c r="R254">
        <v>0</v>
      </c>
      <c r="S254">
        <v>0</v>
      </c>
      <c r="T254">
        <v>0</v>
      </c>
      <c r="U254">
        <v>0</v>
      </c>
      <c r="V254">
        <v>0</v>
      </c>
      <c r="W254">
        <v>0</v>
      </c>
      <c r="X254">
        <v>0</v>
      </c>
      <c r="Y254">
        <v>0</v>
      </c>
      <c r="Z254">
        <v>0</v>
      </c>
      <c r="AA254">
        <v>0</v>
      </c>
      <c r="AB254">
        <v>0</v>
      </c>
      <c r="AC254">
        <v>1</v>
      </c>
      <c r="AD254">
        <v>0</v>
      </c>
      <c r="AE254">
        <v>0</v>
      </c>
      <c r="AF254">
        <v>0</v>
      </c>
      <c r="AG254">
        <v>0</v>
      </c>
      <c r="AH254">
        <v>0</v>
      </c>
      <c r="AI254">
        <v>0</v>
      </c>
      <c r="AJ254">
        <v>0</v>
      </c>
    </row>
    <row r="255" spans="1:36">
      <c r="A255" t="s">
        <v>230</v>
      </c>
      <c r="B255" s="264">
        <v>46037</v>
      </c>
      <c r="C255" t="s">
        <v>1045</v>
      </c>
      <c r="D255" t="s">
        <v>1108</v>
      </c>
      <c r="E255" t="s">
        <v>1040</v>
      </c>
      <c r="F255" t="s">
        <v>232</v>
      </c>
      <c r="G255">
        <v>4.4400000000000002E-2</v>
      </c>
      <c r="H255">
        <v>180</v>
      </c>
      <c r="I255">
        <v>8</v>
      </c>
      <c r="J255">
        <v>0</v>
      </c>
      <c r="K255" t="s">
        <v>233</v>
      </c>
      <c r="L255" s="264">
        <v>46343</v>
      </c>
      <c r="M255">
        <v>0</v>
      </c>
      <c r="N255">
        <v>0</v>
      </c>
      <c r="O255">
        <v>8</v>
      </c>
      <c r="P255" t="s">
        <v>667</v>
      </c>
      <c r="Q255">
        <v>0</v>
      </c>
      <c r="R255">
        <v>0</v>
      </c>
      <c r="S255">
        <v>0</v>
      </c>
      <c r="T255">
        <v>0</v>
      </c>
      <c r="U255">
        <v>0</v>
      </c>
      <c r="V255">
        <v>0</v>
      </c>
      <c r="W255">
        <v>0</v>
      </c>
      <c r="X255">
        <v>0</v>
      </c>
      <c r="Y255">
        <v>1</v>
      </c>
      <c r="Z255">
        <v>0</v>
      </c>
      <c r="AA255">
        <v>0</v>
      </c>
      <c r="AB255">
        <v>0</v>
      </c>
      <c r="AC255">
        <v>7</v>
      </c>
      <c r="AD255">
        <v>0</v>
      </c>
      <c r="AE255">
        <v>0</v>
      </c>
      <c r="AF255">
        <v>0</v>
      </c>
      <c r="AG255">
        <v>0</v>
      </c>
      <c r="AH255">
        <v>0</v>
      </c>
      <c r="AI255">
        <v>0</v>
      </c>
      <c r="AJ255">
        <v>0</v>
      </c>
    </row>
    <row r="256" spans="1:36">
      <c r="A256" t="s">
        <v>230</v>
      </c>
      <c r="B256" s="264">
        <v>46037</v>
      </c>
      <c r="C256" t="s">
        <v>1289</v>
      </c>
      <c r="D256" t="s">
        <v>703</v>
      </c>
      <c r="E256" t="s">
        <v>1286</v>
      </c>
      <c r="F256" t="s">
        <v>232</v>
      </c>
      <c r="G256">
        <v>1.6799999999999999E-2</v>
      </c>
      <c r="H256">
        <v>179</v>
      </c>
      <c r="I256">
        <v>3</v>
      </c>
      <c r="J256">
        <v>0</v>
      </c>
      <c r="K256" t="s">
        <v>233</v>
      </c>
      <c r="L256" s="264">
        <v>46339</v>
      </c>
      <c r="M256">
        <v>0</v>
      </c>
      <c r="N256">
        <v>0</v>
      </c>
      <c r="O256">
        <v>3</v>
      </c>
      <c r="P256" t="s">
        <v>667</v>
      </c>
      <c r="Q256">
        <v>0</v>
      </c>
      <c r="R256">
        <v>0</v>
      </c>
      <c r="S256">
        <v>0</v>
      </c>
      <c r="T256">
        <v>0</v>
      </c>
      <c r="U256">
        <v>0</v>
      </c>
      <c r="V256">
        <v>0</v>
      </c>
      <c r="W256">
        <v>0</v>
      </c>
      <c r="X256">
        <v>0</v>
      </c>
      <c r="Y256">
        <v>1</v>
      </c>
      <c r="Z256">
        <v>0</v>
      </c>
      <c r="AA256">
        <v>0</v>
      </c>
      <c r="AB256">
        <v>0</v>
      </c>
      <c r="AC256">
        <v>2</v>
      </c>
      <c r="AD256">
        <v>0</v>
      </c>
      <c r="AE256">
        <v>0</v>
      </c>
      <c r="AF256">
        <v>0</v>
      </c>
      <c r="AG256">
        <v>0</v>
      </c>
      <c r="AH256">
        <v>0</v>
      </c>
      <c r="AI256">
        <v>0</v>
      </c>
      <c r="AJ256">
        <v>0</v>
      </c>
    </row>
    <row r="257" spans="1:36">
      <c r="A257" t="s">
        <v>230</v>
      </c>
      <c r="B257" s="264">
        <v>46037</v>
      </c>
      <c r="C257" t="s">
        <v>1337</v>
      </c>
      <c r="D257" t="s">
        <v>1324</v>
      </c>
      <c r="E257" t="s">
        <v>1333</v>
      </c>
      <c r="F257" t="s">
        <v>232</v>
      </c>
      <c r="G257">
        <v>7.8200000000000006E-2</v>
      </c>
      <c r="H257">
        <v>179</v>
      </c>
      <c r="I257">
        <v>14</v>
      </c>
      <c r="J257">
        <v>0</v>
      </c>
      <c r="K257" t="s">
        <v>233</v>
      </c>
      <c r="L257" s="264">
        <v>46344</v>
      </c>
      <c r="M257">
        <v>0</v>
      </c>
      <c r="N257">
        <v>0</v>
      </c>
      <c r="O257">
        <v>14</v>
      </c>
      <c r="P257" t="s">
        <v>1119</v>
      </c>
      <c r="Q257">
        <v>0</v>
      </c>
      <c r="R257">
        <v>0</v>
      </c>
      <c r="S257">
        <v>0</v>
      </c>
      <c r="T257">
        <v>0</v>
      </c>
      <c r="U257">
        <v>0</v>
      </c>
      <c r="V257">
        <v>0</v>
      </c>
      <c r="W257">
        <v>0</v>
      </c>
      <c r="X257">
        <v>0</v>
      </c>
      <c r="Y257">
        <v>14</v>
      </c>
      <c r="Z257">
        <v>0</v>
      </c>
      <c r="AA257">
        <v>0</v>
      </c>
      <c r="AB257">
        <v>0</v>
      </c>
      <c r="AC257">
        <v>0</v>
      </c>
      <c r="AD257">
        <v>0</v>
      </c>
      <c r="AE257">
        <v>0</v>
      </c>
      <c r="AF257">
        <v>0</v>
      </c>
      <c r="AG257">
        <v>0</v>
      </c>
      <c r="AH257">
        <v>0</v>
      </c>
      <c r="AI257">
        <v>0</v>
      </c>
      <c r="AJ257">
        <v>0</v>
      </c>
    </row>
    <row r="258" spans="1:36">
      <c r="A258" t="s">
        <v>230</v>
      </c>
      <c r="B258" s="264">
        <v>46037</v>
      </c>
      <c r="C258" t="s">
        <v>366</v>
      </c>
      <c r="D258" t="s">
        <v>559</v>
      </c>
      <c r="E258" t="s">
        <v>341</v>
      </c>
      <c r="F258" t="s">
        <v>232</v>
      </c>
      <c r="G258">
        <v>9.4399999999999998E-2</v>
      </c>
      <c r="H258">
        <v>180</v>
      </c>
      <c r="I258">
        <v>17</v>
      </c>
      <c r="J258">
        <v>0</v>
      </c>
      <c r="K258" t="s">
        <v>233</v>
      </c>
      <c r="L258" s="264">
        <v>46340</v>
      </c>
      <c r="M258">
        <v>0</v>
      </c>
      <c r="N258">
        <v>0</v>
      </c>
      <c r="O258">
        <v>17</v>
      </c>
      <c r="P258" t="s">
        <v>67</v>
      </c>
      <c r="Q258">
        <v>0</v>
      </c>
      <c r="R258">
        <v>0</v>
      </c>
      <c r="S258">
        <v>0</v>
      </c>
      <c r="T258">
        <v>0</v>
      </c>
      <c r="U258">
        <v>0</v>
      </c>
      <c r="V258">
        <v>0</v>
      </c>
      <c r="W258">
        <v>0</v>
      </c>
      <c r="X258">
        <v>0</v>
      </c>
      <c r="Y258">
        <v>0</v>
      </c>
      <c r="Z258">
        <v>0</v>
      </c>
      <c r="AA258">
        <v>0</v>
      </c>
      <c r="AB258">
        <v>4</v>
      </c>
      <c r="AC258">
        <v>7</v>
      </c>
      <c r="AD258">
        <v>6</v>
      </c>
      <c r="AE258">
        <v>0</v>
      </c>
      <c r="AF258">
        <v>0</v>
      </c>
      <c r="AG258">
        <v>0</v>
      </c>
      <c r="AH258">
        <v>0</v>
      </c>
      <c r="AI258">
        <v>0</v>
      </c>
      <c r="AJ258">
        <v>0</v>
      </c>
    </row>
    <row r="259" spans="1:36">
      <c r="A259" t="s">
        <v>230</v>
      </c>
      <c r="B259" s="264">
        <v>46037</v>
      </c>
      <c r="C259" t="s">
        <v>370</v>
      </c>
      <c r="D259" t="s">
        <v>554</v>
      </c>
      <c r="E259" t="s">
        <v>341</v>
      </c>
      <c r="F259" t="s">
        <v>232</v>
      </c>
      <c r="G259">
        <v>0</v>
      </c>
      <c r="H259">
        <v>180</v>
      </c>
      <c r="I259">
        <v>0</v>
      </c>
      <c r="J259">
        <v>0</v>
      </c>
      <c r="K259" t="s">
        <v>233</v>
      </c>
      <c r="L259" t="s">
        <v>66</v>
      </c>
      <c r="M259">
        <v>0</v>
      </c>
      <c r="N259">
        <v>0</v>
      </c>
      <c r="O259">
        <v>0</v>
      </c>
      <c r="P259" t="s">
        <v>292</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row>
    <row r="260" spans="1:36">
      <c r="A260" t="s">
        <v>230</v>
      </c>
      <c r="B260" s="264">
        <v>46037</v>
      </c>
      <c r="C260" t="s">
        <v>373</v>
      </c>
      <c r="D260" t="s">
        <v>273</v>
      </c>
      <c r="E260" t="s">
        <v>341</v>
      </c>
      <c r="F260" t="s">
        <v>232</v>
      </c>
      <c r="G260">
        <v>3.3300000000000003E-2</v>
      </c>
      <c r="H260">
        <v>180</v>
      </c>
      <c r="I260">
        <v>6</v>
      </c>
      <c r="J260">
        <v>0</v>
      </c>
      <c r="K260" t="s">
        <v>233</v>
      </c>
      <c r="L260" s="264">
        <v>46341</v>
      </c>
      <c r="M260">
        <v>0</v>
      </c>
      <c r="N260">
        <v>0</v>
      </c>
      <c r="O260">
        <v>6</v>
      </c>
      <c r="P260" t="s">
        <v>430</v>
      </c>
      <c r="Q260">
        <v>0</v>
      </c>
      <c r="R260">
        <v>0</v>
      </c>
      <c r="S260">
        <v>0</v>
      </c>
      <c r="T260">
        <v>0</v>
      </c>
      <c r="U260">
        <v>0</v>
      </c>
      <c r="V260">
        <v>0</v>
      </c>
      <c r="W260">
        <v>0</v>
      </c>
      <c r="X260">
        <v>0</v>
      </c>
      <c r="Y260">
        <v>0</v>
      </c>
      <c r="Z260">
        <v>1</v>
      </c>
      <c r="AA260">
        <v>0</v>
      </c>
      <c r="AB260">
        <v>0</v>
      </c>
      <c r="AC260">
        <v>0</v>
      </c>
      <c r="AD260">
        <v>5</v>
      </c>
      <c r="AE260">
        <v>0</v>
      </c>
      <c r="AF260">
        <v>0</v>
      </c>
      <c r="AG260">
        <v>0</v>
      </c>
      <c r="AH260">
        <v>0</v>
      </c>
      <c r="AI260">
        <v>0</v>
      </c>
      <c r="AJ260">
        <v>0</v>
      </c>
    </row>
    <row r="261" spans="1:36">
      <c r="A261" t="s">
        <v>230</v>
      </c>
      <c r="B261" s="264">
        <v>46037</v>
      </c>
      <c r="C261" t="s">
        <v>376</v>
      </c>
      <c r="D261" t="s">
        <v>553</v>
      </c>
      <c r="E261" t="s">
        <v>341</v>
      </c>
      <c r="F261" t="s">
        <v>232</v>
      </c>
      <c r="G261">
        <v>3.3300000000000003E-2</v>
      </c>
      <c r="H261">
        <v>180</v>
      </c>
      <c r="I261">
        <v>6</v>
      </c>
      <c r="J261">
        <v>0</v>
      </c>
      <c r="K261" t="s">
        <v>233</v>
      </c>
      <c r="L261" s="264">
        <v>46326</v>
      </c>
      <c r="M261">
        <v>0</v>
      </c>
      <c r="N261">
        <v>0</v>
      </c>
      <c r="O261">
        <v>6</v>
      </c>
      <c r="P261" t="s">
        <v>299</v>
      </c>
      <c r="Q261">
        <v>0</v>
      </c>
      <c r="R261">
        <v>0</v>
      </c>
      <c r="S261">
        <v>0</v>
      </c>
      <c r="T261">
        <v>0</v>
      </c>
      <c r="U261">
        <v>0</v>
      </c>
      <c r="V261">
        <v>0</v>
      </c>
      <c r="W261">
        <v>0</v>
      </c>
      <c r="X261">
        <v>0</v>
      </c>
      <c r="Y261">
        <v>0</v>
      </c>
      <c r="Z261">
        <v>0</v>
      </c>
      <c r="AA261">
        <v>0</v>
      </c>
      <c r="AB261">
        <v>0</v>
      </c>
      <c r="AC261">
        <v>0</v>
      </c>
      <c r="AD261">
        <v>6</v>
      </c>
      <c r="AE261">
        <v>0</v>
      </c>
      <c r="AF261">
        <v>0</v>
      </c>
      <c r="AG261">
        <v>0</v>
      </c>
      <c r="AH261">
        <v>0</v>
      </c>
      <c r="AI261">
        <v>0</v>
      </c>
      <c r="AJ261">
        <v>0</v>
      </c>
    </row>
    <row r="262" spans="1:36">
      <c r="A262" t="s">
        <v>230</v>
      </c>
      <c r="B262" s="264">
        <v>46037</v>
      </c>
      <c r="C262" t="s">
        <v>378</v>
      </c>
      <c r="D262" t="s">
        <v>555</v>
      </c>
      <c r="E262" t="s">
        <v>341</v>
      </c>
      <c r="F262" t="s">
        <v>232</v>
      </c>
      <c r="G262">
        <v>3.3300000000000003E-2</v>
      </c>
      <c r="H262">
        <v>180</v>
      </c>
      <c r="I262">
        <v>6</v>
      </c>
      <c r="J262">
        <v>0</v>
      </c>
      <c r="K262" t="s">
        <v>233</v>
      </c>
      <c r="L262" s="264">
        <v>46344</v>
      </c>
      <c r="M262">
        <v>0</v>
      </c>
      <c r="N262">
        <v>0</v>
      </c>
      <c r="O262">
        <v>6</v>
      </c>
      <c r="P262" t="s">
        <v>299</v>
      </c>
      <c r="Q262">
        <v>0</v>
      </c>
      <c r="R262">
        <v>0</v>
      </c>
      <c r="S262">
        <v>0</v>
      </c>
      <c r="T262">
        <v>0</v>
      </c>
      <c r="U262">
        <v>0</v>
      </c>
      <c r="V262">
        <v>0</v>
      </c>
      <c r="W262">
        <v>0</v>
      </c>
      <c r="X262">
        <v>0</v>
      </c>
      <c r="Y262">
        <v>0</v>
      </c>
      <c r="Z262">
        <v>0</v>
      </c>
      <c r="AA262">
        <v>0</v>
      </c>
      <c r="AB262">
        <v>0</v>
      </c>
      <c r="AC262">
        <v>0</v>
      </c>
      <c r="AD262">
        <v>6</v>
      </c>
      <c r="AE262">
        <v>0</v>
      </c>
      <c r="AF262">
        <v>0</v>
      </c>
      <c r="AG262">
        <v>0</v>
      </c>
      <c r="AH262">
        <v>0</v>
      </c>
      <c r="AI262">
        <v>0</v>
      </c>
      <c r="AJ262">
        <v>0</v>
      </c>
    </row>
    <row r="263" spans="1:36">
      <c r="A263" t="s">
        <v>230</v>
      </c>
      <c r="B263" s="264">
        <v>46037</v>
      </c>
      <c r="C263" t="s">
        <v>380</v>
      </c>
      <c r="D263" t="s">
        <v>556</v>
      </c>
      <c r="E263" t="s">
        <v>341</v>
      </c>
      <c r="F263" t="s">
        <v>232</v>
      </c>
      <c r="G263">
        <v>0.05</v>
      </c>
      <c r="H263">
        <v>180</v>
      </c>
      <c r="I263">
        <v>9</v>
      </c>
      <c r="J263">
        <v>0</v>
      </c>
      <c r="K263" t="s">
        <v>233</v>
      </c>
      <c r="L263" s="264">
        <v>46344</v>
      </c>
      <c r="M263">
        <v>0</v>
      </c>
      <c r="N263">
        <v>0</v>
      </c>
      <c r="O263">
        <v>9</v>
      </c>
      <c r="P263" t="s">
        <v>307</v>
      </c>
      <c r="Q263">
        <v>0</v>
      </c>
      <c r="R263">
        <v>0</v>
      </c>
      <c r="S263">
        <v>0</v>
      </c>
      <c r="T263">
        <v>0</v>
      </c>
      <c r="U263">
        <v>0</v>
      </c>
      <c r="V263">
        <v>0</v>
      </c>
      <c r="W263">
        <v>0</v>
      </c>
      <c r="X263">
        <v>0</v>
      </c>
      <c r="Y263">
        <v>0</v>
      </c>
      <c r="Z263">
        <v>0</v>
      </c>
      <c r="AA263">
        <v>0</v>
      </c>
      <c r="AB263">
        <v>0</v>
      </c>
      <c r="AC263">
        <v>1</v>
      </c>
      <c r="AD263">
        <v>8</v>
      </c>
      <c r="AE263">
        <v>0</v>
      </c>
      <c r="AF263">
        <v>0</v>
      </c>
      <c r="AG263">
        <v>0</v>
      </c>
      <c r="AH263">
        <v>0</v>
      </c>
      <c r="AI263">
        <v>0</v>
      </c>
      <c r="AJ263">
        <v>0</v>
      </c>
    </row>
    <row r="264" spans="1:36">
      <c r="A264" t="s">
        <v>230</v>
      </c>
      <c r="B264" s="264">
        <v>46037</v>
      </c>
      <c r="C264" t="s">
        <v>65</v>
      </c>
      <c r="D264" t="s">
        <v>231</v>
      </c>
      <c r="E264" t="s">
        <v>1</v>
      </c>
      <c r="F264" t="s">
        <v>232</v>
      </c>
      <c r="G264">
        <v>2.7799999999999998E-2</v>
      </c>
      <c r="H264">
        <v>180</v>
      </c>
      <c r="I264">
        <v>5</v>
      </c>
      <c r="J264">
        <v>0</v>
      </c>
      <c r="K264" t="s">
        <v>233</v>
      </c>
      <c r="L264" s="264">
        <v>46342</v>
      </c>
      <c r="M264">
        <v>0</v>
      </c>
      <c r="N264">
        <v>0</v>
      </c>
      <c r="O264">
        <v>5</v>
      </c>
      <c r="P264" t="s">
        <v>67</v>
      </c>
      <c r="Q264">
        <v>0</v>
      </c>
      <c r="R264">
        <v>0</v>
      </c>
      <c r="S264">
        <v>0</v>
      </c>
      <c r="T264">
        <v>0</v>
      </c>
      <c r="U264">
        <v>0</v>
      </c>
      <c r="V264">
        <v>0</v>
      </c>
      <c r="W264">
        <v>0</v>
      </c>
      <c r="X264">
        <v>0</v>
      </c>
      <c r="Y264">
        <v>0</v>
      </c>
      <c r="Z264">
        <v>5</v>
      </c>
      <c r="AA264">
        <v>0</v>
      </c>
      <c r="AB264">
        <v>0</v>
      </c>
      <c r="AC264">
        <v>0</v>
      </c>
      <c r="AD264">
        <v>0</v>
      </c>
      <c r="AE264">
        <v>0</v>
      </c>
      <c r="AF264">
        <v>0</v>
      </c>
      <c r="AG264">
        <v>0</v>
      </c>
      <c r="AH264">
        <v>0</v>
      </c>
      <c r="AI264">
        <v>0</v>
      </c>
      <c r="AJ264">
        <v>0</v>
      </c>
    </row>
    <row r="265" spans="1:36">
      <c r="A265" t="s">
        <v>230</v>
      </c>
      <c r="B265" s="264">
        <v>46037</v>
      </c>
      <c r="C265" t="s">
        <v>818</v>
      </c>
      <c r="D265" t="s">
        <v>974</v>
      </c>
      <c r="E265" t="s">
        <v>808</v>
      </c>
      <c r="F265" t="s">
        <v>232</v>
      </c>
      <c r="G265">
        <v>1.6799999999999999E-2</v>
      </c>
      <c r="H265">
        <v>179</v>
      </c>
      <c r="I265">
        <v>3</v>
      </c>
      <c r="J265">
        <v>0</v>
      </c>
      <c r="K265" t="s">
        <v>233</v>
      </c>
      <c r="L265" s="264">
        <v>46344</v>
      </c>
      <c r="M265">
        <v>0</v>
      </c>
      <c r="N265">
        <v>0</v>
      </c>
      <c r="O265">
        <v>3</v>
      </c>
      <c r="P265" t="s">
        <v>183</v>
      </c>
      <c r="Q265">
        <v>0</v>
      </c>
      <c r="R265">
        <v>0</v>
      </c>
      <c r="S265">
        <v>0</v>
      </c>
      <c r="T265">
        <v>0</v>
      </c>
      <c r="U265">
        <v>0</v>
      </c>
      <c r="V265">
        <v>0</v>
      </c>
      <c r="W265">
        <v>0</v>
      </c>
      <c r="X265">
        <v>0</v>
      </c>
      <c r="Y265">
        <v>2</v>
      </c>
      <c r="Z265">
        <v>0</v>
      </c>
      <c r="AA265">
        <v>0</v>
      </c>
      <c r="AB265">
        <v>0</v>
      </c>
      <c r="AC265">
        <v>1</v>
      </c>
      <c r="AD265">
        <v>0</v>
      </c>
      <c r="AE265">
        <v>0</v>
      </c>
      <c r="AF265">
        <v>0</v>
      </c>
      <c r="AG265">
        <v>0</v>
      </c>
      <c r="AH265">
        <v>0</v>
      </c>
      <c r="AI265">
        <v>0</v>
      </c>
      <c r="AJ265">
        <v>0</v>
      </c>
    </row>
    <row r="266" spans="1:36">
      <c r="A266" t="s">
        <v>230</v>
      </c>
      <c r="B266" s="264">
        <v>46037</v>
      </c>
      <c r="C266" t="s">
        <v>1148</v>
      </c>
      <c r="D266" t="s">
        <v>1176</v>
      </c>
      <c r="E266" t="s">
        <v>1144</v>
      </c>
      <c r="F266" t="s">
        <v>232</v>
      </c>
      <c r="G266">
        <v>1.6799999999999999E-2</v>
      </c>
      <c r="H266">
        <v>179</v>
      </c>
      <c r="I266">
        <v>3</v>
      </c>
      <c r="J266">
        <v>0</v>
      </c>
      <c r="K266" t="s">
        <v>233</v>
      </c>
      <c r="L266" s="264">
        <v>46294</v>
      </c>
      <c r="M266">
        <v>0</v>
      </c>
      <c r="N266">
        <v>0</v>
      </c>
      <c r="O266">
        <v>3</v>
      </c>
      <c r="P266" t="s">
        <v>667</v>
      </c>
      <c r="Q266">
        <v>0</v>
      </c>
      <c r="R266">
        <v>0</v>
      </c>
      <c r="S266">
        <v>0</v>
      </c>
      <c r="T266">
        <v>0</v>
      </c>
      <c r="U266">
        <v>0</v>
      </c>
      <c r="V266">
        <v>0</v>
      </c>
      <c r="W266">
        <v>0</v>
      </c>
      <c r="X266">
        <v>0</v>
      </c>
      <c r="Y266">
        <v>0</v>
      </c>
      <c r="Z266">
        <v>0</v>
      </c>
      <c r="AA266">
        <v>0</v>
      </c>
      <c r="AB266">
        <v>0</v>
      </c>
      <c r="AC266">
        <v>3</v>
      </c>
      <c r="AD266">
        <v>0</v>
      </c>
      <c r="AE266">
        <v>0</v>
      </c>
      <c r="AF266">
        <v>0</v>
      </c>
      <c r="AG266">
        <v>0</v>
      </c>
      <c r="AH266">
        <v>0</v>
      </c>
      <c r="AI266">
        <v>0</v>
      </c>
      <c r="AJ266">
        <v>0</v>
      </c>
    </row>
    <row r="267" spans="1:36">
      <c r="A267" t="s">
        <v>230</v>
      </c>
      <c r="B267" s="264">
        <v>46037</v>
      </c>
      <c r="C267" t="s">
        <v>1215</v>
      </c>
      <c r="D267" t="s">
        <v>563</v>
      </c>
      <c r="E267" t="s">
        <v>1213</v>
      </c>
      <c r="F267" t="s">
        <v>232</v>
      </c>
      <c r="G267">
        <v>1.6799999999999999E-2</v>
      </c>
      <c r="H267">
        <v>179</v>
      </c>
      <c r="I267">
        <v>3</v>
      </c>
      <c r="J267">
        <v>0</v>
      </c>
      <c r="K267" t="s">
        <v>233</v>
      </c>
      <c r="L267" s="264">
        <v>46322</v>
      </c>
      <c r="M267">
        <v>0</v>
      </c>
      <c r="N267">
        <v>0</v>
      </c>
      <c r="O267">
        <v>3</v>
      </c>
      <c r="P267" t="s">
        <v>549</v>
      </c>
      <c r="Q267">
        <v>0</v>
      </c>
      <c r="R267">
        <v>0</v>
      </c>
      <c r="S267">
        <v>0</v>
      </c>
      <c r="T267">
        <v>0</v>
      </c>
      <c r="U267">
        <v>0</v>
      </c>
      <c r="V267">
        <v>0</v>
      </c>
      <c r="W267">
        <v>0</v>
      </c>
      <c r="X267">
        <v>0</v>
      </c>
      <c r="Y267">
        <v>0</v>
      </c>
      <c r="Z267">
        <v>1</v>
      </c>
      <c r="AA267">
        <v>0</v>
      </c>
      <c r="AB267">
        <v>0</v>
      </c>
      <c r="AC267">
        <v>2</v>
      </c>
      <c r="AD267">
        <v>0</v>
      </c>
      <c r="AE267">
        <v>0</v>
      </c>
      <c r="AF267">
        <v>0</v>
      </c>
      <c r="AG267">
        <v>0</v>
      </c>
      <c r="AH267">
        <v>0</v>
      </c>
      <c r="AI267">
        <v>0</v>
      </c>
      <c r="AJ267">
        <v>0</v>
      </c>
    </row>
    <row r="268" spans="1:36">
      <c r="A268" t="s">
        <v>230</v>
      </c>
      <c r="B268" s="264">
        <v>46037</v>
      </c>
      <c r="C268" t="s">
        <v>613</v>
      </c>
      <c r="D268" t="s">
        <v>687</v>
      </c>
      <c r="E268" t="s">
        <v>601</v>
      </c>
      <c r="F268" t="s">
        <v>232</v>
      </c>
      <c r="G268">
        <v>0.05</v>
      </c>
      <c r="H268">
        <v>180</v>
      </c>
      <c r="I268">
        <v>9</v>
      </c>
      <c r="J268">
        <v>0</v>
      </c>
      <c r="K268" t="s">
        <v>233</v>
      </c>
      <c r="L268" s="264">
        <v>46344</v>
      </c>
      <c r="M268">
        <v>0</v>
      </c>
      <c r="N268">
        <v>0</v>
      </c>
      <c r="O268">
        <v>9</v>
      </c>
      <c r="P268" t="s">
        <v>302</v>
      </c>
      <c r="Q268">
        <v>0</v>
      </c>
      <c r="R268">
        <v>0</v>
      </c>
      <c r="S268">
        <v>0</v>
      </c>
      <c r="T268">
        <v>0</v>
      </c>
      <c r="U268">
        <v>0</v>
      </c>
      <c r="V268">
        <v>0</v>
      </c>
      <c r="W268">
        <v>0</v>
      </c>
      <c r="X268">
        <v>0</v>
      </c>
      <c r="Y268">
        <v>0</v>
      </c>
      <c r="Z268">
        <v>0</v>
      </c>
      <c r="AA268">
        <v>0</v>
      </c>
      <c r="AB268">
        <v>0</v>
      </c>
      <c r="AC268">
        <v>9</v>
      </c>
      <c r="AD268">
        <v>0</v>
      </c>
      <c r="AE268">
        <v>0</v>
      </c>
      <c r="AF268">
        <v>0</v>
      </c>
      <c r="AG268">
        <v>0</v>
      </c>
      <c r="AH268">
        <v>0</v>
      </c>
      <c r="AI268">
        <v>0</v>
      </c>
      <c r="AJ268">
        <v>0</v>
      </c>
    </row>
    <row r="269" spans="1:36">
      <c r="A269" t="s">
        <v>230</v>
      </c>
      <c r="B269" s="264">
        <v>46037</v>
      </c>
      <c r="C269" t="s">
        <v>263</v>
      </c>
      <c r="D269" t="s">
        <v>313</v>
      </c>
      <c r="E269" t="s">
        <v>261</v>
      </c>
      <c r="F269" t="s">
        <v>232</v>
      </c>
      <c r="G269">
        <v>5.5999999999999999E-3</v>
      </c>
      <c r="H269">
        <v>180</v>
      </c>
      <c r="I269">
        <v>1</v>
      </c>
      <c r="J269">
        <v>0</v>
      </c>
      <c r="K269" t="s">
        <v>233</v>
      </c>
      <c r="L269" s="264">
        <v>46344</v>
      </c>
      <c r="M269">
        <v>0</v>
      </c>
      <c r="N269">
        <v>0</v>
      </c>
      <c r="O269">
        <v>1</v>
      </c>
      <c r="P269" t="s">
        <v>67</v>
      </c>
      <c r="Q269">
        <v>0</v>
      </c>
      <c r="R269">
        <v>0</v>
      </c>
      <c r="S269">
        <v>0</v>
      </c>
      <c r="T269">
        <v>0</v>
      </c>
      <c r="U269">
        <v>0</v>
      </c>
      <c r="V269">
        <v>0</v>
      </c>
      <c r="W269">
        <v>0</v>
      </c>
      <c r="X269">
        <v>0</v>
      </c>
      <c r="Y269">
        <v>0</v>
      </c>
      <c r="Z269">
        <v>0</v>
      </c>
      <c r="AA269">
        <v>0</v>
      </c>
      <c r="AB269">
        <v>1</v>
      </c>
      <c r="AC269">
        <v>0</v>
      </c>
      <c r="AD269">
        <v>0</v>
      </c>
      <c r="AE269">
        <v>0</v>
      </c>
      <c r="AF269">
        <v>0</v>
      </c>
      <c r="AG269">
        <v>0</v>
      </c>
      <c r="AH269">
        <v>0</v>
      </c>
      <c r="AI269">
        <v>0</v>
      </c>
      <c r="AJ269">
        <v>0</v>
      </c>
    </row>
    <row r="270" spans="1:36">
      <c r="A270" t="s">
        <v>560</v>
      </c>
      <c r="B270" s="264">
        <v>46038</v>
      </c>
      <c r="C270" t="s">
        <v>1279</v>
      </c>
      <c r="D270" t="s">
        <v>1283</v>
      </c>
      <c r="E270" t="s">
        <v>1276</v>
      </c>
      <c r="F270" t="s">
        <v>232</v>
      </c>
      <c r="G270">
        <v>2.23E-2</v>
      </c>
      <c r="H270">
        <v>179</v>
      </c>
      <c r="I270">
        <v>4</v>
      </c>
      <c r="J270">
        <v>0</v>
      </c>
      <c r="K270" t="s">
        <v>233</v>
      </c>
      <c r="L270" s="264">
        <v>46343</v>
      </c>
      <c r="M270">
        <v>0</v>
      </c>
      <c r="N270">
        <v>0</v>
      </c>
      <c r="O270">
        <v>4</v>
      </c>
      <c r="P270" t="s">
        <v>1117</v>
      </c>
      <c r="Q270">
        <v>0</v>
      </c>
      <c r="R270">
        <v>0</v>
      </c>
      <c r="S270">
        <v>0</v>
      </c>
      <c r="T270">
        <v>0</v>
      </c>
      <c r="U270">
        <v>0</v>
      </c>
      <c r="V270">
        <v>0</v>
      </c>
      <c r="W270">
        <v>0</v>
      </c>
      <c r="X270">
        <v>0</v>
      </c>
      <c r="Y270">
        <v>4</v>
      </c>
      <c r="Z270">
        <v>0</v>
      </c>
      <c r="AA270">
        <v>0</v>
      </c>
      <c r="AB270">
        <v>0</v>
      </c>
      <c r="AC270">
        <v>0</v>
      </c>
      <c r="AD270">
        <v>0</v>
      </c>
      <c r="AE270">
        <v>0</v>
      </c>
      <c r="AF270">
        <v>0</v>
      </c>
      <c r="AG270">
        <v>0</v>
      </c>
      <c r="AH270">
        <v>0</v>
      </c>
      <c r="AI270">
        <v>0</v>
      </c>
      <c r="AJ270">
        <v>0</v>
      </c>
    </row>
    <row r="271" spans="1:36">
      <c r="A271" t="s">
        <v>560</v>
      </c>
      <c r="B271" s="264">
        <v>46038</v>
      </c>
      <c r="C271" t="s">
        <v>1208</v>
      </c>
      <c r="D271" t="s">
        <v>313</v>
      </c>
      <c r="E271" t="s">
        <v>1205</v>
      </c>
      <c r="F271" t="s">
        <v>232</v>
      </c>
      <c r="G271">
        <v>0</v>
      </c>
      <c r="H271">
        <v>179</v>
      </c>
      <c r="I271">
        <v>0</v>
      </c>
      <c r="J271">
        <v>0</v>
      </c>
      <c r="K271" t="s">
        <v>233</v>
      </c>
      <c r="L271" t="s">
        <v>66</v>
      </c>
      <c r="M271">
        <v>0</v>
      </c>
      <c r="N271">
        <v>0</v>
      </c>
      <c r="O271">
        <v>0</v>
      </c>
      <c r="P271" t="s">
        <v>956</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row>
    <row r="272" spans="1:36">
      <c r="A272" t="s">
        <v>560</v>
      </c>
      <c r="B272" s="264">
        <v>46038</v>
      </c>
      <c r="C272" t="s">
        <v>1125</v>
      </c>
      <c r="D272" t="s">
        <v>1140</v>
      </c>
      <c r="E272" t="s">
        <v>1123</v>
      </c>
      <c r="F272" t="s">
        <v>232</v>
      </c>
      <c r="G272">
        <v>1.11E-2</v>
      </c>
      <c r="H272">
        <v>180</v>
      </c>
      <c r="I272">
        <v>2</v>
      </c>
      <c r="J272">
        <v>0</v>
      </c>
      <c r="K272" t="s">
        <v>233</v>
      </c>
      <c r="L272" s="264">
        <v>46320</v>
      </c>
      <c r="M272">
        <v>0</v>
      </c>
      <c r="N272">
        <v>0</v>
      </c>
      <c r="O272">
        <v>2</v>
      </c>
      <c r="P272" t="s">
        <v>667</v>
      </c>
      <c r="Q272">
        <v>0</v>
      </c>
      <c r="R272">
        <v>0</v>
      </c>
      <c r="S272">
        <v>0</v>
      </c>
      <c r="T272">
        <v>0</v>
      </c>
      <c r="U272">
        <v>0</v>
      </c>
      <c r="V272">
        <v>0</v>
      </c>
      <c r="W272">
        <v>0</v>
      </c>
      <c r="X272">
        <v>0</v>
      </c>
      <c r="Y272">
        <v>1</v>
      </c>
      <c r="Z272">
        <v>0</v>
      </c>
      <c r="AA272">
        <v>0</v>
      </c>
      <c r="AB272">
        <v>0</v>
      </c>
      <c r="AC272">
        <v>1</v>
      </c>
      <c r="AD272">
        <v>0</v>
      </c>
      <c r="AE272">
        <v>0</v>
      </c>
      <c r="AF272">
        <v>0</v>
      </c>
      <c r="AG272">
        <v>0</v>
      </c>
      <c r="AH272">
        <v>0</v>
      </c>
      <c r="AI272">
        <v>0</v>
      </c>
      <c r="AJ272">
        <v>0</v>
      </c>
    </row>
    <row r="273" spans="1:36">
      <c r="A273" t="s">
        <v>560</v>
      </c>
      <c r="B273" s="264">
        <v>46038</v>
      </c>
      <c r="C273" t="s">
        <v>716</v>
      </c>
      <c r="D273" t="s">
        <v>744</v>
      </c>
      <c r="E273" t="s">
        <v>706</v>
      </c>
      <c r="F273" t="s">
        <v>232</v>
      </c>
      <c r="G273">
        <v>3.8899999999999997E-2</v>
      </c>
      <c r="H273">
        <v>180</v>
      </c>
      <c r="I273">
        <v>7</v>
      </c>
      <c r="J273">
        <v>0</v>
      </c>
      <c r="K273" t="s">
        <v>233</v>
      </c>
      <c r="L273" s="264">
        <v>46336</v>
      </c>
      <c r="M273">
        <v>0</v>
      </c>
      <c r="N273">
        <v>0</v>
      </c>
      <c r="O273">
        <v>7</v>
      </c>
      <c r="P273" t="s">
        <v>184</v>
      </c>
      <c r="Q273">
        <v>0</v>
      </c>
      <c r="R273">
        <v>0</v>
      </c>
      <c r="S273">
        <v>0</v>
      </c>
      <c r="T273">
        <v>0</v>
      </c>
      <c r="U273">
        <v>0</v>
      </c>
      <c r="V273">
        <v>0</v>
      </c>
      <c r="W273">
        <v>0</v>
      </c>
      <c r="X273">
        <v>0</v>
      </c>
      <c r="Y273">
        <v>0</v>
      </c>
      <c r="Z273">
        <v>0</v>
      </c>
      <c r="AA273">
        <v>2</v>
      </c>
      <c r="AB273">
        <v>1</v>
      </c>
      <c r="AC273">
        <v>4</v>
      </c>
      <c r="AD273">
        <v>0</v>
      </c>
      <c r="AE273">
        <v>0</v>
      </c>
      <c r="AF273">
        <v>0</v>
      </c>
      <c r="AG273">
        <v>0</v>
      </c>
      <c r="AH273">
        <v>0</v>
      </c>
      <c r="AI273">
        <v>0</v>
      </c>
      <c r="AJ273">
        <v>0</v>
      </c>
    </row>
    <row r="274" spans="1:36">
      <c r="A274" t="s">
        <v>560</v>
      </c>
      <c r="B274" s="264">
        <v>46038</v>
      </c>
      <c r="C274" t="s">
        <v>1181</v>
      </c>
      <c r="D274" t="s">
        <v>1188</v>
      </c>
      <c r="E274" t="s">
        <v>1178</v>
      </c>
      <c r="F274" t="s">
        <v>232</v>
      </c>
      <c r="G274">
        <v>0</v>
      </c>
      <c r="H274">
        <v>179</v>
      </c>
      <c r="I274">
        <v>0</v>
      </c>
      <c r="J274">
        <v>0</v>
      </c>
      <c r="K274" t="s">
        <v>233</v>
      </c>
      <c r="L274" t="s">
        <v>66</v>
      </c>
      <c r="M274">
        <v>0</v>
      </c>
      <c r="N274">
        <v>0</v>
      </c>
      <c r="O274">
        <v>0</v>
      </c>
      <c r="P274" t="s">
        <v>667</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row>
    <row r="275" spans="1:36">
      <c r="A275" t="s">
        <v>560</v>
      </c>
      <c r="B275" s="264">
        <v>46038</v>
      </c>
      <c r="C275" t="s">
        <v>1045</v>
      </c>
      <c r="D275" t="s">
        <v>231</v>
      </c>
      <c r="E275" t="s">
        <v>1040</v>
      </c>
      <c r="F275" t="s">
        <v>232</v>
      </c>
      <c r="G275">
        <v>8.3299999999999999E-2</v>
      </c>
      <c r="H275">
        <v>180</v>
      </c>
      <c r="I275">
        <v>15</v>
      </c>
      <c r="J275">
        <v>0</v>
      </c>
      <c r="K275" t="s">
        <v>233</v>
      </c>
      <c r="L275" s="264">
        <v>46343</v>
      </c>
      <c r="M275">
        <v>0</v>
      </c>
      <c r="N275">
        <v>0</v>
      </c>
      <c r="O275">
        <v>13</v>
      </c>
      <c r="P275" t="s">
        <v>1087</v>
      </c>
      <c r="Q275">
        <v>0</v>
      </c>
      <c r="R275">
        <v>0</v>
      </c>
      <c r="S275">
        <v>0</v>
      </c>
      <c r="T275">
        <v>0</v>
      </c>
      <c r="U275">
        <v>0</v>
      </c>
      <c r="V275">
        <v>0</v>
      </c>
      <c r="W275">
        <v>0</v>
      </c>
      <c r="X275">
        <v>0</v>
      </c>
      <c r="Y275">
        <v>9</v>
      </c>
      <c r="Z275">
        <v>4</v>
      </c>
      <c r="AA275">
        <v>2</v>
      </c>
      <c r="AB275">
        <v>0</v>
      </c>
      <c r="AC275">
        <v>0</v>
      </c>
      <c r="AD275">
        <v>0</v>
      </c>
      <c r="AE275">
        <v>0</v>
      </c>
      <c r="AF275">
        <v>0</v>
      </c>
      <c r="AG275">
        <v>0</v>
      </c>
      <c r="AH275">
        <v>0</v>
      </c>
      <c r="AI275">
        <v>0</v>
      </c>
      <c r="AJ275">
        <v>0</v>
      </c>
    </row>
    <row r="276" spans="1:36">
      <c r="A276" t="s">
        <v>560</v>
      </c>
      <c r="B276" s="264">
        <v>46038</v>
      </c>
      <c r="C276" t="s">
        <v>1289</v>
      </c>
      <c r="D276" t="s">
        <v>574</v>
      </c>
      <c r="E276" t="s">
        <v>1286</v>
      </c>
      <c r="F276" t="s">
        <v>232</v>
      </c>
      <c r="G276">
        <v>7.8200000000000006E-2</v>
      </c>
      <c r="H276">
        <v>179</v>
      </c>
      <c r="I276">
        <v>14</v>
      </c>
      <c r="J276">
        <v>0</v>
      </c>
      <c r="K276" t="s">
        <v>233</v>
      </c>
      <c r="L276" s="264">
        <v>46345</v>
      </c>
      <c r="M276">
        <v>0</v>
      </c>
      <c r="N276">
        <v>0</v>
      </c>
      <c r="O276">
        <v>14</v>
      </c>
      <c r="P276" t="s">
        <v>1119</v>
      </c>
      <c r="Q276">
        <v>0</v>
      </c>
      <c r="R276">
        <v>0</v>
      </c>
      <c r="S276">
        <v>0</v>
      </c>
      <c r="T276">
        <v>0</v>
      </c>
      <c r="U276">
        <v>0</v>
      </c>
      <c r="V276">
        <v>0</v>
      </c>
      <c r="W276">
        <v>0</v>
      </c>
      <c r="X276">
        <v>0</v>
      </c>
      <c r="Y276">
        <v>8</v>
      </c>
      <c r="Z276">
        <v>2</v>
      </c>
      <c r="AA276">
        <v>4</v>
      </c>
      <c r="AB276">
        <v>0</v>
      </c>
      <c r="AC276">
        <v>0</v>
      </c>
      <c r="AD276">
        <v>0</v>
      </c>
      <c r="AE276">
        <v>0</v>
      </c>
      <c r="AF276">
        <v>0</v>
      </c>
      <c r="AG276">
        <v>0</v>
      </c>
      <c r="AH276">
        <v>0</v>
      </c>
      <c r="AI276">
        <v>0</v>
      </c>
      <c r="AJ276">
        <v>0</v>
      </c>
    </row>
    <row r="277" spans="1:36">
      <c r="A277" t="s">
        <v>560</v>
      </c>
      <c r="B277" s="264">
        <v>46038</v>
      </c>
      <c r="C277" t="s">
        <v>433</v>
      </c>
      <c r="D277" t="s">
        <v>565</v>
      </c>
      <c r="E277" t="s">
        <v>341</v>
      </c>
      <c r="F277" t="s">
        <v>232</v>
      </c>
      <c r="G277">
        <v>0.1</v>
      </c>
      <c r="H277">
        <v>180</v>
      </c>
      <c r="I277">
        <v>18</v>
      </c>
      <c r="J277">
        <v>0</v>
      </c>
      <c r="K277" t="s">
        <v>233</v>
      </c>
      <c r="L277" s="264">
        <v>46344</v>
      </c>
      <c r="M277">
        <v>0</v>
      </c>
      <c r="N277">
        <v>0</v>
      </c>
      <c r="O277">
        <v>18</v>
      </c>
      <c r="P277" t="s">
        <v>67</v>
      </c>
      <c r="Q277">
        <v>0</v>
      </c>
      <c r="R277">
        <v>0</v>
      </c>
      <c r="S277">
        <v>0</v>
      </c>
      <c r="T277">
        <v>0</v>
      </c>
      <c r="U277">
        <v>0</v>
      </c>
      <c r="V277">
        <v>0</v>
      </c>
      <c r="W277">
        <v>0</v>
      </c>
      <c r="X277">
        <v>0</v>
      </c>
      <c r="Y277">
        <v>0</v>
      </c>
      <c r="Z277">
        <v>0</v>
      </c>
      <c r="AA277">
        <v>0</v>
      </c>
      <c r="AB277">
        <v>5</v>
      </c>
      <c r="AC277">
        <v>3</v>
      </c>
      <c r="AD277">
        <v>10</v>
      </c>
      <c r="AE277">
        <v>0</v>
      </c>
      <c r="AF277">
        <v>0</v>
      </c>
      <c r="AG277">
        <v>0</v>
      </c>
      <c r="AH277">
        <v>0</v>
      </c>
      <c r="AI277">
        <v>0</v>
      </c>
      <c r="AJ277">
        <v>0</v>
      </c>
    </row>
    <row r="278" spans="1:36">
      <c r="A278" t="s">
        <v>560</v>
      </c>
      <c r="B278" s="264">
        <v>46038</v>
      </c>
      <c r="C278" t="s">
        <v>429</v>
      </c>
      <c r="D278" t="s">
        <v>564</v>
      </c>
      <c r="E278" t="s">
        <v>341</v>
      </c>
      <c r="F278" t="s">
        <v>232</v>
      </c>
      <c r="G278">
        <v>7.7799999999999994E-2</v>
      </c>
      <c r="H278">
        <v>180</v>
      </c>
      <c r="I278">
        <v>14</v>
      </c>
      <c r="J278">
        <v>0</v>
      </c>
      <c r="K278" t="s">
        <v>233</v>
      </c>
      <c r="L278" s="264">
        <v>46344</v>
      </c>
      <c r="M278">
        <v>0</v>
      </c>
      <c r="N278">
        <v>0</v>
      </c>
      <c r="O278">
        <v>14</v>
      </c>
      <c r="P278" t="s">
        <v>298</v>
      </c>
      <c r="Q278">
        <v>0</v>
      </c>
      <c r="R278">
        <v>0</v>
      </c>
      <c r="S278">
        <v>0</v>
      </c>
      <c r="T278">
        <v>0</v>
      </c>
      <c r="U278">
        <v>0</v>
      </c>
      <c r="V278">
        <v>0</v>
      </c>
      <c r="W278">
        <v>0</v>
      </c>
      <c r="X278">
        <v>0</v>
      </c>
      <c r="Y278">
        <v>0</v>
      </c>
      <c r="Z278">
        <v>3</v>
      </c>
      <c r="AA278">
        <v>0</v>
      </c>
      <c r="AB278">
        <v>0</v>
      </c>
      <c r="AC278">
        <v>1</v>
      </c>
      <c r="AD278">
        <v>10</v>
      </c>
      <c r="AE278">
        <v>0</v>
      </c>
      <c r="AF278">
        <v>0</v>
      </c>
      <c r="AG278">
        <v>0</v>
      </c>
      <c r="AH278">
        <v>0</v>
      </c>
      <c r="AI278">
        <v>0</v>
      </c>
      <c r="AJ278">
        <v>0</v>
      </c>
    </row>
    <row r="279" spans="1:36">
      <c r="A279" t="s">
        <v>560</v>
      </c>
      <c r="B279" s="264">
        <v>46038</v>
      </c>
      <c r="C279" t="s">
        <v>376</v>
      </c>
      <c r="D279" t="s">
        <v>561</v>
      </c>
      <c r="E279" t="s">
        <v>341</v>
      </c>
      <c r="F279" t="s">
        <v>232</v>
      </c>
      <c r="G279">
        <v>6.6699999999999995E-2</v>
      </c>
      <c r="H279">
        <v>180</v>
      </c>
      <c r="I279">
        <v>12</v>
      </c>
      <c r="J279">
        <v>0</v>
      </c>
      <c r="K279" t="s">
        <v>233</v>
      </c>
      <c r="L279" s="264">
        <v>46330</v>
      </c>
      <c r="M279">
        <v>0</v>
      </c>
      <c r="N279">
        <v>0</v>
      </c>
      <c r="O279">
        <v>12</v>
      </c>
      <c r="P279" t="s">
        <v>302</v>
      </c>
      <c r="Q279">
        <v>0</v>
      </c>
      <c r="R279">
        <v>0</v>
      </c>
      <c r="S279">
        <v>0</v>
      </c>
      <c r="T279">
        <v>0</v>
      </c>
      <c r="U279">
        <v>0</v>
      </c>
      <c r="V279">
        <v>0</v>
      </c>
      <c r="W279">
        <v>0</v>
      </c>
      <c r="X279">
        <v>0</v>
      </c>
      <c r="Y279">
        <v>0</v>
      </c>
      <c r="Z279">
        <v>0</v>
      </c>
      <c r="AA279">
        <v>0</v>
      </c>
      <c r="AB279">
        <v>0</v>
      </c>
      <c r="AC279">
        <v>6</v>
      </c>
      <c r="AD279">
        <v>6</v>
      </c>
      <c r="AE279">
        <v>0</v>
      </c>
      <c r="AF279">
        <v>0</v>
      </c>
      <c r="AG279">
        <v>0</v>
      </c>
      <c r="AH279">
        <v>0</v>
      </c>
      <c r="AI279">
        <v>0</v>
      </c>
      <c r="AJ279">
        <v>0</v>
      </c>
    </row>
    <row r="280" spans="1:36">
      <c r="A280" t="s">
        <v>560</v>
      </c>
      <c r="B280" s="264">
        <v>46038</v>
      </c>
      <c r="C280" t="s">
        <v>378</v>
      </c>
      <c r="D280" t="s">
        <v>562</v>
      </c>
      <c r="E280" t="s">
        <v>341</v>
      </c>
      <c r="F280" t="s">
        <v>232</v>
      </c>
      <c r="G280">
        <v>4.4400000000000002E-2</v>
      </c>
      <c r="H280">
        <v>180</v>
      </c>
      <c r="I280">
        <v>8</v>
      </c>
      <c r="J280">
        <v>0</v>
      </c>
      <c r="K280" t="s">
        <v>233</v>
      </c>
      <c r="L280" s="264">
        <v>46321</v>
      </c>
      <c r="M280">
        <v>0</v>
      </c>
      <c r="N280">
        <v>0</v>
      </c>
      <c r="O280">
        <v>8</v>
      </c>
      <c r="P280" t="s">
        <v>306</v>
      </c>
      <c r="Q280">
        <v>0</v>
      </c>
      <c r="R280">
        <v>0</v>
      </c>
      <c r="S280">
        <v>0</v>
      </c>
      <c r="T280">
        <v>0</v>
      </c>
      <c r="U280">
        <v>0</v>
      </c>
      <c r="V280">
        <v>0</v>
      </c>
      <c r="W280">
        <v>0</v>
      </c>
      <c r="X280">
        <v>0</v>
      </c>
      <c r="Y280">
        <v>0</v>
      </c>
      <c r="Z280">
        <v>0</v>
      </c>
      <c r="AA280">
        <v>0</v>
      </c>
      <c r="AB280">
        <v>0</v>
      </c>
      <c r="AC280">
        <v>0</v>
      </c>
      <c r="AD280">
        <v>8</v>
      </c>
      <c r="AE280">
        <v>0</v>
      </c>
      <c r="AF280">
        <v>0</v>
      </c>
      <c r="AG280">
        <v>0</v>
      </c>
      <c r="AH280">
        <v>0</v>
      </c>
      <c r="AI280">
        <v>0</v>
      </c>
      <c r="AJ280">
        <v>0</v>
      </c>
    </row>
    <row r="281" spans="1:36">
      <c r="A281" t="s">
        <v>560</v>
      </c>
      <c r="B281" s="264">
        <v>46038</v>
      </c>
      <c r="C281" t="s">
        <v>380</v>
      </c>
      <c r="D281" t="s">
        <v>563</v>
      </c>
      <c r="E281" t="s">
        <v>341</v>
      </c>
      <c r="F281" t="s">
        <v>232</v>
      </c>
      <c r="G281">
        <v>6.1100000000000002E-2</v>
      </c>
      <c r="H281">
        <v>180</v>
      </c>
      <c r="I281">
        <v>11</v>
      </c>
      <c r="J281">
        <v>0</v>
      </c>
      <c r="K281" t="s">
        <v>233</v>
      </c>
      <c r="L281" s="264">
        <v>46330</v>
      </c>
      <c r="M281">
        <v>0</v>
      </c>
      <c r="N281">
        <v>0</v>
      </c>
      <c r="O281">
        <v>11</v>
      </c>
      <c r="P281" t="s">
        <v>298</v>
      </c>
      <c r="Q281">
        <v>0</v>
      </c>
      <c r="R281">
        <v>0</v>
      </c>
      <c r="S281">
        <v>0</v>
      </c>
      <c r="T281">
        <v>0</v>
      </c>
      <c r="U281">
        <v>0</v>
      </c>
      <c r="V281">
        <v>0</v>
      </c>
      <c r="W281">
        <v>0</v>
      </c>
      <c r="X281">
        <v>0</v>
      </c>
      <c r="Y281">
        <v>0</v>
      </c>
      <c r="Z281">
        <v>0</v>
      </c>
      <c r="AA281">
        <v>0</v>
      </c>
      <c r="AB281">
        <v>0</v>
      </c>
      <c r="AC281">
        <v>2</v>
      </c>
      <c r="AD281">
        <v>9</v>
      </c>
      <c r="AE281">
        <v>0</v>
      </c>
      <c r="AF281">
        <v>0</v>
      </c>
      <c r="AG281">
        <v>0</v>
      </c>
      <c r="AH281">
        <v>0</v>
      </c>
      <c r="AI281">
        <v>0</v>
      </c>
      <c r="AJ281">
        <v>0</v>
      </c>
    </row>
    <row r="282" spans="1:36">
      <c r="A282" t="s">
        <v>560</v>
      </c>
      <c r="B282" s="264">
        <v>46038</v>
      </c>
      <c r="C282" t="s">
        <v>818</v>
      </c>
      <c r="D282" t="s">
        <v>555</v>
      </c>
      <c r="E282" t="s">
        <v>808</v>
      </c>
      <c r="F282" t="s">
        <v>232</v>
      </c>
      <c r="G282">
        <v>5.5999999999999999E-3</v>
      </c>
      <c r="H282">
        <v>179</v>
      </c>
      <c r="I282">
        <v>1</v>
      </c>
      <c r="J282">
        <v>0</v>
      </c>
      <c r="K282" t="s">
        <v>233</v>
      </c>
      <c r="M282">
        <v>0</v>
      </c>
      <c r="N282">
        <v>0</v>
      </c>
      <c r="O282">
        <v>0</v>
      </c>
      <c r="P282" t="s">
        <v>514</v>
      </c>
      <c r="Q282">
        <v>0</v>
      </c>
      <c r="R282">
        <v>0</v>
      </c>
      <c r="S282">
        <v>0</v>
      </c>
      <c r="T282">
        <v>0</v>
      </c>
      <c r="U282">
        <v>0</v>
      </c>
      <c r="V282">
        <v>0</v>
      </c>
      <c r="W282">
        <v>0</v>
      </c>
      <c r="X282">
        <v>0</v>
      </c>
      <c r="Y282">
        <v>0</v>
      </c>
      <c r="Z282">
        <v>0</v>
      </c>
      <c r="AA282">
        <v>1</v>
      </c>
      <c r="AB282">
        <v>0</v>
      </c>
      <c r="AC282">
        <v>0</v>
      </c>
      <c r="AD282">
        <v>0</v>
      </c>
      <c r="AE282">
        <v>0</v>
      </c>
      <c r="AF282">
        <v>0</v>
      </c>
      <c r="AG282">
        <v>0</v>
      </c>
      <c r="AH282">
        <v>0</v>
      </c>
      <c r="AI282">
        <v>0</v>
      </c>
      <c r="AJ282">
        <v>0</v>
      </c>
    </row>
    <row r="283" spans="1:36">
      <c r="A283" t="s">
        <v>560</v>
      </c>
      <c r="B283" s="264">
        <v>46038</v>
      </c>
      <c r="C283" t="s">
        <v>854</v>
      </c>
      <c r="D283" t="s">
        <v>975</v>
      </c>
      <c r="E283" t="s">
        <v>808</v>
      </c>
      <c r="F283" t="s">
        <v>232</v>
      </c>
      <c r="G283">
        <v>6.1499999999999999E-2</v>
      </c>
      <c r="H283">
        <v>179</v>
      </c>
      <c r="I283">
        <v>11</v>
      </c>
      <c r="J283">
        <v>0</v>
      </c>
      <c r="K283" t="s">
        <v>233</v>
      </c>
      <c r="L283" s="264">
        <v>46344</v>
      </c>
      <c r="M283">
        <v>0</v>
      </c>
      <c r="N283">
        <v>0</v>
      </c>
      <c r="O283">
        <v>11</v>
      </c>
      <c r="P283" t="s">
        <v>667</v>
      </c>
      <c r="Q283">
        <v>0</v>
      </c>
      <c r="R283">
        <v>0</v>
      </c>
      <c r="S283">
        <v>0</v>
      </c>
      <c r="T283">
        <v>0</v>
      </c>
      <c r="U283">
        <v>0</v>
      </c>
      <c r="V283">
        <v>0</v>
      </c>
      <c r="W283">
        <v>0</v>
      </c>
      <c r="X283">
        <v>0</v>
      </c>
      <c r="Y283">
        <v>4</v>
      </c>
      <c r="Z283">
        <v>2</v>
      </c>
      <c r="AA283">
        <v>5</v>
      </c>
      <c r="AB283">
        <v>0</v>
      </c>
      <c r="AC283">
        <v>0</v>
      </c>
      <c r="AD283">
        <v>0</v>
      </c>
      <c r="AE283">
        <v>0</v>
      </c>
      <c r="AF283">
        <v>0</v>
      </c>
      <c r="AG283">
        <v>0</v>
      </c>
      <c r="AH283">
        <v>0</v>
      </c>
      <c r="AI283">
        <v>0</v>
      </c>
      <c r="AJ283">
        <v>0</v>
      </c>
    </row>
    <row r="284" spans="1:36">
      <c r="A284" t="s">
        <v>560</v>
      </c>
      <c r="B284" s="264">
        <v>46038</v>
      </c>
      <c r="C284" t="s">
        <v>1215</v>
      </c>
      <c r="D284" t="s">
        <v>751</v>
      </c>
      <c r="E284" t="s">
        <v>1213</v>
      </c>
      <c r="F284" t="s">
        <v>232</v>
      </c>
      <c r="G284">
        <v>4.4699999999999997E-2</v>
      </c>
      <c r="H284">
        <v>179</v>
      </c>
      <c r="I284">
        <v>8</v>
      </c>
      <c r="J284">
        <v>0</v>
      </c>
      <c r="K284" t="s">
        <v>233</v>
      </c>
      <c r="L284" s="264">
        <v>46343</v>
      </c>
      <c r="M284">
        <v>0</v>
      </c>
      <c r="N284">
        <v>0</v>
      </c>
      <c r="O284">
        <v>8</v>
      </c>
      <c r="P284" t="s">
        <v>292</v>
      </c>
      <c r="Q284">
        <v>0</v>
      </c>
      <c r="R284">
        <v>0</v>
      </c>
      <c r="S284">
        <v>0</v>
      </c>
      <c r="T284">
        <v>0</v>
      </c>
      <c r="U284">
        <v>0</v>
      </c>
      <c r="V284">
        <v>0</v>
      </c>
      <c r="W284">
        <v>0</v>
      </c>
      <c r="X284">
        <v>0</v>
      </c>
      <c r="Y284">
        <v>0</v>
      </c>
      <c r="Z284">
        <v>0</v>
      </c>
      <c r="AA284">
        <v>1</v>
      </c>
      <c r="AB284">
        <v>4</v>
      </c>
      <c r="AC284">
        <v>3</v>
      </c>
      <c r="AD284">
        <v>0</v>
      </c>
      <c r="AE284">
        <v>0</v>
      </c>
      <c r="AF284">
        <v>0</v>
      </c>
      <c r="AG284">
        <v>0</v>
      </c>
      <c r="AH284">
        <v>0</v>
      </c>
      <c r="AI284">
        <v>0</v>
      </c>
      <c r="AJ284">
        <v>0</v>
      </c>
    </row>
    <row r="285" spans="1:36">
      <c r="A285" t="s">
        <v>560</v>
      </c>
      <c r="B285" s="264">
        <v>46038</v>
      </c>
      <c r="C285" t="s">
        <v>613</v>
      </c>
      <c r="D285" t="s">
        <v>257</v>
      </c>
      <c r="E285" t="s">
        <v>601</v>
      </c>
      <c r="F285" t="s">
        <v>232</v>
      </c>
      <c r="G285">
        <v>2.7799999999999998E-2</v>
      </c>
      <c r="H285">
        <v>180</v>
      </c>
      <c r="I285">
        <v>5</v>
      </c>
      <c r="J285">
        <v>0</v>
      </c>
      <c r="K285" t="s">
        <v>233</v>
      </c>
      <c r="L285" s="264">
        <v>46253</v>
      </c>
      <c r="M285">
        <v>0</v>
      </c>
      <c r="N285">
        <v>0</v>
      </c>
      <c r="O285">
        <v>5</v>
      </c>
      <c r="P285" t="s">
        <v>667</v>
      </c>
      <c r="Q285">
        <v>0</v>
      </c>
      <c r="R285">
        <v>0</v>
      </c>
      <c r="S285">
        <v>0</v>
      </c>
      <c r="T285">
        <v>0</v>
      </c>
      <c r="U285">
        <v>0</v>
      </c>
      <c r="V285">
        <v>0</v>
      </c>
      <c r="W285">
        <v>0</v>
      </c>
      <c r="X285">
        <v>0</v>
      </c>
      <c r="Y285">
        <v>0</v>
      </c>
      <c r="Z285">
        <v>0</v>
      </c>
      <c r="AA285">
        <v>0</v>
      </c>
      <c r="AB285">
        <v>5</v>
      </c>
      <c r="AC285">
        <v>0</v>
      </c>
      <c r="AD285">
        <v>0</v>
      </c>
      <c r="AE285">
        <v>0</v>
      </c>
      <c r="AF285">
        <v>0</v>
      </c>
      <c r="AG285">
        <v>0</v>
      </c>
      <c r="AH285">
        <v>0</v>
      </c>
      <c r="AI285">
        <v>0</v>
      </c>
      <c r="AJ285">
        <v>0</v>
      </c>
    </row>
    <row r="286" spans="1:36">
      <c r="A286" t="s">
        <v>234</v>
      </c>
      <c r="B286" s="264">
        <v>46039</v>
      </c>
      <c r="C286" t="s">
        <v>1321</v>
      </c>
      <c r="D286" t="s">
        <v>748</v>
      </c>
      <c r="E286" t="s">
        <v>1318</v>
      </c>
      <c r="F286" t="s">
        <v>232</v>
      </c>
      <c r="G286">
        <v>1.6799999999999999E-2</v>
      </c>
      <c r="H286">
        <v>179</v>
      </c>
      <c r="I286">
        <v>3</v>
      </c>
      <c r="J286">
        <v>0</v>
      </c>
      <c r="K286" t="s">
        <v>233</v>
      </c>
      <c r="L286" s="264">
        <v>46288</v>
      </c>
      <c r="M286">
        <v>0</v>
      </c>
      <c r="N286">
        <v>0</v>
      </c>
      <c r="O286">
        <v>3</v>
      </c>
      <c r="P286" t="s">
        <v>667</v>
      </c>
      <c r="Q286">
        <v>0</v>
      </c>
      <c r="R286">
        <v>0</v>
      </c>
      <c r="S286">
        <v>0</v>
      </c>
      <c r="T286">
        <v>0</v>
      </c>
      <c r="U286">
        <v>0</v>
      </c>
      <c r="V286">
        <v>0</v>
      </c>
      <c r="W286">
        <v>0</v>
      </c>
      <c r="X286">
        <v>0</v>
      </c>
      <c r="Y286">
        <v>0</v>
      </c>
      <c r="Z286">
        <v>0</v>
      </c>
      <c r="AA286">
        <v>0</v>
      </c>
      <c r="AB286">
        <v>0</v>
      </c>
      <c r="AC286">
        <v>3</v>
      </c>
      <c r="AD286">
        <v>0</v>
      </c>
      <c r="AE286">
        <v>0</v>
      </c>
      <c r="AF286">
        <v>0</v>
      </c>
      <c r="AG286">
        <v>0</v>
      </c>
      <c r="AH286">
        <v>0</v>
      </c>
      <c r="AI286">
        <v>0</v>
      </c>
      <c r="AJ286">
        <v>0</v>
      </c>
    </row>
    <row r="287" spans="1:36">
      <c r="A287" t="s">
        <v>234</v>
      </c>
      <c r="B287" s="264">
        <v>46039</v>
      </c>
      <c r="C287" t="s">
        <v>709</v>
      </c>
      <c r="D287" t="s">
        <v>745</v>
      </c>
      <c r="E287" t="s">
        <v>706</v>
      </c>
      <c r="F287" t="s">
        <v>232</v>
      </c>
      <c r="G287">
        <v>1.11E-2</v>
      </c>
      <c r="H287">
        <v>180</v>
      </c>
      <c r="I287">
        <v>2</v>
      </c>
      <c r="J287">
        <v>0</v>
      </c>
      <c r="K287" t="s">
        <v>233</v>
      </c>
      <c r="L287" s="264">
        <v>46343</v>
      </c>
      <c r="M287">
        <v>0</v>
      </c>
      <c r="N287">
        <v>0</v>
      </c>
      <c r="O287">
        <v>2</v>
      </c>
      <c r="P287" t="s">
        <v>298</v>
      </c>
      <c r="Q287">
        <v>0</v>
      </c>
      <c r="R287">
        <v>0</v>
      </c>
      <c r="S287">
        <v>0</v>
      </c>
      <c r="T287">
        <v>0</v>
      </c>
      <c r="U287">
        <v>0</v>
      </c>
      <c r="V287">
        <v>0</v>
      </c>
      <c r="W287">
        <v>0</v>
      </c>
      <c r="X287">
        <v>0</v>
      </c>
      <c r="Y287">
        <v>0</v>
      </c>
      <c r="Z287">
        <v>0</v>
      </c>
      <c r="AA287">
        <v>0</v>
      </c>
      <c r="AB287">
        <v>0</v>
      </c>
      <c r="AC287">
        <v>2</v>
      </c>
      <c r="AD287">
        <v>0</v>
      </c>
      <c r="AE287">
        <v>0</v>
      </c>
      <c r="AF287">
        <v>0</v>
      </c>
      <c r="AG287">
        <v>0</v>
      </c>
      <c r="AH287">
        <v>0</v>
      </c>
      <c r="AI287">
        <v>0</v>
      </c>
      <c r="AJ287">
        <v>0</v>
      </c>
    </row>
    <row r="288" spans="1:36">
      <c r="A288" t="s">
        <v>234</v>
      </c>
      <c r="B288" s="264">
        <v>46039</v>
      </c>
      <c r="C288" t="s">
        <v>712</v>
      </c>
      <c r="D288" t="s">
        <v>746</v>
      </c>
      <c r="E288" t="s">
        <v>706</v>
      </c>
      <c r="F288" t="s">
        <v>232</v>
      </c>
      <c r="G288">
        <v>3.8899999999999997E-2</v>
      </c>
      <c r="H288">
        <v>180</v>
      </c>
      <c r="I288">
        <v>7</v>
      </c>
      <c r="J288">
        <v>0</v>
      </c>
      <c r="K288" t="s">
        <v>233</v>
      </c>
      <c r="L288" s="264">
        <v>46344</v>
      </c>
      <c r="M288">
        <v>0</v>
      </c>
      <c r="N288">
        <v>0</v>
      </c>
      <c r="O288">
        <v>7</v>
      </c>
      <c r="P288" t="s">
        <v>128</v>
      </c>
      <c r="Q288">
        <v>0</v>
      </c>
      <c r="R288">
        <v>0</v>
      </c>
      <c r="S288">
        <v>0</v>
      </c>
      <c r="T288">
        <v>0</v>
      </c>
      <c r="U288">
        <v>0</v>
      </c>
      <c r="V288">
        <v>0</v>
      </c>
      <c r="W288">
        <v>0</v>
      </c>
      <c r="X288">
        <v>0</v>
      </c>
      <c r="Y288">
        <v>0</v>
      </c>
      <c r="Z288">
        <v>0</v>
      </c>
      <c r="AA288">
        <v>0</v>
      </c>
      <c r="AB288">
        <v>3</v>
      </c>
      <c r="AC288">
        <v>4</v>
      </c>
      <c r="AD288">
        <v>0</v>
      </c>
      <c r="AE288">
        <v>0</v>
      </c>
      <c r="AF288">
        <v>0</v>
      </c>
      <c r="AG288">
        <v>0</v>
      </c>
      <c r="AH288">
        <v>0</v>
      </c>
      <c r="AI288">
        <v>0</v>
      </c>
      <c r="AJ288">
        <v>0</v>
      </c>
    </row>
    <row r="289" spans="1:36">
      <c r="A289" t="s">
        <v>234</v>
      </c>
      <c r="B289" s="264">
        <v>46039</v>
      </c>
      <c r="C289" t="s">
        <v>716</v>
      </c>
      <c r="D289" t="s">
        <v>561</v>
      </c>
      <c r="E289" t="s">
        <v>706</v>
      </c>
      <c r="F289" t="s">
        <v>232</v>
      </c>
      <c r="G289">
        <v>1.11E-2</v>
      </c>
      <c r="H289">
        <v>180</v>
      </c>
      <c r="I289">
        <v>2</v>
      </c>
      <c r="J289">
        <v>0</v>
      </c>
      <c r="K289" t="s">
        <v>233</v>
      </c>
      <c r="L289" s="264">
        <v>46343</v>
      </c>
      <c r="M289">
        <v>0</v>
      </c>
      <c r="N289">
        <v>0</v>
      </c>
      <c r="O289">
        <v>2</v>
      </c>
      <c r="P289" t="s">
        <v>298</v>
      </c>
      <c r="Q289">
        <v>0</v>
      </c>
      <c r="R289">
        <v>0</v>
      </c>
      <c r="S289">
        <v>0</v>
      </c>
      <c r="T289">
        <v>0</v>
      </c>
      <c r="U289">
        <v>0</v>
      </c>
      <c r="V289">
        <v>0</v>
      </c>
      <c r="W289">
        <v>0</v>
      </c>
      <c r="X289">
        <v>0</v>
      </c>
      <c r="Y289">
        <v>0</v>
      </c>
      <c r="Z289">
        <v>0</v>
      </c>
      <c r="AA289">
        <v>0</v>
      </c>
      <c r="AB289">
        <v>0</v>
      </c>
      <c r="AC289">
        <v>2</v>
      </c>
      <c r="AD289">
        <v>0</v>
      </c>
      <c r="AE289">
        <v>0</v>
      </c>
      <c r="AF289">
        <v>0</v>
      </c>
      <c r="AG289">
        <v>0</v>
      </c>
      <c r="AH289">
        <v>0</v>
      </c>
      <c r="AI289">
        <v>0</v>
      </c>
      <c r="AJ289">
        <v>0</v>
      </c>
    </row>
    <row r="290" spans="1:36">
      <c r="A290" t="s">
        <v>234</v>
      </c>
      <c r="B290" s="264">
        <v>46039</v>
      </c>
      <c r="C290" t="s">
        <v>323</v>
      </c>
      <c r="D290" t="s">
        <v>334</v>
      </c>
      <c r="E290" t="s">
        <v>320</v>
      </c>
      <c r="F290" t="s">
        <v>232</v>
      </c>
      <c r="G290">
        <v>2.2200000000000001E-2</v>
      </c>
      <c r="H290">
        <v>180</v>
      </c>
      <c r="I290">
        <v>4</v>
      </c>
      <c r="J290">
        <v>0</v>
      </c>
      <c r="K290" t="s">
        <v>233</v>
      </c>
      <c r="L290" s="264">
        <v>46338</v>
      </c>
      <c r="M290">
        <v>0</v>
      </c>
      <c r="N290">
        <v>0</v>
      </c>
      <c r="O290">
        <v>4</v>
      </c>
      <c r="P290" t="s">
        <v>326</v>
      </c>
      <c r="Q290">
        <v>0</v>
      </c>
      <c r="R290">
        <v>0</v>
      </c>
      <c r="S290">
        <v>0</v>
      </c>
      <c r="T290">
        <v>0</v>
      </c>
      <c r="U290">
        <v>0</v>
      </c>
      <c r="V290">
        <v>0</v>
      </c>
      <c r="W290">
        <v>0</v>
      </c>
      <c r="X290">
        <v>0</v>
      </c>
      <c r="Y290">
        <v>0</v>
      </c>
      <c r="Z290">
        <v>0</v>
      </c>
      <c r="AA290">
        <v>0</v>
      </c>
      <c r="AB290">
        <v>0</v>
      </c>
      <c r="AC290">
        <v>4</v>
      </c>
      <c r="AD290">
        <v>0</v>
      </c>
      <c r="AE290">
        <v>0</v>
      </c>
      <c r="AF290">
        <v>0</v>
      </c>
      <c r="AG290">
        <v>0</v>
      </c>
      <c r="AH290">
        <v>0</v>
      </c>
      <c r="AI290">
        <v>0</v>
      </c>
      <c r="AJ290">
        <v>0</v>
      </c>
    </row>
    <row r="291" spans="1:36">
      <c r="A291" t="s">
        <v>234</v>
      </c>
      <c r="B291" s="264">
        <v>46039</v>
      </c>
      <c r="C291" t="s">
        <v>1241</v>
      </c>
      <c r="D291" t="s">
        <v>334</v>
      </c>
      <c r="E291" t="s">
        <v>1239</v>
      </c>
      <c r="F291" t="s">
        <v>232</v>
      </c>
      <c r="G291">
        <v>0.16200000000000001</v>
      </c>
      <c r="H291">
        <v>179</v>
      </c>
      <c r="I291">
        <v>29</v>
      </c>
      <c r="J291">
        <v>0</v>
      </c>
      <c r="K291" t="s">
        <v>233</v>
      </c>
      <c r="L291" s="264">
        <v>46344</v>
      </c>
      <c r="M291">
        <v>0</v>
      </c>
      <c r="N291">
        <v>0</v>
      </c>
      <c r="O291">
        <v>29</v>
      </c>
      <c r="P291" t="s">
        <v>983</v>
      </c>
      <c r="Q291">
        <v>0</v>
      </c>
      <c r="R291">
        <v>0</v>
      </c>
      <c r="S291">
        <v>0</v>
      </c>
      <c r="T291">
        <v>0</v>
      </c>
      <c r="U291">
        <v>0</v>
      </c>
      <c r="V291">
        <v>0</v>
      </c>
      <c r="W291">
        <v>0</v>
      </c>
      <c r="X291">
        <v>17</v>
      </c>
      <c r="Y291">
        <v>0</v>
      </c>
      <c r="Z291">
        <v>6</v>
      </c>
      <c r="AA291">
        <v>6</v>
      </c>
      <c r="AB291">
        <v>0</v>
      </c>
      <c r="AC291">
        <v>0</v>
      </c>
      <c r="AD291">
        <v>0</v>
      </c>
      <c r="AE291">
        <v>0</v>
      </c>
      <c r="AF291">
        <v>0</v>
      </c>
      <c r="AG291">
        <v>0</v>
      </c>
      <c r="AH291">
        <v>0</v>
      </c>
      <c r="AI291">
        <v>0</v>
      </c>
      <c r="AJ291">
        <v>0</v>
      </c>
    </row>
    <row r="292" spans="1:36">
      <c r="A292" t="s">
        <v>234</v>
      </c>
      <c r="B292" s="264">
        <v>46039</v>
      </c>
      <c r="C292" t="s">
        <v>1194</v>
      </c>
      <c r="D292" t="s">
        <v>1203</v>
      </c>
      <c r="E292" t="s">
        <v>1192</v>
      </c>
      <c r="F292" t="s">
        <v>232</v>
      </c>
      <c r="G292">
        <v>1.6799999999999999E-2</v>
      </c>
      <c r="H292">
        <v>179</v>
      </c>
      <c r="I292">
        <v>3</v>
      </c>
      <c r="J292">
        <v>0</v>
      </c>
      <c r="K292" t="s">
        <v>233</v>
      </c>
      <c r="L292" s="264">
        <v>46335</v>
      </c>
      <c r="M292">
        <v>0</v>
      </c>
      <c r="N292">
        <v>0</v>
      </c>
      <c r="O292">
        <v>3</v>
      </c>
      <c r="P292" t="s">
        <v>667</v>
      </c>
      <c r="Q292">
        <v>0</v>
      </c>
      <c r="R292">
        <v>0</v>
      </c>
      <c r="S292">
        <v>0</v>
      </c>
      <c r="T292">
        <v>0</v>
      </c>
      <c r="U292">
        <v>0</v>
      </c>
      <c r="V292">
        <v>0</v>
      </c>
      <c r="W292">
        <v>0</v>
      </c>
      <c r="X292">
        <v>0</v>
      </c>
      <c r="Y292">
        <v>1</v>
      </c>
      <c r="Z292">
        <v>1</v>
      </c>
      <c r="AA292">
        <v>1</v>
      </c>
      <c r="AB292">
        <v>0</v>
      </c>
      <c r="AC292">
        <v>0</v>
      </c>
      <c r="AD292">
        <v>0</v>
      </c>
      <c r="AE292">
        <v>0</v>
      </c>
      <c r="AF292">
        <v>0</v>
      </c>
      <c r="AG292">
        <v>0</v>
      </c>
      <c r="AH292">
        <v>0</v>
      </c>
      <c r="AI292">
        <v>0</v>
      </c>
      <c r="AJ292">
        <v>0</v>
      </c>
    </row>
    <row r="293" spans="1:36">
      <c r="A293" t="s">
        <v>234</v>
      </c>
      <c r="B293" s="264">
        <v>46039</v>
      </c>
      <c r="C293" t="s">
        <v>1045</v>
      </c>
      <c r="D293" t="s">
        <v>1108</v>
      </c>
      <c r="E293" t="s">
        <v>1040</v>
      </c>
      <c r="F293" t="s">
        <v>232</v>
      </c>
      <c r="G293">
        <v>0.25559999999999999</v>
      </c>
      <c r="H293">
        <v>180</v>
      </c>
      <c r="I293">
        <v>46</v>
      </c>
      <c r="J293">
        <v>0</v>
      </c>
      <c r="K293" t="s">
        <v>233</v>
      </c>
      <c r="L293" s="264">
        <v>46338</v>
      </c>
      <c r="M293">
        <v>0</v>
      </c>
      <c r="N293">
        <v>0</v>
      </c>
      <c r="O293">
        <v>46</v>
      </c>
      <c r="P293" t="s">
        <v>1094</v>
      </c>
      <c r="Q293">
        <v>0</v>
      </c>
      <c r="R293">
        <v>0</v>
      </c>
      <c r="S293">
        <v>0</v>
      </c>
      <c r="T293">
        <v>0</v>
      </c>
      <c r="U293">
        <v>0</v>
      </c>
      <c r="V293">
        <v>10</v>
      </c>
      <c r="W293">
        <v>12</v>
      </c>
      <c r="X293">
        <v>11</v>
      </c>
      <c r="Y293">
        <v>8</v>
      </c>
      <c r="Z293">
        <v>4</v>
      </c>
      <c r="AA293">
        <v>1</v>
      </c>
      <c r="AB293">
        <v>0</v>
      </c>
      <c r="AC293">
        <v>0</v>
      </c>
      <c r="AD293">
        <v>0</v>
      </c>
      <c r="AE293">
        <v>0</v>
      </c>
      <c r="AF293">
        <v>0</v>
      </c>
      <c r="AG293">
        <v>0</v>
      </c>
      <c r="AH293">
        <v>0</v>
      </c>
      <c r="AI293">
        <v>0</v>
      </c>
      <c r="AJ293">
        <v>0</v>
      </c>
    </row>
    <row r="294" spans="1:36">
      <c r="A294" t="s">
        <v>234</v>
      </c>
      <c r="B294" s="264">
        <v>46039</v>
      </c>
      <c r="C294" t="s">
        <v>1337</v>
      </c>
      <c r="D294" t="s">
        <v>1324</v>
      </c>
      <c r="E294" t="s">
        <v>1333</v>
      </c>
      <c r="F294" t="s">
        <v>232</v>
      </c>
      <c r="G294">
        <v>0.15640000000000001</v>
      </c>
      <c r="H294">
        <v>179</v>
      </c>
      <c r="I294">
        <v>28</v>
      </c>
      <c r="J294">
        <v>0</v>
      </c>
      <c r="K294" t="s">
        <v>233</v>
      </c>
      <c r="L294" s="264">
        <v>46344</v>
      </c>
      <c r="M294">
        <v>0</v>
      </c>
      <c r="N294">
        <v>0</v>
      </c>
      <c r="O294">
        <v>28</v>
      </c>
      <c r="P294" t="s">
        <v>1169</v>
      </c>
      <c r="Q294">
        <v>0</v>
      </c>
      <c r="R294">
        <v>0</v>
      </c>
      <c r="S294">
        <v>0</v>
      </c>
      <c r="T294">
        <v>0</v>
      </c>
      <c r="U294">
        <v>0</v>
      </c>
      <c r="V294">
        <v>0</v>
      </c>
      <c r="W294">
        <v>0</v>
      </c>
      <c r="X294">
        <v>13</v>
      </c>
      <c r="Y294">
        <v>12</v>
      </c>
      <c r="Z294">
        <v>0</v>
      </c>
      <c r="AA294">
        <v>3</v>
      </c>
      <c r="AB294">
        <v>0</v>
      </c>
      <c r="AC294">
        <v>0</v>
      </c>
      <c r="AD294">
        <v>0</v>
      </c>
      <c r="AE294">
        <v>0</v>
      </c>
      <c r="AF294">
        <v>0</v>
      </c>
      <c r="AG294">
        <v>0</v>
      </c>
      <c r="AH294">
        <v>0</v>
      </c>
      <c r="AI294">
        <v>0</v>
      </c>
      <c r="AJ294">
        <v>0</v>
      </c>
    </row>
    <row r="295" spans="1:36">
      <c r="A295" t="s">
        <v>234</v>
      </c>
      <c r="B295" s="264">
        <v>46039</v>
      </c>
      <c r="C295" t="s">
        <v>366</v>
      </c>
      <c r="D295" t="s">
        <v>568</v>
      </c>
      <c r="E295" t="s">
        <v>341</v>
      </c>
      <c r="F295" t="s">
        <v>232</v>
      </c>
      <c r="G295">
        <v>0.17780000000000001</v>
      </c>
      <c r="H295">
        <v>180</v>
      </c>
      <c r="I295">
        <v>32</v>
      </c>
      <c r="J295">
        <v>0</v>
      </c>
      <c r="K295" t="s">
        <v>233</v>
      </c>
      <c r="L295" s="264">
        <v>46345</v>
      </c>
      <c r="M295">
        <v>0</v>
      </c>
      <c r="N295">
        <v>0</v>
      </c>
      <c r="O295">
        <v>32</v>
      </c>
      <c r="P295" t="s">
        <v>514</v>
      </c>
      <c r="Q295">
        <v>0</v>
      </c>
      <c r="R295">
        <v>0</v>
      </c>
      <c r="S295">
        <v>0</v>
      </c>
      <c r="T295">
        <v>0</v>
      </c>
      <c r="U295">
        <v>0</v>
      </c>
      <c r="V295">
        <v>0</v>
      </c>
      <c r="W295">
        <v>0</v>
      </c>
      <c r="X295">
        <v>0</v>
      </c>
      <c r="Y295">
        <v>0</v>
      </c>
      <c r="Z295">
        <v>1</v>
      </c>
      <c r="AA295">
        <v>4</v>
      </c>
      <c r="AB295">
        <v>14</v>
      </c>
      <c r="AC295">
        <v>2</v>
      </c>
      <c r="AD295">
        <v>11</v>
      </c>
      <c r="AE295">
        <v>0</v>
      </c>
      <c r="AF295">
        <v>0</v>
      </c>
      <c r="AG295">
        <v>0</v>
      </c>
      <c r="AH295">
        <v>0</v>
      </c>
      <c r="AI295">
        <v>0</v>
      </c>
      <c r="AJ295">
        <v>0</v>
      </c>
    </row>
    <row r="296" spans="1:36">
      <c r="A296" t="s">
        <v>234</v>
      </c>
      <c r="B296" s="264">
        <v>46039</v>
      </c>
      <c r="C296" t="s">
        <v>373</v>
      </c>
      <c r="D296" t="s">
        <v>566</v>
      </c>
      <c r="E296" t="s">
        <v>341</v>
      </c>
      <c r="F296" t="s">
        <v>232</v>
      </c>
      <c r="G296">
        <v>0.3387</v>
      </c>
      <c r="H296">
        <v>186</v>
      </c>
      <c r="I296">
        <v>63</v>
      </c>
      <c r="J296">
        <v>40</v>
      </c>
      <c r="K296" t="s">
        <v>233</v>
      </c>
      <c r="L296" s="264">
        <v>46344</v>
      </c>
      <c r="M296">
        <v>0</v>
      </c>
      <c r="N296">
        <v>0</v>
      </c>
      <c r="O296">
        <v>25</v>
      </c>
      <c r="P296" t="s">
        <v>471</v>
      </c>
      <c r="Q296">
        <v>0</v>
      </c>
      <c r="R296">
        <v>0</v>
      </c>
      <c r="S296">
        <v>0</v>
      </c>
      <c r="T296">
        <v>0</v>
      </c>
      <c r="U296">
        <v>0</v>
      </c>
      <c r="V296">
        <v>0</v>
      </c>
      <c r="W296">
        <v>0</v>
      </c>
      <c r="X296">
        <v>0</v>
      </c>
      <c r="Y296">
        <v>0</v>
      </c>
      <c r="Z296">
        <v>0</v>
      </c>
      <c r="AA296">
        <v>0</v>
      </c>
      <c r="AB296">
        <v>9</v>
      </c>
      <c r="AC296">
        <v>4</v>
      </c>
      <c r="AD296">
        <v>10</v>
      </c>
      <c r="AE296">
        <v>0</v>
      </c>
      <c r="AF296">
        <v>0</v>
      </c>
      <c r="AG296">
        <v>40</v>
      </c>
      <c r="AH296">
        <v>0</v>
      </c>
      <c r="AI296">
        <v>0</v>
      </c>
      <c r="AJ296">
        <v>0</v>
      </c>
    </row>
    <row r="297" spans="1:36">
      <c r="A297" t="s">
        <v>234</v>
      </c>
      <c r="B297" s="264">
        <v>46039</v>
      </c>
      <c r="C297" t="s">
        <v>376</v>
      </c>
      <c r="D297" t="s">
        <v>553</v>
      </c>
      <c r="E297" t="s">
        <v>341</v>
      </c>
      <c r="F297" t="s">
        <v>232</v>
      </c>
      <c r="G297">
        <v>0.1</v>
      </c>
      <c r="H297">
        <v>180</v>
      </c>
      <c r="I297">
        <v>18</v>
      </c>
      <c r="J297">
        <v>0</v>
      </c>
      <c r="K297" t="s">
        <v>233</v>
      </c>
      <c r="L297" s="264">
        <v>46345</v>
      </c>
      <c r="M297">
        <v>0</v>
      </c>
      <c r="N297">
        <v>0</v>
      </c>
      <c r="O297">
        <v>21</v>
      </c>
      <c r="P297" t="s">
        <v>67</v>
      </c>
      <c r="Q297">
        <v>0</v>
      </c>
      <c r="R297">
        <v>0</v>
      </c>
      <c r="S297">
        <v>0</v>
      </c>
      <c r="T297">
        <v>0</v>
      </c>
      <c r="U297">
        <v>0</v>
      </c>
      <c r="V297">
        <v>0</v>
      </c>
      <c r="W297">
        <v>0</v>
      </c>
      <c r="X297">
        <v>0</v>
      </c>
      <c r="Y297">
        <v>0</v>
      </c>
      <c r="Z297">
        <v>0</v>
      </c>
      <c r="AA297">
        <v>0</v>
      </c>
      <c r="AB297">
        <v>5</v>
      </c>
      <c r="AC297">
        <v>3</v>
      </c>
      <c r="AD297">
        <v>10</v>
      </c>
      <c r="AE297">
        <v>0</v>
      </c>
      <c r="AF297">
        <v>0</v>
      </c>
      <c r="AG297">
        <v>0</v>
      </c>
      <c r="AH297">
        <v>0</v>
      </c>
      <c r="AI297">
        <v>0</v>
      </c>
      <c r="AJ297">
        <v>0</v>
      </c>
    </row>
    <row r="298" spans="1:36">
      <c r="A298" t="s">
        <v>234</v>
      </c>
      <c r="B298" s="264">
        <v>46039</v>
      </c>
      <c r="C298" t="s">
        <v>378</v>
      </c>
      <c r="D298" t="s">
        <v>567</v>
      </c>
      <c r="E298" t="s">
        <v>341</v>
      </c>
      <c r="F298" t="s">
        <v>232</v>
      </c>
      <c r="G298">
        <v>0.2</v>
      </c>
      <c r="H298">
        <v>180</v>
      </c>
      <c r="I298">
        <v>36</v>
      </c>
      <c r="J298">
        <v>0</v>
      </c>
      <c r="K298" t="s">
        <v>233</v>
      </c>
      <c r="L298" s="264">
        <v>46344</v>
      </c>
      <c r="M298">
        <v>0</v>
      </c>
      <c r="N298">
        <v>0</v>
      </c>
      <c r="O298">
        <v>36</v>
      </c>
      <c r="P298" t="s">
        <v>516</v>
      </c>
      <c r="Q298">
        <v>0</v>
      </c>
      <c r="R298">
        <v>0</v>
      </c>
      <c r="S298">
        <v>0</v>
      </c>
      <c r="T298">
        <v>0</v>
      </c>
      <c r="U298">
        <v>0</v>
      </c>
      <c r="V298">
        <v>0</v>
      </c>
      <c r="W298">
        <v>0</v>
      </c>
      <c r="X298">
        <v>0</v>
      </c>
      <c r="Y298">
        <v>0</v>
      </c>
      <c r="Z298">
        <v>0</v>
      </c>
      <c r="AA298">
        <v>9</v>
      </c>
      <c r="AB298">
        <v>14</v>
      </c>
      <c r="AC298">
        <v>3</v>
      </c>
      <c r="AD298">
        <v>10</v>
      </c>
      <c r="AE298">
        <v>0</v>
      </c>
      <c r="AF298">
        <v>0</v>
      </c>
      <c r="AG298">
        <v>0</v>
      </c>
      <c r="AH298">
        <v>0</v>
      </c>
      <c r="AI298">
        <v>0</v>
      </c>
      <c r="AJ298">
        <v>0</v>
      </c>
    </row>
    <row r="299" spans="1:36">
      <c r="A299" t="s">
        <v>234</v>
      </c>
      <c r="B299" s="264">
        <v>46039</v>
      </c>
      <c r="C299" t="s">
        <v>65</v>
      </c>
      <c r="D299" t="s">
        <v>235</v>
      </c>
      <c r="E299" t="s">
        <v>1</v>
      </c>
      <c r="F299" t="s">
        <v>232</v>
      </c>
      <c r="G299">
        <v>1.11E-2</v>
      </c>
      <c r="H299">
        <v>180</v>
      </c>
      <c r="I299">
        <v>2</v>
      </c>
      <c r="J299">
        <v>0</v>
      </c>
      <c r="K299" t="s">
        <v>233</v>
      </c>
      <c r="L299" s="264">
        <v>46334</v>
      </c>
      <c r="M299">
        <v>0</v>
      </c>
      <c r="N299">
        <v>0</v>
      </c>
      <c r="O299">
        <v>2</v>
      </c>
      <c r="P299" t="s">
        <v>101</v>
      </c>
      <c r="Q299">
        <v>0</v>
      </c>
      <c r="R299">
        <v>0</v>
      </c>
      <c r="S299">
        <v>0</v>
      </c>
      <c r="T299">
        <v>0</v>
      </c>
      <c r="U299">
        <v>0</v>
      </c>
      <c r="V299">
        <v>0</v>
      </c>
      <c r="W299">
        <v>0</v>
      </c>
      <c r="X299">
        <v>0</v>
      </c>
      <c r="Y299">
        <v>0</v>
      </c>
      <c r="Z299">
        <v>0</v>
      </c>
      <c r="AA299">
        <v>0</v>
      </c>
      <c r="AB299">
        <v>2</v>
      </c>
      <c r="AC299">
        <v>0</v>
      </c>
      <c r="AD299">
        <v>0</v>
      </c>
      <c r="AE299">
        <v>0</v>
      </c>
      <c r="AF299">
        <v>0</v>
      </c>
      <c r="AG299">
        <v>0</v>
      </c>
      <c r="AH299">
        <v>0</v>
      </c>
      <c r="AI299">
        <v>0</v>
      </c>
      <c r="AJ299">
        <v>0</v>
      </c>
    </row>
    <row r="300" spans="1:36">
      <c r="A300" t="s">
        <v>234</v>
      </c>
      <c r="B300" s="264">
        <v>46039</v>
      </c>
      <c r="C300" t="s">
        <v>818</v>
      </c>
      <c r="D300" t="s">
        <v>974</v>
      </c>
      <c r="E300" t="s">
        <v>808</v>
      </c>
      <c r="F300" t="s">
        <v>232</v>
      </c>
      <c r="G300">
        <v>0.11169999999999999</v>
      </c>
      <c r="H300">
        <v>179</v>
      </c>
      <c r="I300">
        <v>20</v>
      </c>
      <c r="J300">
        <v>0</v>
      </c>
      <c r="K300" t="s">
        <v>233</v>
      </c>
      <c r="L300" s="264">
        <v>46344</v>
      </c>
      <c r="M300">
        <v>0</v>
      </c>
      <c r="N300">
        <v>0</v>
      </c>
      <c r="O300">
        <v>20</v>
      </c>
      <c r="P300" t="s">
        <v>939</v>
      </c>
      <c r="Q300">
        <v>0</v>
      </c>
      <c r="R300">
        <v>0</v>
      </c>
      <c r="S300">
        <v>0</v>
      </c>
      <c r="T300">
        <v>0</v>
      </c>
      <c r="U300">
        <v>0</v>
      </c>
      <c r="V300">
        <v>0</v>
      </c>
      <c r="W300">
        <v>0</v>
      </c>
      <c r="X300">
        <v>2</v>
      </c>
      <c r="Y300">
        <v>9</v>
      </c>
      <c r="Z300">
        <v>5</v>
      </c>
      <c r="AA300">
        <v>3</v>
      </c>
      <c r="AB300">
        <v>0</v>
      </c>
      <c r="AC300">
        <v>1</v>
      </c>
      <c r="AD300">
        <v>0</v>
      </c>
      <c r="AE300">
        <v>0</v>
      </c>
      <c r="AF300">
        <v>0</v>
      </c>
      <c r="AG300">
        <v>0</v>
      </c>
      <c r="AH300">
        <v>0</v>
      </c>
      <c r="AI300">
        <v>0</v>
      </c>
      <c r="AJ300">
        <v>0</v>
      </c>
    </row>
    <row r="301" spans="1:36">
      <c r="A301" t="s">
        <v>234</v>
      </c>
      <c r="B301" s="264">
        <v>46039</v>
      </c>
      <c r="C301" t="s">
        <v>1148</v>
      </c>
      <c r="D301" t="s">
        <v>597</v>
      </c>
      <c r="E301" t="s">
        <v>1144</v>
      </c>
      <c r="F301" t="s">
        <v>232</v>
      </c>
      <c r="G301">
        <v>0.1173</v>
      </c>
      <c r="H301">
        <v>179</v>
      </c>
      <c r="I301">
        <v>21</v>
      </c>
      <c r="J301">
        <v>0</v>
      </c>
      <c r="K301" t="s">
        <v>233</v>
      </c>
      <c r="L301" s="264">
        <v>46307</v>
      </c>
      <c r="M301">
        <v>0</v>
      </c>
      <c r="N301">
        <v>0</v>
      </c>
      <c r="O301">
        <v>21</v>
      </c>
      <c r="P301" t="s">
        <v>1169</v>
      </c>
      <c r="Q301">
        <v>0</v>
      </c>
      <c r="R301">
        <v>0</v>
      </c>
      <c r="S301">
        <v>0</v>
      </c>
      <c r="T301">
        <v>0</v>
      </c>
      <c r="U301">
        <v>0</v>
      </c>
      <c r="V301">
        <v>0</v>
      </c>
      <c r="W301">
        <v>0</v>
      </c>
      <c r="X301">
        <v>0</v>
      </c>
      <c r="Y301">
        <v>0</v>
      </c>
      <c r="Z301">
        <v>2</v>
      </c>
      <c r="AA301">
        <v>1</v>
      </c>
      <c r="AB301">
        <v>0</v>
      </c>
      <c r="AC301">
        <v>0</v>
      </c>
      <c r="AD301">
        <v>0</v>
      </c>
      <c r="AE301">
        <v>0</v>
      </c>
      <c r="AF301">
        <v>18</v>
      </c>
      <c r="AG301">
        <v>0</v>
      </c>
      <c r="AH301">
        <v>0</v>
      </c>
      <c r="AI301">
        <v>0</v>
      </c>
      <c r="AJ301">
        <v>0</v>
      </c>
    </row>
    <row r="302" spans="1:36">
      <c r="A302" t="s">
        <v>234</v>
      </c>
      <c r="B302" s="264">
        <v>46039</v>
      </c>
      <c r="C302" t="s">
        <v>1215</v>
      </c>
      <c r="D302" t="s">
        <v>336</v>
      </c>
      <c r="E302" t="s">
        <v>1213</v>
      </c>
      <c r="F302" t="s">
        <v>232</v>
      </c>
      <c r="G302">
        <v>0.1061</v>
      </c>
      <c r="H302">
        <v>179</v>
      </c>
      <c r="I302">
        <v>19</v>
      </c>
      <c r="J302">
        <v>0</v>
      </c>
      <c r="K302" t="s">
        <v>233</v>
      </c>
      <c r="L302" s="264">
        <v>46343</v>
      </c>
      <c r="M302">
        <v>0</v>
      </c>
      <c r="N302">
        <v>0</v>
      </c>
      <c r="O302">
        <v>19</v>
      </c>
      <c r="P302" t="s">
        <v>307</v>
      </c>
      <c r="Q302">
        <v>0</v>
      </c>
      <c r="R302">
        <v>0</v>
      </c>
      <c r="S302">
        <v>0</v>
      </c>
      <c r="T302">
        <v>0</v>
      </c>
      <c r="U302">
        <v>0</v>
      </c>
      <c r="V302">
        <v>0</v>
      </c>
      <c r="W302">
        <v>0</v>
      </c>
      <c r="X302">
        <v>0</v>
      </c>
      <c r="Y302">
        <v>0</v>
      </c>
      <c r="Z302">
        <v>6</v>
      </c>
      <c r="AA302">
        <v>1</v>
      </c>
      <c r="AB302">
        <v>4</v>
      </c>
      <c r="AC302">
        <v>8</v>
      </c>
      <c r="AD302">
        <v>0</v>
      </c>
      <c r="AE302">
        <v>0</v>
      </c>
      <c r="AF302">
        <v>0</v>
      </c>
      <c r="AG302">
        <v>0</v>
      </c>
      <c r="AH302">
        <v>0</v>
      </c>
      <c r="AI302">
        <v>0</v>
      </c>
      <c r="AJ302">
        <v>0</v>
      </c>
    </row>
    <row r="303" spans="1:36">
      <c r="A303" t="s">
        <v>234</v>
      </c>
      <c r="B303" s="264">
        <v>46039</v>
      </c>
      <c r="C303" t="s">
        <v>613</v>
      </c>
      <c r="D303" t="s">
        <v>690</v>
      </c>
      <c r="E303" t="s">
        <v>601</v>
      </c>
      <c r="F303" t="s">
        <v>232</v>
      </c>
      <c r="G303">
        <v>0.1</v>
      </c>
      <c r="H303">
        <v>180</v>
      </c>
      <c r="I303">
        <v>18</v>
      </c>
      <c r="J303">
        <v>0</v>
      </c>
      <c r="K303" t="s">
        <v>233</v>
      </c>
      <c r="L303" s="264">
        <v>46340</v>
      </c>
      <c r="M303">
        <v>0</v>
      </c>
      <c r="N303">
        <v>0</v>
      </c>
      <c r="O303">
        <v>18</v>
      </c>
      <c r="P303" t="s">
        <v>672</v>
      </c>
      <c r="Q303">
        <v>0</v>
      </c>
      <c r="R303">
        <v>0</v>
      </c>
      <c r="S303">
        <v>0</v>
      </c>
      <c r="T303">
        <v>0</v>
      </c>
      <c r="U303">
        <v>0</v>
      </c>
      <c r="V303">
        <v>0</v>
      </c>
      <c r="W303">
        <v>0</v>
      </c>
      <c r="X303">
        <v>0</v>
      </c>
      <c r="Y303">
        <v>0</v>
      </c>
      <c r="Z303">
        <v>5</v>
      </c>
      <c r="AA303">
        <v>10</v>
      </c>
      <c r="AB303">
        <v>0</v>
      </c>
      <c r="AC303">
        <v>3</v>
      </c>
      <c r="AD303">
        <v>0</v>
      </c>
      <c r="AE303">
        <v>0</v>
      </c>
      <c r="AF303">
        <v>0</v>
      </c>
      <c r="AG303">
        <v>0</v>
      </c>
      <c r="AH303">
        <v>0</v>
      </c>
      <c r="AI303">
        <v>0</v>
      </c>
      <c r="AJ303">
        <v>0</v>
      </c>
    </row>
    <row r="304" spans="1:36">
      <c r="A304" t="s">
        <v>234</v>
      </c>
      <c r="B304" s="264">
        <v>46039</v>
      </c>
      <c r="C304" t="s">
        <v>630</v>
      </c>
      <c r="D304" t="s">
        <v>689</v>
      </c>
      <c r="E304" t="s">
        <v>601</v>
      </c>
      <c r="F304" t="s">
        <v>232</v>
      </c>
      <c r="G304">
        <v>3.8899999999999997E-2</v>
      </c>
      <c r="H304">
        <v>180</v>
      </c>
      <c r="I304">
        <v>7</v>
      </c>
      <c r="J304">
        <v>0</v>
      </c>
      <c r="K304" t="s">
        <v>233</v>
      </c>
      <c r="L304" s="264">
        <v>46331</v>
      </c>
      <c r="M304">
        <v>0</v>
      </c>
      <c r="N304">
        <v>0</v>
      </c>
      <c r="O304">
        <v>8</v>
      </c>
      <c r="P304" t="s">
        <v>310</v>
      </c>
      <c r="Q304">
        <v>0</v>
      </c>
      <c r="R304">
        <v>0</v>
      </c>
      <c r="S304">
        <v>0</v>
      </c>
      <c r="T304">
        <v>0</v>
      </c>
      <c r="U304">
        <v>0</v>
      </c>
      <c r="V304">
        <v>0</v>
      </c>
      <c r="W304">
        <v>0</v>
      </c>
      <c r="X304">
        <v>0</v>
      </c>
      <c r="Y304">
        <v>0</v>
      </c>
      <c r="Z304">
        <v>0</v>
      </c>
      <c r="AA304">
        <v>7</v>
      </c>
      <c r="AB304">
        <v>0</v>
      </c>
      <c r="AC304">
        <v>0</v>
      </c>
      <c r="AD304">
        <v>0</v>
      </c>
      <c r="AE304">
        <v>0</v>
      </c>
      <c r="AF304">
        <v>0</v>
      </c>
      <c r="AG304">
        <v>0</v>
      </c>
      <c r="AH304">
        <v>0</v>
      </c>
      <c r="AI304">
        <v>0</v>
      </c>
      <c r="AJ304">
        <v>0</v>
      </c>
    </row>
    <row r="305" spans="1:36">
      <c r="A305" t="s">
        <v>236</v>
      </c>
      <c r="B305" s="264">
        <v>46040</v>
      </c>
      <c r="C305" t="s">
        <v>712</v>
      </c>
      <c r="D305" t="s">
        <v>748</v>
      </c>
      <c r="E305" t="s">
        <v>706</v>
      </c>
      <c r="F305" t="s">
        <v>232</v>
      </c>
      <c r="G305">
        <v>2.2200000000000001E-2</v>
      </c>
      <c r="H305">
        <v>180</v>
      </c>
      <c r="I305">
        <v>4</v>
      </c>
      <c r="J305">
        <v>0</v>
      </c>
      <c r="K305" t="s">
        <v>233</v>
      </c>
      <c r="L305" s="264">
        <v>46329</v>
      </c>
      <c r="M305">
        <v>0</v>
      </c>
      <c r="N305">
        <v>0</v>
      </c>
      <c r="O305">
        <v>4</v>
      </c>
      <c r="P305" t="s">
        <v>304</v>
      </c>
      <c r="Q305">
        <v>0</v>
      </c>
      <c r="R305">
        <v>0</v>
      </c>
      <c r="S305">
        <v>0</v>
      </c>
      <c r="T305">
        <v>0</v>
      </c>
      <c r="U305">
        <v>0</v>
      </c>
      <c r="V305">
        <v>0</v>
      </c>
      <c r="W305">
        <v>0</v>
      </c>
      <c r="X305">
        <v>0</v>
      </c>
      <c r="Y305">
        <v>0</v>
      </c>
      <c r="Z305">
        <v>0</v>
      </c>
      <c r="AA305">
        <v>3</v>
      </c>
      <c r="AB305">
        <v>0</v>
      </c>
      <c r="AC305">
        <v>1</v>
      </c>
      <c r="AD305">
        <v>0</v>
      </c>
      <c r="AE305">
        <v>0</v>
      </c>
      <c r="AF305">
        <v>0</v>
      </c>
      <c r="AG305">
        <v>0</v>
      </c>
      <c r="AH305">
        <v>0</v>
      </c>
      <c r="AI305">
        <v>0</v>
      </c>
      <c r="AJ305">
        <v>0</v>
      </c>
    </row>
    <row r="306" spans="1:36">
      <c r="A306" t="s">
        <v>236</v>
      </c>
      <c r="B306" s="264">
        <v>46040</v>
      </c>
      <c r="C306" t="s">
        <v>716</v>
      </c>
      <c r="D306" t="s">
        <v>747</v>
      </c>
      <c r="E306" t="s">
        <v>706</v>
      </c>
      <c r="F306" t="s">
        <v>232</v>
      </c>
      <c r="G306">
        <v>0</v>
      </c>
      <c r="H306">
        <v>180</v>
      </c>
      <c r="I306">
        <v>0</v>
      </c>
      <c r="J306">
        <v>0</v>
      </c>
      <c r="K306" t="s">
        <v>233</v>
      </c>
      <c r="L306" t="s">
        <v>66</v>
      </c>
      <c r="M306">
        <v>0</v>
      </c>
      <c r="N306">
        <v>0</v>
      </c>
      <c r="O306">
        <v>0</v>
      </c>
      <c r="P306" t="s">
        <v>307</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row>
    <row r="307" spans="1:36">
      <c r="A307" t="s">
        <v>236</v>
      </c>
      <c r="B307" s="264">
        <v>46040</v>
      </c>
      <c r="C307" t="s">
        <v>998</v>
      </c>
      <c r="D307" t="s">
        <v>978</v>
      </c>
      <c r="E307" t="s">
        <v>985</v>
      </c>
      <c r="F307" t="s">
        <v>232</v>
      </c>
      <c r="G307">
        <v>0.1229</v>
      </c>
      <c r="H307">
        <v>179</v>
      </c>
      <c r="I307">
        <v>22</v>
      </c>
      <c r="J307">
        <v>0</v>
      </c>
      <c r="K307" t="s">
        <v>233</v>
      </c>
      <c r="L307" s="264">
        <v>46343</v>
      </c>
      <c r="M307">
        <v>0</v>
      </c>
      <c r="N307">
        <v>0</v>
      </c>
      <c r="O307">
        <v>22</v>
      </c>
      <c r="P307" t="s">
        <v>302</v>
      </c>
      <c r="Q307">
        <v>0</v>
      </c>
      <c r="R307">
        <v>0</v>
      </c>
      <c r="S307">
        <v>0</v>
      </c>
      <c r="T307">
        <v>0</v>
      </c>
      <c r="U307">
        <v>0</v>
      </c>
      <c r="V307">
        <v>1</v>
      </c>
      <c r="W307">
        <v>0</v>
      </c>
      <c r="X307">
        <v>0</v>
      </c>
      <c r="Y307">
        <v>0</v>
      </c>
      <c r="Z307">
        <v>0</v>
      </c>
      <c r="AA307">
        <v>0</v>
      </c>
      <c r="AB307">
        <v>4</v>
      </c>
      <c r="AC307">
        <v>16</v>
      </c>
      <c r="AD307">
        <v>1</v>
      </c>
      <c r="AE307">
        <v>0</v>
      </c>
      <c r="AF307">
        <v>0</v>
      </c>
      <c r="AG307">
        <v>0</v>
      </c>
      <c r="AH307">
        <v>0</v>
      </c>
      <c r="AI307">
        <v>0</v>
      </c>
      <c r="AJ307">
        <v>0</v>
      </c>
    </row>
    <row r="308" spans="1:36">
      <c r="A308" t="s">
        <v>236</v>
      </c>
      <c r="B308" s="264">
        <v>46040</v>
      </c>
      <c r="C308" t="s">
        <v>1289</v>
      </c>
      <c r="D308" t="s">
        <v>703</v>
      </c>
      <c r="E308" t="s">
        <v>1286</v>
      </c>
      <c r="F308" t="s">
        <v>232</v>
      </c>
      <c r="G308">
        <v>8.9399999999999993E-2</v>
      </c>
      <c r="H308">
        <v>179</v>
      </c>
      <c r="I308">
        <v>16</v>
      </c>
      <c r="J308">
        <v>0</v>
      </c>
      <c r="K308" t="s">
        <v>233</v>
      </c>
      <c r="L308" s="264">
        <v>46342</v>
      </c>
      <c r="M308">
        <v>0</v>
      </c>
      <c r="N308">
        <v>0</v>
      </c>
      <c r="O308">
        <v>16</v>
      </c>
      <c r="P308" t="s">
        <v>299</v>
      </c>
      <c r="Q308">
        <v>0</v>
      </c>
      <c r="R308">
        <v>0</v>
      </c>
      <c r="S308">
        <v>0</v>
      </c>
      <c r="T308">
        <v>0</v>
      </c>
      <c r="U308">
        <v>0</v>
      </c>
      <c r="V308">
        <v>0</v>
      </c>
      <c r="W308">
        <v>0</v>
      </c>
      <c r="X308">
        <v>0</v>
      </c>
      <c r="Y308">
        <v>0</v>
      </c>
      <c r="Z308">
        <v>0</v>
      </c>
      <c r="AA308">
        <v>0</v>
      </c>
      <c r="AB308">
        <v>0</v>
      </c>
      <c r="AC308">
        <v>2</v>
      </c>
      <c r="AD308">
        <v>10</v>
      </c>
      <c r="AE308">
        <v>4</v>
      </c>
      <c r="AF308">
        <v>0</v>
      </c>
      <c r="AG308">
        <v>0</v>
      </c>
      <c r="AH308">
        <v>0</v>
      </c>
      <c r="AI308">
        <v>0</v>
      </c>
      <c r="AJ308">
        <v>0</v>
      </c>
    </row>
    <row r="309" spans="1:36">
      <c r="A309" t="s">
        <v>236</v>
      </c>
      <c r="B309" s="264">
        <v>46040</v>
      </c>
      <c r="C309" t="s">
        <v>370</v>
      </c>
      <c r="D309" t="s">
        <v>553</v>
      </c>
      <c r="E309" t="s">
        <v>341</v>
      </c>
      <c r="F309" t="s">
        <v>232</v>
      </c>
      <c r="G309">
        <v>1.11E-2</v>
      </c>
      <c r="H309">
        <v>180</v>
      </c>
      <c r="I309">
        <v>2</v>
      </c>
      <c r="J309">
        <v>0</v>
      </c>
      <c r="K309" t="s">
        <v>233</v>
      </c>
      <c r="L309" s="264">
        <v>46342</v>
      </c>
      <c r="M309">
        <v>0</v>
      </c>
      <c r="N309">
        <v>0</v>
      </c>
      <c r="O309">
        <v>5</v>
      </c>
      <c r="P309" t="s">
        <v>292</v>
      </c>
      <c r="Q309">
        <v>0</v>
      </c>
      <c r="R309">
        <v>0</v>
      </c>
      <c r="S309">
        <v>0</v>
      </c>
      <c r="T309">
        <v>0</v>
      </c>
      <c r="U309">
        <v>0</v>
      </c>
      <c r="V309">
        <v>0</v>
      </c>
      <c r="W309">
        <v>0</v>
      </c>
      <c r="X309">
        <v>0</v>
      </c>
      <c r="Y309">
        <v>0</v>
      </c>
      <c r="Z309">
        <v>0</v>
      </c>
      <c r="AA309">
        <v>0</v>
      </c>
      <c r="AB309">
        <v>0</v>
      </c>
      <c r="AC309">
        <v>2</v>
      </c>
      <c r="AD309">
        <v>0</v>
      </c>
      <c r="AE309">
        <v>0</v>
      </c>
      <c r="AF309">
        <v>0</v>
      </c>
      <c r="AG309">
        <v>0</v>
      </c>
      <c r="AH309">
        <v>0</v>
      </c>
      <c r="AI309">
        <v>0</v>
      </c>
      <c r="AJ309">
        <v>0</v>
      </c>
    </row>
    <row r="310" spans="1:36">
      <c r="A310" t="s">
        <v>236</v>
      </c>
      <c r="B310" s="264">
        <v>46040</v>
      </c>
      <c r="C310" t="s">
        <v>433</v>
      </c>
      <c r="D310" t="s">
        <v>572</v>
      </c>
      <c r="E310" t="s">
        <v>341</v>
      </c>
      <c r="F310" t="s">
        <v>232</v>
      </c>
      <c r="G310">
        <v>3.3300000000000003E-2</v>
      </c>
      <c r="H310">
        <v>180</v>
      </c>
      <c r="I310">
        <v>6</v>
      </c>
      <c r="J310">
        <v>0</v>
      </c>
      <c r="K310" t="s">
        <v>233</v>
      </c>
      <c r="L310" s="264">
        <v>46313</v>
      </c>
      <c r="M310">
        <v>0</v>
      </c>
      <c r="N310">
        <v>0</v>
      </c>
      <c r="O310">
        <v>6</v>
      </c>
      <c r="P310" t="s">
        <v>299</v>
      </c>
      <c r="Q310">
        <v>0</v>
      </c>
      <c r="R310">
        <v>0</v>
      </c>
      <c r="S310">
        <v>0</v>
      </c>
      <c r="T310">
        <v>0</v>
      </c>
      <c r="U310">
        <v>0</v>
      </c>
      <c r="V310">
        <v>0</v>
      </c>
      <c r="W310">
        <v>0</v>
      </c>
      <c r="X310">
        <v>0</v>
      </c>
      <c r="Y310">
        <v>0</v>
      </c>
      <c r="Z310">
        <v>0</v>
      </c>
      <c r="AA310">
        <v>0</v>
      </c>
      <c r="AB310">
        <v>0</v>
      </c>
      <c r="AC310">
        <v>0</v>
      </c>
      <c r="AD310">
        <v>6</v>
      </c>
      <c r="AE310">
        <v>0</v>
      </c>
      <c r="AF310">
        <v>0</v>
      </c>
      <c r="AG310">
        <v>0</v>
      </c>
      <c r="AH310">
        <v>0</v>
      </c>
      <c r="AI310">
        <v>0</v>
      </c>
      <c r="AJ310">
        <v>0</v>
      </c>
    </row>
    <row r="311" spans="1:36">
      <c r="A311" t="s">
        <v>236</v>
      </c>
      <c r="B311" s="264">
        <v>46040</v>
      </c>
      <c r="C311" t="s">
        <v>376</v>
      </c>
      <c r="D311" t="s">
        <v>561</v>
      </c>
      <c r="E311" t="s">
        <v>341</v>
      </c>
      <c r="F311" t="s">
        <v>232</v>
      </c>
      <c r="G311">
        <v>7.22E-2</v>
      </c>
      <c r="H311">
        <v>180</v>
      </c>
      <c r="I311">
        <v>13</v>
      </c>
      <c r="J311">
        <v>0</v>
      </c>
      <c r="K311" t="s">
        <v>233</v>
      </c>
      <c r="L311" s="264">
        <v>46338</v>
      </c>
      <c r="M311">
        <v>0</v>
      </c>
      <c r="N311">
        <v>0</v>
      </c>
      <c r="O311">
        <v>14</v>
      </c>
      <c r="P311" t="s">
        <v>67</v>
      </c>
      <c r="Q311">
        <v>0</v>
      </c>
      <c r="R311">
        <v>0</v>
      </c>
      <c r="S311">
        <v>0</v>
      </c>
      <c r="T311">
        <v>0</v>
      </c>
      <c r="U311">
        <v>0</v>
      </c>
      <c r="V311">
        <v>0</v>
      </c>
      <c r="W311">
        <v>0</v>
      </c>
      <c r="X311">
        <v>0</v>
      </c>
      <c r="Y311">
        <v>0</v>
      </c>
      <c r="Z311">
        <v>0</v>
      </c>
      <c r="AA311">
        <v>0</v>
      </c>
      <c r="AB311">
        <v>0</v>
      </c>
      <c r="AC311">
        <v>3</v>
      </c>
      <c r="AD311">
        <v>10</v>
      </c>
      <c r="AE311">
        <v>0</v>
      </c>
      <c r="AF311">
        <v>0</v>
      </c>
      <c r="AG311">
        <v>0</v>
      </c>
      <c r="AH311">
        <v>0</v>
      </c>
      <c r="AI311">
        <v>0</v>
      </c>
      <c r="AJ311">
        <v>0</v>
      </c>
    </row>
    <row r="312" spans="1:36">
      <c r="A312" t="s">
        <v>236</v>
      </c>
      <c r="B312" s="264">
        <v>46040</v>
      </c>
      <c r="C312" t="s">
        <v>378</v>
      </c>
      <c r="D312" t="s">
        <v>573</v>
      </c>
      <c r="E312" t="s">
        <v>341</v>
      </c>
      <c r="F312" t="s">
        <v>232</v>
      </c>
      <c r="G312">
        <v>6.6699999999999995E-2</v>
      </c>
      <c r="H312">
        <v>180</v>
      </c>
      <c r="I312">
        <v>12</v>
      </c>
      <c r="J312">
        <v>0</v>
      </c>
      <c r="K312" t="s">
        <v>233</v>
      </c>
      <c r="L312" s="264">
        <v>46338</v>
      </c>
      <c r="M312">
        <v>0</v>
      </c>
      <c r="N312">
        <v>0</v>
      </c>
      <c r="O312">
        <v>12</v>
      </c>
      <c r="P312" t="s">
        <v>302</v>
      </c>
      <c r="Q312">
        <v>0</v>
      </c>
      <c r="R312">
        <v>0</v>
      </c>
      <c r="S312">
        <v>0</v>
      </c>
      <c r="T312">
        <v>0</v>
      </c>
      <c r="U312">
        <v>0</v>
      </c>
      <c r="V312">
        <v>0</v>
      </c>
      <c r="W312">
        <v>0</v>
      </c>
      <c r="X312">
        <v>0</v>
      </c>
      <c r="Y312">
        <v>0</v>
      </c>
      <c r="Z312">
        <v>0</v>
      </c>
      <c r="AA312">
        <v>0</v>
      </c>
      <c r="AB312">
        <v>0</v>
      </c>
      <c r="AC312">
        <v>4</v>
      </c>
      <c r="AD312">
        <v>8</v>
      </c>
      <c r="AE312">
        <v>0</v>
      </c>
      <c r="AF312">
        <v>0</v>
      </c>
      <c r="AG312">
        <v>0</v>
      </c>
      <c r="AH312">
        <v>0</v>
      </c>
      <c r="AI312">
        <v>0</v>
      </c>
      <c r="AJ312">
        <v>0</v>
      </c>
    </row>
    <row r="313" spans="1:36">
      <c r="A313" t="s">
        <v>236</v>
      </c>
      <c r="B313" s="264">
        <v>46040</v>
      </c>
      <c r="C313" t="s">
        <v>380</v>
      </c>
      <c r="D313" t="s">
        <v>574</v>
      </c>
      <c r="E313" t="s">
        <v>341</v>
      </c>
      <c r="F313" t="s">
        <v>232</v>
      </c>
      <c r="G313">
        <v>8.8900000000000007E-2</v>
      </c>
      <c r="H313">
        <v>180</v>
      </c>
      <c r="I313">
        <v>16</v>
      </c>
      <c r="J313">
        <v>0</v>
      </c>
      <c r="K313" t="s">
        <v>233</v>
      </c>
      <c r="L313" s="264">
        <v>46345</v>
      </c>
      <c r="M313">
        <v>0</v>
      </c>
      <c r="N313">
        <v>0</v>
      </c>
      <c r="O313">
        <v>16</v>
      </c>
      <c r="P313" t="s">
        <v>304</v>
      </c>
      <c r="Q313">
        <v>0</v>
      </c>
      <c r="R313">
        <v>0</v>
      </c>
      <c r="S313">
        <v>0</v>
      </c>
      <c r="T313">
        <v>0</v>
      </c>
      <c r="U313">
        <v>0</v>
      </c>
      <c r="V313">
        <v>0</v>
      </c>
      <c r="W313">
        <v>0</v>
      </c>
      <c r="X313">
        <v>0</v>
      </c>
      <c r="Y313">
        <v>0</v>
      </c>
      <c r="Z313">
        <v>0</v>
      </c>
      <c r="AA313">
        <v>0</v>
      </c>
      <c r="AB313">
        <v>6</v>
      </c>
      <c r="AC313">
        <v>4</v>
      </c>
      <c r="AD313">
        <v>6</v>
      </c>
      <c r="AE313">
        <v>0</v>
      </c>
      <c r="AF313">
        <v>0</v>
      </c>
      <c r="AG313">
        <v>0</v>
      </c>
      <c r="AH313">
        <v>0</v>
      </c>
      <c r="AI313">
        <v>0</v>
      </c>
      <c r="AJ313">
        <v>0</v>
      </c>
    </row>
    <row r="314" spans="1:36">
      <c r="A314" t="s">
        <v>236</v>
      </c>
      <c r="B314" s="264">
        <v>46040</v>
      </c>
      <c r="C314" t="s">
        <v>65</v>
      </c>
      <c r="D314" t="s">
        <v>237</v>
      </c>
      <c r="E314" t="s">
        <v>1</v>
      </c>
      <c r="F314" t="s">
        <v>232</v>
      </c>
      <c r="G314">
        <v>0.36109999999999998</v>
      </c>
      <c r="H314">
        <v>180</v>
      </c>
      <c r="I314">
        <v>65</v>
      </c>
      <c r="J314">
        <v>65</v>
      </c>
      <c r="K314" t="s">
        <v>233</v>
      </c>
      <c r="L314" s="264">
        <v>46204</v>
      </c>
      <c r="M314">
        <v>0</v>
      </c>
      <c r="N314">
        <v>0</v>
      </c>
      <c r="O314">
        <v>2</v>
      </c>
      <c r="P314" t="s">
        <v>67</v>
      </c>
      <c r="Q314">
        <v>0</v>
      </c>
      <c r="R314">
        <v>0</v>
      </c>
      <c r="S314">
        <v>0</v>
      </c>
      <c r="T314">
        <v>0</v>
      </c>
      <c r="U314">
        <v>0</v>
      </c>
      <c r="V314">
        <v>0</v>
      </c>
      <c r="W314">
        <v>0</v>
      </c>
      <c r="X314">
        <v>0</v>
      </c>
      <c r="Y314">
        <v>0</v>
      </c>
      <c r="Z314">
        <v>0</v>
      </c>
      <c r="AA314">
        <v>0</v>
      </c>
      <c r="AB314">
        <v>0</v>
      </c>
      <c r="AC314">
        <v>0</v>
      </c>
      <c r="AD314">
        <v>0</v>
      </c>
      <c r="AE314">
        <v>0</v>
      </c>
      <c r="AF314">
        <v>0</v>
      </c>
      <c r="AG314">
        <v>65</v>
      </c>
      <c r="AH314">
        <v>0</v>
      </c>
      <c r="AI314">
        <v>0</v>
      </c>
      <c r="AJ314">
        <v>0</v>
      </c>
    </row>
    <row r="315" spans="1:36">
      <c r="A315" t="s">
        <v>236</v>
      </c>
      <c r="B315" s="264">
        <v>46040</v>
      </c>
      <c r="C315" t="s">
        <v>818</v>
      </c>
      <c r="D315" t="s">
        <v>978</v>
      </c>
      <c r="E315" t="s">
        <v>808</v>
      </c>
      <c r="F315" t="s">
        <v>232</v>
      </c>
      <c r="G315">
        <v>0.13969999999999999</v>
      </c>
      <c r="H315">
        <v>179</v>
      </c>
      <c r="I315">
        <v>25</v>
      </c>
      <c r="J315">
        <v>0</v>
      </c>
      <c r="K315" t="s">
        <v>233</v>
      </c>
      <c r="L315" s="264">
        <v>46343</v>
      </c>
      <c r="M315">
        <v>0</v>
      </c>
      <c r="N315">
        <v>0</v>
      </c>
      <c r="O315">
        <v>25</v>
      </c>
      <c r="P315" t="s">
        <v>471</v>
      </c>
      <c r="Q315">
        <v>0</v>
      </c>
      <c r="R315">
        <v>0</v>
      </c>
      <c r="S315">
        <v>0</v>
      </c>
      <c r="T315">
        <v>0</v>
      </c>
      <c r="U315">
        <v>0</v>
      </c>
      <c r="V315">
        <v>0</v>
      </c>
      <c r="W315">
        <v>0</v>
      </c>
      <c r="X315">
        <v>0</v>
      </c>
      <c r="Y315">
        <v>0</v>
      </c>
      <c r="Z315">
        <v>0</v>
      </c>
      <c r="AA315">
        <v>3</v>
      </c>
      <c r="AB315">
        <v>6</v>
      </c>
      <c r="AC315">
        <v>9</v>
      </c>
      <c r="AD315">
        <v>6</v>
      </c>
      <c r="AE315">
        <v>1</v>
      </c>
      <c r="AF315">
        <v>0</v>
      </c>
      <c r="AG315">
        <v>0</v>
      </c>
      <c r="AH315">
        <v>0</v>
      </c>
      <c r="AI315">
        <v>0</v>
      </c>
      <c r="AJ315">
        <v>0</v>
      </c>
    </row>
    <row r="316" spans="1:36">
      <c r="A316" t="s">
        <v>236</v>
      </c>
      <c r="B316" s="264">
        <v>46040</v>
      </c>
      <c r="C316" t="s">
        <v>1215</v>
      </c>
      <c r="D316" t="s">
        <v>1236</v>
      </c>
      <c r="E316" t="s">
        <v>1213</v>
      </c>
      <c r="F316" t="s">
        <v>232</v>
      </c>
      <c r="G316">
        <v>8.3799999999999999E-2</v>
      </c>
      <c r="H316">
        <v>179</v>
      </c>
      <c r="I316">
        <v>15</v>
      </c>
      <c r="J316">
        <v>0</v>
      </c>
      <c r="K316" t="s">
        <v>233</v>
      </c>
      <c r="L316" s="264">
        <v>46344</v>
      </c>
      <c r="M316">
        <v>0</v>
      </c>
      <c r="N316">
        <v>0</v>
      </c>
      <c r="O316">
        <v>15</v>
      </c>
      <c r="P316" t="s">
        <v>471</v>
      </c>
      <c r="Q316">
        <v>0</v>
      </c>
      <c r="R316">
        <v>0</v>
      </c>
      <c r="S316">
        <v>0</v>
      </c>
      <c r="T316">
        <v>0</v>
      </c>
      <c r="U316">
        <v>0</v>
      </c>
      <c r="V316">
        <v>0</v>
      </c>
      <c r="W316">
        <v>0</v>
      </c>
      <c r="X316">
        <v>0</v>
      </c>
      <c r="Y316">
        <v>0</v>
      </c>
      <c r="Z316">
        <v>1</v>
      </c>
      <c r="AA316">
        <v>4</v>
      </c>
      <c r="AB316">
        <v>8</v>
      </c>
      <c r="AC316">
        <v>2</v>
      </c>
      <c r="AD316">
        <v>0</v>
      </c>
      <c r="AE316">
        <v>0</v>
      </c>
      <c r="AF316">
        <v>0</v>
      </c>
      <c r="AG316">
        <v>0</v>
      </c>
      <c r="AH316">
        <v>0</v>
      </c>
      <c r="AI316">
        <v>0</v>
      </c>
      <c r="AJ316">
        <v>0</v>
      </c>
    </row>
    <row r="317" spans="1:36">
      <c r="A317" t="s">
        <v>236</v>
      </c>
      <c r="B317" s="264">
        <v>46040</v>
      </c>
      <c r="C317" t="s">
        <v>613</v>
      </c>
      <c r="D317" t="s">
        <v>692</v>
      </c>
      <c r="E317" t="s">
        <v>601</v>
      </c>
      <c r="F317" t="s">
        <v>232</v>
      </c>
      <c r="G317">
        <v>5.5999999999999999E-3</v>
      </c>
      <c r="H317">
        <v>180</v>
      </c>
      <c r="I317">
        <v>1</v>
      </c>
      <c r="J317">
        <v>0</v>
      </c>
      <c r="K317" t="s">
        <v>233</v>
      </c>
      <c r="L317" s="264">
        <v>46333</v>
      </c>
      <c r="M317">
        <v>0</v>
      </c>
      <c r="N317">
        <v>0</v>
      </c>
      <c r="O317">
        <v>3</v>
      </c>
      <c r="P317" t="s">
        <v>292</v>
      </c>
      <c r="Q317">
        <v>0</v>
      </c>
      <c r="R317">
        <v>0</v>
      </c>
      <c r="S317">
        <v>0</v>
      </c>
      <c r="T317">
        <v>0</v>
      </c>
      <c r="U317">
        <v>0</v>
      </c>
      <c r="V317">
        <v>0</v>
      </c>
      <c r="W317">
        <v>0</v>
      </c>
      <c r="X317">
        <v>0</v>
      </c>
      <c r="Y317">
        <v>0</v>
      </c>
      <c r="Z317">
        <v>0</v>
      </c>
      <c r="AA317">
        <v>0</v>
      </c>
      <c r="AB317">
        <v>0</v>
      </c>
      <c r="AC317">
        <v>1</v>
      </c>
      <c r="AD317">
        <v>0</v>
      </c>
      <c r="AE317">
        <v>0</v>
      </c>
      <c r="AF317">
        <v>0</v>
      </c>
      <c r="AG317">
        <v>0</v>
      </c>
      <c r="AH317">
        <v>0</v>
      </c>
      <c r="AI317">
        <v>0</v>
      </c>
      <c r="AJ317">
        <v>0</v>
      </c>
    </row>
    <row r="318" spans="1:36">
      <c r="A318" t="s">
        <v>236</v>
      </c>
      <c r="B318" s="264">
        <v>46040</v>
      </c>
      <c r="C318" t="s">
        <v>630</v>
      </c>
      <c r="D318" t="s">
        <v>693</v>
      </c>
      <c r="E318" t="s">
        <v>601</v>
      </c>
      <c r="F318" t="s">
        <v>232</v>
      </c>
      <c r="G318">
        <v>3.3300000000000003E-2</v>
      </c>
      <c r="H318">
        <v>180</v>
      </c>
      <c r="I318">
        <v>6</v>
      </c>
      <c r="J318">
        <v>0</v>
      </c>
      <c r="K318" t="s">
        <v>233</v>
      </c>
      <c r="M318">
        <v>0</v>
      </c>
      <c r="N318">
        <v>0</v>
      </c>
      <c r="O318">
        <v>0</v>
      </c>
      <c r="P318" t="s">
        <v>307</v>
      </c>
      <c r="Q318">
        <v>0</v>
      </c>
      <c r="R318">
        <v>0</v>
      </c>
      <c r="S318">
        <v>0</v>
      </c>
      <c r="T318">
        <v>0</v>
      </c>
      <c r="U318">
        <v>0</v>
      </c>
      <c r="V318">
        <v>0</v>
      </c>
      <c r="W318">
        <v>0</v>
      </c>
      <c r="X318">
        <v>0</v>
      </c>
      <c r="Y318">
        <v>0</v>
      </c>
      <c r="Z318">
        <v>0</v>
      </c>
      <c r="AA318">
        <v>0</v>
      </c>
      <c r="AB318">
        <v>0</v>
      </c>
      <c r="AC318">
        <v>6</v>
      </c>
      <c r="AD318">
        <v>0</v>
      </c>
      <c r="AE318">
        <v>0</v>
      </c>
      <c r="AF318">
        <v>0</v>
      </c>
      <c r="AG318">
        <v>0</v>
      </c>
      <c r="AH318">
        <v>0</v>
      </c>
      <c r="AI318">
        <v>0</v>
      </c>
      <c r="AJ318">
        <v>0</v>
      </c>
    </row>
    <row r="319" spans="1:36">
      <c r="A319" t="s">
        <v>236</v>
      </c>
      <c r="B319" s="264">
        <v>46040</v>
      </c>
      <c r="C319" t="s">
        <v>263</v>
      </c>
      <c r="D319" t="s">
        <v>235</v>
      </c>
      <c r="E319" t="s">
        <v>261</v>
      </c>
      <c r="F319" t="s">
        <v>232</v>
      </c>
      <c r="G319">
        <v>1.67E-2</v>
      </c>
      <c r="H319">
        <v>180</v>
      </c>
      <c r="I319">
        <v>3</v>
      </c>
      <c r="J319">
        <v>0</v>
      </c>
      <c r="K319" t="s">
        <v>233</v>
      </c>
      <c r="L319" s="264">
        <v>46344</v>
      </c>
      <c r="M319">
        <v>0</v>
      </c>
      <c r="N319">
        <v>0</v>
      </c>
      <c r="O319">
        <v>4</v>
      </c>
      <c r="P319" t="s">
        <v>183</v>
      </c>
      <c r="Q319">
        <v>0</v>
      </c>
      <c r="R319">
        <v>0</v>
      </c>
      <c r="S319">
        <v>0</v>
      </c>
      <c r="T319">
        <v>0</v>
      </c>
      <c r="U319">
        <v>0</v>
      </c>
      <c r="V319">
        <v>0</v>
      </c>
      <c r="W319">
        <v>0</v>
      </c>
      <c r="X319">
        <v>0</v>
      </c>
      <c r="Y319">
        <v>0</v>
      </c>
      <c r="Z319">
        <v>0</v>
      </c>
      <c r="AA319">
        <v>0</v>
      </c>
      <c r="AB319">
        <v>3</v>
      </c>
      <c r="AC319">
        <v>0</v>
      </c>
      <c r="AD319">
        <v>0</v>
      </c>
      <c r="AE319">
        <v>0</v>
      </c>
      <c r="AF319">
        <v>0</v>
      </c>
      <c r="AG319">
        <v>0</v>
      </c>
      <c r="AH319">
        <v>0</v>
      </c>
      <c r="AI319">
        <v>0</v>
      </c>
      <c r="AJ319">
        <v>0</v>
      </c>
    </row>
    <row r="320" spans="1:36">
      <c r="A320" t="s">
        <v>240</v>
      </c>
      <c r="B320" s="264">
        <v>46041</v>
      </c>
      <c r="C320" t="s">
        <v>1125</v>
      </c>
      <c r="D320" t="s">
        <v>1141</v>
      </c>
      <c r="E320" t="s">
        <v>1123</v>
      </c>
      <c r="F320" t="s">
        <v>232</v>
      </c>
      <c r="G320">
        <v>3.3300000000000003E-2</v>
      </c>
      <c r="H320">
        <v>180</v>
      </c>
      <c r="I320">
        <v>6</v>
      </c>
      <c r="J320">
        <v>0</v>
      </c>
      <c r="K320" t="s">
        <v>233</v>
      </c>
      <c r="L320" s="264">
        <v>46340</v>
      </c>
      <c r="M320">
        <v>0</v>
      </c>
      <c r="N320">
        <v>0</v>
      </c>
      <c r="O320">
        <v>6</v>
      </c>
      <c r="P320" t="s">
        <v>967</v>
      </c>
      <c r="Q320">
        <v>0</v>
      </c>
      <c r="R320">
        <v>0</v>
      </c>
      <c r="S320">
        <v>0</v>
      </c>
      <c r="T320">
        <v>0</v>
      </c>
      <c r="U320">
        <v>0</v>
      </c>
      <c r="V320">
        <v>0</v>
      </c>
      <c r="W320">
        <v>0</v>
      </c>
      <c r="X320">
        <v>0</v>
      </c>
      <c r="Y320">
        <v>0</v>
      </c>
      <c r="Z320">
        <v>0</v>
      </c>
      <c r="AA320">
        <v>0</v>
      </c>
      <c r="AB320">
        <v>0</v>
      </c>
      <c r="AC320">
        <v>0</v>
      </c>
      <c r="AD320">
        <v>5</v>
      </c>
      <c r="AE320">
        <v>1</v>
      </c>
      <c r="AF320">
        <v>0</v>
      </c>
      <c r="AG320">
        <v>0</v>
      </c>
      <c r="AH320">
        <v>0</v>
      </c>
      <c r="AI320">
        <v>0</v>
      </c>
      <c r="AJ320">
        <v>0</v>
      </c>
    </row>
    <row r="321" spans="1:36">
      <c r="A321" t="s">
        <v>240</v>
      </c>
      <c r="B321" s="264">
        <v>46041</v>
      </c>
      <c r="C321" t="s">
        <v>723</v>
      </c>
      <c r="D321" t="s">
        <v>656</v>
      </c>
      <c r="E321" t="s">
        <v>706</v>
      </c>
      <c r="F321" t="s">
        <v>232</v>
      </c>
      <c r="G321">
        <v>0</v>
      </c>
      <c r="H321">
        <v>180</v>
      </c>
      <c r="I321">
        <v>0</v>
      </c>
      <c r="J321">
        <v>0</v>
      </c>
      <c r="K321" t="s">
        <v>233</v>
      </c>
      <c r="L321" t="s">
        <v>66</v>
      </c>
      <c r="M321">
        <v>0</v>
      </c>
      <c r="N321">
        <v>0</v>
      </c>
      <c r="O321">
        <v>0</v>
      </c>
      <c r="P321" t="s">
        <v>307</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row>
    <row r="322" spans="1:36">
      <c r="A322" t="s">
        <v>240</v>
      </c>
      <c r="B322" s="264">
        <v>46041</v>
      </c>
      <c r="C322" t="s">
        <v>709</v>
      </c>
      <c r="D322" t="s">
        <v>743</v>
      </c>
      <c r="E322" t="s">
        <v>706</v>
      </c>
      <c r="F322" t="s">
        <v>232</v>
      </c>
      <c r="G322">
        <v>5.5999999999999999E-3</v>
      </c>
      <c r="H322">
        <v>180</v>
      </c>
      <c r="I322">
        <v>1</v>
      </c>
      <c r="J322">
        <v>0</v>
      </c>
      <c r="K322" t="s">
        <v>233</v>
      </c>
      <c r="L322" s="264">
        <v>46302</v>
      </c>
      <c r="M322">
        <v>0</v>
      </c>
      <c r="N322">
        <v>0</v>
      </c>
      <c r="O322">
        <v>1</v>
      </c>
      <c r="P322" t="s">
        <v>304</v>
      </c>
      <c r="Q322">
        <v>0</v>
      </c>
      <c r="R322">
        <v>0</v>
      </c>
      <c r="S322">
        <v>0</v>
      </c>
      <c r="T322">
        <v>0</v>
      </c>
      <c r="U322">
        <v>0</v>
      </c>
      <c r="V322">
        <v>0</v>
      </c>
      <c r="W322">
        <v>0</v>
      </c>
      <c r="X322">
        <v>0</v>
      </c>
      <c r="Y322">
        <v>0</v>
      </c>
      <c r="Z322">
        <v>0</v>
      </c>
      <c r="AA322">
        <v>0</v>
      </c>
      <c r="AB322">
        <v>0</v>
      </c>
      <c r="AC322">
        <v>1</v>
      </c>
      <c r="AD322">
        <v>0</v>
      </c>
      <c r="AE322">
        <v>0</v>
      </c>
      <c r="AF322">
        <v>0</v>
      </c>
      <c r="AG322">
        <v>0</v>
      </c>
      <c r="AH322">
        <v>0</v>
      </c>
      <c r="AI322">
        <v>0</v>
      </c>
      <c r="AJ322">
        <v>0</v>
      </c>
    </row>
    <row r="323" spans="1:36">
      <c r="A323" t="s">
        <v>240</v>
      </c>
      <c r="B323" s="264">
        <v>46041</v>
      </c>
      <c r="C323" t="s">
        <v>712</v>
      </c>
      <c r="D323" t="s">
        <v>750</v>
      </c>
      <c r="E323" t="s">
        <v>706</v>
      </c>
      <c r="F323" t="s">
        <v>232</v>
      </c>
      <c r="G323">
        <v>0</v>
      </c>
      <c r="H323">
        <v>180</v>
      </c>
      <c r="I323">
        <v>0</v>
      </c>
      <c r="J323">
        <v>0</v>
      </c>
      <c r="K323" t="s">
        <v>233</v>
      </c>
      <c r="L323" t="s">
        <v>66</v>
      </c>
      <c r="M323">
        <v>0</v>
      </c>
      <c r="N323">
        <v>0</v>
      </c>
      <c r="O323">
        <v>0</v>
      </c>
      <c r="P323" t="s">
        <v>307</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row>
    <row r="324" spans="1:36">
      <c r="A324" t="s">
        <v>240</v>
      </c>
      <c r="B324" s="264">
        <v>46041</v>
      </c>
      <c r="C324" t="s">
        <v>716</v>
      </c>
      <c r="D324" t="s">
        <v>749</v>
      </c>
      <c r="E324" t="s">
        <v>706</v>
      </c>
      <c r="F324" t="s">
        <v>232</v>
      </c>
      <c r="G324">
        <v>0</v>
      </c>
      <c r="H324">
        <v>180</v>
      </c>
      <c r="I324">
        <v>0</v>
      </c>
      <c r="J324">
        <v>0</v>
      </c>
      <c r="K324" t="s">
        <v>233</v>
      </c>
      <c r="L324" t="s">
        <v>66</v>
      </c>
      <c r="M324">
        <v>0</v>
      </c>
      <c r="N324">
        <v>0</v>
      </c>
      <c r="O324">
        <v>0</v>
      </c>
      <c r="P324" t="s">
        <v>307</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row>
    <row r="325" spans="1:36">
      <c r="A325" t="s">
        <v>240</v>
      </c>
      <c r="B325" s="264">
        <v>46041</v>
      </c>
      <c r="C325" t="s">
        <v>323</v>
      </c>
      <c r="D325" t="s">
        <v>335</v>
      </c>
      <c r="E325" t="s">
        <v>320</v>
      </c>
      <c r="F325" t="s">
        <v>232</v>
      </c>
      <c r="G325">
        <v>0</v>
      </c>
      <c r="H325">
        <v>180</v>
      </c>
      <c r="I325">
        <v>0</v>
      </c>
      <c r="J325">
        <v>0</v>
      </c>
      <c r="K325" t="s">
        <v>233</v>
      </c>
      <c r="L325" t="s">
        <v>66</v>
      </c>
      <c r="M325">
        <v>0</v>
      </c>
      <c r="N325">
        <v>0</v>
      </c>
      <c r="O325">
        <v>0</v>
      </c>
      <c r="P325" t="s">
        <v>326</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row>
    <row r="326" spans="1:36">
      <c r="A326" t="s">
        <v>240</v>
      </c>
      <c r="B326" s="264">
        <v>46041</v>
      </c>
      <c r="C326" t="s">
        <v>433</v>
      </c>
      <c r="D326" t="s">
        <v>334</v>
      </c>
      <c r="E326" t="s">
        <v>341</v>
      </c>
      <c r="F326" t="s">
        <v>232</v>
      </c>
      <c r="G326">
        <v>5.5599999999999997E-2</v>
      </c>
      <c r="H326">
        <v>180</v>
      </c>
      <c r="I326">
        <v>10</v>
      </c>
      <c r="J326">
        <v>0</v>
      </c>
      <c r="K326" t="s">
        <v>233</v>
      </c>
      <c r="L326" s="264">
        <v>46342</v>
      </c>
      <c r="M326">
        <v>0</v>
      </c>
      <c r="N326">
        <v>0</v>
      </c>
      <c r="O326">
        <v>10</v>
      </c>
      <c r="P326" t="s">
        <v>304</v>
      </c>
      <c r="Q326">
        <v>0</v>
      </c>
      <c r="R326">
        <v>0</v>
      </c>
      <c r="S326">
        <v>0</v>
      </c>
      <c r="T326">
        <v>0</v>
      </c>
      <c r="U326">
        <v>0</v>
      </c>
      <c r="V326">
        <v>0</v>
      </c>
      <c r="W326">
        <v>0</v>
      </c>
      <c r="X326">
        <v>0</v>
      </c>
      <c r="Y326">
        <v>0</v>
      </c>
      <c r="Z326">
        <v>0</v>
      </c>
      <c r="AA326">
        <v>0</v>
      </c>
      <c r="AB326">
        <v>0</v>
      </c>
      <c r="AC326">
        <v>2</v>
      </c>
      <c r="AD326">
        <v>8</v>
      </c>
      <c r="AE326">
        <v>0</v>
      </c>
      <c r="AF326">
        <v>0</v>
      </c>
      <c r="AG326">
        <v>0</v>
      </c>
      <c r="AH326">
        <v>0</v>
      </c>
      <c r="AI326">
        <v>0</v>
      </c>
      <c r="AJ326">
        <v>0</v>
      </c>
    </row>
    <row r="327" spans="1:36">
      <c r="A327" t="s">
        <v>240</v>
      </c>
      <c r="B327" s="264">
        <v>46041</v>
      </c>
      <c r="C327" t="s">
        <v>376</v>
      </c>
      <c r="D327" t="s">
        <v>575</v>
      </c>
      <c r="E327" t="s">
        <v>341</v>
      </c>
      <c r="F327" t="s">
        <v>232</v>
      </c>
      <c r="G327">
        <v>1.67E-2</v>
      </c>
      <c r="H327">
        <v>180</v>
      </c>
      <c r="I327">
        <v>3</v>
      </c>
      <c r="J327">
        <v>0</v>
      </c>
      <c r="K327" t="s">
        <v>233</v>
      </c>
      <c r="L327" s="264">
        <v>46328</v>
      </c>
      <c r="M327">
        <v>0</v>
      </c>
      <c r="N327">
        <v>0</v>
      </c>
      <c r="O327">
        <v>5</v>
      </c>
      <c r="P327" t="s">
        <v>446</v>
      </c>
      <c r="Q327">
        <v>0</v>
      </c>
      <c r="R327">
        <v>0</v>
      </c>
      <c r="S327">
        <v>0</v>
      </c>
      <c r="T327">
        <v>0</v>
      </c>
      <c r="U327">
        <v>0</v>
      </c>
      <c r="V327">
        <v>0</v>
      </c>
      <c r="W327">
        <v>0</v>
      </c>
      <c r="X327">
        <v>0</v>
      </c>
      <c r="Y327">
        <v>0</v>
      </c>
      <c r="Z327">
        <v>0</v>
      </c>
      <c r="AA327">
        <v>0</v>
      </c>
      <c r="AB327">
        <v>0</v>
      </c>
      <c r="AC327">
        <v>0</v>
      </c>
      <c r="AD327">
        <v>3</v>
      </c>
      <c r="AE327">
        <v>0</v>
      </c>
      <c r="AF327">
        <v>0</v>
      </c>
      <c r="AG327">
        <v>0</v>
      </c>
      <c r="AH327">
        <v>0</v>
      </c>
      <c r="AI327">
        <v>0</v>
      </c>
      <c r="AJ327">
        <v>0</v>
      </c>
    </row>
    <row r="328" spans="1:36">
      <c r="A328" t="s">
        <v>240</v>
      </c>
      <c r="B328" s="264">
        <v>46041</v>
      </c>
      <c r="C328" t="s">
        <v>378</v>
      </c>
      <c r="D328" t="s">
        <v>563</v>
      </c>
      <c r="E328" t="s">
        <v>341</v>
      </c>
      <c r="F328" t="s">
        <v>232</v>
      </c>
      <c r="G328">
        <v>2.2200000000000001E-2</v>
      </c>
      <c r="H328">
        <v>180</v>
      </c>
      <c r="I328">
        <v>4</v>
      </c>
      <c r="J328">
        <v>0</v>
      </c>
      <c r="K328" t="s">
        <v>233</v>
      </c>
      <c r="L328" s="264">
        <v>46344</v>
      </c>
      <c r="M328">
        <v>0</v>
      </c>
      <c r="N328">
        <v>0</v>
      </c>
      <c r="O328">
        <v>5</v>
      </c>
      <c r="P328" t="s">
        <v>367</v>
      </c>
      <c r="Q328">
        <v>0</v>
      </c>
      <c r="R328">
        <v>0</v>
      </c>
      <c r="S328">
        <v>0</v>
      </c>
      <c r="T328">
        <v>0</v>
      </c>
      <c r="U328">
        <v>0</v>
      </c>
      <c r="V328">
        <v>0</v>
      </c>
      <c r="W328">
        <v>0</v>
      </c>
      <c r="X328">
        <v>0</v>
      </c>
      <c r="Y328">
        <v>0</v>
      </c>
      <c r="Z328">
        <v>0</v>
      </c>
      <c r="AA328">
        <v>0</v>
      </c>
      <c r="AB328">
        <v>0</v>
      </c>
      <c r="AC328">
        <v>0</v>
      </c>
      <c r="AD328">
        <v>4</v>
      </c>
      <c r="AE328">
        <v>0</v>
      </c>
      <c r="AF328">
        <v>0</v>
      </c>
      <c r="AG328">
        <v>0</v>
      </c>
      <c r="AH328">
        <v>0</v>
      </c>
      <c r="AI328">
        <v>0</v>
      </c>
      <c r="AJ328">
        <v>0</v>
      </c>
    </row>
    <row r="329" spans="1:36">
      <c r="A329" t="s">
        <v>240</v>
      </c>
      <c r="B329" s="264">
        <v>46041</v>
      </c>
      <c r="C329" t="s">
        <v>112</v>
      </c>
      <c r="D329" t="s">
        <v>241</v>
      </c>
      <c r="E329" t="s">
        <v>1</v>
      </c>
      <c r="F329" t="s">
        <v>232</v>
      </c>
      <c r="G329">
        <v>0.25559999999999999</v>
      </c>
      <c r="H329">
        <v>180</v>
      </c>
      <c r="I329">
        <v>46</v>
      </c>
      <c r="J329">
        <v>45</v>
      </c>
      <c r="K329" t="s">
        <v>233</v>
      </c>
      <c r="L329" s="264">
        <v>46324</v>
      </c>
      <c r="M329">
        <v>0</v>
      </c>
      <c r="N329">
        <v>0</v>
      </c>
      <c r="O329">
        <v>3</v>
      </c>
      <c r="P329" t="s">
        <v>67</v>
      </c>
      <c r="Q329">
        <v>0</v>
      </c>
      <c r="R329">
        <v>0</v>
      </c>
      <c r="S329">
        <v>0</v>
      </c>
      <c r="T329">
        <v>0</v>
      </c>
      <c r="U329">
        <v>0</v>
      </c>
      <c r="V329">
        <v>0</v>
      </c>
      <c r="W329">
        <v>0</v>
      </c>
      <c r="X329">
        <v>0</v>
      </c>
      <c r="Y329">
        <v>0</v>
      </c>
      <c r="Z329">
        <v>0</v>
      </c>
      <c r="AA329">
        <v>0</v>
      </c>
      <c r="AB329">
        <v>1</v>
      </c>
      <c r="AC329">
        <v>0</v>
      </c>
      <c r="AD329">
        <v>0</v>
      </c>
      <c r="AE329">
        <v>0</v>
      </c>
      <c r="AF329">
        <v>0</v>
      </c>
      <c r="AG329">
        <v>45</v>
      </c>
      <c r="AH329">
        <v>0</v>
      </c>
      <c r="AI329">
        <v>0</v>
      </c>
      <c r="AJ329">
        <v>0</v>
      </c>
    </row>
    <row r="330" spans="1:36">
      <c r="A330" t="s">
        <v>240</v>
      </c>
      <c r="B330" s="264">
        <v>46041</v>
      </c>
      <c r="C330" t="s">
        <v>854</v>
      </c>
      <c r="D330" t="s">
        <v>975</v>
      </c>
      <c r="E330" t="s">
        <v>808</v>
      </c>
      <c r="F330" t="s">
        <v>232</v>
      </c>
      <c r="G330">
        <v>7.2599999999999998E-2</v>
      </c>
      <c r="H330">
        <v>179</v>
      </c>
      <c r="I330">
        <v>13</v>
      </c>
      <c r="J330">
        <v>0</v>
      </c>
      <c r="K330" t="s">
        <v>233</v>
      </c>
      <c r="L330" s="264">
        <v>46344</v>
      </c>
      <c r="M330">
        <v>0</v>
      </c>
      <c r="N330">
        <v>0</v>
      </c>
      <c r="O330">
        <v>13</v>
      </c>
      <c r="P330" t="s">
        <v>549</v>
      </c>
      <c r="Q330">
        <v>0</v>
      </c>
      <c r="R330">
        <v>0</v>
      </c>
      <c r="S330">
        <v>0</v>
      </c>
      <c r="T330">
        <v>0</v>
      </c>
      <c r="U330">
        <v>0</v>
      </c>
      <c r="V330">
        <v>0</v>
      </c>
      <c r="W330">
        <v>0</v>
      </c>
      <c r="X330">
        <v>0</v>
      </c>
      <c r="Y330">
        <v>0</v>
      </c>
      <c r="Z330">
        <v>0</v>
      </c>
      <c r="AA330">
        <v>0</v>
      </c>
      <c r="AB330">
        <v>0</v>
      </c>
      <c r="AC330">
        <v>0</v>
      </c>
      <c r="AD330">
        <v>7</v>
      </c>
      <c r="AE330">
        <v>6</v>
      </c>
      <c r="AF330">
        <v>0</v>
      </c>
      <c r="AG330">
        <v>0</v>
      </c>
      <c r="AH330">
        <v>0</v>
      </c>
      <c r="AI330">
        <v>0</v>
      </c>
      <c r="AJ330">
        <v>0</v>
      </c>
    </row>
    <row r="331" spans="1:36">
      <c r="A331" t="s">
        <v>240</v>
      </c>
      <c r="B331" s="264">
        <v>46041</v>
      </c>
      <c r="C331" t="s">
        <v>1215</v>
      </c>
      <c r="D331" t="s">
        <v>751</v>
      </c>
      <c r="E331" t="s">
        <v>1213</v>
      </c>
      <c r="F331" t="s">
        <v>232</v>
      </c>
      <c r="G331">
        <v>1.12E-2</v>
      </c>
      <c r="H331">
        <v>179</v>
      </c>
      <c r="I331">
        <v>2</v>
      </c>
      <c r="J331">
        <v>0</v>
      </c>
      <c r="K331" t="s">
        <v>233</v>
      </c>
      <c r="L331" s="264">
        <v>46343</v>
      </c>
      <c r="M331">
        <v>0</v>
      </c>
      <c r="N331">
        <v>0</v>
      </c>
      <c r="O331">
        <v>2</v>
      </c>
      <c r="P331" t="s">
        <v>877</v>
      </c>
      <c r="Q331">
        <v>0</v>
      </c>
      <c r="R331">
        <v>0</v>
      </c>
      <c r="S331">
        <v>0</v>
      </c>
      <c r="T331">
        <v>0</v>
      </c>
      <c r="U331">
        <v>0</v>
      </c>
      <c r="V331">
        <v>0</v>
      </c>
      <c r="W331">
        <v>0</v>
      </c>
      <c r="X331">
        <v>0</v>
      </c>
      <c r="Y331">
        <v>0</v>
      </c>
      <c r="Z331">
        <v>0</v>
      </c>
      <c r="AA331">
        <v>0</v>
      </c>
      <c r="AB331">
        <v>0</v>
      </c>
      <c r="AC331">
        <v>2</v>
      </c>
      <c r="AD331">
        <v>0</v>
      </c>
      <c r="AE331">
        <v>0</v>
      </c>
      <c r="AF331">
        <v>0</v>
      </c>
      <c r="AG331">
        <v>0</v>
      </c>
      <c r="AH331">
        <v>0</v>
      </c>
      <c r="AI331">
        <v>0</v>
      </c>
      <c r="AJ331">
        <v>0</v>
      </c>
    </row>
    <row r="332" spans="1:36">
      <c r="A332" t="s">
        <v>240</v>
      </c>
      <c r="B332" s="264">
        <v>46041</v>
      </c>
      <c r="C332" t="s">
        <v>613</v>
      </c>
      <c r="D332" t="s">
        <v>695</v>
      </c>
      <c r="E332" t="s">
        <v>601</v>
      </c>
      <c r="F332" t="s">
        <v>232</v>
      </c>
      <c r="G332">
        <v>2.7799999999999998E-2</v>
      </c>
      <c r="H332">
        <v>180</v>
      </c>
      <c r="I332">
        <v>5</v>
      </c>
      <c r="J332">
        <v>0</v>
      </c>
      <c r="K332" t="s">
        <v>233</v>
      </c>
      <c r="L332" s="264">
        <v>46341</v>
      </c>
      <c r="M332">
        <v>0</v>
      </c>
      <c r="N332">
        <v>0</v>
      </c>
      <c r="O332">
        <v>6</v>
      </c>
      <c r="P332" t="s">
        <v>306</v>
      </c>
      <c r="Q332">
        <v>0</v>
      </c>
      <c r="R332">
        <v>0</v>
      </c>
      <c r="S332">
        <v>0</v>
      </c>
      <c r="T332">
        <v>0</v>
      </c>
      <c r="U332">
        <v>0</v>
      </c>
      <c r="V332">
        <v>0</v>
      </c>
      <c r="W332">
        <v>0</v>
      </c>
      <c r="X332">
        <v>0</v>
      </c>
      <c r="Y332">
        <v>0</v>
      </c>
      <c r="Z332">
        <v>0</v>
      </c>
      <c r="AA332">
        <v>0</v>
      </c>
      <c r="AB332">
        <v>0</v>
      </c>
      <c r="AC332">
        <v>5</v>
      </c>
      <c r="AD332">
        <v>0</v>
      </c>
      <c r="AE332">
        <v>0</v>
      </c>
      <c r="AF332">
        <v>0</v>
      </c>
      <c r="AG332">
        <v>0</v>
      </c>
      <c r="AH332">
        <v>0</v>
      </c>
      <c r="AI332">
        <v>0</v>
      </c>
      <c r="AJ332">
        <v>0</v>
      </c>
    </row>
    <row r="333" spans="1:36">
      <c r="A333" t="s">
        <v>240</v>
      </c>
      <c r="B333" s="264">
        <v>46041</v>
      </c>
      <c r="C333" t="s">
        <v>630</v>
      </c>
      <c r="D333" t="s">
        <v>694</v>
      </c>
      <c r="E333" t="s">
        <v>601</v>
      </c>
      <c r="F333" t="s">
        <v>232</v>
      </c>
      <c r="G333">
        <v>0</v>
      </c>
      <c r="H333">
        <v>180</v>
      </c>
      <c r="I333">
        <v>0</v>
      </c>
      <c r="J333">
        <v>0</v>
      </c>
      <c r="K333" t="s">
        <v>233</v>
      </c>
      <c r="L333" t="s">
        <v>66</v>
      </c>
      <c r="M333">
        <v>0</v>
      </c>
      <c r="N333">
        <v>0</v>
      </c>
      <c r="O333">
        <v>0</v>
      </c>
      <c r="P333" t="s">
        <v>292</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row>
    <row r="334" spans="1:36">
      <c r="A334" t="s">
        <v>240</v>
      </c>
      <c r="B334" s="264">
        <v>46041</v>
      </c>
      <c r="C334" t="s">
        <v>758</v>
      </c>
      <c r="D334" t="s">
        <v>765</v>
      </c>
      <c r="E334" t="s">
        <v>755</v>
      </c>
      <c r="F334" t="s">
        <v>232</v>
      </c>
      <c r="G334">
        <v>0</v>
      </c>
      <c r="H334">
        <v>180</v>
      </c>
      <c r="I334">
        <v>0</v>
      </c>
      <c r="J334">
        <v>0</v>
      </c>
      <c r="K334" t="s">
        <v>233</v>
      </c>
      <c r="L334" t="s">
        <v>66</v>
      </c>
      <c r="M334">
        <v>0</v>
      </c>
      <c r="N334">
        <v>0</v>
      </c>
      <c r="O334">
        <v>0</v>
      </c>
      <c r="P334" t="s">
        <v>761</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row>
    <row r="335" spans="1:36">
      <c r="A335" t="s">
        <v>242</v>
      </c>
      <c r="B335" s="264">
        <v>46042</v>
      </c>
      <c r="C335" t="s">
        <v>1321</v>
      </c>
      <c r="D335" t="s">
        <v>1331</v>
      </c>
      <c r="E335" t="s">
        <v>1318</v>
      </c>
      <c r="F335" t="s">
        <v>232</v>
      </c>
      <c r="G335">
        <v>5.5999999999999999E-3</v>
      </c>
      <c r="H335">
        <v>179</v>
      </c>
      <c r="I335">
        <v>1</v>
      </c>
      <c r="J335">
        <v>0</v>
      </c>
      <c r="K335" t="s">
        <v>233</v>
      </c>
      <c r="L335" s="264">
        <v>46330</v>
      </c>
      <c r="M335">
        <v>0</v>
      </c>
      <c r="N335">
        <v>0</v>
      </c>
      <c r="O335">
        <v>1</v>
      </c>
      <c r="P335" t="s">
        <v>967</v>
      </c>
      <c r="Q335">
        <v>0</v>
      </c>
      <c r="R335">
        <v>0</v>
      </c>
      <c r="S335">
        <v>0</v>
      </c>
      <c r="T335">
        <v>0</v>
      </c>
      <c r="U335">
        <v>0</v>
      </c>
      <c r="V335">
        <v>0</v>
      </c>
      <c r="W335">
        <v>0</v>
      </c>
      <c r="X335">
        <v>0</v>
      </c>
      <c r="Y335">
        <v>0</v>
      </c>
      <c r="Z335">
        <v>0</v>
      </c>
      <c r="AA335">
        <v>0</v>
      </c>
      <c r="AB335">
        <v>0</v>
      </c>
      <c r="AC335">
        <v>0</v>
      </c>
      <c r="AD335">
        <v>0</v>
      </c>
      <c r="AE335">
        <v>1</v>
      </c>
      <c r="AF335">
        <v>0</v>
      </c>
      <c r="AG335">
        <v>0</v>
      </c>
      <c r="AH335">
        <v>0</v>
      </c>
      <c r="AI335">
        <v>0</v>
      </c>
      <c r="AJ335">
        <v>0</v>
      </c>
    </row>
    <row r="336" spans="1:36">
      <c r="A336" t="s">
        <v>242</v>
      </c>
      <c r="B336" s="264">
        <v>46042</v>
      </c>
      <c r="C336" t="s">
        <v>709</v>
      </c>
      <c r="D336" t="s">
        <v>751</v>
      </c>
      <c r="E336" t="s">
        <v>706</v>
      </c>
      <c r="F336" t="s">
        <v>232</v>
      </c>
      <c r="G336">
        <v>0</v>
      </c>
      <c r="H336">
        <v>180</v>
      </c>
      <c r="I336">
        <v>0</v>
      </c>
      <c r="J336">
        <v>0</v>
      </c>
      <c r="K336" t="s">
        <v>233</v>
      </c>
      <c r="L336" t="s">
        <v>66</v>
      </c>
      <c r="M336">
        <v>0</v>
      </c>
      <c r="N336">
        <v>0</v>
      </c>
      <c r="O336">
        <v>0</v>
      </c>
      <c r="P336" t="s">
        <v>307</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row>
    <row r="337" spans="1:36">
      <c r="A337" t="s">
        <v>242</v>
      </c>
      <c r="B337" s="264">
        <v>46042</v>
      </c>
      <c r="C337" t="s">
        <v>712</v>
      </c>
      <c r="D337" t="s">
        <v>746</v>
      </c>
      <c r="E337" t="s">
        <v>706</v>
      </c>
      <c r="F337" t="s">
        <v>232</v>
      </c>
      <c r="G337">
        <v>5.5999999999999999E-3</v>
      </c>
      <c r="H337">
        <v>180</v>
      </c>
      <c r="I337">
        <v>1</v>
      </c>
      <c r="J337">
        <v>0</v>
      </c>
      <c r="K337" t="s">
        <v>233</v>
      </c>
      <c r="L337" s="264">
        <v>46314</v>
      </c>
      <c r="M337">
        <v>0</v>
      </c>
      <c r="N337">
        <v>0</v>
      </c>
      <c r="O337">
        <v>1</v>
      </c>
      <c r="P337" t="s">
        <v>307</v>
      </c>
      <c r="Q337">
        <v>0</v>
      </c>
      <c r="R337">
        <v>0</v>
      </c>
      <c r="S337">
        <v>0</v>
      </c>
      <c r="T337">
        <v>0</v>
      </c>
      <c r="U337">
        <v>0</v>
      </c>
      <c r="V337">
        <v>0</v>
      </c>
      <c r="W337">
        <v>0</v>
      </c>
      <c r="X337">
        <v>0</v>
      </c>
      <c r="Y337">
        <v>0</v>
      </c>
      <c r="Z337">
        <v>0</v>
      </c>
      <c r="AA337">
        <v>1</v>
      </c>
      <c r="AB337">
        <v>0</v>
      </c>
      <c r="AC337">
        <v>0</v>
      </c>
      <c r="AD337">
        <v>0</v>
      </c>
      <c r="AE337">
        <v>0</v>
      </c>
      <c r="AF337">
        <v>0</v>
      </c>
      <c r="AG337">
        <v>0</v>
      </c>
      <c r="AH337">
        <v>0</v>
      </c>
      <c r="AI337">
        <v>0</v>
      </c>
      <c r="AJ337">
        <v>0</v>
      </c>
    </row>
    <row r="338" spans="1:36">
      <c r="A338" t="s">
        <v>242</v>
      </c>
      <c r="B338" s="264">
        <v>46042</v>
      </c>
      <c r="C338" t="s">
        <v>323</v>
      </c>
      <c r="D338" t="s">
        <v>336</v>
      </c>
      <c r="E338" t="s">
        <v>320</v>
      </c>
      <c r="F338" t="s">
        <v>232</v>
      </c>
      <c r="G338">
        <v>0</v>
      </c>
      <c r="H338">
        <v>180</v>
      </c>
      <c r="I338">
        <v>0</v>
      </c>
      <c r="J338">
        <v>0</v>
      </c>
      <c r="K338" t="s">
        <v>233</v>
      </c>
      <c r="L338" t="s">
        <v>66</v>
      </c>
      <c r="M338">
        <v>0</v>
      </c>
      <c r="N338">
        <v>0</v>
      </c>
      <c r="O338">
        <v>0</v>
      </c>
      <c r="P338" t="s">
        <v>326</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row>
    <row r="339" spans="1:36">
      <c r="A339" t="s">
        <v>242</v>
      </c>
      <c r="B339" s="264">
        <v>46042</v>
      </c>
      <c r="C339" t="s">
        <v>998</v>
      </c>
      <c r="D339" t="s">
        <v>1035</v>
      </c>
      <c r="E339" t="s">
        <v>985</v>
      </c>
      <c r="F339" t="s">
        <v>232</v>
      </c>
      <c r="G339">
        <v>5.5899999999999998E-2</v>
      </c>
      <c r="H339">
        <v>179</v>
      </c>
      <c r="I339">
        <v>10</v>
      </c>
      <c r="J339">
        <v>0</v>
      </c>
      <c r="K339" t="s">
        <v>233</v>
      </c>
      <c r="L339" s="264">
        <v>46344</v>
      </c>
      <c r="M339">
        <v>0</v>
      </c>
      <c r="N339">
        <v>0</v>
      </c>
      <c r="O339">
        <v>10</v>
      </c>
      <c r="P339" t="s">
        <v>368</v>
      </c>
      <c r="Q339">
        <v>0</v>
      </c>
      <c r="R339">
        <v>0</v>
      </c>
      <c r="S339">
        <v>0</v>
      </c>
      <c r="T339">
        <v>0</v>
      </c>
      <c r="U339">
        <v>0</v>
      </c>
      <c r="V339">
        <v>0</v>
      </c>
      <c r="W339">
        <v>0</v>
      </c>
      <c r="X339">
        <v>0</v>
      </c>
      <c r="Y339">
        <v>0</v>
      </c>
      <c r="Z339">
        <v>0</v>
      </c>
      <c r="AA339">
        <v>0</v>
      </c>
      <c r="AB339">
        <v>0</v>
      </c>
      <c r="AC339">
        <v>1</v>
      </c>
      <c r="AD339">
        <v>5</v>
      </c>
      <c r="AE339">
        <v>4</v>
      </c>
      <c r="AF339">
        <v>0</v>
      </c>
      <c r="AG339">
        <v>0</v>
      </c>
      <c r="AH339">
        <v>0</v>
      </c>
      <c r="AI339">
        <v>0</v>
      </c>
      <c r="AJ339">
        <v>0</v>
      </c>
    </row>
    <row r="340" spans="1:36">
      <c r="A340" t="s">
        <v>242</v>
      </c>
      <c r="B340" s="264">
        <v>46042</v>
      </c>
      <c r="C340" t="s">
        <v>1194</v>
      </c>
      <c r="D340" t="s">
        <v>1204</v>
      </c>
      <c r="E340" t="s">
        <v>1192</v>
      </c>
      <c r="F340" t="s">
        <v>232</v>
      </c>
      <c r="G340">
        <v>5.5999999999999999E-3</v>
      </c>
      <c r="H340">
        <v>179</v>
      </c>
      <c r="I340">
        <v>1</v>
      </c>
      <c r="J340">
        <v>0</v>
      </c>
      <c r="K340" t="s">
        <v>233</v>
      </c>
      <c r="L340" s="264">
        <v>46325</v>
      </c>
      <c r="M340">
        <v>0</v>
      </c>
      <c r="N340">
        <v>0</v>
      </c>
      <c r="O340">
        <v>1</v>
      </c>
      <c r="P340" t="s">
        <v>951</v>
      </c>
      <c r="Q340">
        <v>0</v>
      </c>
      <c r="R340">
        <v>0</v>
      </c>
      <c r="S340">
        <v>0</v>
      </c>
      <c r="T340">
        <v>0</v>
      </c>
      <c r="U340">
        <v>0</v>
      </c>
      <c r="V340">
        <v>0</v>
      </c>
      <c r="W340">
        <v>0</v>
      </c>
      <c r="X340">
        <v>0</v>
      </c>
      <c r="Y340">
        <v>0</v>
      </c>
      <c r="Z340">
        <v>0</v>
      </c>
      <c r="AA340">
        <v>0</v>
      </c>
      <c r="AB340">
        <v>0</v>
      </c>
      <c r="AC340">
        <v>0</v>
      </c>
      <c r="AD340">
        <v>0</v>
      </c>
      <c r="AE340">
        <v>1</v>
      </c>
      <c r="AF340">
        <v>0</v>
      </c>
      <c r="AG340">
        <v>0</v>
      </c>
      <c r="AH340">
        <v>0</v>
      </c>
      <c r="AI340">
        <v>0</v>
      </c>
      <c r="AJ340">
        <v>0</v>
      </c>
    </row>
    <row r="341" spans="1:36">
      <c r="A341" t="s">
        <v>242</v>
      </c>
      <c r="B341" s="264">
        <v>46042</v>
      </c>
      <c r="C341" t="s">
        <v>1045</v>
      </c>
      <c r="D341" t="s">
        <v>1111</v>
      </c>
      <c r="E341" t="s">
        <v>1040</v>
      </c>
      <c r="F341" t="s">
        <v>232</v>
      </c>
      <c r="G341">
        <v>8.8900000000000007E-2</v>
      </c>
      <c r="H341">
        <v>180</v>
      </c>
      <c r="I341">
        <v>16</v>
      </c>
      <c r="J341">
        <v>0</v>
      </c>
      <c r="K341" t="s">
        <v>233</v>
      </c>
      <c r="L341" s="264">
        <v>46341</v>
      </c>
      <c r="M341">
        <v>0</v>
      </c>
      <c r="N341">
        <v>0</v>
      </c>
      <c r="O341">
        <v>16</v>
      </c>
      <c r="P341" t="s">
        <v>306</v>
      </c>
      <c r="Q341">
        <v>0</v>
      </c>
      <c r="R341">
        <v>0</v>
      </c>
      <c r="S341">
        <v>0</v>
      </c>
      <c r="T341">
        <v>0</v>
      </c>
      <c r="U341">
        <v>0</v>
      </c>
      <c r="V341">
        <v>0</v>
      </c>
      <c r="W341">
        <v>0</v>
      </c>
      <c r="X341">
        <v>0</v>
      </c>
      <c r="Y341">
        <v>0</v>
      </c>
      <c r="Z341">
        <v>0</v>
      </c>
      <c r="AA341">
        <v>4</v>
      </c>
      <c r="AB341">
        <v>0</v>
      </c>
      <c r="AC341">
        <v>2</v>
      </c>
      <c r="AD341">
        <v>8</v>
      </c>
      <c r="AE341">
        <v>2</v>
      </c>
      <c r="AF341">
        <v>0</v>
      </c>
      <c r="AG341">
        <v>0</v>
      </c>
      <c r="AH341">
        <v>0</v>
      </c>
      <c r="AI341">
        <v>0</v>
      </c>
      <c r="AJ341">
        <v>0</v>
      </c>
    </row>
    <row r="342" spans="1:36">
      <c r="A342" t="s">
        <v>242</v>
      </c>
      <c r="B342" s="264">
        <v>46042</v>
      </c>
      <c r="C342" t="s">
        <v>366</v>
      </c>
      <c r="D342" t="s">
        <v>578</v>
      </c>
      <c r="E342" t="s">
        <v>341</v>
      </c>
      <c r="F342" t="s">
        <v>232</v>
      </c>
      <c r="G342">
        <v>5.5999999999999999E-3</v>
      </c>
      <c r="H342">
        <v>180</v>
      </c>
      <c r="I342">
        <v>1</v>
      </c>
      <c r="J342">
        <v>0</v>
      </c>
      <c r="K342" t="s">
        <v>233</v>
      </c>
      <c r="L342" s="264">
        <v>46341</v>
      </c>
      <c r="M342">
        <v>0</v>
      </c>
      <c r="N342">
        <v>0</v>
      </c>
      <c r="O342">
        <v>1</v>
      </c>
      <c r="P342" t="s">
        <v>431</v>
      </c>
      <c r="Q342">
        <v>0</v>
      </c>
      <c r="R342">
        <v>0</v>
      </c>
      <c r="S342">
        <v>0</v>
      </c>
      <c r="T342">
        <v>0</v>
      </c>
      <c r="U342">
        <v>0</v>
      </c>
      <c r="V342">
        <v>0</v>
      </c>
      <c r="W342">
        <v>0</v>
      </c>
      <c r="X342">
        <v>0</v>
      </c>
      <c r="Y342">
        <v>0</v>
      </c>
      <c r="Z342">
        <v>0</v>
      </c>
      <c r="AA342">
        <v>0</v>
      </c>
      <c r="AB342">
        <v>0</v>
      </c>
      <c r="AC342">
        <v>0</v>
      </c>
      <c r="AD342">
        <v>1</v>
      </c>
      <c r="AE342">
        <v>0</v>
      </c>
      <c r="AF342">
        <v>0</v>
      </c>
      <c r="AG342">
        <v>0</v>
      </c>
      <c r="AH342">
        <v>0</v>
      </c>
      <c r="AI342">
        <v>0</v>
      </c>
      <c r="AJ342">
        <v>0</v>
      </c>
    </row>
    <row r="343" spans="1:36">
      <c r="A343" t="s">
        <v>242</v>
      </c>
      <c r="B343" s="264">
        <v>46042</v>
      </c>
      <c r="C343" t="s">
        <v>433</v>
      </c>
      <c r="D343" t="s">
        <v>577</v>
      </c>
      <c r="E343" t="s">
        <v>341</v>
      </c>
      <c r="F343" t="s">
        <v>232</v>
      </c>
      <c r="G343">
        <v>2.7799999999999998E-2</v>
      </c>
      <c r="H343">
        <v>180</v>
      </c>
      <c r="I343">
        <v>5</v>
      </c>
      <c r="J343">
        <v>0</v>
      </c>
      <c r="K343" t="s">
        <v>233</v>
      </c>
      <c r="L343" s="264">
        <v>46339</v>
      </c>
      <c r="M343">
        <v>0</v>
      </c>
      <c r="N343">
        <v>0</v>
      </c>
      <c r="O343">
        <v>5</v>
      </c>
      <c r="P343" t="s">
        <v>367</v>
      </c>
      <c r="Q343">
        <v>0</v>
      </c>
      <c r="R343">
        <v>0</v>
      </c>
      <c r="S343">
        <v>0</v>
      </c>
      <c r="T343">
        <v>0</v>
      </c>
      <c r="U343">
        <v>0</v>
      </c>
      <c r="V343">
        <v>0</v>
      </c>
      <c r="W343">
        <v>0</v>
      </c>
      <c r="X343">
        <v>0</v>
      </c>
      <c r="Y343">
        <v>0</v>
      </c>
      <c r="Z343">
        <v>1</v>
      </c>
      <c r="AA343">
        <v>0</v>
      </c>
      <c r="AB343">
        <v>0</v>
      </c>
      <c r="AC343">
        <v>0</v>
      </c>
      <c r="AD343">
        <v>4</v>
      </c>
      <c r="AE343">
        <v>0</v>
      </c>
      <c r="AF343">
        <v>0</v>
      </c>
      <c r="AG343">
        <v>0</v>
      </c>
      <c r="AH343">
        <v>0</v>
      </c>
      <c r="AI343">
        <v>0</v>
      </c>
      <c r="AJ343">
        <v>0</v>
      </c>
    </row>
    <row r="344" spans="1:36">
      <c r="A344" t="s">
        <v>242</v>
      </c>
      <c r="B344" s="264">
        <v>46042</v>
      </c>
      <c r="C344" t="s">
        <v>429</v>
      </c>
      <c r="D344" t="s">
        <v>576</v>
      </c>
      <c r="E344" t="s">
        <v>341</v>
      </c>
      <c r="F344" t="s">
        <v>232</v>
      </c>
      <c r="G344">
        <v>1.11E-2</v>
      </c>
      <c r="H344">
        <v>180</v>
      </c>
      <c r="I344">
        <v>2</v>
      </c>
      <c r="J344">
        <v>0</v>
      </c>
      <c r="K344" t="s">
        <v>233</v>
      </c>
      <c r="L344" s="264">
        <v>46331</v>
      </c>
      <c r="M344">
        <v>0</v>
      </c>
      <c r="N344">
        <v>0</v>
      </c>
      <c r="O344">
        <v>5</v>
      </c>
      <c r="P344" t="s">
        <v>431</v>
      </c>
      <c r="Q344">
        <v>0</v>
      </c>
      <c r="R344">
        <v>0</v>
      </c>
      <c r="S344">
        <v>0</v>
      </c>
      <c r="T344">
        <v>0</v>
      </c>
      <c r="U344">
        <v>0</v>
      </c>
      <c r="V344">
        <v>0</v>
      </c>
      <c r="W344">
        <v>0</v>
      </c>
      <c r="X344">
        <v>0</v>
      </c>
      <c r="Y344">
        <v>0</v>
      </c>
      <c r="Z344">
        <v>1</v>
      </c>
      <c r="AA344">
        <v>0</v>
      </c>
      <c r="AB344">
        <v>0</v>
      </c>
      <c r="AC344">
        <v>0</v>
      </c>
      <c r="AD344">
        <v>1</v>
      </c>
      <c r="AE344">
        <v>0</v>
      </c>
      <c r="AF344">
        <v>0</v>
      </c>
      <c r="AG344">
        <v>0</v>
      </c>
      <c r="AH344">
        <v>0</v>
      </c>
      <c r="AI344">
        <v>0</v>
      </c>
      <c r="AJ344">
        <v>0</v>
      </c>
    </row>
    <row r="345" spans="1:36">
      <c r="A345" t="s">
        <v>242</v>
      </c>
      <c r="B345" s="264">
        <v>46042</v>
      </c>
      <c r="C345" t="s">
        <v>376</v>
      </c>
      <c r="D345" t="s">
        <v>579</v>
      </c>
      <c r="E345" t="s">
        <v>341</v>
      </c>
      <c r="F345" t="s">
        <v>232</v>
      </c>
      <c r="G345">
        <v>5.5999999999999999E-3</v>
      </c>
      <c r="H345">
        <v>180</v>
      </c>
      <c r="I345">
        <v>1</v>
      </c>
      <c r="J345">
        <v>0</v>
      </c>
      <c r="K345" t="s">
        <v>233</v>
      </c>
      <c r="L345" s="264">
        <v>46273</v>
      </c>
      <c r="M345">
        <v>0</v>
      </c>
      <c r="N345">
        <v>0</v>
      </c>
      <c r="O345">
        <v>1</v>
      </c>
      <c r="P345" t="s">
        <v>431</v>
      </c>
      <c r="Q345">
        <v>0</v>
      </c>
      <c r="R345">
        <v>0</v>
      </c>
      <c r="S345">
        <v>0</v>
      </c>
      <c r="T345">
        <v>0</v>
      </c>
      <c r="U345">
        <v>0</v>
      </c>
      <c r="V345">
        <v>0</v>
      </c>
      <c r="W345">
        <v>0</v>
      </c>
      <c r="X345">
        <v>0</v>
      </c>
      <c r="Y345">
        <v>0</v>
      </c>
      <c r="Z345">
        <v>0</v>
      </c>
      <c r="AA345">
        <v>0</v>
      </c>
      <c r="AB345">
        <v>0</v>
      </c>
      <c r="AC345">
        <v>0</v>
      </c>
      <c r="AD345">
        <v>1</v>
      </c>
      <c r="AE345">
        <v>0</v>
      </c>
      <c r="AF345">
        <v>0</v>
      </c>
      <c r="AG345">
        <v>0</v>
      </c>
      <c r="AH345">
        <v>0</v>
      </c>
      <c r="AI345">
        <v>0</v>
      </c>
      <c r="AJ345">
        <v>0</v>
      </c>
    </row>
    <row r="346" spans="1:36">
      <c r="A346" t="s">
        <v>242</v>
      </c>
      <c r="B346" s="264">
        <v>46042</v>
      </c>
      <c r="C346" t="s">
        <v>378</v>
      </c>
      <c r="D346" t="s">
        <v>563</v>
      </c>
      <c r="E346" t="s">
        <v>341</v>
      </c>
      <c r="F346" t="s">
        <v>232</v>
      </c>
      <c r="G346">
        <v>5.5999999999999999E-3</v>
      </c>
      <c r="H346">
        <v>180</v>
      </c>
      <c r="I346">
        <v>1</v>
      </c>
      <c r="J346">
        <v>0</v>
      </c>
      <c r="K346" t="s">
        <v>233</v>
      </c>
      <c r="L346" s="264">
        <v>46331</v>
      </c>
      <c r="M346">
        <v>0</v>
      </c>
      <c r="N346">
        <v>0</v>
      </c>
      <c r="O346">
        <v>1</v>
      </c>
      <c r="P346" t="s">
        <v>431</v>
      </c>
      <c r="Q346">
        <v>0</v>
      </c>
      <c r="R346">
        <v>0</v>
      </c>
      <c r="S346">
        <v>0</v>
      </c>
      <c r="T346">
        <v>0</v>
      </c>
      <c r="U346">
        <v>0</v>
      </c>
      <c r="V346">
        <v>0</v>
      </c>
      <c r="W346">
        <v>0</v>
      </c>
      <c r="X346">
        <v>0</v>
      </c>
      <c r="Y346">
        <v>0</v>
      </c>
      <c r="Z346">
        <v>0</v>
      </c>
      <c r="AA346">
        <v>0</v>
      </c>
      <c r="AB346">
        <v>0</v>
      </c>
      <c r="AC346">
        <v>0</v>
      </c>
      <c r="AD346">
        <v>1</v>
      </c>
      <c r="AE346">
        <v>0</v>
      </c>
      <c r="AF346">
        <v>0</v>
      </c>
      <c r="AG346">
        <v>0</v>
      </c>
      <c r="AH346">
        <v>0</v>
      </c>
      <c r="AI346">
        <v>0</v>
      </c>
      <c r="AJ346">
        <v>0</v>
      </c>
    </row>
    <row r="347" spans="1:36">
      <c r="A347" t="s">
        <v>242</v>
      </c>
      <c r="B347" s="264">
        <v>46042</v>
      </c>
      <c r="C347" t="s">
        <v>380</v>
      </c>
      <c r="D347" t="s">
        <v>231</v>
      </c>
      <c r="E347" t="s">
        <v>341</v>
      </c>
      <c r="F347" t="s">
        <v>232</v>
      </c>
      <c r="G347">
        <v>1.11E-2</v>
      </c>
      <c r="H347">
        <v>180</v>
      </c>
      <c r="I347">
        <v>2</v>
      </c>
      <c r="J347">
        <v>0</v>
      </c>
      <c r="K347" t="s">
        <v>233</v>
      </c>
      <c r="L347" s="264">
        <v>46343</v>
      </c>
      <c r="M347">
        <v>0</v>
      </c>
      <c r="N347">
        <v>0</v>
      </c>
      <c r="O347">
        <v>2</v>
      </c>
      <c r="P347" t="s">
        <v>368</v>
      </c>
      <c r="Q347">
        <v>0</v>
      </c>
      <c r="R347">
        <v>0</v>
      </c>
      <c r="S347">
        <v>0</v>
      </c>
      <c r="T347">
        <v>0</v>
      </c>
      <c r="U347">
        <v>0</v>
      </c>
      <c r="V347">
        <v>0</v>
      </c>
      <c r="W347">
        <v>0</v>
      </c>
      <c r="X347">
        <v>0</v>
      </c>
      <c r="Y347">
        <v>0</v>
      </c>
      <c r="Z347">
        <v>0</v>
      </c>
      <c r="AA347">
        <v>0</v>
      </c>
      <c r="AB347">
        <v>0</v>
      </c>
      <c r="AC347">
        <v>0</v>
      </c>
      <c r="AD347">
        <v>2</v>
      </c>
      <c r="AE347">
        <v>0</v>
      </c>
      <c r="AF347">
        <v>0</v>
      </c>
      <c r="AG347">
        <v>0</v>
      </c>
      <c r="AH347">
        <v>0</v>
      </c>
      <c r="AI347">
        <v>0</v>
      </c>
      <c r="AJ347">
        <v>0</v>
      </c>
    </row>
    <row r="348" spans="1:36">
      <c r="A348" t="s">
        <v>242</v>
      </c>
      <c r="B348" s="264">
        <v>46042</v>
      </c>
      <c r="C348" t="s">
        <v>65</v>
      </c>
      <c r="D348" t="s">
        <v>243</v>
      </c>
      <c r="E348" t="s">
        <v>1</v>
      </c>
      <c r="F348" t="s">
        <v>232</v>
      </c>
      <c r="G348">
        <v>0.15</v>
      </c>
      <c r="H348">
        <v>180</v>
      </c>
      <c r="I348">
        <v>27</v>
      </c>
      <c r="J348">
        <v>25</v>
      </c>
      <c r="K348" t="s">
        <v>233</v>
      </c>
      <c r="L348" s="264">
        <v>46245</v>
      </c>
      <c r="M348">
        <v>0</v>
      </c>
      <c r="N348">
        <v>0</v>
      </c>
      <c r="O348">
        <v>3</v>
      </c>
      <c r="P348" t="s">
        <v>101</v>
      </c>
      <c r="Q348">
        <v>0</v>
      </c>
      <c r="R348">
        <v>0</v>
      </c>
      <c r="S348">
        <v>0</v>
      </c>
      <c r="T348">
        <v>0</v>
      </c>
      <c r="U348">
        <v>0</v>
      </c>
      <c r="V348">
        <v>0</v>
      </c>
      <c r="W348">
        <v>0</v>
      </c>
      <c r="X348">
        <v>0</v>
      </c>
      <c r="Y348">
        <v>0</v>
      </c>
      <c r="Z348">
        <v>0</v>
      </c>
      <c r="AA348">
        <v>0</v>
      </c>
      <c r="AB348">
        <v>2</v>
      </c>
      <c r="AC348">
        <v>0</v>
      </c>
      <c r="AD348">
        <v>0</v>
      </c>
      <c r="AE348">
        <v>0</v>
      </c>
      <c r="AF348">
        <v>0</v>
      </c>
      <c r="AG348">
        <v>25</v>
      </c>
      <c r="AH348">
        <v>0</v>
      </c>
      <c r="AI348">
        <v>0</v>
      </c>
      <c r="AJ348">
        <v>0</v>
      </c>
    </row>
    <row r="349" spans="1:36">
      <c r="A349" t="s">
        <v>242</v>
      </c>
      <c r="B349" s="264">
        <v>46042</v>
      </c>
      <c r="C349" t="s">
        <v>854</v>
      </c>
      <c r="D349" t="s">
        <v>980</v>
      </c>
      <c r="E349" t="s">
        <v>808</v>
      </c>
      <c r="F349" t="s">
        <v>232</v>
      </c>
      <c r="G349">
        <v>3.3500000000000002E-2</v>
      </c>
      <c r="H349">
        <v>179</v>
      </c>
      <c r="I349">
        <v>6</v>
      </c>
      <c r="J349">
        <v>0</v>
      </c>
      <c r="K349" t="s">
        <v>233</v>
      </c>
      <c r="L349" s="264">
        <v>46345</v>
      </c>
      <c r="M349">
        <v>0</v>
      </c>
      <c r="N349">
        <v>0</v>
      </c>
      <c r="O349">
        <v>6</v>
      </c>
      <c r="P349" t="s">
        <v>877</v>
      </c>
      <c r="Q349">
        <v>0</v>
      </c>
      <c r="R349">
        <v>0</v>
      </c>
      <c r="S349">
        <v>0</v>
      </c>
      <c r="T349">
        <v>0</v>
      </c>
      <c r="U349">
        <v>0</v>
      </c>
      <c r="V349">
        <v>0</v>
      </c>
      <c r="W349">
        <v>0</v>
      </c>
      <c r="X349">
        <v>0</v>
      </c>
      <c r="Y349">
        <v>0</v>
      </c>
      <c r="Z349">
        <v>0</v>
      </c>
      <c r="AA349">
        <v>0</v>
      </c>
      <c r="AB349">
        <v>0</v>
      </c>
      <c r="AC349">
        <v>0</v>
      </c>
      <c r="AD349">
        <v>0</v>
      </c>
      <c r="AE349">
        <v>6</v>
      </c>
      <c r="AF349">
        <v>0</v>
      </c>
      <c r="AG349">
        <v>0</v>
      </c>
      <c r="AH349">
        <v>0</v>
      </c>
      <c r="AI349">
        <v>0</v>
      </c>
      <c r="AJ349">
        <v>0</v>
      </c>
    </row>
    <row r="350" spans="1:36">
      <c r="A350" t="s">
        <v>242</v>
      </c>
      <c r="B350" s="264">
        <v>46042</v>
      </c>
      <c r="C350" t="s">
        <v>1215</v>
      </c>
      <c r="D350" t="s">
        <v>1237</v>
      </c>
      <c r="E350" t="s">
        <v>1213</v>
      </c>
      <c r="F350" t="s">
        <v>232</v>
      </c>
      <c r="G350">
        <v>2.23E-2</v>
      </c>
      <c r="H350">
        <v>179</v>
      </c>
      <c r="I350">
        <v>4</v>
      </c>
      <c r="J350">
        <v>0</v>
      </c>
      <c r="K350" t="s">
        <v>233</v>
      </c>
      <c r="L350" s="264">
        <v>46344</v>
      </c>
      <c r="M350">
        <v>0</v>
      </c>
      <c r="N350">
        <v>0</v>
      </c>
      <c r="O350">
        <v>4</v>
      </c>
      <c r="P350" t="s">
        <v>918</v>
      </c>
      <c r="Q350">
        <v>0</v>
      </c>
      <c r="R350">
        <v>0</v>
      </c>
      <c r="S350">
        <v>0</v>
      </c>
      <c r="T350">
        <v>0</v>
      </c>
      <c r="U350">
        <v>0</v>
      </c>
      <c r="V350">
        <v>0</v>
      </c>
      <c r="W350">
        <v>0</v>
      </c>
      <c r="X350">
        <v>0</v>
      </c>
      <c r="Y350">
        <v>0</v>
      </c>
      <c r="Z350">
        <v>0</v>
      </c>
      <c r="AA350">
        <v>0</v>
      </c>
      <c r="AB350">
        <v>0</v>
      </c>
      <c r="AC350">
        <v>1</v>
      </c>
      <c r="AD350">
        <v>0</v>
      </c>
      <c r="AE350">
        <v>3</v>
      </c>
      <c r="AF350">
        <v>0</v>
      </c>
      <c r="AG350">
        <v>0</v>
      </c>
      <c r="AH350">
        <v>0</v>
      </c>
      <c r="AI350">
        <v>0</v>
      </c>
      <c r="AJ350">
        <v>0</v>
      </c>
    </row>
    <row r="351" spans="1:36">
      <c r="A351" t="s">
        <v>242</v>
      </c>
      <c r="B351" s="264">
        <v>46042</v>
      </c>
      <c r="C351" t="s">
        <v>613</v>
      </c>
      <c r="D351" t="s">
        <v>696</v>
      </c>
      <c r="E351" t="s">
        <v>601</v>
      </c>
      <c r="F351" t="s">
        <v>232</v>
      </c>
      <c r="G351">
        <v>5.5999999999999999E-3</v>
      </c>
      <c r="H351">
        <v>180</v>
      </c>
      <c r="I351">
        <v>1</v>
      </c>
      <c r="J351">
        <v>0</v>
      </c>
      <c r="K351" t="s">
        <v>233</v>
      </c>
      <c r="L351" s="264">
        <v>46343</v>
      </c>
      <c r="M351">
        <v>0</v>
      </c>
      <c r="N351">
        <v>0</v>
      </c>
      <c r="O351">
        <v>2</v>
      </c>
      <c r="P351" t="s">
        <v>292</v>
      </c>
      <c r="Q351">
        <v>0</v>
      </c>
      <c r="R351">
        <v>0</v>
      </c>
      <c r="S351">
        <v>0</v>
      </c>
      <c r="T351">
        <v>0</v>
      </c>
      <c r="U351">
        <v>0</v>
      </c>
      <c r="V351">
        <v>0</v>
      </c>
      <c r="W351">
        <v>0</v>
      </c>
      <c r="X351">
        <v>0</v>
      </c>
      <c r="Y351">
        <v>0</v>
      </c>
      <c r="Z351">
        <v>0</v>
      </c>
      <c r="AA351">
        <v>0</v>
      </c>
      <c r="AB351">
        <v>0</v>
      </c>
      <c r="AC351">
        <v>1</v>
      </c>
      <c r="AD351">
        <v>0</v>
      </c>
      <c r="AE351">
        <v>0</v>
      </c>
      <c r="AF351">
        <v>0</v>
      </c>
      <c r="AG351">
        <v>0</v>
      </c>
      <c r="AH351">
        <v>0</v>
      </c>
      <c r="AI351">
        <v>0</v>
      </c>
      <c r="AJ351">
        <v>0</v>
      </c>
    </row>
    <row r="352" spans="1:36">
      <c r="A352" t="s">
        <v>242</v>
      </c>
      <c r="B352" s="264">
        <v>46042</v>
      </c>
      <c r="C352" t="s">
        <v>263</v>
      </c>
      <c r="D352" t="s">
        <v>314</v>
      </c>
      <c r="E352" t="s">
        <v>261</v>
      </c>
      <c r="F352" t="s">
        <v>232</v>
      </c>
      <c r="G352">
        <v>6.1100000000000002E-2</v>
      </c>
      <c r="H352">
        <v>180</v>
      </c>
      <c r="I352">
        <v>11</v>
      </c>
      <c r="J352">
        <v>0</v>
      </c>
      <c r="K352" t="s">
        <v>233</v>
      </c>
      <c r="L352" s="264">
        <v>46342</v>
      </c>
      <c r="M352">
        <v>0</v>
      </c>
      <c r="N352">
        <v>0</v>
      </c>
      <c r="O352">
        <v>11</v>
      </c>
      <c r="P352" t="s">
        <v>164</v>
      </c>
      <c r="Q352">
        <v>0</v>
      </c>
      <c r="R352">
        <v>0</v>
      </c>
      <c r="S352">
        <v>0</v>
      </c>
      <c r="T352">
        <v>0</v>
      </c>
      <c r="U352">
        <v>0</v>
      </c>
      <c r="V352">
        <v>0</v>
      </c>
      <c r="W352">
        <v>0</v>
      </c>
      <c r="X352">
        <v>0</v>
      </c>
      <c r="Y352">
        <v>0</v>
      </c>
      <c r="Z352">
        <v>0</v>
      </c>
      <c r="AA352">
        <v>0</v>
      </c>
      <c r="AB352">
        <v>2</v>
      </c>
      <c r="AC352">
        <v>9</v>
      </c>
      <c r="AD352">
        <v>0</v>
      </c>
      <c r="AE352">
        <v>0</v>
      </c>
      <c r="AF352">
        <v>0</v>
      </c>
      <c r="AG352">
        <v>0</v>
      </c>
      <c r="AH352">
        <v>0</v>
      </c>
      <c r="AI352">
        <v>0</v>
      </c>
      <c r="AJ352">
        <v>0</v>
      </c>
    </row>
    <row r="353" spans="1:36">
      <c r="A353" t="s">
        <v>242</v>
      </c>
      <c r="B353" s="264">
        <v>46042</v>
      </c>
      <c r="C353" t="s">
        <v>762</v>
      </c>
      <c r="D353" t="s">
        <v>766</v>
      </c>
      <c r="E353" t="s">
        <v>755</v>
      </c>
      <c r="F353" t="s">
        <v>232</v>
      </c>
      <c r="G353">
        <v>0</v>
      </c>
      <c r="H353">
        <v>180</v>
      </c>
      <c r="I353">
        <v>0</v>
      </c>
      <c r="J353">
        <v>0</v>
      </c>
      <c r="K353" t="s">
        <v>233</v>
      </c>
      <c r="L353" t="s">
        <v>66</v>
      </c>
      <c r="M353">
        <v>0</v>
      </c>
      <c r="N353">
        <v>0</v>
      </c>
      <c r="O353">
        <v>0</v>
      </c>
      <c r="P353" t="s">
        <v>761</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row>
    <row r="354" spans="1:36">
      <c r="A354" t="s">
        <v>242</v>
      </c>
      <c r="B354" s="264">
        <v>46042</v>
      </c>
      <c r="C354" t="s">
        <v>763</v>
      </c>
      <c r="D354" t="s">
        <v>767</v>
      </c>
      <c r="E354" t="s">
        <v>755</v>
      </c>
      <c r="F354" t="s">
        <v>232</v>
      </c>
      <c r="G354">
        <v>0</v>
      </c>
      <c r="H354">
        <v>180</v>
      </c>
      <c r="I354">
        <v>0</v>
      </c>
      <c r="J354">
        <v>0</v>
      </c>
      <c r="K354" t="s">
        <v>233</v>
      </c>
      <c r="L354" t="s">
        <v>66</v>
      </c>
      <c r="M354">
        <v>0</v>
      </c>
      <c r="N354">
        <v>0</v>
      </c>
      <c r="O354">
        <v>0</v>
      </c>
      <c r="P354" t="s">
        <v>761</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row>
    <row r="355" spans="1:36">
      <c r="A355" t="s">
        <v>242</v>
      </c>
      <c r="B355" s="264">
        <v>46042</v>
      </c>
      <c r="C355" t="s">
        <v>764</v>
      </c>
      <c r="D355" t="s">
        <v>579</v>
      </c>
      <c r="E355" t="s">
        <v>755</v>
      </c>
      <c r="F355" t="s">
        <v>232</v>
      </c>
      <c r="G355">
        <v>0</v>
      </c>
      <c r="H355">
        <v>180</v>
      </c>
      <c r="I355">
        <v>0</v>
      </c>
      <c r="J355">
        <v>0</v>
      </c>
      <c r="K355" t="s">
        <v>233</v>
      </c>
      <c r="L355" t="s">
        <v>66</v>
      </c>
      <c r="M355">
        <v>0</v>
      </c>
      <c r="N355">
        <v>0</v>
      </c>
      <c r="O355">
        <v>0</v>
      </c>
      <c r="P355" t="s">
        <v>761</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row>
    <row r="356" spans="1:36">
      <c r="A356" t="s">
        <v>315</v>
      </c>
      <c r="B356" s="264">
        <v>46043</v>
      </c>
      <c r="C356" t="s">
        <v>723</v>
      </c>
      <c r="D356" t="s">
        <v>754</v>
      </c>
      <c r="E356" t="s">
        <v>706</v>
      </c>
      <c r="F356" t="s">
        <v>232</v>
      </c>
      <c r="G356">
        <v>0</v>
      </c>
      <c r="H356">
        <v>180</v>
      </c>
      <c r="I356">
        <v>0</v>
      </c>
      <c r="J356">
        <v>0</v>
      </c>
      <c r="K356" t="s">
        <v>233</v>
      </c>
      <c r="L356" t="s">
        <v>66</v>
      </c>
      <c r="M356">
        <v>0</v>
      </c>
      <c r="N356">
        <v>0</v>
      </c>
      <c r="O356">
        <v>0</v>
      </c>
      <c r="P356" t="s">
        <v>307</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row>
    <row r="357" spans="1:36">
      <c r="A357" t="s">
        <v>315</v>
      </c>
      <c r="B357" s="264">
        <v>46043</v>
      </c>
      <c r="C357" t="s">
        <v>709</v>
      </c>
      <c r="D357" t="s">
        <v>752</v>
      </c>
      <c r="E357" t="s">
        <v>706</v>
      </c>
      <c r="F357" t="s">
        <v>232</v>
      </c>
      <c r="G357">
        <v>0</v>
      </c>
      <c r="H357">
        <v>180</v>
      </c>
      <c r="I357">
        <v>0</v>
      </c>
      <c r="J357">
        <v>0</v>
      </c>
      <c r="K357" t="s">
        <v>233</v>
      </c>
      <c r="L357" t="s">
        <v>66</v>
      </c>
      <c r="M357">
        <v>0</v>
      </c>
      <c r="N357">
        <v>0</v>
      </c>
      <c r="O357">
        <v>0</v>
      </c>
      <c r="P357" t="s">
        <v>307</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row>
    <row r="358" spans="1:36">
      <c r="A358" t="s">
        <v>315</v>
      </c>
      <c r="B358" s="264">
        <v>46043</v>
      </c>
      <c r="C358" t="s">
        <v>716</v>
      </c>
      <c r="D358" t="s">
        <v>753</v>
      </c>
      <c r="E358" t="s">
        <v>706</v>
      </c>
      <c r="F358" t="s">
        <v>232</v>
      </c>
      <c r="G358">
        <v>1.67E-2</v>
      </c>
      <c r="H358">
        <v>180</v>
      </c>
      <c r="I358">
        <v>3</v>
      </c>
      <c r="J358">
        <v>0</v>
      </c>
      <c r="K358" t="s">
        <v>233</v>
      </c>
      <c r="L358" s="264">
        <v>46335</v>
      </c>
      <c r="M358">
        <v>0</v>
      </c>
      <c r="N358">
        <v>0</v>
      </c>
      <c r="O358">
        <v>3</v>
      </c>
      <c r="P358" t="s">
        <v>302</v>
      </c>
      <c r="Q358">
        <v>0</v>
      </c>
      <c r="R358">
        <v>0</v>
      </c>
      <c r="S358">
        <v>0</v>
      </c>
      <c r="T358">
        <v>0</v>
      </c>
      <c r="U358">
        <v>0</v>
      </c>
      <c r="V358">
        <v>0</v>
      </c>
      <c r="W358">
        <v>0</v>
      </c>
      <c r="X358">
        <v>0</v>
      </c>
      <c r="Y358">
        <v>0</v>
      </c>
      <c r="Z358">
        <v>0</v>
      </c>
      <c r="AA358">
        <v>0</v>
      </c>
      <c r="AB358">
        <v>0</v>
      </c>
      <c r="AC358">
        <v>3</v>
      </c>
      <c r="AD358">
        <v>0</v>
      </c>
      <c r="AE358">
        <v>0</v>
      </c>
      <c r="AF358">
        <v>0</v>
      </c>
      <c r="AG358">
        <v>0</v>
      </c>
      <c r="AH358">
        <v>0</v>
      </c>
      <c r="AI358">
        <v>0</v>
      </c>
      <c r="AJ358">
        <v>0</v>
      </c>
    </row>
    <row r="359" spans="1:36">
      <c r="A359" t="s">
        <v>315</v>
      </c>
      <c r="B359" s="264">
        <v>46043</v>
      </c>
      <c r="C359" t="s">
        <v>328</v>
      </c>
      <c r="D359" t="s">
        <v>337</v>
      </c>
      <c r="E359" t="s">
        <v>320</v>
      </c>
      <c r="F359" t="s">
        <v>232</v>
      </c>
      <c r="G359">
        <v>5.5999999999999999E-3</v>
      </c>
      <c r="H359">
        <v>180</v>
      </c>
      <c r="I359">
        <v>1</v>
      </c>
      <c r="J359">
        <v>0</v>
      </c>
      <c r="K359" t="s">
        <v>233</v>
      </c>
      <c r="L359" s="264">
        <v>46340</v>
      </c>
      <c r="M359">
        <v>0</v>
      </c>
      <c r="N359">
        <v>0</v>
      </c>
      <c r="O359">
        <v>1</v>
      </c>
      <c r="P359" t="s">
        <v>324</v>
      </c>
      <c r="Q359">
        <v>0</v>
      </c>
      <c r="R359">
        <v>0</v>
      </c>
      <c r="S359">
        <v>0</v>
      </c>
      <c r="T359">
        <v>0</v>
      </c>
      <c r="U359">
        <v>0</v>
      </c>
      <c r="V359">
        <v>0</v>
      </c>
      <c r="W359">
        <v>0</v>
      </c>
      <c r="X359">
        <v>0</v>
      </c>
      <c r="Y359">
        <v>0</v>
      </c>
      <c r="Z359">
        <v>0</v>
      </c>
      <c r="AA359">
        <v>0</v>
      </c>
      <c r="AB359">
        <v>0</v>
      </c>
      <c r="AC359">
        <v>0</v>
      </c>
      <c r="AD359">
        <v>0</v>
      </c>
      <c r="AE359">
        <v>0</v>
      </c>
      <c r="AF359">
        <v>1</v>
      </c>
      <c r="AG359">
        <v>0</v>
      </c>
      <c r="AH359">
        <v>0</v>
      </c>
      <c r="AI359">
        <v>0</v>
      </c>
      <c r="AJ359">
        <v>0</v>
      </c>
    </row>
    <row r="360" spans="1:36">
      <c r="A360" t="s">
        <v>315</v>
      </c>
      <c r="B360" s="264">
        <v>46043</v>
      </c>
      <c r="C360" t="s">
        <v>1006</v>
      </c>
      <c r="D360" t="s">
        <v>555</v>
      </c>
      <c r="E360" t="s">
        <v>985</v>
      </c>
      <c r="F360" t="s">
        <v>232</v>
      </c>
      <c r="G360">
        <v>7.2599999999999998E-2</v>
      </c>
      <c r="H360">
        <v>179</v>
      </c>
      <c r="I360">
        <v>13</v>
      </c>
      <c r="J360">
        <v>0</v>
      </c>
      <c r="K360" t="s">
        <v>233</v>
      </c>
      <c r="L360" s="264">
        <v>46341</v>
      </c>
      <c r="M360">
        <v>0</v>
      </c>
      <c r="N360">
        <v>0</v>
      </c>
      <c r="O360">
        <v>13</v>
      </c>
      <c r="P360" t="s">
        <v>430</v>
      </c>
      <c r="Q360">
        <v>0</v>
      </c>
      <c r="R360">
        <v>0</v>
      </c>
      <c r="S360">
        <v>0</v>
      </c>
      <c r="T360">
        <v>0</v>
      </c>
      <c r="U360">
        <v>0</v>
      </c>
      <c r="V360">
        <v>0</v>
      </c>
      <c r="W360">
        <v>1</v>
      </c>
      <c r="X360">
        <v>0</v>
      </c>
      <c r="Y360">
        <v>0</v>
      </c>
      <c r="Z360">
        <v>0</v>
      </c>
      <c r="AA360">
        <v>1</v>
      </c>
      <c r="AB360">
        <v>0</v>
      </c>
      <c r="AC360">
        <v>5</v>
      </c>
      <c r="AD360">
        <v>4</v>
      </c>
      <c r="AE360">
        <v>2</v>
      </c>
      <c r="AF360">
        <v>0</v>
      </c>
      <c r="AG360">
        <v>0</v>
      </c>
      <c r="AH360">
        <v>0</v>
      </c>
      <c r="AI360">
        <v>0</v>
      </c>
      <c r="AJ360">
        <v>0</v>
      </c>
    </row>
    <row r="361" spans="1:36">
      <c r="A361" t="s">
        <v>315</v>
      </c>
      <c r="B361" s="264">
        <v>46043</v>
      </c>
      <c r="C361" t="s">
        <v>1253</v>
      </c>
      <c r="D361" t="s">
        <v>1274</v>
      </c>
      <c r="E361" t="s">
        <v>1239</v>
      </c>
      <c r="F361" t="s">
        <v>232</v>
      </c>
      <c r="G361">
        <v>0.1061</v>
      </c>
      <c r="H361">
        <v>179</v>
      </c>
      <c r="I361">
        <v>19</v>
      </c>
      <c r="J361">
        <v>0</v>
      </c>
      <c r="K361" t="s">
        <v>233</v>
      </c>
      <c r="L361" s="264">
        <v>46325</v>
      </c>
      <c r="M361">
        <v>0</v>
      </c>
      <c r="N361">
        <v>0</v>
      </c>
      <c r="O361">
        <v>19</v>
      </c>
      <c r="P361" t="s">
        <v>298</v>
      </c>
      <c r="Q361">
        <v>0</v>
      </c>
      <c r="R361">
        <v>0</v>
      </c>
      <c r="S361">
        <v>0</v>
      </c>
      <c r="T361">
        <v>0</v>
      </c>
      <c r="U361">
        <v>0</v>
      </c>
      <c r="V361">
        <v>0</v>
      </c>
      <c r="W361">
        <v>0</v>
      </c>
      <c r="X361">
        <v>0</v>
      </c>
      <c r="Y361">
        <v>0</v>
      </c>
      <c r="Z361">
        <v>0</v>
      </c>
      <c r="AA361">
        <v>6</v>
      </c>
      <c r="AB361">
        <v>5</v>
      </c>
      <c r="AC361">
        <v>4</v>
      </c>
      <c r="AD361">
        <v>4</v>
      </c>
      <c r="AE361">
        <v>0</v>
      </c>
      <c r="AF361">
        <v>0</v>
      </c>
      <c r="AG361">
        <v>0</v>
      </c>
      <c r="AH361">
        <v>0</v>
      </c>
      <c r="AI361">
        <v>0</v>
      </c>
      <c r="AJ361">
        <v>0</v>
      </c>
    </row>
    <row r="362" spans="1:36">
      <c r="A362" t="s">
        <v>315</v>
      </c>
      <c r="B362" s="264">
        <v>46043</v>
      </c>
      <c r="C362" t="s">
        <v>366</v>
      </c>
      <c r="D362" t="s">
        <v>580</v>
      </c>
      <c r="E362" t="s">
        <v>341</v>
      </c>
      <c r="F362" t="s">
        <v>232</v>
      </c>
      <c r="G362">
        <v>0</v>
      </c>
      <c r="H362">
        <v>180</v>
      </c>
      <c r="I362">
        <v>0</v>
      </c>
      <c r="J362">
        <v>0</v>
      </c>
      <c r="K362" t="s">
        <v>233</v>
      </c>
      <c r="L362" t="s">
        <v>66</v>
      </c>
      <c r="M362">
        <v>0</v>
      </c>
      <c r="N362">
        <v>0</v>
      </c>
      <c r="O362">
        <v>0</v>
      </c>
      <c r="P362" t="s">
        <v>436</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row>
    <row r="363" spans="1:36">
      <c r="A363" t="s">
        <v>315</v>
      </c>
      <c r="B363" s="264">
        <v>46043</v>
      </c>
      <c r="C363" t="s">
        <v>433</v>
      </c>
      <c r="D363" t="s">
        <v>582</v>
      </c>
      <c r="E363" t="s">
        <v>341</v>
      </c>
      <c r="F363" t="s">
        <v>232</v>
      </c>
      <c r="G363">
        <v>0</v>
      </c>
      <c r="H363">
        <v>180</v>
      </c>
      <c r="I363">
        <v>0</v>
      </c>
      <c r="J363">
        <v>0</v>
      </c>
      <c r="K363" t="s">
        <v>233</v>
      </c>
      <c r="L363" t="s">
        <v>66</v>
      </c>
      <c r="M363">
        <v>0</v>
      </c>
      <c r="N363">
        <v>0</v>
      </c>
      <c r="O363">
        <v>0</v>
      </c>
      <c r="P363" t="s">
        <v>436</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row>
    <row r="364" spans="1:36">
      <c r="A364" t="s">
        <v>315</v>
      </c>
      <c r="B364" s="264">
        <v>46043</v>
      </c>
      <c r="C364" t="s">
        <v>429</v>
      </c>
      <c r="D364" t="s">
        <v>559</v>
      </c>
      <c r="E364" t="s">
        <v>341</v>
      </c>
      <c r="F364" t="s">
        <v>232</v>
      </c>
      <c r="G364">
        <v>2.7799999999999998E-2</v>
      </c>
      <c r="H364">
        <v>180</v>
      </c>
      <c r="I364">
        <v>5</v>
      </c>
      <c r="J364">
        <v>0</v>
      </c>
      <c r="K364" t="s">
        <v>233</v>
      </c>
      <c r="L364" s="264">
        <v>46343</v>
      </c>
      <c r="M364">
        <v>0</v>
      </c>
      <c r="N364">
        <v>0</v>
      </c>
      <c r="O364">
        <v>5</v>
      </c>
      <c r="P364" t="s">
        <v>430</v>
      </c>
      <c r="Q364">
        <v>0</v>
      </c>
      <c r="R364">
        <v>0</v>
      </c>
      <c r="S364">
        <v>0</v>
      </c>
      <c r="T364">
        <v>0</v>
      </c>
      <c r="U364">
        <v>0</v>
      </c>
      <c r="V364">
        <v>0</v>
      </c>
      <c r="W364">
        <v>0</v>
      </c>
      <c r="X364">
        <v>0</v>
      </c>
      <c r="Y364">
        <v>0</v>
      </c>
      <c r="Z364">
        <v>0</v>
      </c>
      <c r="AA364">
        <v>0</v>
      </c>
      <c r="AB364">
        <v>0</v>
      </c>
      <c r="AC364">
        <v>0</v>
      </c>
      <c r="AD364">
        <v>5</v>
      </c>
      <c r="AE364">
        <v>0</v>
      </c>
      <c r="AF364">
        <v>0</v>
      </c>
      <c r="AG364">
        <v>0</v>
      </c>
      <c r="AH364">
        <v>0</v>
      </c>
      <c r="AI364">
        <v>0</v>
      </c>
      <c r="AJ364">
        <v>0</v>
      </c>
    </row>
    <row r="365" spans="1:36">
      <c r="A365" t="s">
        <v>315</v>
      </c>
      <c r="B365" s="264">
        <v>46043</v>
      </c>
      <c r="C365" t="s">
        <v>376</v>
      </c>
      <c r="D365" t="s">
        <v>581</v>
      </c>
      <c r="E365" t="s">
        <v>341</v>
      </c>
      <c r="F365" t="s">
        <v>232</v>
      </c>
      <c r="G365">
        <v>0</v>
      </c>
      <c r="H365">
        <v>180</v>
      </c>
      <c r="I365">
        <v>0</v>
      </c>
      <c r="J365">
        <v>0</v>
      </c>
      <c r="K365" t="s">
        <v>233</v>
      </c>
      <c r="L365" t="s">
        <v>66</v>
      </c>
      <c r="M365">
        <v>0</v>
      </c>
      <c r="N365">
        <v>0</v>
      </c>
      <c r="O365">
        <v>0</v>
      </c>
      <c r="P365" t="s">
        <v>436</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row>
    <row r="366" spans="1:36">
      <c r="A366" t="s">
        <v>315</v>
      </c>
      <c r="B366" s="264">
        <v>46043</v>
      </c>
      <c r="C366" t="s">
        <v>378</v>
      </c>
      <c r="D366" t="s">
        <v>563</v>
      </c>
      <c r="E366" t="s">
        <v>341</v>
      </c>
      <c r="F366" t="s">
        <v>232</v>
      </c>
      <c r="G366">
        <v>5.5599999999999997E-2</v>
      </c>
      <c r="H366">
        <v>180</v>
      </c>
      <c r="I366">
        <v>10</v>
      </c>
      <c r="J366">
        <v>0</v>
      </c>
      <c r="K366" t="s">
        <v>233</v>
      </c>
      <c r="L366" s="264">
        <v>46338</v>
      </c>
      <c r="M366">
        <v>0</v>
      </c>
      <c r="N366">
        <v>0</v>
      </c>
      <c r="O366">
        <v>10</v>
      </c>
      <c r="P366" t="s">
        <v>304</v>
      </c>
      <c r="Q366">
        <v>0</v>
      </c>
      <c r="R366">
        <v>0</v>
      </c>
      <c r="S366">
        <v>0</v>
      </c>
      <c r="T366">
        <v>0</v>
      </c>
      <c r="U366">
        <v>0</v>
      </c>
      <c r="V366">
        <v>0</v>
      </c>
      <c r="W366">
        <v>0</v>
      </c>
      <c r="X366">
        <v>0</v>
      </c>
      <c r="Y366">
        <v>0</v>
      </c>
      <c r="Z366">
        <v>0</v>
      </c>
      <c r="AA366">
        <v>0</v>
      </c>
      <c r="AB366">
        <v>0</v>
      </c>
      <c r="AC366">
        <v>4</v>
      </c>
      <c r="AD366">
        <v>6</v>
      </c>
      <c r="AE366">
        <v>0</v>
      </c>
      <c r="AF366">
        <v>0</v>
      </c>
      <c r="AG366">
        <v>0</v>
      </c>
      <c r="AH366">
        <v>0</v>
      </c>
      <c r="AI366">
        <v>0</v>
      </c>
      <c r="AJ366">
        <v>0</v>
      </c>
    </row>
    <row r="367" spans="1:36">
      <c r="A367" t="s">
        <v>315</v>
      </c>
      <c r="B367" s="264">
        <v>46043</v>
      </c>
      <c r="C367" t="s">
        <v>818</v>
      </c>
      <c r="D367" t="s">
        <v>974</v>
      </c>
      <c r="E367" t="s">
        <v>808</v>
      </c>
      <c r="F367" t="s">
        <v>232</v>
      </c>
      <c r="G367">
        <v>2.23E-2</v>
      </c>
      <c r="H367">
        <v>179</v>
      </c>
      <c r="I367">
        <v>4</v>
      </c>
      <c r="J367">
        <v>0</v>
      </c>
      <c r="K367" t="s">
        <v>233</v>
      </c>
      <c r="L367" s="264">
        <v>46338</v>
      </c>
      <c r="M367">
        <v>0</v>
      </c>
      <c r="N367">
        <v>0</v>
      </c>
      <c r="O367">
        <v>4</v>
      </c>
      <c r="P367" t="s">
        <v>877</v>
      </c>
      <c r="Q367">
        <v>0</v>
      </c>
      <c r="R367">
        <v>0</v>
      </c>
      <c r="S367">
        <v>0</v>
      </c>
      <c r="T367">
        <v>0</v>
      </c>
      <c r="U367">
        <v>0</v>
      </c>
      <c r="V367">
        <v>0</v>
      </c>
      <c r="W367">
        <v>0</v>
      </c>
      <c r="X367">
        <v>0</v>
      </c>
      <c r="Y367">
        <v>0</v>
      </c>
      <c r="Z367">
        <v>0</v>
      </c>
      <c r="AA367">
        <v>0</v>
      </c>
      <c r="AB367">
        <v>0</v>
      </c>
      <c r="AC367">
        <v>0</v>
      </c>
      <c r="AD367">
        <v>0</v>
      </c>
      <c r="AE367">
        <v>4</v>
      </c>
      <c r="AF367">
        <v>0</v>
      </c>
      <c r="AG367">
        <v>0</v>
      </c>
      <c r="AH367">
        <v>0</v>
      </c>
      <c r="AI367">
        <v>0</v>
      </c>
      <c r="AJ367">
        <v>0</v>
      </c>
    </row>
    <row r="368" spans="1:36">
      <c r="A368" t="s">
        <v>315</v>
      </c>
      <c r="B368" s="264">
        <v>46043</v>
      </c>
      <c r="C368" t="s">
        <v>854</v>
      </c>
      <c r="D368" t="s">
        <v>975</v>
      </c>
      <c r="E368" t="s">
        <v>808</v>
      </c>
      <c r="F368" t="s">
        <v>232</v>
      </c>
      <c r="G368">
        <v>0</v>
      </c>
      <c r="H368">
        <v>179</v>
      </c>
      <c r="I368">
        <v>0</v>
      </c>
      <c r="J368">
        <v>0</v>
      </c>
      <c r="K368" t="s">
        <v>233</v>
      </c>
      <c r="L368" t="s">
        <v>66</v>
      </c>
      <c r="M368">
        <v>0</v>
      </c>
      <c r="N368">
        <v>0</v>
      </c>
      <c r="O368">
        <v>0</v>
      </c>
      <c r="P368" t="s">
        <v>918</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row>
    <row r="369" spans="1:36">
      <c r="A369" t="s">
        <v>315</v>
      </c>
      <c r="B369" s="264">
        <v>46043</v>
      </c>
      <c r="C369" t="s">
        <v>1148</v>
      </c>
      <c r="D369" t="s">
        <v>1176</v>
      </c>
      <c r="E369" t="s">
        <v>1144</v>
      </c>
      <c r="F369" t="s">
        <v>232</v>
      </c>
      <c r="G369">
        <v>1.6799999999999999E-2</v>
      </c>
      <c r="H369">
        <v>179</v>
      </c>
      <c r="I369">
        <v>3</v>
      </c>
      <c r="J369">
        <v>0</v>
      </c>
      <c r="K369" t="s">
        <v>233</v>
      </c>
      <c r="L369" s="264">
        <v>46315</v>
      </c>
      <c r="M369">
        <v>0</v>
      </c>
      <c r="N369">
        <v>0</v>
      </c>
      <c r="O369">
        <v>3</v>
      </c>
      <c r="P369" t="s">
        <v>1016</v>
      </c>
      <c r="Q369">
        <v>0</v>
      </c>
      <c r="R369">
        <v>0</v>
      </c>
      <c r="S369">
        <v>0</v>
      </c>
      <c r="T369">
        <v>0</v>
      </c>
      <c r="U369">
        <v>0</v>
      </c>
      <c r="V369">
        <v>0</v>
      </c>
      <c r="W369">
        <v>0</v>
      </c>
      <c r="X369">
        <v>0</v>
      </c>
      <c r="Y369">
        <v>0</v>
      </c>
      <c r="Z369">
        <v>0</v>
      </c>
      <c r="AA369">
        <v>0</v>
      </c>
      <c r="AB369">
        <v>0</v>
      </c>
      <c r="AC369">
        <v>0</v>
      </c>
      <c r="AD369">
        <v>0</v>
      </c>
      <c r="AE369">
        <v>3</v>
      </c>
      <c r="AF369">
        <v>0</v>
      </c>
      <c r="AG369">
        <v>0</v>
      </c>
      <c r="AH369">
        <v>0</v>
      </c>
      <c r="AI369">
        <v>0</v>
      </c>
      <c r="AJ369">
        <v>0</v>
      </c>
    </row>
    <row r="370" spans="1:36">
      <c r="A370" t="s">
        <v>315</v>
      </c>
      <c r="B370" s="264">
        <v>46043</v>
      </c>
      <c r="C370" t="s">
        <v>1215</v>
      </c>
      <c r="D370" t="s">
        <v>1238</v>
      </c>
      <c r="E370" t="s">
        <v>1213</v>
      </c>
      <c r="F370" t="s">
        <v>232</v>
      </c>
      <c r="G370">
        <v>1.12E-2</v>
      </c>
      <c r="H370">
        <v>179</v>
      </c>
      <c r="I370">
        <v>2</v>
      </c>
      <c r="J370">
        <v>0</v>
      </c>
      <c r="K370" t="s">
        <v>233</v>
      </c>
      <c r="L370" s="264">
        <v>46345</v>
      </c>
      <c r="M370">
        <v>0</v>
      </c>
      <c r="N370">
        <v>0</v>
      </c>
      <c r="O370">
        <v>2</v>
      </c>
      <c r="P370" t="s">
        <v>549</v>
      </c>
      <c r="Q370">
        <v>0</v>
      </c>
      <c r="R370">
        <v>0</v>
      </c>
      <c r="S370">
        <v>0</v>
      </c>
      <c r="T370">
        <v>0</v>
      </c>
      <c r="U370">
        <v>0</v>
      </c>
      <c r="V370">
        <v>0</v>
      </c>
      <c r="W370">
        <v>0</v>
      </c>
      <c r="X370">
        <v>0</v>
      </c>
      <c r="Y370">
        <v>0</v>
      </c>
      <c r="Z370">
        <v>0</v>
      </c>
      <c r="AA370">
        <v>0</v>
      </c>
      <c r="AB370">
        <v>0</v>
      </c>
      <c r="AC370">
        <v>1</v>
      </c>
      <c r="AD370">
        <v>1</v>
      </c>
      <c r="AE370">
        <v>0</v>
      </c>
      <c r="AF370">
        <v>0</v>
      </c>
      <c r="AG370">
        <v>0</v>
      </c>
      <c r="AH370">
        <v>0</v>
      </c>
      <c r="AI370">
        <v>0</v>
      </c>
      <c r="AJ370">
        <v>0</v>
      </c>
    </row>
    <row r="371" spans="1:36">
      <c r="A371" t="s">
        <v>315</v>
      </c>
      <c r="B371" s="264">
        <v>46043</v>
      </c>
      <c r="C371" t="s">
        <v>613</v>
      </c>
      <c r="D371" t="s">
        <v>697</v>
      </c>
      <c r="E371" t="s">
        <v>601</v>
      </c>
      <c r="F371" t="s">
        <v>232</v>
      </c>
      <c r="G371">
        <v>0</v>
      </c>
      <c r="H371">
        <v>180</v>
      </c>
      <c r="I371">
        <v>0</v>
      </c>
      <c r="J371">
        <v>0</v>
      </c>
      <c r="K371" t="s">
        <v>233</v>
      </c>
      <c r="L371" t="s">
        <v>66</v>
      </c>
      <c r="M371">
        <v>0</v>
      </c>
      <c r="N371">
        <v>0</v>
      </c>
      <c r="O371">
        <v>0</v>
      </c>
      <c r="P371" t="s">
        <v>292</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row>
    <row r="372" spans="1:36">
      <c r="A372" t="s">
        <v>315</v>
      </c>
      <c r="B372" s="264">
        <v>46043</v>
      </c>
      <c r="C372" t="s">
        <v>630</v>
      </c>
      <c r="D372" t="s">
        <v>698</v>
      </c>
      <c r="E372" t="s">
        <v>601</v>
      </c>
      <c r="F372" t="s">
        <v>232</v>
      </c>
      <c r="G372">
        <v>2.7799999999999998E-2</v>
      </c>
      <c r="H372">
        <v>180</v>
      </c>
      <c r="I372">
        <v>5</v>
      </c>
      <c r="J372">
        <v>0</v>
      </c>
      <c r="K372" t="s">
        <v>233</v>
      </c>
      <c r="L372" s="264">
        <v>46344</v>
      </c>
      <c r="M372">
        <v>0</v>
      </c>
      <c r="N372">
        <v>0</v>
      </c>
      <c r="O372">
        <v>5</v>
      </c>
      <c r="P372" t="s">
        <v>306</v>
      </c>
      <c r="Q372">
        <v>0</v>
      </c>
      <c r="R372">
        <v>0</v>
      </c>
      <c r="S372">
        <v>0</v>
      </c>
      <c r="T372">
        <v>0</v>
      </c>
      <c r="U372">
        <v>0</v>
      </c>
      <c r="V372">
        <v>0</v>
      </c>
      <c r="W372">
        <v>0</v>
      </c>
      <c r="X372">
        <v>0</v>
      </c>
      <c r="Y372">
        <v>0</v>
      </c>
      <c r="Z372">
        <v>0</v>
      </c>
      <c r="AA372">
        <v>0</v>
      </c>
      <c r="AB372">
        <v>0</v>
      </c>
      <c r="AC372">
        <v>5</v>
      </c>
      <c r="AD372">
        <v>0</v>
      </c>
      <c r="AE372">
        <v>0</v>
      </c>
      <c r="AF372">
        <v>0</v>
      </c>
      <c r="AG372">
        <v>0</v>
      </c>
      <c r="AH372">
        <v>0</v>
      </c>
      <c r="AI372">
        <v>0</v>
      </c>
      <c r="AJ372">
        <v>0</v>
      </c>
    </row>
    <row r="373" spans="1:36">
      <c r="A373" t="s">
        <v>315</v>
      </c>
      <c r="B373" s="264">
        <v>46043</v>
      </c>
      <c r="C373" t="s">
        <v>646</v>
      </c>
      <c r="D373" t="s">
        <v>699</v>
      </c>
      <c r="E373" t="s">
        <v>601</v>
      </c>
      <c r="F373" t="s">
        <v>232</v>
      </c>
      <c r="G373">
        <v>0</v>
      </c>
      <c r="H373">
        <v>180</v>
      </c>
      <c r="I373">
        <v>0</v>
      </c>
      <c r="J373">
        <v>0</v>
      </c>
      <c r="K373" t="s">
        <v>233</v>
      </c>
      <c r="L373" t="s">
        <v>66</v>
      </c>
      <c r="M373">
        <v>0</v>
      </c>
      <c r="N373">
        <v>0</v>
      </c>
      <c r="O373">
        <v>0</v>
      </c>
      <c r="P373" t="s">
        <v>292</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row>
    <row r="374" spans="1:36">
      <c r="A374" t="s">
        <v>315</v>
      </c>
      <c r="B374" s="264">
        <v>46043</v>
      </c>
      <c r="C374" t="s">
        <v>263</v>
      </c>
      <c r="D374" t="s">
        <v>316</v>
      </c>
      <c r="E374" t="s">
        <v>261</v>
      </c>
      <c r="F374" t="s">
        <v>232</v>
      </c>
      <c r="G374">
        <v>3.8899999999999997E-2</v>
      </c>
      <c r="H374">
        <v>180</v>
      </c>
      <c r="I374">
        <v>7</v>
      </c>
      <c r="J374">
        <v>0</v>
      </c>
      <c r="K374" t="s">
        <v>233</v>
      </c>
      <c r="L374" s="264">
        <v>46337</v>
      </c>
      <c r="M374">
        <v>0</v>
      </c>
      <c r="N374">
        <v>0</v>
      </c>
      <c r="O374">
        <v>7</v>
      </c>
      <c r="P374" t="s">
        <v>298</v>
      </c>
      <c r="Q374">
        <v>0</v>
      </c>
      <c r="R374">
        <v>0</v>
      </c>
      <c r="S374">
        <v>0</v>
      </c>
      <c r="T374">
        <v>0</v>
      </c>
      <c r="U374">
        <v>0</v>
      </c>
      <c r="V374">
        <v>0</v>
      </c>
      <c r="W374">
        <v>0</v>
      </c>
      <c r="X374">
        <v>0</v>
      </c>
      <c r="Y374">
        <v>0</v>
      </c>
      <c r="Z374">
        <v>0</v>
      </c>
      <c r="AA374">
        <v>0</v>
      </c>
      <c r="AB374">
        <v>0</v>
      </c>
      <c r="AC374">
        <v>7</v>
      </c>
      <c r="AD374">
        <v>0</v>
      </c>
      <c r="AE374">
        <v>0</v>
      </c>
      <c r="AF374">
        <v>0</v>
      </c>
      <c r="AG374">
        <v>0</v>
      </c>
      <c r="AH374">
        <v>0</v>
      </c>
      <c r="AI374">
        <v>0</v>
      </c>
      <c r="AJ374">
        <v>0</v>
      </c>
    </row>
    <row r="375" spans="1:36">
      <c r="A375" t="s">
        <v>230</v>
      </c>
      <c r="B375" s="264">
        <v>46044</v>
      </c>
      <c r="C375" t="s">
        <v>709</v>
      </c>
      <c r="D375" t="s">
        <v>742</v>
      </c>
      <c r="E375" t="s">
        <v>706</v>
      </c>
      <c r="F375" t="s">
        <v>232</v>
      </c>
      <c r="G375">
        <v>1.67E-2</v>
      </c>
      <c r="H375">
        <v>180</v>
      </c>
      <c r="I375">
        <v>3</v>
      </c>
      <c r="J375">
        <v>0</v>
      </c>
      <c r="K375" t="s">
        <v>233</v>
      </c>
      <c r="L375" s="264">
        <v>46337</v>
      </c>
      <c r="M375">
        <v>0</v>
      </c>
      <c r="N375">
        <v>0</v>
      </c>
      <c r="O375">
        <v>3</v>
      </c>
      <c r="P375" t="s">
        <v>302</v>
      </c>
      <c r="Q375">
        <v>0</v>
      </c>
      <c r="R375">
        <v>0</v>
      </c>
      <c r="S375">
        <v>0</v>
      </c>
      <c r="T375">
        <v>0</v>
      </c>
      <c r="U375">
        <v>0</v>
      </c>
      <c r="V375">
        <v>0</v>
      </c>
      <c r="W375">
        <v>0</v>
      </c>
      <c r="X375">
        <v>0</v>
      </c>
      <c r="Y375">
        <v>0</v>
      </c>
      <c r="Z375">
        <v>0</v>
      </c>
      <c r="AA375">
        <v>0</v>
      </c>
      <c r="AB375">
        <v>0</v>
      </c>
      <c r="AC375">
        <v>3</v>
      </c>
      <c r="AD375">
        <v>0</v>
      </c>
      <c r="AE375">
        <v>0</v>
      </c>
      <c r="AF375">
        <v>0</v>
      </c>
      <c r="AG375">
        <v>0</v>
      </c>
      <c r="AH375">
        <v>0</v>
      </c>
      <c r="AI375">
        <v>0</v>
      </c>
      <c r="AJ375">
        <v>0</v>
      </c>
    </row>
    <row r="376" spans="1:36">
      <c r="A376" t="s">
        <v>230</v>
      </c>
      <c r="B376" s="264">
        <v>46044</v>
      </c>
      <c r="C376" t="s">
        <v>712</v>
      </c>
      <c r="D376" t="s">
        <v>743</v>
      </c>
      <c r="E376" t="s">
        <v>706</v>
      </c>
      <c r="F376" t="s">
        <v>232</v>
      </c>
      <c r="G376">
        <v>5.5999999999999999E-3</v>
      </c>
      <c r="H376">
        <v>180</v>
      </c>
      <c r="I376">
        <v>1</v>
      </c>
      <c r="J376">
        <v>0</v>
      </c>
      <c r="K376" t="s">
        <v>233</v>
      </c>
      <c r="L376" s="264">
        <v>46244</v>
      </c>
      <c r="M376">
        <v>0</v>
      </c>
      <c r="N376">
        <v>0</v>
      </c>
      <c r="O376">
        <v>1</v>
      </c>
      <c r="P376" t="s">
        <v>304</v>
      </c>
      <c r="Q376">
        <v>0</v>
      </c>
      <c r="R376">
        <v>0</v>
      </c>
      <c r="S376">
        <v>0</v>
      </c>
      <c r="T376">
        <v>0</v>
      </c>
      <c r="U376">
        <v>0</v>
      </c>
      <c r="V376">
        <v>0</v>
      </c>
      <c r="W376">
        <v>0</v>
      </c>
      <c r="X376">
        <v>0</v>
      </c>
      <c r="Y376">
        <v>0</v>
      </c>
      <c r="Z376">
        <v>0</v>
      </c>
      <c r="AA376">
        <v>0</v>
      </c>
      <c r="AB376">
        <v>0</v>
      </c>
      <c r="AC376">
        <v>1</v>
      </c>
      <c r="AD376">
        <v>0</v>
      </c>
      <c r="AE376">
        <v>0</v>
      </c>
      <c r="AF376">
        <v>0</v>
      </c>
      <c r="AG376">
        <v>0</v>
      </c>
      <c r="AH376">
        <v>0</v>
      </c>
      <c r="AI376">
        <v>0</v>
      </c>
      <c r="AJ376">
        <v>0</v>
      </c>
    </row>
    <row r="377" spans="1:36">
      <c r="A377" t="s">
        <v>230</v>
      </c>
      <c r="B377" s="264">
        <v>46044</v>
      </c>
      <c r="C377" t="s">
        <v>1241</v>
      </c>
      <c r="D377" t="s">
        <v>334</v>
      </c>
      <c r="E377" t="s">
        <v>1239</v>
      </c>
      <c r="F377" t="s">
        <v>232</v>
      </c>
      <c r="G377">
        <v>5.5899999999999998E-2</v>
      </c>
      <c r="H377">
        <v>179</v>
      </c>
      <c r="I377">
        <v>10</v>
      </c>
      <c r="J377">
        <v>0</v>
      </c>
      <c r="K377" t="s">
        <v>233</v>
      </c>
      <c r="L377" s="264">
        <v>46337</v>
      </c>
      <c r="M377">
        <v>0</v>
      </c>
      <c r="N377">
        <v>0</v>
      </c>
      <c r="O377">
        <v>10</v>
      </c>
      <c r="P377" t="s">
        <v>1113</v>
      </c>
      <c r="Q377">
        <v>0</v>
      </c>
      <c r="R377">
        <v>0</v>
      </c>
      <c r="S377">
        <v>0</v>
      </c>
      <c r="T377">
        <v>0</v>
      </c>
      <c r="U377">
        <v>0</v>
      </c>
      <c r="V377">
        <v>0</v>
      </c>
      <c r="W377">
        <v>0</v>
      </c>
      <c r="X377">
        <v>0</v>
      </c>
      <c r="Y377">
        <v>0</v>
      </c>
      <c r="Z377">
        <v>7</v>
      </c>
      <c r="AA377">
        <v>3</v>
      </c>
      <c r="AB377">
        <v>0</v>
      </c>
      <c r="AC377">
        <v>0</v>
      </c>
      <c r="AD377">
        <v>0</v>
      </c>
      <c r="AE377">
        <v>0</v>
      </c>
      <c r="AF377">
        <v>0</v>
      </c>
      <c r="AG377">
        <v>0</v>
      </c>
      <c r="AH377">
        <v>0</v>
      </c>
      <c r="AI377">
        <v>0</v>
      </c>
      <c r="AJ377">
        <v>0</v>
      </c>
    </row>
    <row r="378" spans="1:36">
      <c r="A378" t="s">
        <v>230</v>
      </c>
      <c r="B378" s="264">
        <v>46044</v>
      </c>
      <c r="C378" t="s">
        <v>1194</v>
      </c>
      <c r="D378" t="s">
        <v>1202</v>
      </c>
      <c r="E378" t="s">
        <v>1192</v>
      </c>
      <c r="F378" t="s">
        <v>232</v>
      </c>
      <c r="G378">
        <v>5.5999999999999999E-3</v>
      </c>
      <c r="H378">
        <v>179</v>
      </c>
      <c r="I378">
        <v>1</v>
      </c>
      <c r="J378">
        <v>0</v>
      </c>
      <c r="K378" t="s">
        <v>233</v>
      </c>
      <c r="L378" s="264">
        <v>46325</v>
      </c>
      <c r="M378">
        <v>0</v>
      </c>
      <c r="N378">
        <v>0</v>
      </c>
      <c r="O378">
        <v>1</v>
      </c>
      <c r="P378" t="s">
        <v>670</v>
      </c>
      <c r="Q378">
        <v>0</v>
      </c>
      <c r="R378">
        <v>0</v>
      </c>
      <c r="S378">
        <v>0</v>
      </c>
      <c r="T378">
        <v>0</v>
      </c>
      <c r="U378">
        <v>0</v>
      </c>
      <c r="V378">
        <v>0</v>
      </c>
      <c r="W378">
        <v>0</v>
      </c>
      <c r="X378">
        <v>0</v>
      </c>
      <c r="Y378">
        <v>0</v>
      </c>
      <c r="Z378">
        <v>0</v>
      </c>
      <c r="AA378">
        <v>1</v>
      </c>
      <c r="AB378">
        <v>0</v>
      </c>
      <c r="AC378">
        <v>0</v>
      </c>
      <c r="AD378">
        <v>0</v>
      </c>
      <c r="AE378">
        <v>0</v>
      </c>
      <c r="AF378">
        <v>0</v>
      </c>
      <c r="AG378">
        <v>0</v>
      </c>
      <c r="AH378">
        <v>0</v>
      </c>
      <c r="AI378">
        <v>0</v>
      </c>
      <c r="AJ378">
        <v>0</v>
      </c>
    </row>
    <row r="379" spans="1:36">
      <c r="A379" t="s">
        <v>230</v>
      </c>
      <c r="B379" s="264">
        <v>46044</v>
      </c>
      <c r="C379" t="s">
        <v>1045</v>
      </c>
      <c r="D379" t="s">
        <v>1108</v>
      </c>
      <c r="E379" t="s">
        <v>1040</v>
      </c>
      <c r="F379" t="s">
        <v>232</v>
      </c>
      <c r="G379">
        <v>2.7799999999999998E-2</v>
      </c>
      <c r="H379">
        <v>180</v>
      </c>
      <c r="I379">
        <v>5</v>
      </c>
      <c r="J379">
        <v>0</v>
      </c>
      <c r="K379" t="s">
        <v>233</v>
      </c>
      <c r="L379" s="264">
        <v>46340</v>
      </c>
      <c r="M379">
        <v>0</v>
      </c>
      <c r="N379">
        <v>0</v>
      </c>
      <c r="O379">
        <v>5</v>
      </c>
      <c r="P379" t="s">
        <v>672</v>
      </c>
      <c r="Q379">
        <v>0</v>
      </c>
      <c r="R379">
        <v>0</v>
      </c>
      <c r="S379">
        <v>0</v>
      </c>
      <c r="T379">
        <v>0</v>
      </c>
      <c r="U379">
        <v>0</v>
      </c>
      <c r="V379">
        <v>0</v>
      </c>
      <c r="W379">
        <v>0</v>
      </c>
      <c r="X379">
        <v>0</v>
      </c>
      <c r="Y379">
        <v>0</v>
      </c>
      <c r="Z379">
        <v>0</v>
      </c>
      <c r="AA379">
        <v>5</v>
      </c>
      <c r="AB379">
        <v>0</v>
      </c>
      <c r="AC379">
        <v>0</v>
      </c>
      <c r="AD379">
        <v>0</v>
      </c>
      <c r="AE379">
        <v>0</v>
      </c>
      <c r="AF379">
        <v>0</v>
      </c>
      <c r="AG379">
        <v>0</v>
      </c>
      <c r="AH379">
        <v>0</v>
      </c>
      <c r="AI379">
        <v>0</v>
      </c>
      <c r="AJ379">
        <v>0</v>
      </c>
    </row>
    <row r="380" spans="1:36">
      <c r="A380" t="s">
        <v>230</v>
      </c>
      <c r="B380" s="264">
        <v>46044</v>
      </c>
      <c r="C380" t="s">
        <v>1289</v>
      </c>
      <c r="D380" t="s">
        <v>703</v>
      </c>
      <c r="E380" t="s">
        <v>1286</v>
      </c>
      <c r="F380" t="s">
        <v>232</v>
      </c>
      <c r="G380">
        <v>3.3500000000000002E-2</v>
      </c>
      <c r="H380">
        <v>179</v>
      </c>
      <c r="I380">
        <v>6</v>
      </c>
      <c r="J380">
        <v>0</v>
      </c>
      <c r="K380" t="s">
        <v>233</v>
      </c>
      <c r="L380" s="264">
        <v>46339</v>
      </c>
      <c r="M380">
        <v>0</v>
      </c>
      <c r="N380">
        <v>0</v>
      </c>
      <c r="O380">
        <v>6</v>
      </c>
      <c r="P380" t="s">
        <v>317</v>
      </c>
      <c r="Q380">
        <v>0</v>
      </c>
      <c r="R380">
        <v>0</v>
      </c>
      <c r="S380">
        <v>0</v>
      </c>
      <c r="T380">
        <v>0</v>
      </c>
      <c r="U380">
        <v>0</v>
      </c>
      <c r="V380">
        <v>0</v>
      </c>
      <c r="W380">
        <v>0</v>
      </c>
      <c r="X380">
        <v>0</v>
      </c>
      <c r="Y380">
        <v>0</v>
      </c>
      <c r="Z380">
        <v>1</v>
      </c>
      <c r="AA380">
        <v>4</v>
      </c>
      <c r="AB380">
        <v>0</v>
      </c>
      <c r="AC380">
        <v>0</v>
      </c>
      <c r="AD380">
        <v>0</v>
      </c>
      <c r="AE380">
        <v>1</v>
      </c>
      <c r="AF380">
        <v>0</v>
      </c>
      <c r="AG380">
        <v>0</v>
      </c>
      <c r="AH380">
        <v>0</v>
      </c>
      <c r="AI380">
        <v>0</v>
      </c>
      <c r="AJ380">
        <v>0</v>
      </c>
    </row>
    <row r="381" spans="1:36">
      <c r="A381" t="s">
        <v>230</v>
      </c>
      <c r="B381" s="264">
        <v>46044</v>
      </c>
      <c r="C381" t="s">
        <v>1337</v>
      </c>
      <c r="D381" t="s">
        <v>1324</v>
      </c>
      <c r="E381" t="s">
        <v>1333</v>
      </c>
      <c r="F381" t="s">
        <v>232</v>
      </c>
      <c r="G381">
        <v>4.4699999999999997E-2</v>
      </c>
      <c r="H381">
        <v>179</v>
      </c>
      <c r="I381">
        <v>8</v>
      </c>
      <c r="J381">
        <v>0</v>
      </c>
      <c r="K381" t="s">
        <v>233</v>
      </c>
      <c r="L381" s="264">
        <v>46344</v>
      </c>
      <c r="M381">
        <v>0</v>
      </c>
      <c r="N381">
        <v>0</v>
      </c>
      <c r="O381">
        <v>8</v>
      </c>
      <c r="P381" t="s">
        <v>1029</v>
      </c>
      <c r="Q381">
        <v>0</v>
      </c>
      <c r="R381">
        <v>0</v>
      </c>
      <c r="S381">
        <v>0</v>
      </c>
      <c r="T381">
        <v>0</v>
      </c>
      <c r="U381">
        <v>0</v>
      </c>
      <c r="V381">
        <v>0</v>
      </c>
      <c r="W381">
        <v>0</v>
      </c>
      <c r="X381">
        <v>0</v>
      </c>
      <c r="Y381">
        <v>0</v>
      </c>
      <c r="Z381">
        <v>6</v>
      </c>
      <c r="AA381">
        <v>2</v>
      </c>
      <c r="AB381">
        <v>0</v>
      </c>
      <c r="AC381">
        <v>0</v>
      </c>
      <c r="AD381">
        <v>0</v>
      </c>
      <c r="AE381">
        <v>0</v>
      </c>
      <c r="AF381">
        <v>0</v>
      </c>
      <c r="AG381">
        <v>0</v>
      </c>
      <c r="AH381">
        <v>0</v>
      </c>
      <c r="AI381">
        <v>0</v>
      </c>
      <c r="AJ381">
        <v>0</v>
      </c>
    </row>
    <row r="382" spans="1:36">
      <c r="A382" t="s">
        <v>230</v>
      </c>
      <c r="B382" s="264">
        <v>46044</v>
      </c>
      <c r="C382" t="s">
        <v>366</v>
      </c>
      <c r="D382" t="s">
        <v>559</v>
      </c>
      <c r="E382" t="s">
        <v>341</v>
      </c>
      <c r="F382" t="s">
        <v>232</v>
      </c>
      <c r="G382">
        <v>0.2167</v>
      </c>
      <c r="H382">
        <v>180</v>
      </c>
      <c r="I382">
        <v>39</v>
      </c>
      <c r="J382">
        <v>25</v>
      </c>
      <c r="K382" t="s">
        <v>233</v>
      </c>
      <c r="L382" s="264">
        <v>46343</v>
      </c>
      <c r="M382">
        <v>0</v>
      </c>
      <c r="N382">
        <v>0</v>
      </c>
      <c r="O382">
        <v>15</v>
      </c>
      <c r="P382" t="s">
        <v>67</v>
      </c>
      <c r="Q382">
        <v>0</v>
      </c>
      <c r="R382">
        <v>0</v>
      </c>
      <c r="S382">
        <v>0</v>
      </c>
      <c r="T382">
        <v>0</v>
      </c>
      <c r="U382">
        <v>0</v>
      </c>
      <c r="V382">
        <v>0</v>
      </c>
      <c r="W382">
        <v>0</v>
      </c>
      <c r="X382">
        <v>0</v>
      </c>
      <c r="Y382">
        <v>0</v>
      </c>
      <c r="Z382">
        <v>0</v>
      </c>
      <c r="AA382">
        <v>0</v>
      </c>
      <c r="AB382">
        <v>1</v>
      </c>
      <c r="AC382">
        <v>1</v>
      </c>
      <c r="AD382">
        <v>0</v>
      </c>
      <c r="AE382">
        <v>1</v>
      </c>
      <c r="AF382">
        <v>11</v>
      </c>
      <c r="AG382">
        <v>25</v>
      </c>
      <c r="AH382">
        <v>0</v>
      </c>
      <c r="AI382">
        <v>0</v>
      </c>
      <c r="AJ382">
        <v>0</v>
      </c>
    </row>
    <row r="383" spans="1:36">
      <c r="A383" t="s">
        <v>230</v>
      </c>
      <c r="B383" s="264">
        <v>46044</v>
      </c>
      <c r="C383" t="s">
        <v>370</v>
      </c>
      <c r="D383" t="s">
        <v>554</v>
      </c>
      <c r="E383" t="s">
        <v>341</v>
      </c>
      <c r="F383" t="s">
        <v>232</v>
      </c>
      <c r="G383">
        <v>3.8899999999999997E-2</v>
      </c>
      <c r="H383">
        <v>180</v>
      </c>
      <c r="I383">
        <v>7</v>
      </c>
      <c r="J383">
        <v>0</v>
      </c>
      <c r="K383" t="s">
        <v>233</v>
      </c>
      <c r="L383" s="264">
        <v>46339</v>
      </c>
      <c r="M383">
        <v>0</v>
      </c>
      <c r="N383">
        <v>0</v>
      </c>
      <c r="O383">
        <v>7</v>
      </c>
      <c r="P383" t="s">
        <v>299</v>
      </c>
      <c r="Q383">
        <v>0</v>
      </c>
      <c r="R383">
        <v>0</v>
      </c>
      <c r="S383">
        <v>0</v>
      </c>
      <c r="T383">
        <v>0</v>
      </c>
      <c r="U383">
        <v>0</v>
      </c>
      <c r="V383">
        <v>0</v>
      </c>
      <c r="W383">
        <v>0</v>
      </c>
      <c r="X383">
        <v>0</v>
      </c>
      <c r="Y383">
        <v>0</v>
      </c>
      <c r="Z383">
        <v>1</v>
      </c>
      <c r="AA383">
        <v>0</v>
      </c>
      <c r="AB383">
        <v>0</v>
      </c>
      <c r="AC383">
        <v>6</v>
      </c>
      <c r="AD383">
        <v>0</v>
      </c>
      <c r="AE383">
        <v>0</v>
      </c>
      <c r="AF383">
        <v>0</v>
      </c>
      <c r="AG383">
        <v>0</v>
      </c>
      <c r="AH383">
        <v>0</v>
      </c>
      <c r="AI383">
        <v>0</v>
      </c>
      <c r="AJ383">
        <v>0</v>
      </c>
    </row>
    <row r="384" spans="1:36">
      <c r="A384" t="s">
        <v>230</v>
      </c>
      <c r="B384" s="264">
        <v>46044</v>
      </c>
      <c r="C384" t="s">
        <v>373</v>
      </c>
      <c r="D384" t="s">
        <v>273</v>
      </c>
      <c r="E384" t="s">
        <v>341</v>
      </c>
      <c r="F384" t="s">
        <v>232</v>
      </c>
      <c r="G384">
        <v>5.5599999999999997E-2</v>
      </c>
      <c r="H384">
        <v>180</v>
      </c>
      <c r="I384">
        <v>10</v>
      </c>
      <c r="J384">
        <v>0</v>
      </c>
      <c r="K384" t="s">
        <v>233</v>
      </c>
      <c r="L384" s="264">
        <v>46343</v>
      </c>
      <c r="M384">
        <v>0</v>
      </c>
      <c r="N384">
        <v>0</v>
      </c>
      <c r="O384">
        <v>10</v>
      </c>
      <c r="P384" t="s">
        <v>304</v>
      </c>
      <c r="Q384">
        <v>0</v>
      </c>
      <c r="R384">
        <v>0</v>
      </c>
      <c r="S384">
        <v>0</v>
      </c>
      <c r="T384">
        <v>0</v>
      </c>
      <c r="U384">
        <v>0</v>
      </c>
      <c r="V384">
        <v>0</v>
      </c>
      <c r="W384">
        <v>0</v>
      </c>
      <c r="X384">
        <v>0</v>
      </c>
      <c r="Y384">
        <v>0</v>
      </c>
      <c r="Z384">
        <v>0</v>
      </c>
      <c r="AA384">
        <v>0</v>
      </c>
      <c r="AB384">
        <v>0</v>
      </c>
      <c r="AC384">
        <v>4</v>
      </c>
      <c r="AD384">
        <v>6</v>
      </c>
      <c r="AE384">
        <v>0</v>
      </c>
      <c r="AF384">
        <v>0</v>
      </c>
      <c r="AG384">
        <v>0</v>
      </c>
      <c r="AH384">
        <v>0</v>
      </c>
      <c r="AI384">
        <v>0</v>
      </c>
      <c r="AJ384">
        <v>0</v>
      </c>
    </row>
    <row r="385" spans="1:36">
      <c r="A385" t="s">
        <v>230</v>
      </c>
      <c r="B385" s="264">
        <v>46044</v>
      </c>
      <c r="C385" t="s">
        <v>376</v>
      </c>
      <c r="D385" t="s">
        <v>553</v>
      </c>
      <c r="E385" t="s">
        <v>341</v>
      </c>
      <c r="F385" t="s">
        <v>232</v>
      </c>
      <c r="G385">
        <v>5.5599999999999997E-2</v>
      </c>
      <c r="H385">
        <v>180</v>
      </c>
      <c r="I385">
        <v>10</v>
      </c>
      <c r="J385">
        <v>0</v>
      </c>
      <c r="K385" t="s">
        <v>233</v>
      </c>
      <c r="L385" s="264">
        <v>46326</v>
      </c>
      <c r="M385">
        <v>0</v>
      </c>
      <c r="N385">
        <v>0</v>
      </c>
      <c r="O385">
        <v>10</v>
      </c>
      <c r="P385" t="s">
        <v>304</v>
      </c>
      <c r="Q385">
        <v>0</v>
      </c>
      <c r="R385">
        <v>0</v>
      </c>
      <c r="S385">
        <v>0</v>
      </c>
      <c r="T385">
        <v>0</v>
      </c>
      <c r="U385">
        <v>0</v>
      </c>
      <c r="V385">
        <v>0</v>
      </c>
      <c r="W385">
        <v>0</v>
      </c>
      <c r="X385">
        <v>0</v>
      </c>
      <c r="Y385">
        <v>0</v>
      </c>
      <c r="Z385">
        <v>0</v>
      </c>
      <c r="AA385">
        <v>0</v>
      </c>
      <c r="AB385">
        <v>0</v>
      </c>
      <c r="AC385">
        <v>2</v>
      </c>
      <c r="AD385">
        <v>8</v>
      </c>
      <c r="AE385">
        <v>0</v>
      </c>
      <c r="AF385">
        <v>0</v>
      </c>
      <c r="AG385">
        <v>0</v>
      </c>
      <c r="AH385">
        <v>0</v>
      </c>
      <c r="AI385">
        <v>0</v>
      </c>
      <c r="AJ385">
        <v>0</v>
      </c>
    </row>
    <row r="386" spans="1:36">
      <c r="A386" t="s">
        <v>230</v>
      </c>
      <c r="B386" s="264">
        <v>46044</v>
      </c>
      <c r="C386" t="s">
        <v>378</v>
      </c>
      <c r="D386" t="s">
        <v>555</v>
      </c>
      <c r="E386" t="s">
        <v>341</v>
      </c>
      <c r="F386" t="s">
        <v>232</v>
      </c>
      <c r="G386">
        <v>6.1100000000000002E-2</v>
      </c>
      <c r="H386">
        <v>180</v>
      </c>
      <c r="I386">
        <v>11</v>
      </c>
      <c r="J386">
        <v>0</v>
      </c>
      <c r="K386" t="s">
        <v>233</v>
      </c>
      <c r="L386" s="264">
        <v>46326</v>
      </c>
      <c r="M386">
        <v>0</v>
      </c>
      <c r="N386">
        <v>0</v>
      </c>
      <c r="O386">
        <v>11</v>
      </c>
      <c r="P386" t="s">
        <v>298</v>
      </c>
      <c r="Q386">
        <v>0</v>
      </c>
      <c r="R386">
        <v>0</v>
      </c>
      <c r="S386">
        <v>0</v>
      </c>
      <c r="T386">
        <v>0</v>
      </c>
      <c r="U386">
        <v>0</v>
      </c>
      <c r="V386">
        <v>0</v>
      </c>
      <c r="W386">
        <v>0</v>
      </c>
      <c r="X386">
        <v>0</v>
      </c>
      <c r="Y386">
        <v>0</v>
      </c>
      <c r="Z386">
        <v>0</v>
      </c>
      <c r="AA386">
        <v>0</v>
      </c>
      <c r="AB386">
        <v>0</v>
      </c>
      <c r="AC386">
        <v>4</v>
      </c>
      <c r="AD386">
        <v>7</v>
      </c>
      <c r="AE386">
        <v>0</v>
      </c>
      <c r="AF386">
        <v>0</v>
      </c>
      <c r="AG386">
        <v>0</v>
      </c>
      <c r="AH386">
        <v>0</v>
      </c>
      <c r="AI386">
        <v>0</v>
      </c>
      <c r="AJ386">
        <v>0</v>
      </c>
    </row>
    <row r="387" spans="1:36">
      <c r="A387" t="s">
        <v>230</v>
      </c>
      <c r="B387" s="264">
        <v>46044</v>
      </c>
      <c r="C387" t="s">
        <v>380</v>
      </c>
      <c r="D387" t="s">
        <v>556</v>
      </c>
      <c r="E387" t="s">
        <v>341</v>
      </c>
      <c r="F387" t="s">
        <v>232</v>
      </c>
      <c r="G387">
        <v>7.22E-2</v>
      </c>
      <c r="H387">
        <v>180</v>
      </c>
      <c r="I387">
        <v>13</v>
      </c>
      <c r="J387">
        <v>0</v>
      </c>
      <c r="K387" t="s">
        <v>233</v>
      </c>
      <c r="L387" s="264">
        <v>46339</v>
      </c>
      <c r="M387">
        <v>0</v>
      </c>
      <c r="N387">
        <v>0</v>
      </c>
      <c r="O387">
        <v>13</v>
      </c>
      <c r="P387" t="s">
        <v>67</v>
      </c>
      <c r="Q387">
        <v>0</v>
      </c>
      <c r="R387">
        <v>0</v>
      </c>
      <c r="S387">
        <v>0</v>
      </c>
      <c r="T387">
        <v>0</v>
      </c>
      <c r="U387">
        <v>0</v>
      </c>
      <c r="V387">
        <v>0</v>
      </c>
      <c r="W387">
        <v>0</v>
      </c>
      <c r="X387">
        <v>0</v>
      </c>
      <c r="Y387">
        <v>0</v>
      </c>
      <c r="Z387">
        <v>0</v>
      </c>
      <c r="AA387">
        <v>0</v>
      </c>
      <c r="AB387">
        <v>0</v>
      </c>
      <c r="AC387">
        <v>3</v>
      </c>
      <c r="AD387">
        <v>0</v>
      </c>
      <c r="AE387">
        <v>0</v>
      </c>
      <c r="AF387">
        <v>10</v>
      </c>
      <c r="AG387">
        <v>0</v>
      </c>
      <c r="AH387">
        <v>0</v>
      </c>
      <c r="AI387">
        <v>0</v>
      </c>
      <c r="AJ387">
        <v>0</v>
      </c>
    </row>
    <row r="388" spans="1:36">
      <c r="A388" t="s">
        <v>230</v>
      </c>
      <c r="B388" s="264">
        <v>46044</v>
      </c>
      <c r="C388" t="s">
        <v>65</v>
      </c>
      <c r="D388" t="s">
        <v>231</v>
      </c>
      <c r="E388" t="s">
        <v>1</v>
      </c>
      <c r="F388" t="s">
        <v>232</v>
      </c>
      <c r="G388">
        <v>0.24440000000000001</v>
      </c>
      <c r="H388">
        <v>180</v>
      </c>
      <c r="I388">
        <v>44</v>
      </c>
      <c r="J388">
        <v>0</v>
      </c>
      <c r="K388" t="s">
        <v>233</v>
      </c>
      <c r="L388" s="264">
        <v>46332</v>
      </c>
      <c r="M388">
        <v>0</v>
      </c>
      <c r="N388">
        <v>0</v>
      </c>
      <c r="O388">
        <v>44</v>
      </c>
      <c r="P388" t="s">
        <v>174</v>
      </c>
      <c r="Q388">
        <v>0</v>
      </c>
      <c r="R388">
        <v>0</v>
      </c>
      <c r="S388">
        <v>0</v>
      </c>
      <c r="T388">
        <v>0</v>
      </c>
      <c r="U388">
        <v>0</v>
      </c>
      <c r="V388">
        <v>0</v>
      </c>
      <c r="W388">
        <v>0</v>
      </c>
      <c r="X388">
        <v>0</v>
      </c>
      <c r="Y388">
        <v>5</v>
      </c>
      <c r="Z388">
        <v>14</v>
      </c>
      <c r="AA388">
        <v>15</v>
      </c>
      <c r="AB388">
        <v>10</v>
      </c>
      <c r="AC388">
        <v>0</v>
      </c>
      <c r="AD388">
        <v>0</v>
      </c>
      <c r="AE388">
        <v>0</v>
      </c>
      <c r="AF388">
        <v>0</v>
      </c>
      <c r="AG388">
        <v>0</v>
      </c>
      <c r="AH388">
        <v>0</v>
      </c>
      <c r="AI388">
        <v>0</v>
      </c>
      <c r="AJ388">
        <v>0</v>
      </c>
    </row>
    <row r="389" spans="1:36">
      <c r="A389" t="s">
        <v>230</v>
      </c>
      <c r="B389" s="264">
        <v>46044</v>
      </c>
      <c r="C389" t="s">
        <v>818</v>
      </c>
      <c r="D389" t="s">
        <v>974</v>
      </c>
      <c r="E389" t="s">
        <v>808</v>
      </c>
      <c r="F389" t="s">
        <v>232</v>
      </c>
      <c r="G389">
        <v>0</v>
      </c>
      <c r="H389">
        <v>179</v>
      </c>
      <c r="I389">
        <v>0</v>
      </c>
      <c r="J389">
        <v>0</v>
      </c>
      <c r="K389" t="s">
        <v>233</v>
      </c>
      <c r="L389" t="s">
        <v>66</v>
      </c>
      <c r="M389">
        <v>0</v>
      </c>
      <c r="N389">
        <v>0</v>
      </c>
      <c r="O389">
        <v>0</v>
      </c>
      <c r="P389" t="s">
        <v>514</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row>
    <row r="390" spans="1:36">
      <c r="A390" t="s">
        <v>230</v>
      </c>
      <c r="B390" s="264">
        <v>46044</v>
      </c>
      <c r="C390" t="s">
        <v>1148</v>
      </c>
      <c r="D390" t="s">
        <v>1176</v>
      </c>
      <c r="E390" t="s">
        <v>1144</v>
      </c>
      <c r="F390" t="s">
        <v>232</v>
      </c>
      <c r="G390">
        <v>0</v>
      </c>
      <c r="H390">
        <v>179</v>
      </c>
      <c r="I390">
        <v>0</v>
      </c>
      <c r="J390">
        <v>0</v>
      </c>
      <c r="K390" t="s">
        <v>233</v>
      </c>
      <c r="L390" t="s">
        <v>66</v>
      </c>
      <c r="M390">
        <v>0</v>
      </c>
      <c r="N390">
        <v>0</v>
      </c>
      <c r="O390">
        <v>0</v>
      </c>
      <c r="P390" t="s">
        <v>1137</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row>
    <row r="391" spans="1:36">
      <c r="A391" t="s">
        <v>230</v>
      </c>
      <c r="B391" s="264">
        <v>46044</v>
      </c>
      <c r="C391" t="s">
        <v>1215</v>
      </c>
      <c r="D391" t="s">
        <v>563</v>
      </c>
      <c r="E391" t="s">
        <v>1213</v>
      </c>
      <c r="F391" t="s">
        <v>232</v>
      </c>
      <c r="G391">
        <v>0</v>
      </c>
      <c r="H391">
        <v>179</v>
      </c>
      <c r="I391">
        <v>0</v>
      </c>
      <c r="J391">
        <v>0</v>
      </c>
      <c r="K391" t="s">
        <v>233</v>
      </c>
      <c r="L391" t="s">
        <v>66</v>
      </c>
      <c r="M391">
        <v>0</v>
      </c>
      <c r="N391">
        <v>0</v>
      </c>
      <c r="O391">
        <v>0</v>
      </c>
      <c r="P391" t="s">
        <v>877</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row>
    <row r="392" spans="1:36">
      <c r="A392" t="s">
        <v>230</v>
      </c>
      <c r="B392" s="264">
        <v>46044</v>
      </c>
      <c r="C392" t="s">
        <v>613</v>
      </c>
      <c r="D392" t="s">
        <v>687</v>
      </c>
      <c r="E392" t="s">
        <v>601</v>
      </c>
      <c r="F392" t="s">
        <v>232</v>
      </c>
      <c r="G392">
        <v>1.11E-2</v>
      </c>
      <c r="H392">
        <v>180</v>
      </c>
      <c r="I392">
        <v>2</v>
      </c>
      <c r="J392">
        <v>0</v>
      </c>
      <c r="K392" t="s">
        <v>233</v>
      </c>
      <c r="L392" s="264">
        <v>46344</v>
      </c>
      <c r="M392">
        <v>0</v>
      </c>
      <c r="N392">
        <v>0</v>
      </c>
      <c r="O392">
        <v>2</v>
      </c>
      <c r="P392" t="s">
        <v>301</v>
      </c>
      <c r="Q392">
        <v>0</v>
      </c>
      <c r="R392">
        <v>0</v>
      </c>
      <c r="S392">
        <v>0</v>
      </c>
      <c r="T392">
        <v>0</v>
      </c>
      <c r="U392">
        <v>0</v>
      </c>
      <c r="V392">
        <v>0</v>
      </c>
      <c r="W392">
        <v>0</v>
      </c>
      <c r="X392">
        <v>0</v>
      </c>
      <c r="Y392">
        <v>0</v>
      </c>
      <c r="Z392">
        <v>0</v>
      </c>
      <c r="AA392">
        <v>0</v>
      </c>
      <c r="AB392">
        <v>0</v>
      </c>
      <c r="AC392">
        <v>2</v>
      </c>
      <c r="AD392">
        <v>0</v>
      </c>
      <c r="AE392">
        <v>0</v>
      </c>
      <c r="AF392">
        <v>0</v>
      </c>
      <c r="AG392">
        <v>0</v>
      </c>
      <c r="AH392">
        <v>0</v>
      </c>
      <c r="AI392">
        <v>0</v>
      </c>
      <c r="AJ392">
        <v>0</v>
      </c>
    </row>
    <row r="393" spans="1:36">
      <c r="A393" t="s">
        <v>230</v>
      </c>
      <c r="B393" s="264">
        <v>46044</v>
      </c>
      <c r="C393" t="s">
        <v>263</v>
      </c>
      <c r="D393" t="s">
        <v>313</v>
      </c>
      <c r="E393" t="s">
        <v>261</v>
      </c>
      <c r="F393" t="s">
        <v>232</v>
      </c>
      <c r="G393">
        <v>0.05</v>
      </c>
      <c r="H393">
        <v>180</v>
      </c>
      <c r="I393">
        <v>9</v>
      </c>
      <c r="J393">
        <v>0</v>
      </c>
      <c r="K393" t="s">
        <v>233</v>
      </c>
      <c r="L393" s="264">
        <v>46332</v>
      </c>
      <c r="M393">
        <v>0</v>
      </c>
      <c r="N393">
        <v>0</v>
      </c>
      <c r="O393">
        <v>9</v>
      </c>
      <c r="P393" t="s">
        <v>300</v>
      </c>
      <c r="Q393">
        <v>0</v>
      </c>
      <c r="R393">
        <v>0</v>
      </c>
      <c r="S393">
        <v>0</v>
      </c>
      <c r="T393">
        <v>0</v>
      </c>
      <c r="U393">
        <v>0</v>
      </c>
      <c r="V393">
        <v>0</v>
      </c>
      <c r="W393">
        <v>0</v>
      </c>
      <c r="X393">
        <v>0</v>
      </c>
      <c r="Y393">
        <v>0</v>
      </c>
      <c r="Z393">
        <v>0</v>
      </c>
      <c r="AA393">
        <v>0</v>
      </c>
      <c r="AB393">
        <v>0</v>
      </c>
      <c r="AC393">
        <v>9</v>
      </c>
      <c r="AD393">
        <v>0</v>
      </c>
      <c r="AE393">
        <v>0</v>
      </c>
      <c r="AF393">
        <v>0</v>
      </c>
      <c r="AG393">
        <v>0</v>
      </c>
      <c r="AH393">
        <v>0</v>
      </c>
      <c r="AI393">
        <v>0</v>
      </c>
      <c r="AJ393">
        <v>0</v>
      </c>
    </row>
    <row r="394" spans="1:36">
      <c r="A394" t="s">
        <v>560</v>
      </c>
      <c r="B394" s="264">
        <v>46045</v>
      </c>
      <c r="C394" t="s">
        <v>1279</v>
      </c>
      <c r="D394" t="s">
        <v>1283</v>
      </c>
      <c r="E394" t="s">
        <v>1276</v>
      </c>
      <c r="F394" t="s">
        <v>232</v>
      </c>
      <c r="G394">
        <v>6.1499999999999999E-2</v>
      </c>
      <c r="H394">
        <v>179</v>
      </c>
      <c r="I394">
        <v>11</v>
      </c>
      <c r="J394">
        <v>0</v>
      </c>
      <c r="K394" t="s">
        <v>233</v>
      </c>
      <c r="L394" s="264">
        <v>46338</v>
      </c>
      <c r="M394">
        <v>0</v>
      </c>
      <c r="N394">
        <v>0</v>
      </c>
      <c r="O394">
        <v>11</v>
      </c>
      <c r="P394" t="s">
        <v>1029</v>
      </c>
      <c r="Q394">
        <v>0</v>
      </c>
      <c r="R394">
        <v>0</v>
      </c>
      <c r="S394">
        <v>0</v>
      </c>
      <c r="T394">
        <v>0</v>
      </c>
      <c r="U394">
        <v>0</v>
      </c>
      <c r="V394">
        <v>0</v>
      </c>
      <c r="W394">
        <v>0</v>
      </c>
      <c r="X394">
        <v>0</v>
      </c>
      <c r="Y394">
        <v>0</v>
      </c>
      <c r="Z394">
        <v>3</v>
      </c>
      <c r="AA394">
        <v>6</v>
      </c>
      <c r="AB394">
        <v>0</v>
      </c>
      <c r="AC394">
        <v>2</v>
      </c>
      <c r="AD394">
        <v>0</v>
      </c>
      <c r="AE394">
        <v>0</v>
      </c>
      <c r="AF394">
        <v>0</v>
      </c>
      <c r="AG394">
        <v>0</v>
      </c>
      <c r="AH394">
        <v>0</v>
      </c>
      <c r="AI394">
        <v>0</v>
      </c>
      <c r="AJ394">
        <v>0</v>
      </c>
    </row>
    <row r="395" spans="1:36">
      <c r="A395" t="s">
        <v>560</v>
      </c>
      <c r="B395" s="264">
        <v>46045</v>
      </c>
      <c r="C395" t="s">
        <v>1208</v>
      </c>
      <c r="D395" t="s">
        <v>313</v>
      </c>
      <c r="E395" t="s">
        <v>1205</v>
      </c>
      <c r="F395" t="s">
        <v>232</v>
      </c>
      <c r="G395">
        <v>2.7900000000000001E-2</v>
      </c>
      <c r="H395">
        <v>179</v>
      </c>
      <c r="I395">
        <v>5</v>
      </c>
      <c r="J395">
        <v>0</v>
      </c>
      <c r="K395" t="s">
        <v>233</v>
      </c>
      <c r="L395" s="264">
        <v>46345</v>
      </c>
      <c r="M395">
        <v>0</v>
      </c>
      <c r="N395">
        <v>0</v>
      </c>
      <c r="O395">
        <v>5</v>
      </c>
      <c r="P395" t="s">
        <v>310</v>
      </c>
      <c r="Q395">
        <v>0</v>
      </c>
      <c r="R395">
        <v>0</v>
      </c>
      <c r="S395">
        <v>0</v>
      </c>
      <c r="T395">
        <v>0</v>
      </c>
      <c r="U395">
        <v>0</v>
      </c>
      <c r="V395">
        <v>0</v>
      </c>
      <c r="W395">
        <v>0</v>
      </c>
      <c r="X395">
        <v>0</v>
      </c>
      <c r="Y395">
        <v>0</v>
      </c>
      <c r="Z395">
        <v>0</v>
      </c>
      <c r="AA395">
        <v>5</v>
      </c>
      <c r="AB395">
        <v>0</v>
      </c>
      <c r="AC395">
        <v>0</v>
      </c>
      <c r="AD395">
        <v>0</v>
      </c>
      <c r="AE395">
        <v>0</v>
      </c>
      <c r="AF395">
        <v>0</v>
      </c>
      <c r="AG395">
        <v>0</v>
      </c>
      <c r="AH395">
        <v>0</v>
      </c>
      <c r="AI395">
        <v>0</v>
      </c>
      <c r="AJ395">
        <v>0</v>
      </c>
    </row>
    <row r="396" spans="1:36">
      <c r="A396" t="s">
        <v>560</v>
      </c>
      <c r="B396" s="264">
        <v>46045</v>
      </c>
      <c r="C396" t="s">
        <v>1125</v>
      </c>
      <c r="D396" t="s">
        <v>1140</v>
      </c>
      <c r="E396" t="s">
        <v>1123</v>
      </c>
      <c r="F396" t="s">
        <v>232</v>
      </c>
      <c r="G396">
        <v>5.5999999999999999E-3</v>
      </c>
      <c r="H396">
        <v>180</v>
      </c>
      <c r="I396">
        <v>1</v>
      </c>
      <c r="J396">
        <v>0</v>
      </c>
      <c r="K396" t="s">
        <v>233</v>
      </c>
      <c r="L396" s="264">
        <v>46322</v>
      </c>
      <c r="M396">
        <v>0</v>
      </c>
      <c r="N396">
        <v>0</v>
      </c>
      <c r="O396">
        <v>1</v>
      </c>
      <c r="P396" t="s">
        <v>1137</v>
      </c>
      <c r="Q396">
        <v>0</v>
      </c>
      <c r="R396">
        <v>0</v>
      </c>
      <c r="S396">
        <v>0</v>
      </c>
      <c r="T396">
        <v>0</v>
      </c>
      <c r="U396">
        <v>0</v>
      </c>
      <c r="V396">
        <v>0</v>
      </c>
      <c r="W396">
        <v>0</v>
      </c>
      <c r="X396">
        <v>0</v>
      </c>
      <c r="Y396">
        <v>0</v>
      </c>
      <c r="Z396">
        <v>0</v>
      </c>
      <c r="AA396">
        <v>1</v>
      </c>
      <c r="AB396">
        <v>0</v>
      </c>
      <c r="AC396">
        <v>0</v>
      </c>
      <c r="AD396">
        <v>0</v>
      </c>
      <c r="AE396">
        <v>0</v>
      </c>
      <c r="AF396">
        <v>0</v>
      </c>
      <c r="AG396">
        <v>0</v>
      </c>
      <c r="AH396">
        <v>0</v>
      </c>
      <c r="AI396">
        <v>0</v>
      </c>
      <c r="AJ396">
        <v>0</v>
      </c>
    </row>
    <row r="397" spans="1:36">
      <c r="A397" t="s">
        <v>560</v>
      </c>
      <c r="B397" s="264">
        <v>46045</v>
      </c>
      <c r="C397" t="s">
        <v>716</v>
      </c>
      <c r="D397" t="s">
        <v>744</v>
      </c>
      <c r="E397" t="s">
        <v>706</v>
      </c>
      <c r="F397" t="s">
        <v>232</v>
      </c>
      <c r="G397">
        <v>0.05</v>
      </c>
      <c r="H397">
        <v>180</v>
      </c>
      <c r="I397">
        <v>9</v>
      </c>
      <c r="J397">
        <v>0</v>
      </c>
      <c r="K397" t="s">
        <v>233</v>
      </c>
      <c r="L397" s="264">
        <v>46332</v>
      </c>
      <c r="M397">
        <v>0</v>
      </c>
      <c r="N397">
        <v>0</v>
      </c>
      <c r="O397">
        <v>9</v>
      </c>
      <c r="P397" t="s">
        <v>516</v>
      </c>
      <c r="Q397">
        <v>0</v>
      </c>
      <c r="R397">
        <v>0</v>
      </c>
      <c r="S397">
        <v>0</v>
      </c>
      <c r="T397">
        <v>0</v>
      </c>
      <c r="U397">
        <v>0</v>
      </c>
      <c r="V397">
        <v>0</v>
      </c>
      <c r="W397">
        <v>0</v>
      </c>
      <c r="X397">
        <v>0</v>
      </c>
      <c r="Y397">
        <v>0</v>
      </c>
      <c r="Z397">
        <v>0</v>
      </c>
      <c r="AA397">
        <v>1</v>
      </c>
      <c r="AB397">
        <v>4</v>
      </c>
      <c r="AC397">
        <v>4</v>
      </c>
      <c r="AD397">
        <v>0</v>
      </c>
      <c r="AE397">
        <v>0</v>
      </c>
      <c r="AF397">
        <v>0</v>
      </c>
      <c r="AG397">
        <v>0</v>
      </c>
      <c r="AH397">
        <v>0</v>
      </c>
      <c r="AI397">
        <v>0</v>
      </c>
      <c r="AJ397">
        <v>0</v>
      </c>
    </row>
    <row r="398" spans="1:36">
      <c r="A398" t="s">
        <v>560</v>
      </c>
      <c r="B398" s="264">
        <v>46045</v>
      </c>
      <c r="C398" t="s">
        <v>1181</v>
      </c>
      <c r="D398" t="s">
        <v>1188</v>
      </c>
      <c r="E398" t="s">
        <v>1178</v>
      </c>
      <c r="F398" t="s">
        <v>232</v>
      </c>
      <c r="G398">
        <v>0</v>
      </c>
      <c r="H398">
        <v>179</v>
      </c>
      <c r="I398">
        <v>0</v>
      </c>
      <c r="J398">
        <v>0</v>
      </c>
      <c r="K398" t="s">
        <v>233</v>
      </c>
      <c r="L398" t="s">
        <v>66</v>
      </c>
      <c r="M398">
        <v>0</v>
      </c>
      <c r="N398">
        <v>0</v>
      </c>
      <c r="O398">
        <v>0</v>
      </c>
      <c r="P398" t="s">
        <v>1137</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row>
    <row r="399" spans="1:36">
      <c r="A399" t="s">
        <v>560</v>
      </c>
      <c r="B399" s="264">
        <v>46045</v>
      </c>
      <c r="C399" t="s">
        <v>1045</v>
      </c>
      <c r="D399" t="s">
        <v>231</v>
      </c>
      <c r="E399" t="s">
        <v>1040</v>
      </c>
      <c r="F399" t="s">
        <v>232</v>
      </c>
      <c r="G399">
        <v>0.1222</v>
      </c>
      <c r="H399">
        <v>180</v>
      </c>
      <c r="I399">
        <v>22</v>
      </c>
      <c r="J399">
        <v>0</v>
      </c>
      <c r="K399" t="s">
        <v>233</v>
      </c>
      <c r="L399" s="264">
        <v>46337</v>
      </c>
      <c r="M399">
        <v>0</v>
      </c>
      <c r="N399">
        <v>0</v>
      </c>
      <c r="O399">
        <v>22</v>
      </c>
      <c r="P399" t="s">
        <v>1034</v>
      </c>
      <c r="Q399">
        <v>0</v>
      </c>
      <c r="R399">
        <v>0</v>
      </c>
      <c r="S399">
        <v>0</v>
      </c>
      <c r="T399">
        <v>0</v>
      </c>
      <c r="U399">
        <v>0</v>
      </c>
      <c r="V399">
        <v>0</v>
      </c>
      <c r="W399">
        <v>0</v>
      </c>
      <c r="X399">
        <v>5</v>
      </c>
      <c r="Y399">
        <v>7</v>
      </c>
      <c r="Z399">
        <v>10</v>
      </c>
      <c r="AA399">
        <v>0</v>
      </c>
      <c r="AB399">
        <v>0</v>
      </c>
      <c r="AC399">
        <v>0</v>
      </c>
      <c r="AD399">
        <v>0</v>
      </c>
      <c r="AE399">
        <v>0</v>
      </c>
      <c r="AF399">
        <v>0</v>
      </c>
      <c r="AG399">
        <v>0</v>
      </c>
      <c r="AH399">
        <v>0</v>
      </c>
      <c r="AI399">
        <v>0</v>
      </c>
      <c r="AJ399">
        <v>0</v>
      </c>
    </row>
    <row r="400" spans="1:36">
      <c r="A400" t="s">
        <v>560</v>
      </c>
      <c r="B400" s="264">
        <v>46045</v>
      </c>
      <c r="C400" t="s">
        <v>1289</v>
      </c>
      <c r="D400" t="s">
        <v>574</v>
      </c>
      <c r="E400" t="s">
        <v>1286</v>
      </c>
      <c r="F400" t="s">
        <v>232</v>
      </c>
      <c r="G400">
        <v>6.1499999999999999E-2</v>
      </c>
      <c r="H400">
        <v>179</v>
      </c>
      <c r="I400">
        <v>11</v>
      </c>
      <c r="J400">
        <v>0</v>
      </c>
      <c r="K400" t="s">
        <v>233</v>
      </c>
      <c r="L400" s="264">
        <v>46326</v>
      </c>
      <c r="M400">
        <v>0</v>
      </c>
      <c r="N400">
        <v>0</v>
      </c>
      <c r="O400">
        <v>11</v>
      </c>
      <c r="P400" t="s">
        <v>583</v>
      </c>
      <c r="Q400">
        <v>0</v>
      </c>
      <c r="R400">
        <v>0</v>
      </c>
      <c r="S400">
        <v>0</v>
      </c>
      <c r="T400">
        <v>0</v>
      </c>
      <c r="U400">
        <v>0</v>
      </c>
      <c r="V400">
        <v>0</v>
      </c>
      <c r="W400">
        <v>0</v>
      </c>
      <c r="X400">
        <v>0</v>
      </c>
      <c r="Y400">
        <v>0</v>
      </c>
      <c r="Z400">
        <v>0</v>
      </c>
      <c r="AA400">
        <v>11</v>
      </c>
      <c r="AB400">
        <v>0</v>
      </c>
      <c r="AC400">
        <v>0</v>
      </c>
      <c r="AD400">
        <v>0</v>
      </c>
      <c r="AE400">
        <v>0</v>
      </c>
      <c r="AF400">
        <v>0</v>
      </c>
      <c r="AG400">
        <v>0</v>
      </c>
      <c r="AH400">
        <v>0</v>
      </c>
      <c r="AI400">
        <v>0</v>
      </c>
      <c r="AJ400">
        <v>0</v>
      </c>
    </row>
    <row r="401" spans="1:36">
      <c r="A401" t="s">
        <v>560</v>
      </c>
      <c r="B401" s="264">
        <v>46045</v>
      </c>
      <c r="C401" t="s">
        <v>433</v>
      </c>
      <c r="D401" t="s">
        <v>565</v>
      </c>
      <c r="E401" t="s">
        <v>341</v>
      </c>
      <c r="F401" t="s">
        <v>232</v>
      </c>
      <c r="G401">
        <v>8.3299999999999999E-2</v>
      </c>
      <c r="H401">
        <v>180</v>
      </c>
      <c r="I401">
        <v>15</v>
      </c>
      <c r="J401">
        <v>0</v>
      </c>
      <c r="K401" t="s">
        <v>233</v>
      </c>
      <c r="L401" s="264">
        <v>46337</v>
      </c>
      <c r="M401">
        <v>0</v>
      </c>
      <c r="N401">
        <v>0</v>
      </c>
      <c r="O401">
        <v>15</v>
      </c>
      <c r="P401" t="s">
        <v>67</v>
      </c>
      <c r="Q401">
        <v>0</v>
      </c>
      <c r="R401">
        <v>0</v>
      </c>
      <c r="S401">
        <v>0</v>
      </c>
      <c r="T401">
        <v>0</v>
      </c>
      <c r="U401">
        <v>0</v>
      </c>
      <c r="V401">
        <v>0</v>
      </c>
      <c r="W401">
        <v>0</v>
      </c>
      <c r="X401">
        <v>0</v>
      </c>
      <c r="Y401">
        <v>0</v>
      </c>
      <c r="Z401">
        <v>0</v>
      </c>
      <c r="AA401">
        <v>0</v>
      </c>
      <c r="AB401">
        <v>2</v>
      </c>
      <c r="AC401">
        <v>3</v>
      </c>
      <c r="AD401">
        <v>0</v>
      </c>
      <c r="AE401">
        <v>0</v>
      </c>
      <c r="AF401">
        <v>10</v>
      </c>
      <c r="AG401">
        <v>0</v>
      </c>
      <c r="AH401">
        <v>0</v>
      </c>
      <c r="AI401">
        <v>0</v>
      </c>
      <c r="AJ401">
        <v>0</v>
      </c>
    </row>
    <row r="402" spans="1:36">
      <c r="A402" t="s">
        <v>560</v>
      </c>
      <c r="B402" s="264">
        <v>46045</v>
      </c>
      <c r="C402" t="s">
        <v>429</v>
      </c>
      <c r="D402" t="s">
        <v>564</v>
      </c>
      <c r="E402" t="s">
        <v>341</v>
      </c>
      <c r="F402" t="s">
        <v>232</v>
      </c>
      <c r="G402">
        <v>7.22E-2</v>
      </c>
      <c r="H402">
        <v>180</v>
      </c>
      <c r="I402">
        <v>13</v>
      </c>
      <c r="J402">
        <v>0</v>
      </c>
      <c r="K402" t="s">
        <v>233</v>
      </c>
      <c r="L402" s="264">
        <v>46340</v>
      </c>
      <c r="M402">
        <v>0</v>
      </c>
      <c r="N402">
        <v>0</v>
      </c>
      <c r="O402">
        <v>13</v>
      </c>
      <c r="P402" t="s">
        <v>67</v>
      </c>
      <c r="Q402">
        <v>0</v>
      </c>
      <c r="R402">
        <v>0</v>
      </c>
      <c r="S402">
        <v>0</v>
      </c>
      <c r="T402">
        <v>0</v>
      </c>
      <c r="U402">
        <v>0</v>
      </c>
      <c r="V402">
        <v>0</v>
      </c>
      <c r="W402">
        <v>0</v>
      </c>
      <c r="X402">
        <v>0</v>
      </c>
      <c r="Y402">
        <v>0</v>
      </c>
      <c r="Z402">
        <v>0</v>
      </c>
      <c r="AA402">
        <v>0</v>
      </c>
      <c r="AB402">
        <v>0</v>
      </c>
      <c r="AC402">
        <v>3</v>
      </c>
      <c r="AD402">
        <v>0</v>
      </c>
      <c r="AE402">
        <v>0</v>
      </c>
      <c r="AF402">
        <v>10</v>
      </c>
      <c r="AG402">
        <v>0</v>
      </c>
      <c r="AH402">
        <v>0</v>
      </c>
      <c r="AI402">
        <v>0</v>
      </c>
      <c r="AJ402">
        <v>0</v>
      </c>
    </row>
    <row r="403" spans="1:36">
      <c r="A403" t="s">
        <v>560</v>
      </c>
      <c r="B403" s="264">
        <v>46045</v>
      </c>
      <c r="C403" t="s">
        <v>376</v>
      </c>
      <c r="D403" t="s">
        <v>561</v>
      </c>
      <c r="E403" t="s">
        <v>341</v>
      </c>
      <c r="F403" t="s">
        <v>232</v>
      </c>
      <c r="G403">
        <v>7.7799999999999994E-2</v>
      </c>
      <c r="H403">
        <v>180</v>
      </c>
      <c r="I403">
        <v>14</v>
      </c>
      <c r="J403">
        <v>0</v>
      </c>
      <c r="K403" t="s">
        <v>233</v>
      </c>
      <c r="L403" s="264">
        <v>46342</v>
      </c>
      <c r="M403">
        <v>0</v>
      </c>
      <c r="N403">
        <v>0</v>
      </c>
      <c r="O403">
        <v>14</v>
      </c>
      <c r="P403" t="s">
        <v>67</v>
      </c>
      <c r="Q403">
        <v>0</v>
      </c>
      <c r="R403">
        <v>0</v>
      </c>
      <c r="S403">
        <v>0</v>
      </c>
      <c r="T403">
        <v>0</v>
      </c>
      <c r="U403">
        <v>0</v>
      </c>
      <c r="V403">
        <v>0</v>
      </c>
      <c r="W403">
        <v>0</v>
      </c>
      <c r="X403">
        <v>0</v>
      </c>
      <c r="Y403">
        <v>0</v>
      </c>
      <c r="Z403">
        <v>0</v>
      </c>
      <c r="AA403">
        <v>0</v>
      </c>
      <c r="AB403">
        <v>1</v>
      </c>
      <c r="AC403">
        <v>4</v>
      </c>
      <c r="AD403">
        <v>0</v>
      </c>
      <c r="AE403">
        <v>0</v>
      </c>
      <c r="AF403">
        <v>9</v>
      </c>
      <c r="AG403">
        <v>0</v>
      </c>
      <c r="AH403">
        <v>0</v>
      </c>
      <c r="AI403">
        <v>0</v>
      </c>
      <c r="AJ403">
        <v>0</v>
      </c>
    </row>
    <row r="404" spans="1:36">
      <c r="A404" t="s">
        <v>560</v>
      </c>
      <c r="B404" s="264">
        <v>46045</v>
      </c>
      <c r="C404" t="s">
        <v>378</v>
      </c>
      <c r="D404" t="s">
        <v>562</v>
      </c>
      <c r="E404" t="s">
        <v>341</v>
      </c>
      <c r="F404" t="s">
        <v>232</v>
      </c>
      <c r="G404">
        <v>7.7799999999999994E-2</v>
      </c>
      <c r="H404">
        <v>180</v>
      </c>
      <c r="I404">
        <v>14</v>
      </c>
      <c r="J404">
        <v>0</v>
      </c>
      <c r="K404" t="s">
        <v>233</v>
      </c>
      <c r="L404" s="264">
        <v>46342</v>
      </c>
      <c r="M404">
        <v>0</v>
      </c>
      <c r="N404">
        <v>0</v>
      </c>
      <c r="O404">
        <v>14</v>
      </c>
      <c r="P404" t="s">
        <v>306</v>
      </c>
      <c r="Q404">
        <v>0</v>
      </c>
      <c r="R404">
        <v>0</v>
      </c>
      <c r="S404">
        <v>0</v>
      </c>
      <c r="T404">
        <v>0</v>
      </c>
      <c r="U404">
        <v>0</v>
      </c>
      <c r="V404">
        <v>0</v>
      </c>
      <c r="W404">
        <v>0</v>
      </c>
      <c r="X404">
        <v>0</v>
      </c>
      <c r="Y404">
        <v>0</v>
      </c>
      <c r="Z404">
        <v>0</v>
      </c>
      <c r="AA404">
        <v>0</v>
      </c>
      <c r="AB404">
        <v>6</v>
      </c>
      <c r="AC404">
        <v>2</v>
      </c>
      <c r="AD404">
        <v>1</v>
      </c>
      <c r="AE404">
        <v>0</v>
      </c>
      <c r="AF404">
        <v>5</v>
      </c>
      <c r="AG404">
        <v>0</v>
      </c>
      <c r="AH404">
        <v>0</v>
      </c>
      <c r="AI404">
        <v>0</v>
      </c>
      <c r="AJ404">
        <v>0</v>
      </c>
    </row>
    <row r="405" spans="1:36">
      <c r="A405" t="s">
        <v>560</v>
      </c>
      <c r="B405" s="264">
        <v>46045</v>
      </c>
      <c r="C405" t="s">
        <v>380</v>
      </c>
      <c r="D405" t="s">
        <v>563</v>
      </c>
      <c r="E405" t="s">
        <v>341</v>
      </c>
      <c r="F405" t="s">
        <v>232</v>
      </c>
      <c r="G405">
        <v>6.6699999999999995E-2</v>
      </c>
      <c r="H405">
        <v>180</v>
      </c>
      <c r="I405">
        <v>12</v>
      </c>
      <c r="J405">
        <v>0</v>
      </c>
      <c r="K405" t="s">
        <v>233</v>
      </c>
      <c r="L405" s="264">
        <v>46340</v>
      </c>
      <c r="M405">
        <v>0</v>
      </c>
      <c r="N405">
        <v>0</v>
      </c>
      <c r="O405">
        <v>12</v>
      </c>
      <c r="P405" t="s">
        <v>302</v>
      </c>
      <c r="Q405">
        <v>0</v>
      </c>
      <c r="R405">
        <v>0</v>
      </c>
      <c r="S405">
        <v>0</v>
      </c>
      <c r="T405">
        <v>0</v>
      </c>
      <c r="U405">
        <v>0</v>
      </c>
      <c r="V405">
        <v>0</v>
      </c>
      <c r="W405">
        <v>0</v>
      </c>
      <c r="X405">
        <v>0</v>
      </c>
      <c r="Y405">
        <v>0</v>
      </c>
      <c r="Z405">
        <v>0</v>
      </c>
      <c r="AA405">
        <v>0</v>
      </c>
      <c r="AB405">
        <v>0</v>
      </c>
      <c r="AC405">
        <v>2</v>
      </c>
      <c r="AD405">
        <v>0</v>
      </c>
      <c r="AE405">
        <v>0</v>
      </c>
      <c r="AF405">
        <v>10</v>
      </c>
      <c r="AG405">
        <v>0</v>
      </c>
      <c r="AH405">
        <v>0</v>
      </c>
      <c r="AI405">
        <v>0</v>
      </c>
      <c r="AJ405">
        <v>0</v>
      </c>
    </row>
    <row r="406" spans="1:36">
      <c r="A406" t="s">
        <v>560</v>
      </c>
      <c r="B406" s="264">
        <v>46045</v>
      </c>
      <c r="C406" t="s">
        <v>818</v>
      </c>
      <c r="D406" t="s">
        <v>555</v>
      </c>
      <c r="E406" t="s">
        <v>808</v>
      </c>
      <c r="F406" t="s">
        <v>232</v>
      </c>
      <c r="G406">
        <v>0</v>
      </c>
      <c r="H406">
        <v>179</v>
      </c>
      <c r="I406">
        <v>0</v>
      </c>
      <c r="J406">
        <v>0</v>
      </c>
      <c r="K406" t="s">
        <v>233</v>
      </c>
      <c r="L406" t="s">
        <v>66</v>
      </c>
      <c r="M406">
        <v>0</v>
      </c>
      <c r="N406">
        <v>0</v>
      </c>
      <c r="O406">
        <v>0</v>
      </c>
      <c r="P406" t="s">
        <v>956</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row>
    <row r="407" spans="1:36">
      <c r="A407" t="s">
        <v>560</v>
      </c>
      <c r="B407" s="264">
        <v>46045</v>
      </c>
      <c r="C407" t="s">
        <v>854</v>
      </c>
      <c r="D407" t="s">
        <v>975</v>
      </c>
      <c r="E407" t="s">
        <v>808</v>
      </c>
      <c r="F407" t="s">
        <v>232</v>
      </c>
      <c r="G407">
        <v>5.5999999999999999E-3</v>
      </c>
      <c r="H407">
        <v>179</v>
      </c>
      <c r="I407">
        <v>1</v>
      </c>
      <c r="J407">
        <v>0</v>
      </c>
      <c r="K407" t="s">
        <v>233</v>
      </c>
      <c r="L407" s="264">
        <v>46288</v>
      </c>
      <c r="M407">
        <v>0</v>
      </c>
      <c r="N407">
        <v>0</v>
      </c>
      <c r="O407">
        <v>1</v>
      </c>
      <c r="P407" t="s">
        <v>587</v>
      </c>
      <c r="Q407">
        <v>0</v>
      </c>
      <c r="R407">
        <v>0</v>
      </c>
      <c r="S407">
        <v>0</v>
      </c>
      <c r="T407">
        <v>0</v>
      </c>
      <c r="U407">
        <v>0</v>
      </c>
      <c r="V407">
        <v>0</v>
      </c>
      <c r="W407">
        <v>0</v>
      </c>
      <c r="X407">
        <v>0</v>
      </c>
      <c r="Y407">
        <v>0</v>
      </c>
      <c r="Z407">
        <v>0</v>
      </c>
      <c r="AA407">
        <v>1</v>
      </c>
      <c r="AB407">
        <v>0</v>
      </c>
      <c r="AC407">
        <v>0</v>
      </c>
      <c r="AD407">
        <v>0</v>
      </c>
      <c r="AE407">
        <v>0</v>
      </c>
      <c r="AF407">
        <v>0</v>
      </c>
      <c r="AG407">
        <v>0</v>
      </c>
      <c r="AH407">
        <v>0</v>
      </c>
      <c r="AI407">
        <v>0</v>
      </c>
      <c r="AJ407">
        <v>0</v>
      </c>
    </row>
    <row r="408" spans="1:36">
      <c r="A408" t="s">
        <v>560</v>
      </c>
      <c r="B408" s="264">
        <v>46045</v>
      </c>
      <c r="C408" t="s">
        <v>1215</v>
      </c>
      <c r="D408" t="s">
        <v>751</v>
      </c>
      <c r="E408" t="s">
        <v>1213</v>
      </c>
      <c r="F408" t="s">
        <v>232</v>
      </c>
      <c r="G408">
        <v>2.23E-2</v>
      </c>
      <c r="H408">
        <v>179</v>
      </c>
      <c r="I408">
        <v>4</v>
      </c>
      <c r="J408">
        <v>0</v>
      </c>
      <c r="K408" t="s">
        <v>233</v>
      </c>
      <c r="L408" s="264">
        <v>46343</v>
      </c>
      <c r="M408">
        <v>0</v>
      </c>
      <c r="N408">
        <v>0</v>
      </c>
      <c r="O408">
        <v>4</v>
      </c>
      <c r="P408" t="s">
        <v>549</v>
      </c>
      <c r="Q408">
        <v>0</v>
      </c>
      <c r="R408">
        <v>0</v>
      </c>
      <c r="S408">
        <v>0</v>
      </c>
      <c r="T408">
        <v>0</v>
      </c>
      <c r="U408">
        <v>0</v>
      </c>
      <c r="V408">
        <v>0</v>
      </c>
      <c r="W408">
        <v>0</v>
      </c>
      <c r="X408">
        <v>0</v>
      </c>
      <c r="Y408">
        <v>0</v>
      </c>
      <c r="Z408">
        <v>0</v>
      </c>
      <c r="AA408">
        <v>0</v>
      </c>
      <c r="AB408">
        <v>2</v>
      </c>
      <c r="AC408">
        <v>2</v>
      </c>
      <c r="AD408">
        <v>0</v>
      </c>
      <c r="AE408">
        <v>0</v>
      </c>
      <c r="AF408">
        <v>0</v>
      </c>
      <c r="AG408">
        <v>0</v>
      </c>
      <c r="AH408">
        <v>0</v>
      </c>
      <c r="AI408">
        <v>0</v>
      </c>
      <c r="AJ408">
        <v>0</v>
      </c>
    </row>
    <row r="409" spans="1:36">
      <c r="A409" t="s">
        <v>560</v>
      </c>
      <c r="B409" s="264">
        <v>46045</v>
      </c>
      <c r="C409" t="s">
        <v>613</v>
      </c>
      <c r="D409" t="s">
        <v>257</v>
      </c>
      <c r="E409" t="s">
        <v>601</v>
      </c>
      <c r="F409" t="s">
        <v>232</v>
      </c>
      <c r="G409">
        <v>3.8899999999999997E-2</v>
      </c>
      <c r="H409">
        <v>180</v>
      </c>
      <c r="I409">
        <v>7</v>
      </c>
      <c r="J409">
        <v>0</v>
      </c>
      <c r="K409" t="s">
        <v>233</v>
      </c>
      <c r="L409" s="264">
        <v>46333</v>
      </c>
      <c r="M409">
        <v>0</v>
      </c>
      <c r="N409">
        <v>0</v>
      </c>
      <c r="O409">
        <v>7</v>
      </c>
      <c r="P409" t="s">
        <v>310</v>
      </c>
      <c r="Q409">
        <v>0</v>
      </c>
      <c r="R409">
        <v>0</v>
      </c>
      <c r="S409">
        <v>0</v>
      </c>
      <c r="T409">
        <v>0</v>
      </c>
      <c r="U409">
        <v>0</v>
      </c>
      <c r="V409">
        <v>0</v>
      </c>
      <c r="W409">
        <v>0</v>
      </c>
      <c r="X409">
        <v>0</v>
      </c>
      <c r="Y409">
        <v>0</v>
      </c>
      <c r="Z409">
        <v>0</v>
      </c>
      <c r="AA409">
        <v>7</v>
      </c>
      <c r="AB409">
        <v>0</v>
      </c>
      <c r="AC409">
        <v>0</v>
      </c>
      <c r="AD409">
        <v>0</v>
      </c>
      <c r="AE409">
        <v>0</v>
      </c>
      <c r="AF409">
        <v>0</v>
      </c>
      <c r="AG409">
        <v>0</v>
      </c>
      <c r="AH409">
        <v>0</v>
      </c>
      <c r="AI409">
        <v>0</v>
      </c>
      <c r="AJ409">
        <v>0</v>
      </c>
    </row>
    <row r="410" spans="1:36">
      <c r="A410" t="s">
        <v>234</v>
      </c>
      <c r="B410" s="264">
        <v>46046</v>
      </c>
      <c r="C410" t="s">
        <v>1321</v>
      </c>
      <c r="D410" t="s">
        <v>748</v>
      </c>
      <c r="E410" t="s">
        <v>1318</v>
      </c>
      <c r="F410" t="s">
        <v>232</v>
      </c>
      <c r="G410">
        <v>1.6799999999999999E-2</v>
      </c>
      <c r="H410">
        <v>179</v>
      </c>
      <c r="I410">
        <v>3</v>
      </c>
      <c r="J410">
        <v>0</v>
      </c>
      <c r="K410" t="s">
        <v>233</v>
      </c>
      <c r="L410" s="264">
        <v>46320</v>
      </c>
      <c r="M410">
        <v>0</v>
      </c>
      <c r="N410">
        <v>0</v>
      </c>
      <c r="O410">
        <v>3</v>
      </c>
      <c r="P410" t="s">
        <v>956</v>
      </c>
      <c r="Q410">
        <v>0</v>
      </c>
      <c r="R410">
        <v>0</v>
      </c>
      <c r="S410">
        <v>0</v>
      </c>
      <c r="T410">
        <v>0</v>
      </c>
      <c r="U410">
        <v>0</v>
      </c>
      <c r="V410">
        <v>0</v>
      </c>
      <c r="W410">
        <v>0</v>
      </c>
      <c r="X410">
        <v>0</v>
      </c>
      <c r="Y410">
        <v>0</v>
      </c>
      <c r="Z410">
        <v>0</v>
      </c>
      <c r="AA410">
        <v>2</v>
      </c>
      <c r="AB410">
        <v>0</v>
      </c>
      <c r="AC410">
        <v>1</v>
      </c>
      <c r="AD410">
        <v>0</v>
      </c>
      <c r="AE410">
        <v>0</v>
      </c>
      <c r="AF410">
        <v>0</v>
      </c>
      <c r="AG410">
        <v>0</v>
      </c>
      <c r="AH410">
        <v>0</v>
      </c>
      <c r="AI410">
        <v>0</v>
      </c>
      <c r="AJ410">
        <v>0</v>
      </c>
    </row>
    <row r="411" spans="1:36">
      <c r="A411" t="s">
        <v>234</v>
      </c>
      <c r="B411" s="264">
        <v>46046</v>
      </c>
      <c r="C411" t="s">
        <v>709</v>
      </c>
      <c r="D411" t="s">
        <v>745</v>
      </c>
      <c r="E411" t="s">
        <v>706</v>
      </c>
      <c r="F411" t="s">
        <v>232</v>
      </c>
      <c r="G411">
        <v>2.7799999999999998E-2</v>
      </c>
      <c r="H411">
        <v>180</v>
      </c>
      <c r="I411">
        <v>5</v>
      </c>
      <c r="J411">
        <v>0</v>
      </c>
      <c r="K411" t="s">
        <v>233</v>
      </c>
      <c r="L411" s="264">
        <v>46302</v>
      </c>
      <c r="M411">
        <v>0</v>
      </c>
      <c r="N411">
        <v>0</v>
      </c>
      <c r="O411">
        <v>5</v>
      </c>
      <c r="P411" t="s">
        <v>184</v>
      </c>
      <c r="Q411">
        <v>0</v>
      </c>
      <c r="R411">
        <v>0</v>
      </c>
      <c r="S411">
        <v>0</v>
      </c>
      <c r="T411">
        <v>0</v>
      </c>
      <c r="U411">
        <v>0</v>
      </c>
      <c r="V411">
        <v>0</v>
      </c>
      <c r="W411">
        <v>0</v>
      </c>
      <c r="X411">
        <v>0</v>
      </c>
      <c r="Y411">
        <v>0</v>
      </c>
      <c r="Z411">
        <v>0</v>
      </c>
      <c r="AA411">
        <v>0</v>
      </c>
      <c r="AB411">
        <v>1</v>
      </c>
      <c r="AC411">
        <v>4</v>
      </c>
      <c r="AD411">
        <v>0</v>
      </c>
      <c r="AE411">
        <v>0</v>
      </c>
      <c r="AF411">
        <v>0</v>
      </c>
      <c r="AG411">
        <v>0</v>
      </c>
      <c r="AH411">
        <v>0</v>
      </c>
      <c r="AI411">
        <v>0</v>
      </c>
      <c r="AJ411">
        <v>0</v>
      </c>
    </row>
    <row r="412" spans="1:36">
      <c r="A412" t="s">
        <v>234</v>
      </c>
      <c r="B412" s="264">
        <v>46046</v>
      </c>
      <c r="C412" t="s">
        <v>712</v>
      </c>
      <c r="D412" t="s">
        <v>746</v>
      </c>
      <c r="E412" t="s">
        <v>706</v>
      </c>
      <c r="F412" t="s">
        <v>232</v>
      </c>
      <c r="G412">
        <v>2.7799999999999998E-2</v>
      </c>
      <c r="H412">
        <v>180</v>
      </c>
      <c r="I412">
        <v>5</v>
      </c>
      <c r="J412">
        <v>0</v>
      </c>
      <c r="K412" t="s">
        <v>233</v>
      </c>
      <c r="L412" s="264">
        <v>46334</v>
      </c>
      <c r="M412">
        <v>0</v>
      </c>
      <c r="N412">
        <v>0</v>
      </c>
      <c r="O412">
        <v>5</v>
      </c>
      <c r="P412" t="s">
        <v>300</v>
      </c>
      <c r="Q412">
        <v>0</v>
      </c>
      <c r="R412">
        <v>0</v>
      </c>
      <c r="S412">
        <v>0</v>
      </c>
      <c r="T412">
        <v>0</v>
      </c>
      <c r="U412">
        <v>0</v>
      </c>
      <c r="V412">
        <v>0</v>
      </c>
      <c r="W412">
        <v>0</v>
      </c>
      <c r="X412">
        <v>0</v>
      </c>
      <c r="Y412">
        <v>0</v>
      </c>
      <c r="Z412">
        <v>0</v>
      </c>
      <c r="AA412">
        <v>1</v>
      </c>
      <c r="AB412">
        <v>0</v>
      </c>
      <c r="AC412">
        <v>4</v>
      </c>
      <c r="AD412">
        <v>0</v>
      </c>
      <c r="AE412">
        <v>0</v>
      </c>
      <c r="AF412">
        <v>0</v>
      </c>
      <c r="AG412">
        <v>0</v>
      </c>
      <c r="AH412">
        <v>0</v>
      </c>
      <c r="AI412">
        <v>0</v>
      </c>
      <c r="AJ412">
        <v>0</v>
      </c>
    </row>
    <row r="413" spans="1:36">
      <c r="A413" t="s">
        <v>234</v>
      </c>
      <c r="B413" s="264">
        <v>46046</v>
      </c>
      <c r="C413" t="s">
        <v>716</v>
      </c>
      <c r="D413" t="s">
        <v>561</v>
      </c>
      <c r="E413" t="s">
        <v>706</v>
      </c>
      <c r="F413" t="s">
        <v>232</v>
      </c>
      <c r="G413">
        <v>1.11E-2</v>
      </c>
      <c r="H413">
        <v>180</v>
      </c>
      <c r="I413">
        <v>2</v>
      </c>
      <c r="J413">
        <v>0</v>
      </c>
      <c r="K413" t="s">
        <v>233</v>
      </c>
      <c r="L413" s="264">
        <v>46344</v>
      </c>
      <c r="M413">
        <v>0</v>
      </c>
      <c r="N413">
        <v>0</v>
      </c>
      <c r="O413">
        <v>2</v>
      </c>
      <c r="P413" t="s">
        <v>298</v>
      </c>
      <c r="Q413">
        <v>0</v>
      </c>
      <c r="R413">
        <v>0</v>
      </c>
      <c r="S413">
        <v>0</v>
      </c>
      <c r="T413">
        <v>0</v>
      </c>
      <c r="U413">
        <v>0</v>
      </c>
      <c r="V413">
        <v>0</v>
      </c>
      <c r="W413">
        <v>0</v>
      </c>
      <c r="X413">
        <v>0</v>
      </c>
      <c r="Y413">
        <v>0</v>
      </c>
      <c r="Z413">
        <v>0</v>
      </c>
      <c r="AA413">
        <v>0</v>
      </c>
      <c r="AB413">
        <v>0</v>
      </c>
      <c r="AC413">
        <v>2</v>
      </c>
      <c r="AD413">
        <v>0</v>
      </c>
      <c r="AE413">
        <v>0</v>
      </c>
      <c r="AF413">
        <v>0</v>
      </c>
      <c r="AG413">
        <v>0</v>
      </c>
      <c r="AH413">
        <v>0</v>
      </c>
      <c r="AI413">
        <v>0</v>
      </c>
      <c r="AJ413">
        <v>0</v>
      </c>
    </row>
    <row r="414" spans="1:36">
      <c r="A414" t="s">
        <v>234</v>
      </c>
      <c r="B414" s="264">
        <v>46046</v>
      </c>
      <c r="C414" t="s">
        <v>323</v>
      </c>
      <c r="D414" t="s">
        <v>334</v>
      </c>
      <c r="E414" t="s">
        <v>320</v>
      </c>
      <c r="F414" t="s">
        <v>232</v>
      </c>
      <c r="G414">
        <v>1.11E-2</v>
      </c>
      <c r="H414">
        <v>180</v>
      </c>
      <c r="I414">
        <v>2</v>
      </c>
      <c r="J414">
        <v>0</v>
      </c>
      <c r="K414" t="s">
        <v>233</v>
      </c>
      <c r="L414" s="264">
        <v>46334</v>
      </c>
      <c r="M414">
        <v>0</v>
      </c>
      <c r="N414">
        <v>0</v>
      </c>
      <c r="O414">
        <v>2</v>
      </c>
      <c r="P414" t="s">
        <v>326</v>
      </c>
      <c r="Q414">
        <v>0</v>
      </c>
      <c r="R414">
        <v>0</v>
      </c>
      <c r="S414">
        <v>0</v>
      </c>
      <c r="T414">
        <v>0</v>
      </c>
      <c r="U414">
        <v>0</v>
      </c>
      <c r="V414">
        <v>0</v>
      </c>
      <c r="W414">
        <v>0</v>
      </c>
      <c r="X414">
        <v>0</v>
      </c>
      <c r="Y414">
        <v>0</v>
      </c>
      <c r="Z414">
        <v>0</v>
      </c>
      <c r="AA414">
        <v>0</v>
      </c>
      <c r="AB414">
        <v>0</v>
      </c>
      <c r="AC414">
        <v>2</v>
      </c>
      <c r="AD414">
        <v>0</v>
      </c>
      <c r="AE414">
        <v>0</v>
      </c>
      <c r="AF414">
        <v>0</v>
      </c>
      <c r="AG414">
        <v>0</v>
      </c>
      <c r="AH414">
        <v>0</v>
      </c>
      <c r="AI414">
        <v>0</v>
      </c>
      <c r="AJ414">
        <v>0</v>
      </c>
    </row>
    <row r="415" spans="1:36">
      <c r="A415" t="s">
        <v>234</v>
      </c>
      <c r="B415" s="264">
        <v>46046</v>
      </c>
      <c r="C415" t="s">
        <v>1241</v>
      </c>
      <c r="D415" t="s">
        <v>334</v>
      </c>
      <c r="E415" t="s">
        <v>1239</v>
      </c>
      <c r="F415" t="s">
        <v>232</v>
      </c>
      <c r="G415">
        <v>5.0299999999999997E-2</v>
      </c>
      <c r="H415">
        <v>179</v>
      </c>
      <c r="I415">
        <v>9</v>
      </c>
      <c r="J415">
        <v>0</v>
      </c>
      <c r="K415" t="s">
        <v>233</v>
      </c>
      <c r="L415" s="264">
        <v>46344</v>
      </c>
      <c r="M415">
        <v>0</v>
      </c>
      <c r="N415">
        <v>0</v>
      </c>
      <c r="O415">
        <v>9</v>
      </c>
      <c r="P415" t="s">
        <v>158</v>
      </c>
      <c r="Q415">
        <v>0</v>
      </c>
      <c r="R415">
        <v>0</v>
      </c>
      <c r="S415">
        <v>0</v>
      </c>
      <c r="T415">
        <v>0</v>
      </c>
      <c r="U415">
        <v>0</v>
      </c>
      <c r="V415">
        <v>0</v>
      </c>
      <c r="W415">
        <v>0</v>
      </c>
      <c r="X415">
        <v>0</v>
      </c>
      <c r="Y415">
        <v>0</v>
      </c>
      <c r="Z415">
        <v>5</v>
      </c>
      <c r="AA415">
        <v>4</v>
      </c>
      <c r="AB415">
        <v>0</v>
      </c>
      <c r="AC415">
        <v>0</v>
      </c>
      <c r="AD415">
        <v>0</v>
      </c>
      <c r="AE415">
        <v>0</v>
      </c>
      <c r="AF415">
        <v>0</v>
      </c>
      <c r="AG415">
        <v>0</v>
      </c>
      <c r="AH415">
        <v>0</v>
      </c>
      <c r="AI415">
        <v>0</v>
      </c>
      <c r="AJ415">
        <v>0</v>
      </c>
    </row>
    <row r="416" spans="1:36">
      <c r="A416" t="s">
        <v>234</v>
      </c>
      <c r="B416" s="264">
        <v>46046</v>
      </c>
      <c r="C416" t="s">
        <v>1194</v>
      </c>
      <c r="D416" t="s">
        <v>1203</v>
      </c>
      <c r="E416" t="s">
        <v>1192</v>
      </c>
      <c r="F416" t="s">
        <v>232</v>
      </c>
      <c r="G416">
        <v>3.3500000000000002E-2</v>
      </c>
      <c r="H416">
        <v>179</v>
      </c>
      <c r="I416">
        <v>6</v>
      </c>
      <c r="J416">
        <v>0</v>
      </c>
      <c r="K416" t="s">
        <v>233</v>
      </c>
      <c r="L416" s="264">
        <v>46336</v>
      </c>
      <c r="M416">
        <v>0</v>
      </c>
      <c r="N416">
        <v>0</v>
      </c>
      <c r="O416">
        <v>6</v>
      </c>
      <c r="P416" t="s">
        <v>318</v>
      </c>
      <c r="Q416">
        <v>0</v>
      </c>
      <c r="R416">
        <v>0</v>
      </c>
      <c r="S416">
        <v>0</v>
      </c>
      <c r="T416">
        <v>0</v>
      </c>
      <c r="U416">
        <v>0</v>
      </c>
      <c r="V416">
        <v>0</v>
      </c>
      <c r="W416">
        <v>0</v>
      </c>
      <c r="X416">
        <v>0</v>
      </c>
      <c r="Y416">
        <v>0</v>
      </c>
      <c r="Z416">
        <v>0</v>
      </c>
      <c r="AA416">
        <v>6</v>
      </c>
      <c r="AB416">
        <v>0</v>
      </c>
      <c r="AC416">
        <v>0</v>
      </c>
      <c r="AD416">
        <v>0</v>
      </c>
      <c r="AE416">
        <v>0</v>
      </c>
      <c r="AF416">
        <v>0</v>
      </c>
      <c r="AG416">
        <v>0</v>
      </c>
      <c r="AH416">
        <v>0</v>
      </c>
      <c r="AI416">
        <v>0</v>
      </c>
      <c r="AJ416">
        <v>0</v>
      </c>
    </row>
    <row r="417" spans="1:36">
      <c r="A417" t="s">
        <v>234</v>
      </c>
      <c r="B417" s="264">
        <v>46046</v>
      </c>
      <c r="C417" t="s">
        <v>1045</v>
      </c>
      <c r="D417" t="s">
        <v>1108</v>
      </c>
      <c r="E417" t="s">
        <v>1040</v>
      </c>
      <c r="F417" t="s">
        <v>232</v>
      </c>
      <c r="G417">
        <v>6.6699999999999995E-2</v>
      </c>
      <c r="H417">
        <v>180</v>
      </c>
      <c r="I417">
        <v>12</v>
      </c>
      <c r="J417">
        <v>0</v>
      </c>
      <c r="K417" t="s">
        <v>233</v>
      </c>
      <c r="L417" s="264">
        <v>46337</v>
      </c>
      <c r="M417">
        <v>0</v>
      </c>
      <c r="N417">
        <v>0</v>
      </c>
      <c r="O417">
        <v>12</v>
      </c>
      <c r="P417" t="s">
        <v>569</v>
      </c>
      <c r="Q417">
        <v>0</v>
      </c>
      <c r="R417">
        <v>0</v>
      </c>
      <c r="S417">
        <v>0</v>
      </c>
      <c r="T417">
        <v>0</v>
      </c>
      <c r="U417">
        <v>0</v>
      </c>
      <c r="V417">
        <v>0</v>
      </c>
      <c r="W417">
        <v>0</v>
      </c>
      <c r="X417">
        <v>0</v>
      </c>
      <c r="Y417">
        <v>3</v>
      </c>
      <c r="Z417">
        <v>0</v>
      </c>
      <c r="AA417">
        <v>9</v>
      </c>
      <c r="AB417">
        <v>0</v>
      </c>
      <c r="AC417">
        <v>0</v>
      </c>
      <c r="AD417">
        <v>0</v>
      </c>
      <c r="AE417">
        <v>0</v>
      </c>
      <c r="AF417">
        <v>0</v>
      </c>
      <c r="AG417">
        <v>0</v>
      </c>
      <c r="AH417">
        <v>0</v>
      </c>
      <c r="AI417">
        <v>0</v>
      </c>
      <c r="AJ417">
        <v>0</v>
      </c>
    </row>
    <row r="418" spans="1:36">
      <c r="A418" t="s">
        <v>234</v>
      </c>
      <c r="B418" s="264">
        <v>46046</v>
      </c>
      <c r="C418" t="s">
        <v>1337</v>
      </c>
      <c r="D418" t="s">
        <v>1324</v>
      </c>
      <c r="E418" t="s">
        <v>1333</v>
      </c>
      <c r="F418" t="s">
        <v>232</v>
      </c>
      <c r="G418">
        <v>5.5999999999999999E-3</v>
      </c>
      <c r="H418">
        <v>179</v>
      </c>
      <c r="I418">
        <v>1</v>
      </c>
      <c r="J418">
        <v>0</v>
      </c>
      <c r="K418" t="s">
        <v>233</v>
      </c>
      <c r="L418" s="264">
        <v>46325</v>
      </c>
      <c r="M418">
        <v>0</v>
      </c>
      <c r="N418">
        <v>0</v>
      </c>
      <c r="O418">
        <v>1</v>
      </c>
      <c r="P418" t="s">
        <v>587</v>
      </c>
      <c r="Q418">
        <v>0</v>
      </c>
      <c r="R418">
        <v>0</v>
      </c>
      <c r="S418">
        <v>0</v>
      </c>
      <c r="T418">
        <v>0</v>
      </c>
      <c r="U418">
        <v>0</v>
      </c>
      <c r="V418">
        <v>0</v>
      </c>
      <c r="W418">
        <v>0</v>
      </c>
      <c r="X418">
        <v>0</v>
      </c>
      <c r="Y418">
        <v>0</v>
      </c>
      <c r="Z418">
        <v>0</v>
      </c>
      <c r="AA418">
        <v>1</v>
      </c>
      <c r="AB418">
        <v>0</v>
      </c>
      <c r="AC418">
        <v>0</v>
      </c>
      <c r="AD418">
        <v>0</v>
      </c>
      <c r="AE418">
        <v>0</v>
      </c>
      <c r="AF418">
        <v>0</v>
      </c>
      <c r="AG418">
        <v>0</v>
      </c>
      <c r="AH418">
        <v>0</v>
      </c>
      <c r="AI418">
        <v>0</v>
      </c>
      <c r="AJ418">
        <v>0</v>
      </c>
    </row>
    <row r="419" spans="1:36">
      <c r="A419" t="s">
        <v>234</v>
      </c>
      <c r="B419" s="264">
        <v>46046</v>
      </c>
      <c r="C419" t="s">
        <v>366</v>
      </c>
      <c r="D419" t="s">
        <v>568</v>
      </c>
      <c r="E419" t="s">
        <v>341</v>
      </c>
      <c r="F419" t="s">
        <v>232</v>
      </c>
      <c r="G419">
        <v>5.5599999999999997E-2</v>
      </c>
      <c r="H419">
        <v>180</v>
      </c>
      <c r="I419">
        <v>10</v>
      </c>
      <c r="J419">
        <v>0</v>
      </c>
      <c r="K419" t="s">
        <v>233</v>
      </c>
      <c r="L419" s="264">
        <v>46343</v>
      </c>
      <c r="M419">
        <v>0</v>
      </c>
      <c r="N419">
        <v>0</v>
      </c>
      <c r="O419">
        <v>10</v>
      </c>
      <c r="P419" t="s">
        <v>307</v>
      </c>
      <c r="Q419">
        <v>0</v>
      </c>
      <c r="R419">
        <v>0</v>
      </c>
      <c r="S419">
        <v>0</v>
      </c>
      <c r="T419">
        <v>0</v>
      </c>
      <c r="U419">
        <v>0</v>
      </c>
      <c r="V419">
        <v>0</v>
      </c>
      <c r="W419">
        <v>0</v>
      </c>
      <c r="X419">
        <v>0</v>
      </c>
      <c r="Y419">
        <v>0</v>
      </c>
      <c r="Z419">
        <v>1</v>
      </c>
      <c r="AA419">
        <v>0</v>
      </c>
      <c r="AB419">
        <v>0</v>
      </c>
      <c r="AC419">
        <v>1</v>
      </c>
      <c r="AD419">
        <v>8</v>
      </c>
      <c r="AE419">
        <v>0</v>
      </c>
      <c r="AF419">
        <v>0</v>
      </c>
      <c r="AG419">
        <v>0</v>
      </c>
      <c r="AH419">
        <v>0</v>
      </c>
      <c r="AI419">
        <v>0</v>
      </c>
      <c r="AJ419">
        <v>0</v>
      </c>
    </row>
    <row r="420" spans="1:36">
      <c r="A420" t="s">
        <v>234</v>
      </c>
      <c r="B420" s="264">
        <v>46046</v>
      </c>
      <c r="C420" t="s">
        <v>373</v>
      </c>
      <c r="D420" t="s">
        <v>566</v>
      </c>
      <c r="E420" t="s">
        <v>341</v>
      </c>
      <c r="F420" t="s">
        <v>232</v>
      </c>
      <c r="G420">
        <v>4.8399999999999999E-2</v>
      </c>
      <c r="H420">
        <v>186</v>
      </c>
      <c r="I420">
        <v>9</v>
      </c>
      <c r="J420">
        <v>0</v>
      </c>
      <c r="K420" t="s">
        <v>233</v>
      </c>
      <c r="L420" s="264">
        <v>46307</v>
      </c>
      <c r="M420">
        <v>0</v>
      </c>
      <c r="N420">
        <v>0</v>
      </c>
      <c r="O420">
        <v>9</v>
      </c>
      <c r="P420" t="s">
        <v>306</v>
      </c>
      <c r="Q420">
        <v>0</v>
      </c>
      <c r="R420">
        <v>0</v>
      </c>
      <c r="S420">
        <v>0</v>
      </c>
      <c r="T420">
        <v>0</v>
      </c>
      <c r="U420">
        <v>0</v>
      </c>
      <c r="V420">
        <v>0</v>
      </c>
      <c r="W420">
        <v>0</v>
      </c>
      <c r="X420">
        <v>0</v>
      </c>
      <c r="Y420">
        <v>0</v>
      </c>
      <c r="Z420">
        <v>0</v>
      </c>
      <c r="AA420">
        <v>0</v>
      </c>
      <c r="AB420">
        <v>0</v>
      </c>
      <c r="AC420">
        <v>0</v>
      </c>
      <c r="AD420">
        <v>0</v>
      </c>
      <c r="AE420">
        <v>0</v>
      </c>
      <c r="AF420">
        <v>9</v>
      </c>
      <c r="AG420">
        <v>0</v>
      </c>
      <c r="AH420">
        <v>0</v>
      </c>
      <c r="AI420">
        <v>0</v>
      </c>
      <c r="AJ420">
        <v>0</v>
      </c>
    </row>
    <row r="421" spans="1:36">
      <c r="A421" t="s">
        <v>234</v>
      </c>
      <c r="B421" s="264">
        <v>46046</v>
      </c>
      <c r="C421" t="s">
        <v>376</v>
      </c>
      <c r="D421" t="s">
        <v>553</v>
      </c>
      <c r="E421" t="s">
        <v>341</v>
      </c>
      <c r="F421" t="s">
        <v>232</v>
      </c>
      <c r="G421">
        <v>8.3299999999999999E-2</v>
      </c>
      <c r="H421">
        <v>180</v>
      </c>
      <c r="I421">
        <v>15</v>
      </c>
      <c r="J421">
        <v>0</v>
      </c>
      <c r="K421" t="s">
        <v>233</v>
      </c>
      <c r="L421" s="264">
        <v>46343</v>
      </c>
      <c r="M421">
        <v>0</v>
      </c>
      <c r="N421">
        <v>0</v>
      </c>
      <c r="O421">
        <v>19</v>
      </c>
      <c r="P421" t="s">
        <v>67</v>
      </c>
      <c r="Q421">
        <v>0</v>
      </c>
      <c r="R421">
        <v>0</v>
      </c>
      <c r="S421">
        <v>0</v>
      </c>
      <c r="T421">
        <v>0</v>
      </c>
      <c r="U421">
        <v>0</v>
      </c>
      <c r="V421">
        <v>0</v>
      </c>
      <c r="W421">
        <v>0</v>
      </c>
      <c r="X421">
        <v>0</v>
      </c>
      <c r="Y421">
        <v>0</v>
      </c>
      <c r="Z421">
        <v>0</v>
      </c>
      <c r="AA421">
        <v>0</v>
      </c>
      <c r="AB421">
        <v>2</v>
      </c>
      <c r="AC421">
        <v>3</v>
      </c>
      <c r="AD421">
        <v>0</v>
      </c>
      <c r="AE421">
        <v>0</v>
      </c>
      <c r="AF421">
        <v>10</v>
      </c>
      <c r="AG421">
        <v>0</v>
      </c>
      <c r="AH421">
        <v>0</v>
      </c>
      <c r="AI421">
        <v>0</v>
      </c>
      <c r="AJ421">
        <v>0</v>
      </c>
    </row>
    <row r="422" spans="1:36">
      <c r="A422" t="s">
        <v>234</v>
      </c>
      <c r="B422" s="264">
        <v>46046</v>
      </c>
      <c r="C422" t="s">
        <v>378</v>
      </c>
      <c r="D422" t="s">
        <v>567</v>
      </c>
      <c r="E422" t="s">
        <v>341</v>
      </c>
      <c r="F422" t="s">
        <v>232</v>
      </c>
      <c r="G422">
        <v>9.4399999999999998E-2</v>
      </c>
      <c r="H422">
        <v>180</v>
      </c>
      <c r="I422">
        <v>17</v>
      </c>
      <c r="J422">
        <v>0</v>
      </c>
      <c r="K422" t="s">
        <v>233</v>
      </c>
      <c r="L422" s="264">
        <v>46342</v>
      </c>
      <c r="M422">
        <v>0</v>
      </c>
      <c r="N422">
        <v>0</v>
      </c>
      <c r="O422">
        <v>17</v>
      </c>
      <c r="P422" t="s">
        <v>67</v>
      </c>
      <c r="Q422">
        <v>0</v>
      </c>
      <c r="R422">
        <v>0</v>
      </c>
      <c r="S422">
        <v>0</v>
      </c>
      <c r="T422">
        <v>0</v>
      </c>
      <c r="U422">
        <v>0</v>
      </c>
      <c r="V422">
        <v>0</v>
      </c>
      <c r="W422">
        <v>0</v>
      </c>
      <c r="X422">
        <v>0</v>
      </c>
      <c r="Y422">
        <v>0</v>
      </c>
      <c r="Z422">
        <v>0</v>
      </c>
      <c r="AA422">
        <v>0</v>
      </c>
      <c r="AB422">
        <v>4</v>
      </c>
      <c r="AC422">
        <v>7</v>
      </c>
      <c r="AD422">
        <v>6</v>
      </c>
      <c r="AE422">
        <v>0</v>
      </c>
      <c r="AF422">
        <v>0</v>
      </c>
      <c r="AG422">
        <v>0</v>
      </c>
      <c r="AH422">
        <v>0</v>
      </c>
      <c r="AI422">
        <v>0</v>
      </c>
      <c r="AJ422">
        <v>0</v>
      </c>
    </row>
    <row r="423" spans="1:36">
      <c r="A423" t="s">
        <v>234</v>
      </c>
      <c r="B423" s="264">
        <v>46046</v>
      </c>
      <c r="C423" t="s">
        <v>65</v>
      </c>
      <c r="D423" t="s">
        <v>235</v>
      </c>
      <c r="E423" t="s">
        <v>1</v>
      </c>
      <c r="F423" t="s">
        <v>232</v>
      </c>
      <c r="G423">
        <v>1.67E-2</v>
      </c>
      <c r="H423">
        <v>180</v>
      </c>
      <c r="I423">
        <v>3</v>
      </c>
      <c r="J423">
        <v>0</v>
      </c>
      <c r="K423" t="s">
        <v>233</v>
      </c>
      <c r="L423" s="264">
        <v>46323</v>
      </c>
      <c r="M423">
        <v>0</v>
      </c>
      <c r="N423">
        <v>0</v>
      </c>
      <c r="O423">
        <v>3</v>
      </c>
      <c r="P423" t="s">
        <v>183</v>
      </c>
      <c r="Q423">
        <v>0</v>
      </c>
      <c r="R423">
        <v>0</v>
      </c>
      <c r="S423">
        <v>0</v>
      </c>
      <c r="T423">
        <v>0</v>
      </c>
      <c r="U423">
        <v>0</v>
      </c>
      <c r="V423">
        <v>0</v>
      </c>
      <c r="W423">
        <v>0</v>
      </c>
      <c r="X423">
        <v>0</v>
      </c>
      <c r="Y423">
        <v>0</v>
      </c>
      <c r="Z423">
        <v>0</v>
      </c>
      <c r="AA423">
        <v>0</v>
      </c>
      <c r="AB423">
        <v>3</v>
      </c>
      <c r="AC423">
        <v>0</v>
      </c>
      <c r="AD423">
        <v>0</v>
      </c>
      <c r="AE423">
        <v>0</v>
      </c>
      <c r="AF423">
        <v>0</v>
      </c>
      <c r="AG423">
        <v>0</v>
      </c>
      <c r="AH423">
        <v>0</v>
      </c>
      <c r="AI423">
        <v>0</v>
      </c>
      <c r="AJ423">
        <v>0</v>
      </c>
    </row>
    <row r="424" spans="1:36">
      <c r="A424" t="s">
        <v>234</v>
      </c>
      <c r="B424" s="264">
        <v>46046</v>
      </c>
      <c r="C424" t="s">
        <v>818</v>
      </c>
      <c r="D424" t="s">
        <v>974</v>
      </c>
      <c r="E424" t="s">
        <v>808</v>
      </c>
      <c r="F424" t="s">
        <v>232</v>
      </c>
      <c r="G424">
        <v>3.3500000000000002E-2</v>
      </c>
      <c r="H424">
        <v>179</v>
      </c>
      <c r="I424">
        <v>6</v>
      </c>
      <c r="J424">
        <v>0</v>
      </c>
      <c r="K424" t="s">
        <v>233</v>
      </c>
      <c r="L424" s="264">
        <v>46339</v>
      </c>
      <c r="M424">
        <v>0</v>
      </c>
      <c r="N424">
        <v>0</v>
      </c>
      <c r="O424">
        <v>6</v>
      </c>
      <c r="P424" t="s">
        <v>317</v>
      </c>
      <c r="Q424">
        <v>0</v>
      </c>
      <c r="R424">
        <v>0</v>
      </c>
      <c r="S424">
        <v>0</v>
      </c>
      <c r="T424">
        <v>0</v>
      </c>
      <c r="U424">
        <v>0</v>
      </c>
      <c r="V424">
        <v>0</v>
      </c>
      <c r="W424">
        <v>0</v>
      </c>
      <c r="X424">
        <v>0</v>
      </c>
      <c r="Y424">
        <v>0</v>
      </c>
      <c r="Z424">
        <v>1</v>
      </c>
      <c r="AA424">
        <v>5</v>
      </c>
      <c r="AB424">
        <v>0</v>
      </c>
      <c r="AC424">
        <v>0</v>
      </c>
      <c r="AD424">
        <v>0</v>
      </c>
      <c r="AE424">
        <v>0</v>
      </c>
      <c r="AF424">
        <v>0</v>
      </c>
      <c r="AG424">
        <v>0</v>
      </c>
      <c r="AH424">
        <v>0</v>
      </c>
      <c r="AI424">
        <v>0</v>
      </c>
      <c r="AJ424">
        <v>0</v>
      </c>
    </row>
    <row r="425" spans="1:36">
      <c r="A425" t="s">
        <v>234</v>
      </c>
      <c r="B425" s="264">
        <v>46046</v>
      </c>
      <c r="C425" t="s">
        <v>1148</v>
      </c>
      <c r="D425" t="s">
        <v>597</v>
      </c>
      <c r="E425" t="s">
        <v>1144</v>
      </c>
      <c r="F425" t="s">
        <v>232</v>
      </c>
      <c r="G425">
        <v>4.4699999999999997E-2</v>
      </c>
      <c r="H425">
        <v>179</v>
      </c>
      <c r="I425">
        <v>8</v>
      </c>
      <c r="J425">
        <v>0</v>
      </c>
      <c r="K425" t="s">
        <v>233</v>
      </c>
      <c r="L425" s="264">
        <v>46322</v>
      </c>
      <c r="M425">
        <v>0</v>
      </c>
      <c r="N425">
        <v>0</v>
      </c>
      <c r="O425">
        <v>8</v>
      </c>
      <c r="P425" t="s">
        <v>672</v>
      </c>
      <c r="Q425">
        <v>0</v>
      </c>
      <c r="R425">
        <v>0</v>
      </c>
      <c r="S425">
        <v>0</v>
      </c>
      <c r="T425">
        <v>0</v>
      </c>
      <c r="U425">
        <v>0</v>
      </c>
      <c r="V425">
        <v>0</v>
      </c>
      <c r="W425">
        <v>0</v>
      </c>
      <c r="X425">
        <v>0</v>
      </c>
      <c r="Y425">
        <v>0</v>
      </c>
      <c r="Z425">
        <v>0</v>
      </c>
      <c r="AA425">
        <v>6</v>
      </c>
      <c r="AB425">
        <v>0</v>
      </c>
      <c r="AC425">
        <v>0</v>
      </c>
      <c r="AD425">
        <v>0</v>
      </c>
      <c r="AE425">
        <v>0</v>
      </c>
      <c r="AF425">
        <v>2</v>
      </c>
      <c r="AG425">
        <v>0</v>
      </c>
      <c r="AH425">
        <v>0</v>
      </c>
      <c r="AI425">
        <v>0</v>
      </c>
      <c r="AJ425">
        <v>0</v>
      </c>
    </row>
    <row r="426" spans="1:36">
      <c r="A426" t="s">
        <v>234</v>
      </c>
      <c r="B426" s="264">
        <v>46046</v>
      </c>
      <c r="C426" t="s">
        <v>1215</v>
      </c>
      <c r="D426" t="s">
        <v>336</v>
      </c>
      <c r="E426" t="s">
        <v>1213</v>
      </c>
      <c r="F426" t="s">
        <v>232</v>
      </c>
      <c r="G426">
        <v>5.5999999999999999E-3</v>
      </c>
      <c r="H426">
        <v>179</v>
      </c>
      <c r="I426">
        <v>1</v>
      </c>
      <c r="J426">
        <v>0</v>
      </c>
      <c r="K426" t="s">
        <v>233</v>
      </c>
      <c r="L426" s="264">
        <v>46302</v>
      </c>
      <c r="M426">
        <v>0</v>
      </c>
      <c r="N426">
        <v>0</v>
      </c>
      <c r="O426">
        <v>1</v>
      </c>
      <c r="P426" t="s">
        <v>877</v>
      </c>
      <c r="Q426">
        <v>0</v>
      </c>
      <c r="R426">
        <v>0</v>
      </c>
      <c r="S426">
        <v>0</v>
      </c>
      <c r="T426">
        <v>0</v>
      </c>
      <c r="U426">
        <v>0</v>
      </c>
      <c r="V426">
        <v>0</v>
      </c>
      <c r="W426">
        <v>0</v>
      </c>
      <c r="X426">
        <v>0</v>
      </c>
      <c r="Y426">
        <v>0</v>
      </c>
      <c r="Z426">
        <v>0</v>
      </c>
      <c r="AA426">
        <v>0</v>
      </c>
      <c r="AB426">
        <v>0</v>
      </c>
      <c r="AC426">
        <v>1</v>
      </c>
      <c r="AD426">
        <v>0</v>
      </c>
      <c r="AE426">
        <v>0</v>
      </c>
      <c r="AF426">
        <v>0</v>
      </c>
      <c r="AG426">
        <v>0</v>
      </c>
      <c r="AH426">
        <v>0</v>
      </c>
      <c r="AI426">
        <v>0</v>
      </c>
      <c r="AJ426">
        <v>0</v>
      </c>
    </row>
    <row r="427" spans="1:36">
      <c r="A427" t="s">
        <v>234</v>
      </c>
      <c r="B427" s="264">
        <v>46046</v>
      </c>
      <c r="C427" t="s">
        <v>613</v>
      </c>
      <c r="D427" t="s">
        <v>690</v>
      </c>
      <c r="E427" t="s">
        <v>601</v>
      </c>
      <c r="F427" t="s">
        <v>232</v>
      </c>
      <c r="G427">
        <v>3.8899999999999997E-2</v>
      </c>
      <c r="H427">
        <v>180</v>
      </c>
      <c r="I427">
        <v>7</v>
      </c>
      <c r="J427">
        <v>0</v>
      </c>
      <c r="K427" t="s">
        <v>233</v>
      </c>
      <c r="L427" s="264">
        <v>46345</v>
      </c>
      <c r="M427">
        <v>0</v>
      </c>
      <c r="N427">
        <v>0</v>
      </c>
      <c r="O427">
        <v>7</v>
      </c>
      <c r="P427" t="s">
        <v>304</v>
      </c>
      <c r="Q427">
        <v>0</v>
      </c>
      <c r="R427">
        <v>0</v>
      </c>
      <c r="S427">
        <v>0</v>
      </c>
      <c r="T427">
        <v>0</v>
      </c>
      <c r="U427">
        <v>0</v>
      </c>
      <c r="V427">
        <v>0</v>
      </c>
      <c r="W427">
        <v>0</v>
      </c>
      <c r="X427">
        <v>0</v>
      </c>
      <c r="Y427">
        <v>0</v>
      </c>
      <c r="Z427">
        <v>0</v>
      </c>
      <c r="AA427">
        <v>0</v>
      </c>
      <c r="AB427">
        <v>0</v>
      </c>
      <c r="AC427">
        <v>7</v>
      </c>
      <c r="AD427">
        <v>0</v>
      </c>
      <c r="AE427">
        <v>0</v>
      </c>
      <c r="AF427">
        <v>0</v>
      </c>
      <c r="AG427">
        <v>0</v>
      </c>
      <c r="AH427">
        <v>0</v>
      </c>
      <c r="AI427">
        <v>0</v>
      </c>
      <c r="AJ427">
        <v>0</v>
      </c>
    </row>
    <row r="428" spans="1:36">
      <c r="A428" t="s">
        <v>234</v>
      </c>
      <c r="B428" s="264">
        <v>46046</v>
      </c>
      <c r="C428" t="s">
        <v>630</v>
      </c>
      <c r="D428" t="s">
        <v>689</v>
      </c>
      <c r="E428" t="s">
        <v>601</v>
      </c>
      <c r="F428" t="s">
        <v>232</v>
      </c>
      <c r="G428">
        <v>0.05</v>
      </c>
      <c r="H428">
        <v>180</v>
      </c>
      <c r="I428">
        <v>9</v>
      </c>
      <c r="J428">
        <v>0</v>
      </c>
      <c r="K428" t="s">
        <v>233</v>
      </c>
      <c r="L428" s="264">
        <v>46325</v>
      </c>
      <c r="M428">
        <v>0</v>
      </c>
      <c r="N428">
        <v>0</v>
      </c>
      <c r="O428">
        <v>10</v>
      </c>
      <c r="P428" t="s">
        <v>299</v>
      </c>
      <c r="Q428">
        <v>0</v>
      </c>
      <c r="R428">
        <v>0</v>
      </c>
      <c r="S428">
        <v>0</v>
      </c>
      <c r="T428">
        <v>0</v>
      </c>
      <c r="U428">
        <v>0</v>
      </c>
      <c r="V428">
        <v>0</v>
      </c>
      <c r="W428">
        <v>0</v>
      </c>
      <c r="X428">
        <v>0</v>
      </c>
      <c r="Y428">
        <v>0</v>
      </c>
      <c r="Z428">
        <v>2</v>
      </c>
      <c r="AA428">
        <v>4</v>
      </c>
      <c r="AB428">
        <v>0</v>
      </c>
      <c r="AC428">
        <v>3</v>
      </c>
      <c r="AD428">
        <v>0</v>
      </c>
      <c r="AE428">
        <v>0</v>
      </c>
      <c r="AF428">
        <v>0</v>
      </c>
      <c r="AG428">
        <v>0</v>
      </c>
      <c r="AH428">
        <v>0</v>
      </c>
      <c r="AI428">
        <v>0</v>
      </c>
      <c r="AJ428">
        <v>0</v>
      </c>
    </row>
    <row r="429" spans="1:36">
      <c r="A429" t="s">
        <v>236</v>
      </c>
      <c r="B429" s="264">
        <v>46047</v>
      </c>
      <c r="C429" t="s">
        <v>712</v>
      </c>
      <c r="D429" t="s">
        <v>748</v>
      </c>
      <c r="E429" t="s">
        <v>706</v>
      </c>
      <c r="F429" t="s">
        <v>232</v>
      </c>
      <c r="G429">
        <v>1.67E-2</v>
      </c>
      <c r="H429">
        <v>180</v>
      </c>
      <c r="I429">
        <v>3</v>
      </c>
      <c r="J429">
        <v>0</v>
      </c>
      <c r="K429" t="s">
        <v>233</v>
      </c>
      <c r="L429" s="264">
        <v>46342</v>
      </c>
      <c r="M429">
        <v>0</v>
      </c>
      <c r="N429">
        <v>0</v>
      </c>
      <c r="O429">
        <v>3</v>
      </c>
      <c r="P429" t="s">
        <v>302</v>
      </c>
      <c r="Q429">
        <v>0</v>
      </c>
      <c r="R429">
        <v>0</v>
      </c>
      <c r="S429">
        <v>0</v>
      </c>
      <c r="T429">
        <v>0</v>
      </c>
      <c r="U429">
        <v>0</v>
      </c>
      <c r="V429">
        <v>0</v>
      </c>
      <c r="W429">
        <v>0</v>
      </c>
      <c r="X429">
        <v>0</v>
      </c>
      <c r="Y429">
        <v>0</v>
      </c>
      <c r="Z429">
        <v>0</v>
      </c>
      <c r="AA429">
        <v>0</v>
      </c>
      <c r="AB429">
        <v>0</v>
      </c>
      <c r="AC429">
        <v>3</v>
      </c>
      <c r="AD429">
        <v>0</v>
      </c>
      <c r="AE429">
        <v>0</v>
      </c>
      <c r="AF429">
        <v>0</v>
      </c>
      <c r="AG429">
        <v>0</v>
      </c>
      <c r="AH429">
        <v>0</v>
      </c>
      <c r="AI429">
        <v>0</v>
      </c>
      <c r="AJ429">
        <v>0</v>
      </c>
    </row>
    <row r="430" spans="1:36">
      <c r="A430" t="s">
        <v>236</v>
      </c>
      <c r="B430" s="264">
        <v>46047</v>
      </c>
      <c r="C430" t="s">
        <v>716</v>
      </c>
      <c r="D430" t="s">
        <v>747</v>
      </c>
      <c r="E430" t="s">
        <v>706</v>
      </c>
      <c r="F430" t="s">
        <v>232</v>
      </c>
      <c r="G430">
        <v>2.2200000000000001E-2</v>
      </c>
      <c r="H430">
        <v>180</v>
      </c>
      <c r="I430">
        <v>4</v>
      </c>
      <c r="J430">
        <v>0</v>
      </c>
      <c r="K430" t="s">
        <v>233</v>
      </c>
      <c r="L430" s="264">
        <v>46345</v>
      </c>
      <c r="M430">
        <v>0</v>
      </c>
      <c r="N430">
        <v>0</v>
      </c>
      <c r="O430">
        <v>4</v>
      </c>
      <c r="P430" t="s">
        <v>300</v>
      </c>
      <c r="Q430">
        <v>0</v>
      </c>
      <c r="R430">
        <v>0</v>
      </c>
      <c r="S430">
        <v>0</v>
      </c>
      <c r="T430">
        <v>0</v>
      </c>
      <c r="U430">
        <v>0</v>
      </c>
      <c r="V430">
        <v>0</v>
      </c>
      <c r="W430">
        <v>0</v>
      </c>
      <c r="X430">
        <v>0</v>
      </c>
      <c r="Y430">
        <v>0</v>
      </c>
      <c r="Z430">
        <v>0</v>
      </c>
      <c r="AA430">
        <v>0</v>
      </c>
      <c r="AB430">
        <v>0</v>
      </c>
      <c r="AC430">
        <v>4</v>
      </c>
      <c r="AD430">
        <v>0</v>
      </c>
      <c r="AE430">
        <v>0</v>
      </c>
      <c r="AF430">
        <v>0</v>
      </c>
      <c r="AG430">
        <v>0</v>
      </c>
      <c r="AH430">
        <v>0</v>
      </c>
      <c r="AI430">
        <v>0</v>
      </c>
      <c r="AJ430">
        <v>0</v>
      </c>
    </row>
    <row r="431" spans="1:36">
      <c r="A431" t="s">
        <v>236</v>
      </c>
      <c r="B431" s="264">
        <v>46047</v>
      </c>
      <c r="C431" t="s">
        <v>998</v>
      </c>
      <c r="D431" t="s">
        <v>978</v>
      </c>
      <c r="E431" t="s">
        <v>985</v>
      </c>
      <c r="F431" t="s">
        <v>232</v>
      </c>
      <c r="G431">
        <v>4.4699999999999997E-2</v>
      </c>
      <c r="H431">
        <v>179</v>
      </c>
      <c r="I431">
        <v>8</v>
      </c>
      <c r="J431">
        <v>0</v>
      </c>
      <c r="K431" t="s">
        <v>233</v>
      </c>
      <c r="L431" s="264">
        <v>46344</v>
      </c>
      <c r="M431">
        <v>0</v>
      </c>
      <c r="N431">
        <v>0</v>
      </c>
      <c r="O431">
        <v>8</v>
      </c>
      <c r="P431" t="s">
        <v>1029</v>
      </c>
      <c r="Q431">
        <v>0</v>
      </c>
      <c r="R431">
        <v>0</v>
      </c>
      <c r="S431">
        <v>0</v>
      </c>
      <c r="T431">
        <v>0</v>
      </c>
      <c r="U431">
        <v>0</v>
      </c>
      <c r="V431">
        <v>0</v>
      </c>
      <c r="W431">
        <v>0</v>
      </c>
      <c r="X431">
        <v>0</v>
      </c>
      <c r="Y431">
        <v>0</v>
      </c>
      <c r="Z431">
        <v>1</v>
      </c>
      <c r="AA431">
        <v>2</v>
      </c>
      <c r="AB431">
        <v>0</v>
      </c>
      <c r="AC431">
        <v>5</v>
      </c>
      <c r="AD431">
        <v>0</v>
      </c>
      <c r="AE431">
        <v>0</v>
      </c>
      <c r="AF431">
        <v>0</v>
      </c>
      <c r="AG431">
        <v>0</v>
      </c>
      <c r="AH431">
        <v>0</v>
      </c>
      <c r="AI431">
        <v>0</v>
      </c>
      <c r="AJ431">
        <v>0</v>
      </c>
    </row>
    <row r="432" spans="1:36">
      <c r="A432" t="s">
        <v>236</v>
      </c>
      <c r="B432" s="264">
        <v>46047</v>
      </c>
      <c r="C432" t="s">
        <v>1289</v>
      </c>
      <c r="D432" t="s">
        <v>703</v>
      </c>
      <c r="E432" t="s">
        <v>1286</v>
      </c>
      <c r="F432" t="s">
        <v>232</v>
      </c>
      <c r="G432">
        <v>1.12E-2</v>
      </c>
      <c r="H432">
        <v>179</v>
      </c>
      <c r="I432">
        <v>2</v>
      </c>
      <c r="J432">
        <v>0</v>
      </c>
      <c r="K432" t="s">
        <v>233</v>
      </c>
      <c r="L432" s="264">
        <v>46341</v>
      </c>
      <c r="M432">
        <v>0</v>
      </c>
      <c r="N432">
        <v>0</v>
      </c>
      <c r="O432">
        <v>2</v>
      </c>
      <c r="P432" t="s">
        <v>310</v>
      </c>
      <c r="Q432">
        <v>0</v>
      </c>
      <c r="R432">
        <v>0</v>
      </c>
      <c r="S432">
        <v>0</v>
      </c>
      <c r="T432">
        <v>0</v>
      </c>
      <c r="U432">
        <v>0</v>
      </c>
      <c r="V432">
        <v>0</v>
      </c>
      <c r="W432">
        <v>0</v>
      </c>
      <c r="X432">
        <v>0</v>
      </c>
      <c r="Y432">
        <v>0</v>
      </c>
      <c r="Z432">
        <v>0</v>
      </c>
      <c r="AA432">
        <v>2</v>
      </c>
      <c r="AB432">
        <v>0</v>
      </c>
      <c r="AC432">
        <v>0</v>
      </c>
      <c r="AD432">
        <v>0</v>
      </c>
      <c r="AE432">
        <v>0</v>
      </c>
      <c r="AF432">
        <v>0</v>
      </c>
      <c r="AG432">
        <v>0</v>
      </c>
      <c r="AH432">
        <v>0</v>
      </c>
      <c r="AI432">
        <v>0</v>
      </c>
      <c r="AJ432">
        <v>0</v>
      </c>
    </row>
    <row r="433" spans="1:36">
      <c r="A433" t="s">
        <v>236</v>
      </c>
      <c r="B433" s="264">
        <v>46047</v>
      </c>
      <c r="C433" t="s">
        <v>370</v>
      </c>
      <c r="D433" t="s">
        <v>553</v>
      </c>
      <c r="E433" t="s">
        <v>341</v>
      </c>
      <c r="F433" t="s">
        <v>232</v>
      </c>
      <c r="G433">
        <v>0</v>
      </c>
      <c r="H433">
        <v>180</v>
      </c>
      <c r="I433">
        <v>0</v>
      </c>
      <c r="J433">
        <v>0</v>
      </c>
      <c r="K433" t="s">
        <v>233</v>
      </c>
      <c r="L433" t="s">
        <v>66</v>
      </c>
      <c r="M433">
        <v>0</v>
      </c>
      <c r="N433">
        <v>0</v>
      </c>
      <c r="O433">
        <v>0</v>
      </c>
      <c r="P433" t="s">
        <v>292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row>
    <row r="434" spans="1:36">
      <c r="A434" t="s">
        <v>236</v>
      </c>
      <c r="B434" s="264">
        <v>46047</v>
      </c>
      <c r="C434" t="s">
        <v>433</v>
      </c>
      <c r="D434" t="s">
        <v>572</v>
      </c>
      <c r="E434" t="s">
        <v>341</v>
      </c>
      <c r="F434" t="s">
        <v>232</v>
      </c>
      <c r="G434">
        <v>4.4400000000000002E-2</v>
      </c>
      <c r="H434">
        <v>180</v>
      </c>
      <c r="I434">
        <v>8</v>
      </c>
      <c r="J434">
        <v>0</v>
      </c>
      <c r="K434" t="s">
        <v>233</v>
      </c>
      <c r="L434" s="264">
        <v>46343</v>
      </c>
      <c r="M434">
        <v>0</v>
      </c>
      <c r="N434">
        <v>0</v>
      </c>
      <c r="O434">
        <v>8</v>
      </c>
      <c r="P434" t="s">
        <v>430</v>
      </c>
      <c r="Q434">
        <v>0</v>
      </c>
      <c r="R434">
        <v>0</v>
      </c>
      <c r="S434">
        <v>0</v>
      </c>
      <c r="T434">
        <v>0</v>
      </c>
      <c r="U434">
        <v>0</v>
      </c>
      <c r="V434">
        <v>0</v>
      </c>
      <c r="W434">
        <v>0</v>
      </c>
      <c r="X434">
        <v>0</v>
      </c>
      <c r="Y434">
        <v>0</v>
      </c>
      <c r="Z434">
        <v>0</v>
      </c>
      <c r="AA434">
        <v>0</v>
      </c>
      <c r="AB434">
        <v>0</v>
      </c>
      <c r="AC434">
        <v>3</v>
      </c>
      <c r="AD434">
        <v>5</v>
      </c>
      <c r="AE434">
        <v>0</v>
      </c>
      <c r="AF434">
        <v>0</v>
      </c>
      <c r="AG434">
        <v>0</v>
      </c>
      <c r="AH434">
        <v>0</v>
      </c>
      <c r="AI434">
        <v>0</v>
      </c>
      <c r="AJ434">
        <v>0</v>
      </c>
    </row>
    <row r="435" spans="1:36">
      <c r="A435" t="s">
        <v>236</v>
      </c>
      <c r="B435" s="264">
        <v>46047</v>
      </c>
      <c r="C435" t="s">
        <v>376</v>
      </c>
      <c r="D435" t="s">
        <v>561</v>
      </c>
      <c r="E435" t="s">
        <v>341</v>
      </c>
      <c r="F435" t="s">
        <v>232</v>
      </c>
      <c r="G435">
        <v>6.6699999999999995E-2</v>
      </c>
      <c r="H435">
        <v>180</v>
      </c>
      <c r="I435">
        <v>12</v>
      </c>
      <c r="J435">
        <v>0</v>
      </c>
      <c r="K435" t="s">
        <v>233</v>
      </c>
      <c r="L435" s="264">
        <v>46335</v>
      </c>
      <c r="M435">
        <v>0</v>
      </c>
      <c r="N435">
        <v>0</v>
      </c>
      <c r="O435">
        <v>13</v>
      </c>
      <c r="P435" t="s">
        <v>302</v>
      </c>
      <c r="Q435">
        <v>0</v>
      </c>
      <c r="R435">
        <v>0</v>
      </c>
      <c r="S435">
        <v>0</v>
      </c>
      <c r="T435">
        <v>0</v>
      </c>
      <c r="U435">
        <v>0</v>
      </c>
      <c r="V435">
        <v>0</v>
      </c>
      <c r="W435">
        <v>0</v>
      </c>
      <c r="X435">
        <v>0</v>
      </c>
      <c r="Y435">
        <v>0</v>
      </c>
      <c r="Z435">
        <v>0</v>
      </c>
      <c r="AA435">
        <v>0</v>
      </c>
      <c r="AB435">
        <v>0</v>
      </c>
      <c r="AC435">
        <v>6</v>
      </c>
      <c r="AD435">
        <v>6</v>
      </c>
      <c r="AE435">
        <v>0</v>
      </c>
      <c r="AF435">
        <v>0</v>
      </c>
      <c r="AG435">
        <v>0</v>
      </c>
      <c r="AH435">
        <v>0</v>
      </c>
      <c r="AI435">
        <v>0</v>
      </c>
      <c r="AJ435">
        <v>0</v>
      </c>
    </row>
    <row r="436" spans="1:36">
      <c r="A436" t="s">
        <v>236</v>
      </c>
      <c r="B436" s="264">
        <v>46047</v>
      </c>
      <c r="C436" t="s">
        <v>378</v>
      </c>
      <c r="D436" t="s">
        <v>573</v>
      </c>
      <c r="E436" t="s">
        <v>341</v>
      </c>
      <c r="F436" t="s">
        <v>232</v>
      </c>
      <c r="G436">
        <v>4.4400000000000002E-2</v>
      </c>
      <c r="H436">
        <v>180</v>
      </c>
      <c r="I436">
        <v>8</v>
      </c>
      <c r="J436">
        <v>0</v>
      </c>
      <c r="K436" t="s">
        <v>233</v>
      </c>
      <c r="L436" s="264">
        <v>46344</v>
      </c>
      <c r="M436">
        <v>0</v>
      </c>
      <c r="N436">
        <v>0</v>
      </c>
      <c r="O436">
        <v>8</v>
      </c>
      <c r="P436" t="s">
        <v>306</v>
      </c>
      <c r="Q436">
        <v>0</v>
      </c>
      <c r="R436">
        <v>0</v>
      </c>
      <c r="S436">
        <v>0</v>
      </c>
      <c r="T436">
        <v>0</v>
      </c>
      <c r="U436">
        <v>0</v>
      </c>
      <c r="V436">
        <v>0</v>
      </c>
      <c r="W436">
        <v>0</v>
      </c>
      <c r="X436">
        <v>0</v>
      </c>
      <c r="Y436">
        <v>0</v>
      </c>
      <c r="Z436">
        <v>0</v>
      </c>
      <c r="AA436">
        <v>0</v>
      </c>
      <c r="AB436">
        <v>0</v>
      </c>
      <c r="AC436">
        <v>2</v>
      </c>
      <c r="AD436">
        <v>6</v>
      </c>
      <c r="AE436">
        <v>0</v>
      </c>
      <c r="AF436">
        <v>0</v>
      </c>
      <c r="AG436">
        <v>0</v>
      </c>
      <c r="AH436">
        <v>0</v>
      </c>
      <c r="AI436">
        <v>0</v>
      </c>
      <c r="AJ436">
        <v>0</v>
      </c>
    </row>
    <row r="437" spans="1:36">
      <c r="A437" t="s">
        <v>236</v>
      </c>
      <c r="B437" s="264">
        <v>46047</v>
      </c>
      <c r="C437" t="s">
        <v>380</v>
      </c>
      <c r="D437" t="s">
        <v>574</v>
      </c>
      <c r="E437" t="s">
        <v>341</v>
      </c>
      <c r="F437" t="s">
        <v>232</v>
      </c>
      <c r="G437">
        <v>3.3300000000000003E-2</v>
      </c>
      <c r="H437">
        <v>180</v>
      </c>
      <c r="I437">
        <v>6</v>
      </c>
      <c r="J437">
        <v>0</v>
      </c>
      <c r="K437" t="s">
        <v>233</v>
      </c>
      <c r="L437" s="264">
        <v>46341</v>
      </c>
      <c r="M437">
        <v>0</v>
      </c>
      <c r="N437">
        <v>0</v>
      </c>
      <c r="O437">
        <v>6</v>
      </c>
      <c r="P437" t="s">
        <v>299</v>
      </c>
      <c r="Q437">
        <v>0</v>
      </c>
      <c r="R437">
        <v>0</v>
      </c>
      <c r="S437">
        <v>0</v>
      </c>
      <c r="T437">
        <v>0</v>
      </c>
      <c r="U437">
        <v>0</v>
      </c>
      <c r="V437">
        <v>0</v>
      </c>
      <c r="W437">
        <v>0</v>
      </c>
      <c r="X437">
        <v>0</v>
      </c>
      <c r="Y437">
        <v>0</v>
      </c>
      <c r="Z437">
        <v>0</v>
      </c>
      <c r="AA437">
        <v>0</v>
      </c>
      <c r="AB437">
        <v>0</v>
      </c>
      <c r="AC437">
        <v>0</v>
      </c>
      <c r="AD437">
        <v>6</v>
      </c>
      <c r="AE437">
        <v>0</v>
      </c>
      <c r="AF437">
        <v>0</v>
      </c>
      <c r="AG437">
        <v>0</v>
      </c>
      <c r="AH437">
        <v>0</v>
      </c>
      <c r="AI437">
        <v>0</v>
      </c>
      <c r="AJ437">
        <v>0</v>
      </c>
    </row>
    <row r="438" spans="1:36">
      <c r="A438" t="s">
        <v>236</v>
      </c>
      <c r="B438" s="264">
        <v>46047</v>
      </c>
      <c r="C438" t="s">
        <v>65</v>
      </c>
      <c r="D438" t="s">
        <v>237</v>
      </c>
      <c r="E438" t="s">
        <v>1</v>
      </c>
      <c r="F438" t="s">
        <v>232</v>
      </c>
      <c r="G438">
        <v>5.5999999999999999E-3</v>
      </c>
      <c r="H438">
        <v>180</v>
      </c>
      <c r="I438">
        <v>1</v>
      </c>
      <c r="J438">
        <v>0</v>
      </c>
      <c r="K438" t="s">
        <v>233</v>
      </c>
      <c r="L438" s="264">
        <v>46332</v>
      </c>
      <c r="M438">
        <v>0</v>
      </c>
      <c r="N438">
        <v>0</v>
      </c>
      <c r="O438">
        <v>1</v>
      </c>
      <c r="P438" t="s">
        <v>67</v>
      </c>
      <c r="Q438">
        <v>0</v>
      </c>
      <c r="R438">
        <v>0</v>
      </c>
      <c r="S438">
        <v>0</v>
      </c>
      <c r="T438">
        <v>0</v>
      </c>
      <c r="U438">
        <v>0</v>
      </c>
      <c r="V438">
        <v>0</v>
      </c>
      <c r="W438">
        <v>0</v>
      </c>
      <c r="X438">
        <v>0</v>
      </c>
      <c r="Y438">
        <v>0</v>
      </c>
      <c r="Z438">
        <v>0</v>
      </c>
      <c r="AA438">
        <v>0</v>
      </c>
      <c r="AB438">
        <v>1</v>
      </c>
      <c r="AC438">
        <v>0</v>
      </c>
      <c r="AD438">
        <v>0</v>
      </c>
      <c r="AE438">
        <v>0</v>
      </c>
      <c r="AF438">
        <v>0</v>
      </c>
      <c r="AG438">
        <v>0</v>
      </c>
      <c r="AH438">
        <v>0</v>
      </c>
      <c r="AI438">
        <v>0</v>
      </c>
      <c r="AJ438">
        <v>0</v>
      </c>
    </row>
    <row r="439" spans="1:36">
      <c r="A439" t="s">
        <v>236</v>
      </c>
      <c r="B439" s="264">
        <v>46047</v>
      </c>
      <c r="C439" t="s">
        <v>818</v>
      </c>
      <c r="D439" t="s">
        <v>978</v>
      </c>
      <c r="E439" t="s">
        <v>808</v>
      </c>
      <c r="F439" t="s">
        <v>232</v>
      </c>
      <c r="G439">
        <v>1.6799999999999999E-2</v>
      </c>
      <c r="H439">
        <v>179</v>
      </c>
      <c r="I439">
        <v>3</v>
      </c>
      <c r="J439">
        <v>0</v>
      </c>
      <c r="K439" t="s">
        <v>233</v>
      </c>
      <c r="L439" s="264">
        <v>46309</v>
      </c>
      <c r="M439">
        <v>0</v>
      </c>
      <c r="N439">
        <v>0</v>
      </c>
      <c r="O439">
        <v>3</v>
      </c>
      <c r="P439" t="s">
        <v>514</v>
      </c>
      <c r="Q439">
        <v>0</v>
      </c>
      <c r="R439">
        <v>0</v>
      </c>
      <c r="S439">
        <v>0</v>
      </c>
      <c r="T439">
        <v>0</v>
      </c>
      <c r="U439">
        <v>0</v>
      </c>
      <c r="V439">
        <v>0</v>
      </c>
      <c r="W439">
        <v>0</v>
      </c>
      <c r="X439">
        <v>0</v>
      </c>
      <c r="Y439">
        <v>0</v>
      </c>
      <c r="Z439">
        <v>1</v>
      </c>
      <c r="AA439">
        <v>2</v>
      </c>
      <c r="AB439">
        <v>0</v>
      </c>
      <c r="AC439">
        <v>0</v>
      </c>
      <c r="AD439">
        <v>0</v>
      </c>
      <c r="AE439">
        <v>0</v>
      </c>
      <c r="AF439">
        <v>0</v>
      </c>
      <c r="AG439">
        <v>0</v>
      </c>
      <c r="AH439">
        <v>0</v>
      </c>
      <c r="AI439">
        <v>0</v>
      </c>
      <c r="AJ439">
        <v>0</v>
      </c>
    </row>
    <row r="440" spans="1:36">
      <c r="A440" t="s">
        <v>236</v>
      </c>
      <c r="B440" s="264">
        <v>46047</v>
      </c>
      <c r="C440" t="s">
        <v>1215</v>
      </c>
      <c r="D440" t="s">
        <v>1236</v>
      </c>
      <c r="E440" t="s">
        <v>1213</v>
      </c>
      <c r="F440" t="s">
        <v>232</v>
      </c>
      <c r="G440">
        <v>1.6799999999999999E-2</v>
      </c>
      <c r="H440">
        <v>179</v>
      </c>
      <c r="I440">
        <v>3</v>
      </c>
      <c r="J440">
        <v>0</v>
      </c>
      <c r="K440" t="s">
        <v>233</v>
      </c>
      <c r="L440" s="264">
        <v>46318</v>
      </c>
      <c r="M440">
        <v>0</v>
      </c>
      <c r="N440">
        <v>0</v>
      </c>
      <c r="O440">
        <v>3</v>
      </c>
      <c r="P440" t="s">
        <v>549</v>
      </c>
      <c r="Q440">
        <v>0</v>
      </c>
      <c r="R440">
        <v>0</v>
      </c>
      <c r="S440">
        <v>0</v>
      </c>
      <c r="T440">
        <v>0</v>
      </c>
      <c r="U440">
        <v>0</v>
      </c>
      <c r="V440">
        <v>0</v>
      </c>
      <c r="W440">
        <v>0</v>
      </c>
      <c r="X440">
        <v>0</v>
      </c>
      <c r="Y440">
        <v>0</v>
      </c>
      <c r="Z440">
        <v>0</v>
      </c>
      <c r="AA440">
        <v>0</v>
      </c>
      <c r="AB440">
        <v>1</v>
      </c>
      <c r="AC440">
        <v>2</v>
      </c>
      <c r="AD440">
        <v>0</v>
      </c>
      <c r="AE440">
        <v>0</v>
      </c>
      <c r="AF440">
        <v>0</v>
      </c>
      <c r="AG440">
        <v>0</v>
      </c>
      <c r="AH440">
        <v>0</v>
      </c>
      <c r="AI440">
        <v>0</v>
      </c>
      <c r="AJ440">
        <v>0</v>
      </c>
    </row>
    <row r="441" spans="1:36">
      <c r="A441" t="s">
        <v>236</v>
      </c>
      <c r="B441" s="264">
        <v>46047</v>
      </c>
      <c r="C441" t="s">
        <v>613</v>
      </c>
      <c r="D441" t="s">
        <v>692</v>
      </c>
      <c r="E441" t="s">
        <v>601</v>
      </c>
      <c r="F441" t="s">
        <v>232</v>
      </c>
      <c r="G441">
        <v>5.5999999999999999E-3</v>
      </c>
      <c r="H441">
        <v>180</v>
      </c>
      <c r="I441">
        <v>1</v>
      </c>
      <c r="J441">
        <v>0</v>
      </c>
      <c r="K441" t="s">
        <v>233</v>
      </c>
      <c r="L441" s="264">
        <v>46325</v>
      </c>
      <c r="M441">
        <v>0</v>
      </c>
      <c r="N441">
        <v>0</v>
      </c>
      <c r="O441">
        <v>3</v>
      </c>
      <c r="P441" t="s">
        <v>292</v>
      </c>
      <c r="Q441">
        <v>0</v>
      </c>
      <c r="R441">
        <v>0</v>
      </c>
      <c r="S441">
        <v>0</v>
      </c>
      <c r="T441">
        <v>0</v>
      </c>
      <c r="U441">
        <v>0</v>
      </c>
      <c r="V441">
        <v>0</v>
      </c>
      <c r="W441">
        <v>0</v>
      </c>
      <c r="X441">
        <v>0</v>
      </c>
      <c r="Y441">
        <v>0</v>
      </c>
      <c r="Z441">
        <v>0</v>
      </c>
      <c r="AA441">
        <v>0</v>
      </c>
      <c r="AB441">
        <v>0</v>
      </c>
      <c r="AC441">
        <v>1</v>
      </c>
      <c r="AD441">
        <v>0</v>
      </c>
      <c r="AE441">
        <v>0</v>
      </c>
      <c r="AF441">
        <v>0</v>
      </c>
      <c r="AG441">
        <v>0</v>
      </c>
      <c r="AH441">
        <v>0</v>
      </c>
      <c r="AI441">
        <v>0</v>
      </c>
      <c r="AJ441">
        <v>0</v>
      </c>
    </row>
    <row r="442" spans="1:36">
      <c r="A442" t="s">
        <v>236</v>
      </c>
      <c r="B442" s="264">
        <v>46047</v>
      </c>
      <c r="C442" t="s">
        <v>630</v>
      </c>
      <c r="D442" t="s">
        <v>693</v>
      </c>
      <c r="E442" t="s">
        <v>601</v>
      </c>
      <c r="F442" t="s">
        <v>232</v>
      </c>
      <c r="G442">
        <v>1.67E-2</v>
      </c>
      <c r="H442">
        <v>180</v>
      </c>
      <c r="I442">
        <v>3</v>
      </c>
      <c r="J442">
        <v>0</v>
      </c>
      <c r="K442" t="s">
        <v>233</v>
      </c>
      <c r="L442" s="264">
        <v>46342</v>
      </c>
      <c r="M442">
        <v>0</v>
      </c>
      <c r="N442">
        <v>0</v>
      </c>
      <c r="O442">
        <v>4</v>
      </c>
      <c r="P442" t="s">
        <v>299</v>
      </c>
      <c r="Q442">
        <v>0</v>
      </c>
      <c r="R442">
        <v>0</v>
      </c>
      <c r="S442">
        <v>0</v>
      </c>
      <c r="T442">
        <v>0</v>
      </c>
      <c r="U442">
        <v>0</v>
      </c>
      <c r="V442">
        <v>0</v>
      </c>
      <c r="W442">
        <v>0</v>
      </c>
      <c r="X442">
        <v>0</v>
      </c>
      <c r="Y442">
        <v>0</v>
      </c>
      <c r="Z442">
        <v>0</v>
      </c>
      <c r="AA442">
        <v>0</v>
      </c>
      <c r="AB442">
        <v>0</v>
      </c>
      <c r="AC442">
        <v>3</v>
      </c>
      <c r="AD442">
        <v>0</v>
      </c>
      <c r="AE442">
        <v>0</v>
      </c>
      <c r="AF442">
        <v>0</v>
      </c>
      <c r="AG442">
        <v>0</v>
      </c>
      <c r="AH442">
        <v>0</v>
      </c>
      <c r="AI442">
        <v>0</v>
      </c>
      <c r="AJ442">
        <v>0</v>
      </c>
    </row>
    <row r="443" spans="1:36">
      <c r="A443" t="s">
        <v>236</v>
      </c>
      <c r="B443" s="264">
        <v>46047</v>
      </c>
      <c r="C443" t="s">
        <v>263</v>
      </c>
      <c r="D443" t="s">
        <v>235</v>
      </c>
      <c r="E443" t="s">
        <v>261</v>
      </c>
      <c r="F443" t="s">
        <v>232</v>
      </c>
      <c r="G443">
        <v>5.5999999999999999E-3</v>
      </c>
      <c r="H443">
        <v>180</v>
      </c>
      <c r="I443">
        <v>1</v>
      </c>
      <c r="J443">
        <v>0</v>
      </c>
      <c r="K443" t="s">
        <v>233</v>
      </c>
      <c r="L443" s="264">
        <v>46343</v>
      </c>
      <c r="M443">
        <v>0</v>
      </c>
      <c r="N443">
        <v>0</v>
      </c>
      <c r="O443">
        <v>2</v>
      </c>
      <c r="P443" t="s">
        <v>301</v>
      </c>
      <c r="Q443">
        <v>0</v>
      </c>
      <c r="R443">
        <v>0</v>
      </c>
      <c r="S443">
        <v>0</v>
      </c>
      <c r="T443">
        <v>0</v>
      </c>
      <c r="U443">
        <v>0</v>
      </c>
      <c r="V443">
        <v>0</v>
      </c>
      <c r="W443">
        <v>0</v>
      </c>
      <c r="X443">
        <v>0</v>
      </c>
      <c r="Y443">
        <v>0</v>
      </c>
      <c r="Z443">
        <v>0</v>
      </c>
      <c r="AA443">
        <v>0</v>
      </c>
      <c r="AB443">
        <v>0</v>
      </c>
      <c r="AC443">
        <v>1</v>
      </c>
      <c r="AD443">
        <v>0</v>
      </c>
      <c r="AE443">
        <v>0</v>
      </c>
      <c r="AF443">
        <v>0</v>
      </c>
      <c r="AG443">
        <v>0</v>
      </c>
      <c r="AH443">
        <v>0</v>
      </c>
      <c r="AI443">
        <v>0</v>
      </c>
      <c r="AJ443">
        <v>0</v>
      </c>
    </row>
    <row r="444" spans="1:36">
      <c r="A444" t="s">
        <v>240</v>
      </c>
      <c r="B444" s="264">
        <v>46048</v>
      </c>
      <c r="C444" t="s">
        <v>775</v>
      </c>
      <c r="D444" t="s">
        <v>276</v>
      </c>
      <c r="E444" t="s">
        <v>774</v>
      </c>
      <c r="F444" t="s">
        <v>232</v>
      </c>
      <c r="G444">
        <v>0</v>
      </c>
      <c r="H444">
        <v>180</v>
      </c>
      <c r="I444">
        <v>0</v>
      </c>
      <c r="J444">
        <v>0</v>
      </c>
      <c r="K444" t="s">
        <v>233</v>
      </c>
      <c r="L444" t="s">
        <v>66</v>
      </c>
      <c r="M444">
        <v>0</v>
      </c>
      <c r="N444">
        <v>0</v>
      </c>
      <c r="O444">
        <v>0</v>
      </c>
      <c r="P444" t="s">
        <v>761</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row>
    <row r="445" spans="1:36">
      <c r="A445" t="s">
        <v>240</v>
      </c>
      <c r="B445" s="264">
        <v>46048</v>
      </c>
      <c r="C445" t="s">
        <v>776</v>
      </c>
      <c r="D445" t="s">
        <v>778</v>
      </c>
      <c r="E445" t="s">
        <v>774</v>
      </c>
      <c r="F445" t="s">
        <v>232</v>
      </c>
      <c r="G445">
        <v>0</v>
      </c>
      <c r="H445">
        <v>180</v>
      </c>
      <c r="I445">
        <v>0</v>
      </c>
      <c r="J445">
        <v>0</v>
      </c>
      <c r="K445" t="s">
        <v>233</v>
      </c>
      <c r="L445" t="s">
        <v>66</v>
      </c>
      <c r="M445">
        <v>0</v>
      </c>
      <c r="N445">
        <v>0</v>
      </c>
      <c r="O445">
        <v>0</v>
      </c>
      <c r="P445" t="s">
        <v>761</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row>
    <row r="446" spans="1:36">
      <c r="A446" t="s">
        <v>240</v>
      </c>
      <c r="B446" s="264">
        <v>46048</v>
      </c>
      <c r="C446" t="s">
        <v>1125</v>
      </c>
      <c r="D446" t="s">
        <v>1141</v>
      </c>
      <c r="E446" t="s">
        <v>1123</v>
      </c>
      <c r="F446" t="s">
        <v>232</v>
      </c>
      <c r="G446">
        <v>1.11E-2</v>
      </c>
      <c r="H446">
        <v>180</v>
      </c>
      <c r="I446">
        <v>2</v>
      </c>
      <c r="J446">
        <v>0</v>
      </c>
      <c r="K446" t="s">
        <v>233</v>
      </c>
      <c r="L446" s="264">
        <v>46334</v>
      </c>
      <c r="M446">
        <v>0</v>
      </c>
      <c r="N446">
        <v>0</v>
      </c>
      <c r="O446">
        <v>2</v>
      </c>
      <c r="P446" t="s">
        <v>967</v>
      </c>
      <c r="Q446">
        <v>0</v>
      </c>
      <c r="R446">
        <v>0</v>
      </c>
      <c r="S446">
        <v>0</v>
      </c>
      <c r="T446">
        <v>0</v>
      </c>
      <c r="U446">
        <v>0</v>
      </c>
      <c r="V446">
        <v>0</v>
      </c>
      <c r="W446">
        <v>0</v>
      </c>
      <c r="X446">
        <v>0</v>
      </c>
      <c r="Y446">
        <v>0</v>
      </c>
      <c r="Z446">
        <v>0</v>
      </c>
      <c r="AA446">
        <v>0</v>
      </c>
      <c r="AB446">
        <v>0</v>
      </c>
      <c r="AC446">
        <v>1</v>
      </c>
      <c r="AD446">
        <v>0</v>
      </c>
      <c r="AE446">
        <v>1</v>
      </c>
      <c r="AF446">
        <v>0</v>
      </c>
      <c r="AG446">
        <v>0</v>
      </c>
      <c r="AH446">
        <v>0</v>
      </c>
      <c r="AI446">
        <v>0</v>
      </c>
      <c r="AJ446">
        <v>0</v>
      </c>
    </row>
    <row r="447" spans="1:36">
      <c r="A447" t="s">
        <v>240</v>
      </c>
      <c r="B447" s="264">
        <v>46048</v>
      </c>
      <c r="C447" t="s">
        <v>709</v>
      </c>
      <c r="D447" t="s">
        <v>743</v>
      </c>
      <c r="E447" t="s">
        <v>706</v>
      </c>
      <c r="F447" t="s">
        <v>232</v>
      </c>
      <c r="G447">
        <v>0</v>
      </c>
      <c r="H447">
        <v>180</v>
      </c>
      <c r="I447">
        <v>0</v>
      </c>
      <c r="J447">
        <v>0</v>
      </c>
      <c r="K447" t="s">
        <v>233</v>
      </c>
      <c r="L447" t="s">
        <v>66</v>
      </c>
      <c r="M447">
        <v>0</v>
      </c>
      <c r="N447">
        <v>0</v>
      </c>
      <c r="O447">
        <v>0</v>
      </c>
      <c r="P447" t="s">
        <v>307</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row>
    <row r="448" spans="1:36">
      <c r="A448" t="s">
        <v>240</v>
      </c>
      <c r="B448" s="264">
        <v>46048</v>
      </c>
      <c r="C448" t="s">
        <v>712</v>
      </c>
      <c r="D448" t="s">
        <v>750</v>
      </c>
      <c r="E448" t="s">
        <v>706</v>
      </c>
      <c r="F448" t="s">
        <v>232</v>
      </c>
      <c r="G448">
        <v>0</v>
      </c>
      <c r="H448">
        <v>180</v>
      </c>
      <c r="I448">
        <v>0</v>
      </c>
      <c r="J448">
        <v>0</v>
      </c>
      <c r="K448" t="s">
        <v>233</v>
      </c>
      <c r="L448" t="s">
        <v>66</v>
      </c>
      <c r="M448">
        <v>0</v>
      </c>
      <c r="N448">
        <v>0</v>
      </c>
      <c r="O448">
        <v>0</v>
      </c>
      <c r="P448" t="s">
        <v>307</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row>
    <row r="449" spans="1:36">
      <c r="A449" t="s">
        <v>240</v>
      </c>
      <c r="B449" s="264">
        <v>46048</v>
      </c>
      <c r="C449" t="s">
        <v>716</v>
      </c>
      <c r="D449" t="s">
        <v>749</v>
      </c>
      <c r="E449" t="s">
        <v>706</v>
      </c>
      <c r="F449" t="s">
        <v>232</v>
      </c>
      <c r="G449">
        <v>5.5999999999999999E-3</v>
      </c>
      <c r="H449">
        <v>180</v>
      </c>
      <c r="I449">
        <v>1</v>
      </c>
      <c r="J449">
        <v>0</v>
      </c>
      <c r="K449" t="s">
        <v>233</v>
      </c>
      <c r="L449" s="264">
        <v>46307</v>
      </c>
      <c r="M449">
        <v>0</v>
      </c>
      <c r="N449">
        <v>0</v>
      </c>
      <c r="O449">
        <v>1</v>
      </c>
      <c r="P449" t="s">
        <v>304</v>
      </c>
      <c r="Q449">
        <v>0</v>
      </c>
      <c r="R449">
        <v>0</v>
      </c>
      <c r="S449">
        <v>0</v>
      </c>
      <c r="T449">
        <v>0</v>
      </c>
      <c r="U449">
        <v>0</v>
      </c>
      <c r="V449">
        <v>0</v>
      </c>
      <c r="W449">
        <v>0</v>
      </c>
      <c r="X449">
        <v>0</v>
      </c>
      <c r="Y449">
        <v>0</v>
      </c>
      <c r="Z449">
        <v>0</v>
      </c>
      <c r="AA449">
        <v>0</v>
      </c>
      <c r="AB449">
        <v>0</v>
      </c>
      <c r="AC449">
        <v>1</v>
      </c>
      <c r="AD449">
        <v>0</v>
      </c>
      <c r="AE449">
        <v>0</v>
      </c>
      <c r="AF449">
        <v>0</v>
      </c>
      <c r="AG449">
        <v>0</v>
      </c>
      <c r="AH449">
        <v>0</v>
      </c>
      <c r="AI449">
        <v>0</v>
      </c>
      <c r="AJ449">
        <v>0</v>
      </c>
    </row>
    <row r="450" spans="1:36">
      <c r="A450" t="s">
        <v>240</v>
      </c>
      <c r="B450" s="264">
        <v>46048</v>
      </c>
      <c r="C450" t="s">
        <v>323</v>
      </c>
      <c r="D450" t="s">
        <v>335</v>
      </c>
      <c r="E450" t="s">
        <v>320</v>
      </c>
      <c r="F450" t="s">
        <v>232</v>
      </c>
      <c r="G450">
        <v>5.5999999999999999E-3</v>
      </c>
      <c r="H450">
        <v>180</v>
      </c>
      <c r="I450">
        <v>1</v>
      </c>
      <c r="J450">
        <v>0</v>
      </c>
      <c r="K450" t="s">
        <v>233</v>
      </c>
      <c r="L450" s="264">
        <v>46337</v>
      </c>
      <c r="M450">
        <v>0</v>
      </c>
      <c r="N450">
        <v>0</v>
      </c>
      <c r="O450">
        <v>1</v>
      </c>
      <c r="P450" t="s">
        <v>326</v>
      </c>
      <c r="Q450">
        <v>0</v>
      </c>
      <c r="R450">
        <v>0</v>
      </c>
      <c r="S450">
        <v>0</v>
      </c>
      <c r="T450">
        <v>0</v>
      </c>
      <c r="U450">
        <v>0</v>
      </c>
      <c r="V450">
        <v>0</v>
      </c>
      <c r="W450">
        <v>0</v>
      </c>
      <c r="X450">
        <v>0</v>
      </c>
      <c r="Y450">
        <v>0</v>
      </c>
      <c r="Z450">
        <v>0</v>
      </c>
      <c r="AA450">
        <v>0</v>
      </c>
      <c r="AB450">
        <v>0</v>
      </c>
      <c r="AC450">
        <v>1</v>
      </c>
      <c r="AD450">
        <v>0</v>
      </c>
      <c r="AE450">
        <v>0</v>
      </c>
      <c r="AF450">
        <v>0</v>
      </c>
      <c r="AG450">
        <v>0</v>
      </c>
      <c r="AH450">
        <v>0</v>
      </c>
      <c r="AI450">
        <v>0</v>
      </c>
      <c r="AJ450">
        <v>0</v>
      </c>
    </row>
    <row r="451" spans="1:36">
      <c r="A451" t="s">
        <v>240</v>
      </c>
      <c r="B451" s="264">
        <v>46048</v>
      </c>
      <c r="C451" t="s">
        <v>433</v>
      </c>
      <c r="D451" t="s">
        <v>334</v>
      </c>
      <c r="E451" t="s">
        <v>341</v>
      </c>
      <c r="F451" t="s">
        <v>232</v>
      </c>
      <c r="G451">
        <v>4.4400000000000002E-2</v>
      </c>
      <c r="H451">
        <v>180</v>
      </c>
      <c r="I451">
        <v>8</v>
      </c>
      <c r="J451">
        <v>0</v>
      </c>
      <c r="K451" t="s">
        <v>233</v>
      </c>
      <c r="L451" s="264">
        <v>46344</v>
      </c>
      <c r="M451">
        <v>0</v>
      </c>
      <c r="N451">
        <v>0</v>
      </c>
      <c r="O451">
        <v>8</v>
      </c>
      <c r="P451" t="s">
        <v>305</v>
      </c>
      <c r="Q451">
        <v>0</v>
      </c>
      <c r="R451">
        <v>0</v>
      </c>
      <c r="S451">
        <v>0</v>
      </c>
      <c r="T451">
        <v>0</v>
      </c>
      <c r="U451">
        <v>0</v>
      </c>
      <c r="V451">
        <v>0</v>
      </c>
      <c r="W451">
        <v>0</v>
      </c>
      <c r="X451">
        <v>0</v>
      </c>
      <c r="Y451">
        <v>0</v>
      </c>
      <c r="Z451">
        <v>1</v>
      </c>
      <c r="AA451">
        <v>0</v>
      </c>
      <c r="AB451">
        <v>0</v>
      </c>
      <c r="AC451">
        <v>1</v>
      </c>
      <c r="AD451">
        <v>6</v>
      </c>
      <c r="AE451">
        <v>0</v>
      </c>
      <c r="AF451">
        <v>0</v>
      </c>
      <c r="AG451">
        <v>0</v>
      </c>
      <c r="AH451">
        <v>0</v>
      </c>
      <c r="AI451">
        <v>0</v>
      </c>
      <c r="AJ451">
        <v>0</v>
      </c>
    </row>
    <row r="452" spans="1:36">
      <c r="A452" t="s">
        <v>240</v>
      </c>
      <c r="B452" s="264">
        <v>46048</v>
      </c>
      <c r="C452" t="s">
        <v>376</v>
      </c>
      <c r="D452" t="s">
        <v>575</v>
      </c>
      <c r="E452" t="s">
        <v>341</v>
      </c>
      <c r="F452" t="s">
        <v>232</v>
      </c>
      <c r="G452">
        <v>6.1100000000000002E-2</v>
      </c>
      <c r="H452">
        <v>180</v>
      </c>
      <c r="I452">
        <v>11</v>
      </c>
      <c r="J452">
        <v>0</v>
      </c>
      <c r="K452" t="s">
        <v>233</v>
      </c>
      <c r="L452" s="264">
        <v>46335</v>
      </c>
      <c r="M452">
        <v>0</v>
      </c>
      <c r="N452">
        <v>0</v>
      </c>
      <c r="O452">
        <v>14</v>
      </c>
      <c r="P452" t="s">
        <v>298</v>
      </c>
      <c r="Q452">
        <v>0</v>
      </c>
      <c r="R452">
        <v>0</v>
      </c>
      <c r="S452">
        <v>0</v>
      </c>
      <c r="T452">
        <v>0</v>
      </c>
      <c r="U452">
        <v>0</v>
      </c>
      <c r="V452">
        <v>0</v>
      </c>
      <c r="W452">
        <v>0</v>
      </c>
      <c r="X452">
        <v>0</v>
      </c>
      <c r="Y452">
        <v>0</v>
      </c>
      <c r="Z452">
        <v>0</v>
      </c>
      <c r="AA452">
        <v>0</v>
      </c>
      <c r="AB452">
        <v>0</v>
      </c>
      <c r="AC452">
        <v>0</v>
      </c>
      <c r="AD452">
        <v>6</v>
      </c>
      <c r="AE452">
        <v>0</v>
      </c>
      <c r="AF452">
        <v>5</v>
      </c>
      <c r="AG452">
        <v>0</v>
      </c>
      <c r="AH452">
        <v>0</v>
      </c>
      <c r="AI452">
        <v>0</v>
      </c>
      <c r="AJ452">
        <v>0</v>
      </c>
    </row>
    <row r="453" spans="1:36">
      <c r="A453" t="s">
        <v>240</v>
      </c>
      <c r="B453" s="264">
        <v>46048</v>
      </c>
      <c r="C453" t="s">
        <v>378</v>
      </c>
      <c r="D453" t="s">
        <v>563</v>
      </c>
      <c r="E453" t="s">
        <v>341</v>
      </c>
      <c r="F453" t="s">
        <v>232</v>
      </c>
      <c r="G453">
        <v>0.05</v>
      </c>
      <c r="H453">
        <v>180</v>
      </c>
      <c r="I453">
        <v>9</v>
      </c>
      <c r="J453">
        <v>0</v>
      </c>
      <c r="K453" t="s">
        <v>233</v>
      </c>
      <c r="L453" s="264">
        <v>46302</v>
      </c>
      <c r="M453">
        <v>0</v>
      </c>
      <c r="N453">
        <v>0</v>
      </c>
      <c r="O453">
        <v>9</v>
      </c>
      <c r="P453" t="s">
        <v>307</v>
      </c>
      <c r="Q453">
        <v>0</v>
      </c>
      <c r="R453">
        <v>0</v>
      </c>
      <c r="S453">
        <v>0</v>
      </c>
      <c r="T453">
        <v>0</v>
      </c>
      <c r="U453">
        <v>0</v>
      </c>
      <c r="V453">
        <v>0</v>
      </c>
      <c r="W453">
        <v>0</v>
      </c>
      <c r="X453">
        <v>0</v>
      </c>
      <c r="Y453">
        <v>0</v>
      </c>
      <c r="Z453">
        <v>0</v>
      </c>
      <c r="AA453">
        <v>0</v>
      </c>
      <c r="AB453">
        <v>0</v>
      </c>
      <c r="AC453">
        <v>0</v>
      </c>
      <c r="AD453">
        <v>9</v>
      </c>
      <c r="AE453">
        <v>0</v>
      </c>
      <c r="AF453">
        <v>0</v>
      </c>
      <c r="AG453">
        <v>0</v>
      </c>
      <c r="AH453">
        <v>0</v>
      </c>
      <c r="AI453">
        <v>0</v>
      </c>
      <c r="AJ453">
        <v>0</v>
      </c>
    </row>
    <row r="454" spans="1:36">
      <c r="A454" t="s">
        <v>240</v>
      </c>
      <c r="B454" s="264">
        <v>46048</v>
      </c>
      <c r="C454" t="s">
        <v>112</v>
      </c>
      <c r="D454" t="s">
        <v>241</v>
      </c>
      <c r="E454" t="s">
        <v>1</v>
      </c>
      <c r="F454" t="s">
        <v>232</v>
      </c>
      <c r="G454">
        <v>0</v>
      </c>
      <c r="H454">
        <v>180</v>
      </c>
      <c r="I454">
        <v>0</v>
      </c>
      <c r="J454">
        <v>0</v>
      </c>
      <c r="K454" t="s">
        <v>233</v>
      </c>
      <c r="L454" t="s">
        <v>66</v>
      </c>
      <c r="M454">
        <v>0</v>
      </c>
      <c r="N454">
        <v>0</v>
      </c>
      <c r="O454">
        <v>0</v>
      </c>
      <c r="P454" t="s">
        <v>67</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row>
    <row r="455" spans="1:36">
      <c r="A455" t="s">
        <v>240</v>
      </c>
      <c r="B455" s="264">
        <v>46048</v>
      </c>
      <c r="C455" t="s">
        <v>854</v>
      </c>
      <c r="D455" t="s">
        <v>975</v>
      </c>
      <c r="E455" t="s">
        <v>808</v>
      </c>
      <c r="F455" t="s">
        <v>232</v>
      </c>
      <c r="G455">
        <v>2.23E-2</v>
      </c>
      <c r="H455">
        <v>179</v>
      </c>
      <c r="I455">
        <v>4</v>
      </c>
      <c r="J455">
        <v>0</v>
      </c>
      <c r="K455" t="s">
        <v>233</v>
      </c>
      <c r="L455" s="264">
        <v>46342</v>
      </c>
      <c r="M455">
        <v>0</v>
      </c>
      <c r="N455">
        <v>0</v>
      </c>
      <c r="O455">
        <v>4</v>
      </c>
      <c r="P455" t="s">
        <v>967</v>
      </c>
      <c r="Q455">
        <v>0</v>
      </c>
      <c r="R455">
        <v>0</v>
      </c>
      <c r="S455">
        <v>0</v>
      </c>
      <c r="T455">
        <v>0</v>
      </c>
      <c r="U455">
        <v>0</v>
      </c>
      <c r="V455">
        <v>0</v>
      </c>
      <c r="W455">
        <v>0</v>
      </c>
      <c r="X455">
        <v>0</v>
      </c>
      <c r="Y455">
        <v>0</v>
      </c>
      <c r="Z455">
        <v>0</v>
      </c>
      <c r="AA455">
        <v>0</v>
      </c>
      <c r="AB455">
        <v>0</v>
      </c>
      <c r="AC455">
        <v>0</v>
      </c>
      <c r="AD455">
        <v>0</v>
      </c>
      <c r="AE455">
        <v>4</v>
      </c>
      <c r="AF455">
        <v>0</v>
      </c>
      <c r="AG455">
        <v>0</v>
      </c>
      <c r="AH455">
        <v>0</v>
      </c>
      <c r="AI455">
        <v>0</v>
      </c>
      <c r="AJ455">
        <v>0</v>
      </c>
    </row>
    <row r="456" spans="1:36">
      <c r="A456" t="s">
        <v>240</v>
      </c>
      <c r="B456" s="264">
        <v>46048</v>
      </c>
      <c r="C456" t="s">
        <v>1215</v>
      </c>
      <c r="D456" t="s">
        <v>751</v>
      </c>
      <c r="E456" t="s">
        <v>1213</v>
      </c>
      <c r="F456" t="s">
        <v>232</v>
      </c>
      <c r="G456">
        <v>1.12E-2</v>
      </c>
      <c r="H456">
        <v>179</v>
      </c>
      <c r="I456">
        <v>2</v>
      </c>
      <c r="J456">
        <v>0</v>
      </c>
      <c r="K456" t="s">
        <v>233</v>
      </c>
      <c r="L456" s="264">
        <v>46344</v>
      </c>
      <c r="M456">
        <v>0</v>
      </c>
      <c r="N456">
        <v>0</v>
      </c>
      <c r="O456">
        <v>2</v>
      </c>
      <c r="P456" t="s">
        <v>877</v>
      </c>
      <c r="Q456">
        <v>0</v>
      </c>
      <c r="R456">
        <v>0</v>
      </c>
      <c r="S456">
        <v>0</v>
      </c>
      <c r="T456">
        <v>0</v>
      </c>
      <c r="U456">
        <v>0</v>
      </c>
      <c r="V456">
        <v>0</v>
      </c>
      <c r="W456">
        <v>0</v>
      </c>
      <c r="X456">
        <v>0</v>
      </c>
      <c r="Y456">
        <v>0</v>
      </c>
      <c r="Z456">
        <v>0</v>
      </c>
      <c r="AA456">
        <v>0</v>
      </c>
      <c r="AB456">
        <v>0</v>
      </c>
      <c r="AC456">
        <v>1</v>
      </c>
      <c r="AD456">
        <v>0</v>
      </c>
      <c r="AE456">
        <v>1</v>
      </c>
      <c r="AF456">
        <v>0</v>
      </c>
      <c r="AG456">
        <v>0</v>
      </c>
      <c r="AH456">
        <v>0</v>
      </c>
      <c r="AI456">
        <v>0</v>
      </c>
      <c r="AJ456">
        <v>0</v>
      </c>
    </row>
    <row r="457" spans="1:36">
      <c r="A457" t="s">
        <v>240</v>
      </c>
      <c r="B457" s="264">
        <v>46048</v>
      </c>
      <c r="C457" t="s">
        <v>613</v>
      </c>
      <c r="D457" t="s">
        <v>695</v>
      </c>
      <c r="E457" t="s">
        <v>601</v>
      </c>
      <c r="F457" t="s">
        <v>232</v>
      </c>
      <c r="G457">
        <v>1.11E-2</v>
      </c>
      <c r="H457">
        <v>180</v>
      </c>
      <c r="I457">
        <v>2</v>
      </c>
      <c r="J457">
        <v>0</v>
      </c>
      <c r="K457" t="s">
        <v>233</v>
      </c>
      <c r="L457" s="264">
        <v>46339</v>
      </c>
      <c r="M457">
        <v>0</v>
      </c>
      <c r="N457">
        <v>0</v>
      </c>
      <c r="O457">
        <v>3</v>
      </c>
      <c r="P457" t="s">
        <v>301</v>
      </c>
      <c r="Q457">
        <v>0</v>
      </c>
      <c r="R457">
        <v>0</v>
      </c>
      <c r="S457">
        <v>0</v>
      </c>
      <c r="T457">
        <v>0</v>
      </c>
      <c r="U457">
        <v>0</v>
      </c>
      <c r="V457">
        <v>0</v>
      </c>
      <c r="W457">
        <v>0</v>
      </c>
      <c r="X457">
        <v>0</v>
      </c>
      <c r="Y457">
        <v>0</v>
      </c>
      <c r="Z457">
        <v>0</v>
      </c>
      <c r="AA457">
        <v>0</v>
      </c>
      <c r="AB457">
        <v>0</v>
      </c>
      <c r="AC457">
        <v>2</v>
      </c>
      <c r="AD457">
        <v>0</v>
      </c>
      <c r="AE457">
        <v>0</v>
      </c>
      <c r="AF457">
        <v>0</v>
      </c>
      <c r="AG457">
        <v>0</v>
      </c>
      <c r="AH457">
        <v>0</v>
      </c>
      <c r="AI457">
        <v>0</v>
      </c>
      <c r="AJ457">
        <v>0</v>
      </c>
    </row>
    <row r="458" spans="1:36">
      <c r="A458" t="s">
        <v>240</v>
      </c>
      <c r="B458" s="264">
        <v>46048</v>
      </c>
      <c r="C458" t="s">
        <v>630</v>
      </c>
      <c r="D458" t="s">
        <v>694</v>
      </c>
      <c r="E458" t="s">
        <v>601</v>
      </c>
      <c r="F458" t="s">
        <v>232</v>
      </c>
      <c r="G458">
        <v>0</v>
      </c>
      <c r="H458">
        <v>180</v>
      </c>
      <c r="I458">
        <v>0</v>
      </c>
      <c r="J458">
        <v>0</v>
      </c>
      <c r="K458" t="s">
        <v>233</v>
      </c>
      <c r="L458" t="s">
        <v>66</v>
      </c>
      <c r="M458">
        <v>0</v>
      </c>
      <c r="N458">
        <v>0</v>
      </c>
      <c r="O458">
        <v>0</v>
      </c>
      <c r="P458" t="s">
        <v>292</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row>
    <row r="459" spans="1:36">
      <c r="A459" t="s">
        <v>240</v>
      </c>
      <c r="B459" s="264">
        <v>46048</v>
      </c>
      <c r="C459" t="s">
        <v>758</v>
      </c>
      <c r="D459" t="s">
        <v>765</v>
      </c>
      <c r="E459" t="s">
        <v>755</v>
      </c>
      <c r="F459" t="s">
        <v>232</v>
      </c>
      <c r="G459">
        <v>0</v>
      </c>
      <c r="H459">
        <v>180</v>
      </c>
      <c r="I459">
        <v>0</v>
      </c>
      <c r="J459">
        <v>0</v>
      </c>
      <c r="K459" t="s">
        <v>233</v>
      </c>
      <c r="L459" t="s">
        <v>66</v>
      </c>
      <c r="M459">
        <v>0</v>
      </c>
      <c r="N459">
        <v>0</v>
      </c>
      <c r="O459">
        <v>0</v>
      </c>
      <c r="P459" t="s">
        <v>761</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row>
    <row r="460" spans="1:36">
      <c r="A460" t="s">
        <v>242</v>
      </c>
      <c r="B460" s="264">
        <v>46049</v>
      </c>
      <c r="C460" t="s">
        <v>777</v>
      </c>
      <c r="D460" t="s">
        <v>779</v>
      </c>
      <c r="E460" t="s">
        <v>774</v>
      </c>
      <c r="F460" t="s">
        <v>232</v>
      </c>
      <c r="G460">
        <v>0</v>
      </c>
      <c r="H460">
        <v>180</v>
      </c>
      <c r="I460">
        <v>0</v>
      </c>
      <c r="J460">
        <v>0</v>
      </c>
      <c r="K460" t="s">
        <v>233</v>
      </c>
      <c r="L460" t="s">
        <v>66</v>
      </c>
      <c r="M460">
        <v>0</v>
      </c>
      <c r="N460">
        <v>0</v>
      </c>
      <c r="O460">
        <v>0</v>
      </c>
      <c r="P460" t="s">
        <v>761</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row>
    <row r="461" spans="1:36">
      <c r="A461" t="s">
        <v>242</v>
      </c>
      <c r="B461" s="264">
        <v>46049</v>
      </c>
      <c r="C461" t="s">
        <v>1321</v>
      </c>
      <c r="D461" t="s">
        <v>1331</v>
      </c>
      <c r="E461" t="s">
        <v>1318</v>
      </c>
      <c r="F461" t="s">
        <v>232</v>
      </c>
      <c r="G461">
        <v>2.7900000000000001E-2</v>
      </c>
      <c r="H461">
        <v>179</v>
      </c>
      <c r="I461">
        <v>5</v>
      </c>
      <c r="J461">
        <v>0</v>
      </c>
      <c r="K461" t="s">
        <v>233</v>
      </c>
      <c r="L461" s="264">
        <v>46343</v>
      </c>
      <c r="M461">
        <v>0</v>
      </c>
      <c r="N461">
        <v>0</v>
      </c>
      <c r="O461">
        <v>5</v>
      </c>
      <c r="P461" t="s">
        <v>431</v>
      </c>
      <c r="Q461">
        <v>0</v>
      </c>
      <c r="R461">
        <v>0</v>
      </c>
      <c r="S461">
        <v>0</v>
      </c>
      <c r="T461">
        <v>0</v>
      </c>
      <c r="U461">
        <v>0</v>
      </c>
      <c r="V461">
        <v>0</v>
      </c>
      <c r="W461">
        <v>0</v>
      </c>
      <c r="X461">
        <v>0</v>
      </c>
      <c r="Y461">
        <v>0</v>
      </c>
      <c r="Z461">
        <v>0</v>
      </c>
      <c r="AA461">
        <v>0</v>
      </c>
      <c r="AB461">
        <v>0</v>
      </c>
      <c r="AC461">
        <v>3</v>
      </c>
      <c r="AD461">
        <v>0</v>
      </c>
      <c r="AE461">
        <v>2</v>
      </c>
      <c r="AF461">
        <v>0</v>
      </c>
      <c r="AG461">
        <v>0</v>
      </c>
      <c r="AH461">
        <v>0</v>
      </c>
      <c r="AI461">
        <v>0</v>
      </c>
      <c r="AJ461">
        <v>0</v>
      </c>
    </row>
    <row r="462" spans="1:36">
      <c r="A462" t="s">
        <v>242</v>
      </c>
      <c r="B462" s="264">
        <v>46049</v>
      </c>
      <c r="C462" t="s">
        <v>709</v>
      </c>
      <c r="D462" t="s">
        <v>751</v>
      </c>
      <c r="E462" t="s">
        <v>706</v>
      </c>
      <c r="F462" t="s">
        <v>232</v>
      </c>
      <c r="G462">
        <v>0</v>
      </c>
      <c r="H462">
        <v>180</v>
      </c>
      <c r="I462">
        <v>0</v>
      </c>
      <c r="J462">
        <v>0</v>
      </c>
      <c r="K462" t="s">
        <v>233</v>
      </c>
      <c r="L462" t="s">
        <v>66</v>
      </c>
      <c r="M462">
        <v>0</v>
      </c>
      <c r="N462">
        <v>0</v>
      </c>
      <c r="O462">
        <v>0</v>
      </c>
      <c r="P462" t="s">
        <v>307</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row>
    <row r="463" spans="1:36">
      <c r="A463" t="s">
        <v>242</v>
      </c>
      <c r="B463" s="264">
        <v>46049</v>
      </c>
      <c r="C463" t="s">
        <v>712</v>
      </c>
      <c r="D463" t="s">
        <v>746</v>
      </c>
      <c r="E463" t="s">
        <v>706</v>
      </c>
      <c r="F463" t="s">
        <v>232</v>
      </c>
      <c r="G463">
        <v>2.2200000000000001E-2</v>
      </c>
      <c r="H463">
        <v>180</v>
      </c>
      <c r="I463">
        <v>4</v>
      </c>
      <c r="J463">
        <v>0</v>
      </c>
      <c r="K463" t="s">
        <v>233</v>
      </c>
      <c r="L463" s="264">
        <v>46344</v>
      </c>
      <c r="M463">
        <v>0</v>
      </c>
      <c r="N463">
        <v>0</v>
      </c>
      <c r="O463">
        <v>4</v>
      </c>
      <c r="P463" t="s">
        <v>302</v>
      </c>
      <c r="Q463">
        <v>0</v>
      </c>
      <c r="R463">
        <v>0</v>
      </c>
      <c r="S463">
        <v>0</v>
      </c>
      <c r="T463">
        <v>0</v>
      </c>
      <c r="U463">
        <v>0</v>
      </c>
      <c r="V463">
        <v>0</v>
      </c>
      <c r="W463">
        <v>0</v>
      </c>
      <c r="X463">
        <v>0</v>
      </c>
      <c r="Y463">
        <v>0</v>
      </c>
      <c r="Z463">
        <v>0</v>
      </c>
      <c r="AA463">
        <v>1</v>
      </c>
      <c r="AB463">
        <v>0</v>
      </c>
      <c r="AC463">
        <v>3</v>
      </c>
      <c r="AD463">
        <v>0</v>
      </c>
      <c r="AE463">
        <v>0</v>
      </c>
      <c r="AF463">
        <v>0</v>
      </c>
      <c r="AG463">
        <v>0</v>
      </c>
      <c r="AH463">
        <v>0</v>
      </c>
      <c r="AI463">
        <v>0</v>
      </c>
      <c r="AJ463">
        <v>0</v>
      </c>
    </row>
    <row r="464" spans="1:36">
      <c r="A464" t="s">
        <v>242</v>
      </c>
      <c r="B464" s="264">
        <v>46049</v>
      </c>
      <c r="C464" t="s">
        <v>323</v>
      </c>
      <c r="D464" t="s">
        <v>336</v>
      </c>
      <c r="E464" t="s">
        <v>320</v>
      </c>
      <c r="F464" t="s">
        <v>232</v>
      </c>
      <c r="G464">
        <v>5.5999999999999999E-3</v>
      </c>
      <c r="H464">
        <v>180</v>
      </c>
      <c r="I464">
        <v>1</v>
      </c>
      <c r="J464">
        <v>0</v>
      </c>
      <c r="K464" t="s">
        <v>233</v>
      </c>
      <c r="L464" s="264">
        <v>46334</v>
      </c>
      <c r="M464">
        <v>0</v>
      </c>
      <c r="N464">
        <v>0</v>
      </c>
      <c r="O464">
        <v>1</v>
      </c>
      <c r="P464" t="s">
        <v>326</v>
      </c>
      <c r="Q464">
        <v>0</v>
      </c>
      <c r="R464">
        <v>0</v>
      </c>
      <c r="S464">
        <v>0</v>
      </c>
      <c r="T464">
        <v>0</v>
      </c>
      <c r="U464">
        <v>0</v>
      </c>
      <c r="V464">
        <v>0</v>
      </c>
      <c r="W464">
        <v>0</v>
      </c>
      <c r="X464">
        <v>0</v>
      </c>
      <c r="Y464">
        <v>0</v>
      </c>
      <c r="Z464">
        <v>0</v>
      </c>
      <c r="AA464">
        <v>0</v>
      </c>
      <c r="AB464">
        <v>0</v>
      </c>
      <c r="AC464">
        <v>1</v>
      </c>
      <c r="AD464">
        <v>0</v>
      </c>
      <c r="AE464">
        <v>0</v>
      </c>
      <c r="AF464">
        <v>0</v>
      </c>
      <c r="AG464">
        <v>0</v>
      </c>
      <c r="AH464">
        <v>0</v>
      </c>
      <c r="AI464">
        <v>0</v>
      </c>
      <c r="AJ464">
        <v>0</v>
      </c>
    </row>
    <row r="465" spans="1:36">
      <c r="A465" t="s">
        <v>242</v>
      </c>
      <c r="B465" s="264">
        <v>46049</v>
      </c>
      <c r="C465" t="s">
        <v>998</v>
      </c>
      <c r="D465" t="s">
        <v>1035</v>
      </c>
      <c r="E465" t="s">
        <v>985</v>
      </c>
      <c r="F465" t="s">
        <v>232</v>
      </c>
      <c r="G465">
        <v>4.4699999999999997E-2</v>
      </c>
      <c r="H465">
        <v>179</v>
      </c>
      <c r="I465">
        <v>8</v>
      </c>
      <c r="J465">
        <v>0</v>
      </c>
      <c r="K465" t="s">
        <v>233</v>
      </c>
      <c r="L465" s="264">
        <v>46335</v>
      </c>
      <c r="M465">
        <v>0</v>
      </c>
      <c r="N465">
        <v>0</v>
      </c>
      <c r="O465">
        <v>8</v>
      </c>
      <c r="P465" t="s">
        <v>436</v>
      </c>
      <c r="Q465">
        <v>0</v>
      </c>
      <c r="R465">
        <v>0</v>
      </c>
      <c r="S465">
        <v>0</v>
      </c>
      <c r="T465">
        <v>0</v>
      </c>
      <c r="U465">
        <v>0</v>
      </c>
      <c r="V465">
        <v>0</v>
      </c>
      <c r="W465">
        <v>0</v>
      </c>
      <c r="X465">
        <v>0</v>
      </c>
      <c r="Y465">
        <v>0</v>
      </c>
      <c r="Z465">
        <v>0</v>
      </c>
      <c r="AA465">
        <v>1</v>
      </c>
      <c r="AB465">
        <v>0</v>
      </c>
      <c r="AC465">
        <v>3</v>
      </c>
      <c r="AD465">
        <v>3</v>
      </c>
      <c r="AE465">
        <v>1</v>
      </c>
      <c r="AF465">
        <v>0</v>
      </c>
      <c r="AG465">
        <v>0</v>
      </c>
      <c r="AH465">
        <v>0</v>
      </c>
      <c r="AI465">
        <v>0</v>
      </c>
      <c r="AJ465">
        <v>0</v>
      </c>
    </row>
    <row r="466" spans="1:36">
      <c r="A466" t="s">
        <v>242</v>
      </c>
      <c r="B466" s="264">
        <v>46049</v>
      </c>
      <c r="C466" t="s">
        <v>1194</v>
      </c>
      <c r="D466" t="s">
        <v>1204</v>
      </c>
      <c r="E466" t="s">
        <v>1192</v>
      </c>
      <c r="F466" t="s">
        <v>232</v>
      </c>
      <c r="G466">
        <v>1.6799999999999999E-2</v>
      </c>
      <c r="H466">
        <v>179</v>
      </c>
      <c r="I466">
        <v>3</v>
      </c>
      <c r="J466">
        <v>0</v>
      </c>
      <c r="K466" t="s">
        <v>233</v>
      </c>
      <c r="L466" s="264">
        <v>46331</v>
      </c>
      <c r="M466">
        <v>0</v>
      </c>
      <c r="N466">
        <v>0</v>
      </c>
      <c r="O466">
        <v>3</v>
      </c>
      <c r="P466" t="s">
        <v>1016</v>
      </c>
      <c r="Q466">
        <v>0</v>
      </c>
      <c r="R466">
        <v>0</v>
      </c>
      <c r="S466">
        <v>0</v>
      </c>
      <c r="T466">
        <v>0</v>
      </c>
      <c r="U466">
        <v>0</v>
      </c>
      <c r="V466">
        <v>0</v>
      </c>
      <c r="W466">
        <v>0</v>
      </c>
      <c r="X466">
        <v>0</v>
      </c>
      <c r="Y466">
        <v>0</v>
      </c>
      <c r="Z466">
        <v>0</v>
      </c>
      <c r="AA466">
        <v>0</v>
      </c>
      <c r="AB466">
        <v>0</v>
      </c>
      <c r="AC466">
        <v>0</v>
      </c>
      <c r="AD466">
        <v>0</v>
      </c>
      <c r="AE466">
        <v>3</v>
      </c>
      <c r="AF466">
        <v>0</v>
      </c>
      <c r="AG466">
        <v>0</v>
      </c>
      <c r="AH466">
        <v>0</v>
      </c>
      <c r="AI466">
        <v>0</v>
      </c>
      <c r="AJ466">
        <v>0</v>
      </c>
    </row>
    <row r="467" spans="1:36">
      <c r="A467" t="s">
        <v>242</v>
      </c>
      <c r="B467" s="264">
        <v>46049</v>
      </c>
      <c r="C467" t="s">
        <v>1045</v>
      </c>
      <c r="D467" t="s">
        <v>1111</v>
      </c>
      <c r="E467" t="s">
        <v>1040</v>
      </c>
      <c r="F467" t="s">
        <v>232</v>
      </c>
      <c r="G467">
        <v>2.2200000000000001E-2</v>
      </c>
      <c r="H467">
        <v>180</v>
      </c>
      <c r="I467">
        <v>4</v>
      </c>
      <c r="J467">
        <v>0</v>
      </c>
      <c r="K467" t="s">
        <v>233</v>
      </c>
      <c r="L467" s="264">
        <v>46337</v>
      </c>
      <c r="M467">
        <v>0</v>
      </c>
      <c r="N467">
        <v>0</v>
      </c>
      <c r="O467">
        <v>4</v>
      </c>
      <c r="P467" t="s">
        <v>967</v>
      </c>
      <c r="Q467">
        <v>0</v>
      </c>
      <c r="R467">
        <v>0</v>
      </c>
      <c r="S467">
        <v>0</v>
      </c>
      <c r="T467">
        <v>0</v>
      </c>
      <c r="U467">
        <v>0</v>
      </c>
      <c r="V467">
        <v>0</v>
      </c>
      <c r="W467">
        <v>0</v>
      </c>
      <c r="X467">
        <v>0</v>
      </c>
      <c r="Y467">
        <v>0</v>
      </c>
      <c r="Z467">
        <v>0</v>
      </c>
      <c r="AA467">
        <v>0</v>
      </c>
      <c r="AB467">
        <v>0</v>
      </c>
      <c r="AC467">
        <v>0</v>
      </c>
      <c r="AD467">
        <v>0</v>
      </c>
      <c r="AE467">
        <v>4</v>
      </c>
      <c r="AF467">
        <v>0</v>
      </c>
      <c r="AG467">
        <v>0</v>
      </c>
      <c r="AH467">
        <v>0</v>
      </c>
      <c r="AI467">
        <v>0</v>
      </c>
      <c r="AJ467">
        <v>0</v>
      </c>
    </row>
    <row r="468" spans="1:36">
      <c r="A468" t="s">
        <v>242</v>
      </c>
      <c r="B468" s="264">
        <v>46049</v>
      </c>
      <c r="C468" t="s">
        <v>366</v>
      </c>
      <c r="D468" t="s">
        <v>578</v>
      </c>
      <c r="E468" t="s">
        <v>341</v>
      </c>
      <c r="F468" t="s">
        <v>232</v>
      </c>
      <c r="G468">
        <v>0.05</v>
      </c>
      <c r="H468">
        <v>180</v>
      </c>
      <c r="I468">
        <v>9</v>
      </c>
      <c r="J468">
        <v>0</v>
      </c>
      <c r="K468" t="s">
        <v>233</v>
      </c>
      <c r="L468" s="264">
        <v>46335</v>
      </c>
      <c r="M468">
        <v>0</v>
      </c>
      <c r="N468">
        <v>0</v>
      </c>
      <c r="O468">
        <v>9</v>
      </c>
      <c r="P468" t="s">
        <v>305</v>
      </c>
      <c r="Q468">
        <v>0</v>
      </c>
      <c r="R468">
        <v>0</v>
      </c>
      <c r="S468">
        <v>0</v>
      </c>
      <c r="T468">
        <v>0</v>
      </c>
      <c r="U468">
        <v>0</v>
      </c>
      <c r="V468">
        <v>0</v>
      </c>
      <c r="W468">
        <v>0</v>
      </c>
      <c r="X468">
        <v>0</v>
      </c>
      <c r="Y468">
        <v>0</v>
      </c>
      <c r="Z468">
        <v>2</v>
      </c>
      <c r="AA468">
        <v>0</v>
      </c>
      <c r="AB468">
        <v>0</v>
      </c>
      <c r="AC468">
        <v>0</v>
      </c>
      <c r="AD468">
        <v>7</v>
      </c>
      <c r="AE468">
        <v>0</v>
      </c>
      <c r="AF468">
        <v>0</v>
      </c>
      <c r="AG468">
        <v>0</v>
      </c>
      <c r="AH468">
        <v>0</v>
      </c>
      <c r="AI468">
        <v>0</v>
      </c>
      <c r="AJ468">
        <v>0</v>
      </c>
    </row>
    <row r="469" spans="1:36">
      <c r="A469" t="s">
        <v>242</v>
      </c>
      <c r="B469" s="264">
        <v>46049</v>
      </c>
      <c r="C469" t="s">
        <v>433</v>
      </c>
      <c r="D469" t="s">
        <v>577</v>
      </c>
      <c r="E469" t="s">
        <v>341</v>
      </c>
      <c r="F469" t="s">
        <v>232</v>
      </c>
      <c r="G469">
        <v>0</v>
      </c>
      <c r="H469">
        <v>180</v>
      </c>
      <c r="I469">
        <v>0</v>
      </c>
      <c r="J469">
        <v>0</v>
      </c>
      <c r="K469" t="s">
        <v>233</v>
      </c>
      <c r="L469" t="s">
        <v>66</v>
      </c>
      <c r="M469">
        <v>0</v>
      </c>
      <c r="N469">
        <v>0</v>
      </c>
      <c r="O469">
        <v>0</v>
      </c>
      <c r="P469" t="s">
        <v>436</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row>
    <row r="470" spans="1:36">
      <c r="A470" t="s">
        <v>242</v>
      </c>
      <c r="B470" s="264">
        <v>46049</v>
      </c>
      <c r="C470" t="s">
        <v>429</v>
      </c>
      <c r="D470" t="s">
        <v>576</v>
      </c>
      <c r="E470" t="s">
        <v>341</v>
      </c>
      <c r="F470" t="s">
        <v>232</v>
      </c>
      <c r="G470">
        <v>1.11E-2</v>
      </c>
      <c r="H470">
        <v>180</v>
      </c>
      <c r="I470">
        <v>2</v>
      </c>
      <c r="J470">
        <v>0</v>
      </c>
      <c r="K470" t="s">
        <v>233</v>
      </c>
      <c r="L470" s="264">
        <v>46334</v>
      </c>
      <c r="M470">
        <v>0</v>
      </c>
      <c r="N470">
        <v>0</v>
      </c>
      <c r="O470">
        <v>5</v>
      </c>
      <c r="P470" t="s">
        <v>368</v>
      </c>
      <c r="Q470">
        <v>0</v>
      </c>
      <c r="R470">
        <v>0</v>
      </c>
      <c r="S470">
        <v>0</v>
      </c>
      <c r="T470">
        <v>0</v>
      </c>
      <c r="U470">
        <v>0</v>
      </c>
      <c r="V470">
        <v>0</v>
      </c>
      <c r="W470">
        <v>0</v>
      </c>
      <c r="X470">
        <v>0</v>
      </c>
      <c r="Y470">
        <v>0</v>
      </c>
      <c r="Z470">
        <v>0</v>
      </c>
      <c r="AA470">
        <v>0</v>
      </c>
      <c r="AB470">
        <v>0</v>
      </c>
      <c r="AC470">
        <v>0</v>
      </c>
      <c r="AD470">
        <v>2</v>
      </c>
      <c r="AE470">
        <v>0</v>
      </c>
      <c r="AF470">
        <v>0</v>
      </c>
      <c r="AG470">
        <v>0</v>
      </c>
      <c r="AH470">
        <v>0</v>
      </c>
      <c r="AI470">
        <v>0</v>
      </c>
      <c r="AJ470">
        <v>0</v>
      </c>
    </row>
    <row r="471" spans="1:36">
      <c r="A471" t="s">
        <v>242</v>
      </c>
      <c r="B471" s="264">
        <v>46049</v>
      </c>
      <c r="C471" t="s">
        <v>376</v>
      </c>
      <c r="D471" t="s">
        <v>579</v>
      </c>
      <c r="E471" t="s">
        <v>341</v>
      </c>
      <c r="F471" t="s">
        <v>232</v>
      </c>
      <c r="G471">
        <v>3.3300000000000003E-2</v>
      </c>
      <c r="H471">
        <v>180</v>
      </c>
      <c r="I471">
        <v>6</v>
      </c>
      <c r="J471">
        <v>0</v>
      </c>
      <c r="K471" t="s">
        <v>233</v>
      </c>
      <c r="L471" s="264">
        <v>46344</v>
      </c>
      <c r="M471">
        <v>0</v>
      </c>
      <c r="N471">
        <v>0</v>
      </c>
      <c r="O471">
        <v>6</v>
      </c>
      <c r="P471" t="s">
        <v>299</v>
      </c>
      <c r="Q471">
        <v>0</v>
      </c>
      <c r="R471">
        <v>0</v>
      </c>
      <c r="S471">
        <v>0</v>
      </c>
      <c r="T471">
        <v>0</v>
      </c>
      <c r="U471">
        <v>0</v>
      </c>
      <c r="V471">
        <v>0</v>
      </c>
      <c r="W471">
        <v>0</v>
      </c>
      <c r="X471">
        <v>0</v>
      </c>
      <c r="Y471">
        <v>0</v>
      </c>
      <c r="Z471">
        <v>0</v>
      </c>
      <c r="AA471">
        <v>0</v>
      </c>
      <c r="AB471">
        <v>0</v>
      </c>
      <c r="AC471">
        <v>0</v>
      </c>
      <c r="AD471">
        <v>6</v>
      </c>
      <c r="AE471">
        <v>0</v>
      </c>
      <c r="AF471">
        <v>0</v>
      </c>
      <c r="AG471">
        <v>0</v>
      </c>
      <c r="AH471">
        <v>0</v>
      </c>
      <c r="AI471">
        <v>0</v>
      </c>
      <c r="AJ471">
        <v>0</v>
      </c>
    </row>
    <row r="472" spans="1:36">
      <c r="A472" t="s">
        <v>242</v>
      </c>
      <c r="B472" s="264">
        <v>46049</v>
      </c>
      <c r="C472" t="s">
        <v>378</v>
      </c>
      <c r="D472" t="s">
        <v>563</v>
      </c>
      <c r="E472" t="s">
        <v>341</v>
      </c>
      <c r="F472" t="s">
        <v>232</v>
      </c>
      <c r="G472">
        <v>2.7799999999999998E-2</v>
      </c>
      <c r="H472">
        <v>180</v>
      </c>
      <c r="I472">
        <v>5</v>
      </c>
      <c r="J472">
        <v>0</v>
      </c>
      <c r="K472" t="s">
        <v>233</v>
      </c>
      <c r="L472" s="264">
        <v>46343</v>
      </c>
      <c r="M472">
        <v>0</v>
      </c>
      <c r="N472">
        <v>0</v>
      </c>
      <c r="O472">
        <v>5</v>
      </c>
      <c r="P472" t="s">
        <v>430</v>
      </c>
      <c r="Q472">
        <v>0</v>
      </c>
      <c r="R472">
        <v>0</v>
      </c>
      <c r="S472">
        <v>0</v>
      </c>
      <c r="T472">
        <v>0</v>
      </c>
      <c r="U472">
        <v>0</v>
      </c>
      <c r="V472">
        <v>0</v>
      </c>
      <c r="W472">
        <v>0</v>
      </c>
      <c r="X472">
        <v>0</v>
      </c>
      <c r="Y472">
        <v>0</v>
      </c>
      <c r="Z472">
        <v>0</v>
      </c>
      <c r="AA472">
        <v>0</v>
      </c>
      <c r="AB472">
        <v>0</v>
      </c>
      <c r="AC472">
        <v>0</v>
      </c>
      <c r="AD472">
        <v>5</v>
      </c>
      <c r="AE472">
        <v>0</v>
      </c>
      <c r="AF472">
        <v>0</v>
      </c>
      <c r="AG472">
        <v>0</v>
      </c>
      <c r="AH472">
        <v>0</v>
      </c>
      <c r="AI472">
        <v>0</v>
      </c>
      <c r="AJ472">
        <v>0</v>
      </c>
    </row>
    <row r="473" spans="1:36">
      <c r="A473" t="s">
        <v>242</v>
      </c>
      <c r="B473" s="264">
        <v>46049</v>
      </c>
      <c r="C473" t="s">
        <v>380</v>
      </c>
      <c r="D473" t="s">
        <v>231</v>
      </c>
      <c r="E473" t="s">
        <v>341</v>
      </c>
      <c r="F473" t="s">
        <v>232</v>
      </c>
      <c r="G473">
        <v>1.67E-2</v>
      </c>
      <c r="H473">
        <v>180</v>
      </c>
      <c r="I473">
        <v>3</v>
      </c>
      <c r="J473">
        <v>0</v>
      </c>
      <c r="K473" t="s">
        <v>233</v>
      </c>
      <c r="L473" s="264">
        <v>46321</v>
      </c>
      <c r="M473">
        <v>0</v>
      </c>
      <c r="N473">
        <v>0</v>
      </c>
      <c r="O473">
        <v>3</v>
      </c>
      <c r="P473" t="s">
        <v>446</v>
      </c>
      <c r="Q473">
        <v>0</v>
      </c>
      <c r="R473">
        <v>0</v>
      </c>
      <c r="S473">
        <v>0</v>
      </c>
      <c r="T473">
        <v>0</v>
      </c>
      <c r="U473">
        <v>0</v>
      </c>
      <c r="V473">
        <v>0</v>
      </c>
      <c r="W473">
        <v>0</v>
      </c>
      <c r="X473">
        <v>0</v>
      </c>
      <c r="Y473">
        <v>0</v>
      </c>
      <c r="Z473">
        <v>0</v>
      </c>
      <c r="AA473">
        <v>0</v>
      </c>
      <c r="AB473">
        <v>0</v>
      </c>
      <c r="AC473">
        <v>0</v>
      </c>
      <c r="AD473">
        <v>3</v>
      </c>
      <c r="AE473">
        <v>0</v>
      </c>
      <c r="AF473">
        <v>0</v>
      </c>
      <c r="AG473">
        <v>0</v>
      </c>
      <c r="AH473">
        <v>0</v>
      </c>
      <c r="AI473">
        <v>0</v>
      </c>
      <c r="AJ473">
        <v>0</v>
      </c>
    </row>
    <row r="474" spans="1:36">
      <c r="A474" t="s">
        <v>242</v>
      </c>
      <c r="B474" s="264">
        <v>46049</v>
      </c>
      <c r="C474" t="s">
        <v>65</v>
      </c>
      <c r="D474" t="s">
        <v>243</v>
      </c>
      <c r="E474" t="s">
        <v>1</v>
      </c>
      <c r="F474" t="s">
        <v>232</v>
      </c>
      <c r="G474">
        <v>0</v>
      </c>
      <c r="H474">
        <v>180</v>
      </c>
      <c r="I474">
        <v>0</v>
      </c>
      <c r="J474">
        <v>0</v>
      </c>
      <c r="K474" t="s">
        <v>233</v>
      </c>
      <c r="L474" t="s">
        <v>66</v>
      </c>
      <c r="M474">
        <v>0</v>
      </c>
      <c r="N474">
        <v>0</v>
      </c>
      <c r="O474">
        <v>0</v>
      </c>
      <c r="P474" t="s">
        <v>67</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row>
    <row r="475" spans="1:36">
      <c r="A475" t="s">
        <v>242</v>
      </c>
      <c r="B475" s="264">
        <v>46049</v>
      </c>
      <c r="C475" t="s">
        <v>854</v>
      </c>
      <c r="D475" t="s">
        <v>980</v>
      </c>
      <c r="E475" t="s">
        <v>808</v>
      </c>
      <c r="F475" t="s">
        <v>232</v>
      </c>
      <c r="G475">
        <v>1.12E-2</v>
      </c>
      <c r="H475">
        <v>179</v>
      </c>
      <c r="I475">
        <v>2</v>
      </c>
      <c r="J475">
        <v>0</v>
      </c>
      <c r="K475" t="s">
        <v>233</v>
      </c>
      <c r="L475" s="264">
        <v>46330</v>
      </c>
      <c r="M475">
        <v>0</v>
      </c>
      <c r="N475">
        <v>0</v>
      </c>
      <c r="O475">
        <v>2</v>
      </c>
      <c r="P475" t="s">
        <v>968</v>
      </c>
      <c r="Q475">
        <v>0</v>
      </c>
      <c r="R475">
        <v>0</v>
      </c>
      <c r="S475">
        <v>0</v>
      </c>
      <c r="T475">
        <v>0</v>
      </c>
      <c r="U475">
        <v>0</v>
      </c>
      <c r="V475">
        <v>0</v>
      </c>
      <c r="W475">
        <v>0</v>
      </c>
      <c r="X475">
        <v>0</v>
      </c>
      <c r="Y475">
        <v>0</v>
      </c>
      <c r="Z475">
        <v>0</v>
      </c>
      <c r="AA475">
        <v>1</v>
      </c>
      <c r="AB475">
        <v>0</v>
      </c>
      <c r="AC475">
        <v>0</v>
      </c>
      <c r="AD475">
        <v>0</v>
      </c>
      <c r="AE475">
        <v>1</v>
      </c>
      <c r="AF475">
        <v>0</v>
      </c>
      <c r="AG475">
        <v>0</v>
      </c>
      <c r="AH475">
        <v>0</v>
      </c>
      <c r="AI475">
        <v>0</v>
      </c>
      <c r="AJ475">
        <v>0</v>
      </c>
    </row>
    <row r="476" spans="1:36">
      <c r="A476" t="s">
        <v>242</v>
      </c>
      <c r="B476" s="264">
        <v>46049</v>
      </c>
      <c r="C476" t="s">
        <v>1215</v>
      </c>
      <c r="D476" t="s">
        <v>1237</v>
      </c>
      <c r="E476" t="s">
        <v>1213</v>
      </c>
      <c r="F476" t="s">
        <v>232</v>
      </c>
      <c r="G476">
        <v>5.5999999999999999E-3</v>
      </c>
      <c r="H476">
        <v>179</v>
      </c>
      <c r="I476">
        <v>1</v>
      </c>
      <c r="J476">
        <v>0</v>
      </c>
      <c r="K476" t="s">
        <v>233</v>
      </c>
      <c r="L476" s="264">
        <v>46294</v>
      </c>
      <c r="M476">
        <v>0</v>
      </c>
      <c r="N476">
        <v>0</v>
      </c>
      <c r="O476">
        <v>1</v>
      </c>
      <c r="P476" t="s">
        <v>877</v>
      </c>
      <c r="Q476">
        <v>0</v>
      </c>
      <c r="R476">
        <v>0</v>
      </c>
      <c r="S476">
        <v>0</v>
      </c>
      <c r="T476">
        <v>0</v>
      </c>
      <c r="U476">
        <v>0</v>
      </c>
      <c r="V476">
        <v>0</v>
      </c>
      <c r="W476">
        <v>0</v>
      </c>
      <c r="X476">
        <v>0</v>
      </c>
      <c r="Y476">
        <v>0</v>
      </c>
      <c r="Z476">
        <v>0</v>
      </c>
      <c r="AA476">
        <v>0</v>
      </c>
      <c r="AB476">
        <v>0</v>
      </c>
      <c r="AC476">
        <v>1</v>
      </c>
      <c r="AD476">
        <v>0</v>
      </c>
      <c r="AE476">
        <v>0</v>
      </c>
      <c r="AF476">
        <v>0</v>
      </c>
      <c r="AG476">
        <v>0</v>
      </c>
      <c r="AH476">
        <v>0</v>
      </c>
      <c r="AI476">
        <v>0</v>
      </c>
      <c r="AJ476">
        <v>0</v>
      </c>
    </row>
    <row r="477" spans="1:36">
      <c r="A477" t="s">
        <v>242</v>
      </c>
      <c r="B477" s="264">
        <v>46049</v>
      </c>
      <c r="C477" t="s">
        <v>613</v>
      </c>
      <c r="D477" t="s">
        <v>696</v>
      </c>
      <c r="E477" t="s">
        <v>601</v>
      </c>
      <c r="F477" t="s">
        <v>232</v>
      </c>
      <c r="G477">
        <v>5.5999999999999999E-3</v>
      </c>
      <c r="H477">
        <v>180</v>
      </c>
      <c r="I477">
        <v>1</v>
      </c>
      <c r="J477">
        <v>0</v>
      </c>
      <c r="K477" t="s">
        <v>233</v>
      </c>
      <c r="L477" s="264">
        <v>46335</v>
      </c>
      <c r="M477">
        <v>0</v>
      </c>
      <c r="N477">
        <v>0</v>
      </c>
      <c r="O477">
        <v>2</v>
      </c>
      <c r="P477" t="s">
        <v>292</v>
      </c>
      <c r="Q477">
        <v>0</v>
      </c>
      <c r="R477">
        <v>0</v>
      </c>
      <c r="S477">
        <v>0</v>
      </c>
      <c r="T477">
        <v>0</v>
      </c>
      <c r="U477">
        <v>0</v>
      </c>
      <c r="V477">
        <v>0</v>
      </c>
      <c r="W477">
        <v>0</v>
      </c>
      <c r="X477">
        <v>0</v>
      </c>
      <c r="Y477">
        <v>0</v>
      </c>
      <c r="Z477">
        <v>0</v>
      </c>
      <c r="AA477">
        <v>0</v>
      </c>
      <c r="AB477">
        <v>0</v>
      </c>
      <c r="AC477">
        <v>1</v>
      </c>
      <c r="AD477">
        <v>0</v>
      </c>
      <c r="AE477">
        <v>0</v>
      </c>
      <c r="AF477">
        <v>0</v>
      </c>
      <c r="AG477">
        <v>0</v>
      </c>
      <c r="AH477">
        <v>0</v>
      </c>
      <c r="AI477">
        <v>0</v>
      </c>
      <c r="AJ477">
        <v>0</v>
      </c>
    </row>
    <row r="478" spans="1:36">
      <c r="A478" t="s">
        <v>242</v>
      </c>
      <c r="B478" s="264">
        <v>46049</v>
      </c>
      <c r="C478" t="s">
        <v>263</v>
      </c>
      <c r="D478" t="s">
        <v>314</v>
      </c>
      <c r="E478" t="s">
        <v>261</v>
      </c>
      <c r="F478" t="s">
        <v>232</v>
      </c>
      <c r="G478">
        <v>3.3300000000000003E-2</v>
      </c>
      <c r="H478">
        <v>180</v>
      </c>
      <c r="I478">
        <v>6</v>
      </c>
      <c r="J478">
        <v>0</v>
      </c>
      <c r="K478" t="s">
        <v>233</v>
      </c>
      <c r="L478" s="264">
        <v>46338</v>
      </c>
      <c r="M478">
        <v>0</v>
      </c>
      <c r="N478">
        <v>0</v>
      </c>
      <c r="O478">
        <v>7</v>
      </c>
      <c r="P478" t="s">
        <v>304</v>
      </c>
      <c r="Q478">
        <v>0</v>
      </c>
      <c r="R478">
        <v>0</v>
      </c>
      <c r="S478">
        <v>0</v>
      </c>
      <c r="T478">
        <v>0</v>
      </c>
      <c r="U478">
        <v>0</v>
      </c>
      <c r="V478">
        <v>0</v>
      </c>
      <c r="W478">
        <v>0</v>
      </c>
      <c r="X478">
        <v>0</v>
      </c>
      <c r="Y478">
        <v>0</v>
      </c>
      <c r="Z478">
        <v>0</v>
      </c>
      <c r="AA478">
        <v>0</v>
      </c>
      <c r="AB478">
        <v>0</v>
      </c>
      <c r="AC478">
        <v>6</v>
      </c>
      <c r="AD478">
        <v>0</v>
      </c>
      <c r="AE478">
        <v>0</v>
      </c>
      <c r="AF478">
        <v>0</v>
      </c>
      <c r="AG478">
        <v>0</v>
      </c>
      <c r="AH478">
        <v>0</v>
      </c>
      <c r="AI478">
        <v>0</v>
      </c>
      <c r="AJ478">
        <v>0</v>
      </c>
    </row>
    <row r="479" spans="1:36">
      <c r="A479" t="s">
        <v>242</v>
      </c>
      <c r="B479" s="264">
        <v>46049</v>
      </c>
      <c r="C479" t="s">
        <v>762</v>
      </c>
      <c r="D479" t="s">
        <v>768</v>
      </c>
      <c r="E479" t="s">
        <v>755</v>
      </c>
      <c r="F479" t="s">
        <v>232</v>
      </c>
      <c r="G479">
        <v>0</v>
      </c>
      <c r="H479">
        <v>180</v>
      </c>
      <c r="I479">
        <v>0</v>
      </c>
      <c r="J479">
        <v>0</v>
      </c>
      <c r="K479" t="s">
        <v>233</v>
      </c>
      <c r="L479" t="s">
        <v>66</v>
      </c>
      <c r="M479">
        <v>0</v>
      </c>
      <c r="N479">
        <v>0</v>
      </c>
      <c r="O479">
        <v>0</v>
      </c>
      <c r="P479" t="s">
        <v>761</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row>
    <row r="480" spans="1:36">
      <c r="A480" t="s">
        <v>242</v>
      </c>
      <c r="B480" s="264">
        <v>46049</v>
      </c>
      <c r="C480" t="s">
        <v>763</v>
      </c>
      <c r="D480" t="s">
        <v>567</v>
      </c>
      <c r="E480" t="s">
        <v>755</v>
      </c>
      <c r="F480" t="s">
        <v>232</v>
      </c>
      <c r="G480">
        <v>0</v>
      </c>
      <c r="H480">
        <v>180</v>
      </c>
      <c r="I480">
        <v>0</v>
      </c>
      <c r="J480">
        <v>0</v>
      </c>
      <c r="K480" t="s">
        <v>233</v>
      </c>
      <c r="L480" t="s">
        <v>66</v>
      </c>
      <c r="M480">
        <v>0</v>
      </c>
      <c r="N480">
        <v>0</v>
      </c>
      <c r="O480">
        <v>0</v>
      </c>
      <c r="P480" t="s">
        <v>761</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row>
    <row r="481" spans="1:36">
      <c r="A481" t="s">
        <v>242</v>
      </c>
      <c r="B481" s="264">
        <v>46049</v>
      </c>
      <c r="C481" t="s">
        <v>764</v>
      </c>
      <c r="D481" t="s">
        <v>579</v>
      </c>
      <c r="E481" t="s">
        <v>755</v>
      </c>
      <c r="F481" t="s">
        <v>232</v>
      </c>
      <c r="G481">
        <v>0</v>
      </c>
      <c r="H481">
        <v>180</v>
      </c>
      <c r="I481">
        <v>0</v>
      </c>
      <c r="J481">
        <v>0</v>
      </c>
      <c r="K481" t="s">
        <v>233</v>
      </c>
      <c r="L481" t="s">
        <v>66</v>
      </c>
      <c r="M481">
        <v>0</v>
      </c>
      <c r="N481">
        <v>0</v>
      </c>
      <c r="O481">
        <v>0</v>
      </c>
      <c r="P481" t="s">
        <v>761</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row>
    <row r="482" spans="1:36">
      <c r="A482" t="s">
        <v>315</v>
      </c>
      <c r="B482" s="264">
        <v>46050</v>
      </c>
      <c r="C482" t="s">
        <v>723</v>
      </c>
      <c r="D482" t="s">
        <v>754</v>
      </c>
      <c r="E482" t="s">
        <v>706</v>
      </c>
      <c r="F482" t="s">
        <v>232</v>
      </c>
      <c r="G482">
        <v>1.11E-2</v>
      </c>
      <c r="H482">
        <v>180</v>
      </c>
      <c r="I482">
        <v>2</v>
      </c>
      <c r="J482">
        <v>0</v>
      </c>
      <c r="K482" t="s">
        <v>233</v>
      </c>
      <c r="L482" s="264">
        <v>46336</v>
      </c>
      <c r="M482">
        <v>0</v>
      </c>
      <c r="N482">
        <v>0</v>
      </c>
      <c r="O482">
        <v>2</v>
      </c>
      <c r="P482" t="s">
        <v>298</v>
      </c>
      <c r="Q482">
        <v>0</v>
      </c>
      <c r="R482">
        <v>0</v>
      </c>
      <c r="S482">
        <v>0</v>
      </c>
      <c r="T482">
        <v>0</v>
      </c>
      <c r="U482">
        <v>0</v>
      </c>
      <c r="V482">
        <v>0</v>
      </c>
      <c r="W482">
        <v>0</v>
      </c>
      <c r="X482">
        <v>0</v>
      </c>
      <c r="Y482">
        <v>0</v>
      </c>
      <c r="Z482">
        <v>0</v>
      </c>
      <c r="AA482">
        <v>0</v>
      </c>
      <c r="AB482">
        <v>0</v>
      </c>
      <c r="AC482">
        <v>2</v>
      </c>
      <c r="AD482">
        <v>0</v>
      </c>
      <c r="AE482">
        <v>0</v>
      </c>
      <c r="AF482">
        <v>0</v>
      </c>
      <c r="AG482">
        <v>0</v>
      </c>
      <c r="AH482">
        <v>0</v>
      </c>
      <c r="AI482">
        <v>0</v>
      </c>
      <c r="AJ482">
        <v>0</v>
      </c>
    </row>
    <row r="483" spans="1:36">
      <c r="A483" t="s">
        <v>315</v>
      </c>
      <c r="B483" s="264">
        <v>46050</v>
      </c>
      <c r="C483" t="s">
        <v>709</v>
      </c>
      <c r="D483" t="s">
        <v>752</v>
      </c>
      <c r="E483" t="s">
        <v>706</v>
      </c>
      <c r="F483" t="s">
        <v>232</v>
      </c>
      <c r="G483">
        <v>5.5999999999999999E-3</v>
      </c>
      <c r="H483">
        <v>180</v>
      </c>
      <c r="I483">
        <v>1</v>
      </c>
      <c r="J483">
        <v>0</v>
      </c>
      <c r="K483" t="s">
        <v>233</v>
      </c>
      <c r="L483" s="264">
        <v>46341</v>
      </c>
      <c r="M483">
        <v>0</v>
      </c>
      <c r="N483">
        <v>0</v>
      </c>
      <c r="O483">
        <v>1</v>
      </c>
      <c r="P483" t="s">
        <v>304</v>
      </c>
      <c r="Q483">
        <v>0</v>
      </c>
      <c r="R483">
        <v>0</v>
      </c>
      <c r="S483">
        <v>0</v>
      </c>
      <c r="T483">
        <v>0</v>
      </c>
      <c r="U483">
        <v>0</v>
      </c>
      <c r="V483">
        <v>0</v>
      </c>
      <c r="W483">
        <v>0</v>
      </c>
      <c r="X483">
        <v>0</v>
      </c>
      <c r="Y483">
        <v>0</v>
      </c>
      <c r="Z483">
        <v>0</v>
      </c>
      <c r="AA483">
        <v>0</v>
      </c>
      <c r="AB483">
        <v>0</v>
      </c>
      <c r="AC483">
        <v>1</v>
      </c>
      <c r="AD483">
        <v>0</v>
      </c>
      <c r="AE483">
        <v>0</v>
      </c>
      <c r="AF483">
        <v>0</v>
      </c>
      <c r="AG483">
        <v>0</v>
      </c>
      <c r="AH483">
        <v>0</v>
      </c>
      <c r="AI483">
        <v>0</v>
      </c>
      <c r="AJ483">
        <v>0</v>
      </c>
    </row>
    <row r="484" spans="1:36">
      <c r="A484" t="s">
        <v>315</v>
      </c>
      <c r="B484" s="264">
        <v>46050</v>
      </c>
      <c r="C484" t="s">
        <v>716</v>
      </c>
      <c r="D484" t="s">
        <v>753</v>
      </c>
      <c r="E484" t="s">
        <v>706</v>
      </c>
      <c r="F484" t="s">
        <v>232</v>
      </c>
      <c r="G484">
        <v>4.4400000000000002E-2</v>
      </c>
      <c r="H484">
        <v>180</v>
      </c>
      <c r="I484">
        <v>8</v>
      </c>
      <c r="J484">
        <v>0</v>
      </c>
      <c r="K484" t="s">
        <v>233</v>
      </c>
      <c r="L484" s="264">
        <v>46337</v>
      </c>
      <c r="M484">
        <v>0</v>
      </c>
      <c r="N484">
        <v>0</v>
      </c>
      <c r="O484">
        <v>8</v>
      </c>
      <c r="P484" t="s">
        <v>670</v>
      </c>
      <c r="Q484">
        <v>0</v>
      </c>
      <c r="R484">
        <v>0</v>
      </c>
      <c r="S484">
        <v>0</v>
      </c>
      <c r="T484">
        <v>0</v>
      </c>
      <c r="U484">
        <v>0</v>
      </c>
      <c r="V484">
        <v>0</v>
      </c>
      <c r="W484">
        <v>0</v>
      </c>
      <c r="X484">
        <v>0</v>
      </c>
      <c r="Y484">
        <v>0</v>
      </c>
      <c r="Z484">
        <v>0</v>
      </c>
      <c r="AA484">
        <v>0</v>
      </c>
      <c r="AB484">
        <v>6</v>
      </c>
      <c r="AC484">
        <v>2</v>
      </c>
      <c r="AD484">
        <v>0</v>
      </c>
      <c r="AE484">
        <v>0</v>
      </c>
      <c r="AF484">
        <v>0</v>
      </c>
      <c r="AG484">
        <v>0</v>
      </c>
      <c r="AH484">
        <v>0</v>
      </c>
      <c r="AI484">
        <v>0</v>
      </c>
      <c r="AJ484">
        <v>0</v>
      </c>
    </row>
    <row r="485" spans="1:36">
      <c r="A485" t="s">
        <v>315</v>
      </c>
      <c r="B485" s="264">
        <v>46050</v>
      </c>
      <c r="C485" t="s">
        <v>328</v>
      </c>
      <c r="D485" t="s">
        <v>337</v>
      </c>
      <c r="E485" t="s">
        <v>320</v>
      </c>
      <c r="F485" t="s">
        <v>232</v>
      </c>
      <c r="G485">
        <v>5.5999999999999999E-3</v>
      </c>
      <c r="H485">
        <v>180</v>
      </c>
      <c r="I485">
        <v>1</v>
      </c>
      <c r="J485">
        <v>0</v>
      </c>
      <c r="K485" t="s">
        <v>233</v>
      </c>
      <c r="L485" s="264">
        <v>46317</v>
      </c>
      <c r="M485">
        <v>0</v>
      </c>
      <c r="N485">
        <v>0</v>
      </c>
      <c r="O485">
        <v>1</v>
      </c>
      <c r="P485" t="s">
        <v>326</v>
      </c>
      <c r="Q485">
        <v>0</v>
      </c>
      <c r="R485">
        <v>0</v>
      </c>
      <c r="S485">
        <v>0</v>
      </c>
      <c r="T485">
        <v>0</v>
      </c>
      <c r="U485">
        <v>0</v>
      </c>
      <c r="V485">
        <v>0</v>
      </c>
      <c r="W485">
        <v>0</v>
      </c>
      <c r="X485">
        <v>0</v>
      </c>
      <c r="Y485">
        <v>0</v>
      </c>
      <c r="Z485">
        <v>0</v>
      </c>
      <c r="AA485">
        <v>0</v>
      </c>
      <c r="AB485">
        <v>0</v>
      </c>
      <c r="AC485">
        <v>1</v>
      </c>
      <c r="AD485">
        <v>0</v>
      </c>
      <c r="AE485">
        <v>0</v>
      </c>
      <c r="AF485">
        <v>0</v>
      </c>
      <c r="AG485">
        <v>0</v>
      </c>
      <c r="AH485">
        <v>0</v>
      </c>
      <c r="AI485">
        <v>0</v>
      </c>
      <c r="AJ485">
        <v>0</v>
      </c>
    </row>
    <row r="486" spans="1:36">
      <c r="A486" t="s">
        <v>315</v>
      </c>
      <c r="B486" s="264">
        <v>46050</v>
      </c>
      <c r="C486" t="s">
        <v>1006</v>
      </c>
      <c r="D486" t="s">
        <v>555</v>
      </c>
      <c r="E486" t="s">
        <v>985</v>
      </c>
      <c r="F486" t="s">
        <v>232</v>
      </c>
      <c r="G486">
        <v>3.9100000000000003E-2</v>
      </c>
      <c r="H486">
        <v>179</v>
      </c>
      <c r="I486">
        <v>7</v>
      </c>
      <c r="J486">
        <v>0</v>
      </c>
      <c r="K486" t="s">
        <v>233</v>
      </c>
      <c r="L486" s="264">
        <v>46335</v>
      </c>
      <c r="M486">
        <v>0</v>
      </c>
      <c r="N486">
        <v>0</v>
      </c>
      <c r="O486">
        <v>7</v>
      </c>
      <c r="P486" t="s">
        <v>552</v>
      </c>
      <c r="Q486">
        <v>0</v>
      </c>
      <c r="R486">
        <v>0</v>
      </c>
      <c r="S486">
        <v>0</v>
      </c>
      <c r="T486">
        <v>0</v>
      </c>
      <c r="U486">
        <v>0</v>
      </c>
      <c r="V486">
        <v>0</v>
      </c>
      <c r="W486">
        <v>0</v>
      </c>
      <c r="X486">
        <v>0</v>
      </c>
      <c r="Y486">
        <v>0</v>
      </c>
      <c r="Z486">
        <v>0</v>
      </c>
      <c r="AA486">
        <v>1</v>
      </c>
      <c r="AB486">
        <v>0</v>
      </c>
      <c r="AC486">
        <v>3</v>
      </c>
      <c r="AD486">
        <v>0</v>
      </c>
      <c r="AE486">
        <v>3</v>
      </c>
      <c r="AF486">
        <v>0</v>
      </c>
      <c r="AG486">
        <v>0</v>
      </c>
      <c r="AH486">
        <v>0</v>
      </c>
      <c r="AI486">
        <v>0</v>
      </c>
      <c r="AJ486">
        <v>0</v>
      </c>
    </row>
    <row r="487" spans="1:36">
      <c r="A487" t="s">
        <v>315</v>
      </c>
      <c r="B487" s="264">
        <v>46050</v>
      </c>
      <c r="C487" t="s">
        <v>1253</v>
      </c>
      <c r="D487" t="s">
        <v>1274</v>
      </c>
      <c r="E487" t="s">
        <v>1239</v>
      </c>
      <c r="F487" t="s">
        <v>232</v>
      </c>
      <c r="G487">
        <v>1.6799999999999999E-2</v>
      </c>
      <c r="H487">
        <v>179</v>
      </c>
      <c r="I487">
        <v>3</v>
      </c>
      <c r="J487">
        <v>0</v>
      </c>
      <c r="K487" t="s">
        <v>233</v>
      </c>
      <c r="L487" s="264">
        <v>46341</v>
      </c>
      <c r="M487">
        <v>0</v>
      </c>
      <c r="N487">
        <v>0</v>
      </c>
      <c r="O487">
        <v>3</v>
      </c>
      <c r="P487" t="s">
        <v>951</v>
      </c>
      <c r="Q487">
        <v>0</v>
      </c>
      <c r="R487">
        <v>0</v>
      </c>
      <c r="S487">
        <v>0</v>
      </c>
      <c r="T487">
        <v>0</v>
      </c>
      <c r="U487">
        <v>0</v>
      </c>
      <c r="V487">
        <v>0</v>
      </c>
      <c r="W487">
        <v>0</v>
      </c>
      <c r="X487">
        <v>0</v>
      </c>
      <c r="Y487">
        <v>0</v>
      </c>
      <c r="Z487">
        <v>0</v>
      </c>
      <c r="AA487">
        <v>0</v>
      </c>
      <c r="AB487">
        <v>0</v>
      </c>
      <c r="AC487">
        <v>0</v>
      </c>
      <c r="AD487">
        <v>0</v>
      </c>
      <c r="AE487">
        <v>3</v>
      </c>
      <c r="AF487">
        <v>0</v>
      </c>
      <c r="AG487">
        <v>0</v>
      </c>
      <c r="AH487">
        <v>0</v>
      </c>
      <c r="AI487">
        <v>0</v>
      </c>
      <c r="AJ487">
        <v>0</v>
      </c>
    </row>
    <row r="488" spans="1:36">
      <c r="A488" t="s">
        <v>315</v>
      </c>
      <c r="B488" s="264">
        <v>46050</v>
      </c>
      <c r="C488" t="s">
        <v>366</v>
      </c>
      <c r="D488" t="s">
        <v>580</v>
      </c>
      <c r="E488" t="s">
        <v>341</v>
      </c>
      <c r="F488" t="s">
        <v>232</v>
      </c>
      <c r="G488">
        <v>2.7799999999999998E-2</v>
      </c>
      <c r="H488">
        <v>180</v>
      </c>
      <c r="I488">
        <v>5</v>
      </c>
      <c r="J488">
        <v>0</v>
      </c>
      <c r="K488" t="s">
        <v>233</v>
      </c>
      <c r="L488" s="264">
        <v>46325</v>
      </c>
      <c r="M488">
        <v>0</v>
      </c>
      <c r="N488">
        <v>0</v>
      </c>
      <c r="O488">
        <v>7</v>
      </c>
      <c r="P488" t="s">
        <v>430</v>
      </c>
      <c r="Q488">
        <v>0</v>
      </c>
      <c r="R488">
        <v>0</v>
      </c>
      <c r="S488">
        <v>0</v>
      </c>
      <c r="T488">
        <v>0</v>
      </c>
      <c r="U488">
        <v>0</v>
      </c>
      <c r="V488">
        <v>0</v>
      </c>
      <c r="W488">
        <v>0</v>
      </c>
      <c r="X488">
        <v>0</v>
      </c>
      <c r="Y488">
        <v>0</v>
      </c>
      <c r="Z488">
        <v>0</v>
      </c>
      <c r="AA488">
        <v>0</v>
      </c>
      <c r="AB488">
        <v>0</v>
      </c>
      <c r="AC488">
        <v>0</v>
      </c>
      <c r="AD488">
        <v>5</v>
      </c>
      <c r="AE488">
        <v>0</v>
      </c>
      <c r="AF488">
        <v>0</v>
      </c>
      <c r="AG488">
        <v>0</v>
      </c>
      <c r="AH488">
        <v>0</v>
      </c>
      <c r="AI488">
        <v>0</v>
      </c>
      <c r="AJ488">
        <v>0</v>
      </c>
    </row>
    <row r="489" spans="1:36">
      <c r="A489" t="s">
        <v>315</v>
      </c>
      <c r="B489" s="264">
        <v>46050</v>
      </c>
      <c r="C489" t="s">
        <v>433</v>
      </c>
      <c r="D489" t="s">
        <v>582</v>
      </c>
      <c r="E489" t="s">
        <v>341</v>
      </c>
      <c r="F489" t="s">
        <v>232</v>
      </c>
      <c r="G489">
        <v>0</v>
      </c>
      <c r="H489">
        <v>180</v>
      </c>
      <c r="I489">
        <v>0</v>
      </c>
      <c r="J489">
        <v>0</v>
      </c>
      <c r="K489" t="s">
        <v>233</v>
      </c>
      <c r="L489" t="s">
        <v>66</v>
      </c>
      <c r="M489">
        <v>0</v>
      </c>
      <c r="N489">
        <v>0</v>
      </c>
      <c r="O489">
        <v>0</v>
      </c>
      <c r="P489" t="s">
        <v>436</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row>
    <row r="490" spans="1:36">
      <c r="A490" t="s">
        <v>315</v>
      </c>
      <c r="B490" s="264">
        <v>46050</v>
      </c>
      <c r="C490" t="s">
        <v>429</v>
      </c>
      <c r="D490" t="s">
        <v>559</v>
      </c>
      <c r="E490" t="s">
        <v>341</v>
      </c>
      <c r="F490" t="s">
        <v>232</v>
      </c>
      <c r="G490">
        <v>3.3300000000000003E-2</v>
      </c>
      <c r="H490">
        <v>180</v>
      </c>
      <c r="I490">
        <v>6</v>
      </c>
      <c r="J490">
        <v>0</v>
      </c>
      <c r="K490" t="s">
        <v>233</v>
      </c>
      <c r="L490" s="264">
        <v>46323</v>
      </c>
      <c r="M490">
        <v>0</v>
      </c>
      <c r="N490">
        <v>0</v>
      </c>
      <c r="O490">
        <v>6</v>
      </c>
      <c r="P490" t="s">
        <v>299</v>
      </c>
      <c r="Q490">
        <v>0</v>
      </c>
      <c r="R490">
        <v>0</v>
      </c>
      <c r="S490">
        <v>0</v>
      </c>
      <c r="T490">
        <v>0</v>
      </c>
      <c r="U490">
        <v>0</v>
      </c>
      <c r="V490">
        <v>0</v>
      </c>
      <c r="W490">
        <v>0</v>
      </c>
      <c r="X490">
        <v>0</v>
      </c>
      <c r="Y490">
        <v>0</v>
      </c>
      <c r="Z490">
        <v>0</v>
      </c>
      <c r="AA490">
        <v>0</v>
      </c>
      <c r="AB490">
        <v>0</v>
      </c>
      <c r="AC490">
        <v>0</v>
      </c>
      <c r="AD490">
        <v>6</v>
      </c>
      <c r="AE490">
        <v>0</v>
      </c>
      <c r="AF490">
        <v>0</v>
      </c>
      <c r="AG490">
        <v>0</v>
      </c>
      <c r="AH490">
        <v>0</v>
      </c>
      <c r="AI490">
        <v>0</v>
      </c>
      <c r="AJ490">
        <v>0</v>
      </c>
    </row>
    <row r="491" spans="1:36">
      <c r="A491" t="s">
        <v>315</v>
      </c>
      <c r="B491" s="264">
        <v>46050</v>
      </c>
      <c r="C491" t="s">
        <v>376</v>
      </c>
      <c r="D491" t="s">
        <v>581</v>
      </c>
      <c r="E491" t="s">
        <v>341</v>
      </c>
      <c r="F491" t="s">
        <v>232</v>
      </c>
      <c r="G491">
        <v>0</v>
      </c>
      <c r="H491">
        <v>180</v>
      </c>
      <c r="I491">
        <v>0</v>
      </c>
      <c r="J491">
        <v>0</v>
      </c>
      <c r="K491" t="s">
        <v>233</v>
      </c>
      <c r="L491" t="s">
        <v>66</v>
      </c>
      <c r="M491">
        <v>0</v>
      </c>
      <c r="N491">
        <v>0</v>
      </c>
      <c r="O491">
        <v>0</v>
      </c>
      <c r="P491" t="s">
        <v>436</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row>
    <row r="492" spans="1:36">
      <c r="A492" t="s">
        <v>315</v>
      </c>
      <c r="B492" s="264">
        <v>46050</v>
      </c>
      <c r="C492" t="s">
        <v>378</v>
      </c>
      <c r="D492" t="s">
        <v>563</v>
      </c>
      <c r="E492" t="s">
        <v>341</v>
      </c>
      <c r="F492" t="s">
        <v>232</v>
      </c>
      <c r="G492">
        <v>2.2200000000000001E-2</v>
      </c>
      <c r="H492">
        <v>180</v>
      </c>
      <c r="I492">
        <v>4</v>
      </c>
      <c r="J492">
        <v>0</v>
      </c>
      <c r="K492" t="s">
        <v>233</v>
      </c>
      <c r="L492" s="264">
        <v>46323</v>
      </c>
      <c r="M492">
        <v>0</v>
      </c>
      <c r="N492">
        <v>0</v>
      </c>
      <c r="O492">
        <v>4</v>
      </c>
      <c r="P492" t="s">
        <v>367</v>
      </c>
      <c r="Q492">
        <v>0</v>
      </c>
      <c r="R492">
        <v>0</v>
      </c>
      <c r="S492">
        <v>0</v>
      </c>
      <c r="T492">
        <v>0</v>
      </c>
      <c r="U492">
        <v>0</v>
      </c>
      <c r="V492">
        <v>0</v>
      </c>
      <c r="W492">
        <v>0</v>
      </c>
      <c r="X492">
        <v>0</v>
      </c>
      <c r="Y492">
        <v>0</v>
      </c>
      <c r="Z492">
        <v>0</v>
      </c>
      <c r="AA492">
        <v>0</v>
      </c>
      <c r="AB492">
        <v>0</v>
      </c>
      <c r="AC492">
        <v>0</v>
      </c>
      <c r="AD492">
        <v>4</v>
      </c>
      <c r="AE492">
        <v>0</v>
      </c>
      <c r="AF492">
        <v>0</v>
      </c>
      <c r="AG492">
        <v>0</v>
      </c>
      <c r="AH492">
        <v>0</v>
      </c>
      <c r="AI492">
        <v>0</v>
      </c>
      <c r="AJ492">
        <v>0</v>
      </c>
    </row>
    <row r="493" spans="1:36">
      <c r="A493" t="s">
        <v>315</v>
      </c>
      <c r="B493" s="264">
        <v>46050</v>
      </c>
      <c r="C493" t="s">
        <v>818</v>
      </c>
      <c r="D493" t="s">
        <v>974</v>
      </c>
      <c r="E493" t="s">
        <v>808</v>
      </c>
      <c r="F493" t="s">
        <v>232</v>
      </c>
      <c r="G493">
        <v>5.5999999999999999E-3</v>
      </c>
      <c r="H493">
        <v>179</v>
      </c>
      <c r="I493">
        <v>1</v>
      </c>
      <c r="J493">
        <v>0</v>
      </c>
      <c r="K493" t="s">
        <v>233</v>
      </c>
      <c r="L493" s="264">
        <v>46342</v>
      </c>
      <c r="M493">
        <v>0</v>
      </c>
      <c r="N493">
        <v>0</v>
      </c>
      <c r="O493">
        <v>1</v>
      </c>
      <c r="P493" t="s">
        <v>905</v>
      </c>
      <c r="Q493">
        <v>0</v>
      </c>
      <c r="R493">
        <v>0</v>
      </c>
      <c r="S493">
        <v>0</v>
      </c>
      <c r="T493">
        <v>0</v>
      </c>
      <c r="U493">
        <v>0</v>
      </c>
      <c r="V493">
        <v>0</v>
      </c>
      <c r="W493">
        <v>0</v>
      </c>
      <c r="X493">
        <v>0</v>
      </c>
      <c r="Y493">
        <v>0</v>
      </c>
      <c r="Z493">
        <v>0</v>
      </c>
      <c r="AA493">
        <v>0</v>
      </c>
      <c r="AB493">
        <v>0</v>
      </c>
      <c r="AC493">
        <v>0</v>
      </c>
      <c r="AD493">
        <v>0</v>
      </c>
      <c r="AE493">
        <v>1</v>
      </c>
      <c r="AF493">
        <v>0</v>
      </c>
      <c r="AG493">
        <v>0</v>
      </c>
      <c r="AH493">
        <v>0</v>
      </c>
      <c r="AI493">
        <v>0</v>
      </c>
      <c r="AJ493">
        <v>0</v>
      </c>
    </row>
    <row r="494" spans="1:36">
      <c r="A494" t="s">
        <v>315</v>
      </c>
      <c r="B494" s="264">
        <v>46050</v>
      </c>
      <c r="C494" t="s">
        <v>854</v>
      </c>
      <c r="D494" t="s">
        <v>975</v>
      </c>
      <c r="E494" t="s">
        <v>808</v>
      </c>
      <c r="F494" t="s">
        <v>232</v>
      </c>
      <c r="G494">
        <v>6.1499999999999999E-2</v>
      </c>
      <c r="H494">
        <v>179</v>
      </c>
      <c r="I494">
        <v>11</v>
      </c>
      <c r="J494">
        <v>0</v>
      </c>
      <c r="K494" t="s">
        <v>233</v>
      </c>
      <c r="L494" s="264">
        <v>46343</v>
      </c>
      <c r="M494">
        <v>0</v>
      </c>
      <c r="N494">
        <v>0</v>
      </c>
      <c r="O494">
        <v>11</v>
      </c>
      <c r="P494" t="s">
        <v>549</v>
      </c>
      <c r="Q494">
        <v>0</v>
      </c>
      <c r="R494">
        <v>0</v>
      </c>
      <c r="S494">
        <v>0</v>
      </c>
      <c r="T494">
        <v>0</v>
      </c>
      <c r="U494">
        <v>0</v>
      </c>
      <c r="V494">
        <v>0</v>
      </c>
      <c r="W494">
        <v>0</v>
      </c>
      <c r="X494">
        <v>0</v>
      </c>
      <c r="Y494">
        <v>0</v>
      </c>
      <c r="Z494">
        <v>0</v>
      </c>
      <c r="AA494">
        <v>0</v>
      </c>
      <c r="AB494">
        <v>0</v>
      </c>
      <c r="AC494">
        <v>0</v>
      </c>
      <c r="AD494">
        <v>6</v>
      </c>
      <c r="AE494">
        <v>5</v>
      </c>
      <c r="AF494">
        <v>0</v>
      </c>
      <c r="AG494">
        <v>0</v>
      </c>
      <c r="AH494">
        <v>0</v>
      </c>
      <c r="AI494">
        <v>0</v>
      </c>
      <c r="AJ494">
        <v>0</v>
      </c>
    </row>
    <row r="495" spans="1:36">
      <c r="A495" t="s">
        <v>315</v>
      </c>
      <c r="B495" s="264">
        <v>46050</v>
      </c>
      <c r="C495" t="s">
        <v>1148</v>
      </c>
      <c r="D495" t="s">
        <v>1176</v>
      </c>
      <c r="E495" t="s">
        <v>1144</v>
      </c>
      <c r="F495" t="s">
        <v>232</v>
      </c>
      <c r="G495">
        <v>5.5999999999999999E-3</v>
      </c>
      <c r="H495">
        <v>179</v>
      </c>
      <c r="I495">
        <v>1</v>
      </c>
      <c r="J495">
        <v>0</v>
      </c>
      <c r="K495" t="s">
        <v>233</v>
      </c>
      <c r="L495" s="264">
        <v>46336</v>
      </c>
      <c r="M495">
        <v>0</v>
      </c>
      <c r="N495">
        <v>0</v>
      </c>
      <c r="O495">
        <v>1</v>
      </c>
      <c r="P495" t="s">
        <v>951</v>
      </c>
      <c r="Q495">
        <v>0</v>
      </c>
      <c r="R495">
        <v>0</v>
      </c>
      <c r="S495">
        <v>0</v>
      </c>
      <c r="T495">
        <v>0</v>
      </c>
      <c r="U495">
        <v>0</v>
      </c>
      <c r="V495">
        <v>0</v>
      </c>
      <c r="W495">
        <v>0</v>
      </c>
      <c r="X495">
        <v>0</v>
      </c>
      <c r="Y495">
        <v>0</v>
      </c>
      <c r="Z495">
        <v>0</v>
      </c>
      <c r="AA495">
        <v>0</v>
      </c>
      <c r="AB495">
        <v>0</v>
      </c>
      <c r="AC495">
        <v>0</v>
      </c>
      <c r="AD495">
        <v>0</v>
      </c>
      <c r="AE495">
        <v>1</v>
      </c>
      <c r="AF495">
        <v>0</v>
      </c>
      <c r="AG495">
        <v>0</v>
      </c>
      <c r="AH495">
        <v>0</v>
      </c>
      <c r="AI495">
        <v>0</v>
      </c>
      <c r="AJ495">
        <v>0</v>
      </c>
    </row>
    <row r="496" spans="1:36">
      <c r="A496" t="s">
        <v>315</v>
      </c>
      <c r="B496" s="264">
        <v>46050</v>
      </c>
      <c r="C496" t="s">
        <v>1215</v>
      </c>
      <c r="D496" t="s">
        <v>1238</v>
      </c>
      <c r="E496" t="s">
        <v>1213</v>
      </c>
      <c r="F496" t="s">
        <v>232</v>
      </c>
      <c r="G496">
        <v>1.12E-2</v>
      </c>
      <c r="H496">
        <v>179</v>
      </c>
      <c r="I496">
        <v>2</v>
      </c>
      <c r="J496">
        <v>0</v>
      </c>
      <c r="K496" t="s">
        <v>233</v>
      </c>
      <c r="L496" s="264">
        <v>46334</v>
      </c>
      <c r="M496">
        <v>0</v>
      </c>
      <c r="N496">
        <v>0</v>
      </c>
      <c r="O496">
        <v>2</v>
      </c>
      <c r="P496" t="s">
        <v>549</v>
      </c>
      <c r="Q496">
        <v>0</v>
      </c>
      <c r="R496">
        <v>0</v>
      </c>
      <c r="S496">
        <v>0</v>
      </c>
      <c r="T496">
        <v>0</v>
      </c>
      <c r="U496">
        <v>0</v>
      </c>
      <c r="V496">
        <v>0</v>
      </c>
      <c r="W496">
        <v>0</v>
      </c>
      <c r="X496">
        <v>0</v>
      </c>
      <c r="Y496">
        <v>0</v>
      </c>
      <c r="Z496">
        <v>0</v>
      </c>
      <c r="AA496">
        <v>0</v>
      </c>
      <c r="AB496">
        <v>0</v>
      </c>
      <c r="AC496">
        <v>2</v>
      </c>
      <c r="AD496">
        <v>0</v>
      </c>
      <c r="AE496">
        <v>0</v>
      </c>
      <c r="AF496">
        <v>0</v>
      </c>
      <c r="AG496">
        <v>0</v>
      </c>
      <c r="AH496">
        <v>0</v>
      </c>
      <c r="AI496">
        <v>0</v>
      </c>
      <c r="AJ496">
        <v>0</v>
      </c>
    </row>
    <row r="497" spans="1:36">
      <c r="A497" t="s">
        <v>315</v>
      </c>
      <c r="B497" s="264">
        <v>46050</v>
      </c>
      <c r="C497" t="s">
        <v>613</v>
      </c>
      <c r="D497" t="s">
        <v>697</v>
      </c>
      <c r="E497" t="s">
        <v>601</v>
      </c>
      <c r="F497" t="s">
        <v>232</v>
      </c>
      <c r="G497">
        <v>0</v>
      </c>
      <c r="H497">
        <v>180</v>
      </c>
      <c r="I497">
        <v>0</v>
      </c>
      <c r="J497">
        <v>0</v>
      </c>
      <c r="K497" t="s">
        <v>233</v>
      </c>
      <c r="L497" t="s">
        <v>66</v>
      </c>
      <c r="M497">
        <v>0</v>
      </c>
      <c r="N497">
        <v>0</v>
      </c>
      <c r="O497">
        <v>0</v>
      </c>
      <c r="P497" t="s">
        <v>292</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row>
    <row r="498" spans="1:36">
      <c r="A498" t="s">
        <v>315</v>
      </c>
      <c r="B498" s="264">
        <v>46050</v>
      </c>
      <c r="C498" t="s">
        <v>630</v>
      </c>
      <c r="D498" t="s">
        <v>698</v>
      </c>
      <c r="E498" t="s">
        <v>601</v>
      </c>
      <c r="F498" t="s">
        <v>232</v>
      </c>
      <c r="G498">
        <v>5.5999999999999999E-3</v>
      </c>
      <c r="H498">
        <v>180</v>
      </c>
      <c r="I498">
        <v>1</v>
      </c>
      <c r="J498">
        <v>0</v>
      </c>
      <c r="K498" t="s">
        <v>233</v>
      </c>
      <c r="L498" s="264">
        <v>46332</v>
      </c>
      <c r="M498">
        <v>0</v>
      </c>
      <c r="N498">
        <v>0</v>
      </c>
      <c r="O498">
        <v>1</v>
      </c>
      <c r="P498" t="s">
        <v>292</v>
      </c>
      <c r="Q498">
        <v>0</v>
      </c>
      <c r="R498">
        <v>0</v>
      </c>
      <c r="S498">
        <v>0</v>
      </c>
      <c r="T498">
        <v>0</v>
      </c>
      <c r="U498">
        <v>0</v>
      </c>
      <c r="V498">
        <v>0</v>
      </c>
      <c r="W498">
        <v>0</v>
      </c>
      <c r="X498">
        <v>0</v>
      </c>
      <c r="Y498">
        <v>0</v>
      </c>
      <c r="Z498">
        <v>0</v>
      </c>
      <c r="AA498">
        <v>0</v>
      </c>
      <c r="AB498">
        <v>0</v>
      </c>
      <c r="AC498">
        <v>1</v>
      </c>
      <c r="AD498">
        <v>0</v>
      </c>
      <c r="AE498">
        <v>0</v>
      </c>
      <c r="AF498">
        <v>0</v>
      </c>
      <c r="AG498">
        <v>0</v>
      </c>
      <c r="AH498">
        <v>0</v>
      </c>
      <c r="AI498">
        <v>0</v>
      </c>
      <c r="AJ498">
        <v>0</v>
      </c>
    </row>
    <row r="499" spans="1:36">
      <c r="A499" t="s">
        <v>315</v>
      </c>
      <c r="B499" s="264">
        <v>46050</v>
      </c>
      <c r="C499" t="s">
        <v>646</v>
      </c>
      <c r="D499" t="s">
        <v>699</v>
      </c>
      <c r="E499" t="s">
        <v>601</v>
      </c>
      <c r="F499" t="s">
        <v>232</v>
      </c>
      <c r="G499">
        <v>5.5999999999999999E-3</v>
      </c>
      <c r="H499">
        <v>180</v>
      </c>
      <c r="I499">
        <v>1</v>
      </c>
      <c r="J499">
        <v>0</v>
      </c>
      <c r="K499" t="s">
        <v>233</v>
      </c>
      <c r="L499" s="264">
        <v>46302</v>
      </c>
      <c r="M499">
        <v>0</v>
      </c>
      <c r="N499">
        <v>0</v>
      </c>
      <c r="O499">
        <v>1</v>
      </c>
      <c r="P499" t="s">
        <v>292</v>
      </c>
      <c r="Q499">
        <v>0</v>
      </c>
      <c r="R499">
        <v>0</v>
      </c>
      <c r="S499">
        <v>0</v>
      </c>
      <c r="T499">
        <v>0</v>
      </c>
      <c r="U499">
        <v>0</v>
      </c>
      <c r="V499">
        <v>0</v>
      </c>
      <c r="W499">
        <v>0</v>
      </c>
      <c r="X499">
        <v>0</v>
      </c>
      <c r="Y499">
        <v>0</v>
      </c>
      <c r="Z499">
        <v>0</v>
      </c>
      <c r="AA499">
        <v>0</v>
      </c>
      <c r="AB499">
        <v>0</v>
      </c>
      <c r="AC499">
        <v>1</v>
      </c>
      <c r="AD499">
        <v>0</v>
      </c>
      <c r="AE499">
        <v>0</v>
      </c>
      <c r="AF499">
        <v>0</v>
      </c>
      <c r="AG499">
        <v>0</v>
      </c>
      <c r="AH499">
        <v>0</v>
      </c>
      <c r="AI499">
        <v>0</v>
      </c>
      <c r="AJ499">
        <v>0</v>
      </c>
    </row>
    <row r="500" spans="1:36">
      <c r="A500" t="s">
        <v>315</v>
      </c>
      <c r="B500" s="264">
        <v>46050</v>
      </c>
      <c r="C500" t="s">
        <v>263</v>
      </c>
      <c r="D500" t="s">
        <v>316</v>
      </c>
      <c r="E500" t="s">
        <v>261</v>
      </c>
      <c r="F500" t="s">
        <v>232</v>
      </c>
      <c r="G500">
        <v>2.2200000000000001E-2</v>
      </c>
      <c r="H500">
        <v>180</v>
      </c>
      <c r="I500">
        <v>4</v>
      </c>
      <c r="J500">
        <v>0</v>
      </c>
      <c r="K500" t="s">
        <v>233</v>
      </c>
      <c r="L500" s="264">
        <v>46338</v>
      </c>
      <c r="M500">
        <v>0</v>
      </c>
      <c r="N500">
        <v>0</v>
      </c>
      <c r="O500">
        <v>6</v>
      </c>
      <c r="P500" t="s">
        <v>306</v>
      </c>
      <c r="Q500">
        <v>0</v>
      </c>
      <c r="R500">
        <v>0</v>
      </c>
      <c r="S500">
        <v>0</v>
      </c>
      <c r="T500">
        <v>0</v>
      </c>
      <c r="U500">
        <v>0</v>
      </c>
      <c r="V500">
        <v>0</v>
      </c>
      <c r="W500">
        <v>0</v>
      </c>
      <c r="X500">
        <v>0</v>
      </c>
      <c r="Y500">
        <v>0</v>
      </c>
      <c r="Z500">
        <v>0</v>
      </c>
      <c r="AA500">
        <v>0</v>
      </c>
      <c r="AB500">
        <v>0</v>
      </c>
      <c r="AC500">
        <v>4</v>
      </c>
      <c r="AD500">
        <v>0</v>
      </c>
      <c r="AE500">
        <v>0</v>
      </c>
      <c r="AF500">
        <v>0</v>
      </c>
      <c r="AG500">
        <v>0</v>
      </c>
      <c r="AH500">
        <v>0</v>
      </c>
      <c r="AI500">
        <v>0</v>
      </c>
      <c r="AJ500">
        <v>0</v>
      </c>
    </row>
    <row r="501" spans="1:36">
      <c r="A501" t="s">
        <v>230</v>
      </c>
      <c r="B501" s="264">
        <v>46051</v>
      </c>
      <c r="C501" t="s">
        <v>709</v>
      </c>
      <c r="D501" t="s">
        <v>742</v>
      </c>
      <c r="E501" t="s">
        <v>706</v>
      </c>
      <c r="F501" t="s">
        <v>232</v>
      </c>
      <c r="G501">
        <v>0</v>
      </c>
      <c r="H501">
        <v>180</v>
      </c>
      <c r="I501">
        <v>0</v>
      </c>
      <c r="J501">
        <v>0</v>
      </c>
      <c r="K501" t="s">
        <v>233</v>
      </c>
      <c r="L501" t="s">
        <v>66</v>
      </c>
      <c r="M501">
        <v>0</v>
      </c>
      <c r="N501">
        <v>0</v>
      </c>
      <c r="O501">
        <v>0</v>
      </c>
      <c r="P501" t="s">
        <v>307</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row>
    <row r="502" spans="1:36">
      <c r="A502" t="s">
        <v>230</v>
      </c>
      <c r="B502" s="264">
        <v>46051</v>
      </c>
      <c r="C502" t="s">
        <v>712</v>
      </c>
      <c r="D502" t="s">
        <v>743</v>
      </c>
      <c r="E502" t="s">
        <v>706</v>
      </c>
      <c r="F502" t="s">
        <v>232</v>
      </c>
      <c r="G502">
        <v>1.11E-2</v>
      </c>
      <c r="H502">
        <v>180</v>
      </c>
      <c r="I502">
        <v>2</v>
      </c>
      <c r="J502">
        <v>0</v>
      </c>
      <c r="K502" t="s">
        <v>233</v>
      </c>
      <c r="L502" s="264">
        <v>46329</v>
      </c>
      <c r="M502">
        <v>0</v>
      </c>
      <c r="N502">
        <v>0</v>
      </c>
      <c r="O502">
        <v>2</v>
      </c>
      <c r="P502" t="s">
        <v>307</v>
      </c>
      <c r="Q502">
        <v>0</v>
      </c>
      <c r="R502">
        <v>0</v>
      </c>
      <c r="S502">
        <v>0</v>
      </c>
      <c r="T502">
        <v>0</v>
      </c>
      <c r="U502">
        <v>0</v>
      </c>
      <c r="V502">
        <v>0</v>
      </c>
      <c r="W502">
        <v>0</v>
      </c>
      <c r="X502">
        <v>0</v>
      </c>
      <c r="Y502">
        <v>0</v>
      </c>
      <c r="Z502">
        <v>0</v>
      </c>
      <c r="AA502">
        <v>2</v>
      </c>
      <c r="AB502">
        <v>0</v>
      </c>
      <c r="AC502">
        <v>0</v>
      </c>
      <c r="AD502">
        <v>0</v>
      </c>
      <c r="AE502">
        <v>0</v>
      </c>
      <c r="AF502">
        <v>0</v>
      </c>
      <c r="AG502">
        <v>0</v>
      </c>
      <c r="AH502">
        <v>0</v>
      </c>
      <c r="AI502">
        <v>0</v>
      </c>
      <c r="AJ502">
        <v>0</v>
      </c>
    </row>
    <row r="503" spans="1:36">
      <c r="A503" t="s">
        <v>230</v>
      </c>
      <c r="B503" s="264">
        <v>46051</v>
      </c>
      <c r="C503" t="s">
        <v>1241</v>
      </c>
      <c r="D503" t="s">
        <v>334</v>
      </c>
      <c r="E503" t="s">
        <v>1239</v>
      </c>
      <c r="F503" t="s">
        <v>232</v>
      </c>
      <c r="G503">
        <v>1.12E-2</v>
      </c>
      <c r="H503">
        <v>179</v>
      </c>
      <c r="I503">
        <v>2</v>
      </c>
      <c r="J503">
        <v>0</v>
      </c>
      <c r="K503" t="s">
        <v>233</v>
      </c>
      <c r="L503" s="264">
        <v>46327</v>
      </c>
      <c r="M503">
        <v>0</v>
      </c>
      <c r="N503">
        <v>0</v>
      </c>
      <c r="O503">
        <v>2</v>
      </c>
      <c r="P503" t="s">
        <v>968</v>
      </c>
      <c r="Q503">
        <v>0</v>
      </c>
      <c r="R503">
        <v>0</v>
      </c>
      <c r="S503">
        <v>0</v>
      </c>
      <c r="T503">
        <v>0</v>
      </c>
      <c r="U503">
        <v>0</v>
      </c>
      <c r="V503">
        <v>0</v>
      </c>
      <c r="W503">
        <v>0</v>
      </c>
      <c r="X503">
        <v>0</v>
      </c>
      <c r="Y503">
        <v>0</v>
      </c>
      <c r="Z503">
        <v>0</v>
      </c>
      <c r="AA503">
        <v>1</v>
      </c>
      <c r="AB503">
        <v>0</v>
      </c>
      <c r="AC503">
        <v>0</v>
      </c>
      <c r="AD503">
        <v>0</v>
      </c>
      <c r="AE503">
        <v>1</v>
      </c>
      <c r="AF503">
        <v>0</v>
      </c>
      <c r="AG503">
        <v>0</v>
      </c>
      <c r="AH503">
        <v>0</v>
      </c>
      <c r="AI503">
        <v>0</v>
      </c>
      <c r="AJ503">
        <v>0</v>
      </c>
    </row>
    <row r="504" spans="1:36">
      <c r="A504" t="s">
        <v>230</v>
      </c>
      <c r="B504" s="264">
        <v>46051</v>
      </c>
      <c r="C504" t="s">
        <v>1194</v>
      </c>
      <c r="D504" t="s">
        <v>1202</v>
      </c>
      <c r="E504" t="s">
        <v>1192</v>
      </c>
      <c r="F504" t="s">
        <v>232</v>
      </c>
      <c r="G504">
        <v>5.5999999999999999E-3</v>
      </c>
      <c r="H504">
        <v>179</v>
      </c>
      <c r="I504">
        <v>1</v>
      </c>
      <c r="J504">
        <v>0</v>
      </c>
      <c r="K504" t="s">
        <v>233</v>
      </c>
      <c r="L504" s="264">
        <v>46344</v>
      </c>
      <c r="M504">
        <v>0</v>
      </c>
      <c r="N504">
        <v>0</v>
      </c>
      <c r="O504">
        <v>1</v>
      </c>
      <c r="P504" t="s">
        <v>951</v>
      </c>
      <c r="Q504">
        <v>0</v>
      </c>
      <c r="R504">
        <v>0</v>
      </c>
      <c r="S504">
        <v>0</v>
      </c>
      <c r="T504">
        <v>0</v>
      </c>
      <c r="U504">
        <v>0</v>
      </c>
      <c r="V504">
        <v>0</v>
      </c>
      <c r="W504">
        <v>0</v>
      </c>
      <c r="X504">
        <v>0</v>
      </c>
      <c r="Y504">
        <v>0</v>
      </c>
      <c r="Z504">
        <v>0</v>
      </c>
      <c r="AA504">
        <v>0</v>
      </c>
      <c r="AB504">
        <v>0</v>
      </c>
      <c r="AC504">
        <v>0</v>
      </c>
      <c r="AD504">
        <v>0</v>
      </c>
      <c r="AE504">
        <v>1</v>
      </c>
      <c r="AF504">
        <v>0</v>
      </c>
      <c r="AG504">
        <v>0</v>
      </c>
      <c r="AH504">
        <v>0</v>
      </c>
      <c r="AI504">
        <v>0</v>
      </c>
      <c r="AJ504">
        <v>0</v>
      </c>
    </row>
    <row r="505" spans="1:36">
      <c r="A505" t="s">
        <v>230</v>
      </c>
      <c r="B505" s="264">
        <v>46051</v>
      </c>
      <c r="C505" t="s">
        <v>1045</v>
      </c>
      <c r="D505" t="s">
        <v>1108</v>
      </c>
      <c r="E505" t="s">
        <v>1040</v>
      </c>
      <c r="F505" t="s">
        <v>232</v>
      </c>
      <c r="G505">
        <v>6.6699999999999995E-2</v>
      </c>
      <c r="H505">
        <v>180</v>
      </c>
      <c r="I505">
        <v>12</v>
      </c>
      <c r="J505">
        <v>0</v>
      </c>
      <c r="K505" t="s">
        <v>233</v>
      </c>
      <c r="L505" s="264">
        <v>46340</v>
      </c>
      <c r="M505">
        <v>0</v>
      </c>
      <c r="N505">
        <v>0</v>
      </c>
      <c r="O505">
        <v>12</v>
      </c>
      <c r="P505" t="s">
        <v>367</v>
      </c>
      <c r="Q505">
        <v>0</v>
      </c>
      <c r="R505">
        <v>0</v>
      </c>
      <c r="S505">
        <v>0</v>
      </c>
      <c r="T505">
        <v>0</v>
      </c>
      <c r="U505">
        <v>0</v>
      </c>
      <c r="V505">
        <v>0</v>
      </c>
      <c r="W505">
        <v>0</v>
      </c>
      <c r="X505">
        <v>0</v>
      </c>
      <c r="Y505">
        <v>0</v>
      </c>
      <c r="Z505">
        <v>0</v>
      </c>
      <c r="AA505">
        <v>0</v>
      </c>
      <c r="AB505">
        <v>0</v>
      </c>
      <c r="AC505">
        <v>0</v>
      </c>
      <c r="AD505">
        <v>8</v>
      </c>
      <c r="AE505">
        <v>4</v>
      </c>
      <c r="AF505">
        <v>0</v>
      </c>
      <c r="AG505">
        <v>0</v>
      </c>
      <c r="AH505">
        <v>0</v>
      </c>
      <c r="AI505">
        <v>0</v>
      </c>
      <c r="AJ505">
        <v>0</v>
      </c>
    </row>
    <row r="506" spans="1:36">
      <c r="A506" t="s">
        <v>230</v>
      </c>
      <c r="B506" s="264">
        <v>46051</v>
      </c>
      <c r="C506" t="s">
        <v>1289</v>
      </c>
      <c r="D506" t="s">
        <v>703</v>
      </c>
      <c r="E506" t="s">
        <v>1286</v>
      </c>
      <c r="F506" t="s">
        <v>232</v>
      </c>
      <c r="G506">
        <v>1.6799999999999999E-2</v>
      </c>
      <c r="H506">
        <v>179</v>
      </c>
      <c r="I506">
        <v>3</v>
      </c>
      <c r="J506">
        <v>0</v>
      </c>
      <c r="K506" t="s">
        <v>233</v>
      </c>
      <c r="L506" s="264">
        <v>46342</v>
      </c>
      <c r="M506">
        <v>0</v>
      </c>
      <c r="N506">
        <v>0</v>
      </c>
      <c r="O506">
        <v>3</v>
      </c>
      <c r="P506" t="s">
        <v>951</v>
      </c>
      <c r="Q506">
        <v>0</v>
      </c>
      <c r="R506">
        <v>0</v>
      </c>
      <c r="S506">
        <v>0</v>
      </c>
      <c r="T506">
        <v>0</v>
      </c>
      <c r="U506">
        <v>0</v>
      </c>
      <c r="V506">
        <v>0</v>
      </c>
      <c r="W506">
        <v>0</v>
      </c>
      <c r="X506">
        <v>0</v>
      </c>
      <c r="Y506">
        <v>0</v>
      </c>
      <c r="Z506">
        <v>0</v>
      </c>
      <c r="AA506">
        <v>0</v>
      </c>
      <c r="AB506">
        <v>0</v>
      </c>
      <c r="AC506">
        <v>0</v>
      </c>
      <c r="AD506">
        <v>0</v>
      </c>
      <c r="AE506">
        <v>3</v>
      </c>
      <c r="AF506">
        <v>0</v>
      </c>
      <c r="AG506">
        <v>0</v>
      </c>
      <c r="AH506">
        <v>0</v>
      </c>
      <c r="AI506">
        <v>0</v>
      </c>
      <c r="AJ506">
        <v>0</v>
      </c>
    </row>
    <row r="507" spans="1:36">
      <c r="A507" t="s">
        <v>230</v>
      </c>
      <c r="B507" s="264">
        <v>46051</v>
      </c>
      <c r="C507" t="s">
        <v>1337</v>
      </c>
      <c r="D507" t="s">
        <v>1324</v>
      </c>
      <c r="E507" t="s">
        <v>1333</v>
      </c>
      <c r="F507" t="s">
        <v>232</v>
      </c>
      <c r="G507">
        <v>0</v>
      </c>
      <c r="H507">
        <v>179</v>
      </c>
      <c r="I507">
        <v>0</v>
      </c>
      <c r="J507">
        <v>0</v>
      </c>
      <c r="K507" t="s">
        <v>233</v>
      </c>
      <c r="L507" t="s">
        <v>66</v>
      </c>
      <c r="M507">
        <v>0</v>
      </c>
      <c r="N507">
        <v>0</v>
      </c>
      <c r="O507">
        <v>0</v>
      </c>
      <c r="P507" t="s">
        <v>918</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row>
    <row r="508" spans="1:36">
      <c r="A508" t="s">
        <v>230</v>
      </c>
      <c r="B508" s="264">
        <v>46051</v>
      </c>
      <c r="C508" t="s">
        <v>366</v>
      </c>
      <c r="D508" t="s">
        <v>559</v>
      </c>
      <c r="E508" t="s">
        <v>341</v>
      </c>
      <c r="F508" t="s">
        <v>232</v>
      </c>
      <c r="G508">
        <v>6.1100000000000002E-2</v>
      </c>
      <c r="H508">
        <v>180</v>
      </c>
      <c r="I508">
        <v>11</v>
      </c>
      <c r="J508">
        <v>0</v>
      </c>
      <c r="K508" t="s">
        <v>233</v>
      </c>
      <c r="L508" s="264">
        <v>46324</v>
      </c>
      <c r="M508">
        <v>0</v>
      </c>
      <c r="N508">
        <v>0</v>
      </c>
      <c r="O508">
        <v>11</v>
      </c>
      <c r="P508" t="s">
        <v>298</v>
      </c>
      <c r="Q508">
        <v>0</v>
      </c>
      <c r="R508">
        <v>0</v>
      </c>
      <c r="S508">
        <v>0</v>
      </c>
      <c r="T508">
        <v>0</v>
      </c>
      <c r="U508">
        <v>0</v>
      </c>
      <c r="V508">
        <v>0</v>
      </c>
      <c r="W508">
        <v>0</v>
      </c>
      <c r="X508">
        <v>0</v>
      </c>
      <c r="Y508">
        <v>0</v>
      </c>
      <c r="Z508">
        <v>0</v>
      </c>
      <c r="AA508">
        <v>0</v>
      </c>
      <c r="AB508">
        <v>0</v>
      </c>
      <c r="AC508">
        <v>2</v>
      </c>
      <c r="AD508">
        <v>9</v>
      </c>
      <c r="AE508">
        <v>0</v>
      </c>
      <c r="AF508">
        <v>0</v>
      </c>
      <c r="AG508">
        <v>0</v>
      </c>
      <c r="AH508">
        <v>0</v>
      </c>
      <c r="AI508">
        <v>0</v>
      </c>
      <c r="AJ508">
        <v>0</v>
      </c>
    </row>
    <row r="509" spans="1:36">
      <c r="A509" t="s">
        <v>230</v>
      </c>
      <c r="B509" s="264">
        <v>46051</v>
      </c>
      <c r="C509" t="s">
        <v>370</v>
      </c>
      <c r="D509" t="s">
        <v>554</v>
      </c>
      <c r="E509" t="s">
        <v>341</v>
      </c>
      <c r="F509" t="s">
        <v>232</v>
      </c>
      <c r="G509">
        <v>2.2200000000000001E-2</v>
      </c>
      <c r="H509">
        <v>180</v>
      </c>
      <c r="I509">
        <v>4</v>
      </c>
      <c r="J509">
        <v>0</v>
      </c>
      <c r="K509" t="s">
        <v>233</v>
      </c>
      <c r="L509" s="264">
        <v>46332</v>
      </c>
      <c r="M509">
        <v>0</v>
      </c>
      <c r="N509">
        <v>0</v>
      </c>
      <c r="O509">
        <v>4</v>
      </c>
      <c r="P509" t="s">
        <v>292</v>
      </c>
      <c r="Q509">
        <v>0</v>
      </c>
      <c r="R509">
        <v>0</v>
      </c>
      <c r="S509">
        <v>0</v>
      </c>
      <c r="T509">
        <v>0</v>
      </c>
      <c r="U509">
        <v>0</v>
      </c>
      <c r="V509">
        <v>0</v>
      </c>
      <c r="W509">
        <v>0</v>
      </c>
      <c r="X509">
        <v>0</v>
      </c>
      <c r="Y509">
        <v>0</v>
      </c>
      <c r="Z509">
        <v>0</v>
      </c>
      <c r="AA509">
        <v>0</v>
      </c>
      <c r="AB509">
        <v>0</v>
      </c>
      <c r="AC509">
        <v>4</v>
      </c>
      <c r="AD509">
        <v>0</v>
      </c>
      <c r="AE509">
        <v>0</v>
      </c>
      <c r="AF509">
        <v>0</v>
      </c>
      <c r="AG509">
        <v>0</v>
      </c>
      <c r="AH509">
        <v>0</v>
      </c>
      <c r="AI509">
        <v>0</v>
      </c>
      <c r="AJ509">
        <v>0</v>
      </c>
    </row>
    <row r="510" spans="1:36">
      <c r="A510" t="s">
        <v>230</v>
      </c>
      <c r="B510" s="264">
        <v>46051</v>
      </c>
      <c r="C510" t="s">
        <v>373</v>
      </c>
      <c r="D510" t="s">
        <v>273</v>
      </c>
      <c r="E510" t="s">
        <v>341</v>
      </c>
      <c r="F510" t="s">
        <v>232</v>
      </c>
      <c r="G510">
        <v>1.11E-2</v>
      </c>
      <c r="H510">
        <v>180</v>
      </c>
      <c r="I510">
        <v>2</v>
      </c>
      <c r="J510">
        <v>0</v>
      </c>
      <c r="K510" t="s">
        <v>233</v>
      </c>
      <c r="L510" s="264">
        <v>46340</v>
      </c>
      <c r="M510">
        <v>0</v>
      </c>
      <c r="N510">
        <v>0</v>
      </c>
      <c r="O510">
        <v>2</v>
      </c>
      <c r="P510" t="s">
        <v>368</v>
      </c>
      <c r="Q510">
        <v>0</v>
      </c>
      <c r="R510">
        <v>0</v>
      </c>
      <c r="S510">
        <v>0</v>
      </c>
      <c r="T510">
        <v>0</v>
      </c>
      <c r="U510">
        <v>0</v>
      </c>
      <c r="V510">
        <v>0</v>
      </c>
      <c r="W510">
        <v>0</v>
      </c>
      <c r="X510">
        <v>0</v>
      </c>
      <c r="Y510">
        <v>0</v>
      </c>
      <c r="Z510">
        <v>0</v>
      </c>
      <c r="AA510">
        <v>0</v>
      </c>
      <c r="AB510">
        <v>0</v>
      </c>
      <c r="AC510">
        <v>0</v>
      </c>
      <c r="AD510">
        <v>2</v>
      </c>
      <c r="AE510">
        <v>0</v>
      </c>
      <c r="AF510">
        <v>0</v>
      </c>
      <c r="AG510">
        <v>0</v>
      </c>
      <c r="AH510">
        <v>0</v>
      </c>
      <c r="AI510">
        <v>0</v>
      </c>
      <c r="AJ510">
        <v>0</v>
      </c>
    </row>
    <row r="511" spans="1:36">
      <c r="A511" t="s">
        <v>230</v>
      </c>
      <c r="B511" s="264">
        <v>46051</v>
      </c>
      <c r="C511" t="s">
        <v>376</v>
      </c>
      <c r="D511" t="s">
        <v>553</v>
      </c>
      <c r="E511" t="s">
        <v>341</v>
      </c>
      <c r="F511" t="s">
        <v>232</v>
      </c>
      <c r="G511">
        <v>0</v>
      </c>
      <c r="H511">
        <v>180</v>
      </c>
      <c r="I511">
        <v>0</v>
      </c>
      <c r="J511">
        <v>0</v>
      </c>
      <c r="K511" t="s">
        <v>233</v>
      </c>
      <c r="L511" t="s">
        <v>66</v>
      </c>
      <c r="M511">
        <v>0</v>
      </c>
      <c r="N511">
        <v>0</v>
      </c>
      <c r="O511">
        <v>0</v>
      </c>
      <c r="P511" t="s">
        <v>436</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row>
    <row r="512" spans="1:36">
      <c r="A512" t="s">
        <v>230</v>
      </c>
      <c r="B512" s="264">
        <v>46051</v>
      </c>
      <c r="C512" t="s">
        <v>378</v>
      </c>
      <c r="D512" t="s">
        <v>555</v>
      </c>
      <c r="E512" t="s">
        <v>341</v>
      </c>
      <c r="F512" t="s">
        <v>232</v>
      </c>
      <c r="G512">
        <v>3.3300000000000003E-2</v>
      </c>
      <c r="H512">
        <v>180</v>
      </c>
      <c r="I512">
        <v>6</v>
      </c>
      <c r="J512">
        <v>0</v>
      </c>
      <c r="K512" t="s">
        <v>233</v>
      </c>
      <c r="L512" s="264">
        <v>46342</v>
      </c>
      <c r="M512">
        <v>0</v>
      </c>
      <c r="N512">
        <v>0</v>
      </c>
      <c r="O512">
        <v>6</v>
      </c>
      <c r="P512" t="s">
        <v>299</v>
      </c>
      <c r="Q512">
        <v>0</v>
      </c>
      <c r="R512">
        <v>0</v>
      </c>
      <c r="S512">
        <v>0</v>
      </c>
      <c r="T512">
        <v>0</v>
      </c>
      <c r="U512">
        <v>0</v>
      </c>
      <c r="V512">
        <v>0</v>
      </c>
      <c r="W512">
        <v>0</v>
      </c>
      <c r="X512">
        <v>0</v>
      </c>
      <c r="Y512">
        <v>0</v>
      </c>
      <c r="Z512">
        <v>0</v>
      </c>
      <c r="AA512">
        <v>0</v>
      </c>
      <c r="AB512">
        <v>0</v>
      </c>
      <c r="AC512">
        <v>0</v>
      </c>
      <c r="AD512">
        <v>6</v>
      </c>
      <c r="AE512">
        <v>0</v>
      </c>
      <c r="AF512">
        <v>0</v>
      </c>
      <c r="AG512">
        <v>0</v>
      </c>
      <c r="AH512">
        <v>0</v>
      </c>
      <c r="AI512">
        <v>0</v>
      </c>
      <c r="AJ512">
        <v>0</v>
      </c>
    </row>
    <row r="513" spans="1:36">
      <c r="A513" t="s">
        <v>230</v>
      </c>
      <c r="B513" s="264">
        <v>46051</v>
      </c>
      <c r="C513" t="s">
        <v>380</v>
      </c>
      <c r="D513" t="s">
        <v>556</v>
      </c>
      <c r="E513" t="s">
        <v>341</v>
      </c>
      <c r="F513" t="s">
        <v>232</v>
      </c>
      <c r="G513">
        <v>1.11E-2</v>
      </c>
      <c r="H513">
        <v>180</v>
      </c>
      <c r="I513">
        <v>2</v>
      </c>
      <c r="J513">
        <v>0</v>
      </c>
      <c r="K513" t="s">
        <v>233</v>
      </c>
      <c r="L513" s="264">
        <v>46344</v>
      </c>
      <c r="M513">
        <v>0</v>
      </c>
      <c r="N513">
        <v>0</v>
      </c>
      <c r="O513">
        <v>2</v>
      </c>
      <c r="P513" t="s">
        <v>368</v>
      </c>
      <c r="Q513">
        <v>0</v>
      </c>
      <c r="R513">
        <v>0</v>
      </c>
      <c r="S513">
        <v>0</v>
      </c>
      <c r="T513">
        <v>0</v>
      </c>
      <c r="U513">
        <v>0</v>
      </c>
      <c r="V513">
        <v>0</v>
      </c>
      <c r="W513">
        <v>0</v>
      </c>
      <c r="X513">
        <v>0</v>
      </c>
      <c r="Y513">
        <v>0</v>
      </c>
      <c r="Z513">
        <v>0</v>
      </c>
      <c r="AA513">
        <v>0</v>
      </c>
      <c r="AB513">
        <v>0</v>
      </c>
      <c r="AC513">
        <v>0</v>
      </c>
      <c r="AD513">
        <v>2</v>
      </c>
      <c r="AE513">
        <v>0</v>
      </c>
      <c r="AF513">
        <v>0</v>
      </c>
      <c r="AG513">
        <v>0</v>
      </c>
      <c r="AH513">
        <v>0</v>
      </c>
      <c r="AI513">
        <v>0</v>
      </c>
      <c r="AJ513">
        <v>0</v>
      </c>
    </row>
    <row r="514" spans="1:36">
      <c r="A514" t="s">
        <v>230</v>
      </c>
      <c r="B514" s="264">
        <v>46051</v>
      </c>
      <c r="C514" t="s">
        <v>65</v>
      </c>
      <c r="D514" t="s">
        <v>231</v>
      </c>
      <c r="E514" t="s">
        <v>1</v>
      </c>
      <c r="F514" t="s">
        <v>232</v>
      </c>
      <c r="G514">
        <v>0</v>
      </c>
      <c r="H514">
        <v>180</v>
      </c>
      <c r="I514">
        <v>0</v>
      </c>
      <c r="J514">
        <v>0</v>
      </c>
      <c r="K514" t="s">
        <v>233</v>
      </c>
      <c r="L514" t="s">
        <v>66</v>
      </c>
      <c r="M514">
        <v>0</v>
      </c>
      <c r="N514">
        <v>0</v>
      </c>
      <c r="O514">
        <v>0</v>
      </c>
      <c r="P514" t="s">
        <v>67</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row>
    <row r="515" spans="1:36">
      <c r="A515" t="s">
        <v>230</v>
      </c>
      <c r="B515" s="264">
        <v>46051</v>
      </c>
      <c r="C515" t="s">
        <v>818</v>
      </c>
      <c r="D515" t="s">
        <v>974</v>
      </c>
      <c r="E515" t="s">
        <v>808</v>
      </c>
      <c r="F515" t="s">
        <v>232</v>
      </c>
      <c r="G515">
        <v>1.6799999999999999E-2</v>
      </c>
      <c r="H515">
        <v>179</v>
      </c>
      <c r="I515">
        <v>3</v>
      </c>
      <c r="J515">
        <v>0</v>
      </c>
      <c r="K515" t="s">
        <v>233</v>
      </c>
      <c r="L515" s="264">
        <v>46339</v>
      </c>
      <c r="M515">
        <v>0</v>
      </c>
      <c r="N515">
        <v>0</v>
      </c>
      <c r="O515">
        <v>3</v>
      </c>
      <c r="P515" t="s">
        <v>877</v>
      </c>
      <c r="Q515">
        <v>0</v>
      </c>
      <c r="R515">
        <v>0</v>
      </c>
      <c r="S515">
        <v>0</v>
      </c>
      <c r="T515">
        <v>0</v>
      </c>
      <c r="U515">
        <v>0</v>
      </c>
      <c r="V515">
        <v>0</v>
      </c>
      <c r="W515">
        <v>0</v>
      </c>
      <c r="X515">
        <v>0</v>
      </c>
      <c r="Y515">
        <v>0</v>
      </c>
      <c r="Z515">
        <v>0</v>
      </c>
      <c r="AA515">
        <v>0</v>
      </c>
      <c r="AB515">
        <v>0</v>
      </c>
      <c r="AC515">
        <v>0</v>
      </c>
      <c r="AD515">
        <v>0</v>
      </c>
      <c r="AE515">
        <v>3</v>
      </c>
      <c r="AF515">
        <v>0</v>
      </c>
      <c r="AG515">
        <v>0</v>
      </c>
      <c r="AH515">
        <v>0</v>
      </c>
      <c r="AI515">
        <v>0</v>
      </c>
      <c r="AJ515">
        <v>0</v>
      </c>
    </row>
    <row r="516" spans="1:36">
      <c r="A516" t="s">
        <v>230</v>
      </c>
      <c r="B516" s="264">
        <v>46051</v>
      </c>
      <c r="C516" t="s">
        <v>1148</v>
      </c>
      <c r="D516" t="s">
        <v>1176</v>
      </c>
      <c r="E516" t="s">
        <v>1144</v>
      </c>
      <c r="F516" t="s">
        <v>232</v>
      </c>
      <c r="G516">
        <v>3.3500000000000002E-2</v>
      </c>
      <c r="H516">
        <v>179</v>
      </c>
      <c r="I516">
        <v>6</v>
      </c>
      <c r="J516">
        <v>0</v>
      </c>
      <c r="K516" t="s">
        <v>233</v>
      </c>
      <c r="L516" s="264">
        <v>46286</v>
      </c>
      <c r="M516">
        <v>0</v>
      </c>
      <c r="N516">
        <v>0</v>
      </c>
      <c r="O516">
        <v>6</v>
      </c>
      <c r="P516" t="s">
        <v>368</v>
      </c>
      <c r="Q516">
        <v>0</v>
      </c>
      <c r="R516">
        <v>0</v>
      </c>
      <c r="S516">
        <v>0</v>
      </c>
      <c r="T516">
        <v>0</v>
      </c>
      <c r="U516">
        <v>0</v>
      </c>
      <c r="V516">
        <v>0</v>
      </c>
      <c r="W516">
        <v>0</v>
      </c>
      <c r="X516">
        <v>0</v>
      </c>
      <c r="Y516">
        <v>0</v>
      </c>
      <c r="Z516">
        <v>0</v>
      </c>
      <c r="AA516">
        <v>0</v>
      </c>
      <c r="AB516">
        <v>0</v>
      </c>
      <c r="AC516">
        <v>0</v>
      </c>
      <c r="AD516">
        <v>0</v>
      </c>
      <c r="AE516">
        <v>0</v>
      </c>
      <c r="AF516">
        <v>6</v>
      </c>
      <c r="AG516">
        <v>0</v>
      </c>
      <c r="AH516">
        <v>0</v>
      </c>
      <c r="AI516">
        <v>0</v>
      </c>
      <c r="AJ516">
        <v>0</v>
      </c>
    </row>
    <row r="517" spans="1:36">
      <c r="A517" t="s">
        <v>230</v>
      </c>
      <c r="B517" s="264">
        <v>46051</v>
      </c>
      <c r="C517" t="s">
        <v>1215</v>
      </c>
      <c r="D517" t="s">
        <v>563</v>
      </c>
      <c r="E517" t="s">
        <v>1213</v>
      </c>
      <c r="F517" t="s">
        <v>232</v>
      </c>
      <c r="G517">
        <v>1.12E-2</v>
      </c>
      <c r="H517">
        <v>179</v>
      </c>
      <c r="I517">
        <v>2</v>
      </c>
      <c r="J517">
        <v>0</v>
      </c>
      <c r="K517" t="s">
        <v>233</v>
      </c>
      <c r="L517" s="264">
        <v>46340</v>
      </c>
      <c r="M517">
        <v>0</v>
      </c>
      <c r="N517">
        <v>0</v>
      </c>
      <c r="O517">
        <v>2</v>
      </c>
      <c r="P517" t="s">
        <v>549</v>
      </c>
      <c r="Q517">
        <v>0</v>
      </c>
      <c r="R517">
        <v>0</v>
      </c>
      <c r="S517">
        <v>0</v>
      </c>
      <c r="T517">
        <v>0</v>
      </c>
      <c r="U517">
        <v>0</v>
      </c>
      <c r="V517">
        <v>0</v>
      </c>
      <c r="W517">
        <v>0</v>
      </c>
      <c r="X517">
        <v>0</v>
      </c>
      <c r="Y517">
        <v>0</v>
      </c>
      <c r="Z517">
        <v>0</v>
      </c>
      <c r="AA517">
        <v>0</v>
      </c>
      <c r="AB517">
        <v>0</v>
      </c>
      <c r="AC517">
        <v>2</v>
      </c>
      <c r="AD517">
        <v>0</v>
      </c>
      <c r="AE517">
        <v>0</v>
      </c>
      <c r="AF517">
        <v>0</v>
      </c>
      <c r="AG517">
        <v>0</v>
      </c>
      <c r="AH517">
        <v>0</v>
      </c>
      <c r="AI517">
        <v>0</v>
      </c>
      <c r="AJ517">
        <v>0</v>
      </c>
    </row>
    <row r="518" spans="1:36">
      <c r="A518" t="s">
        <v>230</v>
      </c>
      <c r="B518" s="264">
        <v>46051</v>
      </c>
      <c r="C518" t="s">
        <v>613</v>
      </c>
      <c r="D518" t="s">
        <v>687</v>
      </c>
      <c r="E518" t="s">
        <v>601</v>
      </c>
      <c r="F518" t="s">
        <v>232</v>
      </c>
      <c r="G518">
        <v>0</v>
      </c>
      <c r="H518">
        <v>180</v>
      </c>
      <c r="I518">
        <v>0</v>
      </c>
      <c r="J518">
        <v>0</v>
      </c>
      <c r="K518" t="s">
        <v>233</v>
      </c>
      <c r="L518" t="s">
        <v>66</v>
      </c>
      <c r="M518">
        <v>0</v>
      </c>
      <c r="N518">
        <v>0</v>
      </c>
      <c r="O518">
        <v>0</v>
      </c>
      <c r="P518" t="s">
        <v>292</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row>
    <row r="519" spans="1:36">
      <c r="A519" t="s">
        <v>230</v>
      </c>
      <c r="B519" s="264">
        <v>46051</v>
      </c>
      <c r="C519" t="s">
        <v>263</v>
      </c>
      <c r="D519" t="s">
        <v>313</v>
      </c>
      <c r="E519" t="s">
        <v>261</v>
      </c>
      <c r="F519" t="s">
        <v>232</v>
      </c>
      <c r="G519">
        <v>0.1278</v>
      </c>
      <c r="H519">
        <v>180</v>
      </c>
      <c r="I519">
        <v>23</v>
      </c>
      <c r="J519">
        <v>0</v>
      </c>
      <c r="K519" t="s">
        <v>233</v>
      </c>
      <c r="L519" s="264">
        <v>46344</v>
      </c>
      <c r="M519">
        <v>0</v>
      </c>
      <c r="N519">
        <v>0</v>
      </c>
      <c r="O519">
        <v>23</v>
      </c>
      <c r="P519" t="s">
        <v>310</v>
      </c>
      <c r="Q519">
        <v>0</v>
      </c>
      <c r="R519">
        <v>0</v>
      </c>
      <c r="S519">
        <v>0</v>
      </c>
      <c r="T519">
        <v>0</v>
      </c>
      <c r="U519">
        <v>0</v>
      </c>
      <c r="V519">
        <v>0</v>
      </c>
      <c r="W519">
        <v>0</v>
      </c>
      <c r="X519">
        <v>0</v>
      </c>
      <c r="Y519">
        <v>0</v>
      </c>
      <c r="Z519">
        <v>8</v>
      </c>
      <c r="AA519">
        <v>2</v>
      </c>
      <c r="AB519">
        <v>4</v>
      </c>
      <c r="AC519">
        <v>9</v>
      </c>
      <c r="AD519">
        <v>0</v>
      </c>
      <c r="AE519">
        <v>0</v>
      </c>
      <c r="AF519">
        <v>0</v>
      </c>
      <c r="AG519">
        <v>0</v>
      </c>
      <c r="AH519">
        <v>0</v>
      </c>
      <c r="AI519">
        <v>0</v>
      </c>
      <c r="AJ519">
        <v>0</v>
      </c>
    </row>
    <row r="520" spans="1:36">
      <c r="A520" t="s">
        <v>560</v>
      </c>
      <c r="B520" s="264">
        <v>46052</v>
      </c>
      <c r="C520" t="s">
        <v>1279</v>
      </c>
      <c r="D520" t="s">
        <v>1283</v>
      </c>
      <c r="E520" t="s">
        <v>1276</v>
      </c>
      <c r="F520" t="s">
        <v>232</v>
      </c>
      <c r="G520">
        <v>2.7900000000000001E-2</v>
      </c>
      <c r="H520">
        <v>179</v>
      </c>
      <c r="I520">
        <v>5</v>
      </c>
      <c r="J520">
        <v>0</v>
      </c>
      <c r="K520" t="s">
        <v>233</v>
      </c>
      <c r="L520" s="264">
        <v>46343</v>
      </c>
      <c r="M520">
        <v>0</v>
      </c>
      <c r="N520">
        <v>0</v>
      </c>
      <c r="O520">
        <v>5</v>
      </c>
      <c r="P520" t="s">
        <v>431</v>
      </c>
      <c r="Q520">
        <v>0</v>
      </c>
      <c r="R520">
        <v>0</v>
      </c>
      <c r="S520">
        <v>0</v>
      </c>
      <c r="T520">
        <v>0</v>
      </c>
      <c r="U520">
        <v>0</v>
      </c>
      <c r="V520">
        <v>0</v>
      </c>
      <c r="W520">
        <v>0</v>
      </c>
      <c r="X520">
        <v>0</v>
      </c>
      <c r="Y520">
        <v>0</v>
      </c>
      <c r="Z520">
        <v>0</v>
      </c>
      <c r="AA520">
        <v>0</v>
      </c>
      <c r="AB520">
        <v>0</v>
      </c>
      <c r="AC520">
        <v>0</v>
      </c>
      <c r="AD520">
        <v>0</v>
      </c>
      <c r="AE520">
        <v>5</v>
      </c>
      <c r="AF520">
        <v>0</v>
      </c>
      <c r="AG520">
        <v>0</v>
      </c>
      <c r="AH520">
        <v>0</v>
      </c>
      <c r="AI520">
        <v>0</v>
      </c>
      <c r="AJ520">
        <v>0</v>
      </c>
    </row>
    <row r="521" spans="1:36">
      <c r="A521" t="s">
        <v>560</v>
      </c>
      <c r="B521" s="264">
        <v>46052</v>
      </c>
      <c r="C521" t="s">
        <v>1208</v>
      </c>
      <c r="D521" t="s">
        <v>313</v>
      </c>
      <c r="E521" t="s">
        <v>1205</v>
      </c>
      <c r="F521" t="s">
        <v>232</v>
      </c>
      <c r="G521">
        <v>0</v>
      </c>
      <c r="H521">
        <v>179</v>
      </c>
      <c r="I521">
        <v>0</v>
      </c>
      <c r="J521">
        <v>0</v>
      </c>
      <c r="K521" t="s">
        <v>233</v>
      </c>
      <c r="L521" t="s">
        <v>66</v>
      </c>
      <c r="M521">
        <v>0</v>
      </c>
      <c r="N521">
        <v>0</v>
      </c>
      <c r="O521">
        <v>0</v>
      </c>
      <c r="P521" t="s">
        <v>968</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row>
    <row r="522" spans="1:36">
      <c r="A522" t="s">
        <v>560</v>
      </c>
      <c r="B522" s="264">
        <v>46052</v>
      </c>
      <c r="C522" t="s">
        <v>1125</v>
      </c>
      <c r="D522" t="s">
        <v>1140</v>
      </c>
      <c r="E522" t="s">
        <v>1123</v>
      </c>
      <c r="F522" t="s">
        <v>232</v>
      </c>
      <c r="G522">
        <v>2.2200000000000001E-2</v>
      </c>
      <c r="H522">
        <v>180</v>
      </c>
      <c r="I522">
        <v>4</v>
      </c>
      <c r="J522">
        <v>0</v>
      </c>
      <c r="K522" t="s">
        <v>233</v>
      </c>
      <c r="L522" s="264">
        <v>46331</v>
      </c>
      <c r="M522">
        <v>0</v>
      </c>
      <c r="N522">
        <v>0</v>
      </c>
      <c r="O522">
        <v>4</v>
      </c>
      <c r="P522" t="s">
        <v>570</v>
      </c>
      <c r="Q522">
        <v>0</v>
      </c>
      <c r="R522">
        <v>0</v>
      </c>
      <c r="S522">
        <v>0</v>
      </c>
      <c r="T522">
        <v>0</v>
      </c>
      <c r="U522">
        <v>0</v>
      </c>
      <c r="V522">
        <v>0</v>
      </c>
      <c r="W522">
        <v>0</v>
      </c>
      <c r="X522">
        <v>0</v>
      </c>
      <c r="Y522">
        <v>0</v>
      </c>
      <c r="Z522">
        <v>0</v>
      </c>
      <c r="AA522">
        <v>0</v>
      </c>
      <c r="AB522">
        <v>0</v>
      </c>
      <c r="AC522">
        <v>1</v>
      </c>
      <c r="AD522">
        <v>0</v>
      </c>
      <c r="AE522">
        <v>3</v>
      </c>
      <c r="AF522">
        <v>0</v>
      </c>
      <c r="AG522">
        <v>0</v>
      </c>
      <c r="AH522">
        <v>0</v>
      </c>
      <c r="AI522">
        <v>0</v>
      </c>
      <c r="AJ522">
        <v>0</v>
      </c>
    </row>
    <row r="523" spans="1:36">
      <c r="A523" t="s">
        <v>560</v>
      </c>
      <c r="B523" s="264">
        <v>46052</v>
      </c>
      <c r="C523" t="s">
        <v>716</v>
      </c>
      <c r="D523" t="s">
        <v>744</v>
      </c>
      <c r="E523" t="s">
        <v>706</v>
      </c>
      <c r="F523" t="s">
        <v>232</v>
      </c>
      <c r="G523">
        <v>1.67E-2</v>
      </c>
      <c r="H523">
        <v>180</v>
      </c>
      <c r="I523">
        <v>3</v>
      </c>
      <c r="J523">
        <v>0</v>
      </c>
      <c r="K523" t="s">
        <v>233</v>
      </c>
      <c r="L523" s="264">
        <v>46335</v>
      </c>
      <c r="M523">
        <v>0</v>
      </c>
      <c r="N523">
        <v>0</v>
      </c>
      <c r="O523">
        <v>3</v>
      </c>
      <c r="P523" t="s">
        <v>302</v>
      </c>
      <c r="Q523">
        <v>0</v>
      </c>
      <c r="R523">
        <v>0</v>
      </c>
      <c r="S523">
        <v>0</v>
      </c>
      <c r="T523">
        <v>0</v>
      </c>
      <c r="U523">
        <v>0</v>
      </c>
      <c r="V523">
        <v>0</v>
      </c>
      <c r="W523">
        <v>0</v>
      </c>
      <c r="X523">
        <v>0</v>
      </c>
      <c r="Y523">
        <v>0</v>
      </c>
      <c r="Z523">
        <v>0</v>
      </c>
      <c r="AA523">
        <v>0</v>
      </c>
      <c r="AB523">
        <v>0</v>
      </c>
      <c r="AC523">
        <v>3</v>
      </c>
      <c r="AD523">
        <v>0</v>
      </c>
      <c r="AE523">
        <v>0</v>
      </c>
      <c r="AF523">
        <v>0</v>
      </c>
      <c r="AG523">
        <v>0</v>
      </c>
      <c r="AH523">
        <v>0</v>
      </c>
      <c r="AI523">
        <v>0</v>
      </c>
      <c r="AJ523">
        <v>0</v>
      </c>
    </row>
    <row r="524" spans="1:36">
      <c r="A524" t="s">
        <v>560</v>
      </c>
      <c r="B524" s="264">
        <v>46052</v>
      </c>
      <c r="C524" t="s">
        <v>1181</v>
      </c>
      <c r="D524" t="s">
        <v>1188</v>
      </c>
      <c r="E524" t="s">
        <v>1178</v>
      </c>
      <c r="F524" t="s">
        <v>232</v>
      </c>
      <c r="G524">
        <v>2.23E-2</v>
      </c>
      <c r="H524">
        <v>179</v>
      </c>
      <c r="I524">
        <v>4</v>
      </c>
      <c r="J524">
        <v>0</v>
      </c>
      <c r="K524" t="s">
        <v>233</v>
      </c>
      <c r="L524" s="264">
        <v>46344</v>
      </c>
      <c r="M524">
        <v>0</v>
      </c>
      <c r="N524">
        <v>0</v>
      </c>
      <c r="O524">
        <v>4</v>
      </c>
      <c r="P524" t="s">
        <v>570</v>
      </c>
      <c r="Q524">
        <v>0</v>
      </c>
      <c r="R524">
        <v>0</v>
      </c>
      <c r="S524">
        <v>0</v>
      </c>
      <c r="T524">
        <v>0</v>
      </c>
      <c r="U524">
        <v>0</v>
      </c>
      <c r="V524">
        <v>0</v>
      </c>
      <c r="W524">
        <v>0</v>
      </c>
      <c r="X524">
        <v>0</v>
      </c>
      <c r="Y524">
        <v>0</v>
      </c>
      <c r="Z524">
        <v>0</v>
      </c>
      <c r="AA524">
        <v>0</v>
      </c>
      <c r="AB524">
        <v>0</v>
      </c>
      <c r="AC524">
        <v>2</v>
      </c>
      <c r="AD524">
        <v>0</v>
      </c>
      <c r="AE524">
        <v>2</v>
      </c>
      <c r="AF524">
        <v>0</v>
      </c>
      <c r="AG524">
        <v>0</v>
      </c>
      <c r="AH524">
        <v>0</v>
      </c>
      <c r="AI524">
        <v>0</v>
      </c>
      <c r="AJ524">
        <v>0</v>
      </c>
    </row>
    <row r="525" spans="1:36">
      <c r="A525" t="s">
        <v>560</v>
      </c>
      <c r="B525" s="264">
        <v>46052</v>
      </c>
      <c r="C525" t="s">
        <v>1045</v>
      </c>
      <c r="D525" t="s">
        <v>231</v>
      </c>
      <c r="E525" t="s">
        <v>1040</v>
      </c>
      <c r="F525" t="s">
        <v>232</v>
      </c>
      <c r="G525">
        <v>3.8899999999999997E-2</v>
      </c>
      <c r="H525">
        <v>180</v>
      </c>
      <c r="I525">
        <v>7</v>
      </c>
      <c r="J525">
        <v>0</v>
      </c>
      <c r="K525" t="s">
        <v>233</v>
      </c>
      <c r="L525" s="264">
        <v>46344</v>
      </c>
      <c r="M525">
        <v>0</v>
      </c>
      <c r="N525">
        <v>0</v>
      </c>
      <c r="O525">
        <v>7</v>
      </c>
      <c r="P525" t="s">
        <v>552</v>
      </c>
      <c r="Q525">
        <v>0</v>
      </c>
      <c r="R525">
        <v>0</v>
      </c>
      <c r="S525">
        <v>0</v>
      </c>
      <c r="T525">
        <v>0</v>
      </c>
      <c r="U525">
        <v>0</v>
      </c>
      <c r="V525">
        <v>0</v>
      </c>
      <c r="W525">
        <v>0</v>
      </c>
      <c r="X525">
        <v>0</v>
      </c>
      <c r="Y525">
        <v>0</v>
      </c>
      <c r="Z525">
        <v>0</v>
      </c>
      <c r="AA525">
        <v>0</v>
      </c>
      <c r="AB525">
        <v>0</v>
      </c>
      <c r="AC525">
        <v>0</v>
      </c>
      <c r="AD525">
        <v>1</v>
      </c>
      <c r="AE525">
        <v>6</v>
      </c>
      <c r="AF525">
        <v>0</v>
      </c>
      <c r="AG525">
        <v>0</v>
      </c>
      <c r="AH525">
        <v>0</v>
      </c>
      <c r="AI525">
        <v>0</v>
      </c>
      <c r="AJ525">
        <v>0</v>
      </c>
    </row>
    <row r="526" spans="1:36">
      <c r="A526" t="s">
        <v>560</v>
      </c>
      <c r="B526" s="264">
        <v>46052</v>
      </c>
      <c r="C526" t="s">
        <v>1289</v>
      </c>
      <c r="D526" t="s">
        <v>574</v>
      </c>
      <c r="E526" t="s">
        <v>1286</v>
      </c>
      <c r="F526" t="s">
        <v>232</v>
      </c>
      <c r="G526">
        <v>4.4699999999999997E-2</v>
      </c>
      <c r="H526">
        <v>179</v>
      </c>
      <c r="I526">
        <v>8</v>
      </c>
      <c r="J526">
        <v>0</v>
      </c>
      <c r="K526" t="s">
        <v>233</v>
      </c>
      <c r="L526" s="264">
        <v>46336</v>
      </c>
      <c r="M526">
        <v>0</v>
      </c>
      <c r="N526">
        <v>0</v>
      </c>
      <c r="O526">
        <v>8</v>
      </c>
      <c r="P526" t="s">
        <v>436</v>
      </c>
      <c r="Q526">
        <v>0</v>
      </c>
      <c r="R526">
        <v>0</v>
      </c>
      <c r="S526">
        <v>0</v>
      </c>
      <c r="T526">
        <v>0</v>
      </c>
      <c r="U526">
        <v>0</v>
      </c>
      <c r="V526">
        <v>0</v>
      </c>
      <c r="W526">
        <v>0</v>
      </c>
      <c r="X526">
        <v>0</v>
      </c>
      <c r="Y526">
        <v>2</v>
      </c>
      <c r="Z526">
        <v>0</v>
      </c>
      <c r="AA526">
        <v>1</v>
      </c>
      <c r="AB526">
        <v>0</v>
      </c>
      <c r="AC526">
        <v>0</v>
      </c>
      <c r="AD526">
        <v>3</v>
      </c>
      <c r="AE526">
        <v>2</v>
      </c>
      <c r="AF526">
        <v>0</v>
      </c>
      <c r="AG526">
        <v>0</v>
      </c>
      <c r="AH526">
        <v>0</v>
      </c>
      <c r="AI526">
        <v>0</v>
      </c>
      <c r="AJ526">
        <v>0</v>
      </c>
    </row>
    <row r="527" spans="1:36">
      <c r="A527" t="s">
        <v>560</v>
      </c>
      <c r="B527" s="264">
        <v>46052</v>
      </c>
      <c r="C527" t="s">
        <v>433</v>
      </c>
      <c r="D527" t="s">
        <v>565</v>
      </c>
      <c r="E527" t="s">
        <v>341</v>
      </c>
      <c r="F527" t="s">
        <v>232</v>
      </c>
      <c r="G527">
        <v>4.4400000000000002E-2</v>
      </c>
      <c r="H527">
        <v>180</v>
      </c>
      <c r="I527">
        <v>8</v>
      </c>
      <c r="J527">
        <v>0</v>
      </c>
      <c r="K527" t="s">
        <v>233</v>
      </c>
      <c r="L527" s="264">
        <v>46337</v>
      </c>
      <c r="M527">
        <v>0</v>
      </c>
      <c r="N527">
        <v>0</v>
      </c>
      <c r="O527">
        <v>8</v>
      </c>
      <c r="P527" t="s">
        <v>306</v>
      </c>
      <c r="Q527">
        <v>0</v>
      </c>
      <c r="R527">
        <v>0</v>
      </c>
      <c r="S527">
        <v>0</v>
      </c>
      <c r="T527">
        <v>0</v>
      </c>
      <c r="U527">
        <v>0</v>
      </c>
      <c r="V527">
        <v>0</v>
      </c>
      <c r="W527">
        <v>0</v>
      </c>
      <c r="X527">
        <v>0</v>
      </c>
      <c r="Y527">
        <v>0</v>
      </c>
      <c r="Z527">
        <v>0</v>
      </c>
      <c r="AA527">
        <v>0</v>
      </c>
      <c r="AB527">
        <v>0</v>
      </c>
      <c r="AC527">
        <v>1</v>
      </c>
      <c r="AD527">
        <v>7</v>
      </c>
      <c r="AE527">
        <v>0</v>
      </c>
      <c r="AF527">
        <v>0</v>
      </c>
      <c r="AG527">
        <v>0</v>
      </c>
      <c r="AH527">
        <v>0</v>
      </c>
      <c r="AI527">
        <v>0</v>
      </c>
      <c r="AJ527">
        <v>0</v>
      </c>
    </row>
    <row r="528" spans="1:36">
      <c r="A528" t="s">
        <v>560</v>
      </c>
      <c r="B528" s="264">
        <v>46052</v>
      </c>
      <c r="C528" t="s">
        <v>429</v>
      </c>
      <c r="D528" t="s">
        <v>564</v>
      </c>
      <c r="E528" t="s">
        <v>341</v>
      </c>
      <c r="F528" t="s">
        <v>232</v>
      </c>
      <c r="G528">
        <v>2.2200000000000001E-2</v>
      </c>
      <c r="H528">
        <v>180</v>
      </c>
      <c r="I528">
        <v>4</v>
      </c>
      <c r="J528">
        <v>0</v>
      </c>
      <c r="K528" t="s">
        <v>233</v>
      </c>
      <c r="L528" s="264">
        <v>46344</v>
      </c>
      <c r="M528">
        <v>0</v>
      </c>
      <c r="N528">
        <v>0</v>
      </c>
      <c r="O528">
        <v>4</v>
      </c>
      <c r="P528" t="s">
        <v>367</v>
      </c>
      <c r="Q528">
        <v>0</v>
      </c>
      <c r="R528">
        <v>0</v>
      </c>
      <c r="S528">
        <v>0</v>
      </c>
      <c r="T528">
        <v>0</v>
      </c>
      <c r="U528">
        <v>0</v>
      </c>
      <c r="V528">
        <v>0</v>
      </c>
      <c r="W528">
        <v>0</v>
      </c>
      <c r="X528">
        <v>0</v>
      </c>
      <c r="Y528">
        <v>0</v>
      </c>
      <c r="Z528">
        <v>0</v>
      </c>
      <c r="AA528">
        <v>0</v>
      </c>
      <c r="AB528">
        <v>0</v>
      </c>
      <c r="AC528">
        <v>0</v>
      </c>
      <c r="AD528">
        <v>4</v>
      </c>
      <c r="AE528">
        <v>0</v>
      </c>
      <c r="AF528">
        <v>0</v>
      </c>
      <c r="AG528">
        <v>0</v>
      </c>
      <c r="AH528">
        <v>0</v>
      </c>
      <c r="AI528">
        <v>0</v>
      </c>
      <c r="AJ528">
        <v>0</v>
      </c>
    </row>
    <row r="529" spans="1:36">
      <c r="A529" t="s">
        <v>560</v>
      </c>
      <c r="B529" s="264">
        <v>46052</v>
      </c>
      <c r="C529" t="s">
        <v>376</v>
      </c>
      <c r="D529" t="s">
        <v>561</v>
      </c>
      <c r="E529" t="s">
        <v>341</v>
      </c>
      <c r="F529" t="s">
        <v>232</v>
      </c>
      <c r="G529">
        <v>3.8899999999999997E-2</v>
      </c>
      <c r="H529">
        <v>180</v>
      </c>
      <c r="I529">
        <v>7</v>
      </c>
      <c r="J529">
        <v>0</v>
      </c>
      <c r="K529" t="s">
        <v>233</v>
      </c>
      <c r="L529" s="264">
        <v>46307</v>
      </c>
      <c r="M529">
        <v>0</v>
      </c>
      <c r="N529">
        <v>0</v>
      </c>
      <c r="O529">
        <v>7</v>
      </c>
      <c r="P529" t="s">
        <v>305</v>
      </c>
      <c r="Q529">
        <v>0</v>
      </c>
      <c r="R529">
        <v>0</v>
      </c>
      <c r="S529">
        <v>0</v>
      </c>
      <c r="T529">
        <v>0</v>
      </c>
      <c r="U529">
        <v>0</v>
      </c>
      <c r="V529">
        <v>0</v>
      </c>
      <c r="W529">
        <v>0</v>
      </c>
      <c r="X529">
        <v>0</v>
      </c>
      <c r="Y529">
        <v>0</v>
      </c>
      <c r="Z529">
        <v>0</v>
      </c>
      <c r="AA529">
        <v>0</v>
      </c>
      <c r="AB529">
        <v>0</v>
      </c>
      <c r="AC529">
        <v>0</v>
      </c>
      <c r="AD529">
        <v>7</v>
      </c>
      <c r="AE529">
        <v>0</v>
      </c>
      <c r="AF529">
        <v>0</v>
      </c>
      <c r="AG529">
        <v>0</v>
      </c>
      <c r="AH529">
        <v>0</v>
      </c>
      <c r="AI529">
        <v>0</v>
      </c>
      <c r="AJ529">
        <v>0</v>
      </c>
    </row>
    <row r="530" spans="1:36">
      <c r="A530" t="s">
        <v>560</v>
      </c>
      <c r="B530" s="264">
        <v>46052</v>
      </c>
      <c r="C530" t="s">
        <v>378</v>
      </c>
      <c r="D530" t="s">
        <v>562</v>
      </c>
      <c r="E530" t="s">
        <v>341</v>
      </c>
      <c r="F530" t="s">
        <v>232</v>
      </c>
      <c r="G530">
        <v>2.7799999999999998E-2</v>
      </c>
      <c r="H530">
        <v>180</v>
      </c>
      <c r="I530">
        <v>5</v>
      </c>
      <c r="J530">
        <v>0</v>
      </c>
      <c r="K530" t="s">
        <v>233</v>
      </c>
      <c r="L530" s="264">
        <v>46334</v>
      </c>
      <c r="M530">
        <v>0</v>
      </c>
      <c r="N530">
        <v>0</v>
      </c>
      <c r="O530">
        <v>5</v>
      </c>
      <c r="P530" t="s">
        <v>430</v>
      </c>
      <c r="Q530">
        <v>0</v>
      </c>
      <c r="R530">
        <v>0</v>
      </c>
      <c r="S530">
        <v>0</v>
      </c>
      <c r="T530">
        <v>0</v>
      </c>
      <c r="U530">
        <v>0</v>
      </c>
      <c r="V530">
        <v>0</v>
      </c>
      <c r="W530">
        <v>0</v>
      </c>
      <c r="X530">
        <v>0</v>
      </c>
      <c r="Y530">
        <v>0</v>
      </c>
      <c r="Z530">
        <v>0</v>
      </c>
      <c r="AA530">
        <v>0</v>
      </c>
      <c r="AB530">
        <v>0</v>
      </c>
      <c r="AC530">
        <v>0</v>
      </c>
      <c r="AD530">
        <v>5</v>
      </c>
      <c r="AE530">
        <v>0</v>
      </c>
      <c r="AF530">
        <v>0</v>
      </c>
      <c r="AG530">
        <v>0</v>
      </c>
      <c r="AH530">
        <v>0</v>
      </c>
      <c r="AI530">
        <v>0</v>
      </c>
      <c r="AJ530">
        <v>0</v>
      </c>
    </row>
    <row r="531" spans="1:36">
      <c r="A531" t="s">
        <v>560</v>
      </c>
      <c r="B531" s="264">
        <v>46052</v>
      </c>
      <c r="C531" t="s">
        <v>380</v>
      </c>
      <c r="D531" t="s">
        <v>563</v>
      </c>
      <c r="E531" t="s">
        <v>341</v>
      </c>
      <c r="F531" t="s">
        <v>232</v>
      </c>
      <c r="G531">
        <v>0.05</v>
      </c>
      <c r="H531">
        <v>180</v>
      </c>
      <c r="I531">
        <v>9</v>
      </c>
      <c r="J531">
        <v>0</v>
      </c>
      <c r="K531" t="s">
        <v>233</v>
      </c>
      <c r="L531" s="264">
        <v>46341</v>
      </c>
      <c r="M531">
        <v>0</v>
      </c>
      <c r="N531">
        <v>0</v>
      </c>
      <c r="O531">
        <v>9</v>
      </c>
      <c r="P531" t="s">
        <v>430</v>
      </c>
      <c r="Q531">
        <v>0</v>
      </c>
      <c r="R531">
        <v>0</v>
      </c>
      <c r="S531">
        <v>0</v>
      </c>
      <c r="T531">
        <v>0</v>
      </c>
      <c r="U531">
        <v>0</v>
      </c>
      <c r="V531">
        <v>0</v>
      </c>
      <c r="W531">
        <v>0</v>
      </c>
      <c r="X531">
        <v>0</v>
      </c>
      <c r="Y531">
        <v>0</v>
      </c>
      <c r="Z531">
        <v>0</v>
      </c>
      <c r="AA531">
        <v>0</v>
      </c>
      <c r="AB531">
        <v>0</v>
      </c>
      <c r="AC531">
        <v>4</v>
      </c>
      <c r="AD531">
        <v>5</v>
      </c>
      <c r="AE531">
        <v>0</v>
      </c>
      <c r="AF531">
        <v>0</v>
      </c>
      <c r="AG531">
        <v>0</v>
      </c>
      <c r="AH531">
        <v>0</v>
      </c>
      <c r="AI531">
        <v>0</v>
      </c>
      <c r="AJ531">
        <v>0</v>
      </c>
    </row>
    <row r="532" spans="1:36">
      <c r="A532" t="s">
        <v>560</v>
      </c>
      <c r="B532" s="264">
        <v>46052</v>
      </c>
      <c r="C532" t="s">
        <v>818</v>
      </c>
      <c r="D532" t="s">
        <v>555</v>
      </c>
      <c r="E532" t="s">
        <v>808</v>
      </c>
      <c r="F532" t="s">
        <v>232</v>
      </c>
      <c r="G532">
        <v>1.6799999999999999E-2</v>
      </c>
      <c r="H532">
        <v>179</v>
      </c>
      <c r="I532">
        <v>3</v>
      </c>
      <c r="J532">
        <v>0</v>
      </c>
      <c r="K532" t="s">
        <v>233</v>
      </c>
      <c r="L532" s="264">
        <v>46337</v>
      </c>
      <c r="M532">
        <v>0</v>
      </c>
      <c r="N532">
        <v>0</v>
      </c>
      <c r="O532">
        <v>3</v>
      </c>
      <c r="P532" t="s">
        <v>951</v>
      </c>
      <c r="Q532">
        <v>0</v>
      </c>
      <c r="R532">
        <v>0</v>
      </c>
      <c r="S532">
        <v>0</v>
      </c>
      <c r="T532">
        <v>0</v>
      </c>
      <c r="U532">
        <v>0</v>
      </c>
      <c r="V532">
        <v>0</v>
      </c>
      <c r="W532">
        <v>0</v>
      </c>
      <c r="X532">
        <v>0</v>
      </c>
      <c r="Y532">
        <v>0</v>
      </c>
      <c r="Z532">
        <v>0</v>
      </c>
      <c r="AA532">
        <v>0</v>
      </c>
      <c r="AB532">
        <v>0</v>
      </c>
      <c r="AC532">
        <v>0</v>
      </c>
      <c r="AD532">
        <v>0</v>
      </c>
      <c r="AE532">
        <v>3</v>
      </c>
      <c r="AF532">
        <v>0</v>
      </c>
      <c r="AG532">
        <v>0</v>
      </c>
      <c r="AH532">
        <v>0</v>
      </c>
      <c r="AI532">
        <v>0</v>
      </c>
      <c r="AJ532">
        <v>0</v>
      </c>
    </row>
    <row r="533" spans="1:36">
      <c r="A533" t="s">
        <v>560</v>
      </c>
      <c r="B533" s="264">
        <v>46052</v>
      </c>
      <c r="C533" t="s">
        <v>854</v>
      </c>
      <c r="D533" t="s">
        <v>975</v>
      </c>
      <c r="E533" t="s">
        <v>808</v>
      </c>
      <c r="F533" t="s">
        <v>232</v>
      </c>
      <c r="G533">
        <v>3.9100000000000003E-2</v>
      </c>
      <c r="H533">
        <v>179</v>
      </c>
      <c r="I533">
        <v>7</v>
      </c>
      <c r="J533">
        <v>0</v>
      </c>
      <c r="K533" t="s">
        <v>233</v>
      </c>
      <c r="L533" s="264">
        <v>46345</v>
      </c>
      <c r="M533">
        <v>0</v>
      </c>
      <c r="N533">
        <v>0</v>
      </c>
      <c r="O533">
        <v>7</v>
      </c>
      <c r="P533" t="s">
        <v>552</v>
      </c>
      <c r="Q533">
        <v>0</v>
      </c>
      <c r="R533">
        <v>0</v>
      </c>
      <c r="S533">
        <v>0</v>
      </c>
      <c r="T533">
        <v>0</v>
      </c>
      <c r="U533">
        <v>0</v>
      </c>
      <c r="V533">
        <v>0</v>
      </c>
      <c r="W533">
        <v>0</v>
      </c>
      <c r="X533">
        <v>0</v>
      </c>
      <c r="Y533">
        <v>0</v>
      </c>
      <c r="Z533">
        <v>0</v>
      </c>
      <c r="AA533">
        <v>0</v>
      </c>
      <c r="AB533">
        <v>0</v>
      </c>
      <c r="AC533">
        <v>0</v>
      </c>
      <c r="AD533">
        <v>0</v>
      </c>
      <c r="AE533">
        <v>7</v>
      </c>
      <c r="AF533">
        <v>0</v>
      </c>
      <c r="AG533">
        <v>0</v>
      </c>
      <c r="AH533">
        <v>0</v>
      </c>
      <c r="AI533">
        <v>0</v>
      </c>
      <c r="AJ533">
        <v>0</v>
      </c>
    </row>
    <row r="534" spans="1:36">
      <c r="A534" t="s">
        <v>560</v>
      </c>
      <c r="B534" s="264">
        <v>46052</v>
      </c>
      <c r="C534" t="s">
        <v>1215</v>
      </c>
      <c r="D534" t="s">
        <v>751</v>
      </c>
      <c r="E534" t="s">
        <v>1213</v>
      </c>
      <c r="F534" t="s">
        <v>232</v>
      </c>
      <c r="G534">
        <v>5.5999999999999999E-3</v>
      </c>
      <c r="H534">
        <v>179</v>
      </c>
      <c r="I534">
        <v>1</v>
      </c>
      <c r="J534">
        <v>0</v>
      </c>
      <c r="K534" t="s">
        <v>233</v>
      </c>
      <c r="L534" s="264">
        <v>46307</v>
      </c>
      <c r="M534">
        <v>0</v>
      </c>
      <c r="N534">
        <v>0</v>
      </c>
      <c r="O534">
        <v>1</v>
      </c>
      <c r="P534" t="s">
        <v>877</v>
      </c>
      <c r="Q534">
        <v>0</v>
      </c>
      <c r="R534">
        <v>0</v>
      </c>
      <c r="S534">
        <v>0</v>
      </c>
      <c r="T534">
        <v>0</v>
      </c>
      <c r="U534">
        <v>0</v>
      </c>
      <c r="V534">
        <v>0</v>
      </c>
      <c r="W534">
        <v>0</v>
      </c>
      <c r="X534">
        <v>0</v>
      </c>
      <c r="Y534">
        <v>0</v>
      </c>
      <c r="Z534">
        <v>0</v>
      </c>
      <c r="AA534">
        <v>0</v>
      </c>
      <c r="AB534">
        <v>0</v>
      </c>
      <c r="AC534">
        <v>1</v>
      </c>
      <c r="AD534">
        <v>0</v>
      </c>
      <c r="AE534">
        <v>0</v>
      </c>
      <c r="AF534">
        <v>0</v>
      </c>
      <c r="AG534">
        <v>0</v>
      </c>
      <c r="AH534">
        <v>0</v>
      </c>
      <c r="AI534">
        <v>0</v>
      </c>
      <c r="AJ534">
        <v>0</v>
      </c>
    </row>
    <row r="535" spans="1:36">
      <c r="A535" t="s">
        <v>560</v>
      </c>
      <c r="B535" s="264">
        <v>46052</v>
      </c>
      <c r="C535" t="s">
        <v>613</v>
      </c>
      <c r="D535" t="s">
        <v>257</v>
      </c>
      <c r="E535" t="s">
        <v>601</v>
      </c>
      <c r="F535" t="s">
        <v>232</v>
      </c>
      <c r="G535">
        <v>5.5999999999999999E-3</v>
      </c>
      <c r="H535">
        <v>180</v>
      </c>
      <c r="I535">
        <v>1</v>
      </c>
      <c r="J535">
        <v>0</v>
      </c>
      <c r="K535" t="s">
        <v>233</v>
      </c>
      <c r="L535" s="264">
        <v>46328</v>
      </c>
      <c r="M535">
        <v>0</v>
      </c>
      <c r="N535">
        <v>0</v>
      </c>
      <c r="O535">
        <v>1</v>
      </c>
      <c r="P535" t="s">
        <v>514</v>
      </c>
      <c r="Q535">
        <v>0</v>
      </c>
      <c r="R535">
        <v>0</v>
      </c>
      <c r="S535">
        <v>0</v>
      </c>
      <c r="T535">
        <v>0</v>
      </c>
      <c r="U535">
        <v>0</v>
      </c>
      <c r="V535">
        <v>0</v>
      </c>
      <c r="W535">
        <v>0</v>
      </c>
      <c r="X535">
        <v>0</v>
      </c>
      <c r="Y535">
        <v>0</v>
      </c>
      <c r="Z535">
        <v>0</v>
      </c>
      <c r="AA535">
        <v>1</v>
      </c>
      <c r="AB535">
        <v>0</v>
      </c>
      <c r="AC535">
        <v>0</v>
      </c>
      <c r="AD535">
        <v>0</v>
      </c>
      <c r="AE535">
        <v>0</v>
      </c>
      <c r="AF535">
        <v>0</v>
      </c>
      <c r="AG535">
        <v>0</v>
      </c>
      <c r="AH535">
        <v>0</v>
      </c>
      <c r="AI535">
        <v>0</v>
      </c>
      <c r="AJ535">
        <v>0</v>
      </c>
    </row>
    <row r="536" spans="1:36">
      <c r="A536" t="s">
        <v>234</v>
      </c>
      <c r="B536" s="264">
        <v>46053</v>
      </c>
      <c r="C536" t="s">
        <v>1321</v>
      </c>
      <c r="D536" t="s">
        <v>748</v>
      </c>
      <c r="E536" t="s">
        <v>1318</v>
      </c>
      <c r="F536" t="s">
        <v>232</v>
      </c>
      <c r="G536">
        <v>0</v>
      </c>
      <c r="H536">
        <v>179</v>
      </c>
      <c r="I536">
        <v>0</v>
      </c>
      <c r="J536">
        <v>0</v>
      </c>
      <c r="K536" t="s">
        <v>233</v>
      </c>
      <c r="L536" t="s">
        <v>66</v>
      </c>
      <c r="M536">
        <v>0</v>
      </c>
      <c r="N536">
        <v>0</v>
      </c>
      <c r="O536">
        <v>0</v>
      </c>
      <c r="P536" t="s">
        <v>968</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row>
    <row r="537" spans="1:36">
      <c r="A537" t="s">
        <v>234</v>
      </c>
      <c r="B537" s="264">
        <v>46053</v>
      </c>
      <c r="C537" t="s">
        <v>709</v>
      </c>
      <c r="D537" t="s">
        <v>745</v>
      </c>
      <c r="E537" t="s">
        <v>706</v>
      </c>
      <c r="F537" t="s">
        <v>232</v>
      </c>
      <c r="G537">
        <v>5.5999999999999999E-3</v>
      </c>
      <c r="H537">
        <v>180</v>
      </c>
      <c r="I537">
        <v>1</v>
      </c>
      <c r="J537">
        <v>0</v>
      </c>
      <c r="K537" t="s">
        <v>233</v>
      </c>
      <c r="L537" s="264">
        <v>46269</v>
      </c>
      <c r="M537">
        <v>0</v>
      </c>
      <c r="N537">
        <v>0</v>
      </c>
      <c r="O537">
        <v>1</v>
      </c>
      <c r="P537" t="s">
        <v>304</v>
      </c>
      <c r="Q537">
        <v>0</v>
      </c>
      <c r="R537">
        <v>0</v>
      </c>
      <c r="S537">
        <v>0</v>
      </c>
      <c r="T537">
        <v>0</v>
      </c>
      <c r="U537">
        <v>0</v>
      </c>
      <c r="V537">
        <v>0</v>
      </c>
      <c r="W537">
        <v>0</v>
      </c>
      <c r="X537">
        <v>0</v>
      </c>
      <c r="Y537">
        <v>0</v>
      </c>
      <c r="Z537">
        <v>0</v>
      </c>
      <c r="AA537">
        <v>0</v>
      </c>
      <c r="AB537">
        <v>0</v>
      </c>
      <c r="AC537">
        <v>1</v>
      </c>
      <c r="AD537">
        <v>0</v>
      </c>
      <c r="AE537">
        <v>0</v>
      </c>
      <c r="AF537">
        <v>0</v>
      </c>
      <c r="AG537">
        <v>0</v>
      </c>
      <c r="AH537">
        <v>0</v>
      </c>
      <c r="AI537">
        <v>0</v>
      </c>
      <c r="AJ537">
        <v>0</v>
      </c>
    </row>
    <row r="538" spans="1:36">
      <c r="A538" t="s">
        <v>234</v>
      </c>
      <c r="B538" s="264">
        <v>46053</v>
      </c>
      <c r="C538" t="s">
        <v>712</v>
      </c>
      <c r="D538" t="s">
        <v>746</v>
      </c>
      <c r="E538" t="s">
        <v>706</v>
      </c>
      <c r="F538" t="s">
        <v>232</v>
      </c>
      <c r="G538">
        <v>1.67E-2</v>
      </c>
      <c r="H538">
        <v>180</v>
      </c>
      <c r="I538">
        <v>3</v>
      </c>
      <c r="J538">
        <v>0</v>
      </c>
      <c r="K538" t="s">
        <v>233</v>
      </c>
      <c r="L538" s="264">
        <v>46339</v>
      </c>
      <c r="M538">
        <v>0</v>
      </c>
      <c r="N538">
        <v>0</v>
      </c>
      <c r="O538">
        <v>3</v>
      </c>
      <c r="P538" t="s">
        <v>298</v>
      </c>
      <c r="Q538">
        <v>0</v>
      </c>
      <c r="R538">
        <v>0</v>
      </c>
      <c r="S538">
        <v>0</v>
      </c>
      <c r="T538">
        <v>0</v>
      </c>
      <c r="U538">
        <v>0</v>
      </c>
      <c r="V538">
        <v>0</v>
      </c>
      <c r="W538">
        <v>0</v>
      </c>
      <c r="X538">
        <v>0</v>
      </c>
      <c r="Y538">
        <v>0</v>
      </c>
      <c r="Z538">
        <v>0</v>
      </c>
      <c r="AA538">
        <v>1</v>
      </c>
      <c r="AB538">
        <v>0</v>
      </c>
      <c r="AC538">
        <v>2</v>
      </c>
      <c r="AD538">
        <v>0</v>
      </c>
      <c r="AE538">
        <v>0</v>
      </c>
      <c r="AF538">
        <v>0</v>
      </c>
      <c r="AG538">
        <v>0</v>
      </c>
      <c r="AH538">
        <v>0</v>
      </c>
      <c r="AI538">
        <v>0</v>
      </c>
      <c r="AJ538">
        <v>0</v>
      </c>
    </row>
    <row r="539" spans="1:36">
      <c r="A539" t="s">
        <v>234</v>
      </c>
      <c r="B539" s="264">
        <v>46053</v>
      </c>
      <c r="C539" t="s">
        <v>716</v>
      </c>
      <c r="D539" t="s">
        <v>561</v>
      </c>
      <c r="E539" t="s">
        <v>706</v>
      </c>
      <c r="F539" t="s">
        <v>232</v>
      </c>
      <c r="G539">
        <v>5.5999999999999999E-3</v>
      </c>
      <c r="H539">
        <v>180</v>
      </c>
      <c r="I539">
        <v>1</v>
      </c>
      <c r="J539">
        <v>0</v>
      </c>
      <c r="K539" t="s">
        <v>233</v>
      </c>
      <c r="L539" s="264">
        <v>46327</v>
      </c>
      <c r="M539">
        <v>0</v>
      </c>
      <c r="N539">
        <v>0</v>
      </c>
      <c r="O539">
        <v>1</v>
      </c>
      <c r="P539" t="s">
        <v>304</v>
      </c>
      <c r="Q539">
        <v>0</v>
      </c>
      <c r="R539">
        <v>0</v>
      </c>
      <c r="S539">
        <v>0</v>
      </c>
      <c r="T539">
        <v>0</v>
      </c>
      <c r="U539">
        <v>0</v>
      </c>
      <c r="V539">
        <v>0</v>
      </c>
      <c r="W539">
        <v>0</v>
      </c>
      <c r="X539">
        <v>0</v>
      </c>
      <c r="Y539">
        <v>0</v>
      </c>
      <c r="Z539">
        <v>0</v>
      </c>
      <c r="AA539">
        <v>0</v>
      </c>
      <c r="AB539">
        <v>0</v>
      </c>
      <c r="AC539">
        <v>1</v>
      </c>
      <c r="AD539">
        <v>0</v>
      </c>
      <c r="AE539">
        <v>0</v>
      </c>
      <c r="AF539">
        <v>0</v>
      </c>
      <c r="AG539">
        <v>0</v>
      </c>
      <c r="AH539">
        <v>0</v>
      </c>
      <c r="AI539">
        <v>0</v>
      </c>
      <c r="AJ539">
        <v>0</v>
      </c>
    </row>
    <row r="540" spans="1:36">
      <c r="A540" t="s">
        <v>234</v>
      </c>
      <c r="B540" s="264">
        <v>46053</v>
      </c>
      <c r="C540" t="s">
        <v>323</v>
      </c>
      <c r="D540" t="s">
        <v>334</v>
      </c>
      <c r="E540" t="s">
        <v>320</v>
      </c>
      <c r="F540" t="s">
        <v>232</v>
      </c>
      <c r="G540">
        <v>1.11E-2</v>
      </c>
      <c r="H540">
        <v>180</v>
      </c>
      <c r="I540">
        <v>2</v>
      </c>
      <c r="J540">
        <v>0</v>
      </c>
      <c r="K540" t="s">
        <v>233</v>
      </c>
      <c r="L540" s="264">
        <v>46343</v>
      </c>
      <c r="M540">
        <v>0</v>
      </c>
      <c r="N540">
        <v>0</v>
      </c>
      <c r="O540">
        <v>2</v>
      </c>
      <c r="P540" t="s">
        <v>324</v>
      </c>
      <c r="Q540">
        <v>0</v>
      </c>
      <c r="R540">
        <v>0</v>
      </c>
      <c r="S540">
        <v>0</v>
      </c>
      <c r="T540">
        <v>0</v>
      </c>
      <c r="U540">
        <v>0</v>
      </c>
      <c r="V540">
        <v>0</v>
      </c>
      <c r="W540">
        <v>0</v>
      </c>
      <c r="X540">
        <v>0</v>
      </c>
      <c r="Y540">
        <v>0</v>
      </c>
      <c r="Z540">
        <v>0</v>
      </c>
      <c r="AA540">
        <v>0</v>
      </c>
      <c r="AB540">
        <v>0</v>
      </c>
      <c r="AC540">
        <v>1</v>
      </c>
      <c r="AD540">
        <v>0</v>
      </c>
      <c r="AE540">
        <v>0</v>
      </c>
      <c r="AF540">
        <v>1</v>
      </c>
      <c r="AG540">
        <v>0</v>
      </c>
      <c r="AH540">
        <v>0</v>
      </c>
      <c r="AI540">
        <v>0</v>
      </c>
      <c r="AJ540">
        <v>0</v>
      </c>
    </row>
    <row r="541" spans="1:36">
      <c r="A541" t="s">
        <v>234</v>
      </c>
      <c r="B541" s="264">
        <v>46053</v>
      </c>
      <c r="C541" t="s">
        <v>1241</v>
      </c>
      <c r="D541" t="s">
        <v>334</v>
      </c>
      <c r="E541" t="s">
        <v>1239</v>
      </c>
      <c r="F541" t="s">
        <v>232</v>
      </c>
      <c r="G541">
        <v>6.1499999999999999E-2</v>
      </c>
      <c r="H541">
        <v>179</v>
      </c>
      <c r="I541">
        <v>11</v>
      </c>
      <c r="J541">
        <v>0</v>
      </c>
      <c r="K541" t="s">
        <v>233</v>
      </c>
      <c r="L541" s="264">
        <v>46335</v>
      </c>
      <c r="M541">
        <v>0</v>
      </c>
      <c r="N541">
        <v>0</v>
      </c>
      <c r="O541">
        <v>11</v>
      </c>
      <c r="P541" t="s">
        <v>446</v>
      </c>
      <c r="Q541">
        <v>0</v>
      </c>
      <c r="R541">
        <v>0</v>
      </c>
      <c r="S541">
        <v>0</v>
      </c>
      <c r="T541">
        <v>0</v>
      </c>
      <c r="U541">
        <v>0</v>
      </c>
      <c r="V541">
        <v>0</v>
      </c>
      <c r="W541">
        <v>0</v>
      </c>
      <c r="X541">
        <v>0</v>
      </c>
      <c r="Y541">
        <v>0</v>
      </c>
      <c r="Z541">
        <v>0</v>
      </c>
      <c r="AA541">
        <v>1</v>
      </c>
      <c r="AB541">
        <v>0</v>
      </c>
      <c r="AC541">
        <v>5</v>
      </c>
      <c r="AD541">
        <v>3</v>
      </c>
      <c r="AE541">
        <v>2</v>
      </c>
      <c r="AF541">
        <v>0</v>
      </c>
      <c r="AG541">
        <v>0</v>
      </c>
      <c r="AH541">
        <v>0</v>
      </c>
      <c r="AI541">
        <v>0</v>
      </c>
      <c r="AJ541">
        <v>0</v>
      </c>
    </row>
    <row r="542" spans="1:36">
      <c r="A542" t="s">
        <v>234</v>
      </c>
      <c r="B542" s="264">
        <v>46053</v>
      </c>
      <c r="C542" t="s">
        <v>1194</v>
      </c>
      <c r="D542" t="s">
        <v>1203</v>
      </c>
      <c r="E542" t="s">
        <v>1192</v>
      </c>
      <c r="F542" t="s">
        <v>232</v>
      </c>
      <c r="G542">
        <v>1.12E-2</v>
      </c>
      <c r="H542">
        <v>179</v>
      </c>
      <c r="I542">
        <v>2</v>
      </c>
      <c r="J542">
        <v>0</v>
      </c>
      <c r="K542" t="s">
        <v>233</v>
      </c>
      <c r="L542" s="264">
        <v>46313</v>
      </c>
      <c r="M542">
        <v>0</v>
      </c>
      <c r="N542">
        <v>0</v>
      </c>
      <c r="O542">
        <v>2</v>
      </c>
      <c r="P542" t="s">
        <v>967</v>
      </c>
      <c r="Q542">
        <v>0</v>
      </c>
      <c r="R542">
        <v>0</v>
      </c>
      <c r="S542">
        <v>0</v>
      </c>
      <c r="T542">
        <v>0</v>
      </c>
      <c r="U542">
        <v>0</v>
      </c>
      <c r="V542">
        <v>0</v>
      </c>
      <c r="W542">
        <v>0</v>
      </c>
      <c r="X542">
        <v>0</v>
      </c>
      <c r="Y542">
        <v>0</v>
      </c>
      <c r="Z542">
        <v>0</v>
      </c>
      <c r="AA542">
        <v>1</v>
      </c>
      <c r="AB542">
        <v>0</v>
      </c>
      <c r="AC542">
        <v>0</v>
      </c>
      <c r="AD542">
        <v>0</v>
      </c>
      <c r="AE542">
        <v>1</v>
      </c>
      <c r="AF542">
        <v>0</v>
      </c>
      <c r="AG542">
        <v>0</v>
      </c>
      <c r="AH542">
        <v>0</v>
      </c>
      <c r="AI542">
        <v>0</v>
      </c>
      <c r="AJ542">
        <v>0</v>
      </c>
    </row>
    <row r="543" spans="1:36">
      <c r="A543" t="s">
        <v>234</v>
      </c>
      <c r="B543" s="264">
        <v>46053</v>
      </c>
      <c r="C543" t="s">
        <v>1045</v>
      </c>
      <c r="D543" t="s">
        <v>1108</v>
      </c>
      <c r="E543" t="s">
        <v>1040</v>
      </c>
      <c r="F543" t="s">
        <v>232</v>
      </c>
      <c r="G543">
        <v>0.1222</v>
      </c>
      <c r="H543">
        <v>180</v>
      </c>
      <c r="I543">
        <v>22</v>
      </c>
      <c r="J543">
        <v>0</v>
      </c>
      <c r="K543" t="s">
        <v>233</v>
      </c>
      <c r="L543" s="264">
        <v>46338</v>
      </c>
      <c r="M543">
        <v>0</v>
      </c>
      <c r="N543">
        <v>0</v>
      </c>
      <c r="O543">
        <v>22</v>
      </c>
      <c r="P543" t="s">
        <v>589</v>
      </c>
      <c r="Q543">
        <v>0</v>
      </c>
      <c r="R543">
        <v>0</v>
      </c>
      <c r="S543">
        <v>0</v>
      </c>
      <c r="T543">
        <v>0</v>
      </c>
      <c r="U543">
        <v>0</v>
      </c>
      <c r="V543">
        <v>0</v>
      </c>
      <c r="W543">
        <v>0</v>
      </c>
      <c r="X543">
        <v>0</v>
      </c>
      <c r="Y543">
        <v>0</v>
      </c>
      <c r="Z543">
        <v>2</v>
      </c>
      <c r="AA543">
        <v>3</v>
      </c>
      <c r="AB543">
        <v>3</v>
      </c>
      <c r="AC543">
        <v>4</v>
      </c>
      <c r="AD543">
        <v>7</v>
      </c>
      <c r="AE543">
        <v>3</v>
      </c>
      <c r="AF543">
        <v>0</v>
      </c>
      <c r="AG543">
        <v>0</v>
      </c>
      <c r="AH543">
        <v>0</v>
      </c>
      <c r="AI543">
        <v>0</v>
      </c>
      <c r="AJ543">
        <v>0</v>
      </c>
    </row>
    <row r="544" spans="1:36">
      <c r="A544" t="s">
        <v>234</v>
      </c>
      <c r="B544" s="264">
        <v>46053</v>
      </c>
      <c r="C544" t="s">
        <v>1337</v>
      </c>
      <c r="D544" t="s">
        <v>1324</v>
      </c>
      <c r="E544" t="s">
        <v>1333</v>
      </c>
      <c r="F544" t="s">
        <v>232</v>
      </c>
      <c r="G544">
        <v>2.23E-2</v>
      </c>
      <c r="H544">
        <v>179</v>
      </c>
      <c r="I544">
        <v>4</v>
      </c>
      <c r="J544">
        <v>0</v>
      </c>
      <c r="K544" t="s">
        <v>233</v>
      </c>
      <c r="L544" s="264">
        <v>46334</v>
      </c>
      <c r="M544">
        <v>0</v>
      </c>
      <c r="N544">
        <v>0</v>
      </c>
      <c r="O544">
        <v>4</v>
      </c>
      <c r="P544" t="s">
        <v>967</v>
      </c>
      <c r="Q544">
        <v>0</v>
      </c>
      <c r="R544">
        <v>0</v>
      </c>
      <c r="S544">
        <v>0</v>
      </c>
      <c r="T544">
        <v>0</v>
      </c>
      <c r="U544">
        <v>0</v>
      </c>
      <c r="V544">
        <v>0</v>
      </c>
      <c r="W544">
        <v>0</v>
      </c>
      <c r="X544">
        <v>0</v>
      </c>
      <c r="Y544">
        <v>0</v>
      </c>
      <c r="Z544">
        <v>0</v>
      </c>
      <c r="AA544">
        <v>2</v>
      </c>
      <c r="AB544">
        <v>0</v>
      </c>
      <c r="AC544">
        <v>1</v>
      </c>
      <c r="AD544">
        <v>0</v>
      </c>
      <c r="AE544">
        <v>1</v>
      </c>
      <c r="AF544">
        <v>0</v>
      </c>
      <c r="AG544">
        <v>0</v>
      </c>
      <c r="AH544">
        <v>0</v>
      </c>
      <c r="AI544">
        <v>0</v>
      </c>
      <c r="AJ544">
        <v>0</v>
      </c>
    </row>
    <row r="545" spans="1:36">
      <c r="A545" t="s">
        <v>234</v>
      </c>
      <c r="B545" s="264">
        <v>46053</v>
      </c>
      <c r="C545" t="s">
        <v>366</v>
      </c>
      <c r="D545" t="s">
        <v>568</v>
      </c>
      <c r="E545" t="s">
        <v>341</v>
      </c>
      <c r="F545" t="s">
        <v>232</v>
      </c>
      <c r="G545">
        <v>3.3300000000000003E-2</v>
      </c>
      <c r="H545">
        <v>180</v>
      </c>
      <c r="I545">
        <v>6</v>
      </c>
      <c r="J545">
        <v>0</v>
      </c>
      <c r="K545" t="s">
        <v>233</v>
      </c>
      <c r="L545" s="264">
        <v>46343</v>
      </c>
      <c r="M545">
        <v>0</v>
      </c>
      <c r="N545">
        <v>0</v>
      </c>
      <c r="O545">
        <v>6</v>
      </c>
      <c r="P545" t="s">
        <v>299</v>
      </c>
      <c r="Q545">
        <v>0</v>
      </c>
      <c r="R545">
        <v>0</v>
      </c>
      <c r="S545">
        <v>0</v>
      </c>
      <c r="T545">
        <v>0</v>
      </c>
      <c r="U545">
        <v>0</v>
      </c>
      <c r="V545">
        <v>0</v>
      </c>
      <c r="W545">
        <v>0</v>
      </c>
      <c r="X545">
        <v>0</v>
      </c>
      <c r="Y545">
        <v>0</v>
      </c>
      <c r="Z545">
        <v>0</v>
      </c>
      <c r="AA545">
        <v>0</v>
      </c>
      <c r="AB545">
        <v>0</v>
      </c>
      <c r="AC545">
        <v>0</v>
      </c>
      <c r="AD545">
        <v>6</v>
      </c>
      <c r="AE545">
        <v>0</v>
      </c>
      <c r="AF545">
        <v>0</v>
      </c>
      <c r="AG545">
        <v>0</v>
      </c>
      <c r="AH545">
        <v>0</v>
      </c>
      <c r="AI545">
        <v>0</v>
      </c>
      <c r="AJ545">
        <v>0</v>
      </c>
    </row>
    <row r="546" spans="1:36">
      <c r="A546" t="s">
        <v>234</v>
      </c>
      <c r="B546" s="264">
        <v>46053</v>
      </c>
      <c r="C546" t="s">
        <v>373</v>
      </c>
      <c r="D546" t="s">
        <v>566</v>
      </c>
      <c r="E546" t="s">
        <v>341</v>
      </c>
      <c r="F546" t="s">
        <v>232</v>
      </c>
      <c r="G546">
        <v>5.4000000000000003E-3</v>
      </c>
      <c r="H546">
        <v>186</v>
      </c>
      <c r="I546">
        <v>1</v>
      </c>
      <c r="J546">
        <v>0</v>
      </c>
      <c r="K546" t="s">
        <v>233</v>
      </c>
      <c r="L546" s="264">
        <v>46294</v>
      </c>
      <c r="M546">
        <v>0</v>
      </c>
      <c r="N546">
        <v>0</v>
      </c>
      <c r="O546">
        <v>1</v>
      </c>
      <c r="P546" t="s">
        <v>431</v>
      </c>
      <c r="Q546">
        <v>0</v>
      </c>
      <c r="R546">
        <v>0</v>
      </c>
      <c r="S546">
        <v>0</v>
      </c>
      <c r="T546">
        <v>0</v>
      </c>
      <c r="U546">
        <v>0</v>
      </c>
      <c r="V546">
        <v>0</v>
      </c>
      <c r="W546">
        <v>0</v>
      </c>
      <c r="X546">
        <v>0</v>
      </c>
      <c r="Y546">
        <v>0</v>
      </c>
      <c r="Z546">
        <v>0</v>
      </c>
      <c r="AA546">
        <v>0</v>
      </c>
      <c r="AB546">
        <v>0</v>
      </c>
      <c r="AC546">
        <v>0</v>
      </c>
      <c r="AD546">
        <v>1</v>
      </c>
      <c r="AE546">
        <v>0</v>
      </c>
      <c r="AF546">
        <v>0</v>
      </c>
      <c r="AG546">
        <v>0</v>
      </c>
      <c r="AH546">
        <v>0</v>
      </c>
      <c r="AI546">
        <v>0</v>
      </c>
      <c r="AJ546">
        <v>0</v>
      </c>
    </row>
    <row r="547" spans="1:36">
      <c r="A547" t="s">
        <v>234</v>
      </c>
      <c r="B547" s="264">
        <v>46053</v>
      </c>
      <c r="C547" t="s">
        <v>376</v>
      </c>
      <c r="D547" t="s">
        <v>553</v>
      </c>
      <c r="E547" t="s">
        <v>341</v>
      </c>
      <c r="F547" t="s">
        <v>232</v>
      </c>
      <c r="G547">
        <v>3.3300000000000003E-2</v>
      </c>
      <c r="H547">
        <v>180</v>
      </c>
      <c r="I547">
        <v>6</v>
      </c>
      <c r="J547">
        <v>0</v>
      </c>
      <c r="K547" t="s">
        <v>233</v>
      </c>
      <c r="L547" s="264">
        <v>46339</v>
      </c>
      <c r="M547">
        <v>0</v>
      </c>
      <c r="N547">
        <v>0</v>
      </c>
      <c r="O547">
        <v>6</v>
      </c>
      <c r="P547" t="s">
        <v>299</v>
      </c>
      <c r="Q547">
        <v>0</v>
      </c>
      <c r="R547">
        <v>0</v>
      </c>
      <c r="S547">
        <v>0</v>
      </c>
      <c r="T547">
        <v>0</v>
      </c>
      <c r="U547">
        <v>0</v>
      </c>
      <c r="V547">
        <v>0</v>
      </c>
      <c r="W547">
        <v>0</v>
      </c>
      <c r="X547">
        <v>0</v>
      </c>
      <c r="Y547">
        <v>0</v>
      </c>
      <c r="Z547">
        <v>0</v>
      </c>
      <c r="AA547">
        <v>0</v>
      </c>
      <c r="AB547">
        <v>0</v>
      </c>
      <c r="AC547">
        <v>0</v>
      </c>
      <c r="AD547">
        <v>6</v>
      </c>
      <c r="AE547">
        <v>0</v>
      </c>
      <c r="AF547">
        <v>0</v>
      </c>
      <c r="AG547">
        <v>0</v>
      </c>
      <c r="AH547">
        <v>0</v>
      </c>
      <c r="AI547">
        <v>0</v>
      </c>
      <c r="AJ547">
        <v>0</v>
      </c>
    </row>
    <row r="548" spans="1:36">
      <c r="A548" t="s">
        <v>234</v>
      </c>
      <c r="B548" s="264">
        <v>46053</v>
      </c>
      <c r="C548" t="s">
        <v>378</v>
      </c>
      <c r="D548" t="s">
        <v>567</v>
      </c>
      <c r="E548" t="s">
        <v>341</v>
      </c>
      <c r="F548" t="s">
        <v>232</v>
      </c>
      <c r="G548">
        <v>1.67E-2</v>
      </c>
      <c r="H548">
        <v>180</v>
      </c>
      <c r="I548">
        <v>3</v>
      </c>
      <c r="J548">
        <v>0</v>
      </c>
      <c r="K548" t="s">
        <v>233</v>
      </c>
      <c r="L548" s="264">
        <v>46345</v>
      </c>
      <c r="M548">
        <v>0</v>
      </c>
      <c r="N548">
        <v>0</v>
      </c>
      <c r="O548">
        <v>3</v>
      </c>
      <c r="P548" t="s">
        <v>446</v>
      </c>
      <c r="Q548">
        <v>0</v>
      </c>
      <c r="R548">
        <v>0</v>
      </c>
      <c r="S548">
        <v>0</v>
      </c>
      <c r="T548">
        <v>0</v>
      </c>
      <c r="U548">
        <v>0</v>
      </c>
      <c r="V548">
        <v>0</v>
      </c>
      <c r="W548">
        <v>0</v>
      </c>
      <c r="X548">
        <v>0</v>
      </c>
      <c r="Y548">
        <v>0</v>
      </c>
      <c r="Z548">
        <v>0</v>
      </c>
      <c r="AA548">
        <v>0</v>
      </c>
      <c r="AB548">
        <v>0</v>
      </c>
      <c r="AC548">
        <v>0</v>
      </c>
      <c r="AD548">
        <v>3</v>
      </c>
      <c r="AE548">
        <v>0</v>
      </c>
      <c r="AF548">
        <v>0</v>
      </c>
      <c r="AG548">
        <v>0</v>
      </c>
      <c r="AH548">
        <v>0</v>
      </c>
      <c r="AI548">
        <v>0</v>
      </c>
      <c r="AJ548">
        <v>0</v>
      </c>
    </row>
    <row r="549" spans="1:36">
      <c r="A549" t="s">
        <v>234</v>
      </c>
      <c r="B549" s="264">
        <v>46053</v>
      </c>
      <c r="C549" t="s">
        <v>65</v>
      </c>
      <c r="D549" t="s">
        <v>235</v>
      </c>
      <c r="E549" t="s">
        <v>1</v>
      </c>
      <c r="F549" t="s">
        <v>232</v>
      </c>
      <c r="G549">
        <v>0</v>
      </c>
      <c r="H549">
        <v>180</v>
      </c>
      <c r="I549">
        <v>0</v>
      </c>
      <c r="J549">
        <v>0</v>
      </c>
      <c r="K549" t="s">
        <v>233</v>
      </c>
      <c r="L549" t="s">
        <v>66</v>
      </c>
      <c r="M549">
        <v>0</v>
      </c>
      <c r="N549">
        <v>0</v>
      </c>
      <c r="O549">
        <v>0</v>
      </c>
      <c r="P549" t="s">
        <v>67</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row>
    <row r="550" spans="1:36">
      <c r="A550" t="s">
        <v>234</v>
      </c>
      <c r="B550" s="264">
        <v>46053</v>
      </c>
      <c r="C550" t="s">
        <v>818</v>
      </c>
      <c r="D550" t="s">
        <v>974</v>
      </c>
      <c r="E550" t="s">
        <v>808</v>
      </c>
      <c r="F550" t="s">
        <v>232</v>
      </c>
      <c r="G550">
        <v>5.5899999999999998E-2</v>
      </c>
      <c r="H550">
        <v>179</v>
      </c>
      <c r="I550">
        <v>10</v>
      </c>
      <c r="J550">
        <v>0</v>
      </c>
      <c r="K550" t="s">
        <v>233</v>
      </c>
      <c r="L550" s="264">
        <v>46339</v>
      </c>
      <c r="M550">
        <v>0</v>
      </c>
      <c r="N550">
        <v>0</v>
      </c>
      <c r="O550">
        <v>10</v>
      </c>
      <c r="P550" t="s">
        <v>368</v>
      </c>
      <c r="Q550">
        <v>0</v>
      </c>
      <c r="R550">
        <v>0</v>
      </c>
      <c r="S550">
        <v>0</v>
      </c>
      <c r="T550">
        <v>0</v>
      </c>
      <c r="U550">
        <v>0</v>
      </c>
      <c r="V550">
        <v>0</v>
      </c>
      <c r="W550">
        <v>0</v>
      </c>
      <c r="X550">
        <v>0</v>
      </c>
      <c r="Y550">
        <v>0</v>
      </c>
      <c r="Z550">
        <v>0</v>
      </c>
      <c r="AA550">
        <v>1</v>
      </c>
      <c r="AB550">
        <v>0</v>
      </c>
      <c r="AC550">
        <v>0</v>
      </c>
      <c r="AD550">
        <v>3</v>
      </c>
      <c r="AE550">
        <v>6</v>
      </c>
      <c r="AF550">
        <v>0</v>
      </c>
      <c r="AG550">
        <v>0</v>
      </c>
      <c r="AH550">
        <v>0</v>
      </c>
      <c r="AI550">
        <v>0</v>
      </c>
      <c r="AJ550">
        <v>0</v>
      </c>
    </row>
    <row r="551" spans="1:36">
      <c r="A551" t="s">
        <v>234</v>
      </c>
      <c r="B551" s="264">
        <v>46053</v>
      </c>
      <c r="C551" t="s">
        <v>1148</v>
      </c>
      <c r="D551" t="s">
        <v>597</v>
      </c>
      <c r="E551" t="s">
        <v>1144</v>
      </c>
      <c r="F551" t="s">
        <v>232</v>
      </c>
      <c r="G551">
        <v>1.12E-2</v>
      </c>
      <c r="H551">
        <v>179</v>
      </c>
      <c r="I551">
        <v>2</v>
      </c>
      <c r="J551">
        <v>0</v>
      </c>
      <c r="K551" t="s">
        <v>233</v>
      </c>
      <c r="L551" s="264">
        <v>46340</v>
      </c>
      <c r="M551">
        <v>0</v>
      </c>
      <c r="N551">
        <v>0</v>
      </c>
      <c r="O551">
        <v>2</v>
      </c>
      <c r="P551" t="s">
        <v>967</v>
      </c>
      <c r="Q551">
        <v>0</v>
      </c>
      <c r="R551">
        <v>0</v>
      </c>
      <c r="S551">
        <v>0</v>
      </c>
      <c r="T551">
        <v>0</v>
      </c>
      <c r="U551">
        <v>0</v>
      </c>
      <c r="V551">
        <v>0</v>
      </c>
      <c r="W551">
        <v>0</v>
      </c>
      <c r="X551">
        <v>0</v>
      </c>
      <c r="Y551">
        <v>0</v>
      </c>
      <c r="Z551">
        <v>0</v>
      </c>
      <c r="AA551">
        <v>0</v>
      </c>
      <c r="AB551">
        <v>0</v>
      </c>
      <c r="AC551">
        <v>0</v>
      </c>
      <c r="AD551">
        <v>0</v>
      </c>
      <c r="AE551">
        <v>2</v>
      </c>
      <c r="AF551">
        <v>0</v>
      </c>
      <c r="AG551">
        <v>0</v>
      </c>
      <c r="AH551">
        <v>0</v>
      </c>
      <c r="AI551">
        <v>0</v>
      </c>
      <c r="AJ551">
        <v>0</v>
      </c>
    </row>
    <row r="552" spans="1:36">
      <c r="A552" t="s">
        <v>234</v>
      </c>
      <c r="B552" s="264">
        <v>46053</v>
      </c>
      <c r="C552" t="s">
        <v>1215</v>
      </c>
      <c r="D552" t="s">
        <v>336</v>
      </c>
      <c r="E552" t="s">
        <v>1213</v>
      </c>
      <c r="F552" t="s">
        <v>232</v>
      </c>
      <c r="G552">
        <v>5.5999999999999999E-3</v>
      </c>
      <c r="H552">
        <v>179</v>
      </c>
      <c r="I552">
        <v>1</v>
      </c>
      <c r="J552">
        <v>0</v>
      </c>
      <c r="K552" t="s">
        <v>233</v>
      </c>
      <c r="L552" s="264">
        <v>46317</v>
      </c>
      <c r="M552">
        <v>0</v>
      </c>
      <c r="N552">
        <v>0</v>
      </c>
      <c r="O552">
        <v>1</v>
      </c>
      <c r="P552" t="s">
        <v>877</v>
      </c>
      <c r="Q552">
        <v>0</v>
      </c>
      <c r="R552">
        <v>0</v>
      </c>
      <c r="S552">
        <v>0</v>
      </c>
      <c r="T552">
        <v>0</v>
      </c>
      <c r="U552">
        <v>0</v>
      </c>
      <c r="V552">
        <v>0</v>
      </c>
      <c r="W552">
        <v>0</v>
      </c>
      <c r="X552">
        <v>0</v>
      </c>
      <c r="Y552">
        <v>0</v>
      </c>
      <c r="Z552">
        <v>0</v>
      </c>
      <c r="AA552">
        <v>0</v>
      </c>
      <c r="AB552">
        <v>0</v>
      </c>
      <c r="AC552">
        <v>1</v>
      </c>
      <c r="AD552">
        <v>0</v>
      </c>
      <c r="AE552">
        <v>0</v>
      </c>
      <c r="AF552">
        <v>0</v>
      </c>
      <c r="AG552">
        <v>0</v>
      </c>
      <c r="AH552">
        <v>0</v>
      </c>
      <c r="AI552">
        <v>0</v>
      </c>
      <c r="AJ552">
        <v>0</v>
      </c>
    </row>
    <row r="553" spans="1:36">
      <c r="A553" t="s">
        <v>234</v>
      </c>
      <c r="B553" s="264">
        <v>46053</v>
      </c>
      <c r="C553" t="s">
        <v>613</v>
      </c>
      <c r="D553" t="s">
        <v>690</v>
      </c>
      <c r="E553" t="s">
        <v>601</v>
      </c>
      <c r="F553" t="s">
        <v>232</v>
      </c>
      <c r="G553">
        <v>2.2200000000000001E-2</v>
      </c>
      <c r="H553">
        <v>180</v>
      </c>
      <c r="I553">
        <v>4</v>
      </c>
      <c r="J553">
        <v>0</v>
      </c>
      <c r="K553" t="s">
        <v>233</v>
      </c>
      <c r="L553" s="264">
        <v>46341</v>
      </c>
      <c r="M553">
        <v>0</v>
      </c>
      <c r="N553">
        <v>0</v>
      </c>
      <c r="O553">
        <v>4</v>
      </c>
      <c r="P553" t="s">
        <v>299</v>
      </c>
      <c r="Q553">
        <v>0</v>
      </c>
      <c r="R553">
        <v>0</v>
      </c>
      <c r="S553">
        <v>0</v>
      </c>
      <c r="T553">
        <v>0</v>
      </c>
      <c r="U553">
        <v>0</v>
      </c>
      <c r="V553">
        <v>0</v>
      </c>
      <c r="W553">
        <v>0</v>
      </c>
      <c r="X553">
        <v>0</v>
      </c>
      <c r="Y553">
        <v>0</v>
      </c>
      <c r="Z553">
        <v>0</v>
      </c>
      <c r="AA553">
        <v>0</v>
      </c>
      <c r="AB553">
        <v>0</v>
      </c>
      <c r="AC553">
        <v>4</v>
      </c>
      <c r="AD553">
        <v>0</v>
      </c>
      <c r="AE553">
        <v>0</v>
      </c>
      <c r="AF553">
        <v>0</v>
      </c>
      <c r="AG553">
        <v>0</v>
      </c>
      <c r="AH553">
        <v>0</v>
      </c>
      <c r="AI553">
        <v>0</v>
      </c>
      <c r="AJ553">
        <v>0</v>
      </c>
    </row>
    <row r="554" spans="1:36">
      <c r="A554" t="s">
        <v>234</v>
      </c>
      <c r="B554" s="264">
        <v>46053</v>
      </c>
      <c r="C554" t="s">
        <v>630</v>
      </c>
      <c r="D554" t="s">
        <v>689</v>
      </c>
      <c r="E554" t="s">
        <v>601</v>
      </c>
      <c r="F554" t="s">
        <v>232</v>
      </c>
      <c r="G554">
        <v>0</v>
      </c>
      <c r="H554">
        <v>180</v>
      </c>
      <c r="I554">
        <v>0</v>
      </c>
      <c r="J554">
        <v>0</v>
      </c>
      <c r="K554" t="s">
        <v>233</v>
      </c>
      <c r="L554" t="s">
        <v>66</v>
      </c>
      <c r="M554">
        <v>0</v>
      </c>
      <c r="N554">
        <v>0</v>
      </c>
      <c r="O554">
        <v>0</v>
      </c>
      <c r="P554" t="s">
        <v>292</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DMM Office</cp:lastModifiedBy>
  <cp:revision/>
  <dcterms:created xsi:type="dcterms:W3CDTF">2025-11-19T11:39:24Z</dcterms:created>
  <dcterms:modified xsi:type="dcterms:W3CDTF">2025-11-19T12:17:15Z</dcterms:modified>
  <cp:category/>
  <cp:contentStatus/>
</cp:coreProperties>
</file>